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9.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ml.chartshapes+xml"/>
  <Override PartName="/xl/charts/chart8.xml" ContentType="application/vnd.openxmlformats-officedocument.drawingml.chart+xml"/>
  <Override PartName="/xl/drawings/drawing5.xml" ContentType="application/vnd.openxmlformats-officedocument.drawingml.chartshapes+xml"/>
  <Override PartName="/xl/charts/chart9.xml" ContentType="application/vnd.openxmlformats-officedocument.drawingml.chart+xml"/>
  <Override PartName="/xl/drawings/drawing6.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8.xml" ContentType="application/vnd.openxmlformats-officedocument.drawing+xml"/>
  <Override PartName="/xl/charts/chart32.xml" ContentType="application/vnd.openxmlformats-officedocument.drawingml.chart+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1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showInkAnnotation="0" codeName="ThisWorkbook" autoCompressPictures="0"/>
  <mc:AlternateContent xmlns:mc="http://schemas.openxmlformats.org/markup-compatibility/2006">
    <mc:Choice Requires="x15">
      <x15ac:absPath xmlns:x15ac="http://schemas.microsoft.com/office/spreadsheetml/2010/11/ac" url="C:\Users\A0505896\Documents\DB-Driver Bias\Galvani\e2e Galvani\Watanabe Kazushi\"/>
    </mc:Choice>
  </mc:AlternateContent>
  <xr:revisionPtr revIDLastSave="0" documentId="8_{88848E7E-F37B-46DF-9F4A-7802DFEA8EB6}" xr6:coauthVersionLast="36" xr6:coauthVersionMax="36" xr10:uidLastSave="{00000000-0000-0000-0000-000000000000}"/>
  <workbookProtection workbookAlgorithmName="SHA-512" workbookHashValue="b+MirVK01DCTvsCU9y7fP25bI7uUqi+KdI3ZGE8YxGgNy4EqaaT226YeSnnSUJb6UfvQh2b0yT+mXy8rMeG2jg==" workbookSaltValue="DY8B3Op4I7nQpnoYqGopwg==" workbookSpinCount="100000" lockStructure="1"/>
  <bookViews>
    <workbookView xWindow="0" yWindow="0" windowWidth="25600" windowHeight="9830" tabRatio="468" xr2:uid="{00000000-000D-0000-FFFF-FFFF00000000}"/>
  </bookViews>
  <sheets>
    <sheet name="Design Converter" sheetId="1" r:id="rId1"/>
    <sheet name="Stability Calculations" sheetId="29" state="hidden" r:id="rId2"/>
    <sheet name="Variable Mgmt" sheetId="2" state="hidden" r:id="rId3"/>
    <sheet name="Parameters" sheetId="19" state="hidden" r:id="rId4"/>
    <sheet name="Calculations - Single" sheetId="24" state="hidden" r:id="rId5"/>
    <sheet name="Calculations - Dual" sheetId="25" state="hidden" r:id="rId6"/>
    <sheet name="Fsw vs VIN" sheetId="23" state="hidden" r:id="rId7"/>
    <sheet name="BOM &amp; Schematic" sheetId="16" r:id="rId8"/>
    <sheet name="EVMs" sheetId="14" r:id="rId9"/>
    <sheet name="Efficiency Plots" sheetId="22" state="hidden" r:id="rId10"/>
    <sheet name="Fsw Plots" sheetId="28" state="hidden" r:id="rId11"/>
    <sheet name="Schematic Mgmt" sheetId="21" state="hidden" r:id="rId12"/>
    <sheet name="Standard Value Calculator" sheetId="8" state="hidden" r:id="rId13"/>
  </sheets>
  <definedNames>
    <definedName name="_Don1">'Variable Mgmt'!$B$82</definedName>
    <definedName name="Acs">'Stability Calculations'!$L$3</definedName>
    <definedName name="Adc">'Stability Calculations'!$W$3</definedName>
    <definedName name="Aea">'Stability Calculations'!$I$6</definedName>
    <definedName name="Afb">'Stability Calculations'!$I$3</definedName>
    <definedName name="Am">'Stability Calculations'!$L$4</definedName>
    <definedName name="BDserR">Parameters!$D$50</definedName>
    <definedName name="BODE_TYPE">'Variable Mgmt'!$Q$20</definedName>
    <definedName name="Cb">'Variable Mgmt'!$B$186</definedName>
    <definedName name="Ccomp">'Stability Calculations'!$D$38</definedName>
    <definedName name="Chf">'Stability Calculations'!$D$39</definedName>
    <definedName name="Cin" localSheetId="3">Parameters!$D$30</definedName>
    <definedName name="Cin">'Variable Mgmt'!$B$152</definedName>
    <definedName name="CinEsrMax">'Variable Mgmt'!$B$154</definedName>
    <definedName name="Cinmin">'Variable Mgmt'!$B$150</definedName>
    <definedName name="CONFIG">'Variable Mgmt'!$C$74</definedName>
    <definedName name="Coss">Parameters!$D$45</definedName>
    <definedName name="Cout" localSheetId="3">Parameters!$D$32</definedName>
    <definedName name="Cout">'Variable Mgmt'!$B$127</definedName>
    <definedName name="Cout_pri">'Stability Calculations'!$B$27</definedName>
    <definedName name="Cout_sec">'Stability Calculations'!$B$25</definedName>
    <definedName name="Cout_Voltage_Rating">'Variable Mgmt'!$S$76</definedName>
    <definedName name="Cout2">'Variable Mgmt'!$B$137</definedName>
    <definedName name="CoutEsr">'Variable Mgmt'!$B$129</definedName>
    <definedName name="CoutEsr2">'Variable Mgmt'!$B$139</definedName>
    <definedName name="Css">'Variable Mgmt'!$B$166</definedName>
    <definedName name="Css_u">'Variable Mgmt'!$B$167</definedName>
    <definedName name="Csw">Parameters!$D$46</definedName>
    <definedName name="Diode_TC">'Variable Mgmt'!$B$197</definedName>
    <definedName name="Don_Vinmax">'Variable Mgmt'!$B$86</definedName>
    <definedName name="Don_Vinmin">'Variable Mgmt'!$B$83</definedName>
    <definedName name="Don_Vinnom">'Variable Mgmt'!$B$85</definedName>
    <definedName name="EFF_DUAL">'Efficiency Plots'!$B$7</definedName>
    <definedName name="EFF_SINGLE">'Efficiency Plots'!$B$5</definedName>
    <definedName name="Efficiency">'Variable Mgmt'!$B$39</definedName>
    <definedName name="Fco_desire">'Design Converter'!$E$58</definedName>
    <definedName name="Fsw" localSheetId="3">Parameters!$D$20</definedName>
    <definedName name="Fsw_DCM">'Variable Mgmt'!$B$61</definedName>
    <definedName name="Fsw_DUAL">'Fsw Plots'!$B$7</definedName>
    <definedName name="Fsw_max">Parameters!$D$21</definedName>
    <definedName name="Fsw_SINGLE">'Fsw Plots'!$B$5</definedName>
    <definedName name="gmEA">'Stability Calculations'!$D$31</definedName>
    <definedName name="Icinrms">'Variable Mgmt'!$B$149</definedName>
    <definedName name="Icoutrms">'Variable Mgmt'!$B$121</definedName>
    <definedName name="Iin_Vinmax">'Variable Mgmt'!$B$47</definedName>
    <definedName name="Iin_Vinmin">'Variable Mgmt'!$B$43</definedName>
    <definedName name="Iin_Vinnom">'Variable Mgmt'!$B$45</definedName>
    <definedName name="ILIM_delay">Parameters!$D$37</definedName>
    <definedName name="Iout">'Variable Mgmt'!$B$12</definedName>
    <definedName name="Iout_eff">'Stability Calculations'!$B$15</definedName>
    <definedName name="Iout_max">Parameters!$D$10</definedName>
    <definedName name="Iout2">'Variable Mgmt'!$B$18</definedName>
    <definedName name="Iout2_actual">'Variable Mgmt'!$B$19</definedName>
    <definedName name="Ioutmax_Vinmax" localSheetId="5">'Calculations - Dual'!$Q$216</definedName>
    <definedName name="Ioutmax_Vinmax">'Calculations - Single'!$P$216</definedName>
    <definedName name="Ioutmax_Vinmin" localSheetId="5">'Calculations - Dual'!$Q$110</definedName>
    <definedName name="Ioutmax_Vinmin">'Calculations - Single'!$P$110</definedName>
    <definedName name="Ioutmax_Vinnom" localSheetId="5">'Calculations - Dual'!$Q$5</definedName>
    <definedName name="Ioutmax_Vinnom">'Calculations - Single'!$P$5</definedName>
    <definedName name="IpkCAL">'Variable Mgmt'!$B$117</definedName>
    <definedName name="IQ">Parameters!$D$39</definedName>
    <definedName name="Iripple">Parameters!$D$19</definedName>
    <definedName name="Iripple_Vinmax" localSheetId="5">'Variable Mgmt'!#REF!</definedName>
    <definedName name="Iripple_Vinmax" localSheetId="10">'Variable Mgmt'!#REF!</definedName>
    <definedName name="Iripple_Vinmin" localSheetId="5">'Variable Mgmt'!#REF!</definedName>
    <definedName name="Iripple_Vinmin" localSheetId="10">'Variable Mgmt'!#REF!</definedName>
    <definedName name="Iripple_Vinnom" localSheetId="5">'Variable Mgmt'!#REF!</definedName>
    <definedName name="Iripple_Vinnom" localSheetId="10">'Variable Mgmt'!#REF!</definedName>
    <definedName name="Iripple1" localSheetId="5">'Variable Mgmt'!#REF!</definedName>
    <definedName name="Iripple1" localSheetId="10">'Variable Mgmt'!#REF!</definedName>
    <definedName name="Iss">'Variable Mgmt'!$B$165</definedName>
    <definedName name="Isw_max">Parameters!$D$35</definedName>
    <definedName name="Isw_min">Parameters!$D$36</definedName>
    <definedName name="Iuvlo_hys">'Variable Mgmt'!$B$176</definedName>
    <definedName name="Iuvlo1">'Variable Mgmt'!$B$174</definedName>
    <definedName name="Iuvlo2">'Variable Mgmt'!$B$175</definedName>
    <definedName name="k_core">Parameters!$D$29</definedName>
    <definedName name="ktr_rcmd">'Variable Mgmt'!$B$88</definedName>
    <definedName name="L">Parameters!$D$26</definedName>
    <definedName name="Lleak">'Variable Mgmt'!$B$97</definedName>
    <definedName name="Lmag">'Variable Mgmt'!$B$96</definedName>
    <definedName name="Lmin">'Variable Mgmt'!$B$110</definedName>
    <definedName name="Lmin_abs">'Variable Mgmt'!$B$111</definedName>
    <definedName name="Ls1_">'Variable Mgmt'!$B$98</definedName>
    <definedName name="Ls2_">'Variable Mgmt'!$B$99</definedName>
    <definedName name="Ltc">'Variable Mgmt'!$B$208</definedName>
    <definedName name="M">'Stability Calculations'!$B$18</definedName>
    <definedName name="max_I">Parameters!$H$109</definedName>
    <definedName name="min_I">Parameters!$H$108</definedName>
    <definedName name="MODE">'Variable Mgmt'!$C$73</definedName>
    <definedName name="MODE_SS">'Variable Mgmt'!$J$78</definedName>
    <definedName name="MODE_TC">'Variable Mgmt'!$G$72</definedName>
    <definedName name="MODE_TOP">'Variable Mgmt'!$B$73</definedName>
    <definedName name="MODE_UVLO">'Variable Mgmt'!$G$78</definedName>
    <definedName name="Npri_sec">'Stability Calculations'!$B$13</definedName>
    <definedName name="Npri_sec1">'Variable Mgmt'!$R$64</definedName>
    <definedName name="Npri_sec2">'Variable Mgmt'!$R$66</definedName>
    <definedName name="Nps">'Variable Mgmt'!$R$63</definedName>
    <definedName name="Nsec1sec2">'Variable Mgmt'!$R$65</definedName>
    <definedName name="OffTime">Parameters!$D$18</definedName>
    <definedName name="OnTime">Parameters!$D$17</definedName>
    <definedName name="Pi">'Variable Mgmt'!$B$189</definedName>
    <definedName name="PICTURE1">INDIRECT('Schematic Mgmt'!$A$2)</definedName>
    <definedName name="PICTURE2">INDIRECT('Fsw Plots'!$A$2)</definedName>
    <definedName name="PICTURE3">INDIRECT('Efficiency Plots'!$A$2)</definedName>
    <definedName name="Pin">'Variable Mgmt'!$B$41</definedName>
    <definedName name="PLOT_TYPE">'Variable Mgmt'!$M$78</definedName>
    <definedName name="pole1">'Stability Calculations'!$Q$4</definedName>
    <definedName name="Pole2">'Stability Calculations'!$I$5</definedName>
    <definedName name="pole3">'Stability Calculations'!$T$3</definedName>
    <definedName name="pole4">'Stability Calculations'!$I$7</definedName>
    <definedName name="Pomax_allowed">'Variable Mgmt'!$B$48</definedName>
    <definedName name="Pout">'Variable Mgmt'!$B$14</definedName>
    <definedName name="Pout_total">'Variable Mgmt'!$B$22</definedName>
    <definedName name="Pout2">'Variable Mgmt'!$B$21</definedName>
    <definedName name="_xlnm.Print_Area" localSheetId="7">'BOM &amp; Schematic'!$A$1:$I$59</definedName>
    <definedName name="_xlnm.Print_Area" localSheetId="0">'Design Converter'!$A$1:$R$87</definedName>
    <definedName name="pterm1">'Stability Calculations'!$T$4</definedName>
    <definedName name="pterm2">'Stability Calculations'!$T$5</definedName>
    <definedName name="Qg">Parameters!$D$44</definedName>
    <definedName name="radconv">'Stability Calculations'!$W$6</definedName>
    <definedName name="RCinEsr" localSheetId="3">Parameters!$D$31</definedName>
    <definedName name="RCinEsr">'Variable Mgmt'!$B$155</definedName>
    <definedName name="Rcomp">'Stability Calculations'!$D$37</definedName>
    <definedName name="RCoutEsr" localSheetId="3">Parameters!$D$33</definedName>
    <definedName name="RCoutEsr">'Variable Mgmt'!$B$129</definedName>
    <definedName name="RCS">'Design Converter'!$E$17</definedName>
    <definedName name="Rcs_gain">'Stability Calculations'!$B$34</definedName>
    <definedName name="RCSmin">'Variable Mgmt'!$B$118</definedName>
    <definedName name="Rdcr_pri">'Variable Mgmt'!$B$101</definedName>
    <definedName name="Rdcr_sec">'Variable Mgmt'!$B$102</definedName>
    <definedName name="Rdcr_sec2">'Variable Mgmt'!$B$103</definedName>
    <definedName name="Rdson">Parameters!$D$41</definedName>
    <definedName name="RdsonTC">Parameters!$D$42</definedName>
    <definedName name="REAout">'Stability Calculations'!$D$32</definedName>
    <definedName name="Rfb">'Variable Mgmt'!$B$63</definedName>
    <definedName name="Rfb_recommend">'Variable Mgmt'!$B$193</definedName>
    <definedName name="Rfb2_u">'Variable Mgmt'!$B$195</definedName>
    <definedName name="Rload_pri">'Stability Calculations'!$B$22</definedName>
    <definedName name="Rload_sec">'Stability Calculations'!$B$21</definedName>
    <definedName name="RON">'Design Converter'!$L$22</definedName>
    <definedName name="Rout">'Variable Mgmt'!$B$13</definedName>
    <definedName name="Rout2">'Variable Mgmt'!$B$20</definedName>
    <definedName name="Rpg" localSheetId="10">'Variable Mgmt'!#REF!</definedName>
    <definedName name="Rpg">'Variable Mgmt'!#REF!</definedName>
    <definedName name="rr">Parameters!$H$110</definedName>
    <definedName name="RTC">'Variable Mgmt'!$B$199</definedName>
    <definedName name="RTC_1">'Variable Mgmt'!$B$198</definedName>
    <definedName name="Ruvlo1">'Variable Mgmt'!$B$181</definedName>
    <definedName name="Ruvlo2">'Variable Mgmt'!$B$182</definedName>
    <definedName name="SCH_BIPOLAR_UVLOadj_SSadj_TCno">'Schematic Mgmt'!$H$21</definedName>
    <definedName name="SCH_BIPOLAR_UVLOadj_SSadj_TCyes">'Schematic Mgmt'!$H$7</definedName>
    <definedName name="SCH_BIPOLAR_UVLOadj_SSint_TCno">'Schematic Mgmt'!$H$19</definedName>
    <definedName name="SCH_BIPOLAR_UVLOadj_SSint_TCyes">'Schematic Mgmt'!$H$17</definedName>
    <definedName name="SCH_BIPOLAR_UVLOint_SSadj_TCno">'Schematic Mgmt'!$H$15</definedName>
    <definedName name="SCH_BIPOLAR_UVLOint_SSadj_TCyes">'Schematic Mgmt'!$H$9</definedName>
    <definedName name="SCH_BIPOLAR_UVLOint_SSint_TCno">'Schematic Mgmt'!$H$13</definedName>
    <definedName name="SCH_BIPOLAR_UVLOint_SSint_TCyes">'Schematic Mgmt'!$H$11</definedName>
    <definedName name="SCH_DUAL_UVLOadj_SSadj_TCno">'Schematic Mgmt'!$E$21</definedName>
    <definedName name="SCH_DUAL_UVLOadj_SSadj_TCyes">'Schematic Mgmt'!$E$7</definedName>
    <definedName name="SCH_DUAL_UVLOadj_SSint_TCno">'Schematic Mgmt'!$E$19</definedName>
    <definedName name="SCH_DUAL_UVLOadj_SSint_TCyes">'Schematic Mgmt'!$E$17</definedName>
    <definedName name="SCH_DUAL_UVLOint_SSadj_TCno">'Schematic Mgmt'!$E$15</definedName>
    <definedName name="SCH_DUAL_UVLOint_SSadj_TCyes">'Schematic Mgmt'!$E$9</definedName>
    <definedName name="SCH_DUAL_UVLOint_SSint_TCno">'Schematic Mgmt'!$E$13</definedName>
    <definedName name="SCH_DUAL_UVLOint_SSint_TCyes">'Schematic Mgmt'!$E$11</definedName>
    <definedName name="SCH_SINGLE_UVLOadj_SSadj_TCno">'Schematic Mgmt'!$B$21</definedName>
    <definedName name="SCH_SINGLE_UVLOadj_SSadj_TCyes">'Schematic Mgmt'!$B$7</definedName>
    <definedName name="SCH_SINGLE_UVLOadj_SSint_TCno">'Schematic Mgmt'!$B$19</definedName>
    <definedName name="SCH_SINGLE_UVLOadj_SSint_TCyes">'Schematic Mgmt'!$B$17</definedName>
    <definedName name="SCH_SINGLE_UVLOint_SSadj_TCno">'Schematic Mgmt'!$B$15</definedName>
    <definedName name="SCH_SINGLE_UVLOint_SSadj_TCyes">'Schematic Mgmt'!$B$9</definedName>
    <definedName name="SCH_SINGLE_UVLOint_SSint_TCno">'Schematic Mgmt'!$B$13</definedName>
    <definedName name="SCH_SINGLE_UVLOint_SSint_TCyes">'Schematic Mgmt'!$B$11</definedName>
    <definedName name="Ta" localSheetId="3">Parameters!$D$12</definedName>
    <definedName name="Ta">'Variable Mgmt'!$B$206</definedName>
    <definedName name="TC">'Variable Mgmt'!$G$72</definedName>
    <definedName name="Tfall">Parameters!$D$23</definedName>
    <definedName name="ThetaCa">'Variable Mgmt'!$B$209</definedName>
    <definedName name="ThetaJA">Parameters!$D$54</definedName>
    <definedName name="TL">'Variable Mgmt'!$B$117</definedName>
    <definedName name="toff_max">'Variable Mgmt'!$B$109</definedName>
    <definedName name="Toff_Vinmax">'Variable Mgmt'!$B$190</definedName>
    <definedName name="Ton_Vinmin">'Variable Mgmt'!$B$191</definedName>
    <definedName name="Trise">Parameters!$D$22</definedName>
    <definedName name="TrrBot">Parameters!$D$52</definedName>
    <definedName name="Tss">'Variable Mgmt'!$B$164</definedName>
    <definedName name="Tsw">'Stability Calculations'!$B$19</definedName>
    <definedName name="Turns_Ratio">'Variable Mgmt'!$S$61</definedName>
    <definedName name="Turns_Ratio2">'Variable Mgmt'!$W$61</definedName>
    <definedName name="Vdd">Parameters!$D$13</definedName>
    <definedName name="Vds_req">'Design Converter'!$E$24</definedName>
    <definedName name="Vfwd1">Parameters!$D$48</definedName>
    <definedName name="Vfwd2">Parameters!$D$49</definedName>
    <definedName name="Vfwd22">'Variable Mgmt'!$L$106</definedName>
    <definedName name="Vin">'Design Converter'!$E$7</definedName>
    <definedName name="Vin_eff">'Stability Calculations'!$B$16</definedName>
    <definedName name="VIN_max">'Variable Mgmt'!$B$9</definedName>
    <definedName name="VIN_min">'Variable Mgmt'!$B$7</definedName>
    <definedName name="VIN_nom">'Variable Mgmt'!$B$8</definedName>
    <definedName name="Vinripple1">'Variable Mgmt'!$B$147</definedName>
    <definedName name="Vinripple2">'Variable Mgmt'!$B$160</definedName>
    <definedName name="VINuvlo_off">'Variable Mgmt'!$B$179</definedName>
    <definedName name="VINuvlo_on">'Variable Mgmt'!$B$178</definedName>
    <definedName name="Vout">'Variable Mgmt'!$B$11</definedName>
    <definedName name="Vout_eff">'Stability Calculations'!$B$14</definedName>
    <definedName name="Vout_ripple">'Variable Mgmt'!$B$35</definedName>
    <definedName name="Vout_ripple2">'Variable Mgmt'!$B$36</definedName>
    <definedName name="Vout2">'Variable Mgmt'!$B$16</definedName>
    <definedName name="Vout2_actual">'Variable Mgmt'!$B$17</definedName>
    <definedName name="Vref">'Variable Mgmt'!$B$62</definedName>
    <definedName name="Vripple1_actual">'Variable Mgmt'!$B$131</definedName>
    <definedName name="Vripple1_spec">'Variable Mgmt'!$B$125</definedName>
    <definedName name="Vripple2_actual">'Variable Mgmt'!$B$141</definedName>
    <definedName name="Vripple2_spec">'Variable Mgmt'!$B$135</definedName>
    <definedName name="VRRM_DIODE">'Variable Mgmt'!$B$28</definedName>
    <definedName name="Vuvlo_hys">'Variable Mgmt'!$B$173</definedName>
    <definedName name="Vuvlo_off">'Variable Mgmt'!$B$172</definedName>
    <definedName name="Vuvlo_on">'Variable Mgmt'!$B$171</definedName>
    <definedName name="z_RHP">'Stability Calculations'!$Q$5</definedName>
    <definedName name="Zero1">'Stability Calculations'!$Q$3</definedName>
    <definedName name="Zero2">'Stability Calculations'!$I$4</definedName>
  </definedNames>
  <calcPr calcId="191029"/>
</workbook>
</file>

<file path=xl/calcChain.xml><?xml version="1.0" encoding="utf-8"?>
<calcChain xmlns="http://schemas.openxmlformats.org/spreadsheetml/2006/main">
  <c r="W63" i="2" l="1"/>
  <c r="V61" i="2" l="1"/>
  <c r="R64" i="2"/>
  <c r="R61" i="2"/>
  <c r="R63" i="2"/>
  <c r="T58" i="2"/>
  <c r="T55" i="2"/>
  <c r="T53" i="2"/>
  <c r="T50" i="2"/>
  <c r="T47" i="2"/>
  <c r="T44" i="2"/>
  <c r="T43" i="2"/>
  <c r="T42" i="2"/>
  <c r="V49" i="2"/>
  <c r="V50" i="2"/>
  <c r="V51" i="2"/>
  <c r="V52" i="2"/>
  <c r="V53" i="2"/>
  <c r="V54" i="2"/>
  <c r="V55" i="2"/>
  <c r="V56" i="2"/>
  <c r="V57" i="2"/>
  <c r="V58" i="2"/>
  <c r="V59" i="2"/>
  <c r="V60" i="2"/>
  <c r="V32" i="2"/>
  <c r="V31" i="2"/>
  <c r="V30" i="2"/>
  <c r="V29" i="2"/>
  <c r="V28" i="2"/>
  <c r="T60" i="2"/>
  <c r="T59" i="2"/>
  <c r="T57" i="2"/>
  <c r="R60" i="2"/>
  <c r="R59" i="2"/>
  <c r="R58" i="2"/>
  <c r="R57" i="2"/>
  <c r="T56" i="2"/>
  <c r="T54" i="2"/>
  <c r="T52" i="2"/>
  <c r="T51" i="2"/>
  <c r="R29" i="2"/>
  <c r="R28" i="2"/>
  <c r="R30" i="2"/>
  <c r="R31" i="2"/>
  <c r="R55" i="2"/>
  <c r="R56" i="2"/>
  <c r="R54" i="2"/>
  <c r="R53" i="2"/>
  <c r="R52" i="2"/>
  <c r="R51" i="2"/>
  <c r="R50" i="2"/>
  <c r="R32" i="2"/>
  <c r="V33" i="2" l="1"/>
  <c r="R33" i="2"/>
  <c r="R49" i="2"/>
  <c r="I6" i="29" l="1"/>
  <c r="B29" i="19" l="1"/>
  <c r="U96" i="2" l="1"/>
  <c r="U95" i="2"/>
  <c r="K55" i="16"/>
  <c r="K54" i="16"/>
  <c r="J54" i="16"/>
  <c r="K51" i="16" l="1"/>
  <c r="J51" i="16"/>
  <c r="K53" i="16"/>
  <c r="K52" i="16"/>
  <c r="J53" i="16"/>
  <c r="J52" i="16"/>
  <c r="K38" i="16"/>
  <c r="K37" i="16"/>
  <c r="K36" i="16"/>
  <c r="K35" i="16"/>
  <c r="J38" i="16"/>
  <c r="J37" i="16"/>
  <c r="J35" i="16"/>
  <c r="J36" i="16"/>
  <c r="I38" i="16"/>
  <c r="H38" i="16"/>
  <c r="I36" i="16"/>
  <c r="H36" i="16"/>
  <c r="I35" i="16"/>
  <c r="H35" i="16"/>
  <c r="K44" i="16"/>
  <c r="J44" i="16"/>
  <c r="I44" i="16"/>
  <c r="H44" i="16"/>
  <c r="A44" i="16"/>
  <c r="K43" i="16"/>
  <c r="K46" i="16"/>
  <c r="K42" i="16"/>
  <c r="J43" i="16"/>
  <c r="J41" i="16"/>
  <c r="J42" i="16"/>
  <c r="C54" i="16" l="1"/>
  <c r="C52" i="16"/>
  <c r="D52" i="16" s="1"/>
  <c r="C36" i="16"/>
  <c r="D36" i="16" s="1"/>
  <c r="C35" i="16"/>
  <c r="D35" i="16" s="1"/>
  <c r="K31" i="1" l="1"/>
  <c r="M322" i="25" l="1"/>
  <c r="F322" i="25"/>
  <c r="M77" i="1"/>
  <c r="M74" i="1"/>
  <c r="M73" i="1"/>
  <c r="K77" i="1"/>
  <c r="K75" i="1"/>
  <c r="K74" i="1"/>
  <c r="K73" i="1"/>
  <c r="O325" i="25"/>
  <c r="H325" i="25"/>
  <c r="F322" i="24"/>
  <c r="H325" i="24"/>
  <c r="D75" i="1" l="1"/>
  <c r="D74" i="1"/>
  <c r="D73" i="1"/>
  <c r="D69" i="1"/>
  <c r="D67" i="1"/>
  <c r="N321" i="24" l="1"/>
  <c r="B44" i="19" l="1"/>
  <c r="B23" i="19" s="1"/>
  <c r="B46" i="19"/>
  <c r="L30" i="1"/>
  <c r="S30" i="1"/>
  <c r="L106" i="2"/>
  <c r="E81" i="1"/>
  <c r="K30" i="1"/>
  <c r="K29" i="1"/>
  <c r="B22" i="19" l="1"/>
  <c r="FM5" i="25"/>
  <c r="D48" i="1" l="1"/>
  <c r="D315" i="2" l="1"/>
  <c r="C53" i="16" s="1"/>
  <c r="D53" i="16" s="1"/>
  <c r="B313" i="2"/>
  <c r="D313" i="2" s="1"/>
  <c r="C51" i="16" s="1"/>
  <c r="B311" i="2"/>
  <c r="D311" i="2" s="1"/>
  <c r="B310" i="2"/>
  <c r="D310" i="2" s="1"/>
  <c r="B309" i="2"/>
  <c r="D309" i="2" s="1"/>
  <c r="B137" i="2"/>
  <c r="L23" i="1" l="1"/>
  <c r="E24" i="1"/>
  <c r="C45" i="16" s="1"/>
  <c r="T48" i="2" l="1"/>
  <c r="T46" i="2"/>
  <c r="T45" i="2"/>
  <c r="K14" i="1" l="1"/>
  <c r="CN5" i="25" l="1"/>
  <c r="DP216" i="25"/>
  <c r="DP110" i="25"/>
  <c r="CN105" i="25"/>
  <c r="EM105" i="25" s="1"/>
  <c r="CN104" i="25"/>
  <c r="CN103" i="25"/>
  <c r="CN102" i="25"/>
  <c r="EM102" i="25" s="1"/>
  <c r="CN101" i="25"/>
  <c r="EM101" i="25" s="1"/>
  <c r="CN100" i="25"/>
  <c r="CN99" i="25"/>
  <c r="EM99" i="25" s="1"/>
  <c r="CN98" i="25"/>
  <c r="EM98" i="25" s="1"/>
  <c r="CN97" i="25"/>
  <c r="EM97" i="25" s="1"/>
  <c r="CN96" i="25"/>
  <c r="EM96" i="25" s="1"/>
  <c r="CN95" i="25"/>
  <c r="CN94" i="25"/>
  <c r="CN93" i="25"/>
  <c r="EM93" i="25" s="1"/>
  <c r="CN92" i="25"/>
  <c r="EM92" i="25" s="1"/>
  <c r="CN91" i="25"/>
  <c r="CN90" i="25"/>
  <c r="CN89" i="25"/>
  <c r="EM89" i="25" s="1"/>
  <c r="CN88" i="25"/>
  <c r="EM88" i="25" s="1"/>
  <c r="CN87" i="25"/>
  <c r="CN86" i="25"/>
  <c r="CN85" i="25"/>
  <c r="EM85" i="25" s="1"/>
  <c r="CN84" i="25"/>
  <c r="EM84" i="25" s="1"/>
  <c r="CN83" i="25"/>
  <c r="CN82" i="25"/>
  <c r="EM82" i="25" s="1"/>
  <c r="CN81" i="25"/>
  <c r="EM81" i="25" s="1"/>
  <c r="CN80" i="25"/>
  <c r="EM80" i="25" s="1"/>
  <c r="CN79" i="25"/>
  <c r="CN78" i="25"/>
  <c r="EM78" i="25" s="1"/>
  <c r="CN77" i="25"/>
  <c r="CN76" i="25"/>
  <c r="EM76" i="25" s="1"/>
  <c r="CN75" i="25"/>
  <c r="EM75" i="25" s="1"/>
  <c r="CN74" i="25"/>
  <c r="CN73" i="25"/>
  <c r="EM73" i="25" s="1"/>
  <c r="CN72" i="25"/>
  <c r="EM72" i="25" s="1"/>
  <c r="CN71" i="25"/>
  <c r="EM71" i="25" s="1"/>
  <c r="CN70" i="25"/>
  <c r="EM70" i="25" s="1"/>
  <c r="CN69" i="25"/>
  <c r="EM69" i="25" s="1"/>
  <c r="CN68" i="25"/>
  <c r="EM68" i="25" s="1"/>
  <c r="CN67" i="25"/>
  <c r="EM67" i="25" s="1"/>
  <c r="CN66" i="25"/>
  <c r="EM66" i="25" s="1"/>
  <c r="CN65" i="25"/>
  <c r="EM65" i="25" s="1"/>
  <c r="CN64" i="25"/>
  <c r="EM64" i="25" s="1"/>
  <c r="CN63" i="25"/>
  <c r="EM63" i="25" s="1"/>
  <c r="CN62" i="25"/>
  <c r="CN61" i="25"/>
  <c r="EM61" i="25" s="1"/>
  <c r="CN60" i="25"/>
  <c r="EM60" i="25" s="1"/>
  <c r="CN59" i="25"/>
  <c r="EM59" i="25" s="1"/>
  <c r="CN58" i="25"/>
  <c r="CN57" i="25"/>
  <c r="EM57" i="25" s="1"/>
  <c r="CN56" i="25"/>
  <c r="EM56" i="25" s="1"/>
  <c r="CN55" i="25"/>
  <c r="EM55" i="25" s="1"/>
  <c r="CN54" i="25"/>
  <c r="CN53" i="25"/>
  <c r="EM53" i="25" s="1"/>
  <c r="CN52" i="25"/>
  <c r="CN51" i="25"/>
  <c r="EM51" i="25" s="1"/>
  <c r="CN50" i="25"/>
  <c r="CN49" i="25"/>
  <c r="EM49" i="25" s="1"/>
  <c r="CN48" i="25"/>
  <c r="CN47" i="25"/>
  <c r="EM47" i="25" s="1"/>
  <c r="CN46" i="25"/>
  <c r="CN45" i="25"/>
  <c r="EM45" i="25" s="1"/>
  <c r="CN44" i="25"/>
  <c r="CN43" i="25"/>
  <c r="EM43" i="25" s="1"/>
  <c r="CN42" i="25"/>
  <c r="CN41" i="25"/>
  <c r="EM41" i="25" s="1"/>
  <c r="CN40" i="25"/>
  <c r="CN39" i="25"/>
  <c r="EM39" i="25" s="1"/>
  <c r="CN38" i="25"/>
  <c r="CN37" i="25"/>
  <c r="EM37" i="25" s="1"/>
  <c r="CN36" i="25"/>
  <c r="CN35" i="25"/>
  <c r="EM35" i="25" s="1"/>
  <c r="CN34" i="25"/>
  <c r="CN33" i="25"/>
  <c r="EM33" i="25" s="1"/>
  <c r="CN32" i="25"/>
  <c r="CN31" i="25"/>
  <c r="EM31" i="25" s="1"/>
  <c r="CN30" i="25"/>
  <c r="CN29" i="25"/>
  <c r="EM29" i="25" s="1"/>
  <c r="CN28" i="25"/>
  <c r="CN27" i="25"/>
  <c r="EM27" i="25" s="1"/>
  <c r="CN26" i="25"/>
  <c r="CN25" i="25"/>
  <c r="EM25" i="25" s="1"/>
  <c r="CN24" i="25"/>
  <c r="CN23" i="25"/>
  <c r="EM23" i="25" s="1"/>
  <c r="CN22" i="25"/>
  <c r="CN21" i="25"/>
  <c r="EM21" i="25" s="1"/>
  <c r="CN20" i="25"/>
  <c r="CN19" i="25"/>
  <c r="EM19" i="25" s="1"/>
  <c r="CN18" i="25"/>
  <c r="EM18" i="25" s="1"/>
  <c r="CN17" i="25"/>
  <c r="EM17" i="25" s="1"/>
  <c r="CN16" i="25"/>
  <c r="CN15" i="25"/>
  <c r="EM15" i="25" s="1"/>
  <c r="CN14" i="25"/>
  <c r="EM14" i="25" s="1"/>
  <c r="CN13" i="25"/>
  <c r="EM13" i="25" s="1"/>
  <c r="CN12" i="25"/>
  <c r="CN11" i="25"/>
  <c r="EM11" i="25" s="1"/>
  <c r="CN10" i="25"/>
  <c r="EM10" i="25" s="1"/>
  <c r="CN9" i="25"/>
  <c r="EM9" i="25" s="1"/>
  <c r="CN8" i="25"/>
  <c r="CN7" i="25"/>
  <c r="EM7" i="25" s="1"/>
  <c r="CN6" i="25"/>
  <c r="EM6" i="25" s="1"/>
  <c r="DP5" i="25"/>
  <c r="EM12" i="25" l="1"/>
  <c r="EM16" i="25"/>
  <c r="EM28" i="25"/>
  <c r="EM32" i="25"/>
  <c r="EM36" i="25"/>
  <c r="EM48" i="25"/>
  <c r="EM20" i="25"/>
  <c r="EM24" i="25"/>
  <c r="EM8" i="25"/>
  <c r="EM40" i="25"/>
  <c r="EM44" i="25"/>
  <c r="EM22" i="25"/>
  <c r="EM26" i="25"/>
  <c r="EM30" i="25"/>
  <c r="EM34" i="25"/>
  <c r="EM38" i="25"/>
  <c r="EM52" i="25"/>
  <c r="EM42" i="25"/>
  <c r="EM46" i="25"/>
  <c r="EM103" i="25"/>
  <c r="EM77" i="25"/>
  <c r="EM74" i="25"/>
  <c r="EM90" i="25"/>
  <c r="EM50" i="25"/>
  <c r="EM54" i="25"/>
  <c r="EM58" i="25"/>
  <c r="EM62" i="25"/>
  <c r="EM86" i="25"/>
  <c r="EM94" i="25"/>
  <c r="EM100" i="25"/>
  <c r="EM104" i="25"/>
  <c r="EM79" i="25"/>
  <c r="EM83" i="25"/>
  <c r="EM87" i="25"/>
  <c r="EM91" i="25"/>
  <c r="EM95" i="25"/>
  <c r="DQ216" i="24" l="1"/>
  <c r="DQ110" i="24"/>
  <c r="CR108" i="24"/>
  <c r="CM105" i="24"/>
  <c r="CM104" i="24"/>
  <c r="EO104" i="24" s="1"/>
  <c r="CM103" i="24"/>
  <c r="CM102" i="24"/>
  <c r="EO102" i="24" s="1"/>
  <c r="CM101" i="24"/>
  <c r="EO101" i="24" s="1"/>
  <c r="CM100" i="24"/>
  <c r="EO100" i="24" s="1"/>
  <c r="CM99" i="24"/>
  <c r="CM98" i="24"/>
  <c r="CM97" i="24"/>
  <c r="CM96" i="24"/>
  <c r="EO96" i="24" s="1"/>
  <c r="CM95" i="24"/>
  <c r="CM94" i="24"/>
  <c r="EO94" i="24" s="1"/>
  <c r="CM93" i="24"/>
  <c r="EO93" i="24" s="1"/>
  <c r="CM92" i="24"/>
  <c r="EO92" i="24" s="1"/>
  <c r="CM91" i="24"/>
  <c r="CM90" i="24"/>
  <c r="CM89" i="24"/>
  <c r="CM88" i="24"/>
  <c r="CM87" i="24"/>
  <c r="CM86" i="24"/>
  <c r="CM85" i="24"/>
  <c r="CM84" i="24"/>
  <c r="CM83" i="24"/>
  <c r="CM82" i="24"/>
  <c r="CM81" i="24"/>
  <c r="CM80" i="24"/>
  <c r="EO80" i="24" s="1"/>
  <c r="CM79" i="24"/>
  <c r="EO79" i="24" s="1"/>
  <c r="CM78" i="24"/>
  <c r="CM77" i="24"/>
  <c r="EO77" i="24" s="1"/>
  <c r="CM76" i="24"/>
  <c r="CM75" i="24"/>
  <c r="CM74" i="24"/>
  <c r="EO74" i="24" s="1"/>
  <c r="CM73" i="24"/>
  <c r="EO73" i="24" s="1"/>
  <c r="CM72" i="24"/>
  <c r="CM71" i="24"/>
  <c r="CM70" i="24"/>
  <c r="EO70" i="24" s="1"/>
  <c r="CM69" i="24"/>
  <c r="EO69" i="24" s="1"/>
  <c r="CM68" i="24"/>
  <c r="CM67" i="24"/>
  <c r="CM66" i="24"/>
  <c r="CM65" i="24"/>
  <c r="CM64" i="24"/>
  <c r="EO64" i="24" s="1"/>
  <c r="CM63" i="24"/>
  <c r="CM62" i="24"/>
  <c r="CM61" i="24"/>
  <c r="CM60" i="24"/>
  <c r="CM59" i="24"/>
  <c r="CM58" i="24"/>
  <c r="CM57" i="24"/>
  <c r="CM56" i="24"/>
  <c r="CM55" i="24"/>
  <c r="CM54" i="24"/>
  <c r="CM53" i="24"/>
  <c r="EO53" i="24" s="1"/>
  <c r="CM52" i="24"/>
  <c r="EO52" i="24" s="1"/>
  <c r="CM51" i="24"/>
  <c r="CM50" i="24"/>
  <c r="EO50" i="24" s="1"/>
  <c r="CM49" i="24"/>
  <c r="CM48" i="24"/>
  <c r="CM47" i="24"/>
  <c r="CM46" i="24"/>
  <c r="CM45" i="24"/>
  <c r="CM44" i="24"/>
  <c r="EO44" i="24" s="1"/>
  <c r="CM43" i="24"/>
  <c r="CM42" i="24"/>
  <c r="EO42" i="24" s="1"/>
  <c r="CM41" i="24"/>
  <c r="CM40" i="24"/>
  <c r="CM39" i="24"/>
  <c r="CM38" i="24"/>
  <c r="EO38" i="24" s="1"/>
  <c r="CM37" i="24"/>
  <c r="CM36" i="24"/>
  <c r="CM35" i="24"/>
  <c r="CM34" i="24"/>
  <c r="CM33" i="24"/>
  <c r="CM32" i="24"/>
  <c r="CM31" i="24"/>
  <c r="CM30" i="24"/>
  <c r="EO30" i="24" s="1"/>
  <c r="CM29" i="24"/>
  <c r="CM28" i="24"/>
  <c r="CM27" i="24"/>
  <c r="CM26" i="24"/>
  <c r="CM25" i="24"/>
  <c r="CM24" i="24"/>
  <c r="CM23" i="24"/>
  <c r="CM22" i="24"/>
  <c r="CM21" i="24"/>
  <c r="EO21" i="24" s="1"/>
  <c r="CM20" i="24"/>
  <c r="CM19" i="24"/>
  <c r="EO19" i="24" s="1"/>
  <c r="CM18" i="24"/>
  <c r="EO18" i="24" s="1"/>
  <c r="CM17" i="24"/>
  <c r="CM16" i="24"/>
  <c r="CM15" i="24"/>
  <c r="CM14" i="24"/>
  <c r="CM13" i="24"/>
  <c r="CM12" i="24"/>
  <c r="CM11" i="24"/>
  <c r="CM10" i="24"/>
  <c r="EO10" i="24" s="1"/>
  <c r="CM9" i="24"/>
  <c r="CM8" i="24"/>
  <c r="CM7" i="24"/>
  <c r="EO7" i="24" s="1"/>
  <c r="CM6" i="24"/>
  <c r="DQ5" i="24"/>
  <c r="CM5" i="24"/>
  <c r="EO5" i="24" s="1"/>
  <c r="EO88" i="24" l="1"/>
  <c r="EO86" i="24"/>
  <c r="EO45" i="24"/>
  <c r="EO35" i="24"/>
  <c r="EO27" i="24"/>
  <c r="EO40" i="24"/>
  <c r="EO56" i="24"/>
  <c r="EO48" i="24"/>
  <c r="EO37" i="24"/>
  <c r="EO68" i="24"/>
  <c r="EO20" i="24"/>
  <c r="EO11" i="24"/>
  <c r="EO29" i="24"/>
  <c r="EO72" i="24"/>
  <c r="EO78" i="24"/>
  <c r="EO54" i="24"/>
  <c r="EO62" i="24"/>
  <c r="EO36" i="24"/>
  <c r="EO13" i="24"/>
  <c r="EO12" i="24"/>
  <c r="EO28" i="24"/>
  <c r="EO60" i="24"/>
  <c r="EO90" i="24"/>
  <c r="EO55" i="24"/>
  <c r="EO15" i="24"/>
  <c r="EO33" i="24"/>
  <c r="EO34" i="24"/>
  <c r="EO25" i="24"/>
  <c r="EO8" i="24"/>
  <c r="EO9" i="24"/>
  <c r="EO17" i="24"/>
  <c r="EO23" i="24"/>
  <c r="EO26" i="24"/>
  <c r="EO6" i="24"/>
  <c r="EO14" i="24"/>
  <c r="EO22" i="24"/>
  <c r="EO49" i="24"/>
  <c r="EO31" i="24"/>
  <c r="EO16" i="24"/>
  <c r="EO24" i="24"/>
  <c r="EO32" i="24"/>
  <c r="EO57" i="24"/>
  <c r="EO39" i="24"/>
  <c r="EO46" i="24"/>
  <c r="EO61" i="24"/>
  <c r="EO65" i="24"/>
  <c r="EO47" i="24"/>
  <c r="EO71" i="24"/>
  <c r="EO41" i="24"/>
  <c r="EO58" i="24"/>
  <c r="EO82" i="24"/>
  <c r="EO43" i="24"/>
  <c r="EO51" i="24"/>
  <c r="EO59" i="24"/>
  <c r="EO83" i="24"/>
  <c r="EO87" i="24"/>
  <c r="EO67" i="24"/>
  <c r="EO75" i="24"/>
  <c r="EO66" i="24"/>
  <c r="EO76" i="24"/>
  <c r="EO85" i="24"/>
  <c r="EO99" i="24"/>
  <c r="EO63" i="24"/>
  <c r="EO91" i="24"/>
  <c r="EO81" i="24"/>
  <c r="EO89" i="24"/>
  <c r="EO84" i="24"/>
  <c r="EO105" i="24"/>
  <c r="EO97" i="24"/>
  <c r="EO98" i="24"/>
  <c r="EO95" i="24"/>
  <c r="EO103" i="24"/>
  <c r="W63" i="1"/>
  <c r="B39" i="29"/>
  <c r="B38" i="29"/>
  <c r="B37" i="29"/>
  <c r="D49" i="29"/>
  <c r="D13" i="1" l="1"/>
  <c r="F13" i="1"/>
  <c r="B35" i="19"/>
  <c r="B33" i="29" l="1"/>
  <c r="B34" i="29" s="1"/>
  <c r="B30" i="29"/>
  <c r="R48" i="2" l="1"/>
  <c r="V48" i="2" s="1"/>
  <c r="V47" i="2"/>
  <c r="V46" i="2"/>
  <c r="V45" i="2"/>
  <c r="V44" i="2"/>
  <c r="V43" i="2"/>
  <c r="V41" i="2"/>
  <c r="V39" i="2"/>
  <c r="V38" i="2"/>
  <c r="V37" i="2"/>
  <c r="V36" i="2"/>
  <c r="V35" i="2"/>
  <c r="V34" i="2"/>
  <c r="Q105" i="2"/>
  <c r="R46" i="2"/>
  <c r="R44" i="2"/>
  <c r="R42" i="2"/>
  <c r="R40" i="2"/>
  <c r="R38" i="2"/>
  <c r="D37" i="29" l="1"/>
  <c r="C43" i="29" l="1"/>
  <c r="C42" i="29"/>
  <c r="C41" i="29"/>
  <c r="A43" i="29"/>
  <c r="A42" i="29"/>
  <c r="A41" i="29"/>
  <c r="R36" i="2" l="1"/>
  <c r="B13" i="29"/>
  <c r="R37" i="2"/>
  <c r="R39" i="2"/>
  <c r="R41" i="2"/>
  <c r="R43" i="2"/>
  <c r="R45" i="2"/>
  <c r="R47" i="2"/>
  <c r="B45" i="19"/>
  <c r="B41" i="19"/>
  <c r="D12" i="1"/>
  <c r="F12" i="1"/>
  <c r="B36" i="19"/>
  <c r="L3" i="29" l="1"/>
  <c r="D39" i="29"/>
  <c r="D38" i="29"/>
  <c r="D32" i="29"/>
  <c r="D31" i="29"/>
  <c r="O3" i="29" s="1"/>
  <c r="AK687" i="29"/>
  <c r="AB613" i="29"/>
  <c r="H613" i="29"/>
  <c r="AB612" i="29"/>
  <c r="H612" i="29"/>
  <c r="AB611" i="29"/>
  <c r="H611" i="29"/>
  <c r="AB610" i="29"/>
  <c r="H610" i="29"/>
  <c r="AB609" i="29"/>
  <c r="H609" i="29"/>
  <c r="AB608" i="29"/>
  <c r="H608" i="29"/>
  <c r="AB607" i="29"/>
  <c r="H607" i="29"/>
  <c r="AB606" i="29"/>
  <c r="H606" i="29"/>
  <c r="AB605" i="29"/>
  <c r="H605" i="29"/>
  <c r="AB604" i="29"/>
  <c r="H604" i="29"/>
  <c r="AB603" i="29"/>
  <c r="H603" i="29"/>
  <c r="AB602" i="29"/>
  <c r="H602" i="29"/>
  <c r="AB601" i="29"/>
  <c r="H601" i="29"/>
  <c r="AB600" i="29"/>
  <c r="H600" i="29"/>
  <c r="AB599" i="29"/>
  <c r="H599" i="29"/>
  <c r="AB598" i="29"/>
  <c r="H598" i="29"/>
  <c r="AB597" i="29"/>
  <c r="H597" i="29"/>
  <c r="AB596" i="29"/>
  <c r="H596" i="29"/>
  <c r="AB595" i="29"/>
  <c r="H595" i="29"/>
  <c r="AB594" i="29"/>
  <c r="H594" i="29"/>
  <c r="AB593" i="29"/>
  <c r="H593" i="29"/>
  <c r="AB592" i="29"/>
  <c r="H592" i="29"/>
  <c r="AB591" i="29"/>
  <c r="H591" i="29"/>
  <c r="AB590" i="29"/>
  <c r="H590" i="29"/>
  <c r="AB589" i="29"/>
  <c r="H589" i="29"/>
  <c r="AB588" i="29"/>
  <c r="H588" i="29"/>
  <c r="AB587" i="29"/>
  <c r="H587" i="29"/>
  <c r="AB586" i="29"/>
  <c r="H586" i="29"/>
  <c r="AB585" i="29"/>
  <c r="H585" i="29"/>
  <c r="AB584" i="29"/>
  <c r="H584" i="29"/>
  <c r="AB583" i="29"/>
  <c r="H583" i="29"/>
  <c r="AB582" i="29"/>
  <c r="H582" i="29"/>
  <c r="AB581" i="29"/>
  <c r="H581" i="29"/>
  <c r="AB580" i="29"/>
  <c r="H580" i="29"/>
  <c r="AB579" i="29"/>
  <c r="H579" i="29"/>
  <c r="AB578" i="29"/>
  <c r="H578" i="29"/>
  <c r="AB577" i="29"/>
  <c r="H577" i="29"/>
  <c r="AB576" i="29"/>
  <c r="H576" i="29"/>
  <c r="AB575" i="29"/>
  <c r="H575" i="29"/>
  <c r="AB574" i="29"/>
  <c r="H574" i="29"/>
  <c r="AB573" i="29"/>
  <c r="H573" i="29"/>
  <c r="AB572" i="29"/>
  <c r="H572" i="29"/>
  <c r="AB571" i="29"/>
  <c r="H571" i="29"/>
  <c r="AB570" i="29"/>
  <c r="H570" i="29"/>
  <c r="AB569" i="29"/>
  <c r="H569" i="29"/>
  <c r="AB568" i="29"/>
  <c r="H568" i="29"/>
  <c r="AB567" i="29"/>
  <c r="H567" i="29"/>
  <c r="AB566" i="29"/>
  <c r="H566" i="29"/>
  <c r="AB565" i="29"/>
  <c r="H565" i="29"/>
  <c r="AB564" i="29"/>
  <c r="H564" i="29"/>
  <c r="AB563" i="29"/>
  <c r="H563" i="29"/>
  <c r="AB562" i="29"/>
  <c r="H562" i="29"/>
  <c r="AB561" i="29"/>
  <c r="H561" i="29"/>
  <c r="AB560" i="29"/>
  <c r="H560" i="29"/>
  <c r="AB559" i="29"/>
  <c r="H559" i="29"/>
  <c r="AB558" i="29"/>
  <c r="H558" i="29"/>
  <c r="AB557" i="29"/>
  <c r="H557" i="29"/>
  <c r="AB556" i="29"/>
  <c r="H556" i="29"/>
  <c r="AB555" i="29"/>
  <c r="H555" i="29"/>
  <c r="AB554" i="29"/>
  <c r="H554" i="29"/>
  <c r="AB553" i="29"/>
  <c r="H553" i="29"/>
  <c r="AB552" i="29"/>
  <c r="H552" i="29"/>
  <c r="AB551" i="29"/>
  <c r="H551" i="29"/>
  <c r="AB550" i="29"/>
  <c r="H550" i="29"/>
  <c r="AB549" i="29"/>
  <c r="H549" i="29"/>
  <c r="AB548" i="29"/>
  <c r="H548" i="29"/>
  <c r="AB547" i="29"/>
  <c r="H547" i="29"/>
  <c r="AB546" i="29"/>
  <c r="H546" i="29"/>
  <c r="AB545" i="29"/>
  <c r="H545" i="29"/>
  <c r="AB544" i="29"/>
  <c r="H544" i="29"/>
  <c r="AB543" i="29"/>
  <c r="H543" i="29"/>
  <c r="AB542" i="29"/>
  <c r="H542" i="29"/>
  <c r="AB541" i="29"/>
  <c r="H541" i="29"/>
  <c r="AB540" i="29"/>
  <c r="H540" i="29"/>
  <c r="AB539" i="29"/>
  <c r="H539" i="29"/>
  <c r="AB538" i="29"/>
  <c r="H538" i="29"/>
  <c r="AB537" i="29"/>
  <c r="H537" i="29"/>
  <c r="AB536" i="29"/>
  <c r="H536" i="29"/>
  <c r="AB535" i="29"/>
  <c r="H535" i="29"/>
  <c r="AB534" i="29"/>
  <c r="H534" i="29"/>
  <c r="AB533" i="29"/>
  <c r="H533" i="29"/>
  <c r="AB532" i="29"/>
  <c r="H532" i="29"/>
  <c r="AB531" i="29"/>
  <c r="H531" i="29"/>
  <c r="AB530" i="29"/>
  <c r="H530" i="29"/>
  <c r="AB529" i="29"/>
  <c r="H529" i="29"/>
  <c r="AB528" i="29"/>
  <c r="H528" i="29"/>
  <c r="AB527" i="29"/>
  <c r="H527" i="29"/>
  <c r="AB526" i="29"/>
  <c r="H526" i="29"/>
  <c r="AB525" i="29"/>
  <c r="H525" i="29"/>
  <c r="AB524" i="29"/>
  <c r="H524" i="29"/>
  <c r="AB523" i="29"/>
  <c r="H523" i="29"/>
  <c r="AB522" i="29"/>
  <c r="H522" i="29"/>
  <c r="AB521" i="29"/>
  <c r="H521" i="29"/>
  <c r="AB520" i="29"/>
  <c r="H520" i="29"/>
  <c r="AB519" i="29"/>
  <c r="H519" i="29"/>
  <c r="AB518" i="29"/>
  <c r="H518" i="29"/>
  <c r="AB517" i="29"/>
  <c r="H517" i="29"/>
  <c r="AB516" i="29"/>
  <c r="H516" i="29"/>
  <c r="AB515" i="29"/>
  <c r="H515" i="29"/>
  <c r="AB514" i="29"/>
  <c r="H514" i="29"/>
  <c r="AB513" i="29"/>
  <c r="H513" i="29"/>
  <c r="AB512" i="29"/>
  <c r="H512" i="29"/>
  <c r="AB511" i="29"/>
  <c r="H511" i="29"/>
  <c r="AB510" i="29"/>
  <c r="H510" i="29"/>
  <c r="AB509" i="29"/>
  <c r="H509" i="29"/>
  <c r="AB508" i="29"/>
  <c r="H508" i="29"/>
  <c r="AB507" i="29"/>
  <c r="H507" i="29"/>
  <c r="AB506" i="29"/>
  <c r="H506" i="29"/>
  <c r="AB505" i="29"/>
  <c r="H505" i="29"/>
  <c r="AB504" i="29"/>
  <c r="H504" i="29"/>
  <c r="AB503" i="29"/>
  <c r="H503" i="29"/>
  <c r="AB502" i="29"/>
  <c r="H502" i="29"/>
  <c r="AB501" i="29"/>
  <c r="H501" i="29"/>
  <c r="AB500" i="29"/>
  <c r="H500" i="29"/>
  <c r="AB499" i="29"/>
  <c r="H499" i="29"/>
  <c r="AB498" i="29"/>
  <c r="H498" i="29"/>
  <c r="AB497" i="29"/>
  <c r="H497" i="29"/>
  <c r="AB496" i="29"/>
  <c r="H496" i="29"/>
  <c r="AB495" i="29"/>
  <c r="H495" i="29"/>
  <c r="AB494" i="29"/>
  <c r="H494" i="29"/>
  <c r="AB493" i="29"/>
  <c r="H493" i="29"/>
  <c r="AB492" i="29"/>
  <c r="H492" i="29"/>
  <c r="AB491" i="29"/>
  <c r="H491" i="29"/>
  <c r="AB490" i="29"/>
  <c r="H490" i="29"/>
  <c r="AB489" i="29"/>
  <c r="H489" i="29"/>
  <c r="AB488" i="29"/>
  <c r="H488" i="29"/>
  <c r="AB487" i="29"/>
  <c r="H487" i="29"/>
  <c r="AB486" i="29"/>
  <c r="H486" i="29"/>
  <c r="AB485" i="29"/>
  <c r="H485" i="29"/>
  <c r="AB484" i="29"/>
  <c r="H484" i="29"/>
  <c r="AB483" i="29"/>
  <c r="H483" i="29"/>
  <c r="AB482" i="29"/>
  <c r="H482" i="29"/>
  <c r="AB481" i="29"/>
  <c r="H481" i="29"/>
  <c r="AB480" i="29"/>
  <c r="H480" i="29"/>
  <c r="AB479" i="29"/>
  <c r="H479" i="29"/>
  <c r="AB478" i="29"/>
  <c r="H478" i="29"/>
  <c r="AB477" i="29"/>
  <c r="H477" i="29"/>
  <c r="AB476" i="29"/>
  <c r="H476" i="29"/>
  <c r="AB475" i="29"/>
  <c r="H475" i="29"/>
  <c r="AB474" i="29"/>
  <c r="H474" i="29"/>
  <c r="AB473" i="29"/>
  <c r="H473" i="29"/>
  <c r="AB472" i="29"/>
  <c r="H472" i="29"/>
  <c r="AB471" i="29"/>
  <c r="H471" i="29"/>
  <c r="AB470" i="29"/>
  <c r="H470" i="29"/>
  <c r="AB469" i="29"/>
  <c r="H469" i="29"/>
  <c r="AB468" i="29"/>
  <c r="H468" i="29"/>
  <c r="AB467" i="29"/>
  <c r="H467" i="29"/>
  <c r="AB466" i="29"/>
  <c r="H466" i="29"/>
  <c r="AB465" i="29"/>
  <c r="H465" i="29"/>
  <c r="AB464" i="29"/>
  <c r="H464" i="29"/>
  <c r="AB463" i="29"/>
  <c r="H463" i="29"/>
  <c r="AB462" i="29"/>
  <c r="H462" i="29"/>
  <c r="AB461" i="29"/>
  <c r="H461" i="29"/>
  <c r="AB460" i="29"/>
  <c r="H460" i="29"/>
  <c r="AB459" i="29"/>
  <c r="H459" i="29"/>
  <c r="AB458" i="29"/>
  <c r="H458" i="29"/>
  <c r="AB457" i="29"/>
  <c r="H457" i="29"/>
  <c r="AB456" i="29"/>
  <c r="H456" i="29"/>
  <c r="AB455" i="29"/>
  <c r="H455" i="29"/>
  <c r="AB454" i="29"/>
  <c r="H454" i="29"/>
  <c r="AB453" i="29"/>
  <c r="H453" i="29"/>
  <c r="AB452" i="29"/>
  <c r="H452" i="29"/>
  <c r="AB451" i="29"/>
  <c r="H451" i="29"/>
  <c r="AB450" i="29"/>
  <c r="H450" i="29"/>
  <c r="AB449" i="29"/>
  <c r="H449" i="29"/>
  <c r="AB448" i="29"/>
  <c r="H448" i="29"/>
  <c r="AB447" i="29"/>
  <c r="H447" i="29"/>
  <c r="AB446" i="29"/>
  <c r="H446" i="29"/>
  <c r="AB445" i="29"/>
  <c r="H445" i="29"/>
  <c r="AB444" i="29"/>
  <c r="H444" i="29"/>
  <c r="AB443" i="29"/>
  <c r="H443" i="29"/>
  <c r="AB442" i="29"/>
  <c r="H442" i="29"/>
  <c r="AB441" i="29"/>
  <c r="H441" i="29"/>
  <c r="AB440" i="29"/>
  <c r="H440" i="29"/>
  <c r="AB439" i="29"/>
  <c r="H439" i="29"/>
  <c r="AB438" i="29"/>
  <c r="H438" i="29"/>
  <c r="AB437" i="29"/>
  <c r="H437" i="29"/>
  <c r="AB436" i="29"/>
  <c r="H436" i="29"/>
  <c r="AB435" i="29"/>
  <c r="H435" i="29"/>
  <c r="AB434" i="29"/>
  <c r="H434" i="29"/>
  <c r="AB433" i="29"/>
  <c r="H433" i="29"/>
  <c r="AB432" i="29"/>
  <c r="H432" i="29"/>
  <c r="AB431" i="29"/>
  <c r="H431" i="29"/>
  <c r="AB430" i="29"/>
  <c r="H430" i="29"/>
  <c r="AB429" i="29"/>
  <c r="H429" i="29"/>
  <c r="AB428" i="29"/>
  <c r="H428" i="29"/>
  <c r="AB427" i="29"/>
  <c r="H427" i="29"/>
  <c r="AB426" i="29"/>
  <c r="H426" i="29"/>
  <c r="AB425" i="29"/>
  <c r="H425" i="29"/>
  <c r="AB424" i="29"/>
  <c r="H424" i="29"/>
  <c r="AB423" i="29"/>
  <c r="H423" i="29"/>
  <c r="AB422" i="29"/>
  <c r="H422" i="29"/>
  <c r="AB421" i="29"/>
  <c r="H421" i="29"/>
  <c r="AB420" i="29"/>
  <c r="H420" i="29"/>
  <c r="AB419" i="29"/>
  <c r="H419" i="29"/>
  <c r="AB418" i="29"/>
  <c r="H418" i="29"/>
  <c r="AB417" i="29"/>
  <c r="H417" i="29"/>
  <c r="AB416" i="29"/>
  <c r="H416" i="29"/>
  <c r="AB415" i="29"/>
  <c r="H415" i="29"/>
  <c r="AB414" i="29"/>
  <c r="H414" i="29"/>
  <c r="AB413" i="29"/>
  <c r="H413" i="29"/>
  <c r="AB412" i="29"/>
  <c r="H412" i="29"/>
  <c r="AB411" i="29"/>
  <c r="H411" i="29"/>
  <c r="AB410" i="29"/>
  <c r="H410" i="29"/>
  <c r="AB409" i="29"/>
  <c r="H409" i="29"/>
  <c r="AB408" i="29"/>
  <c r="H408" i="29"/>
  <c r="AB407" i="29"/>
  <c r="H407" i="29"/>
  <c r="AB406" i="29"/>
  <c r="H406" i="29"/>
  <c r="AB405" i="29"/>
  <c r="H405" i="29"/>
  <c r="AB404" i="29"/>
  <c r="H404" i="29"/>
  <c r="AB403" i="29"/>
  <c r="H403" i="29"/>
  <c r="AB402" i="29"/>
  <c r="H402" i="29"/>
  <c r="AB401" i="29"/>
  <c r="H401" i="29"/>
  <c r="AB400" i="29"/>
  <c r="H400" i="29"/>
  <c r="AB399" i="29"/>
  <c r="H399" i="29"/>
  <c r="AB398" i="29"/>
  <c r="H398" i="29"/>
  <c r="AB397" i="29"/>
  <c r="H397" i="29"/>
  <c r="AB396" i="29"/>
  <c r="H396" i="29"/>
  <c r="AB395" i="29"/>
  <c r="H395" i="29"/>
  <c r="AB394" i="29"/>
  <c r="H394" i="29"/>
  <c r="AB393" i="29"/>
  <c r="H393" i="29"/>
  <c r="AB392" i="29"/>
  <c r="H392" i="29"/>
  <c r="AB391" i="29"/>
  <c r="H391" i="29"/>
  <c r="AB390" i="29"/>
  <c r="H390" i="29"/>
  <c r="AB389" i="29"/>
  <c r="H389" i="29"/>
  <c r="AB388" i="29"/>
  <c r="H388" i="29"/>
  <c r="AB387" i="29"/>
  <c r="H387" i="29"/>
  <c r="AB386" i="29"/>
  <c r="H386" i="29"/>
  <c r="AB385" i="29"/>
  <c r="H385" i="29"/>
  <c r="AB384" i="29"/>
  <c r="H384" i="29"/>
  <c r="AB383" i="29"/>
  <c r="H383" i="29"/>
  <c r="AB382" i="29"/>
  <c r="H382" i="29"/>
  <c r="AB381" i="29"/>
  <c r="H381" i="29"/>
  <c r="AB380" i="29"/>
  <c r="H380" i="29"/>
  <c r="AB379" i="29"/>
  <c r="H379" i="29"/>
  <c r="AB378" i="29"/>
  <c r="H378" i="29"/>
  <c r="AB377" i="29"/>
  <c r="H377" i="29"/>
  <c r="AB376" i="29"/>
  <c r="H376" i="29"/>
  <c r="AB375" i="29"/>
  <c r="H375" i="29"/>
  <c r="AB374" i="29"/>
  <c r="H374" i="29"/>
  <c r="AB373" i="29"/>
  <c r="H373" i="29"/>
  <c r="AB372" i="29"/>
  <c r="H372" i="29"/>
  <c r="AB371" i="29"/>
  <c r="H371" i="29"/>
  <c r="AB370" i="29"/>
  <c r="H370" i="29"/>
  <c r="AB369" i="29"/>
  <c r="H369" i="29"/>
  <c r="AB368" i="29"/>
  <c r="H368" i="29"/>
  <c r="AB367" i="29"/>
  <c r="H367" i="29"/>
  <c r="AB366" i="29"/>
  <c r="H366" i="29"/>
  <c r="AB365" i="29"/>
  <c r="H365" i="29"/>
  <c r="AB364" i="29"/>
  <c r="H364" i="29"/>
  <c r="AB363" i="29"/>
  <c r="H363" i="29"/>
  <c r="AB362" i="29"/>
  <c r="H362" i="29"/>
  <c r="AB361" i="29"/>
  <c r="H361" i="29"/>
  <c r="AB360" i="29"/>
  <c r="H360" i="29"/>
  <c r="AB359" i="29"/>
  <c r="H359" i="29"/>
  <c r="AB358" i="29"/>
  <c r="H358" i="29"/>
  <c r="AB357" i="29"/>
  <c r="H357" i="29"/>
  <c r="AB356" i="29"/>
  <c r="H356" i="29"/>
  <c r="AB355" i="29"/>
  <c r="H355" i="29"/>
  <c r="AB354" i="29"/>
  <c r="H354" i="29"/>
  <c r="AB353" i="29"/>
  <c r="H353" i="29"/>
  <c r="AB352" i="29"/>
  <c r="H352" i="29"/>
  <c r="AB351" i="29"/>
  <c r="H351" i="29"/>
  <c r="AB350" i="29"/>
  <c r="H350" i="29"/>
  <c r="AB349" i="29"/>
  <c r="H349" i="29"/>
  <c r="AB348" i="29"/>
  <c r="H348" i="29"/>
  <c r="AB347" i="29"/>
  <c r="H347" i="29"/>
  <c r="AB346" i="29"/>
  <c r="H346" i="29"/>
  <c r="AB345" i="29"/>
  <c r="H345" i="29"/>
  <c r="AB344" i="29"/>
  <c r="H344" i="29"/>
  <c r="AB343" i="29"/>
  <c r="H343" i="29"/>
  <c r="AB342" i="29"/>
  <c r="H342" i="29"/>
  <c r="AB341" i="29"/>
  <c r="H341" i="29"/>
  <c r="AB340" i="29"/>
  <c r="H340" i="29"/>
  <c r="AB339" i="29"/>
  <c r="H339" i="29"/>
  <c r="AB338" i="29"/>
  <c r="H338" i="29"/>
  <c r="AB337" i="29"/>
  <c r="H337" i="29"/>
  <c r="AB336" i="29"/>
  <c r="H336" i="29"/>
  <c r="AB335" i="29"/>
  <c r="H335" i="29"/>
  <c r="AB334" i="29"/>
  <c r="H334" i="29"/>
  <c r="AB333" i="29"/>
  <c r="H333" i="29"/>
  <c r="AB332" i="29"/>
  <c r="H332" i="29"/>
  <c r="AB331" i="29"/>
  <c r="H331" i="29"/>
  <c r="AB330" i="29"/>
  <c r="H330" i="29"/>
  <c r="AB329" i="29"/>
  <c r="H329" i="29"/>
  <c r="AB328" i="29"/>
  <c r="H328" i="29"/>
  <c r="AB327" i="29"/>
  <c r="H327" i="29"/>
  <c r="AB326" i="29"/>
  <c r="H326" i="29"/>
  <c r="AB325" i="29"/>
  <c r="H325" i="29"/>
  <c r="AB324" i="29"/>
  <c r="H324" i="29"/>
  <c r="AB323" i="29"/>
  <c r="H323" i="29"/>
  <c r="AB322" i="29"/>
  <c r="H322" i="29"/>
  <c r="AB321" i="29"/>
  <c r="H321" i="29"/>
  <c r="AB320" i="29"/>
  <c r="H320" i="29"/>
  <c r="AB319" i="29"/>
  <c r="H319" i="29"/>
  <c r="AB318" i="29"/>
  <c r="H318" i="29"/>
  <c r="AB317" i="29"/>
  <c r="H317" i="29"/>
  <c r="AB316" i="29"/>
  <c r="H316" i="29"/>
  <c r="AB315" i="29"/>
  <c r="H315" i="29"/>
  <c r="AB314" i="29"/>
  <c r="H314" i="29"/>
  <c r="AB313" i="29"/>
  <c r="H313" i="29"/>
  <c r="AB312" i="29"/>
  <c r="H312" i="29"/>
  <c r="AB311" i="29"/>
  <c r="H311" i="29"/>
  <c r="AB310" i="29"/>
  <c r="H310" i="29"/>
  <c r="AB309" i="29"/>
  <c r="H309" i="29"/>
  <c r="AB308" i="29"/>
  <c r="H308" i="29"/>
  <c r="AB307" i="29"/>
  <c r="H307" i="29"/>
  <c r="AB306" i="29"/>
  <c r="H306" i="29"/>
  <c r="AB305" i="29"/>
  <c r="H305" i="29"/>
  <c r="AB304" i="29"/>
  <c r="H304" i="29"/>
  <c r="AB303" i="29"/>
  <c r="H303" i="29"/>
  <c r="AB302" i="29"/>
  <c r="H302" i="29"/>
  <c r="AB301" i="29"/>
  <c r="H301" i="29"/>
  <c r="AB300" i="29"/>
  <c r="H300" i="29"/>
  <c r="AB299" i="29"/>
  <c r="H299" i="29"/>
  <c r="AB298" i="29"/>
  <c r="H298" i="29"/>
  <c r="AB297" i="29"/>
  <c r="H297" i="29"/>
  <c r="AB296" i="29"/>
  <c r="H296" i="29"/>
  <c r="AB295" i="29"/>
  <c r="H295" i="29"/>
  <c r="AB294" i="29"/>
  <c r="H294" i="29"/>
  <c r="AB293" i="29"/>
  <c r="H293" i="29"/>
  <c r="AB292" i="29"/>
  <c r="H292" i="29"/>
  <c r="AB291" i="29"/>
  <c r="H291" i="29"/>
  <c r="AB290" i="29"/>
  <c r="H290" i="29"/>
  <c r="AB289" i="29"/>
  <c r="H289" i="29"/>
  <c r="AB288" i="29"/>
  <c r="H288" i="29"/>
  <c r="AB287" i="29"/>
  <c r="H287" i="29"/>
  <c r="AB286" i="29"/>
  <c r="H286" i="29"/>
  <c r="AB285" i="29"/>
  <c r="H285" i="29"/>
  <c r="AB284" i="29"/>
  <c r="H284" i="29"/>
  <c r="AB283" i="29"/>
  <c r="H283" i="29"/>
  <c r="AB282" i="29"/>
  <c r="H282" i="29"/>
  <c r="AB281" i="29"/>
  <c r="H281" i="29"/>
  <c r="AB280" i="29"/>
  <c r="H280" i="29"/>
  <c r="AB279" i="29"/>
  <c r="H279" i="29"/>
  <c r="AB278" i="29"/>
  <c r="H278" i="29"/>
  <c r="AB277" i="29"/>
  <c r="H277" i="29"/>
  <c r="AB276" i="29"/>
  <c r="H276" i="29"/>
  <c r="AB275" i="29"/>
  <c r="H275" i="29"/>
  <c r="AB274" i="29"/>
  <c r="H274" i="29"/>
  <c r="AB273" i="29"/>
  <c r="H273" i="29"/>
  <c r="AB272" i="29"/>
  <c r="H272" i="29"/>
  <c r="AB271" i="29"/>
  <c r="H271" i="29"/>
  <c r="AB270" i="29"/>
  <c r="H270" i="29"/>
  <c r="AB269" i="29"/>
  <c r="H269" i="29"/>
  <c r="AB268" i="29"/>
  <c r="H268" i="29"/>
  <c r="AB267" i="29"/>
  <c r="H267" i="29"/>
  <c r="AB266" i="29"/>
  <c r="H266" i="29"/>
  <c r="AB265" i="29"/>
  <c r="H265" i="29"/>
  <c r="AB264" i="29"/>
  <c r="H264" i="29"/>
  <c r="AB263" i="29"/>
  <c r="H263" i="29"/>
  <c r="AB262" i="29"/>
  <c r="H262" i="29"/>
  <c r="AB261" i="29"/>
  <c r="H261" i="29"/>
  <c r="AB260" i="29"/>
  <c r="H260" i="29"/>
  <c r="AB259" i="29"/>
  <c r="H259" i="29"/>
  <c r="AB258" i="29"/>
  <c r="H258" i="29"/>
  <c r="AB257" i="29"/>
  <c r="H257" i="29"/>
  <c r="AB256" i="29"/>
  <c r="H256" i="29"/>
  <c r="AB255" i="29"/>
  <c r="H255" i="29"/>
  <c r="AB254" i="29"/>
  <c r="H254" i="29"/>
  <c r="AB253" i="29"/>
  <c r="H253" i="29"/>
  <c r="AB252" i="29"/>
  <c r="H252" i="29"/>
  <c r="AB251" i="29"/>
  <c r="H251" i="29"/>
  <c r="AB250" i="29"/>
  <c r="H250" i="29"/>
  <c r="AB249" i="29"/>
  <c r="H249" i="29"/>
  <c r="AB248" i="29"/>
  <c r="H248" i="29"/>
  <c r="AB247" i="29"/>
  <c r="H247" i="29"/>
  <c r="AB246" i="29"/>
  <c r="H246" i="29"/>
  <c r="AB245" i="29"/>
  <c r="H245" i="29"/>
  <c r="AB244" i="29"/>
  <c r="H244" i="29"/>
  <c r="AB243" i="29"/>
  <c r="H243" i="29"/>
  <c r="AB242" i="29"/>
  <c r="H242" i="29"/>
  <c r="AB241" i="29"/>
  <c r="H241" i="29"/>
  <c r="AB240" i="29"/>
  <c r="H240" i="29"/>
  <c r="AB239" i="29"/>
  <c r="H239" i="29"/>
  <c r="AB238" i="29"/>
  <c r="H238" i="29"/>
  <c r="AB237" i="29"/>
  <c r="H237" i="29"/>
  <c r="AB236" i="29"/>
  <c r="H236" i="29"/>
  <c r="AB235" i="29"/>
  <c r="H235" i="29"/>
  <c r="AB234" i="29"/>
  <c r="H234" i="29"/>
  <c r="AB233" i="29"/>
  <c r="H233" i="29"/>
  <c r="AB232" i="29"/>
  <c r="H232" i="29"/>
  <c r="AB231" i="29"/>
  <c r="H231" i="29"/>
  <c r="AB230" i="29"/>
  <c r="H230" i="29"/>
  <c r="AB229" i="29"/>
  <c r="H229" i="29"/>
  <c r="AB228" i="29"/>
  <c r="H228" i="29"/>
  <c r="AB227" i="29"/>
  <c r="H227" i="29"/>
  <c r="AB226" i="29"/>
  <c r="H226" i="29"/>
  <c r="AB225" i="29"/>
  <c r="H225" i="29"/>
  <c r="AB224" i="29"/>
  <c r="H224" i="29"/>
  <c r="AB223" i="29"/>
  <c r="H223" i="29"/>
  <c r="AB222" i="29"/>
  <c r="H222" i="29"/>
  <c r="AB221" i="29"/>
  <c r="H221" i="29"/>
  <c r="AB220" i="29"/>
  <c r="H220" i="29"/>
  <c r="AB219" i="29"/>
  <c r="H219" i="29"/>
  <c r="AB218" i="29"/>
  <c r="H218" i="29"/>
  <c r="AB217" i="29"/>
  <c r="H217" i="29"/>
  <c r="AB216" i="29"/>
  <c r="H216" i="29"/>
  <c r="AB215" i="29"/>
  <c r="H215" i="29"/>
  <c r="AB214" i="29"/>
  <c r="H214" i="29"/>
  <c r="AB213" i="29"/>
  <c r="H213" i="29"/>
  <c r="AB212" i="29"/>
  <c r="H212" i="29"/>
  <c r="AB211" i="29"/>
  <c r="H211" i="29"/>
  <c r="AB210" i="29"/>
  <c r="H210" i="29"/>
  <c r="AB209" i="29"/>
  <c r="H209" i="29"/>
  <c r="AB208" i="29"/>
  <c r="H208" i="29"/>
  <c r="AB207" i="29"/>
  <c r="H207" i="29"/>
  <c r="AB206" i="29"/>
  <c r="H206" i="29"/>
  <c r="AB205" i="29"/>
  <c r="H205" i="29"/>
  <c r="AB204" i="29"/>
  <c r="H204" i="29"/>
  <c r="AB203" i="29"/>
  <c r="H203" i="29"/>
  <c r="AB202" i="29"/>
  <c r="H202" i="29"/>
  <c r="AB201" i="29"/>
  <c r="H201" i="29"/>
  <c r="AB200" i="29"/>
  <c r="H200" i="29"/>
  <c r="AB199" i="29"/>
  <c r="H199" i="29"/>
  <c r="AB198" i="29"/>
  <c r="H198" i="29"/>
  <c r="AB197" i="29"/>
  <c r="H197" i="29"/>
  <c r="AB196" i="29"/>
  <c r="H196" i="29"/>
  <c r="AB195" i="29"/>
  <c r="H195" i="29"/>
  <c r="AB194" i="29"/>
  <c r="H194" i="29"/>
  <c r="AB193" i="29"/>
  <c r="H193" i="29"/>
  <c r="AB192" i="29"/>
  <c r="H192" i="29"/>
  <c r="AB191" i="29"/>
  <c r="H191" i="29"/>
  <c r="AB190" i="29"/>
  <c r="H190" i="29"/>
  <c r="AB189" i="29"/>
  <c r="H189" i="29"/>
  <c r="AB188" i="29"/>
  <c r="H188" i="29"/>
  <c r="AB187" i="29"/>
  <c r="H187" i="29"/>
  <c r="AB186" i="29"/>
  <c r="H186" i="29"/>
  <c r="AB185" i="29"/>
  <c r="H185" i="29"/>
  <c r="AB184" i="29"/>
  <c r="H184" i="29"/>
  <c r="AB183" i="29"/>
  <c r="H183" i="29"/>
  <c r="AB182" i="29"/>
  <c r="H182" i="29"/>
  <c r="AB181" i="29"/>
  <c r="H181" i="29"/>
  <c r="AB180" i="29"/>
  <c r="H180" i="29"/>
  <c r="AB179" i="29"/>
  <c r="H179" i="29"/>
  <c r="AB178" i="29"/>
  <c r="H178" i="29"/>
  <c r="AB177" i="29"/>
  <c r="H177" i="29"/>
  <c r="AB176" i="29"/>
  <c r="H176" i="29"/>
  <c r="AB175" i="29"/>
  <c r="H175" i="29"/>
  <c r="AB174" i="29"/>
  <c r="H174" i="29"/>
  <c r="AB173" i="29"/>
  <c r="H173" i="29"/>
  <c r="AB172" i="29"/>
  <c r="H172" i="29"/>
  <c r="AB171" i="29"/>
  <c r="H171" i="29"/>
  <c r="AB170" i="29"/>
  <c r="H170" i="29"/>
  <c r="AB169" i="29"/>
  <c r="H169" i="29"/>
  <c r="AB168" i="29"/>
  <c r="H168" i="29"/>
  <c r="AB167" i="29"/>
  <c r="H167" i="29"/>
  <c r="AB166" i="29"/>
  <c r="H166" i="29"/>
  <c r="AB165" i="29"/>
  <c r="H165" i="29"/>
  <c r="AB164" i="29"/>
  <c r="H164" i="29"/>
  <c r="AB163" i="29"/>
  <c r="H163" i="29"/>
  <c r="AB162" i="29"/>
  <c r="H162" i="29"/>
  <c r="AB161" i="29"/>
  <c r="H161" i="29"/>
  <c r="AB160" i="29"/>
  <c r="H160" i="29"/>
  <c r="AB159" i="29"/>
  <c r="H159" i="29"/>
  <c r="AB158" i="29"/>
  <c r="H158" i="29"/>
  <c r="AB157" i="29"/>
  <c r="H157" i="29"/>
  <c r="AB156" i="29"/>
  <c r="H156" i="29"/>
  <c r="AB155" i="29"/>
  <c r="H155" i="29"/>
  <c r="AB154" i="29"/>
  <c r="H154" i="29"/>
  <c r="AB153" i="29"/>
  <c r="H153" i="29"/>
  <c r="AB152" i="29"/>
  <c r="H152" i="29"/>
  <c r="AB151" i="29"/>
  <c r="H151" i="29"/>
  <c r="AB150" i="29"/>
  <c r="H150" i="29"/>
  <c r="AB149" i="29"/>
  <c r="H149" i="29"/>
  <c r="AB148" i="29"/>
  <c r="H148" i="29"/>
  <c r="AB147" i="29"/>
  <c r="H147" i="29"/>
  <c r="AB146" i="29"/>
  <c r="H146" i="29"/>
  <c r="AB145" i="29"/>
  <c r="H145" i="29"/>
  <c r="AB144" i="29"/>
  <c r="H144" i="29"/>
  <c r="AB143" i="29"/>
  <c r="H143" i="29"/>
  <c r="AB142" i="29"/>
  <c r="H142" i="29"/>
  <c r="AB141" i="29"/>
  <c r="H141" i="29"/>
  <c r="AB140" i="29"/>
  <c r="H140" i="29"/>
  <c r="AB139" i="29"/>
  <c r="H139" i="29"/>
  <c r="AB138" i="29"/>
  <c r="H138" i="29"/>
  <c r="AB137" i="29"/>
  <c r="H137" i="29"/>
  <c r="AB136" i="29"/>
  <c r="H136" i="29"/>
  <c r="AB135" i="29"/>
  <c r="H135" i="29"/>
  <c r="AB134" i="29"/>
  <c r="H134" i="29"/>
  <c r="AB133" i="29"/>
  <c r="H133" i="29"/>
  <c r="AB132" i="29"/>
  <c r="H132" i="29"/>
  <c r="AB131" i="29"/>
  <c r="H131" i="29"/>
  <c r="AB130" i="29"/>
  <c r="H130" i="29"/>
  <c r="AB129" i="29"/>
  <c r="H129" i="29"/>
  <c r="AB128" i="29"/>
  <c r="H128" i="29"/>
  <c r="AB127" i="29"/>
  <c r="H127" i="29"/>
  <c r="AB126" i="29"/>
  <c r="H126" i="29"/>
  <c r="AB125" i="29"/>
  <c r="H125" i="29"/>
  <c r="AB124" i="29"/>
  <c r="H124" i="29"/>
  <c r="AB123" i="29"/>
  <c r="H123" i="29"/>
  <c r="AB122" i="29"/>
  <c r="H122" i="29"/>
  <c r="AB121" i="29"/>
  <c r="H121" i="29"/>
  <c r="AB120" i="29"/>
  <c r="H120" i="29"/>
  <c r="AB119" i="29"/>
  <c r="H119" i="29"/>
  <c r="AB118" i="29"/>
  <c r="H118" i="29"/>
  <c r="AB117" i="29"/>
  <c r="H117" i="29"/>
  <c r="AB116" i="29"/>
  <c r="H116" i="29"/>
  <c r="AB115" i="29"/>
  <c r="H115" i="29"/>
  <c r="AB114" i="29"/>
  <c r="H114" i="29"/>
  <c r="AB113" i="29"/>
  <c r="H113" i="29"/>
  <c r="AB112" i="29"/>
  <c r="H112" i="29"/>
  <c r="AB111" i="29"/>
  <c r="H111" i="29"/>
  <c r="AB110" i="29"/>
  <c r="H110" i="29"/>
  <c r="AB109" i="29"/>
  <c r="H109" i="29"/>
  <c r="AB108" i="29"/>
  <c r="H108" i="29"/>
  <c r="AB107" i="29"/>
  <c r="H107" i="29"/>
  <c r="AB106" i="29"/>
  <c r="H106" i="29"/>
  <c r="AB105" i="29"/>
  <c r="H105" i="29"/>
  <c r="AB104" i="29"/>
  <c r="H104" i="29"/>
  <c r="AB103" i="29"/>
  <c r="H103" i="29"/>
  <c r="AB102" i="29"/>
  <c r="H102" i="29"/>
  <c r="AB101" i="29"/>
  <c r="H101" i="29"/>
  <c r="AB100" i="29"/>
  <c r="H100" i="29"/>
  <c r="AB99" i="29"/>
  <c r="H99" i="29"/>
  <c r="AB98" i="29"/>
  <c r="H98" i="29"/>
  <c r="AB97" i="29"/>
  <c r="H97" i="29"/>
  <c r="AB96" i="29"/>
  <c r="H96" i="29"/>
  <c r="AB95" i="29"/>
  <c r="H95" i="29"/>
  <c r="AB94" i="29"/>
  <c r="H94" i="29"/>
  <c r="AB93" i="29"/>
  <c r="H93" i="29"/>
  <c r="AB92" i="29"/>
  <c r="H92" i="29"/>
  <c r="AB91" i="29"/>
  <c r="H91" i="29"/>
  <c r="AB90" i="29"/>
  <c r="H90" i="29"/>
  <c r="AB89" i="29"/>
  <c r="H89" i="29"/>
  <c r="AB88" i="29"/>
  <c r="H88" i="29"/>
  <c r="AB87" i="29"/>
  <c r="H87" i="29"/>
  <c r="AB86" i="29"/>
  <c r="H86" i="29"/>
  <c r="AB85" i="29"/>
  <c r="H85" i="29"/>
  <c r="AB84" i="29"/>
  <c r="H84" i="29"/>
  <c r="AB83" i="29"/>
  <c r="H83" i="29"/>
  <c r="AB82" i="29"/>
  <c r="H82" i="29"/>
  <c r="AB81" i="29"/>
  <c r="H81" i="29"/>
  <c r="AB80" i="29"/>
  <c r="H80" i="29"/>
  <c r="AB79" i="29"/>
  <c r="H79" i="29"/>
  <c r="AB78" i="29"/>
  <c r="H78" i="29"/>
  <c r="AB77" i="29"/>
  <c r="H77" i="29"/>
  <c r="AB76" i="29"/>
  <c r="H76" i="29"/>
  <c r="AB75" i="29"/>
  <c r="H75" i="29"/>
  <c r="AB74" i="29"/>
  <c r="H74" i="29"/>
  <c r="AB73" i="29"/>
  <c r="H73" i="29"/>
  <c r="AB72" i="29"/>
  <c r="H72" i="29"/>
  <c r="AB71" i="29"/>
  <c r="H71" i="29"/>
  <c r="AB70" i="29"/>
  <c r="H70" i="29"/>
  <c r="AB69" i="29"/>
  <c r="H69" i="29"/>
  <c r="AB68" i="29"/>
  <c r="H68" i="29"/>
  <c r="AB67" i="29"/>
  <c r="H67" i="29"/>
  <c r="AB66" i="29"/>
  <c r="H66" i="29"/>
  <c r="AB65" i="29"/>
  <c r="H65" i="29"/>
  <c r="AB64" i="29"/>
  <c r="H64" i="29"/>
  <c r="AB63" i="29"/>
  <c r="H63" i="29"/>
  <c r="AB62" i="29"/>
  <c r="H62" i="29"/>
  <c r="AB61" i="29"/>
  <c r="H61" i="29"/>
  <c r="AB60" i="29"/>
  <c r="H60" i="29"/>
  <c r="AB59" i="29"/>
  <c r="H59" i="29"/>
  <c r="AB58" i="29"/>
  <c r="H58" i="29"/>
  <c r="AB57" i="29"/>
  <c r="H57" i="29"/>
  <c r="AB56" i="29"/>
  <c r="H56" i="29"/>
  <c r="AB55" i="29"/>
  <c r="H55" i="29"/>
  <c r="AB54" i="29"/>
  <c r="H54" i="29"/>
  <c r="AB53" i="29"/>
  <c r="H53" i="29"/>
  <c r="AB52" i="29"/>
  <c r="H52" i="29"/>
  <c r="AB51" i="29"/>
  <c r="H51" i="29"/>
  <c r="AB50" i="29"/>
  <c r="H50" i="29"/>
  <c r="AB49" i="29"/>
  <c r="H49" i="29"/>
  <c r="AB48" i="29"/>
  <c r="H48" i="29"/>
  <c r="AB47" i="29"/>
  <c r="H47" i="29"/>
  <c r="AB46" i="29"/>
  <c r="H46" i="29"/>
  <c r="AB45" i="29"/>
  <c r="H45" i="29"/>
  <c r="AB44" i="29"/>
  <c r="H44" i="29"/>
  <c r="AB43" i="29"/>
  <c r="H43" i="29"/>
  <c r="AB42" i="29"/>
  <c r="H42" i="29"/>
  <c r="AB41" i="29"/>
  <c r="H41" i="29"/>
  <c r="AB40" i="29"/>
  <c r="H40" i="29"/>
  <c r="AB39" i="29"/>
  <c r="H39" i="29"/>
  <c r="AB38" i="29"/>
  <c r="H38" i="29"/>
  <c r="AB37" i="29"/>
  <c r="H37" i="29"/>
  <c r="AB36" i="29"/>
  <c r="H36" i="29"/>
  <c r="AB35" i="29"/>
  <c r="H35" i="29"/>
  <c r="AB34" i="29"/>
  <c r="H34" i="29"/>
  <c r="AB33" i="29"/>
  <c r="H33" i="29"/>
  <c r="AB32" i="29"/>
  <c r="H32" i="29"/>
  <c r="AB31" i="29"/>
  <c r="H31" i="29"/>
  <c r="AB30" i="29"/>
  <c r="H30" i="29"/>
  <c r="AB29" i="29"/>
  <c r="H29" i="29"/>
  <c r="AB28" i="29"/>
  <c r="H28" i="29"/>
  <c r="AB27" i="29"/>
  <c r="H27" i="29"/>
  <c r="AB26" i="29"/>
  <c r="H26" i="29"/>
  <c r="AB25" i="29"/>
  <c r="H25" i="29"/>
  <c r="AB24" i="29"/>
  <c r="H24" i="29"/>
  <c r="AB23" i="29"/>
  <c r="H23" i="29"/>
  <c r="AB22" i="29"/>
  <c r="H22" i="29"/>
  <c r="AB21" i="29"/>
  <c r="H21" i="29"/>
  <c r="AB20" i="29"/>
  <c r="H20" i="29"/>
  <c r="AB19" i="29"/>
  <c r="H19" i="29"/>
  <c r="AB18" i="29"/>
  <c r="H18" i="29"/>
  <c r="AB17" i="29"/>
  <c r="H17" i="29"/>
  <c r="AB16" i="29"/>
  <c r="H16" i="29"/>
  <c r="AB15" i="29"/>
  <c r="H15" i="29"/>
  <c r="AB14" i="29"/>
  <c r="H14" i="29"/>
  <c r="AB13" i="29"/>
  <c r="H13" i="29"/>
  <c r="I7" i="29" l="1"/>
  <c r="S452" i="29" s="1"/>
  <c r="I4" i="29"/>
  <c r="R18" i="29" s="1"/>
  <c r="I5" i="29"/>
  <c r="O4" i="29"/>
  <c r="G626" i="29"/>
  <c r="I636" i="29"/>
  <c r="P14" i="29" l="1"/>
  <c r="P22" i="29"/>
  <c r="O297" i="29"/>
  <c r="P408" i="29"/>
  <c r="O382" i="29"/>
  <c r="O158" i="29"/>
  <c r="P21" i="29"/>
  <c r="P94" i="29"/>
  <c r="P162" i="29"/>
  <c r="O159" i="29"/>
  <c r="P235" i="29"/>
  <c r="Q90" i="29"/>
  <c r="R38" i="29"/>
  <c r="Q283" i="29"/>
  <c r="Q334" i="29"/>
  <c r="R73" i="29"/>
  <c r="R30" i="29"/>
  <c r="R26" i="29"/>
  <c r="Q525" i="29"/>
  <c r="Q59" i="29"/>
  <c r="R22" i="29"/>
  <c r="Q50" i="29"/>
  <c r="R34" i="29"/>
  <c r="Q394" i="29"/>
  <c r="Q627" i="29"/>
  <c r="R46" i="29"/>
  <c r="Q101" i="29"/>
  <c r="Q103" i="29"/>
  <c r="R42" i="29"/>
  <c r="R186" i="29"/>
  <c r="Q88" i="29"/>
  <c r="R85" i="29"/>
  <c r="R217" i="29"/>
  <c r="P150" i="29"/>
  <c r="O193" i="29"/>
  <c r="P261" i="29"/>
  <c r="O453" i="29"/>
  <c r="P107" i="29"/>
  <c r="P201" i="29"/>
  <c r="P230" i="29"/>
  <c r="P465" i="29"/>
  <c r="P76" i="29"/>
  <c r="O202" i="29"/>
  <c r="O295" i="29"/>
  <c r="P511" i="29"/>
  <c r="O162" i="29"/>
  <c r="P226" i="29"/>
  <c r="O359" i="29"/>
  <c r="O574" i="29"/>
  <c r="O125" i="29"/>
  <c r="O223" i="29"/>
  <c r="P314" i="29"/>
  <c r="P43" i="29"/>
  <c r="P97" i="29"/>
  <c r="P125" i="29"/>
  <c r="P223" i="29"/>
  <c r="O329" i="29"/>
  <c r="P19" i="29"/>
  <c r="P69" i="29"/>
  <c r="O110" i="29"/>
  <c r="P79" i="29"/>
  <c r="O140" i="29"/>
  <c r="P156" i="29"/>
  <c r="P161" i="29"/>
  <c r="O238" i="29"/>
  <c r="P27" i="29"/>
  <c r="P73" i="29"/>
  <c r="P135" i="29"/>
  <c r="O114" i="29"/>
  <c r="O156" i="29"/>
  <c r="P83" i="29"/>
  <c r="P147" i="29"/>
  <c r="P116" i="29"/>
  <c r="P160" i="29"/>
  <c r="O165" i="29"/>
  <c r="P165" i="29"/>
  <c r="O135" i="29"/>
  <c r="P196" i="29"/>
  <c r="P177" i="29"/>
  <c r="O178" i="29"/>
  <c r="P202" i="29"/>
  <c r="O199" i="29"/>
  <c r="P199" i="29"/>
  <c r="O228" i="29"/>
  <c r="P252" i="29"/>
  <c r="P233" i="29"/>
  <c r="P289" i="29"/>
  <c r="O255" i="29"/>
  <c r="P284" i="29"/>
  <c r="O298" i="29"/>
  <c r="P320" i="29"/>
  <c r="P374" i="29"/>
  <c r="P401" i="29"/>
  <c r="P435" i="29"/>
  <c r="O475" i="29"/>
  <c r="O560" i="29"/>
  <c r="P561" i="29"/>
  <c r="P41" i="29"/>
  <c r="P33" i="29"/>
  <c r="O18" i="29"/>
  <c r="O64" i="29"/>
  <c r="O66" i="29"/>
  <c r="O39" i="29"/>
  <c r="O608" i="29"/>
  <c r="O603" i="29"/>
  <c r="P586" i="29"/>
  <c r="O582" i="29"/>
  <c r="O598" i="29"/>
  <c r="P562" i="29"/>
  <c r="P581" i="29"/>
  <c r="O562" i="29"/>
  <c r="P559" i="29"/>
  <c r="O580" i="29"/>
  <c r="P567" i="29"/>
  <c r="O539" i="29"/>
  <c r="O530" i="29"/>
  <c r="P525" i="29"/>
  <c r="P555" i="29"/>
  <c r="P535" i="29"/>
  <c r="O513" i="29"/>
  <c r="P512" i="29"/>
  <c r="O512" i="29"/>
  <c r="P507" i="29"/>
  <c r="P534" i="29"/>
  <c r="P498" i="29"/>
  <c r="P497" i="29"/>
  <c r="O493" i="29"/>
  <c r="P496" i="29"/>
  <c r="O496" i="29"/>
  <c r="P474" i="29"/>
  <c r="P483" i="29"/>
  <c r="P538" i="29"/>
  <c r="O473" i="29"/>
  <c r="P491" i="29"/>
  <c r="P475" i="29"/>
  <c r="O463" i="29"/>
  <c r="O459" i="29"/>
  <c r="O427" i="29"/>
  <c r="P458" i="29"/>
  <c r="O458" i="29"/>
  <c r="O426" i="29"/>
  <c r="P441" i="29"/>
  <c r="P409" i="29"/>
  <c r="O441" i="29"/>
  <c r="O409" i="29"/>
  <c r="P428" i="29"/>
  <c r="O391" i="29"/>
  <c r="O428" i="29"/>
  <c r="P394" i="29"/>
  <c r="O420" i="29"/>
  <c r="O386" i="29"/>
  <c r="P397" i="29"/>
  <c r="P440" i="29"/>
  <c r="O414" i="29"/>
  <c r="O444" i="29"/>
  <c r="P388" i="29"/>
  <c r="P426" i="29"/>
  <c r="O376" i="29"/>
  <c r="P387" i="29"/>
  <c r="P358" i="29"/>
  <c r="O358" i="29"/>
  <c r="O326" i="29"/>
  <c r="P349" i="29"/>
  <c r="O357" i="29"/>
  <c r="O325" i="29"/>
  <c r="P356" i="29"/>
  <c r="P324" i="29"/>
  <c r="P355" i="29"/>
  <c r="P323" i="29"/>
  <c r="O331" i="29"/>
  <c r="P302" i="29"/>
  <c r="P338" i="29"/>
  <c r="O302" i="29"/>
  <c r="O373" i="29"/>
  <c r="P305" i="29"/>
  <c r="O344" i="29"/>
  <c r="O339" i="29"/>
  <c r="O288" i="29"/>
  <c r="O335" i="29"/>
  <c r="P283" i="29"/>
  <c r="P277" i="29"/>
  <c r="O252" i="29"/>
  <c r="P37" i="29"/>
  <c r="O22" i="29"/>
  <c r="O95" i="29"/>
  <c r="P30" i="29"/>
  <c r="O99" i="29"/>
  <c r="O43" i="29"/>
  <c r="O604" i="29"/>
  <c r="O599" i="29"/>
  <c r="P582" i="29"/>
  <c r="P604" i="29"/>
  <c r="O597" i="29"/>
  <c r="P558" i="29"/>
  <c r="O578" i="29"/>
  <c r="O558" i="29"/>
  <c r="P571" i="29"/>
  <c r="O571" i="29"/>
  <c r="O563" i="29"/>
  <c r="O535" i="29"/>
  <c r="O526" i="29"/>
  <c r="O591" i="29"/>
  <c r="O544" i="29"/>
  <c r="P531" i="29"/>
  <c r="O509" i="29"/>
  <c r="P508" i="29"/>
  <c r="O508" i="29"/>
  <c r="O556" i="29"/>
  <c r="O523" i="29"/>
  <c r="P494" i="29"/>
  <c r="P493" i="29"/>
  <c r="O489" i="29"/>
  <c r="P492" i="29"/>
  <c r="O492" i="29"/>
  <c r="P470" i="29"/>
  <c r="O482" i="29"/>
  <c r="P504" i="29"/>
  <c r="O469" i="29"/>
  <c r="O481" i="29"/>
  <c r="P471" i="29"/>
  <c r="O499" i="29"/>
  <c r="O455" i="29"/>
  <c r="O423" i="29"/>
  <c r="P454" i="29"/>
  <c r="O454" i="29"/>
  <c r="O422" i="29"/>
  <c r="P437" i="29"/>
  <c r="P405" i="29"/>
  <c r="P60" i="29"/>
  <c r="O26" i="29"/>
  <c r="O112" i="29"/>
  <c r="P34" i="29"/>
  <c r="O36" i="29"/>
  <c r="O600" i="29"/>
  <c r="P606" i="29"/>
  <c r="P578" i="29"/>
  <c r="P596" i="29"/>
  <c r="P592" i="29"/>
  <c r="P600" i="29"/>
  <c r="O581" i="29"/>
  <c r="P556" i="29"/>
  <c r="O570" i="29"/>
  <c r="P568" i="29"/>
  <c r="P560" i="29"/>
  <c r="O531" i="29"/>
  <c r="P552" i="29"/>
  <c r="P551" i="29"/>
  <c r="O540" i="29"/>
  <c r="P527" i="29"/>
  <c r="O505" i="29"/>
  <c r="P573" i="29"/>
  <c r="O579" i="29"/>
  <c r="P540" i="29"/>
  <c r="P522" i="29"/>
  <c r="P490" i="29"/>
  <c r="P489" i="29"/>
  <c r="O485" i="29"/>
  <c r="P488" i="29"/>
  <c r="O488" i="29"/>
  <c r="P466" i="29"/>
  <c r="P479" i="29"/>
  <c r="P499" i="29"/>
  <c r="O465" i="29"/>
  <c r="O476" i="29"/>
  <c r="P467" i="29"/>
  <c r="P459" i="29"/>
  <c r="O451" i="29"/>
  <c r="O419" i="29"/>
  <c r="P450" i="29"/>
  <c r="O450" i="29"/>
  <c r="P464" i="29"/>
  <c r="P433" i="29"/>
  <c r="P495" i="29"/>
  <c r="O433" i="29"/>
  <c r="P472" i="29"/>
  <c r="P416" i="29"/>
  <c r="O383" i="29"/>
  <c r="O416" i="29"/>
  <c r="P386" i="29"/>
  <c r="P410" i="29"/>
  <c r="O378" i="29"/>
  <c r="P389" i="29"/>
  <c r="P432" i="29"/>
  <c r="O397" i="29"/>
  <c r="O432" i="29"/>
  <c r="P380" i="29"/>
  <c r="O400" i="29"/>
  <c r="P412" i="29"/>
  <c r="P379" i="29"/>
  <c r="P350" i="29"/>
  <c r="O350" i="29"/>
  <c r="O318" i="29"/>
  <c r="P341" i="29"/>
  <c r="O349" i="29"/>
  <c r="O317" i="29"/>
  <c r="P348" i="29"/>
  <c r="P316" i="29"/>
  <c r="P347" i="29"/>
  <c r="P315" i="29"/>
  <c r="O323" i="29"/>
  <c r="P294" i="29"/>
  <c r="P333" i="29"/>
  <c r="O294" i="29"/>
  <c r="O356" i="29"/>
  <c r="P326" i="29"/>
  <c r="O327" i="29"/>
  <c r="P321" i="29"/>
  <c r="O280" i="29"/>
  <c r="P307" i="29"/>
  <c r="P275" i="29"/>
  <c r="O273" i="29"/>
  <c r="O244" i="29"/>
  <c r="O62" i="29"/>
  <c r="O30" i="29"/>
  <c r="O120" i="29"/>
  <c r="P38" i="29"/>
  <c r="P18" i="29"/>
  <c r="O59" i="29"/>
  <c r="O596" i="29"/>
  <c r="P602" i="29"/>
  <c r="O610" i="29"/>
  <c r="O589" i="29"/>
  <c r="P591" i="29"/>
  <c r="P587" i="29"/>
  <c r="P579" i="29"/>
  <c r="O552" i="29"/>
  <c r="P569" i="29"/>
  <c r="P563" i="29"/>
  <c r="O553" i="29"/>
  <c r="O527" i="29"/>
  <c r="P547" i="29"/>
  <c r="O541" i="29"/>
  <c r="O536" i="29"/>
  <c r="P523" i="29"/>
  <c r="O567" i="29"/>
  <c r="P536" i="29"/>
  <c r="P530" i="29"/>
  <c r="O519" i="29"/>
  <c r="P518" i="29"/>
  <c r="P486" i="29"/>
  <c r="P485" i="29"/>
  <c r="P546" i="29"/>
  <c r="P484" i="29"/>
  <c r="O484" i="29"/>
  <c r="O494" i="29"/>
  <c r="O478" i="29"/>
  <c r="O486" i="29"/>
  <c r="O518" i="29"/>
  <c r="O472" i="29"/>
  <c r="P463" i="29"/>
  <c r="P455" i="29"/>
  <c r="O447" i="29"/>
  <c r="O415" i="29"/>
  <c r="P446" i="29"/>
  <c r="O446" i="29"/>
  <c r="P461" i="29"/>
  <c r="P429" i="29"/>
  <c r="O461" i="29"/>
  <c r="O429" i="29"/>
  <c r="P460" i="29"/>
  <c r="O412" i="29"/>
  <c r="O379" i="29"/>
  <c r="P407" i="29"/>
  <c r="P382" i="29"/>
  <c r="O406" i="29"/>
  <c r="O460" i="29"/>
  <c r="P385" i="29"/>
  <c r="P431" i="29"/>
  <c r="O393" i="29"/>
  <c r="O424" i="29"/>
  <c r="P376" i="29"/>
  <c r="O396" i="29"/>
  <c r="O408" i="29"/>
  <c r="P375" i="29"/>
  <c r="P346" i="29"/>
  <c r="O346" i="29"/>
  <c r="P369" i="29"/>
  <c r="P337" i="29"/>
  <c r="O345" i="29"/>
  <c r="O313" i="29"/>
  <c r="P344" i="29"/>
  <c r="P312" i="29"/>
  <c r="P343" i="29"/>
  <c r="O368" i="29"/>
  <c r="O316" i="29"/>
  <c r="P290" i="29"/>
  <c r="P325" i="29"/>
  <c r="O290" i="29"/>
  <c r="O351" i="29"/>
  <c r="P318" i="29"/>
  <c r="O320" i="29"/>
  <c r="O308" i="29"/>
  <c r="O276" i="29"/>
  <c r="P303" i="29"/>
  <c r="O307" i="29"/>
  <c r="O272" i="29"/>
  <c r="O240" i="29"/>
  <c r="O69" i="29"/>
  <c r="O46" i="29"/>
  <c r="P130" i="29"/>
  <c r="P48" i="29"/>
  <c r="P26" i="29"/>
  <c r="P66" i="29"/>
  <c r="P611" i="29"/>
  <c r="P598" i="29"/>
  <c r="O594" i="29"/>
  <c r="O585" i="29"/>
  <c r="P588" i="29"/>
  <c r="P577" i="29"/>
  <c r="O576" i="29"/>
  <c r="O547" i="29"/>
  <c r="P564" i="29"/>
  <c r="P557" i="29"/>
  <c r="O549" i="29"/>
  <c r="O546" i="29"/>
  <c r="P541" i="29"/>
  <c r="O537" i="29"/>
  <c r="O532" i="29"/>
  <c r="O575" i="29"/>
  <c r="P548" i="29"/>
  <c r="P526" i="29"/>
  <c r="O524" i="29"/>
  <c r="O515" i="29"/>
  <c r="P514" i="29"/>
  <c r="P482" i="29"/>
  <c r="O522" i="29"/>
  <c r="P528" i="29"/>
  <c r="P521" i="29"/>
  <c r="P544" i="29"/>
  <c r="O474" i="29"/>
  <c r="P477" i="29"/>
  <c r="O483" i="29"/>
  <c r="P513" i="29"/>
  <c r="O468" i="29"/>
  <c r="O487" i="29"/>
  <c r="P451" i="29"/>
  <c r="O443" i="29"/>
  <c r="O411" i="29"/>
  <c r="P442" i="29"/>
  <c r="O442" i="29"/>
  <c r="P457" i="29"/>
  <c r="P425" i="29"/>
  <c r="O457" i="29"/>
  <c r="O425" i="29"/>
  <c r="P456" i="29"/>
  <c r="P404" i="29"/>
  <c r="O375" i="29"/>
  <c r="P406" i="29"/>
  <c r="P378" i="29"/>
  <c r="O402" i="29"/>
  <c r="P415" i="29"/>
  <c r="P381" i="29"/>
  <c r="P424" i="29"/>
  <c r="O389" i="29"/>
  <c r="O418" i="29"/>
  <c r="P372" i="29"/>
  <c r="O392" i="29"/>
  <c r="P403" i="29"/>
  <c r="P371" i="29"/>
  <c r="P342" i="29"/>
  <c r="O342" i="29"/>
  <c r="P365" i="29"/>
  <c r="P370" i="29"/>
  <c r="O341" i="29"/>
  <c r="O370" i="29"/>
  <c r="P340" i="29"/>
  <c r="O372" i="29"/>
  <c r="P339" i="29"/>
  <c r="O363" i="29"/>
  <c r="O315" i="29"/>
  <c r="P286" i="29"/>
  <c r="P317" i="29"/>
  <c r="O286" i="29"/>
  <c r="O340" i="29"/>
  <c r="O309" i="29"/>
  <c r="O319" i="29"/>
  <c r="O304" i="29"/>
  <c r="O364" i="29"/>
  <c r="P299" i="29"/>
  <c r="P293" i="29"/>
  <c r="O268" i="29"/>
  <c r="O236" i="29"/>
  <c r="P25" i="29"/>
  <c r="O89" i="29"/>
  <c r="O55" i="29"/>
  <c r="O57" i="29"/>
  <c r="O31" i="29"/>
  <c r="O611" i="29"/>
  <c r="G624" i="29"/>
  <c r="R624" i="29" s="1"/>
  <c r="O590" i="29"/>
  <c r="O606" i="29"/>
  <c r="P584" i="29"/>
  <c r="O557" i="29"/>
  <c r="O568" i="29"/>
  <c r="P565" i="29"/>
  <c r="O554" i="29"/>
  <c r="P549" i="29"/>
  <c r="O566" i="29"/>
  <c r="O538" i="29"/>
  <c r="P533" i="29"/>
  <c r="O529" i="29"/>
  <c r="P543" i="29"/>
  <c r="O521" i="29"/>
  <c r="P520" i="29"/>
  <c r="O520" i="29"/>
  <c r="P515" i="29"/>
  <c r="O507" i="29"/>
  <c r="P506" i="29"/>
  <c r="O502" i="29"/>
  <c r="O501" i="29"/>
  <c r="P503" i="29"/>
  <c r="O503" i="29"/>
  <c r="P502" i="29"/>
  <c r="O466" i="29"/>
  <c r="P469" i="29"/>
  <c r="O479" i="29"/>
  <c r="O514" i="29"/>
  <c r="O491" i="29"/>
  <c r="O471" i="29"/>
  <c r="P443" i="29"/>
  <c r="O435" i="29"/>
  <c r="O480" i="29"/>
  <c r="P476" i="29"/>
  <c r="O434" i="29"/>
  <c r="P449" i="29"/>
  <c r="P417" i="29"/>
  <c r="O449" i="29"/>
  <c r="O417" i="29"/>
  <c r="P436" i="29"/>
  <c r="O399" i="29"/>
  <c r="O452" i="29"/>
  <c r="P402" i="29"/>
  <c r="P430" i="29"/>
  <c r="O394" i="29"/>
  <c r="O410" i="29"/>
  <c r="P373" i="29"/>
  <c r="P419" i="29"/>
  <c r="O381" i="29"/>
  <c r="P396" i="29"/>
  <c r="P448" i="29"/>
  <c r="O384" i="29"/>
  <c r="P395" i="29"/>
  <c r="P366" i="29"/>
  <c r="O366" i="29"/>
  <c r="O334" i="29"/>
  <c r="P357" i="29"/>
  <c r="O365" i="29"/>
  <c r="O333" i="29"/>
  <c r="P364" i="29"/>
  <c r="P332" i="29"/>
  <c r="P363" i="29"/>
  <c r="P331" i="29"/>
  <c r="O347" i="29"/>
  <c r="P310" i="29"/>
  <c r="P278" i="29"/>
  <c r="O310" i="29"/>
  <c r="O278" i="29"/>
  <c r="O312" i="29"/>
  <c r="O360" i="29"/>
  <c r="P304" i="29"/>
  <c r="O296" i="29"/>
  <c r="O348" i="29"/>
  <c r="P291" i="29"/>
  <c r="P285" i="29"/>
  <c r="O260" i="29"/>
  <c r="P330" i="29"/>
  <c r="O14" i="29"/>
  <c r="O15" i="29"/>
  <c r="P594" i="29"/>
  <c r="O561" i="29"/>
  <c r="P553" i="29"/>
  <c r="O533" i="29"/>
  <c r="P524" i="29"/>
  <c r="P478" i="29"/>
  <c r="O506" i="29"/>
  <c r="P509" i="29"/>
  <c r="O439" i="29"/>
  <c r="P453" i="29"/>
  <c r="O413" i="29"/>
  <c r="O371" i="29"/>
  <c r="P411" i="29"/>
  <c r="P444" i="29"/>
  <c r="P400" i="29"/>
  <c r="O362" i="29"/>
  <c r="P352" i="29"/>
  <c r="P327" i="29"/>
  <c r="P282" i="29"/>
  <c r="O367" i="29"/>
  <c r="P300" i="29"/>
  <c r="O248" i="29"/>
  <c r="O267" i="29"/>
  <c r="P242" i="29"/>
  <c r="P297" i="29"/>
  <c r="O48" i="29"/>
  <c r="O35" i="29"/>
  <c r="P590" i="29"/>
  <c r="O587" i="29"/>
  <c r="P545" i="29"/>
  <c r="O525" i="29"/>
  <c r="O516" i="29"/>
  <c r="P501" i="29"/>
  <c r="O498" i="29"/>
  <c r="O495" i="29"/>
  <c r="O431" i="29"/>
  <c r="P445" i="29"/>
  <c r="O405" i="29"/>
  <c r="O436" i="29"/>
  <c r="O398" i="29"/>
  <c r="P439" i="29"/>
  <c r="P392" i="29"/>
  <c r="P399" i="29"/>
  <c r="O354" i="29"/>
  <c r="O361" i="29"/>
  <c r="P336" i="29"/>
  <c r="P319" i="29"/>
  <c r="P274" i="29"/>
  <c r="O314" i="29"/>
  <c r="P329" i="29"/>
  <c r="P287" i="29"/>
  <c r="O232" i="29"/>
  <c r="P255" i="29"/>
  <c r="O263" i="29"/>
  <c r="P270" i="29"/>
  <c r="P238" i="29"/>
  <c r="O270" i="29"/>
  <c r="O289" i="29"/>
  <c r="P245" i="29"/>
  <c r="O291" i="29"/>
  <c r="O249" i="29"/>
  <c r="P260" i="29"/>
  <c r="O233" i="29"/>
  <c r="P200" i="29"/>
  <c r="O212" i="29"/>
  <c r="O180" i="29"/>
  <c r="P207" i="29"/>
  <c r="P175" i="29"/>
  <c r="O207" i="29"/>
  <c r="O175" i="29"/>
  <c r="P210" i="29"/>
  <c r="O218" i="29"/>
  <c r="O186" i="29"/>
  <c r="P217" i="29"/>
  <c r="P185" i="29"/>
  <c r="O209" i="29"/>
  <c r="O177" i="29"/>
  <c r="P184" i="29"/>
  <c r="O143" i="29"/>
  <c r="P178" i="29"/>
  <c r="P171" i="29"/>
  <c r="P141" i="29"/>
  <c r="P176" i="29"/>
  <c r="O141" i="29"/>
  <c r="P168" i="29"/>
  <c r="P136" i="29"/>
  <c r="O130" i="29"/>
  <c r="P92" i="29"/>
  <c r="P155" i="29"/>
  <c r="P123" i="29"/>
  <c r="P91" i="29"/>
  <c r="P59" i="29"/>
  <c r="O115" i="29"/>
  <c r="P110" i="29"/>
  <c r="P159" i="29"/>
  <c r="O90" i="29"/>
  <c r="P143" i="29"/>
  <c r="P113" i="29"/>
  <c r="P81" i="29"/>
  <c r="P49" i="29"/>
  <c r="O70" i="29"/>
  <c r="O105" i="29"/>
  <c r="O68" i="29"/>
  <c r="O586" i="29"/>
  <c r="O543" i="29"/>
  <c r="P62" i="29"/>
  <c r="P593" i="29"/>
  <c r="O572" i="29"/>
  <c r="O545" i="29"/>
  <c r="O528" i="29"/>
  <c r="P519" i="29"/>
  <c r="P517" i="29"/>
  <c r="O470" i="29"/>
  <c r="O464" i="29"/>
  <c r="O407" i="29"/>
  <c r="P421" i="29"/>
  <c r="P452" i="29"/>
  <c r="P420" i="29"/>
  <c r="O390" i="29"/>
  <c r="P423" i="29"/>
  <c r="P384" i="29"/>
  <c r="P391" i="29"/>
  <c r="O338" i="29"/>
  <c r="O353" i="29"/>
  <c r="P328" i="29"/>
  <c r="O352" i="29"/>
  <c r="O336" i="29"/>
  <c r="P309" i="29"/>
  <c r="O300" i="29"/>
  <c r="P279" i="29"/>
  <c r="O293" i="29"/>
  <c r="P251" i="29"/>
  <c r="O259" i="29"/>
  <c r="P266" i="29"/>
  <c r="P234" i="29"/>
  <c r="O266" i="29"/>
  <c r="O281" i="29"/>
  <c r="P241" i="29"/>
  <c r="O283" i="29"/>
  <c r="O245" i="29"/>
  <c r="P256" i="29"/>
  <c r="P228" i="29"/>
  <c r="P239" i="29"/>
  <c r="O208" i="29"/>
  <c r="O176" i="29"/>
  <c r="P203" i="29"/>
  <c r="O246" i="29"/>
  <c r="O203" i="29"/>
  <c r="O171" i="29"/>
  <c r="P206" i="29"/>
  <c r="O214" i="29"/>
  <c r="O182" i="29"/>
  <c r="P213" i="29"/>
  <c r="P181" i="29"/>
  <c r="O205" i="29"/>
  <c r="O173" i="29"/>
  <c r="P172" i="29"/>
  <c r="O139" i="29"/>
  <c r="O172" i="29"/>
  <c r="P169" i="29"/>
  <c r="P137" i="29"/>
  <c r="O169" i="29"/>
  <c r="O137" i="29"/>
  <c r="P164" i="29"/>
  <c r="P132" i="29"/>
  <c r="O122" i="29"/>
  <c r="P88" i="29"/>
  <c r="O148" i="29"/>
  <c r="P119" i="29"/>
  <c r="P87" i="29"/>
  <c r="P55" i="29"/>
  <c r="O170" i="29"/>
  <c r="P106" i="29"/>
  <c r="P118" i="29"/>
  <c r="O86" i="29"/>
  <c r="O136" i="29"/>
  <c r="P109" i="29"/>
  <c r="P77" i="29"/>
  <c r="P15" i="29"/>
  <c r="P31" i="29"/>
  <c r="O107" i="29"/>
  <c r="P146" i="29"/>
  <c r="P29" i="29"/>
  <c r="O50" i="29"/>
  <c r="P595" i="29"/>
  <c r="P585" i="29"/>
  <c r="O559" i="29"/>
  <c r="P537" i="29"/>
  <c r="P542" i="29"/>
  <c r="P510" i="29"/>
  <c r="O510" i="29"/>
  <c r="P480" i="29"/>
  <c r="P447" i="29"/>
  <c r="O438" i="29"/>
  <c r="O437" i="29"/>
  <c r="O395" i="29"/>
  <c r="P438" i="29"/>
  <c r="P393" i="29"/>
  <c r="O377" i="29"/>
  <c r="O388" i="29"/>
  <c r="P354" i="29"/>
  <c r="P353" i="29"/>
  <c r="P368" i="29"/>
  <c r="P351" i="29"/>
  <c r="P306" i="29"/>
  <c r="O282" i="29"/>
  <c r="O328" i="29"/>
  <c r="O343" i="29"/>
  <c r="O264" i="29"/>
  <c r="P267" i="29"/>
  <c r="O279" i="29"/>
  <c r="O243" i="29"/>
  <c r="P250" i="29"/>
  <c r="P288" i="29"/>
  <c r="O250" i="29"/>
  <c r="P257" i="29"/>
  <c r="O301" i="29"/>
  <c r="O261" i="29"/>
  <c r="P272" i="29"/>
  <c r="P240" i="29"/>
  <c r="P212" i="29"/>
  <c r="O224" i="29"/>
  <c r="O192" i="29"/>
  <c r="P219" i="29"/>
  <c r="P187" i="29"/>
  <c r="O219" i="29"/>
  <c r="O187" i="29"/>
  <c r="P222" i="29"/>
  <c r="O230" i="29"/>
  <c r="O198" i="29"/>
  <c r="P229" i="29"/>
  <c r="P197" i="29"/>
  <c r="O221" i="29"/>
  <c r="O189" i="29"/>
  <c r="O164" i="29"/>
  <c r="O155" i="29"/>
  <c r="O123" i="29"/>
  <c r="P158" i="29"/>
  <c r="P153" i="29"/>
  <c r="P121" i="29"/>
  <c r="O153" i="29"/>
  <c r="O121" i="29"/>
  <c r="P148" i="29"/>
  <c r="O154" i="29"/>
  <c r="P104" i="29"/>
  <c r="P167" i="29"/>
  <c r="O132" i="29"/>
  <c r="P103" i="29"/>
  <c r="P71" i="29"/>
  <c r="P142" i="29"/>
  <c r="O134" i="29"/>
  <c r="P90" i="29"/>
  <c r="O102" i="29"/>
  <c r="O152" i="29"/>
  <c r="P120" i="29"/>
  <c r="P93" i="29"/>
  <c r="P61" i="29"/>
  <c r="P23" i="29"/>
  <c r="P39" i="29"/>
  <c r="O61" i="29"/>
  <c r="O369" i="29"/>
  <c r="P301" i="29"/>
  <c r="P264" i="29"/>
  <c r="P204" i="29"/>
  <c r="O184" i="29"/>
  <c r="O75" i="29"/>
  <c r="P64" i="29"/>
  <c r="O607" i="29"/>
  <c r="P583" i="29"/>
  <c r="O550" i="29"/>
  <c r="P529" i="29"/>
  <c r="P516" i="29"/>
  <c r="O504" i="29"/>
  <c r="O500" i="29"/>
  <c r="O477" i="29"/>
  <c r="P468" i="29"/>
  <c r="O430" i="29"/>
  <c r="O421" i="29"/>
  <c r="O387" i="29"/>
  <c r="P422" i="29"/>
  <c r="P377" i="29"/>
  <c r="O440" i="29"/>
  <c r="O380" i="29"/>
  <c r="O374" i="29"/>
  <c r="P345" i="29"/>
  <c r="P360" i="29"/>
  <c r="P335" i="29"/>
  <c r="P298" i="29"/>
  <c r="O274" i="29"/>
  <c r="P308" i="29"/>
  <c r="P313" i="29"/>
  <c r="O256" i="29"/>
  <c r="P263" i="29"/>
  <c r="O271" i="29"/>
  <c r="O239" i="29"/>
  <c r="P246" i="29"/>
  <c r="P281" i="29"/>
  <c r="P311" i="29"/>
  <c r="P253" i="29"/>
  <c r="O299" i="29"/>
  <c r="O257" i="29"/>
  <c r="P268" i="29"/>
  <c r="P236" i="29"/>
  <c r="P208" i="29"/>
  <c r="O220" i="29"/>
  <c r="O188" i="29"/>
  <c r="P215" i="29"/>
  <c r="P183" i="29"/>
  <c r="O215" i="29"/>
  <c r="O183" i="29"/>
  <c r="P218" i="29"/>
  <c r="O226" i="29"/>
  <c r="O194" i="29"/>
  <c r="P225" i="29"/>
  <c r="P193" i="29"/>
  <c r="O217" i="29"/>
  <c r="O185" i="29"/>
  <c r="O160" i="29"/>
  <c r="O151" i="29"/>
  <c r="O119" i="29"/>
  <c r="P188" i="29"/>
  <c r="P149" i="29"/>
  <c r="P198" i="29"/>
  <c r="O149" i="29"/>
  <c r="P186" i="29"/>
  <c r="P144" i="29"/>
  <c r="O146" i="29"/>
  <c r="P100" i="29"/>
  <c r="O116" i="29"/>
  <c r="P131" i="29"/>
  <c r="P99" i="29"/>
  <c r="P67" i="29"/>
  <c r="P134" i="29"/>
  <c r="O126" i="29"/>
  <c r="P86" i="29"/>
  <c r="O98" i="29"/>
  <c r="P151" i="29"/>
  <c r="O118" i="29"/>
  <c r="P89" i="29"/>
  <c r="P57" i="29"/>
  <c r="O92" i="29"/>
  <c r="O448" i="29"/>
  <c r="P295" i="29"/>
  <c r="P259" i="29"/>
  <c r="O303" i="29"/>
  <c r="P280" i="29"/>
  <c r="P249" i="29"/>
  <c r="O253" i="29"/>
  <c r="P232" i="29"/>
  <c r="O216" i="29"/>
  <c r="P105" i="29"/>
  <c r="P115" i="29"/>
  <c r="P52" i="29"/>
  <c r="O128" i="29"/>
  <c r="O79" i="29"/>
  <c r="P85" i="29"/>
  <c r="O144" i="29"/>
  <c r="P82" i="29"/>
  <c r="P126" i="29"/>
  <c r="P95" i="29"/>
  <c r="O166" i="29"/>
  <c r="O138" i="29"/>
  <c r="P174" i="29"/>
  <c r="P192" i="29"/>
  <c r="P182" i="29"/>
  <c r="O147" i="29"/>
  <c r="O181" i="29"/>
  <c r="P189" i="29"/>
  <c r="O190" i="29"/>
  <c r="P214" i="29"/>
  <c r="O211" i="29"/>
  <c r="P211" i="29"/>
  <c r="O234" i="29"/>
  <c r="P273" i="29"/>
  <c r="P237" i="29"/>
  <c r="P296" i="29"/>
  <c r="O287" i="29"/>
  <c r="P292" i="29"/>
  <c r="O306" i="29"/>
  <c r="O321" i="29"/>
  <c r="P383" i="29"/>
  <c r="P414" i="29"/>
  <c r="O445" i="29"/>
  <c r="P487" i="29"/>
  <c r="O511" i="29"/>
  <c r="O583" i="29"/>
  <c r="P627" i="29"/>
  <c r="P68" i="29"/>
  <c r="P101" i="29"/>
  <c r="O78" i="29"/>
  <c r="P98" i="29"/>
  <c r="P173" i="29"/>
  <c r="P111" i="29"/>
  <c r="P80" i="29"/>
  <c r="P124" i="29"/>
  <c r="O129" i="29"/>
  <c r="P129" i="29"/>
  <c r="P166" i="29"/>
  <c r="O163" i="29"/>
  <c r="O197" i="29"/>
  <c r="P205" i="29"/>
  <c r="O206" i="29"/>
  <c r="O237" i="29"/>
  <c r="O227" i="29"/>
  <c r="P227" i="29"/>
  <c r="P216" i="29"/>
  <c r="O241" i="29"/>
  <c r="P265" i="29"/>
  <c r="P254" i="29"/>
  <c r="P247" i="29"/>
  <c r="O284" i="29"/>
  <c r="O311" i="29"/>
  <c r="O337" i="29"/>
  <c r="P434" i="29"/>
  <c r="P390" i="29"/>
  <c r="P413" i="29"/>
  <c r="P473" i="29"/>
  <c r="O517" i="29"/>
  <c r="O605" i="29"/>
  <c r="P51" i="29"/>
  <c r="O133" i="29"/>
  <c r="O167" i="29"/>
  <c r="P209" i="29"/>
  <c r="O242" i="29"/>
  <c r="P243" i="29"/>
  <c r="O235" i="29"/>
  <c r="O265" i="29"/>
  <c r="P269" i="29"/>
  <c r="P258" i="29"/>
  <c r="P271" i="29"/>
  <c r="O292" i="29"/>
  <c r="O324" i="29"/>
  <c r="P361" i="29"/>
  <c r="O456" i="29"/>
  <c r="P398" i="29"/>
  <c r="O462" i="29"/>
  <c r="O490" i="29"/>
  <c r="P532" i="29"/>
  <c r="P613" i="29"/>
  <c r="O82" i="29"/>
  <c r="P84" i="29"/>
  <c r="P133" i="29"/>
  <c r="P170" i="29"/>
  <c r="O201" i="29"/>
  <c r="O210" i="29"/>
  <c r="P220" i="29"/>
  <c r="P35" i="29"/>
  <c r="P53" i="29"/>
  <c r="P117" i="29"/>
  <c r="O94" i="29"/>
  <c r="P114" i="29"/>
  <c r="P63" i="29"/>
  <c r="O124" i="29"/>
  <c r="P96" i="29"/>
  <c r="P140" i="29"/>
  <c r="O145" i="29"/>
  <c r="P145" i="29"/>
  <c r="P194" i="29"/>
  <c r="P190" i="29"/>
  <c r="O213" i="29"/>
  <c r="P221" i="29"/>
  <c r="O222" i="29"/>
  <c r="O179" i="29"/>
  <c r="P179" i="29"/>
  <c r="O196" i="29"/>
  <c r="P224" i="29"/>
  <c r="O269" i="29"/>
  <c r="O254" i="29"/>
  <c r="P262" i="29"/>
  <c r="O277" i="29"/>
  <c r="O355" i="29"/>
  <c r="O332" i="29"/>
  <c r="O322" i="29"/>
  <c r="O385" i="29"/>
  <c r="O404" i="29"/>
  <c r="P481" i="29"/>
  <c r="P500" i="29"/>
  <c r="P539" i="29"/>
  <c r="O88" i="29"/>
  <c r="P128" i="29"/>
  <c r="O54" i="29"/>
  <c r="P65" i="29"/>
  <c r="P127" i="29"/>
  <c r="O106" i="29"/>
  <c r="O142" i="29"/>
  <c r="P75" i="29"/>
  <c r="P139" i="29"/>
  <c r="P108" i="29"/>
  <c r="P152" i="29"/>
  <c r="O157" i="29"/>
  <c r="P157" i="29"/>
  <c r="O127" i="29"/>
  <c r="O168" i="29"/>
  <c r="O225" i="29"/>
  <c r="O231" i="29"/>
  <c r="P231" i="29"/>
  <c r="O191" i="29"/>
  <c r="P191" i="29"/>
  <c r="O200" i="29"/>
  <c r="P244" i="29"/>
  <c r="O275" i="29"/>
  <c r="O258" i="29"/>
  <c r="O247" i="29"/>
  <c r="O285" i="29"/>
  <c r="O305" i="29"/>
  <c r="P359" i="29"/>
  <c r="O330" i="29"/>
  <c r="O401" i="29"/>
  <c r="O403" i="29"/>
  <c r="P462" i="29"/>
  <c r="P505" i="29"/>
  <c r="O534" i="29"/>
  <c r="O627" i="29"/>
  <c r="P102" i="29"/>
  <c r="O150" i="29"/>
  <c r="P112" i="29"/>
  <c r="O161" i="29"/>
  <c r="O131" i="29"/>
  <c r="P180" i="29"/>
  <c r="O229" i="29"/>
  <c r="O174" i="29"/>
  <c r="O195" i="29"/>
  <c r="P195" i="29"/>
  <c r="O204" i="29"/>
  <c r="P248" i="29"/>
  <c r="P322" i="29"/>
  <c r="O262" i="29"/>
  <c r="O251" i="29"/>
  <c r="P276" i="29"/>
  <c r="P334" i="29"/>
  <c r="P367" i="29"/>
  <c r="P362" i="29"/>
  <c r="P418" i="29"/>
  <c r="P427" i="29"/>
  <c r="O467" i="29"/>
  <c r="O497" i="29"/>
  <c r="O542" i="29"/>
  <c r="P580" i="29"/>
  <c r="O551" i="29"/>
  <c r="P575" i="29"/>
  <c r="P572" i="29"/>
  <c r="O565" i="29"/>
  <c r="P566" i="29"/>
  <c r="P608" i="29"/>
  <c r="O613" i="29"/>
  <c r="P612" i="29"/>
  <c r="O601" i="29"/>
  <c r="P601" i="29"/>
  <c r="P610" i="29"/>
  <c r="P599" i="29"/>
  <c r="O612" i="29"/>
  <c r="O52" i="29"/>
  <c r="O27" i="29"/>
  <c r="O97" i="29"/>
  <c r="O47" i="29"/>
  <c r="O44" i="29"/>
  <c r="O93" i="29"/>
  <c r="O42" i="29"/>
  <c r="P163" i="29"/>
  <c r="O53" i="29"/>
  <c r="P17" i="29"/>
  <c r="P550" i="29"/>
  <c r="O555" i="29"/>
  <c r="O592" i="29"/>
  <c r="P576" i="29"/>
  <c r="O569" i="29"/>
  <c r="P570" i="29"/>
  <c r="O584" i="29"/>
  <c r="P597" i="29"/>
  <c r="P589" i="29"/>
  <c r="O602" i="29"/>
  <c r="P609" i="29"/>
  <c r="I634" i="29"/>
  <c r="P603" i="29"/>
  <c r="O103" i="29"/>
  <c r="P50" i="29"/>
  <c r="O23" i="29"/>
  <c r="O84" i="29"/>
  <c r="P46" i="29"/>
  <c r="O24" i="29"/>
  <c r="O80" i="29"/>
  <c r="O38" i="29"/>
  <c r="O108" i="29"/>
  <c r="P45" i="29"/>
  <c r="P13" i="29"/>
  <c r="P554" i="29"/>
  <c r="O548" i="29"/>
  <c r="O564" i="29"/>
  <c r="O577" i="29"/>
  <c r="O573" i="29"/>
  <c r="P574" i="29"/>
  <c r="O588" i="29"/>
  <c r="P605" i="29"/>
  <c r="O593" i="29"/>
  <c r="O609" i="29"/>
  <c r="AC624" i="29"/>
  <c r="O595" i="29"/>
  <c r="P607" i="29"/>
  <c r="O101" i="29"/>
  <c r="P47" i="29"/>
  <c r="O19" i="29"/>
  <c r="O73" i="29"/>
  <c r="P42" i="29"/>
  <c r="O71" i="29"/>
  <c r="O34" i="29"/>
  <c r="O91" i="29"/>
  <c r="T35" i="29"/>
  <c r="S109" i="29"/>
  <c r="Q416" i="29"/>
  <c r="Q559" i="29"/>
  <c r="R627" i="29"/>
  <c r="Q66" i="29"/>
  <c r="R57" i="29"/>
  <c r="Q47" i="29"/>
  <c r="R159" i="29"/>
  <c r="R291" i="29"/>
  <c r="Q333" i="29"/>
  <c r="Q468" i="29"/>
  <c r="R161" i="29"/>
  <c r="Q261" i="29"/>
  <c r="Q383" i="29"/>
  <c r="Q492" i="29"/>
  <c r="Q145" i="29"/>
  <c r="Q30" i="29"/>
  <c r="R67" i="29"/>
  <c r="R149" i="29"/>
  <c r="R185" i="29"/>
  <c r="R214" i="29"/>
  <c r="R296" i="29"/>
  <c r="R318" i="29"/>
  <c r="R375" i="29"/>
  <c r="R453" i="29"/>
  <c r="Q518" i="29"/>
  <c r="Q582" i="29"/>
  <c r="R609" i="29"/>
  <c r="R84" i="29"/>
  <c r="R131" i="29"/>
  <c r="Q228" i="29"/>
  <c r="R316" i="29"/>
  <c r="Q323" i="29"/>
  <c r="R346" i="29"/>
  <c r="Q381" i="29"/>
  <c r="R474" i="29"/>
  <c r="R523" i="29"/>
  <c r="I635" i="29"/>
  <c r="S96" i="29"/>
  <c r="S186" i="29"/>
  <c r="S114" i="29"/>
  <c r="S270" i="29"/>
  <c r="T147" i="29"/>
  <c r="T344" i="29"/>
  <c r="T215" i="29"/>
  <c r="T25" i="29"/>
  <c r="T145" i="29"/>
  <c r="T86" i="29"/>
  <c r="S125" i="29"/>
  <c r="S212" i="29"/>
  <c r="T270" i="29"/>
  <c r="S302" i="29"/>
  <c r="T433" i="29"/>
  <c r="T116" i="29"/>
  <c r="T138" i="29"/>
  <c r="S158" i="29"/>
  <c r="S231" i="29"/>
  <c r="S297" i="29"/>
  <c r="S284" i="29"/>
  <c r="S461" i="29"/>
  <c r="T75" i="29"/>
  <c r="T61" i="29"/>
  <c r="S139" i="29"/>
  <c r="S211" i="29"/>
  <c r="T177" i="29"/>
  <c r="S289" i="29"/>
  <c r="T345" i="29"/>
  <c r="T91" i="29"/>
  <c r="S112" i="29"/>
  <c r="S154" i="29"/>
  <c r="T144" i="29"/>
  <c r="T77" i="29"/>
  <c r="S132" i="29"/>
  <c r="T102" i="29"/>
  <c r="T154" i="29"/>
  <c r="S155" i="29"/>
  <c r="T163" i="29"/>
  <c r="S141" i="29"/>
  <c r="T172" i="29"/>
  <c r="S227" i="29"/>
  <c r="S232" i="29"/>
  <c r="S228" i="29"/>
  <c r="S185" i="29"/>
  <c r="T193" i="29"/>
  <c r="S218" i="29"/>
  <c r="S333" i="29"/>
  <c r="S268" i="29"/>
  <c r="S265" i="29"/>
  <c r="T289" i="29"/>
  <c r="T306" i="29"/>
  <c r="S326" i="29"/>
  <c r="T350" i="29"/>
  <c r="S406" i="29"/>
  <c r="T396" i="29"/>
  <c r="T520" i="29"/>
  <c r="T13" i="29"/>
  <c r="T107" i="29"/>
  <c r="S122" i="29"/>
  <c r="T84" i="29"/>
  <c r="S118" i="29"/>
  <c r="T93" i="29"/>
  <c r="T141" i="29"/>
  <c r="T124" i="29"/>
  <c r="T170" i="29"/>
  <c r="T186" i="29"/>
  <c r="T192" i="29"/>
  <c r="S157" i="29"/>
  <c r="S179" i="29"/>
  <c r="T183" i="29"/>
  <c r="S180" i="29"/>
  <c r="T204" i="29"/>
  <c r="S201" i="29"/>
  <c r="T209" i="29"/>
  <c r="T210" i="29"/>
  <c r="S267" i="29"/>
  <c r="S325" i="29"/>
  <c r="T265" i="29"/>
  <c r="T316" i="29"/>
  <c r="S321" i="29"/>
  <c r="T300" i="29"/>
  <c r="S347" i="29"/>
  <c r="S398" i="29"/>
  <c r="S423" i="29"/>
  <c r="T583" i="29"/>
  <c r="S99" i="29"/>
  <c r="S86" i="29"/>
  <c r="S71" i="29"/>
  <c r="S64" i="29"/>
  <c r="T41" i="29"/>
  <c r="T59" i="29"/>
  <c r="S80" i="29"/>
  <c r="S136" i="29"/>
  <c r="T100" i="29"/>
  <c r="T174" i="29"/>
  <c r="T109" i="29"/>
  <c r="S150" i="29"/>
  <c r="T122" i="29"/>
  <c r="S123" i="29"/>
  <c r="T131" i="29"/>
  <c r="T164" i="29"/>
  <c r="T171" i="29"/>
  <c r="S195" i="29"/>
  <c r="T199" i="29"/>
  <c r="S196" i="29"/>
  <c r="T220" i="29"/>
  <c r="S217" i="29"/>
  <c r="T225" i="29"/>
  <c r="T238" i="29"/>
  <c r="T255" i="29"/>
  <c r="T256" i="29"/>
  <c r="S238" i="29"/>
  <c r="S369" i="29"/>
  <c r="T327" i="29"/>
  <c r="S362" i="29"/>
  <c r="S370" i="29"/>
  <c r="T402" i="29"/>
  <c r="S27" i="29"/>
  <c r="S28" i="29"/>
  <c r="S87" i="29"/>
  <c r="S106" i="29"/>
  <c r="T36" i="29"/>
  <c r="S51" i="29"/>
  <c r="S91" i="29"/>
  <c r="S110" i="29"/>
  <c r="S62" i="29"/>
  <c r="S82" i="29"/>
  <c r="S598" i="29"/>
  <c r="T605" i="29"/>
  <c r="S609" i="29"/>
  <c r="S593" i="29"/>
  <c r="T600" i="29"/>
  <c r="S612" i="29"/>
  <c r="S603" i="29"/>
  <c r="T594" i="29"/>
  <c r="S588" i="29"/>
  <c r="T591" i="29"/>
  <c r="S591" i="29"/>
  <c r="T606" i="29"/>
  <c r="T590" i="29"/>
  <c r="S582" i="29"/>
  <c r="T576" i="29"/>
  <c r="T560" i="29"/>
  <c r="S575" i="29"/>
  <c r="S559" i="29"/>
  <c r="S574" i="29"/>
  <c r="S585" i="29"/>
  <c r="T565" i="29"/>
  <c r="S550" i="29"/>
  <c r="T557" i="29"/>
  <c r="S577" i="29"/>
  <c r="S557" i="29"/>
  <c r="T573" i="29"/>
  <c r="T558" i="29"/>
  <c r="S578" i="29"/>
  <c r="T555" i="29"/>
  <c r="T566" i="29"/>
  <c r="S547" i="29"/>
  <c r="S541" i="29"/>
  <c r="S525" i="29"/>
  <c r="S540" i="29"/>
  <c r="S524" i="29"/>
  <c r="T539" i="29"/>
  <c r="T575" i="29"/>
  <c r="S535" i="29"/>
  <c r="T554" i="29"/>
  <c r="S530" i="29"/>
  <c r="T545" i="29"/>
  <c r="T529" i="29"/>
  <c r="T526" i="29"/>
  <c r="S507" i="29"/>
  <c r="T524" i="29"/>
  <c r="T514" i="29"/>
  <c r="S522" i="29"/>
  <c r="T540" i="29"/>
  <c r="T509" i="29"/>
  <c r="S513" i="29"/>
  <c r="T516" i="29"/>
  <c r="S512" i="29"/>
  <c r="T488" i="29"/>
  <c r="S505" i="29"/>
  <c r="T487" i="29"/>
  <c r="S491" i="29"/>
  <c r="S520" i="29"/>
  <c r="T486" i="29"/>
  <c r="T506" i="29"/>
  <c r="S494" i="29"/>
  <c r="T507" i="29"/>
  <c r="T472" i="29"/>
  <c r="T505" i="29"/>
  <c r="T481" i="29"/>
  <c r="S464" i="29"/>
  <c r="S481" i="29"/>
  <c r="T463" i="29"/>
  <c r="S475" i="29"/>
  <c r="T532" i="29"/>
  <c r="S474" i="29"/>
  <c r="T519" i="29"/>
  <c r="T478" i="29"/>
  <c r="T465" i="29"/>
  <c r="S56" i="29"/>
  <c r="T70" i="29"/>
  <c r="S20" i="29"/>
  <c r="S74" i="29"/>
  <c r="S89" i="29"/>
  <c r="S93" i="29"/>
  <c r="S25" i="29"/>
  <c r="S610" i="29"/>
  <c r="S594" i="29"/>
  <c r="T601" i="29"/>
  <c r="S605" i="29"/>
  <c r="T612" i="29"/>
  <c r="T596" i="29"/>
  <c r="S611" i="29"/>
  <c r="T602" i="29"/>
  <c r="T588" i="29"/>
  <c r="S584" i="29"/>
  <c r="T587" i="29"/>
  <c r="S587" i="29"/>
  <c r="S600" i="29"/>
  <c r="S627" i="29"/>
  <c r="T595" i="29"/>
  <c r="T572" i="29"/>
  <c r="T556" i="29"/>
  <c r="S571" i="29"/>
  <c r="T574" i="29"/>
  <c r="S570" i="29"/>
  <c r="T581" i="29"/>
  <c r="T561" i="29"/>
  <c r="S546" i="29"/>
  <c r="S553" i="29"/>
  <c r="T571" i="29"/>
  <c r="T552" i="29"/>
  <c r="S572" i="29"/>
  <c r="S552" i="29"/>
  <c r="S573" i="29"/>
  <c r="T551" i="29"/>
  <c r="S556" i="29"/>
  <c r="T603" i="29"/>
  <c r="S537" i="29"/>
  <c r="T593" i="29"/>
  <c r="S536" i="29"/>
  <c r="S583" i="29"/>
  <c r="T535" i="29"/>
  <c r="T550" i="29"/>
  <c r="S531" i="29"/>
  <c r="S542" i="29"/>
  <c r="S565" i="29"/>
  <c r="T541" i="29"/>
  <c r="T525" i="29"/>
  <c r="S519" i="29"/>
  <c r="S503" i="29"/>
  <c r="T523" i="29"/>
  <c r="T510" i="29"/>
  <c r="S518" i="29"/>
  <c r="T521" i="29"/>
  <c r="T534" i="29"/>
  <c r="S509" i="29"/>
  <c r="T512" i="29"/>
  <c r="T500" i="29"/>
  <c r="T484" i="29"/>
  <c r="T499" i="29"/>
  <c r="T511" i="29"/>
  <c r="S487" i="29"/>
  <c r="T498" i="29"/>
  <c r="T482" i="29"/>
  <c r="S504" i="29"/>
  <c r="S490" i="29"/>
  <c r="S496" i="29"/>
  <c r="T468" i="29"/>
  <c r="T501" i="29"/>
  <c r="S476" i="29"/>
  <c r="S501" i="29"/>
  <c r="T475" i="29"/>
  <c r="S497" i="29"/>
  <c r="S471" i="29"/>
  <c r="T503" i="29"/>
  <c r="S470" i="29"/>
  <c r="S502" i="29"/>
  <c r="T43" i="29"/>
  <c r="S44" i="29"/>
  <c r="T56" i="29"/>
  <c r="S65" i="29"/>
  <c r="T76" i="29"/>
  <c r="S60" i="29"/>
  <c r="T74" i="29"/>
  <c r="S17" i="29"/>
  <c r="S37" i="29"/>
  <c r="S45" i="29"/>
  <c r="S53" i="29"/>
  <c r="S97" i="29"/>
  <c r="S606" i="29"/>
  <c r="T613" i="29"/>
  <c r="T597" i="29"/>
  <c r="S601" i="29"/>
  <c r="T608" i="29"/>
  <c r="T592" i="29"/>
  <c r="T610" i="29"/>
  <c r="S596" i="29"/>
  <c r="T584" i="29"/>
  <c r="S580" i="29"/>
  <c r="T607" i="29"/>
  <c r="S608" i="29"/>
  <c r="S599" i="29"/>
  <c r="S590" i="29"/>
  <c r="T578" i="29"/>
  <c r="T568" i="29"/>
  <c r="S589" i="29"/>
  <c r="S567" i="29"/>
  <c r="T570" i="29"/>
  <c r="S566" i="29"/>
  <c r="S579" i="29"/>
  <c r="T559" i="29"/>
  <c r="S569" i="29"/>
  <c r="S549" i="29"/>
  <c r="S568" i="29"/>
  <c r="T548" i="29"/>
  <c r="T567" i="29"/>
  <c r="S548" i="29"/>
  <c r="T562" i="29"/>
  <c r="T547" i="29"/>
  <c r="S555" i="29"/>
  <c r="T585" i="29"/>
  <c r="S533" i="29"/>
  <c r="T569" i="29"/>
  <c r="S532" i="29"/>
  <c r="S544" i="29"/>
  <c r="T531" i="29"/>
  <c r="S543" i="29"/>
  <c r="S527" i="29"/>
  <c r="S538" i="29"/>
  <c r="T549" i="29"/>
  <c r="T537" i="29"/>
  <c r="S561" i="29"/>
  <c r="S515" i="29"/>
  <c r="T536" i="29"/>
  <c r="T522" i="29"/>
  <c r="T530" i="29"/>
  <c r="S514" i="29"/>
  <c r="T517" i="29"/>
  <c r="S521" i="29"/>
  <c r="T528" i="29"/>
  <c r="T508" i="29"/>
  <c r="T496" i="29"/>
  <c r="T480" i="29"/>
  <c r="T495" i="29"/>
  <c r="S499" i="29"/>
  <c r="S483" i="29"/>
  <c r="T494" i="29"/>
  <c r="T538" i="29"/>
  <c r="T502" i="29"/>
  <c r="S486" i="29"/>
  <c r="S480" i="29"/>
  <c r="T464" i="29"/>
  <c r="S492" i="29"/>
  <c r="S472" i="29"/>
  <c r="T497" i="29"/>
  <c r="T471" i="29"/>
  <c r="T493" i="29"/>
  <c r="S467" i="29"/>
  <c r="S489" i="29"/>
  <c r="S466" i="29"/>
  <c r="S485" i="29"/>
  <c r="T473" i="29"/>
  <c r="S58" i="29"/>
  <c r="S597" i="29"/>
  <c r="S595" i="29"/>
  <c r="S607" i="29"/>
  <c r="T564" i="29"/>
  <c r="S562" i="29"/>
  <c r="S545" i="29"/>
  <c r="T582" i="29"/>
  <c r="T579" i="29"/>
  <c r="T543" i="29"/>
  <c r="S534" i="29"/>
  <c r="S511" i="29"/>
  <c r="S510" i="29"/>
  <c r="T504" i="29"/>
  <c r="S495" i="29"/>
  <c r="S498" i="29"/>
  <c r="T483" i="29"/>
  <c r="S484" i="29"/>
  <c r="T479" i="29"/>
  <c r="S500" i="29"/>
  <c r="S473" i="29"/>
  <c r="S493" i="29"/>
  <c r="T449" i="29"/>
  <c r="T461" i="29"/>
  <c r="S445" i="29"/>
  <c r="S429" i="29"/>
  <c r="S413" i="29"/>
  <c r="T456" i="29"/>
  <c r="T470" i="29"/>
  <c r="S448" i="29"/>
  <c r="S432" i="29"/>
  <c r="T459" i="29"/>
  <c r="T443" i="29"/>
  <c r="T427" i="29"/>
  <c r="T411" i="29"/>
  <c r="S451" i="29"/>
  <c r="S435" i="29"/>
  <c r="S419" i="29"/>
  <c r="T466" i="29"/>
  <c r="S458" i="29"/>
  <c r="S430" i="29"/>
  <c r="S420" i="29"/>
  <c r="S397" i="29"/>
  <c r="S381" i="29"/>
  <c r="T418" i="29"/>
  <c r="T392" i="29"/>
  <c r="T376" i="29"/>
  <c r="S396" i="29"/>
  <c r="S380" i="29"/>
  <c r="T434" i="29"/>
  <c r="T409" i="29"/>
  <c r="T391" i="29"/>
  <c r="T375" i="29"/>
  <c r="S426" i="29"/>
  <c r="S403" i="29"/>
  <c r="S387" i="29"/>
  <c r="T417" i="29"/>
  <c r="T398" i="29"/>
  <c r="T382" i="29"/>
  <c r="S450" i="29"/>
  <c r="T406" i="29"/>
  <c r="S394" i="29"/>
  <c r="S378" i="29"/>
  <c r="T436" i="29"/>
  <c r="T420" i="29"/>
  <c r="S404" i="29"/>
  <c r="T389" i="29"/>
  <c r="T373" i="29"/>
  <c r="T356" i="29"/>
  <c r="T340" i="29"/>
  <c r="S356" i="29"/>
  <c r="S340" i="29"/>
  <c r="S324" i="29"/>
  <c r="T367" i="29"/>
  <c r="T351" i="29"/>
  <c r="T335" i="29"/>
  <c r="S359" i="29"/>
  <c r="S343" i="29"/>
  <c r="S327" i="29"/>
  <c r="S311" i="29"/>
  <c r="T362" i="29"/>
  <c r="T346" i="29"/>
  <c r="T330" i="29"/>
  <c r="T314" i="29"/>
  <c r="T357" i="29"/>
  <c r="T44" i="29"/>
  <c r="S602" i="29"/>
  <c r="T604" i="29"/>
  <c r="T580" i="29"/>
  <c r="T598" i="29"/>
  <c r="S581" i="29"/>
  <c r="S576" i="29"/>
  <c r="T563" i="29"/>
  <c r="S558" i="29"/>
  <c r="S529" i="29"/>
  <c r="T527" i="29"/>
  <c r="T546" i="29"/>
  <c r="S526" i="29"/>
  <c r="T513" i="29"/>
  <c r="T492" i="29"/>
  <c r="T553" i="29"/>
  <c r="S482" i="29"/>
  <c r="S468" i="29"/>
  <c r="S463" i="29"/>
  <c r="T477" i="29"/>
  <c r="S479" i="29"/>
  <c r="S469" i="29"/>
  <c r="T474" i="29"/>
  <c r="T445" i="29"/>
  <c r="S457" i="29"/>
  <c r="S441" i="29"/>
  <c r="S425" i="29"/>
  <c r="S409" i="29"/>
  <c r="T452" i="29"/>
  <c r="S460" i="29"/>
  <c r="S444" i="29"/>
  <c r="S428" i="29"/>
  <c r="T455" i="29"/>
  <c r="T439" i="29"/>
  <c r="T423" i="29"/>
  <c r="T407" i="29"/>
  <c r="S447" i="29"/>
  <c r="S431" i="29"/>
  <c r="S415" i="29"/>
  <c r="T458" i="29"/>
  <c r="T446" i="29"/>
  <c r="T429" i="29"/>
  <c r="T414" i="29"/>
  <c r="S393" i="29"/>
  <c r="S377" i="29"/>
  <c r="S414" i="29"/>
  <c r="T388" i="29"/>
  <c r="S418" i="29"/>
  <c r="S392" i="29"/>
  <c r="S376" i="29"/>
  <c r="T432" i="29"/>
  <c r="T403" i="29"/>
  <c r="T387" i="29"/>
  <c r="T371" i="29"/>
  <c r="S36" i="29"/>
  <c r="T609" i="29"/>
  <c r="T627" i="29"/>
  <c r="S592" i="29"/>
  <c r="S586" i="29"/>
  <c r="S563" i="29"/>
  <c r="S554" i="29"/>
  <c r="T589" i="29"/>
  <c r="T586" i="29"/>
  <c r="T544" i="29"/>
  <c r="S539" i="29"/>
  <c r="T533" i="29"/>
  <c r="T518" i="29"/>
  <c r="S517" i="29"/>
  <c r="S516" i="29"/>
  <c r="T490" i="29"/>
  <c r="T476" i="29"/>
  <c r="S488" i="29"/>
  <c r="T485" i="29"/>
  <c r="T469" i="29"/>
  <c r="S478" i="29"/>
  <c r="S465" i="29"/>
  <c r="T457" i="29"/>
  <c r="T441" i="29"/>
  <c r="S453" i="29"/>
  <c r="S437" i="29"/>
  <c r="S421" i="29"/>
  <c r="S405" i="29"/>
  <c r="T448" i="29"/>
  <c r="S456" i="29"/>
  <c r="S440" i="29"/>
  <c r="S424" i="29"/>
  <c r="T451" i="29"/>
  <c r="T435" i="29"/>
  <c r="T419" i="29"/>
  <c r="S459" i="29"/>
  <c r="S443" i="29"/>
  <c r="S427" i="29"/>
  <c r="S411" i="29"/>
  <c r="T454" i="29"/>
  <c r="S438" i="29"/>
  <c r="S422" i="29"/>
  <c r="S410" i="29"/>
  <c r="S389" i="29"/>
  <c r="S373" i="29"/>
  <c r="T400" i="29"/>
  <c r="T384" i="29"/>
  <c r="T405" i="29"/>
  <c r="S388" i="29"/>
  <c r="S454" i="29"/>
  <c r="T426" i="29"/>
  <c r="T399" i="29"/>
  <c r="T383" i="29"/>
  <c r="S434" i="29"/>
  <c r="T413" i="29"/>
  <c r="S395" i="29"/>
  <c r="S379" i="29"/>
  <c r="S408" i="29"/>
  <c r="T390" i="29"/>
  <c r="T374" i="29"/>
  <c r="T416" i="29"/>
  <c r="S402" i="29"/>
  <c r="S386" i="29"/>
  <c r="S442" i="29"/>
  <c r="T428" i="29"/>
  <c r="T410" i="29"/>
  <c r="T397" i="29"/>
  <c r="T381" i="29"/>
  <c r="T364" i="29"/>
  <c r="T348" i="29"/>
  <c r="S364" i="29"/>
  <c r="S348" i="29"/>
  <c r="S332" i="29"/>
  <c r="S316" i="29"/>
  <c r="T359" i="29"/>
  <c r="T343" i="29"/>
  <c r="S367" i="29"/>
  <c r="S351" i="29"/>
  <c r="S335" i="29"/>
  <c r="S319" i="29"/>
  <c r="S371" i="29"/>
  <c r="T354" i="29"/>
  <c r="T338" i="29"/>
  <c r="T322" i="29"/>
  <c r="T365" i="29"/>
  <c r="T349" i="29"/>
  <c r="T24" i="29"/>
  <c r="T599" i="29"/>
  <c r="S560" i="29"/>
  <c r="T542" i="29"/>
  <c r="T515" i="29"/>
  <c r="S506" i="29"/>
  <c r="T462" i="29"/>
  <c r="T460" i="29"/>
  <c r="T489" i="29"/>
  <c r="S455" i="29"/>
  <c r="T450" i="29"/>
  <c r="S385" i="29"/>
  <c r="S400" i="29"/>
  <c r="T395" i="29"/>
  <c r="T408" i="29"/>
  <c r="S375" i="29"/>
  <c r="T386" i="29"/>
  <c r="S412" i="29"/>
  <c r="S382" i="29"/>
  <c r="T422" i="29"/>
  <c r="T393" i="29"/>
  <c r="T360" i="29"/>
  <c r="S360" i="29"/>
  <c r="S328" i="29"/>
  <c r="T355" i="29"/>
  <c r="S363" i="29"/>
  <c r="S331" i="29"/>
  <c r="T366" i="29"/>
  <c r="T334" i="29"/>
  <c r="T361" i="29"/>
  <c r="T337" i="29"/>
  <c r="T321" i="29"/>
  <c r="S346" i="29"/>
  <c r="T308" i="29"/>
  <c r="T292" i="29"/>
  <c r="T276" i="29"/>
  <c r="S308" i="29"/>
  <c r="S292" i="29"/>
  <c r="S276" i="29"/>
  <c r="S345" i="29"/>
  <c r="T319" i="29"/>
  <c r="S337" i="29"/>
  <c r="S307" i="29"/>
  <c r="S349" i="29"/>
  <c r="T298" i="29"/>
  <c r="S310" i="29"/>
  <c r="S294" i="29"/>
  <c r="S278" i="29"/>
  <c r="S353" i="29"/>
  <c r="T324" i="29"/>
  <c r="S314" i="29"/>
  <c r="T297" i="29"/>
  <c r="T281" i="29"/>
  <c r="S287" i="29"/>
  <c r="S262" i="29"/>
  <c r="S246" i="29"/>
  <c r="S230" i="29"/>
  <c r="T278" i="29"/>
  <c r="T257" i="29"/>
  <c r="S309" i="29"/>
  <c r="S257" i="29"/>
  <c r="S241" i="29"/>
  <c r="S281" i="29"/>
  <c r="T264" i="29"/>
  <c r="T248" i="29"/>
  <c r="T232" i="29"/>
  <c r="T299" i="29"/>
  <c r="S273" i="29"/>
  <c r="S260" i="29"/>
  <c r="S305" i="29"/>
  <c r="T282" i="29"/>
  <c r="T263" i="29"/>
  <c r="T247" i="29"/>
  <c r="T231" i="29"/>
  <c r="S259" i="29"/>
  <c r="S243" i="29"/>
  <c r="T295" i="29"/>
  <c r="T279" i="29"/>
  <c r="T262" i="29"/>
  <c r="T246" i="29"/>
  <c r="T230" i="29"/>
  <c r="T218" i="29"/>
  <c r="T202" i="29"/>
  <c r="S226" i="29"/>
  <c r="S210" i="29"/>
  <c r="S194" i="29"/>
  <c r="S178" i="29"/>
  <c r="T577" i="29"/>
  <c r="S551" i="29"/>
  <c r="S523" i="29"/>
  <c r="S508" i="29"/>
  <c r="S477" i="29"/>
  <c r="S449" i="29"/>
  <c r="T444" i="29"/>
  <c r="T447" i="29"/>
  <c r="S439" i="29"/>
  <c r="T437" i="29"/>
  <c r="S446" i="29"/>
  <c r="S384" i="29"/>
  <c r="T379" i="29"/>
  <c r="S399" i="29"/>
  <c r="T412" i="29"/>
  <c r="T378" i="29"/>
  <c r="T404" i="29"/>
  <c r="S374" i="29"/>
  <c r="S416" i="29"/>
  <c r="T385" i="29"/>
  <c r="T352" i="29"/>
  <c r="S352" i="29"/>
  <c r="S320" i="29"/>
  <c r="T347" i="29"/>
  <c r="S355" i="29"/>
  <c r="S323" i="29"/>
  <c r="T358" i="29"/>
  <c r="T326" i="29"/>
  <c r="T353" i="29"/>
  <c r="T333" i="29"/>
  <c r="T317" i="29"/>
  <c r="S341" i="29"/>
  <c r="T304" i="29"/>
  <c r="T288" i="29"/>
  <c r="S334" i="29"/>
  <c r="S304" i="29"/>
  <c r="S288" i="29"/>
  <c r="S366" i="29"/>
  <c r="T328" i="29"/>
  <c r="T313" i="29"/>
  <c r="S329" i="29"/>
  <c r="S303" i="29"/>
  <c r="T310" i="29"/>
  <c r="S330" i="29"/>
  <c r="S306" i="29"/>
  <c r="S290" i="29"/>
  <c r="S274" i="29"/>
  <c r="S342" i="29"/>
  <c r="T323" i="29"/>
  <c r="T309" i="29"/>
  <c r="T293" i="29"/>
  <c r="T277" i="29"/>
  <c r="S279" i="29"/>
  <c r="S258" i="29"/>
  <c r="S242" i="29"/>
  <c r="S317" i="29"/>
  <c r="T269" i="29"/>
  <c r="T253" i="29"/>
  <c r="S269" i="29"/>
  <c r="S253" i="29"/>
  <c r="T291" i="29"/>
  <c r="T275" i="29"/>
  <c r="T260" i="29"/>
  <c r="T244" i="29"/>
  <c r="S338" i="29"/>
  <c r="S291" i="29"/>
  <c r="S272" i="29"/>
  <c r="S256" i="29"/>
  <c r="S299" i="29"/>
  <c r="T274" i="29"/>
  <c r="T259" i="29"/>
  <c r="T243" i="29"/>
  <c r="S271" i="29"/>
  <c r="S255" i="29"/>
  <c r="S239" i="29"/>
  <c r="S293" i="29"/>
  <c r="S277" i="29"/>
  <c r="T258" i="29"/>
  <c r="T242" i="29"/>
  <c r="S235" i="29"/>
  <c r="T214" i="29"/>
  <c r="T198" i="29"/>
  <c r="S222" i="29"/>
  <c r="S206" i="29"/>
  <c r="S190" i="29"/>
  <c r="T63" i="29"/>
  <c r="T111" i="29"/>
  <c r="S100" i="29"/>
  <c r="S128" i="29"/>
  <c r="S146" i="29"/>
  <c r="S164" i="29"/>
  <c r="T88" i="29"/>
  <c r="T104" i="29"/>
  <c r="T120" i="29"/>
  <c r="S156" i="29"/>
  <c r="T49" i="29"/>
  <c r="T65" i="29"/>
  <c r="T81" i="29"/>
  <c r="T97" i="29"/>
  <c r="T113" i="29"/>
  <c r="S124" i="29"/>
  <c r="T133" i="29"/>
  <c r="S142" i="29"/>
  <c r="T161" i="29"/>
  <c r="T90" i="29"/>
  <c r="T106" i="29"/>
  <c r="T132" i="29"/>
  <c r="T126" i="29"/>
  <c r="T142" i="29"/>
  <c r="T158" i="29"/>
  <c r="T173" i="29"/>
  <c r="S127" i="29"/>
  <c r="S143" i="29"/>
  <c r="S159" i="29"/>
  <c r="T119" i="29"/>
  <c r="T135" i="29"/>
  <c r="T151" i="29"/>
  <c r="T167" i="29"/>
  <c r="T182" i="29"/>
  <c r="S145" i="29"/>
  <c r="T178" i="29"/>
  <c r="S162" i="29"/>
  <c r="T190" i="29"/>
  <c r="S215" i="29"/>
  <c r="T187" i="29"/>
  <c r="T219" i="29"/>
  <c r="T233" i="29"/>
  <c r="S173" i="29"/>
  <c r="S221" i="29"/>
  <c r="T197" i="29"/>
  <c r="S236" i="29"/>
  <c r="T237" i="29"/>
  <c r="T250" i="29"/>
  <c r="S247" i="29"/>
  <c r="T267" i="29"/>
  <c r="T236" i="29"/>
  <c r="S245" i="29"/>
  <c r="S250" i="29"/>
  <c r="T301" i="29"/>
  <c r="S282" i="29"/>
  <c r="S354" i="29"/>
  <c r="S350" i="29"/>
  <c r="T280" i="29"/>
  <c r="T325" i="29"/>
  <c r="T369" i="29"/>
  <c r="T372" i="29"/>
  <c r="S336" i="29"/>
  <c r="T368" i="29"/>
  <c r="T442" i="29"/>
  <c r="S383" i="29"/>
  <c r="T424" i="29"/>
  <c r="S401" i="29"/>
  <c r="T415" i="29"/>
  <c r="S417" i="29"/>
  <c r="S462" i="29"/>
  <c r="S604" i="29"/>
  <c r="S199" i="29"/>
  <c r="S240" i="29"/>
  <c r="S184" i="29"/>
  <c r="T430" i="29"/>
  <c r="S55" i="29"/>
  <c r="S48" i="29"/>
  <c r="T33" i="29"/>
  <c r="T17" i="29"/>
  <c r="T51" i="29"/>
  <c r="T67" i="29"/>
  <c r="T83" i="29"/>
  <c r="T99" i="29"/>
  <c r="T115" i="29"/>
  <c r="S88" i="29"/>
  <c r="S104" i="29"/>
  <c r="S120" i="29"/>
  <c r="T129" i="29"/>
  <c r="S138" i="29"/>
  <c r="S152" i="29"/>
  <c r="T169" i="29"/>
  <c r="T92" i="29"/>
  <c r="T108" i="29"/>
  <c r="T128" i="29"/>
  <c r="S113" i="29"/>
  <c r="S160" i="29"/>
  <c r="T53" i="29"/>
  <c r="T69" i="29"/>
  <c r="T85" i="29"/>
  <c r="T101" i="29"/>
  <c r="T117" i="29"/>
  <c r="T125" i="29"/>
  <c r="S134" i="29"/>
  <c r="S148" i="29"/>
  <c r="T78" i="29"/>
  <c r="T94" i="29"/>
  <c r="T110" i="29"/>
  <c r="T140" i="29"/>
  <c r="T130" i="29"/>
  <c r="T146" i="29"/>
  <c r="T162" i="29"/>
  <c r="T180" i="29"/>
  <c r="S131" i="29"/>
  <c r="S147" i="29"/>
  <c r="S163" i="29"/>
  <c r="T123" i="29"/>
  <c r="T139" i="29"/>
  <c r="T155" i="29"/>
  <c r="S174" i="29"/>
  <c r="T156" i="29"/>
  <c r="T188" i="29"/>
  <c r="S133" i="29"/>
  <c r="S149" i="29"/>
  <c r="S165" i="29"/>
  <c r="T194" i="29"/>
  <c r="S166" i="29"/>
  <c r="S171" i="29"/>
  <c r="S187" i="29"/>
  <c r="S203" i="29"/>
  <c r="S219" i="29"/>
  <c r="T175" i="29"/>
  <c r="T191" i="29"/>
  <c r="T207" i="29"/>
  <c r="T223" i="29"/>
  <c r="S172" i="29"/>
  <c r="S188" i="29"/>
  <c r="S204" i="29"/>
  <c r="S220" i="29"/>
  <c r="T241" i="29"/>
  <c r="T212" i="29"/>
  <c r="T228" i="29"/>
  <c r="S177" i="29"/>
  <c r="S193" i="29"/>
  <c r="S209" i="29"/>
  <c r="S225" i="29"/>
  <c r="T185" i="29"/>
  <c r="T201" i="29"/>
  <c r="T217" i="29"/>
  <c r="S237" i="29"/>
  <c r="S202" i="29"/>
  <c r="S244" i="29"/>
  <c r="T226" i="29"/>
  <c r="T254" i="29"/>
  <c r="T287" i="29"/>
  <c r="S251" i="29"/>
  <c r="T239" i="29"/>
  <c r="T271" i="29"/>
  <c r="S252" i="29"/>
  <c r="S283" i="29"/>
  <c r="T240" i="29"/>
  <c r="T272" i="29"/>
  <c r="S249" i="29"/>
  <c r="T249" i="29"/>
  <c r="T294" i="29"/>
  <c r="S254" i="29"/>
  <c r="T273" i="29"/>
  <c r="T305" i="29"/>
  <c r="T332" i="29"/>
  <c r="S286" i="29"/>
  <c r="S322" i="29"/>
  <c r="S365" i="29"/>
  <c r="T307" i="29"/>
  <c r="S361" i="29"/>
  <c r="S300" i="29"/>
  <c r="T284" i="29"/>
  <c r="T336" i="29"/>
  <c r="T329" i="29"/>
  <c r="T318" i="29"/>
  <c r="S315" i="29"/>
  <c r="T339" i="29"/>
  <c r="S344" i="29"/>
  <c r="T377" i="29"/>
  <c r="T438" i="29"/>
  <c r="T370" i="29"/>
  <c r="S391" i="29"/>
  <c r="T440" i="29"/>
  <c r="T421" i="29"/>
  <c r="T431" i="29"/>
  <c r="S433" i="29"/>
  <c r="T467" i="29"/>
  <c r="S528" i="29"/>
  <c r="S613" i="29"/>
  <c r="T62" i="29"/>
  <c r="T45" i="29"/>
  <c r="T29" i="29"/>
  <c r="T47" i="29"/>
  <c r="T79" i="29"/>
  <c r="T95" i="29"/>
  <c r="S84" i="29"/>
  <c r="S116" i="29"/>
  <c r="T137" i="29"/>
  <c r="T152" i="29"/>
  <c r="T168" i="29"/>
  <c r="S129" i="29"/>
  <c r="S161" i="29"/>
  <c r="S183" i="29"/>
  <c r="T203" i="29"/>
  <c r="S233" i="29"/>
  <c r="S200" i="29"/>
  <c r="S216" i="29"/>
  <c r="T208" i="29"/>
  <c r="T224" i="29"/>
  <c r="S189" i="29"/>
  <c r="S205" i="29"/>
  <c r="T181" i="29"/>
  <c r="T213" i="29"/>
  <c r="S198" i="29"/>
  <c r="T222" i="29"/>
  <c r="S285" i="29"/>
  <c r="T235" i="29"/>
  <c r="S248" i="29"/>
  <c r="S275" i="29"/>
  <c r="T268" i="29"/>
  <c r="T245" i="29"/>
  <c r="T286" i="29"/>
  <c r="S295" i="29"/>
  <c r="T331" i="29"/>
  <c r="T311" i="29"/>
  <c r="T303" i="29"/>
  <c r="S296" i="29"/>
  <c r="S312" i="29"/>
  <c r="S372" i="29"/>
  <c r="T611" i="29"/>
  <c r="S101" i="29"/>
  <c r="T37" i="29"/>
  <c r="T21" i="29"/>
  <c r="T55" i="29"/>
  <c r="T71" i="29"/>
  <c r="T87" i="29"/>
  <c r="T103" i="29"/>
  <c r="S76" i="29"/>
  <c r="S92" i="29"/>
  <c r="S108" i="29"/>
  <c r="T121" i="29"/>
  <c r="S130" i="29"/>
  <c r="S144" i="29"/>
  <c r="T153" i="29"/>
  <c r="T80" i="29"/>
  <c r="T96" i="29"/>
  <c r="T112" i="29"/>
  <c r="T136" i="29"/>
  <c r="S117" i="29"/>
  <c r="T165" i="29"/>
  <c r="T57" i="29"/>
  <c r="T73" i="29"/>
  <c r="T89" i="29"/>
  <c r="T105" i="29"/>
  <c r="T118" i="29"/>
  <c r="S126" i="29"/>
  <c r="S140" i="29"/>
  <c r="T149" i="29"/>
  <c r="T82" i="29"/>
  <c r="T98" i="29"/>
  <c r="T114" i="29"/>
  <c r="T148" i="29"/>
  <c r="T134" i="29"/>
  <c r="T150" i="29"/>
  <c r="T166" i="29"/>
  <c r="T196" i="29"/>
  <c r="S135" i="29"/>
  <c r="S151" i="29"/>
  <c r="S167" i="29"/>
  <c r="T127" i="29"/>
  <c r="T143" i="29"/>
  <c r="T159" i="29"/>
  <c r="T176" i="29"/>
  <c r="T160" i="29"/>
  <c r="S121" i="29"/>
  <c r="S137" i="29"/>
  <c r="S153" i="29"/>
  <c r="S169" i="29"/>
  <c r="T184" i="29"/>
  <c r="S170" i="29"/>
  <c r="S175" i="29"/>
  <c r="S191" i="29"/>
  <c r="S207" i="29"/>
  <c r="S223" i="29"/>
  <c r="T179" i="29"/>
  <c r="T195" i="29"/>
  <c r="T211" i="29"/>
  <c r="T227" i="29"/>
  <c r="S176" i="29"/>
  <c r="S192" i="29"/>
  <c r="S208" i="29"/>
  <c r="S224" i="29"/>
  <c r="T200" i="29"/>
  <c r="T216" i="29"/>
  <c r="S229" i="29"/>
  <c r="S181" i="29"/>
  <c r="S197" i="29"/>
  <c r="S213" i="29"/>
  <c r="T229" i="29"/>
  <c r="T189" i="29"/>
  <c r="T205" i="29"/>
  <c r="T221" i="29"/>
  <c r="S182" i="29"/>
  <c r="S214" i="29"/>
  <c r="T206" i="29"/>
  <c r="T234" i="29"/>
  <c r="T266" i="29"/>
  <c r="T312" i="29"/>
  <c r="S263" i="29"/>
  <c r="T251" i="29"/>
  <c r="T290" i="29"/>
  <c r="S264" i="29"/>
  <c r="S301" i="29"/>
  <c r="T252" i="29"/>
  <c r="T283" i="29"/>
  <c r="S261" i="29"/>
  <c r="T261" i="29"/>
  <c r="S234" i="29"/>
  <c r="S266" i="29"/>
  <c r="T285" i="29"/>
  <c r="T315" i="29"/>
  <c r="S358" i="29"/>
  <c r="S298" i="29"/>
  <c r="T302" i="29"/>
  <c r="S313" i="29"/>
  <c r="T320" i="29"/>
  <c r="S280" i="29"/>
  <c r="S318" i="29"/>
  <c r="T296" i="29"/>
  <c r="S357" i="29"/>
  <c r="T341" i="29"/>
  <c r="T342" i="29"/>
  <c r="S339" i="29"/>
  <c r="T363" i="29"/>
  <c r="S368" i="29"/>
  <c r="T401" i="29"/>
  <c r="S390" i="29"/>
  <c r="T394" i="29"/>
  <c r="T425" i="29"/>
  <c r="T380" i="29"/>
  <c r="S407" i="29"/>
  <c r="S436" i="29"/>
  <c r="T453" i="29"/>
  <c r="T491" i="29"/>
  <c r="S564" i="29"/>
  <c r="S95" i="29"/>
  <c r="S69" i="29"/>
  <c r="T60" i="29"/>
  <c r="S29" i="29"/>
  <c r="S21" i="29"/>
  <c r="S13" i="29"/>
  <c r="S67" i="29"/>
  <c r="T58" i="29"/>
  <c r="T20" i="29"/>
  <c r="T72" i="29"/>
  <c r="S83" i="29"/>
  <c r="S63" i="29"/>
  <c r="T54" i="29"/>
  <c r="T19" i="29"/>
  <c r="T68" i="29"/>
  <c r="S119" i="29"/>
  <c r="S41" i="29"/>
  <c r="S33" i="29"/>
  <c r="T28" i="29"/>
  <c r="T16" i="29"/>
  <c r="S75" i="29"/>
  <c r="T40" i="29"/>
  <c r="T32" i="29"/>
  <c r="S168" i="29"/>
  <c r="S115" i="29"/>
  <c r="S77" i="29"/>
  <c r="S40" i="29"/>
  <c r="S32" i="29"/>
  <c r="S24" i="29"/>
  <c r="S16" i="29"/>
  <c r="S102" i="29"/>
  <c r="T27" i="29"/>
  <c r="R55" i="29"/>
  <c r="Q71" i="29"/>
  <c r="Q76" i="29"/>
  <c r="Q81" i="29"/>
  <c r="R75" i="29"/>
  <c r="R179" i="29"/>
  <c r="Q236" i="29"/>
  <c r="Q290" i="29"/>
  <c r="Q251" i="29"/>
  <c r="R289" i="29"/>
  <c r="R374" i="29"/>
  <c r="R422" i="29"/>
  <c r="Q474" i="29"/>
  <c r="R485" i="29"/>
  <c r="Q577" i="29"/>
  <c r="R21" i="29"/>
  <c r="Q114" i="29"/>
  <c r="Q140" i="29"/>
  <c r="R188" i="29"/>
  <c r="Q219" i="29"/>
  <c r="Q363" i="29"/>
  <c r="Q299" i="29"/>
  <c r="R355" i="29"/>
  <c r="R395" i="29"/>
  <c r="Q460" i="29"/>
  <c r="R512" i="29"/>
  <c r="R519" i="29"/>
  <c r="AC625" i="29"/>
  <c r="Q98" i="29"/>
  <c r="Q14" i="29"/>
  <c r="R54" i="29"/>
  <c r="R128" i="29"/>
  <c r="R224" i="29"/>
  <c r="R207" i="29"/>
  <c r="Q298" i="29"/>
  <c r="Q359" i="29"/>
  <c r="Q324" i="29"/>
  <c r="R372" i="29"/>
  <c r="R428" i="29"/>
  <c r="R465" i="29"/>
  <c r="Q531" i="29"/>
  <c r="Q604" i="29"/>
  <c r="R39" i="29"/>
  <c r="Q112" i="29"/>
  <c r="Q62" i="29"/>
  <c r="R17" i="29"/>
  <c r="R51" i="29"/>
  <c r="R28" i="29"/>
  <c r="R60" i="29"/>
  <c r="R78" i="29"/>
  <c r="R164" i="29"/>
  <c r="Q205" i="29"/>
  <c r="R247" i="29"/>
  <c r="Q258" i="29"/>
  <c r="Q350" i="29"/>
  <c r="Q356" i="29"/>
  <c r="R400" i="29"/>
  <c r="Q461" i="29"/>
  <c r="R482" i="29"/>
  <c r="R524" i="29"/>
  <c r="Q153" i="29"/>
  <c r="Q15" i="29"/>
  <c r="Q94" i="29"/>
  <c r="Q19" i="29"/>
  <c r="R35" i="29"/>
  <c r="Q24" i="29"/>
  <c r="Q56" i="29"/>
  <c r="Q83" i="29"/>
  <c r="Q607" i="29"/>
  <c r="R594" i="29"/>
  <c r="R605" i="29"/>
  <c r="R577" i="29"/>
  <c r="Q585" i="29"/>
  <c r="Q597" i="29"/>
  <c r="R599" i="29"/>
  <c r="Q580" i="29"/>
  <c r="Q578" i="29"/>
  <c r="R575" i="29"/>
  <c r="Q566" i="29"/>
  <c r="Q561" i="29"/>
  <c r="R564" i="29"/>
  <c r="Q549" i="29"/>
  <c r="R548" i="29"/>
  <c r="Q552" i="29"/>
  <c r="Q530" i="29"/>
  <c r="Q586" i="29"/>
  <c r="R556" i="29"/>
  <c r="Q543" i="29"/>
  <c r="R538" i="29"/>
  <c r="Q508" i="29"/>
  <c r="R576" i="29"/>
  <c r="R559" i="29"/>
  <c r="R529" i="29"/>
  <c r="Q39" i="29"/>
  <c r="Q61" i="29"/>
  <c r="Q92" i="29"/>
  <c r="R23" i="29"/>
  <c r="Q63" i="29"/>
  <c r="Q20" i="29"/>
  <c r="Q102" i="29"/>
  <c r="Q595" i="29"/>
  <c r="Q598" i="29"/>
  <c r="R589" i="29"/>
  <c r="R595" i="29"/>
  <c r="Q605" i="29"/>
  <c r="Q591" i="29"/>
  <c r="R569" i="29"/>
  <c r="Q568" i="29"/>
  <c r="Q571" i="29"/>
  <c r="R583" i="29"/>
  <c r="Q570" i="29"/>
  <c r="Q553" i="29"/>
  <c r="Q590" i="29"/>
  <c r="Q544" i="29"/>
  <c r="Q541" i="29"/>
  <c r="R47" i="29"/>
  <c r="Q79" i="29"/>
  <c r="R31" i="29"/>
  <c r="Q78" i="29"/>
  <c r="Q28" i="29"/>
  <c r="Q65" i="29"/>
  <c r="Q121" i="29"/>
  <c r="R606" i="29"/>
  <c r="R613" i="29"/>
  <c r="R581" i="29"/>
  <c r="Q581" i="29"/>
  <c r="Q588" i="29"/>
  <c r="Q583" i="29"/>
  <c r="R561" i="29"/>
  <c r="Q560" i="29"/>
  <c r="Q563" i="29"/>
  <c r="Q565" i="29"/>
  <c r="R553" i="29"/>
  <c r="R590" i="29"/>
  <c r="R578" i="29"/>
  <c r="R545" i="29"/>
  <c r="Q533" i="29"/>
  <c r="R528" i="29"/>
  <c r="Q584" i="29"/>
  <c r="R534" i="29"/>
  <c r="Q558" i="29"/>
  <c r="R541" i="29"/>
  <c r="R518" i="29"/>
  <c r="Q510" i="29"/>
  <c r="R533" i="29"/>
  <c r="R481" i="29"/>
  <c r="R484" i="29"/>
  <c r="Q484" i="29"/>
  <c r="R525" i="29"/>
  <c r="R490" i="29"/>
  <c r="Q490" i="29"/>
  <c r="Q469" i="29"/>
  <c r="R472" i="29"/>
  <c r="Q472" i="29"/>
  <c r="Q463" i="29"/>
  <c r="Q498" i="29"/>
  <c r="R454" i="29"/>
  <c r="Q446" i="29"/>
  <c r="Q414" i="29"/>
  <c r="R445" i="29"/>
  <c r="Q441" i="29"/>
  <c r="R456" i="29"/>
  <c r="R424" i="29"/>
  <c r="Q452" i="29"/>
  <c r="Q420" i="29"/>
  <c r="Q451" i="29"/>
  <c r="Q390" i="29"/>
  <c r="R430" i="29"/>
  <c r="R397" i="29"/>
  <c r="R439" i="29"/>
  <c r="Q393" i="29"/>
  <c r="Q419" i="29"/>
  <c r="R380" i="29"/>
  <c r="Q388" i="29"/>
  <c r="R426" i="29"/>
  <c r="R387" i="29"/>
  <c r="R417" i="29"/>
  <c r="Q379" i="29"/>
  <c r="R398" i="29"/>
  <c r="R369" i="29"/>
  <c r="Q369" i="29"/>
  <c r="Q337" i="29"/>
  <c r="R360" i="29"/>
  <c r="Q364" i="29"/>
  <c r="Q332" i="29"/>
  <c r="R359" i="29"/>
  <c r="R327" i="29"/>
  <c r="R358" i="29"/>
  <c r="R326" i="29"/>
  <c r="Q314" i="29"/>
  <c r="Q43" i="29"/>
  <c r="R13" i="29"/>
  <c r="R14" i="29"/>
  <c r="Q54" i="29"/>
  <c r="Q111" i="29"/>
  <c r="Q44" i="29"/>
  <c r="Q603" i="29"/>
  <c r="Q606" i="29"/>
  <c r="R593" i="29"/>
  <c r="R603" i="29"/>
  <c r="R588" i="29"/>
  <c r="R607" i="29"/>
  <c r="R586" i="29"/>
  <c r="Q576" i="29"/>
  <c r="Q601" i="29"/>
  <c r="Q547" i="29"/>
  <c r="Q546" i="29"/>
  <c r="R563" i="29"/>
  <c r="R560" i="29"/>
  <c r="R558" i="29"/>
  <c r="Q526" i="29"/>
  <c r="R551" i="29"/>
  <c r="Q536" i="29"/>
  <c r="Q527" i="29"/>
  <c r="Q520" i="29"/>
  <c r="R511" i="29"/>
  <c r="Q507" i="29"/>
  <c r="Q523" i="29"/>
  <c r="R517" i="29"/>
  <c r="R497" i="29"/>
  <c r="R500" i="29"/>
  <c r="Q500" i="29"/>
  <c r="R495" i="29"/>
  <c r="Q491" i="29"/>
  <c r="R477" i="29"/>
  <c r="Q479" i="29"/>
  <c r="R504" i="29"/>
  <c r="Q509" i="29"/>
  <c r="Q493" i="29"/>
  <c r="R470" i="29"/>
  <c r="Q470" i="29"/>
  <c r="R475" i="29"/>
  <c r="Q430" i="29"/>
  <c r="R461" i="29"/>
  <c r="Q457" i="29"/>
  <c r="Q425" i="29"/>
  <c r="R440" i="29"/>
  <c r="R408" i="29"/>
  <c r="Q436" i="29"/>
  <c r="Q404" i="29"/>
  <c r="R406" i="29"/>
  <c r="Q374" i="29"/>
  <c r="R415" i="29"/>
  <c r="R381" i="29"/>
  <c r="Q415" i="29"/>
  <c r="Q377" i="29"/>
  <c r="R396" i="29"/>
  <c r="Q405" i="29"/>
  <c r="Q455" i="29"/>
  <c r="R403" i="29"/>
  <c r="R371" i="29"/>
  <c r="Q395" i="29"/>
  <c r="Q427" i="29"/>
  <c r="R382" i="29"/>
  <c r="R353" i="29"/>
  <c r="Q353" i="29"/>
  <c r="Q321" i="29"/>
  <c r="R344" i="29"/>
  <c r="Q348" i="29"/>
  <c r="Q316" i="29"/>
  <c r="R343" i="29"/>
  <c r="R311" i="29"/>
  <c r="R342" i="29"/>
  <c r="Q338" i="29"/>
  <c r="R297" i="29"/>
  <c r="Q367" i="29"/>
  <c r="Q297" i="29"/>
  <c r="Q318" i="29"/>
  <c r="R320" i="29"/>
  <c r="R313" i="29"/>
  <c r="Q313" i="29"/>
  <c r="Q279" i="29"/>
  <c r="R298" i="29"/>
  <c r="Q271" i="29"/>
  <c r="Q239" i="29"/>
  <c r="R279" i="29"/>
  <c r="R324" i="29"/>
  <c r="Q278" i="29"/>
  <c r="Q242" i="29"/>
  <c r="R265" i="29"/>
  <c r="R233" i="29"/>
  <c r="Q257" i="29"/>
  <c r="R273" i="29"/>
  <c r="R244" i="29"/>
  <c r="R276" i="29"/>
  <c r="Q252" i="29"/>
  <c r="Q276" i="29"/>
  <c r="R243" i="29"/>
  <c r="R215" i="29"/>
  <c r="Q215" i="29"/>
  <c r="Q183" i="29"/>
  <c r="R206" i="29"/>
  <c r="R242" i="29"/>
  <c r="Q214" i="29"/>
  <c r="Q182" i="29"/>
  <c r="R213" i="29"/>
  <c r="Q213" i="29"/>
  <c r="Q181" i="29"/>
  <c r="R212" i="29"/>
  <c r="R180" i="29"/>
  <c r="Q216" i="29"/>
  <c r="Q184" i="29"/>
  <c r="Q163" i="29"/>
  <c r="Q158" i="29"/>
  <c r="Q126" i="29"/>
  <c r="R157" i="29"/>
  <c r="R152" i="29"/>
  <c r="R120" i="29"/>
  <c r="Q152" i="29"/>
  <c r="Q120" i="29"/>
  <c r="R143" i="29"/>
  <c r="R115" i="29"/>
  <c r="R83" i="29"/>
  <c r="Q123" i="29"/>
  <c r="R134" i="29"/>
  <c r="R98" i="29"/>
  <c r="R66" i="29"/>
  <c r="Q149" i="29"/>
  <c r="R113" i="29"/>
  <c r="R81" i="29"/>
  <c r="Q109" i="29"/>
  <c r="Q77" i="29"/>
  <c r="R137" i="29"/>
  <c r="R104" i="29"/>
  <c r="R72" i="29"/>
  <c r="R49" i="29"/>
  <c r="Q106" i="29"/>
  <c r="Q60" i="29"/>
  <c r="Q23" i="29"/>
  <c r="Q27" i="29"/>
  <c r="Q35" i="29"/>
  <c r="R19" i="29"/>
  <c r="R61" i="29"/>
  <c r="Q16" i="29"/>
  <c r="Q49" i="29"/>
  <c r="Q100" i="29"/>
  <c r="Q599" i="29"/>
  <c r="Q602" i="29"/>
  <c r="Q593" i="29"/>
  <c r="R596" i="29"/>
  <c r="Q613" i="29"/>
  <c r="R600" i="29"/>
  <c r="R573" i="29"/>
  <c r="Q572" i="29"/>
  <c r="Q575" i="29"/>
  <c r="Q609" i="29"/>
  <c r="R580" i="29"/>
  <c r="Q557" i="29"/>
  <c r="R552" i="29"/>
  <c r="Q548" i="29"/>
  <c r="R547" i="29"/>
  <c r="R540" i="29"/>
  <c r="Q532" i="29"/>
  <c r="R566" i="29"/>
  <c r="Q516" i="29"/>
  <c r="R507" i="29"/>
  <c r="R535" i="29"/>
  <c r="Q522" i="29"/>
  <c r="R513" i="29"/>
  <c r="R493" i="29"/>
  <c r="R496" i="29"/>
  <c r="Q496" i="29"/>
  <c r="R491" i="29"/>
  <c r="Q487" i="29"/>
  <c r="R473" i="29"/>
  <c r="Q478" i="29"/>
  <c r="Q486" i="29"/>
  <c r="Q501" i="29"/>
  <c r="Q475" i="29"/>
  <c r="R466" i="29"/>
  <c r="Q466" i="29"/>
  <c r="Q458" i="29"/>
  <c r="Q426" i="29"/>
  <c r="R457" i="29"/>
  <c r="Q453" i="29"/>
  <c r="Q421" i="29"/>
  <c r="R436" i="29"/>
  <c r="R404" i="29"/>
  <c r="Q432" i="29"/>
  <c r="R459" i="29"/>
  <c r="Q402" i="29"/>
  <c r="Q370" i="29"/>
  <c r="Q411" i="29"/>
  <c r="R377" i="29"/>
  <c r="R414" i="29"/>
  <c r="Q439" i="29"/>
  <c r="R392" i="29"/>
  <c r="Q400" i="29"/>
  <c r="R443" i="29"/>
  <c r="R399" i="29"/>
  <c r="Q443" i="29"/>
  <c r="Q391" i="29"/>
  <c r="Q417" i="29"/>
  <c r="R378" i="29"/>
  <c r="R349" i="29"/>
  <c r="Q349" i="29"/>
  <c r="Q317" i="29"/>
  <c r="R340" i="29"/>
  <c r="Q344" i="29"/>
  <c r="Q312" i="29"/>
  <c r="R339" i="29"/>
  <c r="Q373" i="29"/>
  <c r="R338" i="29"/>
  <c r="R333" i="29"/>
  <c r="R293" i="29"/>
  <c r="Q362" i="29"/>
  <c r="Q293" i="29"/>
  <c r="R308" i="29"/>
  <c r="Q319" i="29"/>
  <c r="R307" i="29"/>
  <c r="Q307" i="29"/>
  <c r="Q275" i="29"/>
  <c r="R294" i="29"/>
  <c r="Q267" i="29"/>
  <c r="Q235" i="29"/>
  <c r="R270" i="29"/>
  <c r="Q302" i="29"/>
  <c r="Q270" i="29"/>
  <c r="Q331" i="29"/>
  <c r="R261" i="29"/>
  <c r="R229" i="29"/>
  <c r="Q253" i="29"/>
  <c r="R272" i="29"/>
  <c r="R240" i="29"/>
  <c r="Q274" i="29"/>
  <c r="Q248" i="29"/>
  <c r="R271" i="29"/>
  <c r="R239" i="29"/>
  <c r="R211" i="29"/>
  <c r="Q211" i="29"/>
  <c r="Q179" i="29"/>
  <c r="R202" i="29"/>
  <c r="R238" i="29"/>
  <c r="Q210" i="29"/>
  <c r="Q178" i="29"/>
  <c r="R209" i="29"/>
  <c r="Q209" i="29"/>
  <c r="Q177" i="29"/>
  <c r="R208" i="29"/>
  <c r="R176" i="29"/>
  <c r="Q212" i="29"/>
  <c r="Q180" i="29"/>
  <c r="Q159" i="29"/>
  <c r="Q154" i="29"/>
  <c r="Q122" i="29"/>
  <c r="R193" i="29"/>
  <c r="R148" i="29"/>
  <c r="R197" i="29"/>
  <c r="Q148" i="29"/>
  <c r="R191" i="29"/>
  <c r="R139" i="29"/>
  <c r="R111" i="29"/>
  <c r="R79" i="29"/>
  <c r="Q119" i="29"/>
  <c r="R133" i="29"/>
  <c r="R94" i="29"/>
  <c r="R62" i="29"/>
  <c r="Q141" i="29"/>
  <c r="R109" i="29"/>
  <c r="R158" i="29"/>
  <c r="Q105" i="29"/>
  <c r="Q175" i="29"/>
  <c r="R130" i="29"/>
  <c r="R100" i="29"/>
  <c r="R68" i="29"/>
  <c r="Q51" i="29"/>
  <c r="Q87" i="29"/>
  <c r="Q17" i="29"/>
  <c r="Q25" i="29"/>
  <c r="Q33" i="29"/>
  <c r="Q41" i="29"/>
  <c r="Q108" i="29"/>
  <c r="R59" i="29"/>
  <c r="Q96" i="29"/>
  <c r="R602" i="29"/>
  <c r="R612" i="29"/>
  <c r="Q592" i="29"/>
  <c r="R557" i="29"/>
  <c r="R584" i="29"/>
  <c r="R549" i="29"/>
  <c r="R574" i="29"/>
  <c r="Q529" i="29"/>
  <c r="Q528" i="29"/>
  <c r="R526" i="29"/>
  <c r="R555" i="29"/>
  <c r="R506" i="29"/>
  <c r="Q513" i="29"/>
  <c r="R492" i="29"/>
  <c r="Q521" i="29"/>
  <c r="Q494" i="29"/>
  <c r="R480" i="29"/>
  <c r="R468" i="29"/>
  <c r="Q471" i="29"/>
  <c r="Q485" i="29"/>
  <c r="Q450" i="29"/>
  <c r="R463" i="29"/>
  <c r="Q437" i="29"/>
  <c r="R432" i="29"/>
  <c r="Q444" i="29"/>
  <c r="R451" i="29"/>
  <c r="Q378" i="29"/>
  <c r="R393" i="29"/>
  <c r="Q401" i="29"/>
  <c r="R405" i="29"/>
  <c r="Q392" i="29"/>
  <c r="Q409" i="29"/>
  <c r="Q413" i="29"/>
  <c r="R407" i="29"/>
  <c r="R361" i="29"/>
  <c r="Q341" i="29"/>
  <c r="R348" i="29"/>
  <c r="Q328" i="29"/>
  <c r="R335" i="29"/>
  <c r="R350" i="29"/>
  <c r="R317" i="29"/>
  <c r="R373" i="29"/>
  <c r="Q289" i="29"/>
  <c r="Q355" i="29"/>
  <c r="R329" i="29"/>
  <c r="Q303" i="29"/>
  <c r="Q311" i="29"/>
  <c r="R274" i="29"/>
  <c r="Q231" i="29"/>
  <c r="R258" i="29"/>
  <c r="Q286" i="29"/>
  <c r="R314" i="29"/>
  <c r="R249" i="29"/>
  <c r="Q265" i="29"/>
  <c r="R268" i="29"/>
  <c r="R292" i="29"/>
  <c r="Q260" i="29"/>
  <c r="R267" i="29"/>
  <c r="Q234" i="29"/>
  <c r="Q223" i="29"/>
  <c r="Q245" i="29"/>
  <c r="R190" i="29"/>
  <c r="Q222" i="29"/>
  <c r="Q174" i="29"/>
  <c r="Q229" i="29"/>
  <c r="Q189" i="29"/>
  <c r="R204" i="29"/>
  <c r="Q232" i="29"/>
  <c r="Q192" i="29"/>
  <c r="R195" i="29"/>
  <c r="Q142" i="29"/>
  <c r="R165" i="29"/>
  <c r="R144" i="29"/>
  <c r="Q168" i="29"/>
  <c r="Q128" i="29"/>
  <c r="R135" i="29"/>
  <c r="R99" i="29"/>
  <c r="Q139" i="29"/>
  <c r="R126" i="29"/>
  <c r="R82" i="29"/>
  <c r="Q171" i="29"/>
  <c r="R105" i="29"/>
  <c r="Q135" i="29"/>
  <c r="Q85" i="29"/>
  <c r="R129" i="29"/>
  <c r="R88" i="29"/>
  <c r="R48" i="29"/>
  <c r="R24" i="29"/>
  <c r="R44" i="29"/>
  <c r="Q37" i="29"/>
  <c r="Q68" i="29"/>
  <c r="R15" i="29"/>
  <c r="Q72" i="29"/>
  <c r="Q610" i="29"/>
  <c r="R604" i="29"/>
  <c r="R608" i="29"/>
  <c r="R579" i="29"/>
  <c r="Q551" i="29"/>
  <c r="R568" i="29"/>
  <c r="R562" i="29"/>
  <c r="Q574" i="29"/>
  <c r="Q539" i="29"/>
  <c r="Q512" i="29"/>
  <c r="Q515" i="29"/>
  <c r="Q514" i="29"/>
  <c r="R501" i="29"/>
  <c r="R516" i="29"/>
  <c r="R487" i="29"/>
  <c r="R479" i="29"/>
  <c r="Q473" i="29"/>
  <c r="Q545" i="29"/>
  <c r="R498" i="29"/>
  <c r="Q462" i="29"/>
  <c r="Q438" i="29"/>
  <c r="R449" i="29"/>
  <c r="Q429" i="29"/>
  <c r="R420" i="29"/>
  <c r="Q428" i="29"/>
  <c r="R411" i="29"/>
  <c r="R437" i="29"/>
  <c r="R385" i="29"/>
  <c r="Q389" i="29"/>
  <c r="R388" i="29"/>
  <c r="Q380" i="29"/>
  <c r="R391" i="29"/>
  <c r="Q399" i="29"/>
  <c r="R394" i="29"/>
  <c r="R345" i="29"/>
  <c r="Q329" i="29"/>
  <c r="Q368" i="29"/>
  <c r="Q320" i="29"/>
  <c r="R323" i="29"/>
  <c r="R334" i="29"/>
  <c r="R305" i="29"/>
  <c r="Q351" i="29"/>
  <c r="Q281" i="29"/>
  <c r="R328" i="29"/>
  <c r="R303" i="29"/>
  <c r="Q295" i="29"/>
  <c r="R306" i="29"/>
  <c r="Q263" i="29"/>
  <c r="Q342" i="29"/>
  <c r="R250" i="29"/>
  <c r="Q266" i="29"/>
  <c r="Q296" i="29"/>
  <c r="R241" i="29"/>
  <c r="Q249" i="29"/>
  <c r="R260" i="29"/>
  <c r="R284" i="29"/>
  <c r="Q244" i="29"/>
  <c r="R259" i="29"/>
  <c r="R223" i="29"/>
  <c r="Q207" i="29"/>
  <c r="R222" i="29"/>
  <c r="R182" i="29"/>
  <c r="Q206" i="29"/>
  <c r="Q230" i="29"/>
  <c r="Q221" i="29"/>
  <c r="Q173" i="29"/>
  <c r="R196" i="29"/>
  <c r="Q224" i="29"/>
  <c r="Q176" i="29"/>
  <c r="R189" i="29"/>
  <c r="Q134" i="29"/>
  <c r="R177" i="29"/>
  <c r="R136" i="29"/>
  <c r="Q160" i="29"/>
  <c r="R167" i="29"/>
  <c r="R127" i="29"/>
  <c r="R91" i="29"/>
  <c r="Q115" i="29"/>
  <c r="R114" i="29"/>
  <c r="R74" i="29"/>
  <c r="Q133" i="29"/>
  <c r="R97" i="29"/>
  <c r="Q117" i="29"/>
  <c r="Q169" i="29"/>
  <c r="R121" i="29"/>
  <c r="R80" i="29"/>
  <c r="R16" i="29"/>
  <c r="R36" i="29"/>
  <c r="R77" i="29"/>
  <c r="Q104" i="29"/>
  <c r="Q29" i="29"/>
  <c r="Q53" i="29"/>
  <c r="Q75" i="29"/>
  <c r="R27" i="29"/>
  <c r="Q116" i="29"/>
  <c r="Q594" i="29"/>
  <c r="Q589" i="29"/>
  <c r="Q587" i="29"/>
  <c r="Q564" i="29"/>
  <c r="R570" i="29"/>
  <c r="G625" i="29"/>
  <c r="R546" i="29"/>
  <c r="R536" i="29"/>
  <c r="Q535" i="29"/>
  <c r="Q504" i="29"/>
  <c r="Q511" i="29"/>
  <c r="Q506" i="29"/>
  <c r="R489" i="29"/>
  <c r="Q505" i="29"/>
  <c r="R483" i="29"/>
  <c r="R478" i="29"/>
  <c r="Q465" i="29"/>
  <c r="Q481" i="29"/>
  <c r="Q489" i="29"/>
  <c r="R458" i="29"/>
  <c r="Q434" i="29"/>
  <c r="R441" i="29"/>
  <c r="R471" i="29"/>
  <c r="R416" i="29"/>
  <c r="Q424" i="29"/>
  <c r="Q407" i="29"/>
  <c r="R429" i="29"/>
  <c r="R467" i="29"/>
  <c r="Q385" i="29"/>
  <c r="R384" i="29"/>
  <c r="Q376" i="29"/>
  <c r="R383" i="29"/>
  <c r="Q387" i="29"/>
  <c r="R390" i="29"/>
  <c r="R341" i="29"/>
  <c r="Q325" i="29"/>
  <c r="Q360" i="29"/>
  <c r="R367" i="29"/>
  <c r="R319" i="29"/>
  <c r="R330" i="29"/>
  <c r="R301" i="29"/>
  <c r="Q346" i="29"/>
  <c r="Q277" i="29"/>
  <c r="Q327" i="29"/>
  <c r="R299" i="29"/>
  <c r="Q291" i="29"/>
  <c r="R302" i="29"/>
  <c r="Q259" i="29"/>
  <c r="R300" i="29"/>
  <c r="R246" i="29"/>
  <c r="Q262" i="29"/>
  <c r="Q288" i="29"/>
  <c r="R237" i="29"/>
  <c r="R332" i="29"/>
  <c r="R256" i="29"/>
  <c r="Q282" i="29"/>
  <c r="Q240" i="29"/>
  <c r="R255" i="29"/>
  <c r="R219" i="29"/>
  <c r="Q203" i="29"/>
  <c r="R218" i="29"/>
  <c r="R178" i="29"/>
  <c r="Q202" i="29"/>
  <c r="R225" i="29"/>
  <c r="Q217" i="29"/>
  <c r="Q241" i="29"/>
  <c r="R192" i="29"/>
  <c r="Q220" i="29"/>
  <c r="Q172" i="29"/>
  <c r="Q170" i="29"/>
  <c r="Q130" i="29"/>
  <c r="R187" i="29"/>
  <c r="R132" i="29"/>
  <c r="Q156" i="29"/>
  <c r="R163" i="29"/>
  <c r="R123" i="29"/>
  <c r="R87" i="29"/>
  <c r="Q161" i="29"/>
  <c r="R110" i="29"/>
  <c r="R70" i="29"/>
  <c r="Q125" i="29"/>
  <c r="R93" i="29"/>
  <c r="Q113" i="29"/>
  <c r="R154" i="29"/>
  <c r="R116" i="29"/>
  <c r="R76" i="29"/>
  <c r="R65" i="29"/>
  <c r="Q13" i="29"/>
  <c r="Q40" i="29"/>
  <c r="Q611" i="29"/>
  <c r="R597" i="29"/>
  <c r="Q596" i="29"/>
  <c r="Q600" i="29"/>
  <c r="R571" i="29"/>
  <c r="Q550" i="29"/>
  <c r="R567" i="29"/>
  <c r="Q534" i="29"/>
  <c r="R544" i="29"/>
  <c r="R542" i="29"/>
  <c r="R515" i="29"/>
  <c r="R514" i="29"/>
  <c r="R509" i="29"/>
  <c r="Q517" i="29"/>
  <c r="Q488" i="29"/>
  <c r="Q495" i="29"/>
  <c r="R486" i="29"/>
  <c r="Q480" i="29"/>
  <c r="Q464" i="29"/>
  <c r="R502" i="29"/>
  <c r="R442" i="29"/>
  <c r="Q410" i="29"/>
  <c r="Q449" i="29"/>
  <c r="R448" i="29"/>
  <c r="Q456" i="29"/>
  <c r="Q408" i="29"/>
  <c r="Q386" i="29"/>
  <c r="R410" i="29"/>
  <c r="R423" i="29"/>
  <c r="Q423" i="29"/>
  <c r="R409" i="29"/>
  <c r="R425" i="29"/>
  <c r="R435" i="29"/>
  <c r="R447" i="29"/>
  <c r="R370" i="29"/>
  <c r="Q357" i="29"/>
  <c r="R356" i="29"/>
  <c r="Q340" i="29"/>
  <c r="R351" i="29"/>
  <c r="R362" i="29"/>
  <c r="Q371" i="29"/>
  <c r="R281" i="29"/>
  <c r="Q305" i="29"/>
  <c r="R304" i="29"/>
  <c r="Q339" i="29"/>
  <c r="Q343" i="29"/>
  <c r="Q330" i="29"/>
  <c r="R282" i="29"/>
  <c r="Q247" i="29"/>
  <c r="R266" i="29"/>
  <c r="Q294" i="29"/>
  <c r="Q250" i="29"/>
  <c r="R257" i="29"/>
  <c r="Q310" i="29"/>
  <c r="R283" i="29"/>
  <c r="R236" i="29"/>
  <c r="Q268" i="29"/>
  <c r="Q292" i="29"/>
  <c r="R235" i="29"/>
  <c r="R199" i="29"/>
  <c r="Q191" i="29"/>
  <c r="R198" i="29"/>
  <c r="R230" i="29"/>
  <c r="Q190" i="29"/>
  <c r="R205" i="29"/>
  <c r="Q197" i="29"/>
  <c r="R220" i="29"/>
  <c r="R234" i="29"/>
  <c r="Q200" i="29"/>
  <c r="R173" i="29"/>
  <c r="Q150" i="29"/>
  <c r="R171" i="29"/>
  <c r="R160" i="29"/>
  <c r="R181" i="29"/>
  <c r="Q136" i="29"/>
  <c r="R151" i="29"/>
  <c r="R107" i="29"/>
  <c r="Q155" i="29"/>
  <c r="R142" i="29"/>
  <c r="R90" i="29"/>
  <c r="R50" i="29"/>
  <c r="R118" i="29"/>
  <c r="Q151" i="29"/>
  <c r="Q93" i="29"/>
  <c r="R145" i="29"/>
  <c r="R96" i="29"/>
  <c r="R56" i="29"/>
  <c r="R20" i="29"/>
  <c r="R32" i="29"/>
  <c r="Q58" i="29"/>
  <c r="Q45" i="29"/>
  <c r="R25" i="29"/>
  <c r="R37" i="29"/>
  <c r="R45" i="29"/>
  <c r="R53" i="29"/>
  <c r="Q18" i="29"/>
  <c r="Q26" i="29"/>
  <c r="Q34" i="29"/>
  <c r="Q42" i="29"/>
  <c r="Q84" i="29"/>
  <c r="Q52" i="29"/>
  <c r="Q70" i="29"/>
  <c r="R63" i="29"/>
  <c r="R610" i="29"/>
  <c r="R585" i="29"/>
  <c r="R592" i="29"/>
  <c r="R565" i="29"/>
  <c r="Q567" i="29"/>
  <c r="Q569" i="29"/>
  <c r="R582" i="29"/>
  <c r="Q537" i="29"/>
  <c r="Q540" i="29"/>
  <c r="R530" i="29"/>
  <c r="Q562" i="29"/>
  <c r="R510" i="29"/>
  <c r="R505" i="29"/>
  <c r="R503" i="29"/>
  <c r="R543" i="29"/>
  <c r="Q483" i="29"/>
  <c r="Q482" i="29"/>
  <c r="R476" i="29"/>
  <c r="R550" i="29"/>
  <c r="R494" i="29"/>
  <c r="Q454" i="29"/>
  <c r="Q406" i="29"/>
  <c r="Q445" i="29"/>
  <c r="R444" i="29"/>
  <c r="Q448" i="29"/>
  <c r="R455" i="29"/>
  <c r="Q382" i="29"/>
  <c r="R401" i="29"/>
  <c r="R419" i="29"/>
  <c r="R418" i="29"/>
  <c r="Q396" i="29"/>
  <c r="R413" i="29"/>
  <c r="R427" i="29"/>
  <c r="Q435" i="29"/>
  <c r="R365" i="29"/>
  <c r="Q345" i="29"/>
  <c r="R352" i="29"/>
  <c r="Q336" i="29"/>
  <c r="R347" i="29"/>
  <c r="R354" i="29"/>
  <c r="R325" i="29"/>
  <c r="R277" i="29"/>
  <c r="Q301" i="29"/>
  <c r="Q366" i="29"/>
  <c r="R337" i="29"/>
  <c r="Q335" i="29"/>
  <c r="Q322" i="29"/>
  <c r="R278" i="29"/>
  <c r="Q243" i="29"/>
  <c r="R262" i="29"/>
  <c r="R288" i="29"/>
  <c r="Q246" i="29"/>
  <c r="R253" i="29"/>
  <c r="Q269" i="29"/>
  <c r="R275" i="29"/>
  <c r="R232" i="29"/>
  <c r="Q264" i="29"/>
  <c r="Q284" i="29"/>
  <c r="R231" i="29"/>
  <c r="Q227" i="29"/>
  <c r="Q187" i="29"/>
  <c r="R194" i="29"/>
  <c r="Q226" i="29"/>
  <c r="Q186" i="29"/>
  <c r="R201" i="29"/>
  <c r="Q193" i="29"/>
  <c r="R216" i="29"/>
  <c r="Q233" i="29"/>
  <c r="Q196" i="29"/>
  <c r="Q167" i="29"/>
  <c r="Q146" i="29"/>
  <c r="R169" i="29"/>
  <c r="R156" i="29"/>
  <c r="R174" i="29"/>
  <c r="Q132" i="29"/>
  <c r="R147" i="29"/>
  <c r="R103" i="29"/>
  <c r="Q147" i="29"/>
  <c r="R141" i="29"/>
  <c r="R86" i="29"/>
  <c r="R172" i="29"/>
  <c r="R117" i="29"/>
  <c r="Q143" i="29"/>
  <c r="Q89" i="29"/>
  <c r="R138" i="29"/>
  <c r="R92" i="29"/>
  <c r="R52" i="29"/>
  <c r="Q74" i="29"/>
  <c r="Q110" i="29"/>
  <c r="R29" i="29"/>
  <c r="Q55" i="29"/>
  <c r="Q80" i="29"/>
  <c r="Q86" i="29"/>
  <c r="Q31" i="29"/>
  <c r="R598" i="29"/>
  <c r="Q608" i="29"/>
  <c r="R587" i="29"/>
  <c r="Q524" i="29"/>
  <c r="R522" i="29"/>
  <c r="Q503" i="29"/>
  <c r="Q477" i="29"/>
  <c r="R462" i="29"/>
  <c r="Q497" i="29"/>
  <c r="Q440" i="29"/>
  <c r="R421" i="29"/>
  <c r="R376" i="29"/>
  <c r="Q403" i="29"/>
  <c r="Q361" i="29"/>
  <c r="R363" i="29"/>
  <c r="R309" i="29"/>
  <c r="Q326" i="29"/>
  <c r="Q287" i="29"/>
  <c r="Q347" i="29"/>
  <c r="Q254" i="29"/>
  <c r="Q315" i="29"/>
  <c r="Q256" i="29"/>
  <c r="R203" i="29"/>
  <c r="Q237" i="29"/>
  <c r="Q225" i="29"/>
  <c r="R184" i="29"/>
  <c r="Q166" i="29"/>
  <c r="R140" i="29"/>
  <c r="R155" i="29"/>
  <c r="R150" i="29"/>
  <c r="R170" i="29"/>
  <c r="Q97" i="29"/>
  <c r="R64" i="29"/>
  <c r="Q91" i="29"/>
  <c r="Q95" i="29"/>
  <c r="Q22" i="29"/>
  <c r="Q48" i="29"/>
  <c r="R71" i="29"/>
  <c r="Q32" i="29"/>
  <c r="R601" i="29"/>
  <c r="Q556" i="29"/>
  <c r="Q573" i="29"/>
  <c r="R554" i="29"/>
  <c r="R539" i="29"/>
  <c r="R499" i="29"/>
  <c r="R508" i="29"/>
  <c r="R450" i="29"/>
  <c r="Q433" i="29"/>
  <c r="Q412" i="29"/>
  <c r="Q459" i="29"/>
  <c r="Q384" i="29"/>
  <c r="Q375" i="29"/>
  <c r="R368" i="29"/>
  <c r="R331" i="29"/>
  <c r="R285" i="29"/>
  <c r="Q308" i="29"/>
  <c r="R310" i="29"/>
  <c r="R287" i="29"/>
  <c r="Q280" i="29"/>
  <c r="R264" i="29"/>
  <c r="Q306" i="29"/>
  <c r="Q199" i="29"/>
  <c r="Q218" i="29"/>
  <c r="Q201" i="29"/>
  <c r="Q208" i="29"/>
  <c r="Q138" i="29"/>
  <c r="R124" i="29"/>
  <c r="Q157" i="29"/>
  <c r="R125" i="29"/>
  <c r="Q165" i="29"/>
  <c r="R153" i="29"/>
  <c r="R41" i="29"/>
  <c r="Q99" i="29"/>
  <c r="R162" i="29"/>
  <c r="Q36" i="29"/>
  <c r="R611" i="29"/>
  <c r="Q579" i="29"/>
  <c r="Q542" i="29"/>
  <c r="R537" i="29"/>
  <c r="R521" i="29"/>
  <c r="R520" i="29"/>
  <c r="R464" i="29"/>
  <c r="R446" i="29"/>
  <c r="R460" i="29"/>
  <c r="Q447" i="29"/>
  <c r="R431" i="29"/>
  <c r="R434" i="29"/>
  <c r="R402" i="29"/>
  <c r="R364" i="29"/>
  <c r="R315" i="29"/>
  <c r="Q372" i="29"/>
  <c r="Q304" i="29"/>
  <c r="R290" i="29"/>
  <c r="R254" i="29"/>
  <c r="R269" i="29"/>
  <c r="R252" i="29"/>
  <c r="R263" i="29"/>
  <c r="Q195" i="29"/>
  <c r="Q198" i="29"/>
  <c r="Q185" i="29"/>
  <c r="Q204" i="29"/>
  <c r="Q118" i="29"/>
  <c r="Q164" i="29"/>
  <c r="R119" i="29"/>
  <c r="R106" i="29"/>
  <c r="R101" i="29"/>
  <c r="R146" i="29"/>
  <c r="Q67" i="29"/>
  <c r="R33" i="29"/>
  <c r="Q82" i="29"/>
  <c r="Q64" i="29"/>
  <c r="Q612" i="29"/>
  <c r="Q555" i="29"/>
  <c r="Q538" i="29"/>
  <c r="R531" i="29"/>
  <c r="Q502" i="29"/>
  <c r="Q499" i="29"/>
  <c r="Q476" i="29"/>
  <c r="Q442" i="29"/>
  <c r="R452" i="29"/>
  <c r="Q398" i="29"/>
  <c r="Q397" i="29"/>
  <c r="R433" i="29"/>
  <c r="R386" i="29"/>
  <c r="R336" i="29"/>
  <c r="R366" i="29"/>
  <c r="R312" i="29"/>
  <c r="R321" i="29"/>
  <c r="R286" i="29"/>
  <c r="Q300" i="29"/>
  <c r="R245" i="29"/>
  <c r="R248" i="29"/>
  <c r="R251" i="29"/>
  <c r="R226" i="29"/>
  <c r="Q194" i="29"/>
  <c r="R228" i="29"/>
  <c r="Q188" i="29"/>
  <c r="R183" i="29"/>
  <c r="Q144" i="29"/>
  <c r="R95" i="29"/>
  <c r="R102" i="29"/>
  <c r="R89" i="29"/>
  <c r="R122" i="29"/>
  <c r="Q21" i="29"/>
  <c r="Q107" i="29"/>
  <c r="R43" i="29"/>
  <c r="Q137" i="29"/>
  <c r="R591" i="29"/>
  <c r="Q554" i="29"/>
  <c r="R532" i="29"/>
  <c r="Q519" i="29"/>
  <c r="R527" i="29"/>
  <c r="R469" i="29"/>
  <c r="Q467" i="29"/>
  <c r="Q418" i="29"/>
  <c r="R412" i="29"/>
  <c r="R438" i="29"/>
  <c r="Q431" i="29"/>
  <c r="R379" i="29"/>
  <c r="R357" i="29"/>
  <c r="Q352" i="29"/>
  <c r="R322" i="29"/>
  <c r="Q285" i="29"/>
  <c r="Q354" i="29"/>
  <c r="Q255" i="29"/>
  <c r="R280" i="29"/>
  <c r="Q358" i="29"/>
  <c r="Q273" i="29"/>
  <c r="R227" i="29"/>
  <c r="R210" i="29"/>
  <c r="R221" i="29"/>
  <c r="R200" i="29"/>
  <c r="R175" i="29"/>
  <c r="R168" i="29"/>
  <c r="Q124" i="29"/>
  <c r="R166" i="29"/>
  <c r="R58" i="29"/>
  <c r="Q127" i="29"/>
  <c r="R108" i="29"/>
  <c r="Q69" i="29"/>
  <c r="R69" i="29"/>
  <c r="Q38" i="29"/>
  <c r="Q46" i="29"/>
  <c r="Q57" i="29"/>
  <c r="Q129" i="29"/>
  <c r="Q73" i="29"/>
  <c r="R40" i="29"/>
  <c r="R112" i="29"/>
  <c r="Q131" i="29"/>
  <c r="Q162" i="29"/>
  <c r="Q238" i="29"/>
  <c r="Q272" i="29"/>
  <c r="R295" i="29"/>
  <c r="Q309" i="29"/>
  <c r="Q365" i="29"/>
  <c r="R389" i="29"/>
  <c r="Q422" i="29"/>
  <c r="R488" i="29"/>
  <c r="R572" i="29"/>
  <c r="S49" i="29"/>
  <c r="S72" i="29"/>
  <c r="O113" i="29"/>
  <c r="O74" i="29"/>
  <c r="S85" i="29"/>
  <c r="T39" i="29"/>
  <c r="T31" i="29"/>
  <c r="T23" i="29"/>
  <c r="T15" i="29"/>
  <c r="O76" i="29"/>
  <c r="S43" i="29"/>
  <c r="T66" i="29"/>
  <c r="P54" i="29"/>
  <c r="O100" i="29"/>
  <c r="O28" i="29"/>
  <c r="P70" i="29"/>
  <c r="S19" i="29"/>
  <c r="S59" i="29"/>
  <c r="T14" i="29"/>
  <c r="S50" i="29"/>
  <c r="S46" i="29"/>
  <c r="T30" i="29"/>
  <c r="S35" i="29"/>
  <c r="T157" i="29"/>
  <c r="T26" i="29"/>
  <c r="S38" i="29"/>
  <c r="S54" i="29"/>
  <c r="T46" i="29"/>
  <c r="S34" i="29"/>
  <c r="S14" i="29"/>
  <c r="P58" i="29"/>
  <c r="O21" i="29"/>
  <c r="O33" i="29"/>
  <c r="O45" i="29"/>
  <c r="O13" i="29"/>
  <c r="O81" i="29"/>
  <c r="O41" i="29"/>
  <c r="O16" i="29"/>
  <c r="O56" i="29"/>
  <c r="O87" i="29"/>
  <c r="O117" i="29"/>
  <c r="P138" i="29"/>
  <c r="O29" i="29"/>
  <c r="O17" i="29"/>
  <c r="O58" i="29"/>
  <c r="P122" i="29"/>
  <c r="P74" i="29"/>
  <c r="O37" i="29"/>
  <c r="O25" i="29"/>
  <c r="O109" i="29"/>
  <c r="S111" i="29"/>
  <c r="S81" i="29"/>
  <c r="T34" i="29"/>
  <c r="S105" i="29"/>
  <c r="S103" i="29"/>
  <c r="S73" i="29"/>
  <c r="S78" i="29"/>
  <c r="T52" i="29"/>
  <c r="S94" i="29"/>
  <c r="S68" i="29"/>
  <c r="T22" i="29"/>
  <c r="S30" i="29"/>
  <c r="S66" i="29"/>
  <c r="T64" i="29"/>
  <c r="S61" i="29"/>
  <c r="S39" i="29"/>
  <c r="S31" i="29"/>
  <c r="S23" i="29"/>
  <c r="S15" i="29"/>
  <c r="S52" i="29"/>
  <c r="T42" i="29"/>
  <c r="S57" i="29"/>
  <c r="S90" i="29"/>
  <c r="T48" i="29"/>
  <c r="S98" i="29"/>
  <c r="S107" i="29"/>
  <c r="S79" i="29"/>
  <c r="T50" i="29"/>
  <c r="T18" i="29"/>
  <c r="AE18" i="29" s="1"/>
  <c r="S42" i="29"/>
  <c r="S26" i="29"/>
  <c r="S18" i="29"/>
  <c r="S70" i="29"/>
  <c r="S47" i="29"/>
  <c r="T38" i="29"/>
  <c r="S22" i="29"/>
  <c r="O40" i="29"/>
  <c r="O104" i="29"/>
  <c r="O60" i="29"/>
  <c r="O65" i="29"/>
  <c r="P44" i="29"/>
  <c r="P36" i="29"/>
  <c r="P28" i="29"/>
  <c r="P20" i="29"/>
  <c r="P78" i="29"/>
  <c r="O67" i="29"/>
  <c r="O72" i="29"/>
  <c r="O83" i="29"/>
  <c r="P72" i="29"/>
  <c r="O32" i="29"/>
  <c r="O77" i="29"/>
  <c r="O63" i="29"/>
  <c r="O49" i="29"/>
  <c r="P40" i="29"/>
  <c r="P32" i="29"/>
  <c r="P24" i="29"/>
  <c r="P16" i="29"/>
  <c r="P154" i="29"/>
  <c r="O96" i="29"/>
  <c r="O85" i="29"/>
  <c r="O51" i="29"/>
  <c r="O20" i="29"/>
  <c r="P56" i="29"/>
  <c r="O111" i="29"/>
  <c r="P626" i="29"/>
  <c r="O626" i="29"/>
  <c r="V626" i="29"/>
  <c r="U626" i="29"/>
  <c r="R626" i="29"/>
  <c r="T626" i="29"/>
  <c r="S626" i="29"/>
  <c r="Q626" i="29"/>
  <c r="AD452" i="29" l="1"/>
  <c r="AD283" i="29"/>
  <c r="AE46" i="29"/>
  <c r="AE183" i="29"/>
  <c r="AE557" i="29"/>
  <c r="AE457" i="29"/>
  <c r="AD547" i="29"/>
  <c r="AE57" i="29"/>
  <c r="P624" i="29"/>
  <c r="S624" i="29"/>
  <c r="AD306" i="29"/>
  <c r="AD408" i="29"/>
  <c r="AE542" i="29"/>
  <c r="AD489" i="29"/>
  <c r="AE250" i="29"/>
  <c r="AD437" i="29"/>
  <c r="AE564" i="29"/>
  <c r="T624" i="29"/>
  <c r="O624" i="29"/>
  <c r="U624" i="29"/>
  <c r="AE297" i="29"/>
  <c r="Q624" i="29"/>
  <c r="V624" i="29"/>
  <c r="AE38" i="29"/>
  <c r="AE22" i="29"/>
  <c r="AE42" i="29"/>
  <c r="AD334" i="29"/>
  <c r="AE186" i="29"/>
  <c r="AE254" i="29"/>
  <c r="AD203" i="29"/>
  <c r="AD210" i="29"/>
  <c r="AD609" i="29"/>
  <c r="AD257" i="29"/>
  <c r="AD114" i="29"/>
  <c r="AD70" i="29"/>
  <c r="AD304" i="29"/>
  <c r="AE277" i="29"/>
  <c r="AE476" i="29"/>
  <c r="AD268" i="29"/>
  <c r="AD371" i="29"/>
  <c r="AD610" i="29"/>
  <c r="AE492" i="29"/>
  <c r="AE521" i="29"/>
  <c r="AE145" i="29"/>
  <c r="AE571" i="29"/>
  <c r="AE451" i="29"/>
  <c r="AD487" i="29"/>
  <c r="AD557" i="29"/>
  <c r="AE98" i="29"/>
  <c r="AE558" i="29"/>
  <c r="AD591" i="29"/>
  <c r="AD193" i="29"/>
  <c r="AD144" i="29"/>
  <c r="AD166" i="29"/>
  <c r="AE132" i="29"/>
  <c r="AE479" i="29"/>
  <c r="AE513" i="29"/>
  <c r="AE396" i="29"/>
  <c r="AE567" i="29"/>
  <c r="AE25" i="29"/>
  <c r="AE73" i="29"/>
  <c r="AE34" i="29"/>
  <c r="AD194" i="29"/>
  <c r="AE328" i="29"/>
  <c r="AD514" i="29"/>
  <c r="AD432" i="29"/>
  <c r="AE134" i="29"/>
  <c r="AE152" i="29"/>
  <c r="AD297" i="29"/>
  <c r="AE424" i="29"/>
  <c r="AE606" i="29"/>
  <c r="AE512" i="29"/>
  <c r="AE527" i="29"/>
  <c r="AE37" i="29"/>
  <c r="AE76" i="29"/>
  <c r="AD170" i="29"/>
  <c r="AD458" i="29"/>
  <c r="AE507" i="29"/>
  <c r="AE244" i="29"/>
  <c r="AD318" i="29"/>
  <c r="AD425" i="29"/>
  <c r="AD102" i="29"/>
  <c r="AE26" i="29"/>
  <c r="AE389" i="29"/>
  <c r="AE217" i="29"/>
  <c r="AE425" i="29"/>
  <c r="AD424" i="29"/>
  <c r="AD414" i="29"/>
  <c r="AE589" i="29"/>
  <c r="AD566" i="29"/>
  <c r="AE428" i="29"/>
  <c r="AD440" i="29"/>
  <c r="AE30" i="29"/>
  <c r="AE241" i="29"/>
  <c r="AE459" i="29"/>
  <c r="AD519" i="29"/>
  <c r="AD593" i="29"/>
  <c r="AD480" i="29"/>
  <c r="AD590" i="29"/>
  <c r="AD129" i="29"/>
  <c r="AE263" i="29"/>
  <c r="AD445" i="29"/>
  <c r="AD155" i="29"/>
  <c r="AD517" i="29"/>
  <c r="AE65" i="29"/>
  <c r="AE483" i="29"/>
  <c r="AE27" i="29"/>
  <c r="AD128" i="29"/>
  <c r="AE294" i="29"/>
  <c r="AE443" i="29"/>
  <c r="AD402" i="29"/>
  <c r="AD427" i="29"/>
  <c r="AD86" i="29"/>
  <c r="AE35" i="29"/>
  <c r="AE305" i="29"/>
  <c r="AE88" i="29"/>
  <c r="AD525" i="29"/>
  <c r="AE230" i="29"/>
  <c r="AD429" i="29"/>
  <c r="AD377" i="29"/>
  <c r="AD88" i="29"/>
  <c r="AD550" i="29"/>
  <c r="AE546" i="29"/>
  <c r="AE146" i="29"/>
  <c r="AD185" i="29"/>
  <c r="AE29" i="29"/>
  <c r="AD284" i="29"/>
  <c r="AE262" i="29"/>
  <c r="AD589" i="29"/>
  <c r="AD342" i="29"/>
  <c r="AE549" i="29"/>
  <c r="AE270" i="29"/>
  <c r="AE243" i="29"/>
  <c r="AD143" i="29"/>
  <c r="AD351" i="29"/>
  <c r="AD521" i="29"/>
  <c r="AD302" i="29"/>
  <c r="AE472" i="29"/>
  <c r="AD55" i="29"/>
  <c r="AD301" i="29"/>
  <c r="AE550" i="29"/>
  <c r="AE116" i="29"/>
  <c r="AD229" i="29"/>
  <c r="AE317" i="29"/>
  <c r="AE462" i="29"/>
  <c r="AE257" i="29"/>
  <c r="AE423" i="29"/>
  <c r="AE509" i="29"/>
  <c r="AD438" i="29"/>
  <c r="AE373" i="29"/>
  <c r="AE612" i="29"/>
  <c r="AD576" i="29"/>
  <c r="AD498" i="29"/>
  <c r="AD565" i="29"/>
  <c r="AD568" i="29"/>
  <c r="AE85" i="29"/>
  <c r="AD50" i="29"/>
  <c r="AD366" i="29"/>
  <c r="AE220" i="29"/>
  <c r="AE515" i="29"/>
  <c r="AE167" i="29"/>
  <c r="AE274" i="29"/>
  <c r="AE359" i="29"/>
  <c r="AD24" i="29"/>
  <c r="AD394" i="29"/>
  <c r="AE522" i="29"/>
  <c r="AD160" i="29"/>
  <c r="AD148" i="29"/>
  <c r="AE238" i="29"/>
  <c r="AE406" i="29"/>
  <c r="AE561" i="29"/>
  <c r="AE422" i="29"/>
  <c r="AE375" i="29"/>
  <c r="AE336" i="29"/>
  <c r="AE592" i="29"/>
  <c r="AD277" i="29"/>
  <c r="AD59" i="29"/>
  <c r="AD157" i="29"/>
  <c r="AD244" i="29"/>
  <c r="AD139" i="29"/>
  <c r="AE202" i="29"/>
  <c r="AD312" i="29"/>
  <c r="AE545" i="29"/>
  <c r="AE301" i="29"/>
  <c r="AD534" i="29"/>
  <c r="AD90" i="29"/>
  <c r="AE413" i="29"/>
  <c r="AE487" i="29"/>
  <c r="AD522" i="29"/>
  <c r="AE247" i="29"/>
  <c r="AD416" i="29"/>
  <c r="AD100" i="29"/>
  <c r="AD272" i="29"/>
  <c r="AD442" i="29"/>
  <c r="AD164" i="29"/>
  <c r="AE502" i="29"/>
  <c r="AE218" i="29"/>
  <c r="AD462" i="29"/>
  <c r="AD413" i="29"/>
  <c r="AE602" i="29"/>
  <c r="AD239" i="29"/>
  <c r="AD348" i="29"/>
  <c r="AE371" i="29"/>
  <c r="AD541" i="29"/>
  <c r="AE599" i="29"/>
  <c r="AD207" i="29"/>
  <c r="AD296" i="29"/>
  <c r="AD183" i="29"/>
  <c r="AE273" i="29"/>
  <c r="AE136" i="29"/>
  <c r="AE430" i="29"/>
  <c r="AD430" i="29"/>
  <c r="AE477" i="29"/>
  <c r="AE417" i="29"/>
  <c r="AE609" i="29"/>
  <c r="AD361" i="29"/>
  <c r="AE510" i="29"/>
  <c r="AD386" i="29"/>
  <c r="AE437" i="29"/>
  <c r="AE165" i="29"/>
  <c r="AD248" i="29"/>
  <c r="AD374" i="29"/>
  <c r="AD479" i="29"/>
  <c r="AE607" i="29"/>
  <c r="AE528" i="29"/>
  <c r="AD597" i="29"/>
  <c r="AD531" i="29"/>
  <c r="AE75" i="29"/>
  <c r="AD197" i="29"/>
  <c r="AE339" i="29"/>
  <c r="AD71" i="29"/>
  <c r="AE296" i="29"/>
  <c r="AD98" i="29"/>
  <c r="AD101" i="29"/>
  <c r="AD103" i="29"/>
  <c r="AD108" i="29"/>
  <c r="AD27" i="29"/>
  <c r="AD518" i="29"/>
  <c r="AD333" i="29"/>
  <c r="AE112" i="29"/>
  <c r="AD280" i="29"/>
  <c r="AD495" i="29"/>
  <c r="AD217" i="29"/>
  <c r="AD182" i="29"/>
  <c r="AD242" i="29"/>
  <c r="AE360" i="29"/>
  <c r="AD570" i="29"/>
  <c r="AD309" i="29"/>
  <c r="AD188" i="29"/>
  <c r="AD226" i="29"/>
  <c r="AE80" i="29"/>
  <c r="AD209" i="29"/>
  <c r="AE552" i="29"/>
  <c r="AD613" i="29"/>
  <c r="AE276" i="29"/>
  <c r="AD369" i="29"/>
  <c r="AE553" i="29"/>
  <c r="AD571" i="29"/>
  <c r="AE529" i="29"/>
  <c r="AD153" i="29"/>
  <c r="AD359" i="29"/>
  <c r="AD381" i="29"/>
  <c r="AD85" i="29"/>
  <c r="AE464" i="29"/>
  <c r="AD138" i="29"/>
  <c r="AE63" i="29"/>
  <c r="AE53" i="29"/>
  <c r="AD449" i="29"/>
  <c r="AD232" i="29"/>
  <c r="AE393" i="29"/>
  <c r="AE506" i="29"/>
  <c r="AE340" i="29"/>
  <c r="AD527" i="29"/>
  <c r="AD323" i="29"/>
  <c r="AE196" i="29"/>
  <c r="AD109" i="29"/>
  <c r="AE215" i="29"/>
  <c r="AE303" i="29"/>
  <c r="AD448" i="29"/>
  <c r="AE171" i="29"/>
  <c r="AD125" i="29"/>
  <c r="AE329" i="29"/>
  <c r="AE139" i="29"/>
  <c r="AD516" i="29"/>
  <c r="AD436" i="29"/>
  <c r="AE67" i="29"/>
  <c r="AD383" i="29"/>
  <c r="AE131" i="29"/>
  <c r="AD387" i="29"/>
  <c r="AE144" i="29"/>
  <c r="AD163" i="29"/>
  <c r="AE518" i="29"/>
  <c r="AD588" i="29"/>
  <c r="AE318" i="29"/>
  <c r="AD468" i="29"/>
  <c r="AD492" i="29"/>
  <c r="AD228" i="29"/>
  <c r="AD47" i="29"/>
  <c r="AD256" i="29"/>
  <c r="AE147" i="29"/>
  <c r="AE169" i="29"/>
  <c r="AD134" i="29"/>
  <c r="AE345" i="29"/>
  <c r="AD223" i="29"/>
  <c r="AE49" i="29"/>
  <c r="AE313" i="29"/>
  <c r="AD500" i="29"/>
  <c r="AD598" i="29"/>
  <c r="AD508" i="29"/>
  <c r="AE149" i="29"/>
  <c r="AD559" i="29"/>
  <c r="AD582" i="29"/>
  <c r="AE156" i="29"/>
  <c r="AD179" i="29"/>
  <c r="AE353" i="29"/>
  <c r="AD186" i="29"/>
  <c r="AE159" i="29"/>
  <c r="AD145" i="29"/>
  <c r="AE161" i="29"/>
  <c r="AE185" i="29"/>
  <c r="AE316" i="29"/>
  <c r="AE70" i="29"/>
  <c r="AD66" i="29"/>
  <c r="AE214" i="29"/>
  <c r="AE291" i="29"/>
  <c r="AE523" i="29"/>
  <c r="AD261" i="29"/>
  <c r="AE84" i="29"/>
  <c r="AD30" i="29"/>
  <c r="AE453" i="29"/>
  <c r="AE474" i="29"/>
  <c r="AD69" i="29"/>
  <c r="AE377" i="29"/>
  <c r="AE223" i="29"/>
  <c r="AD184" i="29"/>
  <c r="AD236" i="29"/>
  <c r="AE260" i="29"/>
  <c r="AE278" i="29"/>
  <c r="AD337" i="29"/>
  <c r="AE405" i="29"/>
  <c r="AD405" i="29"/>
  <c r="AD460" i="29"/>
  <c r="AD469" i="29"/>
  <c r="AE376" i="29"/>
  <c r="AE466" i="29"/>
  <c r="AD485" i="29"/>
  <c r="AD538" i="29"/>
  <c r="AD542" i="29"/>
  <c r="AD553" i="29"/>
  <c r="AE539" i="29"/>
  <c r="AD362" i="29"/>
  <c r="AD123" i="29"/>
  <c r="AE346" i="29"/>
  <c r="AE58" i="29"/>
  <c r="AE143" i="29"/>
  <c r="AE40" i="29"/>
  <c r="AE572" i="29"/>
  <c r="AE210" i="29"/>
  <c r="AE280" i="29"/>
  <c r="AE322" i="29"/>
  <c r="AD431" i="29"/>
  <c r="AD300" i="29"/>
  <c r="AD397" i="29"/>
  <c r="AD82" i="29"/>
  <c r="AD195" i="29"/>
  <c r="AE287" i="29"/>
  <c r="AD459" i="29"/>
  <c r="AE508" i="29"/>
  <c r="AE71" i="29"/>
  <c r="AE184" i="29"/>
  <c r="AD287" i="29"/>
  <c r="AD608" i="29"/>
  <c r="AE232" i="29"/>
  <c r="AE444" i="29"/>
  <c r="AE283" i="29"/>
  <c r="AD305" i="29"/>
  <c r="AE351" i="29"/>
  <c r="AE409" i="29"/>
  <c r="AD596" i="29"/>
  <c r="AD220" i="29"/>
  <c r="AD327" i="29"/>
  <c r="AE330" i="29"/>
  <c r="AE467" i="29"/>
  <c r="AE478" i="29"/>
  <c r="AD506" i="29"/>
  <c r="AE306" i="29"/>
  <c r="AD515" i="29"/>
  <c r="AD494" i="29"/>
  <c r="AD529" i="29"/>
  <c r="AD141" i="29"/>
  <c r="AD180" i="29"/>
  <c r="AD177" i="29"/>
  <c r="AD270" i="29"/>
  <c r="AE399" i="29"/>
  <c r="AD548" i="29"/>
  <c r="AD602" i="29"/>
  <c r="AD252" i="29"/>
  <c r="AE382" i="29"/>
  <c r="AD523" i="29"/>
  <c r="AE439" i="29"/>
  <c r="AD446" i="29"/>
  <c r="AE490" i="29"/>
  <c r="AE481" i="29"/>
  <c r="AD581" i="29"/>
  <c r="AD544" i="29"/>
  <c r="AD549" i="29"/>
  <c r="AE594" i="29"/>
  <c r="AD363" i="29"/>
  <c r="AE69" i="29"/>
  <c r="AE102" i="29"/>
  <c r="AD398" i="29"/>
  <c r="AD499" i="29"/>
  <c r="AE33" i="29"/>
  <c r="AE290" i="29"/>
  <c r="AE125" i="29"/>
  <c r="AD208" i="29"/>
  <c r="AE310" i="29"/>
  <c r="AD412" i="29"/>
  <c r="AE155" i="29"/>
  <c r="AD403" i="29"/>
  <c r="AD497" i="29"/>
  <c r="AE141" i="29"/>
  <c r="AE231" i="29"/>
  <c r="AD322" i="29"/>
  <c r="AE45" i="29"/>
  <c r="AE118" i="29"/>
  <c r="AE173" i="29"/>
  <c r="AD292" i="29"/>
  <c r="AD310" i="29"/>
  <c r="AE266" i="29"/>
  <c r="AE192" i="29"/>
  <c r="AD202" i="29"/>
  <c r="AE256" i="29"/>
  <c r="AE341" i="29"/>
  <c r="AD376" i="29"/>
  <c r="AE429" i="29"/>
  <c r="AD587" i="29"/>
  <c r="AE97" i="29"/>
  <c r="AE182" i="29"/>
  <c r="AE259" i="29"/>
  <c r="AD249" i="29"/>
  <c r="AD295" i="29"/>
  <c r="AD320" i="29"/>
  <c r="AE411" i="29"/>
  <c r="AE449" i="29"/>
  <c r="AD545" i="29"/>
  <c r="AD512" i="29"/>
  <c r="AE568" i="29"/>
  <c r="AD135" i="29"/>
  <c r="AD142" i="29"/>
  <c r="AD222" i="29"/>
  <c r="AD289" i="29"/>
  <c r="AE361" i="29"/>
  <c r="AD378" i="29"/>
  <c r="AD592" i="29"/>
  <c r="AE59" i="29"/>
  <c r="AD122" i="29"/>
  <c r="AD212" i="29"/>
  <c r="AD274" i="29"/>
  <c r="AD319" i="29"/>
  <c r="AE293" i="29"/>
  <c r="AD475" i="29"/>
  <c r="AE61" i="29"/>
  <c r="AE242" i="29"/>
  <c r="AE324" i="29"/>
  <c r="AE343" i="29"/>
  <c r="AD455" i="29"/>
  <c r="AD507" i="29"/>
  <c r="AE560" i="29"/>
  <c r="AD601" i="29"/>
  <c r="AD441" i="29"/>
  <c r="AE454" i="29"/>
  <c r="AE533" i="29"/>
  <c r="AD605" i="29"/>
  <c r="AD595" i="29"/>
  <c r="AD530" i="29"/>
  <c r="AD578" i="29"/>
  <c r="AD585" i="29"/>
  <c r="AD356" i="29"/>
  <c r="AD140" i="29"/>
  <c r="AE142" i="29"/>
  <c r="AE404" i="29"/>
  <c r="AD246" i="29"/>
  <c r="AE349" i="29"/>
  <c r="AD465" i="29"/>
  <c r="AD563" i="29"/>
  <c r="AE573" i="29"/>
  <c r="AD150" i="29"/>
  <c r="AD265" i="29"/>
  <c r="AD461" i="29"/>
  <c r="AE469" i="29"/>
  <c r="AD20" i="29"/>
  <c r="AD18" i="29"/>
  <c r="AD61" i="29"/>
  <c r="AD78" i="29"/>
  <c r="AD87" i="29"/>
  <c r="AE412" i="29"/>
  <c r="AE95" i="29"/>
  <c r="AD502" i="29"/>
  <c r="AE119" i="29"/>
  <c r="AD97" i="29"/>
  <c r="AD147" i="29"/>
  <c r="AE174" i="29"/>
  <c r="AD269" i="29"/>
  <c r="AD336" i="29"/>
  <c r="AE585" i="29"/>
  <c r="AD156" i="29"/>
  <c r="AD241" i="29"/>
  <c r="AE441" i="29"/>
  <c r="AD504" i="29"/>
  <c r="AD133" i="29"/>
  <c r="AE222" i="29"/>
  <c r="AD368" i="29"/>
  <c r="AD389" i="29"/>
  <c r="AE501" i="29"/>
  <c r="AE190" i="29"/>
  <c r="AE267" i="29"/>
  <c r="AE94" i="29"/>
  <c r="AE111" i="29"/>
  <c r="AD154" i="29"/>
  <c r="AD275" i="29"/>
  <c r="AE308" i="29"/>
  <c r="AE493" i="29"/>
  <c r="AE540" i="29"/>
  <c r="AE19" i="29"/>
  <c r="AE279" i="29"/>
  <c r="AD395" i="29"/>
  <c r="AE381" i="29"/>
  <c r="AD491" i="29"/>
  <c r="AE511" i="29"/>
  <c r="AE603" i="29"/>
  <c r="AE358" i="29"/>
  <c r="AD583" i="29"/>
  <c r="AD92" i="29"/>
  <c r="AD552" i="29"/>
  <c r="AD298" i="29"/>
  <c r="AD577" i="29"/>
  <c r="AE374" i="29"/>
  <c r="AE402" i="29"/>
  <c r="AD201" i="29"/>
  <c r="AD481" i="29"/>
  <c r="AE77" i="29"/>
  <c r="AE91" i="29"/>
  <c r="AD221" i="29"/>
  <c r="AE240" i="29"/>
  <c r="AD158" i="29"/>
  <c r="AD279" i="29"/>
  <c r="AD338" i="29"/>
  <c r="AE13" i="29"/>
  <c r="AE445" i="29"/>
  <c r="AE164" i="29"/>
  <c r="AD64" i="29"/>
  <c r="AE170" i="29"/>
  <c r="AD196" i="29"/>
  <c r="AE300" i="29"/>
  <c r="AD118" i="29"/>
  <c r="AE86" i="29"/>
  <c r="AD227" i="29"/>
  <c r="AD136" i="29"/>
  <c r="AD325" i="29"/>
  <c r="AE323" i="29"/>
  <c r="AD380" i="29"/>
  <c r="AE350" i="29"/>
  <c r="AE193" i="29"/>
  <c r="AD211" i="29"/>
  <c r="AE344" i="29"/>
  <c r="AE583" i="29"/>
  <c r="AD324" i="29"/>
  <c r="AD474" i="29"/>
  <c r="AE221" i="29"/>
  <c r="AE127" i="29"/>
  <c r="AE55" i="29"/>
  <c r="AE137" i="29"/>
  <c r="AD344" i="29"/>
  <c r="AE272" i="29"/>
  <c r="AE271" i="29"/>
  <c r="AE130" i="29"/>
  <c r="AE372" i="29"/>
  <c r="AD159" i="29"/>
  <c r="AE133" i="29"/>
  <c r="AD258" i="29"/>
  <c r="AD260" i="29"/>
  <c r="AD353" i="29"/>
  <c r="AE334" i="29"/>
  <c r="AE338" i="29"/>
  <c r="AD364" i="29"/>
  <c r="AE390" i="29"/>
  <c r="AE426" i="29"/>
  <c r="AD421" i="29"/>
  <c r="AE485" i="29"/>
  <c r="AE387" i="29"/>
  <c r="AD482" i="29"/>
  <c r="AD526" i="29"/>
  <c r="AD404" i="29"/>
  <c r="AE398" i="29"/>
  <c r="AE504" i="29"/>
  <c r="AD466" i="29"/>
  <c r="AE578" i="29"/>
  <c r="AE74" i="29"/>
  <c r="AD470" i="29"/>
  <c r="AE554" i="29"/>
  <c r="AD347" i="29"/>
  <c r="AE289" i="29"/>
  <c r="AD112" i="29"/>
  <c r="AE177" i="29"/>
  <c r="AD231" i="29"/>
  <c r="AE56" i="29"/>
  <c r="AD96" i="29"/>
  <c r="AE16" i="29"/>
  <c r="AD77" i="29"/>
  <c r="AD39" i="29"/>
  <c r="AD73" i="29"/>
  <c r="AD117" i="29"/>
  <c r="AD13" i="29"/>
  <c r="AD162" i="29"/>
  <c r="AD255" i="29"/>
  <c r="AD352" i="29"/>
  <c r="AD554" i="29"/>
  <c r="AE251" i="29"/>
  <c r="AE286" i="29"/>
  <c r="AD555" i="29"/>
  <c r="AE106" i="29"/>
  <c r="AD204" i="29"/>
  <c r="AD447" i="29"/>
  <c r="AD99" i="29"/>
  <c r="AE499" i="29"/>
  <c r="AD556" i="29"/>
  <c r="AD48" i="29"/>
  <c r="AE64" i="29"/>
  <c r="AD225" i="29"/>
  <c r="AE598" i="29"/>
  <c r="AD132" i="29"/>
  <c r="AD146" i="29"/>
  <c r="AE216" i="29"/>
  <c r="AE275" i="29"/>
  <c r="AE288" i="29"/>
  <c r="AE543" i="29"/>
  <c r="AD562" i="29"/>
  <c r="AE96" i="29"/>
  <c r="AE198" i="29"/>
  <c r="AD343" i="29"/>
  <c r="AE281" i="29"/>
  <c r="AE36" i="29"/>
  <c r="AD15" i="29"/>
  <c r="AD16" i="29"/>
  <c r="AE31" i="29"/>
  <c r="AE295" i="29"/>
  <c r="AD131" i="29"/>
  <c r="AE228" i="29"/>
  <c r="AE248" i="29"/>
  <c r="AE386" i="29"/>
  <c r="AE452" i="29"/>
  <c r="AE252" i="29"/>
  <c r="AE611" i="29"/>
  <c r="AE41" i="29"/>
  <c r="AD308" i="29"/>
  <c r="AD433" i="29"/>
  <c r="AE601" i="29"/>
  <c r="AD237" i="29"/>
  <c r="AD254" i="29"/>
  <c r="AE309" i="29"/>
  <c r="AD524" i="29"/>
  <c r="AE117" i="29"/>
  <c r="AE194" i="29"/>
  <c r="AD335" i="29"/>
  <c r="AE455" i="29"/>
  <c r="AD406" i="29"/>
  <c r="AE530" i="29"/>
  <c r="AD569" i="29"/>
  <c r="AE107" i="29"/>
  <c r="AE160" i="29"/>
  <c r="AD200" i="29"/>
  <c r="AD191" i="29"/>
  <c r="AD247" i="29"/>
  <c r="AD611" i="29"/>
  <c r="AE93" i="29"/>
  <c r="AD161" i="29"/>
  <c r="AE255" i="29"/>
  <c r="AD291" i="29"/>
  <c r="AD346" i="29"/>
  <c r="AE367" i="29"/>
  <c r="AE384" i="29"/>
  <c r="AD75" i="29"/>
  <c r="AD399" i="29"/>
  <c r="AD539" i="29"/>
  <c r="AD551" i="29"/>
  <c r="AE105" i="29"/>
  <c r="AE195" i="29"/>
  <c r="AE44" i="29"/>
  <c r="AD33" i="29"/>
  <c r="AE157" i="29"/>
  <c r="AE108" i="29"/>
  <c r="AD358" i="29"/>
  <c r="AE433" i="29"/>
  <c r="AD198" i="29"/>
  <c r="AE434" i="29"/>
  <c r="AE446" i="29"/>
  <c r="AD218" i="29"/>
  <c r="AD95" i="29"/>
  <c r="AE363" i="29"/>
  <c r="AE587" i="29"/>
  <c r="AE253" i="29"/>
  <c r="AD410" i="29"/>
  <c r="AE597" i="29"/>
  <c r="AE163" i="29"/>
  <c r="AD130" i="29"/>
  <c r="AE219" i="29"/>
  <c r="AE319" i="29"/>
  <c r="AE471" i="29"/>
  <c r="AD115" i="29"/>
  <c r="AE394" i="29"/>
  <c r="AE516" i="29"/>
  <c r="AD234" i="29"/>
  <c r="AD286" i="29"/>
  <c r="AD392" i="29"/>
  <c r="AE574" i="29"/>
  <c r="AE62" i="29"/>
  <c r="AE79" i="29"/>
  <c r="AD417" i="29"/>
  <c r="AD426" i="29"/>
  <c r="AD532" i="29"/>
  <c r="AD213" i="29"/>
  <c r="AE298" i="29"/>
  <c r="AE320" i="29"/>
  <c r="AD493" i="29"/>
  <c r="AD536" i="29"/>
  <c r="AD603" i="29"/>
  <c r="AE397" i="29"/>
  <c r="AD420" i="29"/>
  <c r="AE525" i="29"/>
  <c r="AD558" i="29"/>
  <c r="AE538" i="29"/>
  <c r="AD290" i="29"/>
  <c r="AD189" i="29"/>
  <c r="AE258" i="29"/>
  <c r="AD303" i="29"/>
  <c r="AE463" i="29"/>
  <c r="AE468" i="29"/>
  <c r="AE526" i="29"/>
  <c r="AE100" i="29"/>
  <c r="AE158" i="29"/>
  <c r="AE197" i="29"/>
  <c r="AE209" i="29"/>
  <c r="AE333" i="29"/>
  <c r="AD391" i="29"/>
  <c r="AD400" i="29"/>
  <c r="AD572" i="29"/>
  <c r="AE81" i="29"/>
  <c r="AE120" i="29"/>
  <c r="AE265" i="29"/>
  <c r="AE475" i="29"/>
  <c r="AD509" i="29"/>
  <c r="AD419" i="29"/>
  <c r="AD484" i="29"/>
  <c r="AE595" i="29"/>
  <c r="AD561" i="29"/>
  <c r="AE482" i="29"/>
  <c r="AD350" i="29"/>
  <c r="AD62" i="29"/>
  <c r="AE519" i="29"/>
  <c r="AE355" i="29"/>
  <c r="AE188" i="29"/>
  <c r="AE491" i="29"/>
  <c r="AD214" i="29"/>
  <c r="AD181" i="29"/>
  <c r="AD528" i="29"/>
  <c r="AD365" i="29"/>
  <c r="AE249" i="29"/>
  <c r="AD251" i="29"/>
  <c r="AD149" i="29"/>
  <c r="AE162" i="29"/>
  <c r="AD120" i="29"/>
  <c r="AD604" i="29"/>
  <c r="AD282" i="29"/>
  <c r="AD215" i="29"/>
  <c r="AE135" i="29"/>
  <c r="AD206" i="29"/>
  <c r="AD253" i="29"/>
  <c r="AD341" i="29"/>
  <c r="AD384" i="29"/>
  <c r="AD178" i="29"/>
  <c r="AD259" i="29"/>
  <c r="AD314" i="29"/>
  <c r="AD307" i="29"/>
  <c r="AE408" i="29"/>
  <c r="AD367" i="29"/>
  <c r="AE416" i="29"/>
  <c r="AE383" i="29"/>
  <c r="AD388" i="29"/>
  <c r="AD443" i="29"/>
  <c r="AE448" i="29"/>
  <c r="AD478" i="29"/>
  <c r="AE586" i="29"/>
  <c r="AD586" i="29"/>
  <c r="AD444" i="29"/>
  <c r="AD463" i="29"/>
  <c r="AE314" i="29"/>
  <c r="AD450" i="29"/>
  <c r="AE391" i="29"/>
  <c r="AD451" i="29"/>
  <c r="AE461" i="29"/>
  <c r="AD483" i="29"/>
  <c r="AE517" i="29"/>
  <c r="AE536" i="29"/>
  <c r="AE562" i="29"/>
  <c r="AD606" i="29"/>
  <c r="AE43" i="29"/>
  <c r="AD490" i="29"/>
  <c r="AD503" i="29"/>
  <c r="AD537" i="29"/>
  <c r="AD573" i="29"/>
  <c r="AE556" i="29"/>
  <c r="AE575" i="29"/>
  <c r="AE590" i="29"/>
  <c r="AE600" i="29"/>
  <c r="AD370" i="29"/>
  <c r="AE225" i="29"/>
  <c r="AD267" i="29"/>
  <c r="AE427" i="29"/>
  <c r="AE419" i="29"/>
  <c r="AE505" i="29"/>
  <c r="AE610" i="29"/>
  <c r="AD93" i="29"/>
  <c r="AE234" i="29"/>
  <c r="AD250" i="29"/>
  <c r="AD357" i="29"/>
  <c r="AD240" i="29"/>
  <c r="AE489" i="29"/>
  <c r="AE570" i="29"/>
  <c r="AD53" i="29"/>
  <c r="AD169" i="29"/>
  <c r="AD230" i="29"/>
  <c r="AD574" i="29"/>
  <c r="AD192" i="29"/>
  <c r="AE148" i="29"/>
  <c r="AE392" i="29"/>
  <c r="AD411" i="29"/>
  <c r="AD457" i="29"/>
  <c r="AE495" i="29"/>
  <c r="AD546" i="29"/>
  <c r="AE327" i="29"/>
  <c r="AE576" i="29"/>
  <c r="AE207" i="29"/>
  <c r="AD14" i="29"/>
  <c r="AD19" i="29"/>
  <c r="AE54" i="29"/>
  <c r="AD285" i="29"/>
  <c r="AD137" i="29"/>
  <c r="AE312" i="29"/>
  <c r="AE531" i="29"/>
  <c r="AD36" i="29"/>
  <c r="AE153" i="29"/>
  <c r="AE124" i="29"/>
  <c r="AD264" i="29"/>
  <c r="AD401" i="29"/>
  <c r="AE28" i="29"/>
  <c r="AD60" i="29"/>
  <c r="AD28" i="29"/>
  <c r="AE203" i="29"/>
  <c r="AE421" i="29"/>
  <c r="AE325" i="29"/>
  <c r="AD84" i="29"/>
  <c r="AE199" i="29"/>
  <c r="AE236" i="29"/>
  <c r="AE282" i="29"/>
  <c r="AD600" i="29"/>
  <c r="AE87" i="29"/>
  <c r="AD172" i="29"/>
  <c r="AE237" i="29"/>
  <c r="AE299" i="29"/>
  <c r="AD360" i="29"/>
  <c r="AD224" i="29"/>
  <c r="AE284" i="29"/>
  <c r="AE385" i="29"/>
  <c r="AD171" i="29"/>
  <c r="AE99" i="29"/>
  <c r="AE584" i="29"/>
  <c r="AE109" i="29"/>
  <c r="AE208" i="29"/>
  <c r="AD331" i="29"/>
  <c r="AD235" i="29"/>
  <c r="AD293" i="29"/>
  <c r="AD453" i="29"/>
  <c r="AD486" i="29"/>
  <c r="AE113" i="29"/>
  <c r="AD276" i="29"/>
  <c r="AE342" i="29"/>
  <c r="AD520" i="29"/>
  <c r="AE285" i="29"/>
  <c r="AE450" i="29"/>
  <c r="AE172" i="29"/>
  <c r="AE201" i="29"/>
  <c r="AE337" i="29"/>
  <c r="AE154" i="29"/>
  <c r="AE50" i="29"/>
  <c r="AD35" i="29"/>
  <c r="AD238" i="29"/>
  <c r="AD127" i="29"/>
  <c r="AE168" i="29"/>
  <c r="AD467" i="29"/>
  <c r="AE532" i="29"/>
  <c r="AD476" i="29"/>
  <c r="AE331" i="29"/>
  <c r="AD91" i="29"/>
  <c r="AE150" i="29"/>
  <c r="AD80" i="29"/>
  <c r="AE401" i="29"/>
  <c r="AE565" i="29"/>
  <c r="AD151" i="29"/>
  <c r="AD294" i="29"/>
  <c r="AD330" i="29"/>
  <c r="AD464" i="29"/>
  <c r="AD266" i="29"/>
  <c r="AD281" i="29"/>
  <c r="AE608" i="29"/>
  <c r="AE82" i="29"/>
  <c r="AD174" i="29"/>
  <c r="AE292" i="29"/>
  <c r="AE432" i="29"/>
  <c r="AE488" i="29"/>
  <c r="AE175" i="29"/>
  <c r="AE227" i="29"/>
  <c r="AE438" i="29"/>
  <c r="AE364" i="29"/>
  <c r="AE520" i="29"/>
  <c r="AD579" i="29"/>
  <c r="AE368" i="29"/>
  <c r="AD315" i="29"/>
  <c r="AD326" i="29"/>
  <c r="AE347" i="29"/>
  <c r="AE365" i="29"/>
  <c r="AD396" i="29"/>
  <c r="AD382" i="29"/>
  <c r="AE582" i="29"/>
  <c r="AE181" i="29"/>
  <c r="AD340" i="29"/>
  <c r="AE447" i="29"/>
  <c r="AD423" i="29"/>
  <c r="AE110" i="29"/>
  <c r="AD262" i="29"/>
  <c r="AE302" i="29"/>
  <c r="AD511" i="29"/>
  <c r="AE189" i="29"/>
  <c r="AD173" i="29"/>
  <c r="AE388" i="29"/>
  <c r="AE604" i="29"/>
  <c r="AE126" i="29"/>
  <c r="AE204" i="29"/>
  <c r="AE268" i="29"/>
  <c r="AD311" i="29"/>
  <c r="AE335" i="29"/>
  <c r="AD471" i="29"/>
  <c r="AE555" i="29"/>
  <c r="AE68" i="29"/>
  <c r="AE211" i="29"/>
  <c r="AE229" i="29"/>
  <c r="AD317" i="29"/>
  <c r="AE414" i="29"/>
  <c r="AE436" i="29"/>
  <c r="AD373" i="29"/>
  <c r="AE378" i="29"/>
  <c r="AD379" i="29"/>
  <c r="AE456" i="29"/>
  <c r="AD472" i="29"/>
  <c r="AD560" i="29"/>
  <c r="AD121" i="29"/>
  <c r="AE60" i="29"/>
  <c r="AE473" i="29"/>
  <c r="AE496" i="29"/>
  <c r="AE535" i="29"/>
  <c r="AD575" i="29"/>
  <c r="AD599" i="29"/>
  <c r="AE72" i="29"/>
  <c r="AE66" i="29"/>
  <c r="AE83" i="29"/>
  <c r="AD152" i="29"/>
  <c r="AD126" i="29"/>
  <c r="AD216" i="29"/>
  <c r="AE233" i="29"/>
  <c r="AD321" i="29"/>
  <c r="AD415" i="29"/>
  <c r="AE440" i="29"/>
  <c r="AE500" i="29"/>
  <c r="AE588" i="29"/>
  <c r="AE326" i="29"/>
  <c r="AD332" i="29"/>
  <c r="AE380" i="29"/>
  <c r="AD533" i="29"/>
  <c r="AE581" i="29"/>
  <c r="AD607" i="29"/>
  <c r="AE524" i="29"/>
  <c r="AD205" i="29"/>
  <c r="AE17" i="29"/>
  <c r="AE465" i="29"/>
  <c r="AE128" i="29"/>
  <c r="AE395" i="29"/>
  <c r="AD219" i="29"/>
  <c r="AD119" i="29"/>
  <c r="AD564" i="29"/>
  <c r="AD407" i="29"/>
  <c r="AD390" i="29"/>
  <c r="AE179" i="29"/>
  <c r="AD175" i="29"/>
  <c r="AE176" i="29"/>
  <c r="AE114" i="29"/>
  <c r="AD372" i="29"/>
  <c r="AE311" i="29"/>
  <c r="AE213" i="29"/>
  <c r="AE224" i="29"/>
  <c r="AD116" i="29"/>
  <c r="AE115" i="29"/>
  <c r="AD354" i="29"/>
  <c r="AD245" i="29"/>
  <c r="AE187" i="29"/>
  <c r="AE90" i="29"/>
  <c r="AD190" i="29"/>
  <c r="AD271" i="29"/>
  <c r="AD355" i="29"/>
  <c r="AE352" i="29"/>
  <c r="AE577" i="29"/>
  <c r="AE246" i="29"/>
  <c r="AD278" i="29"/>
  <c r="AD328" i="29"/>
  <c r="AD375" i="29"/>
  <c r="AE354" i="29"/>
  <c r="AE348" i="29"/>
  <c r="AD434" i="29"/>
  <c r="AE400" i="29"/>
  <c r="AD488" i="29"/>
  <c r="AE544" i="29"/>
  <c r="AE403" i="29"/>
  <c r="AD393" i="29"/>
  <c r="AD428" i="29"/>
  <c r="AE563" i="29"/>
  <c r="AE362" i="29"/>
  <c r="AE356" i="29"/>
  <c r="AD435" i="29"/>
  <c r="AE470" i="29"/>
  <c r="AD473" i="29"/>
  <c r="AD510" i="29"/>
  <c r="AE579" i="29"/>
  <c r="AD543" i="29"/>
  <c r="AE569" i="29"/>
  <c r="AD501" i="29"/>
  <c r="AD496" i="29"/>
  <c r="AE498" i="29"/>
  <c r="AE541" i="29"/>
  <c r="AE593" i="29"/>
  <c r="AD584" i="29"/>
  <c r="AE486" i="29"/>
  <c r="AD540" i="29"/>
  <c r="AE605" i="29"/>
  <c r="AD422" i="29"/>
  <c r="AE166" i="29"/>
  <c r="AE200" i="29"/>
  <c r="AD273" i="29"/>
  <c r="AE357" i="29"/>
  <c r="AE591" i="29"/>
  <c r="AE321" i="29"/>
  <c r="AD612" i="29"/>
  <c r="AE460" i="29"/>
  <c r="AE264" i="29"/>
  <c r="AE140" i="29"/>
  <c r="AE92" i="29"/>
  <c r="AD167" i="29"/>
  <c r="AE418" i="29"/>
  <c r="AE503" i="29"/>
  <c r="AE205" i="29"/>
  <c r="AD339" i="29"/>
  <c r="AE435" i="29"/>
  <c r="AD456" i="29"/>
  <c r="AE442" i="29"/>
  <c r="AE178" i="29"/>
  <c r="AE332" i="29"/>
  <c r="AD505" i="29"/>
  <c r="AE121" i="29"/>
  <c r="AD176" i="29"/>
  <c r="AE407" i="29"/>
  <c r="AE239" i="29"/>
  <c r="AE261" i="29"/>
  <c r="AD349" i="29"/>
  <c r="AE596" i="29"/>
  <c r="AE104" i="29"/>
  <c r="AE180" i="29"/>
  <c r="AE206" i="29"/>
  <c r="AD316" i="29"/>
  <c r="AE497" i="29"/>
  <c r="AE551" i="29"/>
  <c r="AD44" i="29"/>
  <c r="AE369" i="29"/>
  <c r="AE534" i="29"/>
  <c r="AE613" i="29"/>
  <c r="AE47" i="29"/>
  <c r="AE559" i="29"/>
  <c r="AD580" i="29"/>
  <c r="AE21" i="29"/>
  <c r="AD56" i="29"/>
  <c r="AD124" i="29"/>
  <c r="AE379" i="29"/>
  <c r="AD418" i="29"/>
  <c r="AE245" i="29"/>
  <c r="AE269" i="29"/>
  <c r="AE537" i="29"/>
  <c r="AD477" i="29"/>
  <c r="AD110" i="29"/>
  <c r="AE103" i="29"/>
  <c r="AD187" i="29"/>
  <c r="AD243" i="29"/>
  <c r="AD454" i="29"/>
  <c r="AD567" i="29"/>
  <c r="AE151" i="29"/>
  <c r="AE304" i="29"/>
  <c r="AE410" i="29"/>
  <c r="AE514" i="29"/>
  <c r="AD385" i="29"/>
  <c r="AD535" i="29"/>
  <c r="AD594" i="29"/>
  <c r="AD263" i="29"/>
  <c r="AD329" i="29"/>
  <c r="AE420" i="29"/>
  <c r="AE129" i="29"/>
  <c r="AE480" i="29"/>
  <c r="AD513" i="29"/>
  <c r="AE547" i="29"/>
  <c r="AE580" i="29"/>
  <c r="AD106" i="29"/>
  <c r="AE212" i="29"/>
  <c r="AD313" i="29"/>
  <c r="AE415" i="29"/>
  <c r="AE484" i="29"/>
  <c r="AE548" i="29"/>
  <c r="AE51" i="29"/>
  <c r="AD299" i="29"/>
  <c r="AE89" i="29"/>
  <c r="AE226" i="29"/>
  <c r="AE366" i="29"/>
  <c r="AE101" i="29"/>
  <c r="AE315" i="29"/>
  <c r="AE431" i="29"/>
  <c r="AD165" i="29"/>
  <c r="AD199" i="29"/>
  <c r="AD89" i="29"/>
  <c r="AD233" i="29"/>
  <c r="AD345" i="29"/>
  <c r="AE494" i="29"/>
  <c r="AE235" i="29"/>
  <c r="AE370" i="29"/>
  <c r="AE123" i="29"/>
  <c r="AD288" i="29"/>
  <c r="AE458" i="29"/>
  <c r="AD409" i="29"/>
  <c r="AE191" i="29"/>
  <c r="AE307" i="29"/>
  <c r="AD439" i="29"/>
  <c r="AE566" i="29"/>
  <c r="AD168" i="29"/>
  <c r="AD63" i="29"/>
  <c r="AE32" i="29"/>
  <c r="AD26" i="29"/>
  <c r="AD67" i="29"/>
  <c r="AD22" i="29"/>
  <c r="AD79" i="29"/>
  <c r="AE23" i="29"/>
  <c r="AD107" i="29"/>
  <c r="AD68" i="29"/>
  <c r="AD25" i="29"/>
  <c r="AD105" i="29"/>
  <c r="AD74" i="29"/>
  <c r="AD65" i="29"/>
  <c r="AD41" i="29"/>
  <c r="AE39" i="29"/>
  <c r="AE20" i="29"/>
  <c r="AD40" i="29"/>
  <c r="AD21" i="29"/>
  <c r="AD37" i="29"/>
  <c r="AD83" i="29"/>
  <c r="AD46" i="29"/>
  <c r="AE122" i="29"/>
  <c r="AD32" i="29"/>
  <c r="AE78" i="29"/>
  <c r="AD111" i="29"/>
  <c r="AD81" i="29"/>
  <c r="AD72" i="29"/>
  <c r="AD52" i="29"/>
  <c r="AD17" i="29"/>
  <c r="AE138" i="29"/>
  <c r="AD76" i="29"/>
  <c r="AD42" i="29"/>
  <c r="AD45" i="29"/>
  <c r="AD51" i="29"/>
  <c r="AD54" i="29"/>
  <c r="AD94" i="29"/>
  <c r="Q625" i="29"/>
  <c r="AD49" i="29"/>
  <c r="AD43" i="29"/>
  <c r="AD57" i="29"/>
  <c r="AD29" i="29"/>
  <c r="U625" i="29"/>
  <c r="AE24" i="29"/>
  <c r="AE15" i="29"/>
  <c r="AD34" i="29"/>
  <c r="AD58" i="29"/>
  <c r="AD113" i="29"/>
  <c r="AD104" i="29"/>
  <c r="AE48" i="29"/>
  <c r="AD23" i="29"/>
  <c r="AE14" i="29"/>
  <c r="T625" i="29"/>
  <c r="P625" i="29"/>
  <c r="V625" i="29"/>
  <c r="AD31" i="29"/>
  <c r="R625" i="29"/>
  <c r="O625" i="29"/>
  <c r="S625" i="29"/>
  <c r="AD38" i="29"/>
  <c r="AE52" i="29"/>
  <c r="AE626" i="29"/>
  <c r="AD626" i="29"/>
  <c r="AE624" i="29" l="1"/>
  <c r="AD624" i="29"/>
  <c r="AE625" i="29"/>
  <c r="AD625" i="29"/>
  <c r="D37" i="19" l="1"/>
  <c r="N108" i="24" l="1"/>
  <c r="B54" i="19" l="1"/>
  <c r="D54" i="19" s="1"/>
  <c r="D42" i="19"/>
  <c r="B206" i="2"/>
  <c r="EX1" i="24" s="1"/>
  <c r="BT1" i="24" l="1"/>
  <c r="B97" i="2" l="1"/>
  <c r="M10" i="1"/>
  <c r="K10" i="1"/>
  <c r="B18" i="2" l="1"/>
  <c r="CK212" i="25" s="1"/>
  <c r="B28" i="19"/>
  <c r="D28" i="19" s="1"/>
  <c r="B49" i="19"/>
  <c r="D49" i="19" s="1"/>
  <c r="EQ216" i="25" l="1"/>
  <c r="ES216" i="24"/>
  <c r="EV216" i="24" s="1"/>
  <c r="BO216" i="24"/>
  <c r="BR216" i="24" s="1"/>
  <c r="CK112" i="25"/>
  <c r="L105" i="2"/>
  <c r="G83" i="2"/>
  <c r="EQ110" i="25"/>
  <c r="ES110" i="24"/>
  <c r="EV110" i="24" s="1"/>
  <c r="CQ1" i="24"/>
  <c r="CK287" i="25"/>
  <c r="CK201" i="25"/>
  <c r="CK186" i="25"/>
  <c r="CK172" i="25"/>
  <c r="CK147" i="25"/>
  <c r="CK143" i="25"/>
  <c r="CK118" i="25"/>
  <c r="CK94" i="25"/>
  <c r="CK54" i="25"/>
  <c r="CK46" i="25"/>
  <c r="CK302" i="25"/>
  <c r="CK297" i="25"/>
  <c r="CK292" i="25"/>
  <c r="CK289" i="25"/>
  <c r="CK280" i="25"/>
  <c r="CK261" i="25"/>
  <c r="CK249" i="25"/>
  <c r="CK228" i="25"/>
  <c r="CK225" i="25"/>
  <c r="CK222" i="25"/>
  <c r="CK219" i="25"/>
  <c r="CK199" i="25"/>
  <c r="CK197" i="25"/>
  <c r="CK194" i="25"/>
  <c r="CK191" i="25"/>
  <c r="CK161" i="25"/>
  <c r="CK157" i="25"/>
  <c r="CK139" i="25"/>
  <c r="CK127" i="25"/>
  <c r="CK124" i="25"/>
  <c r="CK113" i="25"/>
  <c r="CK104" i="25"/>
  <c r="CK98" i="25"/>
  <c r="CK96" i="25"/>
  <c r="CK92" i="25"/>
  <c r="CK83" i="25"/>
  <c r="CK81" i="25"/>
  <c r="CK79" i="25"/>
  <c r="CK65" i="25"/>
  <c r="CK23" i="25"/>
  <c r="CK17" i="25"/>
  <c r="CK13" i="25"/>
  <c r="CK314" i="25"/>
  <c r="CK282" i="25"/>
  <c r="CK278" i="25"/>
  <c r="CK272" i="25"/>
  <c r="CK267" i="25"/>
  <c r="CK265" i="25"/>
  <c r="CK263" i="25"/>
  <c r="CK253" i="25"/>
  <c r="CK242" i="25"/>
  <c r="CK233" i="25"/>
  <c r="CK206" i="25"/>
  <c r="CK183" i="25"/>
  <c r="CK179" i="25"/>
  <c r="CK177" i="25"/>
  <c r="CK170" i="25"/>
  <c r="CK150" i="25"/>
  <c r="CK137" i="25"/>
  <c r="CK119" i="25"/>
  <c r="CK87" i="25"/>
  <c r="CK85" i="25"/>
  <c r="CK76" i="25"/>
  <c r="CK72" i="25"/>
  <c r="CK269" i="25"/>
  <c r="CK251" i="25"/>
  <c r="CK230" i="25"/>
  <c r="CK181" i="25"/>
  <c r="CK168" i="25"/>
  <c r="CK164" i="25"/>
  <c r="CK130" i="25"/>
  <c r="CK116" i="25"/>
  <c r="CK74" i="25"/>
  <c r="CK316" i="25"/>
  <c r="CK311" i="25"/>
  <c r="CK309" i="25"/>
  <c r="CK301" i="25"/>
  <c r="CK299" i="25"/>
  <c r="CK294" i="25"/>
  <c r="CK291" i="25"/>
  <c r="CK288" i="25"/>
  <c r="CK286" i="25"/>
  <c r="CK284" i="25"/>
  <c r="CK275" i="25"/>
  <c r="CK258" i="25"/>
  <c r="CK256" i="25"/>
  <c r="CK246" i="25"/>
  <c r="CK244" i="25"/>
  <c r="CK237" i="25"/>
  <c r="CK235" i="25"/>
  <c r="CK224" i="25"/>
  <c r="CK216" i="25"/>
  <c r="CK208" i="25"/>
  <c r="CK204" i="25"/>
  <c r="CK195" i="25"/>
  <c r="CK189" i="25"/>
  <c r="CK185" i="25"/>
  <c r="CK175" i="25"/>
  <c r="CK166" i="25"/>
  <c r="CK160" i="25"/>
  <c r="CK156" i="25"/>
  <c r="CK153" i="25"/>
  <c r="CK122" i="25"/>
  <c r="CK111" i="25"/>
  <c r="CK110" i="25"/>
  <c r="CK89" i="25"/>
  <c r="CK38" i="25"/>
  <c r="CK31" i="25"/>
  <c r="CK27" i="25"/>
  <c r="CK25" i="25"/>
  <c r="CK12" i="25"/>
  <c r="CK10" i="25"/>
  <c r="CK290" i="25"/>
  <c r="CK277" i="25"/>
  <c r="CK254" i="25"/>
  <c r="CK227" i="25"/>
  <c r="CK200" i="25"/>
  <c r="CK196" i="25"/>
  <c r="CK159" i="25"/>
  <c r="CK138" i="25"/>
  <c r="CK120" i="25"/>
  <c r="CK97" i="25"/>
  <c r="CK93" i="25"/>
  <c r="CK80" i="25"/>
  <c r="CK62" i="25"/>
  <c r="CK53" i="25"/>
  <c r="CK42" i="25"/>
  <c r="CK33" i="25"/>
  <c r="CK24" i="25"/>
  <c r="CK313" i="25"/>
  <c r="CK306" i="25"/>
  <c r="CK304" i="25"/>
  <c r="CK296" i="25"/>
  <c r="CK248" i="25"/>
  <c r="CK239" i="25"/>
  <c r="CK232" i="25"/>
  <c r="CK221" i="25"/>
  <c r="CK218" i="25"/>
  <c r="CK202" i="25"/>
  <c r="CK192" i="25"/>
  <c r="CK187" i="25"/>
  <c r="CK173" i="25"/>
  <c r="CK163" i="25"/>
  <c r="CK148" i="25"/>
  <c r="CK146" i="25"/>
  <c r="CK144" i="25"/>
  <c r="CK142" i="25"/>
  <c r="CK140" i="25"/>
  <c r="CK135" i="25"/>
  <c r="CK133" i="25"/>
  <c r="CK128" i="25"/>
  <c r="CK125" i="25"/>
  <c r="CK114" i="25"/>
  <c r="CK103" i="25"/>
  <c r="CK101" i="25"/>
  <c r="CK95" i="25"/>
  <c r="CK91" i="25"/>
  <c r="CK68" i="25"/>
  <c r="CK66" i="25"/>
  <c r="CK55" i="25"/>
  <c r="CK51" i="25"/>
  <c r="CK49" i="25"/>
  <c r="CK45" i="25"/>
  <c r="CK40" i="25"/>
  <c r="CK29" i="25"/>
  <c r="CK22" i="25"/>
  <c r="CK20" i="25"/>
  <c r="CK18" i="25"/>
  <c r="CK16" i="25"/>
  <c r="CK14" i="25"/>
  <c r="CK6" i="25"/>
  <c r="CK308" i="25"/>
  <c r="CK279" i="25"/>
  <c r="CK274" i="25"/>
  <c r="CK260" i="25"/>
  <c r="CK250" i="25"/>
  <c r="CK210" i="25"/>
  <c r="CK198" i="25"/>
  <c r="CK171" i="25"/>
  <c r="CK152" i="25"/>
  <c r="CK131" i="25"/>
  <c r="CK117" i="25"/>
  <c r="CK99" i="25"/>
  <c r="CK82" i="25"/>
  <c r="CK78" i="25"/>
  <c r="CK58" i="25"/>
  <c r="CK47" i="25"/>
  <c r="CK35" i="25"/>
  <c r="CK271" i="25"/>
  <c r="CK71" i="25"/>
  <c r="CK298" i="25"/>
  <c r="CK293" i="25"/>
  <c r="CK281" i="25"/>
  <c r="CK268" i="25"/>
  <c r="CK266" i="25"/>
  <c r="CK264" i="25"/>
  <c r="CK252" i="25"/>
  <c r="CK241" i="25"/>
  <c r="CK234" i="25"/>
  <c r="CK229" i="25"/>
  <c r="CK207" i="25"/>
  <c r="CK193" i="25"/>
  <c r="CK190" i="25"/>
  <c r="CK182" i="25"/>
  <c r="CK180" i="25"/>
  <c r="CK178" i="25"/>
  <c r="CK176" i="25"/>
  <c r="CK162" i="25"/>
  <c r="CK315" i="25"/>
  <c r="CK312" i="25"/>
  <c r="CK310" i="25"/>
  <c r="CK303" i="25"/>
  <c r="CK300" i="25"/>
  <c r="CK295" i="25"/>
  <c r="CK283" i="25"/>
  <c r="CK270" i="25"/>
  <c r="CK262" i="25"/>
  <c r="CK259" i="25"/>
  <c r="CK257" i="25"/>
  <c r="CK245" i="25"/>
  <c r="CK243" i="25"/>
  <c r="CK238" i="25"/>
  <c r="CK236" i="25"/>
  <c r="CK226" i="25"/>
  <c r="CK223" i="25"/>
  <c r="CK220" i="25"/>
  <c r="CK217" i="25"/>
  <c r="CK205" i="25"/>
  <c r="CK184" i="25"/>
  <c r="CK165" i="25"/>
  <c r="CK158" i="25"/>
  <c r="CK151" i="25"/>
  <c r="CK136" i="25"/>
  <c r="CK132" i="25"/>
  <c r="CK129" i="25"/>
  <c r="CK126" i="25"/>
  <c r="CK115" i="25"/>
  <c r="CK105" i="25"/>
  <c r="CK100" i="25"/>
  <c r="CK90" i="25"/>
  <c r="CK88" i="25"/>
  <c r="CK77" i="25"/>
  <c r="CK69" i="25"/>
  <c r="CK67" i="25"/>
  <c r="CK60" i="25"/>
  <c r="CK56" i="25"/>
  <c r="CK50" i="25"/>
  <c r="CK32" i="25"/>
  <c r="CK30" i="25"/>
  <c r="CK28" i="25"/>
  <c r="CK11" i="25"/>
  <c r="CK307" i="25"/>
  <c r="CK305" i="25"/>
  <c r="CK285" i="25"/>
  <c r="CK276" i="25"/>
  <c r="CK273" i="25"/>
  <c r="CK255" i="25"/>
  <c r="CK247" i="25"/>
  <c r="CK240" i="25"/>
  <c r="CK231" i="25"/>
  <c r="CK209" i="25"/>
  <c r="CK203" i="25"/>
  <c r="CK188" i="25"/>
  <c r="CK174" i="25"/>
  <c r="CK154" i="25"/>
  <c r="CK149" i="25"/>
  <c r="CK145" i="25"/>
  <c r="CK141" i="25"/>
  <c r="CK134" i="25"/>
  <c r="CK121" i="25"/>
  <c r="CK102" i="25"/>
  <c r="CK52" i="25"/>
  <c r="CK48" i="25"/>
  <c r="CK70" i="25"/>
  <c r="CK61" i="25"/>
  <c r="CK36" i="25"/>
  <c r="CK44" i="25"/>
  <c r="CK9" i="25"/>
  <c r="CK167" i="25"/>
  <c r="CK169" i="25"/>
  <c r="CK155" i="25"/>
  <c r="CK84" i="25"/>
  <c r="CK41" i="25"/>
  <c r="CK21" i="25"/>
  <c r="CK7" i="25"/>
  <c r="CK39" i="25"/>
  <c r="CK19" i="25"/>
  <c r="CK43" i="25"/>
  <c r="CK26" i="25"/>
  <c r="CK15" i="25"/>
  <c r="CK123" i="25"/>
  <c r="CK34" i="25"/>
  <c r="CK63" i="25"/>
  <c r="CK8" i="25"/>
  <c r="CK86" i="25"/>
  <c r="CK73" i="25"/>
  <c r="CK64" i="25"/>
  <c r="CK57" i="25"/>
  <c r="CK37" i="25"/>
  <c r="CK59" i="25"/>
  <c r="CK75" i="25"/>
  <c r="BO110" i="24"/>
  <c r="BR110" i="24" s="1"/>
  <c r="M1" i="24"/>
  <c r="K41" i="16" l="1"/>
  <c r="K40" i="16"/>
  <c r="K39" i="16"/>
  <c r="K33" i="16"/>
  <c r="J33" i="16"/>
  <c r="I33" i="16"/>
  <c r="H33" i="16"/>
  <c r="I34" i="16"/>
  <c r="H34" i="16"/>
  <c r="C41" i="16"/>
  <c r="D40" i="16"/>
  <c r="D39" i="16"/>
  <c r="J40" i="16"/>
  <c r="H40" i="16"/>
  <c r="J39" i="16"/>
  <c r="J50" i="16"/>
  <c r="I50" i="16"/>
  <c r="H50" i="16"/>
  <c r="A50" i="16"/>
  <c r="D42" i="16"/>
  <c r="D41" i="16"/>
  <c r="F245" i="2"/>
  <c r="K47" i="16"/>
  <c r="J47" i="16"/>
  <c r="I40" i="16"/>
  <c r="C40" i="16"/>
  <c r="B34" i="16"/>
  <c r="A40" i="16"/>
  <c r="B251" i="2"/>
  <c r="A33" i="16"/>
  <c r="K50" i="16"/>
  <c r="M14" i="1" l="1"/>
  <c r="A2" i="28"/>
  <c r="A2" i="22"/>
  <c r="B17" i="2"/>
  <c r="B16" i="2"/>
  <c r="C44" i="16" l="1"/>
  <c r="D44" i="16"/>
  <c r="CM212" i="25"/>
  <c r="N322" i="25"/>
  <c r="CM112" i="25"/>
  <c r="CM5" i="25"/>
  <c r="CM273" i="25"/>
  <c r="CM261" i="25"/>
  <c r="CM298" i="25"/>
  <c r="CM305" i="25"/>
  <c r="CM301" i="25"/>
  <c r="CM307" i="25"/>
  <c r="CM309" i="25"/>
  <c r="CM240" i="25"/>
  <c r="CM284" i="25"/>
  <c r="CM220" i="25"/>
  <c r="CM286" i="25"/>
  <c r="CM223" i="25"/>
  <c r="CM269" i="25"/>
  <c r="CM198" i="25"/>
  <c r="CM162" i="25"/>
  <c r="CM102" i="25"/>
  <c r="CM158" i="25"/>
  <c r="CM66" i="25"/>
  <c r="CM159" i="25"/>
  <c r="CM151" i="25"/>
  <c r="CM7" i="25"/>
  <c r="CM71" i="25"/>
  <c r="CM25" i="25"/>
  <c r="CM85" i="25"/>
  <c r="CM34" i="25"/>
  <c r="CM135" i="25"/>
  <c r="CM202" i="25"/>
  <c r="CM35" i="25"/>
  <c r="CM140" i="25"/>
  <c r="CM160" i="25"/>
  <c r="CM97" i="25"/>
  <c r="CM11" i="25"/>
  <c r="CM77" i="25"/>
  <c r="CM30" i="25"/>
  <c r="CM170" i="25"/>
  <c r="CM26" i="25"/>
  <c r="CM218" i="25"/>
  <c r="CM226" i="25"/>
  <c r="CM285" i="25"/>
  <c r="CM260" i="25"/>
  <c r="CM243" i="25"/>
  <c r="CM278" i="25"/>
  <c r="CM245" i="25"/>
  <c r="CM233" i="25"/>
  <c r="CM217" i="25"/>
  <c r="CM311" i="25"/>
  <c r="CM259" i="25"/>
  <c r="CM316" i="25"/>
  <c r="CM262" i="25"/>
  <c r="CM263" i="25"/>
  <c r="CM116" i="25"/>
  <c r="CM130" i="25"/>
  <c r="CM113" i="25"/>
  <c r="CM6" i="25"/>
  <c r="CM72" i="25"/>
  <c r="CM56" i="25"/>
  <c r="CM133" i="25"/>
  <c r="CM199" i="25"/>
  <c r="CM171" i="25"/>
  <c r="CM32" i="25"/>
  <c r="CM177" i="25"/>
  <c r="CM209" i="25"/>
  <c r="CM180" i="25"/>
  <c r="CM27" i="25"/>
  <c r="CM87" i="25"/>
  <c r="CM147" i="25"/>
  <c r="CM144" i="25"/>
  <c r="CM123" i="25"/>
  <c r="CM67" i="25"/>
  <c r="CM83" i="25"/>
  <c r="CM101" i="25"/>
  <c r="CM92" i="25"/>
  <c r="CM45" i="25"/>
  <c r="CM13" i="25"/>
  <c r="CM43" i="25"/>
  <c r="CM78" i="25"/>
  <c r="CM114" i="25"/>
  <c r="CM139" i="25"/>
  <c r="CM146" i="25"/>
  <c r="CM294" i="25"/>
  <c r="CM52" i="25"/>
  <c r="CM194" i="25"/>
  <c r="CM81" i="25"/>
  <c r="CM279" i="25"/>
  <c r="CM118" i="25"/>
  <c r="CM53" i="25"/>
  <c r="CM75" i="25"/>
  <c r="CM208" i="25"/>
  <c r="CM186" i="25"/>
  <c r="CM48" i="25"/>
  <c r="CM191" i="25"/>
  <c r="CM293" i="25"/>
  <c r="CM270" i="25"/>
  <c r="CM239" i="25"/>
  <c r="CM300" i="25"/>
  <c r="CM219" i="25"/>
  <c r="CM303" i="25"/>
  <c r="CM282" i="25"/>
  <c r="CM257" i="25"/>
  <c r="CM230" i="25"/>
  <c r="CM312" i="25"/>
  <c r="CM251" i="25"/>
  <c r="CM315" i="25"/>
  <c r="CM249" i="25"/>
  <c r="CM188" i="25"/>
  <c r="CM76" i="25"/>
  <c r="CM197" i="25"/>
  <c r="CM9" i="25"/>
  <c r="CM105" i="25"/>
  <c r="CM117" i="25"/>
  <c r="CM153" i="25"/>
  <c r="CM183" i="25"/>
  <c r="CM70" i="25"/>
  <c r="CM82" i="25"/>
  <c r="CM187" i="25"/>
  <c r="CM206" i="25"/>
  <c r="CM189" i="25"/>
  <c r="CM152" i="25"/>
  <c r="CM192" i="25"/>
  <c r="CM216" i="25"/>
  <c r="CM38" i="25"/>
  <c r="CM157" i="25"/>
  <c r="CM89" i="25"/>
  <c r="CM190" i="25"/>
  <c r="CM103" i="25"/>
  <c r="CM161" i="25"/>
  <c r="CM155" i="25"/>
  <c r="CM88" i="25"/>
  <c r="CM110" i="25"/>
  <c r="CM17" i="25"/>
  <c r="CM271" i="25"/>
  <c r="CM228" i="25"/>
  <c r="CM39" i="25"/>
  <c r="CM163" i="25"/>
  <c r="CM62" i="25"/>
  <c r="CM80" i="25"/>
  <c r="CM172" i="25"/>
  <c r="CM236" i="25"/>
  <c r="CM304" i="25"/>
  <c r="CM225" i="25"/>
  <c r="CM121" i="25"/>
  <c r="CM166" i="25"/>
  <c r="CM16" i="25"/>
  <c r="CM250" i="25"/>
  <c r="CM229" i="25"/>
  <c r="CM246" i="25"/>
  <c r="CM252" i="25"/>
  <c r="CM292" i="25"/>
  <c r="CM264" i="25"/>
  <c r="CM222" i="25"/>
  <c r="CM310" i="25"/>
  <c r="CM242" i="25"/>
  <c r="CM268" i="25"/>
  <c r="CM253" i="25"/>
  <c r="CM281" i="25"/>
  <c r="CM287" i="25"/>
  <c r="CM86" i="25"/>
  <c r="CM55" i="25"/>
  <c r="CM8" i="25"/>
  <c r="CM176" i="25"/>
  <c r="CM128" i="25"/>
  <c r="CM12" i="25"/>
  <c r="CM14" i="25"/>
  <c r="CM18" i="25"/>
  <c r="CM23" i="25"/>
  <c r="CM173" i="25"/>
  <c r="CM143" i="25"/>
  <c r="CM94" i="25"/>
  <c r="CM21" i="25"/>
  <c r="CM60" i="25"/>
  <c r="CM131" i="25"/>
  <c r="CM156" i="25"/>
  <c r="CM145" i="25"/>
  <c r="CM41" i="25"/>
  <c r="CM126" i="25"/>
  <c r="CM248" i="25"/>
  <c r="CM93" i="25"/>
  <c r="CM204" i="25"/>
  <c r="CM29" i="25"/>
  <c r="CM104" i="25"/>
  <c r="CM205" i="25"/>
  <c r="CM142" i="25"/>
  <c r="CM185" i="25"/>
  <c r="CM244" i="25"/>
  <c r="CM238" i="25"/>
  <c r="CM241" i="25"/>
  <c r="CM148" i="25"/>
  <c r="CM125" i="25"/>
  <c r="CM115" i="25"/>
  <c r="CM28" i="25"/>
  <c r="CM36" i="25"/>
  <c r="CM181" i="25"/>
  <c r="CM132" i="25"/>
  <c r="CM136" i="25"/>
  <c r="CM74" i="25"/>
  <c r="CM79" i="25"/>
  <c r="CM96" i="25"/>
  <c r="CM299" i="25"/>
  <c r="CM99" i="25"/>
  <c r="CM49" i="25"/>
  <c r="CM46" i="25"/>
  <c r="CM291" i="25"/>
  <c r="CM283" i="25"/>
  <c r="CM280" i="25"/>
  <c r="CM296" i="25"/>
  <c r="CM289" i="25"/>
  <c r="CM227" i="25"/>
  <c r="CM274" i="25"/>
  <c r="CM254" i="25"/>
  <c r="CM302" i="25"/>
  <c r="CM277" i="25"/>
  <c r="CM272" i="25"/>
  <c r="CM237" i="25"/>
  <c r="CM90" i="25"/>
  <c r="CM111" i="25"/>
  <c r="CM195" i="25"/>
  <c r="CM65" i="25"/>
  <c r="CM84" i="25"/>
  <c r="CM203" i="25"/>
  <c r="CM178" i="25"/>
  <c r="CM68" i="25"/>
  <c r="CM196" i="25"/>
  <c r="CM164" i="25"/>
  <c r="CM124" i="25"/>
  <c r="CM69" i="25"/>
  <c r="CM193" i="25"/>
  <c r="CM182" i="25"/>
  <c r="CM95" i="25"/>
  <c r="CM61" i="25"/>
  <c r="CM57" i="25"/>
  <c r="CM58" i="25"/>
  <c r="CM73" i="25"/>
  <c r="CM54" i="25"/>
  <c r="CM210" i="25"/>
  <c r="CM98" i="25"/>
  <c r="CM232" i="25"/>
  <c r="CM313" i="25"/>
  <c r="CM165" i="25"/>
  <c r="CM44" i="25"/>
  <c r="CM40" i="25"/>
  <c r="CM265" i="25"/>
  <c r="CM234" i="25"/>
  <c r="CM295" i="25"/>
  <c r="CM258" i="25"/>
  <c r="CM231" i="25"/>
  <c r="CM275" i="25"/>
  <c r="CM256" i="25"/>
  <c r="CM224" i="25"/>
  <c r="CM247" i="25"/>
  <c r="CM235" i="25"/>
  <c r="CM255" i="25"/>
  <c r="CM288" i="25"/>
  <c r="CM149" i="25"/>
  <c r="CM167" i="25"/>
  <c r="CM100" i="25"/>
  <c r="CM20" i="25"/>
  <c r="CM42" i="25"/>
  <c r="CM174" i="25"/>
  <c r="CM10" i="25"/>
  <c r="CM63" i="25"/>
  <c r="CM169" i="25"/>
  <c r="CM138" i="25"/>
  <c r="CM59" i="25"/>
  <c r="CM134" i="25"/>
  <c r="CM184" i="25"/>
  <c r="CM91" i="25"/>
  <c r="CM200" i="25"/>
  <c r="CM168" i="25"/>
  <c r="CM127" i="25"/>
  <c r="CM47" i="25"/>
  <c r="CM37" i="25"/>
  <c r="CM141" i="25"/>
  <c r="CM31" i="25"/>
  <c r="CM119" i="25"/>
  <c r="CM137" i="25"/>
  <c r="CM201" i="25"/>
  <c r="CM64" i="25"/>
  <c r="CM150" i="25"/>
  <c r="CM154" i="25"/>
  <c r="CM207" i="25"/>
  <c r="CM51" i="25"/>
  <c r="CM120" i="25"/>
  <c r="CM276" i="25"/>
  <c r="CM308" i="25"/>
  <c r="CM297" i="25"/>
  <c r="CM266" i="25"/>
  <c r="CM314" i="25"/>
  <c r="CM221" i="25"/>
  <c r="CM122" i="25"/>
  <c r="CM15" i="25"/>
  <c r="CM129" i="25"/>
  <c r="CM267" i="25"/>
  <c r="CM306" i="25"/>
  <c r="CM290" i="25"/>
  <c r="CM33" i="25"/>
  <c r="CM50" i="25"/>
  <c r="CM179" i="25"/>
  <c r="CM19" i="25"/>
  <c r="CM22" i="25"/>
  <c r="CM175" i="25"/>
  <c r="CM24" i="25"/>
  <c r="I5" i="25"/>
  <c r="B73" i="2"/>
  <c r="D245" i="2" s="1"/>
  <c r="B19" i="2"/>
  <c r="BP6" i="19"/>
  <c r="BQ6" i="19"/>
  <c r="BU6" i="19"/>
  <c r="CA6" i="19" s="1"/>
  <c r="BV6" i="19"/>
  <c r="CB6" i="19" s="1"/>
  <c r="BW6" i="19"/>
  <c r="CC6" i="19" s="1"/>
  <c r="BP7" i="19"/>
  <c r="BQ7" i="19"/>
  <c r="BU7" i="19"/>
  <c r="BV7" i="19"/>
  <c r="CB7" i="19" s="1"/>
  <c r="BW7" i="19"/>
  <c r="CA7" i="19"/>
  <c r="CC7" i="19"/>
  <c r="BP8" i="19"/>
  <c r="BQ8" i="19"/>
  <c r="BU8" i="19"/>
  <c r="BV8" i="19"/>
  <c r="CB8" i="19" s="1"/>
  <c r="BW8" i="19"/>
  <c r="CA8" i="19"/>
  <c r="CC8" i="19"/>
  <c r="BP9" i="19"/>
  <c r="BQ9" i="19"/>
  <c r="BU9" i="19"/>
  <c r="BV9" i="19"/>
  <c r="CB9" i="19" s="1"/>
  <c r="BW9" i="19"/>
  <c r="CA9" i="19"/>
  <c r="CC9" i="19"/>
  <c r="D24" i="2"/>
  <c r="A24" i="2"/>
  <c r="AL216" i="25"/>
  <c r="AL110" i="25"/>
  <c r="AL5" i="25"/>
  <c r="K13" i="1"/>
  <c r="K9" i="1"/>
  <c r="B297" i="2" l="1"/>
  <c r="R35" i="2"/>
  <c r="R34" i="2"/>
  <c r="B139" i="2" l="1"/>
  <c r="C33" i="16"/>
  <c r="B103" i="2"/>
  <c r="B108" i="2" l="1"/>
  <c r="K36" i="1"/>
  <c r="K33" i="1"/>
  <c r="D10" i="1"/>
  <c r="D11" i="1"/>
  <c r="D36" i="1"/>
  <c r="D33" i="1"/>
  <c r="D49" i="1"/>
  <c r="B197" i="2" l="1"/>
  <c r="ER212" i="25" s="1"/>
  <c r="BN5" i="25" l="1"/>
  <c r="BM110" i="25"/>
  <c r="BM216" i="25"/>
  <c r="ER237" i="25"/>
  <c r="ER270" i="25"/>
  <c r="ER261" i="25"/>
  <c r="ER246" i="25"/>
  <c r="ER274" i="25"/>
  <c r="ER300" i="25"/>
  <c r="ER219" i="25"/>
  <c r="ER304" i="25"/>
  <c r="ER297" i="25"/>
  <c r="ER224" i="25"/>
  <c r="ER247" i="25"/>
  <c r="ER235" i="25"/>
  <c r="ER238" i="25"/>
  <c r="ER303" i="25"/>
  <c r="ER255" i="25"/>
  <c r="ER288" i="25"/>
  <c r="ER229" i="25"/>
  <c r="ER276" i="25"/>
  <c r="ER294" i="25"/>
  <c r="ER248" i="25"/>
  <c r="ER252" i="25"/>
  <c r="ER292" i="25"/>
  <c r="ER227" i="25"/>
  <c r="ER240" i="25"/>
  <c r="ER284" i="25"/>
  <c r="ER220" i="25"/>
  <c r="ER286" i="25"/>
  <c r="ER298" i="25"/>
  <c r="ER233" i="25"/>
  <c r="ER223" i="25"/>
  <c r="ER269" i="25"/>
  <c r="ER293" i="25"/>
  <c r="ER236" i="25"/>
  <c r="ER267" i="25"/>
  <c r="ER256" i="25"/>
  <c r="ER271" i="25"/>
  <c r="ER231" i="25"/>
  <c r="ER216" i="25"/>
  <c r="EU216" i="25" s="1"/>
  <c r="ER217" i="25"/>
  <c r="ER311" i="25"/>
  <c r="ER259" i="25"/>
  <c r="ER316" i="25"/>
  <c r="ER262" i="25"/>
  <c r="ER263" i="25"/>
  <c r="ER250" i="25"/>
  <c r="ER283" i="25"/>
  <c r="ER280" i="25"/>
  <c r="ER299" i="25"/>
  <c r="ER279" i="25"/>
  <c r="ER307" i="25"/>
  <c r="ER275" i="25"/>
  <c r="ER257" i="25"/>
  <c r="ER230" i="25"/>
  <c r="ER312" i="25"/>
  <c r="ER251" i="25"/>
  <c r="ER281" i="25"/>
  <c r="ER314" i="25"/>
  <c r="ER315" i="25"/>
  <c r="ER249" i="25"/>
  <c r="ER232" i="25"/>
  <c r="ER234" i="25"/>
  <c r="ER285" i="25"/>
  <c r="ER272" i="25"/>
  <c r="ER296" i="25"/>
  <c r="ER245" i="25"/>
  <c r="ER309" i="25"/>
  <c r="ER310" i="25"/>
  <c r="ER242" i="25"/>
  <c r="ER268" i="25"/>
  <c r="ER253" i="25"/>
  <c r="ER287" i="25"/>
  <c r="ER266" i="25"/>
  <c r="ER221" i="25"/>
  <c r="ER273" i="25"/>
  <c r="ER291" i="25"/>
  <c r="ER260" i="25"/>
  <c r="ER295" i="25"/>
  <c r="ER305" i="25"/>
  <c r="ER301" i="25"/>
  <c r="ER264" i="25"/>
  <c r="ER282" i="25"/>
  <c r="ER306" i="25"/>
  <c r="ER225" i="25"/>
  <c r="ER313" i="25"/>
  <c r="ER244" i="25"/>
  <c r="ER218" i="25"/>
  <c r="ER290" i="25"/>
  <c r="ER226" i="25"/>
  <c r="ER265" i="25"/>
  <c r="ER239" i="25"/>
  <c r="ER241" i="25"/>
  <c r="ER243" i="25"/>
  <c r="ER278" i="25"/>
  <c r="ER308" i="25"/>
  <c r="ER222" i="25"/>
  <c r="ER254" i="25"/>
  <c r="ER302" i="25"/>
  <c r="ER277" i="25"/>
  <c r="ER289" i="25"/>
  <c r="ER258" i="25"/>
  <c r="ER228" i="25"/>
  <c r="ER5" i="25"/>
  <c r="ER73" i="25"/>
  <c r="ER162" i="25"/>
  <c r="ER10" i="25"/>
  <c r="ER194" i="25"/>
  <c r="ER100" i="25"/>
  <c r="ER42" i="25"/>
  <c r="ER65" i="25"/>
  <c r="ER203" i="25"/>
  <c r="ER68" i="25"/>
  <c r="ER164" i="25"/>
  <c r="ER63" i="25"/>
  <c r="ER180" i="25"/>
  <c r="ER27" i="25"/>
  <c r="ER147" i="25"/>
  <c r="ER205" i="25"/>
  <c r="ER80" i="25"/>
  <c r="ER37" i="25"/>
  <c r="ER190" i="25"/>
  <c r="ER93" i="25"/>
  <c r="ER15" i="25"/>
  <c r="ER58" i="25"/>
  <c r="ER175" i="25"/>
  <c r="ER26" i="25"/>
  <c r="ER78" i="25"/>
  <c r="ER110" i="25"/>
  <c r="EU110" i="25" s="1"/>
  <c r="ER16" i="25"/>
  <c r="ER43" i="25"/>
  <c r="ER82" i="25"/>
  <c r="ER111" i="25"/>
  <c r="ER94" i="25"/>
  <c r="ER158" i="25"/>
  <c r="ER159" i="25"/>
  <c r="ER113" i="25"/>
  <c r="ER56" i="25"/>
  <c r="ER133" i="25"/>
  <c r="ER85" i="25"/>
  <c r="ER7" i="25"/>
  <c r="ER131" i="25"/>
  <c r="ER156" i="25"/>
  <c r="ER59" i="25"/>
  <c r="ER182" i="25"/>
  <c r="ER31" i="25"/>
  <c r="ER123" i="25"/>
  <c r="ER47" i="25"/>
  <c r="ER38" i="25"/>
  <c r="ER84" i="25"/>
  <c r="ER198" i="25"/>
  <c r="ER150" i="25"/>
  <c r="ER155" i="25"/>
  <c r="ER210" i="25"/>
  <c r="ER185" i="25"/>
  <c r="ER169" i="25"/>
  <c r="ER18" i="25"/>
  <c r="ER189" i="25"/>
  <c r="ER86" i="25"/>
  <c r="ER176" i="25"/>
  <c r="ER12" i="25"/>
  <c r="ER197" i="25"/>
  <c r="ER105" i="25"/>
  <c r="ER173" i="25"/>
  <c r="ER183" i="25"/>
  <c r="ER44" i="25"/>
  <c r="ER29" i="25"/>
  <c r="ER208" i="25"/>
  <c r="ER34" i="25"/>
  <c r="ER35" i="25"/>
  <c r="ER160" i="25"/>
  <c r="ER41" i="25"/>
  <c r="ER171" i="25"/>
  <c r="ER166" i="25"/>
  <c r="ER70" i="25"/>
  <c r="ER14" i="25"/>
  <c r="ER13" i="25"/>
  <c r="ER52" i="25"/>
  <c r="ER55" i="25"/>
  <c r="ER116" i="25"/>
  <c r="ER19" i="25"/>
  <c r="ER99" i="25"/>
  <c r="ER122" i="25"/>
  <c r="ER118" i="25"/>
  <c r="ER165" i="25"/>
  <c r="ER53" i="25"/>
  <c r="ER79" i="25"/>
  <c r="ER134" i="25"/>
  <c r="ER91" i="25"/>
  <c r="ER168" i="25"/>
  <c r="ER21" i="25"/>
  <c r="ER152" i="25"/>
  <c r="ER181" i="25"/>
  <c r="ER61" i="25"/>
  <c r="ER6" i="25"/>
  <c r="ER137" i="25"/>
  <c r="ER149" i="25"/>
  <c r="ER49" i="25"/>
  <c r="ER96" i="25"/>
  <c r="ER154" i="25"/>
  <c r="ER174" i="25"/>
  <c r="ER125" i="25"/>
  <c r="ER72" i="25"/>
  <c r="ER167" i="25"/>
  <c r="ER20" i="25"/>
  <c r="ER195" i="25"/>
  <c r="ER8" i="25"/>
  <c r="ER178" i="25"/>
  <c r="ER196" i="25"/>
  <c r="ER124" i="25"/>
  <c r="ER209" i="25"/>
  <c r="ER135" i="25"/>
  <c r="ER87" i="25"/>
  <c r="ER36" i="25"/>
  <c r="ER40" i="25"/>
  <c r="ER119" i="25"/>
  <c r="ER145" i="25"/>
  <c r="ER45" i="25"/>
  <c r="ER92" i="25"/>
  <c r="ER28" i="25"/>
  <c r="ER103" i="25"/>
  <c r="ER161" i="25"/>
  <c r="ER30" i="25"/>
  <c r="ER114" i="25"/>
  <c r="ER17" i="25"/>
  <c r="ER51" i="25"/>
  <c r="ER32" i="25"/>
  <c r="ER148" i="25"/>
  <c r="ER177" i="25"/>
  <c r="ER102" i="25"/>
  <c r="ER66" i="25"/>
  <c r="ER130" i="25"/>
  <c r="ER39" i="25"/>
  <c r="ER71" i="25"/>
  <c r="ER25" i="25"/>
  <c r="ER199" i="25"/>
  <c r="ER60" i="25"/>
  <c r="ER187" i="25"/>
  <c r="ER206" i="25"/>
  <c r="ER141" i="25"/>
  <c r="ER95" i="25"/>
  <c r="ER83" i="25"/>
  <c r="ER11" i="25"/>
  <c r="ER101" i="25"/>
  <c r="ER157" i="25"/>
  <c r="ER77" i="25"/>
  <c r="ER144" i="25"/>
  <c r="ER46" i="25"/>
  <c r="ER88" i="25"/>
  <c r="ER146" i="25"/>
  <c r="ER98" i="25"/>
  <c r="ER74" i="25"/>
  <c r="ER170" i="25"/>
  <c r="ER90" i="25"/>
  <c r="ER33" i="25"/>
  <c r="ER23" i="25"/>
  <c r="ER188" i="25"/>
  <c r="ER128" i="25"/>
  <c r="ER76" i="25"/>
  <c r="ER9" i="25"/>
  <c r="ER117" i="25"/>
  <c r="ER153" i="25"/>
  <c r="ER143" i="25"/>
  <c r="ER115" i="25"/>
  <c r="ER62" i="25"/>
  <c r="ER81" i="25"/>
  <c r="ER67" i="25"/>
  <c r="ER140" i="25"/>
  <c r="ER139" i="25"/>
  <c r="ER69" i="25"/>
  <c r="ER142" i="25"/>
  <c r="ER186" i="25"/>
  <c r="ER132" i="25"/>
  <c r="ER97" i="25"/>
  <c r="ER201" i="25"/>
  <c r="ER136" i="25"/>
  <c r="ER24" i="25"/>
  <c r="ER191" i="25"/>
  <c r="ER112" i="25"/>
  <c r="ER151" i="25"/>
  <c r="ER138" i="25"/>
  <c r="ER104" i="25"/>
  <c r="ER50" i="25"/>
  <c r="ER163" i="25"/>
  <c r="ER179" i="25"/>
  <c r="ER121" i="25"/>
  <c r="ER22" i="25"/>
  <c r="ER204" i="25"/>
  <c r="ER75" i="25"/>
  <c r="ER184" i="25"/>
  <c r="ER200" i="25"/>
  <c r="ER127" i="25"/>
  <c r="ER126" i="25"/>
  <c r="ER192" i="25"/>
  <c r="ER172" i="25"/>
  <c r="ER129" i="25"/>
  <c r="ER202" i="25"/>
  <c r="ER57" i="25"/>
  <c r="ER193" i="25"/>
  <c r="ER89" i="25"/>
  <c r="ER64" i="25"/>
  <c r="ER207" i="25"/>
  <c r="ER120" i="25"/>
  <c r="ER54" i="25"/>
  <c r="ER48" i="25"/>
  <c r="BO5" i="24"/>
  <c r="EQ5" i="25"/>
  <c r="ES5" i="24"/>
  <c r="EV5" i="24" s="1"/>
  <c r="BM5" i="25"/>
  <c r="I78" i="2"/>
  <c r="B295" i="2"/>
  <c r="B12" i="2"/>
  <c r="CC216" i="25" l="1"/>
  <c r="FG216" i="25"/>
  <c r="EU5" i="25"/>
  <c r="FG110" i="25"/>
  <c r="CJ7" i="25"/>
  <c r="CJ6" i="25"/>
  <c r="CC110" i="25"/>
  <c r="B280" i="2"/>
  <c r="EQ6" i="25" l="1"/>
  <c r="EU6" i="25" s="1"/>
  <c r="DP6" i="25"/>
  <c r="FG6" i="25"/>
  <c r="EQ7" i="25"/>
  <c r="EU7" i="25" s="1"/>
  <c r="DP7" i="25"/>
  <c r="FG7" i="25"/>
  <c r="B244" i="2"/>
  <c r="A242" i="2"/>
  <c r="B74" i="2"/>
  <c r="D241" i="2" l="1"/>
  <c r="A241" i="2"/>
  <c r="D240" i="2" l="1"/>
  <c r="D296" i="2"/>
  <c r="C259" i="2"/>
  <c r="C268" i="2"/>
  <c r="D268" i="2"/>
  <c r="B48" i="19"/>
  <c r="B36" i="2" l="1"/>
  <c r="B20" i="2"/>
  <c r="B21" i="2"/>
  <c r="B24" i="2"/>
  <c r="C245" i="2"/>
  <c r="C74" i="2"/>
  <c r="B102" i="2"/>
  <c r="B107" i="2" l="1"/>
  <c r="B135" i="2"/>
  <c r="B80" i="2"/>
  <c r="C80" i="2"/>
  <c r="B296" i="2"/>
  <c r="C244" i="2"/>
  <c r="F244" i="2"/>
  <c r="D244" i="2"/>
  <c r="B241" i="2"/>
  <c r="B242" i="2"/>
  <c r="B156" i="2"/>
  <c r="B152" i="2"/>
  <c r="B252" i="2" s="1"/>
  <c r="B129" i="2"/>
  <c r="B127" i="2"/>
  <c r="C32" i="16" s="1"/>
  <c r="D45" i="1"/>
  <c r="AM5" i="24"/>
  <c r="AM216" i="24"/>
  <c r="AM110" i="24"/>
  <c r="B247" i="2" l="1"/>
  <c r="B248" i="2"/>
  <c r="B250" i="2"/>
  <c r="C31" i="16"/>
  <c r="D21" i="19"/>
  <c r="D36" i="19"/>
  <c r="F12" i="19"/>
  <c r="D38" i="19"/>
  <c r="D35" i="19"/>
  <c r="B63" i="2"/>
  <c r="C47" i="16" s="1"/>
  <c r="D47" i="16" s="1"/>
  <c r="B33" i="19"/>
  <c r="F78" i="2"/>
  <c r="F72" i="2"/>
  <c r="D42" i="1"/>
  <c r="G269" i="2"/>
  <c r="C264" i="2"/>
  <c r="C265" i="2"/>
  <c r="A273" i="2"/>
  <c r="G73" i="2"/>
  <c r="A231" i="2"/>
  <c r="C277" i="2"/>
  <c r="E18" i="1" l="1"/>
  <c r="CY2" i="24"/>
  <c r="D93" i="2"/>
  <c r="U2" i="24"/>
  <c r="B194" i="2"/>
  <c r="I10" i="8"/>
  <c r="B179" i="2"/>
  <c r="B176" i="2"/>
  <c r="B198" i="2" l="1"/>
  <c r="I9" i="8" s="1"/>
  <c r="B78" i="2"/>
  <c r="K66" i="2"/>
  <c r="K34" i="16" l="1"/>
  <c r="J34" i="16"/>
  <c r="K49" i="16"/>
  <c r="K48" i="16"/>
  <c r="J49" i="16"/>
  <c r="J48" i="16"/>
  <c r="I49" i="16" l="1"/>
  <c r="I48" i="16"/>
  <c r="H49" i="16"/>
  <c r="H48" i="16"/>
  <c r="J46" i="16"/>
  <c r="K32" i="16"/>
  <c r="J32" i="16"/>
  <c r="K31" i="16"/>
  <c r="J31" i="16" l="1"/>
  <c r="T83" i="2"/>
  <c r="R85" i="2"/>
  <c r="B11" i="2" l="1"/>
  <c r="B26" i="19"/>
  <c r="D26" i="19" s="1"/>
  <c r="D20" i="19"/>
  <c r="B27" i="19"/>
  <c r="D27" i="19" s="1"/>
  <c r="B8" i="2"/>
  <c r="B101" i="2"/>
  <c r="B96" i="2"/>
  <c r="B155" i="2"/>
  <c r="BP106" i="19"/>
  <c r="D46" i="19"/>
  <c r="A34" i="16"/>
  <c r="A49" i="16"/>
  <c r="A48" i="16"/>
  <c r="C278" i="2"/>
  <c r="B293" i="2"/>
  <c r="B268" i="2"/>
  <c r="B264" i="2"/>
  <c r="J72" i="2"/>
  <c r="C261" i="2"/>
  <c r="B261" i="2"/>
  <c r="B32" i="19"/>
  <c r="D32" i="19" s="1"/>
  <c r="B31" i="19"/>
  <c r="D31" i="19" s="1"/>
  <c r="B30" i="19"/>
  <c r="D30" i="19" s="1"/>
  <c r="B8" i="19"/>
  <c r="D8" i="19" s="1"/>
  <c r="F91" i="19"/>
  <c r="F90" i="19"/>
  <c r="F89" i="19"/>
  <c r="D53" i="19"/>
  <c r="D52" i="19"/>
  <c r="D51" i="19"/>
  <c r="D50" i="19"/>
  <c r="D48" i="19"/>
  <c r="D45" i="19"/>
  <c r="D44" i="19"/>
  <c r="D41" i="19"/>
  <c r="D39" i="19"/>
  <c r="D33" i="19"/>
  <c r="D29" i="19"/>
  <c r="D23" i="19"/>
  <c r="D22" i="19"/>
  <c r="D13" i="19"/>
  <c r="B213" i="2" s="1"/>
  <c r="D12" i="19"/>
  <c r="A31" i="16"/>
  <c r="B246" i="2"/>
  <c r="A245" i="2"/>
  <c r="B9" i="2"/>
  <c r="I6" i="8"/>
  <c r="J6" i="8" s="1"/>
  <c r="D46" i="16"/>
  <c r="B178" i="2"/>
  <c r="B181" i="2" s="1"/>
  <c r="B173" i="2"/>
  <c r="B231" i="2"/>
  <c r="B245" i="2"/>
  <c r="B7" i="2"/>
  <c r="B164" i="2"/>
  <c r="B166" i="2" s="1"/>
  <c r="B208" i="2"/>
  <c r="A34" i="8"/>
  <c r="A35" i="8"/>
  <c r="A36" i="8"/>
  <c r="A37" i="8"/>
  <c r="A38" i="8"/>
  <c r="A50" i="8" s="1"/>
  <c r="A62" i="8" s="1"/>
  <c r="A74" i="8" s="1"/>
  <c r="A86" i="8" s="1"/>
  <c r="A98" i="8" s="1"/>
  <c r="A110" i="8" s="1"/>
  <c r="A122" i="8" s="1"/>
  <c r="A134" i="8" s="1"/>
  <c r="A146" i="8" s="1"/>
  <c r="A158" i="8" s="1"/>
  <c r="A39" i="8"/>
  <c r="A51" i="8" s="1"/>
  <c r="A63" i="8" s="1"/>
  <c r="A75" i="8" s="1"/>
  <c r="A87" i="8" s="1"/>
  <c r="A99" i="8" s="1"/>
  <c r="A111" i="8" s="1"/>
  <c r="A123" i="8" s="1"/>
  <c r="A135" i="8" s="1"/>
  <c r="A147" i="8" s="1"/>
  <c r="A159" i="8" s="1"/>
  <c r="A40" i="8"/>
  <c r="A52" i="8" s="1"/>
  <c r="A64" i="8" s="1"/>
  <c r="A76" i="8" s="1"/>
  <c r="A88" i="8" s="1"/>
  <c r="A100" i="8" s="1"/>
  <c r="A112" i="8" s="1"/>
  <c r="A124" i="8" s="1"/>
  <c r="A136" i="8" s="1"/>
  <c r="A148" i="8" s="1"/>
  <c r="A41" i="8"/>
  <c r="A53" i="8" s="1"/>
  <c r="A65" i="8" s="1"/>
  <c r="A77" i="8" s="1"/>
  <c r="A89" i="8" s="1"/>
  <c r="A101" i="8" s="1"/>
  <c r="A113" i="8" s="1"/>
  <c r="A125" i="8" s="1"/>
  <c r="A137" i="8" s="1"/>
  <c r="A149" i="8" s="1"/>
  <c r="A42" i="8"/>
  <c r="A43" i="8"/>
  <c r="A44" i="8"/>
  <c r="A45" i="8"/>
  <c r="A46" i="8"/>
  <c r="A58" i="8" s="1"/>
  <c r="A70" i="8" s="1"/>
  <c r="A82" i="8" s="1"/>
  <c r="A94" i="8" s="1"/>
  <c r="A106" i="8" s="1"/>
  <c r="A118" i="8" s="1"/>
  <c r="A130" i="8" s="1"/>
  <c r="A142" i="8" s="1"/>
  <c r="A154" i="8" s="1"/>
  <c r="A47" i="8"/>
  <c r="A48" i="8"/>
  <c r="A60" i="8" s="1"/>
  <c r="A72" i="8" s="1"/>
  <c r="A84" i="8" s="1"/>
  <c r="A96" i="8" s="1"/>
  <c r="A108" i="8" s="1"/>
  <c r="A120" i="8" s="1"/>
  <c r="A132" i="8" s="1"/>
  <c r="A144" i="8" s="1"/>
  <c r="A156" i="8" s="1"/>
  <c r="A49" i="8"/>
  <c r="A54" i="8"/>
  <c r="A66" i="8" s="1"/>
  <c r="A78" i="8" s="1"/>
  <c r="A90" i="8" s="1"/>
  <c r="A102" i="8" s="1"/>
  <c r="A114" i="8" s="1"/>
  <c r="A126" i="8" s="1"/>
  <c r="A138" i="8" s="1"/>
  <c r="A150" i="8" s="1"/>
  <c r="A55" i="8"/>
  <c r="A56" i="8"/>
  <c r="A68" i="8" s="1"/>
  <c r="A80" i="8" s="1"/>
  <c r="A92" i="8" s="1"/>
  <c r="A104" i="8" s="1"/>
  <c r="A116" i="8" s="1"/>
  <c r="A128" i="8" s="1"/>
  <c r="A140" i="8" s="1"/>
  <c r="A152" i="8" s="1"/>
  <c r="A57" i="8"/>
  <c r="A69" i="8" s="1"/>
  <c r="A81" i="8" s="1"/>
  <c r="A93" i="8" s="1"/>
  <c r="A105" i="8" s="1"/>
  <c r="A117" i="8" s="1"/>
  <c r="A129" i="8" s="1"/>
  <c r="A141" i="8" s="1"/>
  <c r="A153" i="8" s="1"/>
  <c r="A59" i="8"/>
  <c r="A71" i="8" s="1"/>
  <c r="A83" i="8" s="1"/>
  <c r="A95" i="8" s="1"/>
  <c r="A107" i="8" s="1"/>
  <c r="A119" i="8" s="1"/>
  <c r="A131" i="8" s="1"/>
  <c r="A143" i="8" s="1"/>
  <c r="A155" i="8" s="1"/>
  <c r="A61" i="8"/>
  <c r="A73" i="8" s="1"/>
  <c r="A85" i="8" s="1"/>
  <c r="A97" i="8" s="1"/>
  <c r="A109" i="8" s="1"/>
  <c r="A121" i="8" s="1"/>
  <c r="A133" i="8" s="1"/>
  <c r="A145" i="8" s="1"/>
  <c r="A157" i="8" s="1"/>
  <c r="A67" i="8"/>
  <c r="A79" i="8" s="1"/>
  <c r="A91" i="8" s="1"/>
  <c r="A103" i="8" s="1"/>
  <c r="A115" i="8" s="1"/>
  <c r="A127" i="8" s="1"/>
  <c r="A139" i="8" s="1"/>
  <c r="A151" i="8" s="1"/>
  <c r="E3" i="8"/>
  <c r="A240" i="2"/>
  <c r="B240" i="2"/>
  <c r="I14" i="8"/>
  <c r="J13" i="8"/>
  <c r="J7" i="8"/>
  <c r="J14" i="8"/>
  <c r="BB1" i="24" l="1"/>
  <c r="EF1" i="24"/>
  <c r="B111" i="2"/>
  <c r="L29" i="1"/>
  <c r="B88" i="2"/>
  <c r="L12" i="1" s="1"/>
  <c r="CN212" i="25"/>
  <c r="CR212" i="25" s="1"/>
  <c r="CM212" i="24"/>
  <c r="EO212" i="24" s="1"/>
  <c r="L104" i="2"/>
  <c r="G325" i="25"/>
  <c r="G325" i="24"/>
  <c r="N325" i="25"/>
  <c r="E68" i="1"/>
  <c r="E70" i="1" s="1"/>
  <c r="G322" i="25"/>
  <c r="G322" i="24"/>
  <c r="I325" i="24"/>
  <c r="I325" i="25"/>
  <c r="P325" i="25"/>
  <c r="E26" i="1"/>
  <c r="CN112" i="25"/>
  <c r="CP112" i="25" s="1"/>
  <c r="CP12" i="25"/>
  <c r="CP20" i="25"/>
  <c r="CP28" i="25"/>
  <c r="CP36" i="25"/>
  <c r="CP44" i="25"/>
  <c r="CP52" i="25"/>
  <c r="CP60" i="25"/>
  <c r="CP68" i="25"/>
  <c r="CP76" i="25"/>
  <c r="CP84" i="25"/>
  <c r="CP92" i="25"/>
  <c r="CP100" i="25"/>
  <c r="CP19" i="25"/>
  <c r="CP75" i="25"/>
  <c r="CP13" i="25"/>
  <c r="CP21" i="25"/>
  <c r="CP29" i="25"/>
  <c r="CP37" i="25"/>
  <c r="CP45" i="25"/>
  <c r="CP53" i="25"/>
  <c r="CP61" i="25"/>
  <c r="CP69" i="25"/>
  <c r="CP77" i="25"/>
  <c r="CP85" i="25"/>
  <c r="CP93" i="25"/>
  <c r="CP101" i="25"/>
  <c r="CP11" i="25"/>
  <c r="CP59" i="25"/>
  <c r="CP5" i="25"/>
  <c r="CP6" i="25"/>
  <c r="CP14" i="25"/>
  <c r="CP22" i="25"/>
  <c r="CP30" i="25"/>
  <c r="CP38" i="25"/>
  <c r="CP46" i="25"/>
  <c r="CP54" i="25"/>
  <c r="CP62" i="25"/>
  <c r="CP70" i="25"/>
  <c r="CP78" i="25"/>
  <c r="CP86" i="25"/>
  <c r="CP94" i="25"/>
  <c r="CP102" i="25"/>
  <c r="CP35" i="25"/>
  <c r="CP83" i="25"/>
  <c r="CP7" i="25"/>
  <c r="CP15" i="25"/>
  <c r="CP23" i="25"/>
  <c r="CP31" i="25"/>
  <c r="CP39" i="25"/>
  <c r="CP47" i="25"/>
  <c r="CP55" i="25"/>
  <c r="CP63" i="25"/>
  <c r="CP71" i="25"/>
  <c r="CP79" i="25"/>
  <c r="CP87" i="25"/>
  <c r="CP95" i="25"/>
  <c r="CP103" i="25"/>
  <c r="CP51" i="25"/>
  <c r="CP8" i="25"/>
  <c r="CP16" i="25"/>
  <c r="CP24" i="25"/>
  <c r="CP32" i="25"/>
  <c r="CP40" i="25"/>
  <c r="CP48" i="25"/>
  <c r="CP56" i="25"/>
  <c r="CP64" i="25"/>
  <c r="CP72" i="25"/>
  <c r="CP80" i="25"/>
  <c r="CP88" i="25"/>
  <c r="CP96" i="25"/>
  <c r="CP104" i="25"/>
  <c r="CP43" i="25"/>
  <c r="CP99" i="25"/>
  <c r="CP9" i="25"/>
  <c r="CP17" i="25"/>
  <c r="CP25" i="25"/>
  <c r="CP33" i="25"/>
  <c r="CP41" i="25"/>
  <c r="CP49" i="25"/>
  <c r="CP57" i="25"/>
  <c r="CP65" i="25"/>
  <c r="CP73" i="25"/>
  <c r="CP81" i="25"/>
  <c r="CP89" i="25"/>
  <c r="CP97" i="25"/>
  <c r="CP105" i="25"/>
  <c r="CP27" i="25"/>
  <c r="CP91" i="25"/>
  <c r="CP10" i="25"/>
  <c r="CP18" i="25"/>
  <c r="CP26" i="25"/>
  <c r="CP34" i="25"/>
  <c r="CP42" i="25"/>
  <c r="CP50" i="25"/>
  <c r="CP58" i="25"/>
  <c r="CP66" i="25"/>
  <c r="CP74" i="25"/>
  <c r="CP82" i="25"/>
  <c r="CP90" i="25"/>
  <c r="CP98" i="25"/>
  <c r="CR5" i="25"/>
  <c r="CP67" i="25"/>
  <c r="R65" i="2"/>
  <c r="B92" i="2"/>
  <c r="B115" i="2"/>
  <c r="B85" i="2"/>
  <c r="CQ2" i="24"/>
  <c r="CW5" i="24"/>
  <c r="CX5" i="24" s="1"/>
  <c r="FL106" i="24"/>
  <c r="FL107" i="24"/>
  <c r="FL108" i="24"/>
  <c r="Y13" i="2"/>
  <c r="B98" i="2"/>
  <c r="CN207" i="25"/>
  <c r="EM207" i="25" s="1"/>
  <c r="CN203" i="25"/>
  <c r="EM203" i="25" s="1"/>
  <c r="CN199" i="25"/>
  <c r="EM199" i="25" s="1"/>
  <c r="CN195" i="25"/>
  <c r="EM195" i="25" s="1"/>
  <c r="CN191" i="25"/>
  <c r="EM191" i="25" s="1"/>
  <c r="CN187" i="25"/>
  <c r="EM187" i="25" s="1"/>
  <c r="CN179" i="25"/>
  <c r="EM179" i="25" s="1"/>
  <c r="CN171" i="25"/>
  <c r="EM171" i="25" s="1"/>
  <c r="CN164" i="25"/>
  <c r="EM164" i="25" s="1"/>
  <c r="CN156" i="25"/>
  <c r="EM156" i="25" s="1"/>
  <c r="CN144" i="25"/>
  <c r="EM144" i="25" s="1"/>
  <c r="CN136" i="25"/>
  <c r="EM136" i="25" s="1"/>
  <c r="CN130" i="25"/>
  <c r="EM130" i="25" s="1"/>
  <c r="CN126" i="25"/>
  <c r="EM126" i="25" s="1"/>
  <c r="CN122" i="25"/>
  <c r="EM122" i="25" s="1"/>
  <c r="CN118" i="25"/>
  <c r="EM118" i="25" s="1"/>
  <c r="CN114" i="25"/>
  <c r="EM114" i="25" s="1"/>
  <c r="CN186" i="25"/>
  <c r="EM186" i="25" s="1"/>
  <c r="CN178" i="25"/>
  <c r="EM178" i="25" s="1"/>
  <c r="CN170" i="25"/>
  <c r="EM170" i="25" s="1"/>
  <c r="CN163" i="25"/>
  <c r="EM163" i="25" s="1"/>
  <c r="CN150" i="25"/>
  <c r="EM150" i="25" s="1"/>
  <c r="CN143" i="25"/>
  <c r="EM143" i="25" s="1"/>
  <c r="CN135" i="25"/>
  <c r="EM135" i="25" s="1"/>
  <c r="CN210" i="25"/>
  <c r="EM210" i="25" s="1"/>
  <c r="CN206" i="25"/>
  <c r="EM206" i="25" s="1"/>
  <c r="CN202" i="25"/>
  <c r="EM202" i="25" s="1"/>
  <c r="CN198" i="25"/>
  <c r="EM198" i="25" s="1"/>
  <c r="CN194" i="25"/>
  <c r="EM194" i="25" s="1"/>
  <c r="CN190" i="25"/>
  <c r="EM190" i="25" s="1"/>
  <c r="CN185" i="25"/>
  <c r="EM185" i="25" s="1"/>
  <c r="CN177" i="25"/>
  <c r="EM177" i="25" s="1"/>
  <c r="CN169" i="25"/>
  <c r="EM169" i="25" s="1"/>
  <c r="CN162" i="25"/>
  <c r="EM162" i="25" s="1"/>
  <c r="CN155" i="25"/>
  <c r="EM155" i="25" s="1"/>
  <c r="CN142" i="25"/>
  <c r="EM142" i="25" s="1"/>
  <c r="CN134" i="25"/>
  <c r="EM134" i="25" s="1"/>
  <c r="CN129" i="25"/>
  <c r="EM129" i="25" s="1"/>
  <c r="CN125" i="25"/>
  <c r="EM125" i="25" s="1"/>
  <c r="CN121" i="25"/>
  <c r="EM121" i="25" s="1"/>
  <c r="CN117" i="25"/>
  <c r="EM117" i="25" s="1"/>
  <c r="CN113" i="25"/>
  <c r="EM113" i="25" s="1"/>
  <c r="CN110" i="25"/>
  <c r="EM110" i="25" s="1"/>
  <c r="CN184" i="25"/>
  <c r="EM184" i="25" s="1"/>
  <c r="CN176" i="25"/>
  <c r="EM176" i="25" s="1"/>
  <c r="CN168" i="25"/>
  <c r="EM168" i="25" s="1"/>
  <c r="CN161" i="25"/>
  <c r="EM161" i="25" s="1"/>
  <c r="CN154" i="25"/>
  <c r="EM154" i="25" s="1"/>
  <c r="CN149" i="25"/>
  <c r="EM149" i="25" s="1"/>
  <c r="CN141" i="25"/>
  <c r="EM141" i="25" s="1"/>
  <c r="CN133" i="25"/>
  <c r="EM133" i="25" s="1"/>
  <c r="CN209" i="25"/>
  <c r="EM209" i="25" s="1"/>
  <c r="CN205" i="25"/>
  <c r="EM205" i="25" s="1"/>
  <c r="CN201" i="25"/>
  <c r="EM201" i="25" s="1"/>
  <c r="CN197" i="25"/>
  <c r="EM197" i="25" s="1"/>
  <c r="CN193" i="25"/>
  <c r="EM193" i="25" s="1"/>
  <c r="CN189" i="25"/>
  <c r="EM189" i="25" s="1"/>
  <c r="CN183" i="25"/>
  <c r="EM183" i="25" s="1"/>
  <c r="CN175" i="25"/>
  <c r="EM175" i="25" s="1"/>
  <c r="CN167" i="25"/>
  <c r="EM167" i="25" s="1"/>
  <c r="CN160" i="25"/>
  <c r="EM160" i="25" s="1"/>
  <c r="CN148" i="25"/>
  <c r="EM148" i="25" s="1"/>
  <c r="CN140" i="25"/>
  <c r="EM140" i="25" s="1"/>
  <c r="CN132" i="25"/>
  <c r="EM132" i="25" s="1"/>
  <c r="CN128" i="25"/>
  <c r="EM128" i="25" s="1"/>
  <c r="CN124" i="25"/>
  <c r="EM124" i="25" s="1"/>
  <c r="CN120" i="25"/>
  <c r="EM120" i="25" s="1"/>
  <c r="CN116" i="25"/>
  <c r="EM116" i="25" s="1"/>
  <c r="CN182" i="25"/>
  <c r="EM182" i="25" s="1"/>
  <c r="CN174" i="25"/>
  <c r="EM174" i="25" s="1"/>
  <c r="CN166" i="25"/>
  <c r="EM166" i="25" s="1"/>
  <c r="CN159" i="25"/>
  <c r="EM159" i="25" s="1"/>
  <c r="CN153" i="25"/>
  <c r="EM153" i="25" s="1"/>
  <c r="CN147" i="25"/>
  <c r="EM147" i="25" s="1"/>
  <c r="CN139" i="25"/>
  <c r="EM139" i="25" s="1"/>
  <c r="CN208" i="25"/>
  <c r="EM208" i="25" s="1"/>
  <c r="CN204" i="25"/>
  <c r="EM204" i="25" s="1"/>
  <c r="CN200" i="25"/>
  <c r="EM200" i="25" s="1"/>
  <c r="CN196" i="25"/>
  <c r="EM196" i="25" s="1"/>
  <c r="CN192" i="25"/>
  <c r="EM192" i="25" s="1"/>
  <c r="CN188" i="25"/>
  <c r="EM188" i="25" s="1"/>
  <c r="CN181" i="25"/>
  <c r="EM181" i="25" s="1"/>
  <c r="CN173" i="25"/>
  <c r="EM173" i="25" s="1"/>
  <c r="CN165" i="25"/>
  <c r="EM165" i="25" s="1"/>
  <c r="CN158" i="25"/>
  <c r="EM158" i="25" s="1"/>
  <c r="CN152" i="25"/>
  <c r="EM152" i="25" s="1"/>
  <c r="CN146" i="25"/>
  <c r="EM146" i="25" s="1"/>
  <c r="CN138" i="25"/>
  <c r="EM138" i="25" s="1"/>
  <c r="CN131" i="25"/>
  <c r="EM131" i="25" s="1"/>
  <c r="CN127" i="25"/>
  <c r="EM127" i="25" s="1"/>
  <c r="CN123" i="25"/>
  <c r="EM123" i="25" s="1"/>
  <c r="CN119" i="25"/>
  <c r="EM119" i="25" s="1"/>
  <c r="CN115" i="25"/>
  <c r="EM115" i="25" s="1"/>
  <c r="CN111" i="25"/>
  <c r="EM111" i="25" s="1"/>
  <c r="CN180" i="25"/>
  <c r="EM180" i="25" s="1"/>
  <c r="CN172" i="25"/>
  <c r="EM172" i="25" s="1"/>
  <c r="CN157" i="25"/>
  <c r="EM157" i="25" s="1"/>
  <c r="CN151" i="25"/>
  <c r="EM151" i="25" s="1"/>
  <c r="CN145" i="25"/>
  <c r="EM145" i="25" s="1"/>
  <c r="CN137" i="25"/>
  <c r="EM137" i="25" s="1"/>
  <c r="CM209" i="24"/>
  <c r="EO209" i="24" s="1"/>
  <c r="CM204" i="24"/>
  <c r="EO204" i="24" s="1"/>
  <c r="CM197" i="24"/>
  <c r="EO197" i="24" s="1"/>
  <c r="CM192" i="24"/>
  <c r="EO192" i="24" s="1"/>
  <c r="CM181" i="24"/>
  <c r="EO181" i="24" s="1"/>
  <c r="CM176" i="24"/>
  <c r="EO176" i="24" s="1"/>
  <c r="CM170" i="24"/>
  <c r="EO170" i="24" s="1"/>
  <c r="CM159" i="24"/>
  <c r="EO159" i="24" s="1"/>
  <c r="CM154" i="24"/>
  <c r="EO154" i="24" s="1"/>
  <c r="CM149" i="24"/>
  <c r="EO149" i="24" s="1"/>
  <c r="CM144" i="24"/>
  <c r="EO144" i="24" s="1"/>
  <c r="CM138" i="24"/>
  <c r="EO138" i="24" s="1"/>
  <c r="CM121" i="24"/>
  <c r="EO121" i="24" s="1"/>
  <c r="CM115" i="24"/>
  <c r="EO115" i="24" s="1"/>
  <c r="CM208" i="24"/>
  <c r="EO208" i="24" s="1"/>
  <c r="CM203" i="24"/>
  <c r="EO203" i="24" s="1"/>
  <c r="CM187" i="24"/>
  <c r="EO187" i="24" s="1"/>
  <c r="CM175" i="24"/>
  <c r="EO175" i="24" s="1"/>
  <c r="CM169" i="24"/>
  <c r="EO169" i="24" s="1"/>
  <c r="CM164" i="24"/>
  <c r="EO164" i="24" s="1"/>
  <c r="CM158" i="24"/>
  <c r="EO158" i="24" s="1"/>
  <c r="CM153" i="24"/>
  <c r="EO153" i="24" s="1"/>
  <c r="CM148" i="24"/>
  <c r="EO148" i="24" s="1"/>
  <c r="CM143" i="24"/>
  <c r="EO143" i="24" s="1"/>
  <c r="CM137" i="24"/>
  <c r="EO137" i="24" s="1"/>
  <c r="CM131" i="24"/>
  <c r="EO131" i="24" s="1"/>
  <c r="CM126" i="24"/>
  <c r="EO126" i="24" s="1"/>
  <c r="CM120" i="24"/>
  <c r="EO120" i="24" s="1"/>
  <c r="CM202" i="24"/>
  <c r="EO202" i="24" s="1"/>
  <c r="CM196" i="24"/>
  <c r="EO196" i="24" s="1"/>
  <c r="CM191" i="24"/>
  <c r="EO191" i="24" s="1"/>
  <c r="CM186" i="24"/>
  <c r="EO186" i="24" s="1"/>
  <c r="CM180" i="24"/>
  <c r="EO180" i="24" s="1"/>
  <c r="CM174" i="24"/>
  <c r="EO174" i="24" s="1"/>
  <c r="CM163" i="24"/>
  <c r="EO163" i="24" s="1"/>
  <c r="CM142" i="24"/>
  <c r="EO142" i="24" s="1"/>
  <c r="CM125" i="24"/>
  <c r="EO125" i="24" s="1"/>
  <c r="CM119" i="24"/>
  <c r="EO119" i="24" s="1"/>
  <c r="CM114" i="24"/>
  <c r="EO114" i="24" s="1"/>
  <c r="CM207" i="24"/>
  <c r="EO207" i="24" s="1"/>
  <c r="CM201" i="24"/>
  <c r="EO201" i="24" s="1"/>
  <c r="CM185" i="24"/>
  <c r="EO185" i="24" s="1"/>
  <c r="CM179" i="24"/>
  <c r="EO179" i="24" s="1"/>
  <c r="CM173" i="24"/>
  <c r="EO173" i="24" s="1"/>
  <c r="CM168" i="24"/>
  <c r="EO168" i="24" s="1"/>
  <c r="CM157" i="24"/>
  <c r="EO157" i="24" s="1"/>
  <c r="CM152" i="24"/>
  <c r="EO152" i="24" s="1"/>
  <c r="CM147" i="24"/>
  <c r="EO147" i="24" s="1"/>
  <c r="CM141" i="24"/>
  <c r="EO141" i="24" s="1"/>
  <c r="CM136" i="24"/>
  <c r="EO136" i="24" s="1"/>
  <c r="CM130" i="24"/>
  <c r="EO130" i="24" s="1"/>
  <c r="CM124" i="24"/>
  <c r="EO124" i="24" s="1"/>
  <c r="CM110" i="24"/>
  <c r="CO110" i="24" s="1"/>
  <c r="CM206" i="24"/>
  <c r="EO206" i="24" s="1"/>
  <c r="CM195" i="24"/>
  <c r="EO195" i="24" s="1"/>
  <c r="CM190" i="24"/>
  <c r="EO190" i="24" s="1"/>
  <c r="CM162" i="24"/>
  <c r="EO162" i="24" s="1"/>
  <c r="CM140" i="24"/>
  <c r="EO140" i="24" s="1"/>
  <c r="CM135" i="24"/>
  <c r="EO135" i="24" s="1"/>
  <c r="CM129" i="24"/>
  <c r="EO129" i="24" s="1"/>
  <c r="CM118" i="24"/>
  <c r="EO118" i="24" s="1"/>
  <c r="CM113" i="24"/>
  <c r="EO113" i="24" s="1"/>
  <c r="CM200" i="24"/>
  <c r="EO200" i="24" s="1"/>
  <c r="CM184" i="24"/>
  <c r="EO184" i="24" s="1"/>
  <c r="CM178" i="24"/>
  <c r="EO178" i="24" s="1"/>
  <c r="CM172" i="24"/>
  <c r="EO172" i="24" s="1"/>
  <c r="CM167" i="24"/>
  <c r="EO167" i="24" s="1"/>
  <c r="CM161" i="24"/>
  <c r="EO161" i="24" s="1"/>
  <c r="CM156" i="24"/>
  <c r="EO156" i="24" s="1"/>
  <c r="CM151" i="24"/>
  <c r="EO151" i="24" s="1"/>
  <c r="CM146" i="24"/>
  <c r="EO146" i="24" s="1"/>
  <c r="CM134" i="24"/>
  <c r="EO134" i="24" s="1"/>
  <c r="CM128" i="24"/>
  <c r="EO128" i="24" s="1"/>
  <c r="CM123" i="24"/>
  <c r="EO123" i="24" s="1"/>
  <c r="CM117" i="24"/>
  <c r="EO117" i="24" s="1"/>
  <c r="CM205" i="24"/>
  <c r="EO205" i="24" s="1"/>
  <c r="CM199" i="24"/>
  <c r="EO199" i="24" s="1"/>
  <c r="CM194" i="24"/>
  <c r="EO194" i="24" s="1"/>
  <c r="CM189" i="24"/>
  <c r="EO189" i="24" s="1"/>
  <c r="CM183" i="24"/>
  <c r="EO183" i="24" s="1"/>
  <c r="CM177" i="24"/>
  <c r="EO177" i="24" s="1"/>
  <c r="CM171" i="24"/>
  <c r="EO171" i="24" s="1"/>
  <c r="CM166" i="24"/>
  <c r="EO166" i="24" s="1"/>
  <c r="CM155" i="24"/>
  <c r="EO155" i="24" s="1"/>
  <c r="CM150" i="24"/>
  <c r="EO150" i="24" s="1"/>
  <c r="CM145" i="24"/>
  <c r="EO145" i="24" s="1"/>
  <c r="CM139" i="24"/>
  <c r="EO139" i="24" s="1"/>
  <c r="CM133" i="24"/>
  <c r="EO133" i="24" s="1"/>
  <c r="CM122" i="24"/>
  <c r="EO122" i="24" s="1"/>
  <c r="CM116" i="24"/>
  <c r="EO116" i="24" s="1"/>
  <c r="CM112" i="24"/>
  <c r="EO112" i="24" s="1"/>
  <c r="CM210" i="24"/>
  <c r="EO210" i="24" s="1"/>
  <c r="CM198" i="24"/>
  <c r="EO198" i="24" s="1"/>
  <c r="CM193" i="24"/>
  <c r="EO193" i="24" s="1"/>
  <c r="CM188" i="24"/>
  <c r="EO188" i="24" s="1"/>
  <c r="CM182" i="24"/>
  <c r="EO182" i="24" s="1"/>
  <c r="CM165" i="24"/>
  <c r="EO165" i="24" s="1"/>
  <c r="CM160" i="24"/>
  <c r="EO160" i="24" s="1"/>
  <c r="CM132" i="24"/>
  <c r="EO132" i="24" s="1"/>
  <c r="CM127" i="24"/>
  <c r="EO127" i="24" s="1"/>
  <c r="CM111" i="24"/>
  <c r="EO111" i="24" s="1"/>
  <c r="CL216" i="25"/>
  <c r="DL216" i="25" s="1"/>
  <c r="CL110" i="25"/>
  <c r="DL110" i="25" s="1"/>
  <c r="CL5" i="25"/>
  <c r="DL5" i="25" s="1"/>
  <c r="CL5" i="24"/>
  <c r="CL216" i="24"/>
  <c r="CL110" i="24"/>
  <c r="CR81" i="25"/>
  <c r="CR16" i="25"/>
  <c r="CR84" i="25"/>
  <c r="CR13" i="25"/>
  <c r="CR34" i="25"/>
  <c r="CR46" i="25"/>
  <c r="CR54" i="25"/>
  <c r="CR122" i="25"/>
  <c r="CR53" i="25"/>
  <c r="CR15" i="25"/>
  <c r="CR19" i="25"/>
  <c r="CR77" i="25"/>
  <c r="CR27" i="25"/>
  <c r="CR40" i="25"/>
  <c r="CR100" i="25"/>
  <c r="CO37" i="24"/>
  <c r="CQ78" i="24"/>
  <c r="CR78" i="24" s="1"/>
  <c r="CT78" i="24" s="1"/>
  <c r="CQ62" i="24"/>
  <c r="CR62" i="24" s="1"/>
  <c r="CT62" i="24" s="1"/>
  <c r="CQ38" i="24"/>
  <c r="CR38" i="24" s="1"/>
  <c r="CT38" i="24" s="1"/>
  <c r="CQ12" i="24"/>
  <c r="CR12" i="24" s="1"/>
  <c r="CT12" i="24" s="1"/>
  <c r="CO79" i="24"/>
  <c r="CQ87" i="24"/>
  <c r="CR87" i="24" s="1"/>
  <c r="CT87" i="24" s="1"/>
  <c r="CO23" i="24"/>
  <c r="CQ57" i="24"/>
  <c r="CR57" i="24" s="1"/>
  <c r="CT57" i="24" s="1"/>
  <c r="CQ33" i="24"/>
  <c r="CR33" i="24" s="1"/>
  <c r="CT33" i="24" s="1"/>
  <c r="CO52" i="24"/>
  <c r="CO25" i="24"/>
  <c r="CR66" i="25"/>
  <c r="CR10" i="25"/>
  <c r="CR21" i="25"/>
  <c r="CR26" i="25"/>
  <c r="CR44" i="25"/>
  <c r="CR79" i="25"/>
  <c r="CR85" i="25"/>
  <c r="CR91" i="25"/>
  <c r="CR52" i="25"/>
  <c r="CR31" i="25"/>
  <c r="CR51" i="25"/>
  <c r="CR48" i="25"/>
  <c r="CO24" i="24"/>
  <c r="CO5" i="24"/>
  <c r="CQ20" i="24"/>
  <c r="CR20" i="24" s="1"/>
  <c r="CT20" i="24" s="1"/>
  <c r="CQ46" i="24"/>
  <c r="CR46" i="24" s="1"/>
  <c r="CT46" i="24" s="1"/>
  <c r="CQ92" i="24"/>
  <c r="CR92" i="24" s="1"/>
  <c r="CT92" i="24" s="1"/>
  <c r="CQ85" i="24"/>
  <c r="CR85" i="24" s="1"/>
  <c r="CT85" i="24" s="1"/>
  <c r="CO28" i="24"/>
  <c r="CO51" i="24"/>
  <c r="CQ70" i="24"/>
  <c r="CR70" i="24" s="1"/>
  <c r="CT70" i="24" s="1"/>
  <c r="CQ71" i="24"/>
  <c r="CR71" i="24" s="1"/>
  <c r="CT71" i="24" s="1"/>
  <c r="CQ65" i="24"/>
  <c r="CR65" i="24" s="1"/>
  <c r="CT65" i="24" s="1"/>
  <c r="CQ49" i="24"/>
  <c r="CR49" i="24" s="1"/>
  <c r="CT49" i="24" s="1"/>
  <c r="CQ35" i="24"/>
  <c r="CR35" i="24" s="1"/>
  <c r="CT35" i="24" s="1"/>
  <c r="CQ22" i="24"/>
  <c r="CR22" i="24" s="1"/>
  <c r="CT22" i="24" s="1"/>
  <c r="CO39" i="24"/>
  <c r="CO93" i="24"/>
  <c r="CR64" i="25"/>
  <c r="CR96" i="25"/>
  <c r="CR18" i="25"/>
  <c r="CR80" i="25"/>
  <c r="CR65" i="25"/>
  <c r="CR73" i="25"/>
  <c r="CR30" i="25"/>
  <c r="CR62" i="25"/>
  <c r="CR75" i="25"/>
  <c r="CR17" i="25"/>
  <c r="CR76" i="25"/>
  <c r="CR67" i="25"/>
  <c r="CR23" i="25"/>
  <c r="CR43" i="25"/>
  <c r="CR11" i="25"/>
  <c r="CQ103" i="24"/>
  <c r="CR103" i="24" s="1"/>
  <c r="CT103" i="24" s="1"/>
  <c r="CQ14" i="24"/>
  <c r="CR14" i="24" s="1"/>
  <c r="CT14" i="24" s="1"/>
  <c r="CO77" i="24"/>
  <c r="CO34" i="24"/>
  <c r="CQ91" i="24"/>
  <c r="CR91" i="24" s="1"/>
  <c r="CT91" i="24" s="1"/>
  <c r="CO68" i="24"/>
  <c r="CO102" i="24"/>
  <c r="CO67" i="24"/>
  <c r="CO14" i="24"/>
  <c r="CO59" i="24"/>
  <c r="CO21" i="24"/>
  <c r="CO71" i="24"/>
  <c r="CQ17" i="24"/>
  <c r="CR17" i="24" s="1"/>
  <c r="CT17" i="24" s="1"/>
  <c r="CO41" i="24"/>
  <c r="CO94" i="24"/>
  <c r="CO10" i="24"/>
  <c r="CR49" i="25"/>
  <c r="CR102" i="25"/>
  <c r="CR70" i="25"/>
  <c r="CR9" i="25"/>
  <c r="CR72" i="25"/>
  <c r="CR14" i="25"/>
  <c r="CR63" i="25"/>
  <c r="CR45" i="25"/>
  <c r="CR28" i="25"/>
  <c r="CR37" i="25"/>
  <c r="CO96" i="24"/>
  <c r="CO81" i="24"/>
  <c r="CQ42" i="24"/>
  <c r="CR42" i="24" s="1"/>
  <c r="CT42" i="24" s="1"/>
  <c r="CQ27" i="24"/>
  <c r="CR27" i="24" s="1"/>
  <c r="CT27" i="24" s="1"/>
  <c r="CO62" i="24"/>
  <c r="CO55" i="24"/>
  <c r="CO84" i="24"/>
  <c r="CQ86" i="24"/>
  <c r="CR86" i="24" s="1"/>
  <c r="CT86" i="24" s="1"/>
  <c r="CO60" i="24"/>
  <c r="CQ73" i="24"/>
  <c r="CR73" i="24" s="1"/>
  <c r="CT73" i="24" s="1"/>
  <c r="CQ82" i="24"/>
  <c r="CR82" i="24" s="1"/>
  <c r="CT82" i="24" s="1"/>
  <c r="CR42" i="25"/>
  <c r="CR38" i="25"/>
  <c r="CR61" i="25"/>
  <c r="CR105" i="25"/>
  <c r="CR68" i="25"/>
  <c r="CR6" i="25"/>
  <c r="CX6" i="25" s="1"/>
  <c r="CY6" i="25" s="1"/>
  <c r="CR41" i="25"/>
  <c r="CR59" i="25"/>
  <c r="CR94" i="25"/>
  <c r="CR78" i="25"/>
  <c r="CR47" i="25"/>
  <c r="CR83" i="25"/>
  <c r="CO89" i="24"/>
  <c r="CQ5" i="24"/>
  <c r="CY5" i="24" s="1"/>
  <c r="CO15" i="24"/>
  <c r="CO88" i="24"/>
  <c r="CQ45" i="24"/>
  <c r="CR45" i="24" s="1"/>
  <c r="CT45" i="24" s="1"/>
  <c r="CQ105" i="24"/>
  <c r="CR105" i="24" s="1"/>
  <c r="CT105" i="24" s="1"/>
  <c r="CQ40" i="24"/>
  <c r="CR40" i="24" s="1"/>
  <c r="CT40" i="24" s="1"/>
  <c r="CQ68" i="24"/>
  <c r="CR68" i="24" s="1"/>
  <c r="CT68" i="24" s="1"/>
  <c r="CO33" i="24"/>
  <c r="CR35" i="25"/>
  <c r="CR101" i="25"/>
  <c r="CR57" i="25"/>
  <c r="CR60" i="25"/>
  <c r="CR97" i="25"/>
  <c r="CR92" i="25"/>
  <c r="CR25" i="25"/>
  <c r="CR88" i="25"/>
  <c r="CR58" i="25"/>
  <c r="CR56" i="25"/>
  <c r="CR32" i="25"/>
  <c r="CR12" i="25"/>
  <c r="CR71" i="25"/>
  <c r="CR87" i="25"/>
  <c r="CR36" i="25"/>
  <c r="CR24" i="25"/>
  <c r="CR39" i="25"/>
  <c r="CR95" i="25"/>
  <c r="CR55" i="25"/>
  <c r="CQ74" i="24"/>
  <c r="CR74" i="24" s="1"/>
  <c r="CT74" i="24" s="1"/>
  <c r="CO30" i="24"/>
  <c r="CQ37" i="24"/>
  <c r="CR37" i="24" s="1"/>
  <c r="CT37" i="24" s="1"/>
  <c r="CO100" i="24"/>
  <c r="CO58" i="24"/>
  <c r="CO29" i="24"/>
  <c r="CO19" i="24"/>
  <c r="CO17" i="24"/>
  <c r="CQ96" i="24"/>
  <c r="CR96" i="24" s="1"/>
  <c r="CT96" i="24" s="1"/>
  <c r="CQ48" i="24"/>
  <c r="CR48" i="24" s="1"/>
  <c r="CT48" i="24" s="1"/>
  <c r="CO80" i="24"/>
  <c r="CO104" i="24"/>
  <c r="CO99" i="24"/>
  <c r="CO54" i="24"/>
  <c r="CQ81" i="24"/>
  <c r="CR81" i="24" s="1"/>
  <c r="CT81" i="24" s="1"/>
  <c r="CO50" i="24"/>
  <c r="CO87" i="24"/>
  <c r="CR50" i="25"/>
  <c r="CR69" i="25"/>
  <c r="CQ11" i="24"/>
  <c r="CR11" i="24" s="1"/>
  <c r="CT11" i="24" s="1"/>
  <c r="CO82" i="24"/>
  <c r="CQ39" i="24"/>
  <c r="CR39" i="24" s="1"/>
  <c r="CT39" i="24" s="1"/>
  <c r="CQ60" i="24"/>
  <c r="CR60" i="24" s="1"/>
  <c r="CT60" i="24" s="1"/>
  <c r="CO11" i="24"/>
  <c r="CQ56" i="24"/>
  <c r="CR56" i="24" s="1"/>
  <c r="CT56" i="24" s="1"/>
  <c r="CQ13" i="24"/>
  <c r="CR13" i="24" s="1"/>
  <c r="CT13" i="24" s="1"/>
  <c r="CO66" i="24"/>
  <c r="CO91" i="24"/>
  <c r="CQ94" i="24"/>
  <c r="CR94" i="24" s="1"/>
  <c r="CT94" i="24" s="1"/>
  <c r="CQ10" i="24"/>
  <c r="CR10" i="24" s="1"/>
  <c r="CT10" i="24" s="1"/>
  <c r="CO78" i="24"/>
  <c r="CQ30" i="24"/>
  <c r="CR30" i="24" s="1"/>
  <c r="CT30" i="24" s="1"/>
  <c r="CQ26" i="24"/>
  <c r="CR26" i="24" s="1"/>
  <c r="CT26" i="24" s="1"/>
  <c r="CO98" i="24"/>
  <c r="CQ34" i="24"/>
  <c r="CR34" i="24" s="1"/>
  <c r="CT34" i="24" s="1"/>
  <c r="CO76" i="24"/>
  <c r="CO13" i="24"/>
  <c r="CR89" i="25"/>
  <c r="CO6" i="24"/>
  <c r="CO43" i="24"/>
  <c r="CQ51" i="24"/>
  <c r="CR51" i="24" s="1"/>
  <c r="CT51" i="24" s="1"/>
  <c r="CO72" i="24"/>
  <c r="CQ24" i="24"/>
  <c r="CR24" i="24" s="1"/>
  <c r="CT24" i="24" s="1"/>
  <c r="CQ61" i="24"/>
  <c r="CR61" i="24" s="1"/>
  <c r="CT61" i="24" s="1"/>
  <c r="CO9" i="24"/>
  <c r="CR20" i="25"/>
  <c r="CQ104" i="24"/>
  <c r="CR104" i="24" s="1"/>
  <c r="CT104" i="24" s="1"/>
  <c r="CO44" i="24"/>
  <c r="CQ23" i="24"/>
  <c r="CR23" i="24" s="1"/>
  <c r="CT23" i="24" s="1"/>
  <c r="CQ53" i="24"/>
  <c r="CR53" i="24" s="1"/>
  <c r="CT53" i="24" s="1"/>
  <c r="CO69" i="24"/>
  <c r="CQ44" i="24"/>
  <c r="CR44" i="24" s="1"/>
  <c r="CT44" i="24" s="1"/>
  <c r="CO26" i="24"/>
  <c r="CQ31" i="24"/>
  <c r="CR31" i="24" s="1"/>
  <c r="CT31" i="24" s="1"/>
  <c r="CQ7" i="24"/>
  <c r="CR7" i="24" s="1"/>
  <c r="CT7" i="24" s="1"/>
  <c r="CR22" i="25"/>
  <c r="CR82" i="25"/>
  <c r="CR33" i="25"/>
  <c r="CR98" i="25"/>
  <c r="CO57" i="24"/>
  <c r="CO40" i="24"/>
  <c r="CO45" i="24"/>
  <c r="CQ76" i="24"/>
  <c r="CR76" i="24" s="1"/>
  <c r="CT76" i="24" s="1"/>
  <c r="CQ66" i="24"/>
  <c r="CR66" i="24" s="1"/>
  <c r="CT66" i="24" s="1"/>
  <c r="CQ88" i="24"/>
  <c r="CR88" i="24" s="1"/>
  <c r="CT88" i="24" s="1"/>
  <c r="CO42" i="24"/>
  <c r="CO16" i="24"/>
  <c r="CQ90" i="24"/>
  <c r="CR90" i="24" s="1"/>
  <c r="CT90" i="24" s="1"/>
  <c r="CO65" i="24"/>
  <c r="CO64" i="24"/>
  <c r="CQ47" i="24"/>
  <c r="CR47" i="24" s="1"/>
  <c r="CT47" i="24" s="1"/>
  <c r="CO8" i="24"/>
  <c r="CQ95" i="24"/>
  <c r="CR95" i="24" s="1"/>
  <c r="CT95" i="24" s="1"/>
  <c r="CQ32" i="24"/>
  <c r="CR32" i="24" s="1"/>
  <c r="CT32" i="24" s="1"/>
  <c r="CR7" i="25"/>
  <c r="CX7" i="25" s="1"/>
  <c r="CY7" i="25" s="1"/>
  <c r="CQ25" i="24"/>
  <c r="CR25" i="24" s="1"/>
  <c r="CT25" i="24" s="1"/>
  <c r="CO31" i="24"/>
  <c r="CQ15" i="24"/>
  <c r="CR15" i="24" s="1"/>
  <c r="CT15" i="24" s="1"/>
  <c r="CQ99" i="24"/>
  <c r="CR99" i="24" s="1"/>
  <c r="CT99" i="24" s="1"/>
  <c r="CQ100" i="24"/>
  <c r="CR100" i="24" s="1"/>
  <c r="CT100" i="24" s="1"/>
  <c r="CO12" i="24"/>
  <c r="CO85" i="24"/>
  <c r="CO7" i="24"/>
  <c r="CO105" i="24"/>
  <c r="CR104" i="25"/>
  <c r="CQ75" i="24"/>
  <c r="CR75" i="24" s="1"/>
  <c r="CT75" i="24" s="1"/>
  <c r="CQ16" i="24"/>
  <c r="CR16" i="24" s="1"/>
  <c r="CT16" i="24" s="1"/>
  <c r="CO74" i="24"/>
  <c r="CO97" i="24"/>
  <c r="CQ102" i="24"/>
  <c r="CR102" i="24" s="1"/>
  <c r="CT102" i="24" s="1"/>
  <c r="CR99" i="25"/>
  <c r="CR103" i="25"/>
  <c r="CO32" i="24"/>
  <c r="CQ36" i="24"/>
  <c r="CR36" i="24" s="1"/>
  <c r="CT36" i="24" s="1"/>
  <c r="CQ19" i="24"/>
  <c r="CR19" i="24" s="1"/>
  <c r="CT19" i="24" s="1"/>
  <c r="CO27" i="24"/>
  <c r="CQ55" i="24"/>
  <c r="CR55" i="24" s="1"/>
  <c r="CT55" i="24" s="1"/>
  <c r="CO95" i="24"/>
  <c r="CQ54" i="24"/>
  <c r="CR54" i="24" s="1"/>
  <c r="CT54" i="24" s="1"/>
  <c r="CO75" i="24"/>
  <c r="CO103" i="24"/>
  <c r="CQ64" i="24"/>
  <c r="CR64" i="24" s="1"/>
  <c r="CT64" i="24" s="1"/>
  <c r="CQ77" i="24"/>
  <c r="CR77" i="24" s="1"/>
  <c r="CT77" i="24" s="1"/>
  <c r="CO86" i="24"/>
  <c r="CO70" i="24"/>
  <c r="CO46" i="24"/>
  <c r="CQ97" i="24"/>
  <c r="CR97" i="24" s="1"/>
  <c r="CT97" i="24" s="1"/>
  <c r="CQ21" i="24"/>
  <c r="CR21" i="24" s="1"/>
  <c r="CT21" i="24" s="1"/>
  <c r="CO83" i="24"/>
  <c r="CQ89" i="24"/>
  <c r="CR89" i="24" s="1"/>
  <c r="CT89" i="24" s="1"/>
  <c r="CO22" i="24"/>
  <c r="CQ50" i="24"/>
  <c r="CR50" i="24" s="1"/>
  <c r="CT50" i="24" s="1"/>
  <c r="CO36" i="24"/>
  <c r="CO47" i="24"/>
  <c r="CR93" i="25"/>
  <c r="CR74" i="25"/>
  <c r="CQ6" i="24"/>
  <c r="CR6" i="24" s="1"/>
  <c r="CT6" i="24" s="1"/>
  <c r="CQ83" i="24"/>
  <c r="CR83" i="24" s="1"/>
  <c r="CT83" i="24" s="1"/>
  <c r="CQ80" i="24"/>
  <c r="CR80" i="24" s="1"/>
  <c r="CT80" i="24" s="1"/>
  <c r="CQ52" i="24"/>
  <c r="CR52" i="24" s="1"/>
  <c r="CT52" i="24" s="1"/>
  <c r="CQ98" i="24"/>
  <c r="CR98" i="24" s="1"/>
  <c r="CT98" i="24" s="1"/>
  <c r="CQ59" i="24"/>
  <c r="CR59" i="24" s="1"/>
  <c r="CT59" i="24" s="1"/>
  <c r="CO38" i="24"/>
  <c r="CO90" i="24"/>
  <c r="CO53" i="24"/>
  <c r="CR8" i="25"/>
  <c r="CR86" i="25"/>
  <c r="CQ58" i="24"/>
  <c r="CR58" i="24" s="1"/>
  <c r="CT58" i="24" s="1"/>
  <c r="CO61" i="24"/>
  <c r="CQ43" i="24"/>
  <c r="CR43" i="24" s="1"/>
  <c r="CT43" i="24" s="1"/>
  <c r="CQ84" i="24"/>
  <c r="CR84" i="24" s="1"/>
  <c r="CT84" i="24" s="1"/>
  <c r="CO35" i="24"/>
  <c r="CQ41" i="24"/>
  <c r="CR41" i="24" s="1"/>
  <c r="CT41" i="24" s="1"/>
  <c r="CQ29" i="24"/>
  <c r="CR29" i="24" s="1"/>
  <c r="CT29" i="24" s="1"/>
  <c r="CO48" i="24"/>
  <c r="CQ93" i="24"/>
  <c r="CR93" i="24" s="1"/>
  <c r="CT93" i="24" s="1"/>
  <c r="CO56" i="24"/>
  <c r="CQ18" i="24"/>
  <c r="CR18" i="24" s="1"/>
  <c r="CT18" i="24" s="1"/>
  <c r="CO101" i="24"/>
  <c r="CO20" i="24"/>
  <c r="CO18" i="24"/>
  <c r="CQ67" i="24"/>
  <c r="CR67" i="24" s="1"/>
  <c r="CT67" i="24" s="1"/>
  <c r="CR29" i="25"/>
  <c r="CR90" i="25"/>
  <c r="CQ101" i="24"/>
  <c r="CR101" i="24" s="1"/>
  <c r="CT101" i="24" s="1"/>
  <c r="CQ69" i="24"/>
  <c r="CR69" i="24" s="1"/>
  <c r="CT69" i="24" s="1"/>
  <c r="CQ9" i="24"/>
  <c r="CR9" i="24" s="1"/>
  <c r="CT9" i="24" s="1"/>
  <c r="CO73" i="24"/>
  <c r="CO63" i="24"/>
  <c r="CQ8" i="24"/>
  <c r="CR8" i="24" s="1"/>
  <c r="CT8" i="24" s="1"/>
  <c r="CQ63" i="24"/>
  <c r="CR63" i="24" s="1"/>
  <c r="CT63" i="24" s="1"/>
  <c r="CQ72" i="24"/>
  <c r="CR72" i="24" s="1"/>
  <c r="CT72" i="24" s="1"/>
  <c r="CQ28" i="24"/>
  <c r="CR28" i="24" s="1"/>
  <c r="CT28" i="24" s="1"/>
  <c r="CO92" i="24"/>
  <c r="CO49" i="24"/>
  <c r="CQ79" i="24"/>
  <c r="CR79" i="24" s="1"/>
  <c r="CT79" i="24" s="1"/>
  <c r="CL6" i="25"/>
  <c r="DL6" i="25" s="1"/>
  <c r="CL7" i="25"/>
  <c r="DL7" i="25" s="1"/>
  <c r="CN309" i="25"/>
  <c r="CN301" i="25"/>
  <c r="CN293" i="25"/>
  <c r="CN285" i="25"/>
  <c r="CN277" i="25"/>
  <c r="CN269" i="25"/>
  <c r="CN261" i="25"/>
  <c r="CN253" i="25"/>
  <c r="CN245" i="25"/>
  <c r="CN237" i="25"/>
  <c r="CN229" i="25"/>
  <c r="CN221" i="25"/>
  <c r="CN262" i="25"/>
  <c r="CN246" i="25"/>
  <c r="CN222" i="25"/>
  <c r="CN316" i="25"/>
  <c r="CN308" i="25"/>
  <c r="CN300" i="25"/>
  <c r="CN292" i="25"/>
  <c r="CN284" i="25"/>
  <c r="CN276" i="25"/>
  <c r="CN268" i="25"/>
  <c r="CN260" i="25"/>
  <c r="CN252" i="25"/>
  <c r="CN244" i="25"/>
  <c r="CN236" i="25"/>
  <c r="CN228" i="25"/>
  <c r="CN220" i="25"/>
  <c r="CN278" i="25"/>
  <c r="CN254" i="25"/>
  <c r="CN315" i="25"/>
  <c r="CN307" i="25"/>
  <c r="CN299" i="25"/>
  <c r="CN291" i="25"/>
  <c r="CN283" i="25"/>
  <c r="CN275" i="25"/>
  <c r="CN267" i="25"/>
  <c r="CN259" i="25"/>
  <c r="CN251" i="25"/>
  <c r="CN243" i="25"/>
  <c r="CN235" i="25"/>
  <c r="CN227" i="25"/>
  <c r="CN219" i="25"/>
  <c r="CN270" i="25"/>
  <c r="CN238" i="25"/>
  <c r="CN314" i="25"/>
  <c r="CN306" i="25"/>
  <c r="CN298" i="25"/>
  <c r="CN290" i="25"/>
  <c r="CN282" i="25"/>
  <c r="CN274" i="25"/>
  <c r="CN266" i="25"/>
  <c r="CN258" i="25"/>
  <c r="CN250" i="25"/>
  <c r="CN242" i="25"/>
  <c r="CN234" i="25"/>
  <c r="CN226" i="25"/>
  <c r="CN218" i="25"/>
  <c r="CN294" i="25"/>
  <c r="CN313" i="25"/>
  <c r="CN305" i="25"/>
  <c r="CN297" i="25"/>
  <c r="CN289" i="25"/>
  <c r="CN281" i="25"/>
  <c r="CN273" i="25"/>
  <c r="CN265" i="25"/>
  <c r="CN257" i="25"/>
  <c r="CN249" i="25"/>
  <c r="CN241" i="25"/>
  <c r="CN233" i="25"/>
  <c r="CN225" i="25"/>
  <c r="CN217" i="25"/>
  <c r="CN286" i="25"/>
  <c r="CN312" i="25"/>
  <c r="CN304" i="25"/>
  <c r="CN296" i="25"/>
  <c r="CN288" i="25"/>
  <c r="CN280" i="25"/>
  <c r="CN272" i="25"/>
  <c r="CN264" i="25"/>
  <c r="CN256" i="25"/>
  <c r="CN248" i="25"/>
  <c r="CN240" i="25"/>
  <c r="CN232" i="25"/>
  <c r="CN224" i="25"/>
  <c r="CN302" i="25"/>
  <c r="CN230" i="25"/>
  <c r="CN311" i="25"/>
  <c r="CN303" i="25"/>
  <c r="CN295" i="25"/>
  <c r="CN287" i="25"/>
  <c r="CN279" i="25"/>
  <c r="CN271" i="25"/>
  <c r="CN263" i="25"/>
  <c r="CN255" i="25"/>
  <c r="CN247" i="25"/>
  <c r="CN239" i="25"/>
  <c r="CN231" i="25"/>
  <c r="CN223" i="25"/>
  <c r="CN216" i="25"/>
  <c r="CN310" i="25"/>
  <c r="CM312" i="24"/>
  <c r="EO312" i="24" s="1"/>
  <c r="CM304" i="24"/>
  <c r="EO304" i="24" s="1"/>
  <c r="CM296" i="24"/>
  <c r="EO296" i="24" s="1"/>
  <c r="CM288" i="24"/>
  <c r="EO288" i="24" s="1"/>
  <c r="CM280" i="24"/>
  <c r="EO280" i="24" s="1"/>
  <c r="CM272" i="24"/>
  <c r="EO272" i="24" s="1"/>
  <c r="CM264" i="24"/>
  <c r="EO264" i="24" s="1"/>
  <c r="CM256" i="24"/>
  <c r="EO256" i="24" s="1"/>
  <c r="CM248" i="24"/>
  <c r="EO248" i="24" s="1"/>
  <c r="CM240" i="24"/>
  <c r="EO240" i="24" s="1"/>
  <c r="CM232" i="24"/>
  <c r="EO232" i="24" s="1"/>
  <c r="CM224" i="24"/>
  <c r="EO224" i="24" s="1"/>
  <c r="CM281" i="24"/>
  <c r="EO281" i="24" s="1"/>
  <c r="CM311" i="24"/>
  <c r="EO311" i="24" s="1"/>
  <c r="CM303" i="24"/>
  <c r="EO303" i="24" s="1"/>
  <c r="CM295" i="24"/>
  <c r="EO295" i="24" s="1"/>
  <c r="CM287" i="24"/>
  <c r="EO287" i="24" s="1"/>
  <c r="CM279" i="24"/>
  <c r="EO279" i="24" s="1"/>
  <c r="CM271" i="24"/>
  <c r="EO271" i="24" s="1"/>
  <c r="CM263" i="24"/>
  <c r="EO263" i="24" s="1"/>
  <c r="CM255" i="24"/>
  <c r="EO255" i="24" s="1"/>
  <c r="CM247" i="24"/>
  <c r="EO247" i="24" s="1"/>
  <c r="CM239" i="24"/>
  <c r="EO239" i="24" s="1"/>
  <c r="CM231" i="24"/>
  <c r="EO231" i="24" s="1"/>
  <c r="CM223" i="24"/>
  <c r="EO223" i="24" s="1"/>
  <c r="CM216" i="24"/>
  <c r="EO216" i="24" s="1"/>
  <c r="CM305" i="24"/>
  <c r="EO305" i="24" s="1"/>
  <c r="CM241" i="24"/>
  <c r="EO241" i="24" s="1"/>
  <c r="CM310" i="24"/>
  <c r="EO310" i="24" s="1"/>
  <c r="CM302" i="24"/>
  <c r="EO302" i="24" s="1"/>
  <c r="CM294" i="24"/>
  <c r="EO294" i="24" s="1"/>
  <c r="CM286" i="24"/>
  <c r="EO286" i="24" s="1"/>
  <c r="CM278" i="24"/>
  <c r="EO278" i="24" s="1"/>
  <c r="CM270" i="24"/>
  <c r="EO270" i="24" s="1"/>
  <c r="CM262" i="24"/>
  <c r="EO262" i="24" s="1"/>
  <c r="CM254" i="24"/>
  <c r="EO254" i="24" s="1"/>
  <c r="CM246" i="24"/>
  <c r="EO246" i="24" s="1"/>
  <c r="CM238" i="24"/>
  <c r="EO238" i="24" s="1"/>
  <c r="CM230" i="24"/>
  <c r="EO230" i="24" s="1"/>
  <c r="CM222" i="24"/>
  <c r="EO222" i="24" s="1"/>
  <c r="CM313" i="24"/>
  <c r="EO313" i="24" s="1"/>
  <c r="CM233" i="24"/>
  <c r="EO233" i="24" s="1"/>
  <c r="CM309" i="24"/>
  <c r="EO309" i="24" s="1"/>
  <c r="CM301" i="24"/>
  <c r="EO301" i="24" s="1"/>
  <c r="CM293" i="24"/>
  <c r="EO293" i="24" s="1"/>
  <c r="CM285" i="24"/>
  <c r="EO285" i="24" s="1"/>
  <c r="CM277" i="24"/>
  <c r="EO277" i="24" s="1"/>
  <c r="CM269" i="24"/>
  <c r="EO269" i="24" s="1"/>
  <c r="CM261" i="24"/>
  <c r="EO261" i="24" s="1"/>
  <c r="CM253" i="24"/>
  <c r="EO253" i="24" s="1"/>
  <c r="CM245" i="24"/>
  <c r="EO245" i="24" s="1"/>
  <c r="CM237" i="24"/>
  <c r="EO237" i="24" s="1"/>
  <c r="CM229" i="24"/>
  <c r="EO229" i="24" s="1"/>
  <c r="CM221" i="24"/>
  <c r="EO221" i="24" s="1"/>
  <c r="CM289" i="24"/>
  <c r="EO289" i="24" s="1"/>
  <c r="CM249" i="24"/>
  <c r="EO249" i="24" s="1"/>
  <c r="CM316" i="24"/>
  <c r="EO316" i="24" s="1"/>
  <c r="CM308" i="24"/>
  <c r="EO308" i="24" s="1"/>
  <c r="CM300" i="24"/>
  <c r="EO300" i="24" s="1"/>
  <c r="CM292" i="24"/>
  <c r="EO292" i="24" s="1"/>
  <c r="CM284" i="24"/>
  <c r="EO284" i="24" s="1"/>
  <c r="CM276" i="24"/>
  <c r="EO276" i="24" s="1"/>
  <c r="CM268" i="24"/>
  <c r="EO268" i="24" s="1"/>
  <c r="CM260" i="24"/>
  <c r="EO260" i="24" s="1"/>
  <c r="CM252" i="24"/>
  <c r="EO252" i="24" s="1"/>
  <c r="CM244" i="24"/>
  <c r="EO244" i="24" s="1"/>
  <c r="CM236" i="24"/>
  <c r="EO236" i="24" s="1"/>
  <c r="CM228" i="24"/>
  <c r="EO228" i="24" s="1"/>
  <c r="CM220" i="24"/>
  <c r="EO220" i="24" s="1"/>
  <c r="CM226" i="24"/>
  <c r="EO226" i="24" s="1"/>
  <c r="CM297" i="24"/>
  <c r="EO297" i="24" s="1"/>
  <c r="CM265" i="24"/>
  <c r="EO265" i="24" s="1"/>
  <c r="CM225" i="24"/>
  <c r="EO225" i="24" s="1"/>
  <c r="CM315" i="24"/>
  <c r="EO315" i="24" s="1"/>
  <c r="CM307" i="24"/>
  <c r="EO307" i="24" s="1"/>
  <c r="CM299" i="24"/>
  <c r="EO299" i="24" s="1"/>
  <c r="CM291" i="24"/>
  <c r="EO291" i="24" s="1"/>
  <c r="CM283" i="24"/>
  <c r="EO283" i="24" s="1"/>
  <c r="CM275" i="24"/>
  <c r="EO275" i="24" s="1"/>
  <c r="CM267" i="24"/>
  <c r="EO267" i="24" s="1"/>
  <c r="CM259" i="24"/>
  <c r="EO259" i="24" s="1"/>
  <c r="CM251" i="24"/>
  <c r="EO251" i="24" s="1"/>
  <c r="CM243" i="24"/>
  <c r="EO243" i="24" s="1"/>
  <c r="CM235" i="24"/>
  <c r="EO235" i="24" s="1"/>
  <c r="CM227" i="24"/>
  <c r="EO227" i="24" s="1"/>
  <c r="CM219" i="24"/>
  <c r="EO219" i="24" s="1"/>
  <c r="CM234" i="24"/>
  <c r="EO234" i="24" s="1"/>
  <c r="CM257" i="24"/>
  <c r="EO257" i="24" s="1"/>
  <c r="CM314" i="24"/>
  <c r="EO314" i="24" s="1"/>
  <c r="CM306" i="24"/>
  <c r="EO306" i="24" s="1"/>
  <c r="CM298" i="24"/>
  <c r="EO298" i="24" s="1"/>
  <c r="CM290" i="24"/>
  <c r="EO290" i="24" s="1"/>
  <c r="CM282" i="24"/>
  <c r="EO282" i="24" s="1"/>
  <c r="CM274" i="24"/>
  <c r="EO274" i="24" s="1"/>
  <c r="CM266" i="24"/>
  <c r="EO266" i="24" s="1"/>
  <c r="CM258" i="24"/>
  <c r="EO258" i="24" s="1"/>
  <c r="CM250" i="24"/>
  <c r="EO250" i="24" s="1"/>
  <c r="CM242" i="24"/>
  <c r="EO242" i="24" s="1"/>
  <c r="CM218" i="24"/>
  <c r="EO218" i="24" s="1"/>
  <c r="CM273" i="24"/>
  <c r="EO273" i="24" s="1"/>
  <c r="CM217" i="24"/>
  <c r="EO217" i="24" s="1"/>
  <c r="B16" i="29"/>
  <c r="B106" i="2"/>
  <c r="G11" i="2"/>
  <c r="Y14" i="2" s="1"/>
  <c r="Y19" i="2"/>
  <c r="B14" i="29"/>
  <c r="B147" i="2"/>
  <c r="M2" i="24"/>
  <c r="D43" i="16"/>
  <c r="K12" i="2"/>
  <c r="K11" i="2"/>
  <c r="BR5" i="24"/>
  <c r="B28" i="2"/>
  <c r="C43" i="16"/>
  <c r="B14" i="2"/>
  <c r="H110" i="25"/>
  <c r="H5" i="25"/>
  <c r="AH5" i="25" s="1"/>
  <c r="H216" i="25"/>
  <c r="B193" i="2"/>
  <c r="E39" i="1" s="1"/>
  <c r="B214" i="2"/>
  <c r="B210" i="2"/>
  <c r="B35" i="2"/>
  <c r="B157" i="2"/>
  <c r="H216" i="24"/>
  <c r="H110" i="24"/>
  <c r="E15" i="23"/>
  <c r="R15" i="23" s="1"/>
  <c r="E23" i="23"/>
  <c r="R23" i="23" s="1"/>
  <c r="E31" i="23"/>
  <c r="R31" i="23" s="1"/>
  <c r="E39" i="23"/>
  <c r="R39" i="23" s="1"/>
  <c r="E47" i="23"/>
  <c r="R47" i="23" s="1"/>
  <c r="E55" i="23"/>
  <c r="R55" i="23" s="1"/>
  <c r="E63" i="23"/>
  <c r="R63" i="23" s="1"/>
  <c r="E71" i="23"/>
  <c r="R71" i="23" s="1"/>
  <c r="E79" i="23"/>
  <c r="R79" i="23" s="1"/>
  <c r="E87" i="23"/>
  <c r="R87" i="23" s="1"/>
  <c r="E95" i="23"/>
  <c r="R95" i="23" s="1"/>
  <c r="E103" i="23"/>
  <c r="R103" i="23" s="1"/>
  <c r="E20" i="23"/>
  <c r="R20" i="23" s="1"/>
  <c r="E44" i="23"/>
  <c r="R44" i="23" s="1"/>
  <c r="E68" i="23"/>
  <c r="R68" i="23" s="1"/>
  <c r="E84" i="23"/>
  <c r="R84" i="23" s="1"/>
  <c r="E7" i="23"/>
  <c r="R7" i="23" s="1"/>
  <c r="E16" i="23"/>
  <c r="R16" i="23" s="1"/>
  <c r="E24" i="23"/>
  <c r="R24" i="23" s="1"/>
  <c r="E32" i="23"/>
  <c r="R32" i="23" s="1"/>
  <c r="E40" i="23"/>
  <c r="R40" i="23" s="1"/>
  <c r="E48" i="23"/>
  <c r="R48" i="23" s="1"/>
  <c r="E56" i="23"/>
  <c r="R56" i="23" s="1"/>
  <c r="E64" i="23"/>
  <c r="R64" i="23" s="1"/>
  <c r="E72" i="23"/>
  <c r="R72" i="23" s="1"/>
  <c r="E80" i="23"/>
  <c r="R80" i="23" s="1"/>
  <c r="E88" i="23"/>
  <c r="R88" i="23" s="1"/>
  <c r="E96" i="23"/>
  <c r="R96" i="23" s="1"/>
  <c r="E104" i="23"/>
  <c r="R104" i="23" s="1"/>
  <c r="E28" i="23"/>
  <c r="R28" i="23" s="1"/>
  <c r="E60" i="23"/>
  <c r="R60" i="23" s="1"/>
  <c r="E92" i="23"/>
  <c r="R92" i="23" s="1"/>
  <c r="E11" i="23"/>
  <c r="R11" i="23" s="1"/>
  <c r="E19" i="23"/>
  <c r="R19" i="23" s="1"/>
  <c r="E27" i="23"/>
  <c r="R27" i="23" s="1"/>
  <c r="E35" i="23"/>
  <c r="R35" i="23" s="1"/>
  <c r="E43" i="23"/>
  <c r="R43" i="23" s="1"/>
  <c r="E51" i="23"/>
  <c r="R51" i="23" s="1"/>
  <c r="E59" i="23"/>
  <c r="R59" i="23" s="1"/>
  <c r="E67" i="23"/>
  <c r="R67" i="23" s="1"/>
  <c r="E75" i="23"/>
  <c r="R75" i="23" s="1"/>
  <c r="E83" i="23"/>
  <c r="R83" i="23" s="1"/>
  <c r="E91" i="23"/>
  <c r="R91" i="23" s="1"/>
  <c r="E99" i="23"/>
  <c r="R99" i="23" s="1"/>
  <c r="E6" i="23"/>
  <c r="R6" i="23" s="1"/>
  <c r="E12" i="23"/>
  <c r="R12" i="23" s="1"/>
  <c r="E36" i="23"/>
  <c r="R36" i="23" s="1"/>
  <c r="E52" i="23"/>
  <c r="R52" i="23" s="1"/>
  <c r="E76" i="23"/>
  <c r="R76" i="23" s="1"/>
  <c r="E100" i="23"/>
  <c r="R100" i="23" s="1"/>
  <c r="E94" i="23"/>
  <c r="R94" i="23" s="1"/>
  <c r="E78" i="23"/>
  <c r="R78" i="23" s="1"/>
  <c r="E62" i="23"/>
  <c r="R62" i="23" s="1"/>
  <c r="E46" i="23"/>
  <c r="R46" i="23" s="1"/>
  <c r="E30" i="23"/>
  <c r="R30" i="23" s="1"/>
  <c r="E14" i="23"/>
  <c r="R14" i="23" s="1"/>
  <c r="E106" i="23"/>
  <c r="R106" i="23" s="1"/>
  <c r="E90" i="23"/>
  <c r="R90" i="23" s="1"/>
  <c r="E74" i="23"/>
  <c r="R74" i="23" s="1"/>
  <c r="E58" i="23"/>
  <c r="R58" i="23" s="1"/>
  <c r="E42" i="23"/>
  <c r="R42" i="23" s="1"/>
  <c r="E26" i="23"/>
  <c r="R26" i="23" s="1"/>
  <c r="E9" i="23"/>
  <c r="R9" i="23" s="1"/>
  <c r="E102" i="23"/>
  <c r="R102" i="23" s="1"/>
  <c r="E70" i="23"/>
  <c r="R70" i="23" s="1"/>
  <c r="E38" i="23"/>
  <c r="R38" i="23" s="1"/>
  <c r="E101" i="23"/>
  <c r="R101" i="23" s="1"/>
  <c r="E85" i="23"/>
  <c r="R85" i="23" s="1"/>
  <c r="E69" i="23"/>
  <c r="R69" i="23" s="1"/>
  <c r="E53" i="23"/>
  <c r="R53" i="23" s="1"/>
  <c r="E37" i="23"/>
  <c r="R37" i="23" s="1"/>
  <c r="E21" i="23"/>
  <c r="R21" i="23" s="1"/>
  <c r="E86" i="23"/>
  <c r="R86" i="23" s="1"/>
  <c r="E22" i="23"/>
  <c r="R22" i="23" s="1"/>
  <c r="E93" i="23"/>
  <c r="R93" i="23" s="1"/>
  <c r="E77" i="23"/>
  <c r="R77" i="23" s="1"/>
  <c r="E45" i="23"/>
  <c r="R45" i="23" s="1"/>
  <c r="E13" i="23"/>
  <c r="R13" i="23" s="1"/>
  <c r="E82" i="23"/>
  <c r="R82" i="23" s="1"/>
  <c r="E50" i="23"/>
  <c r="R50" i="23" s="1"/>
  <c r="E89" i="23"/>
  <c r="R89" i="23" s="1"/>
  <c r="E57" i="23"/>
  <c r="R57" i="23" s="1"/>
  <c r="E25" i="23"/>
  <c r="R25" i="23" s="1"/>
  <c r="E98" i="23"/>
  <c r="R98" i="23" s="1"/>
  <c r="E66" i="23"/>
  <c r="R66" i="23" s="1"/>
  <c r="E34" i="23"/>
  <c r="R34" i="23" s="1"/>
  <c r="E97" i="23"/>
  <c r="R97" i="23" s="1"/>
  <c r="E81" i="23"/>
  <c r="R81" i="23" s="1"/>
  <c r="E65" i="23"/>
  <c r="R65" i="23" s="1"/>
  <c r="E49" i="23"/>
  <c r="R49" i="23" s="1"/>
  <c r="E33" i="23"/>
  <c r="R33" i="23" s="1"/>
  <c r="E17" i="23"/>
  <c r="R17" i="23" s="1"/>
  <c r="E54" i="23"/>
  <c r="R54" i="23" s="1"/>
  <c r="E10" i="23"/>
  <c r="R10" i="23" s="1"/>
  <c r="E61" i="23"/>
  <c r="R61" i="23" s="1"/>
  <c r="E29" i="23"/>
  <c r="R29" i="23" s="1"/>
  <c r="E18" i="23"/>
  <c r="R18" i="23" s="1"/>
  <c r="E105" i="23"/>
  <c r="R105" i="23" s="1"/>
  <c r="E73" i="23"/>
  <c r="R73" i="23" s="1"/>
  <c r="E41" i="23"/>
  <c r="R41" i="23" s="1"/>
  <c r="E8" i="23"/>
  <c r="R8" i="23" s="1"/>
  <c r="D9" i="23"/>
  <c r="F9" i="23" s="1"/>
  <c r="D13" i="23"/>
  <c r="I13" i="23" s="1"/>
  <c r="D17" i="23"/>
  <c r="I17" i="23" s="1"/>
  <c r="D21" i="23"/>
  <c r="D25" i="23"/>
  <c r="I25" i="23" s="1"/>
  <c r="D29" i="23"/>
  <c r="D33" i="23"/>
  <c r="F33" i="23" s="1"/>
  <c r="D37" i="23"/>
  <c r="D41" i="23"/>
  <c r="F41" i="23" s="1"/>
  <c r="D45" i="23"/>
  <c r="D49" i="23"/>
  <c r="I49" i="23" s="1"/>
  <c r="D10" i="23"/>
  <c r="I10" i="23" s="1"/>
  <c r="D14" i="23"/>
  <c r="I14" i="23" s="1"/>
  <c r="D18" i="23"/>
  <c r="D22" i="23"/>
  <c r="I22" i="23" s="1"/>
  <c r="D26" i="23"/>
  <c r="D30" i="23"/>
  <c r="I30" i="23" s="1"/>
  <c r="D34" i="23"/>
  <c r="D38" i="23"/>
  <c r="F38" i="23" s="1"/>
  <c r="D42" i="23"/>
  <c r="D46" i="23"/>
  <c r="I46" i="23" s="1"/>
  <c r="D50" i="23"/>
  <c r="D54" i="23"/>
  <c r="I54" i="23" s="1"/>
  <c r="D58" i="23"/>
  <c r="D62" i="23"/>
  <c r="F62" i="23" s="1"/>
  <c r="D66" i="23"/>
  <c r="D70" i="23"/>
  <c r="F70" i="23" s="1"/>
  <c r="D74" i="23"/>
  <c r="D78" i="23"/>
  <c r="F78" i="23" s="1"/>
  <c r="D82" i="23"/>
  <c r="D86" i="23"/>
  <c r="F86" i="23" s="1"/>
  <c r="D90" i="23"/>
  <c r="D94" i="23"/>
  <c r="I94" i="23" s="1"/>
  <c r="D98" i="23"/>
  <c r="F98" i="23" s="1"/>
  <c r="D102" i="23"/>
  <c r="I102" i="23" s="1"/>
  <c r="D106" i="23"/>
  <c r="F106" i="23" s="1"/>
  <c r="D16" i="23"/>
  <c r="F16" i="23" s="1"/>
  <c r="D24" i="23"/>
  <c r="D32" i="23"/>
  <c r="I32" i="23" s="1"/>
  <c r="D40" i="23"/>
  <c r="D48" i="23"/>
  <c r="F48" i="23" s="1"/>
  <c r="D55" i="23"/>
  <c r="D60" i="23"/>
  <c r="I60" i="23" s="1"/>
  <c r="D65" i="23"/>
  <c r="I65" i="23" s="1"/>
  <c r="D71" i="23"/>
  <c r="I71" i="23" s="1"/>
  <c r="D76" i="23"/>
  <c r="F76" i="23" s="1"/>
  <c r="D81" i="23"/>
  <c r="I81" i="23" s="1"/>
  <c r="D87" i="23"/>
  <c r="D92" i="23"/>
  <c r="I92" i="23" s="1"/>
  <c r="D97" i="23"/>
  <c r="D103" i="23"/>
  <c r="I103" i="23" s="1"/>
  <c r="D7" i="23"/>
  <c r="F7" i="23" s="1"/>
  <c r="D23" i="23"/>
  <c r="F23" i="23" s="1"/>
  <c r="D39" i="23"/>
  <c r="F39" i="23" s="1"/>
  <c r="D53" i="23"/>
  <c r="I53" i="23" s="1"/>
  <c r="D64" i="23"/>
  <c r="D75" i="23"/>
  <c r="F75" i="23" s="1"/>
  <c r="D85" i="23"/>
  <c r="D96" i="23"/>
  <c r="F96" i="23" s="1"/>
  <c r="D8" i="23"/>
  <c r="D11" i="23"/>
  <c r="F11" i="23" s="1"/>
  <c r="D19" i="23"/>
  <c r="D27" i="23"/>
  <c r="F27" i="23" s="1"/>
  <c r="D35" i="23"/>
  <c r="D43" i="23"/>
  <c r="F43" i="23" s="1"/>
  <c r="D51" i="23"/>
  <c r="D56" i="23"/>
  <c r="F56" i="23" s="1"/>
  <c r="D61" i="23"/>
  <c r="I61" i="23" s="1"/>
  <c r="D67" i="23"/>
  <c r="I67" i="23" s="1"/>
  <c r="D72" i="23"/>
  <c r="D77" i="23"/>
  <c r="I77" i="23" s="1"/>
  <c r="D83" i="23"/>
  <c r="D88" i="23"/>
  <c r="I88" i="23" s="1"/>
  <c r="D93" i="23"/>
  <c r="D99" i="23"/>
  <c r="F99" i="23" s="1"/>
  <c r="D104" i="23"/>
  <c r="D6" i="23"/>
  <c r="I6" i="23" s="1"/>
  <c r="D12" i="23"/>
  <c r="I12" i="23" s="1"/>
  <c r="D20" i="23"/>
  <c r="I20" i="23" s="1"/>
  <c r="D28" i="23"/>
  <c r="D36" i="23"/>
  <c r="F36" i="23" s="1"/>
  <c r="D44" i="23"/>
  <c r="F44" i="23" s="1"/>
  <c r="D52" i="23"/>
  <c r="I52" i="23" s="1"/>
  <c r="D57" i="23"/>
  <c r="D63" i="23"/>
  <c r="I63" i="23" s="1"/>
  <c r="D68" i="23"/>
  <c r="D73" i="23"/>
  <c r="I73" i="23" s="1"/>
  <c r="D79" i="23"/>
  <c r="F79" i="23" s="1"/>
  <c r="D84" i="23"/>
  <c r="I84" i="23" s="1"/>
  <c r="D89" i="23"/>
  <c r="F89" i="23" s="1"/>
  <c r="D95" i="23"/>
  <c r="I95" i="23" s="1"/>
  <c r="D100" i="23"/>
  <c r="D105" i="23"/>
  <c r="I105" i="23" s="1"/>
  <c r="D15" i="23"/>
  <c r="D31" i="23"/>
  <c r="F31" i="23" s="1"/>
  <c r="D47" i="23"/>
  <c r="D59" i="23"/>
  <c r="F59" i="23" s="1"/>
  <c r="D69" i="23"/>
  <c r="F69" i="23" s="1"/>
  <c r="D80" i="23"/>
  <c r="I80" i="23" s="1"/>
  <c r="D91" i="23"/>
  <c r="D101" i="23"/>
  <c r="I101" i="23" s="1"/>
  <c r="B10" i="19"/>
  <c r="D10" i="19" s="1"/>
  <c r="CJ212" i="25" s="1"/>
  <c r="I16" i="8"/>
  <c r="J16" i="8" s="1"/>
  <c r="D181" i="2" s="1"/>
  <c r="B182" i="2" s="1"/>
  <c r="B11" i="19"/>
  <c r="D11" i="19" s="1"/>
  <c r="I4" i="8" s="1"/>
  <c r="J4" i="8" s="1"/>
  <c r="B237" i="2"/>
  <c r="B3" i="8"/>
  <c r="B159" i="8" s="1"/>
  <c r="B158" i="8" s="1"/>
  <c r="B157" i="8" s="1"/>
  <c r="B156" i="8" s="1"/>
  <c r="B155" i="8" s="1"/>
  <c r="B154" i="8" s="1"/>
  <c r="B153" i="8" s="1"/>
  <c r="B152" i="8" s="1"/>
  <c r="B151" i="8" s="1"/>
  <c r="B150" i="8" s="1"/>
  <c r="B149" i="8" s="1"/>
  <c r="B148" i="8" s="1"/>
  <c r="B147" i="8" s="1"/>
  <c r="B146" i="8" s="1"/>
  <c r="B145" i="8" s="1"/>
  <c r="B144" i="8" s="1"/>
  <c r="B143" i="8" s="1"/>
  <c r="B142" i="8" s="1"/>
  <c r="B141" i="8" s="1"/>
  <c r="B140" i="8" s="1"/>
  <c r="B139" i="8" s="1"/>
  <c r="B138" i="8" s="1"/>
  <c r="B137" i="8" s="1"/>
  <c r="B136" i="8" s="1"/>
  <c r="B135" i="8" s="1"/>
  <c r="B134" i="8" s="1"/>
  <c r="B133" i="8" s="1"/>
  <c r="B132" i="8" s="1"/>
  <c r="B131" i="8" s="1"/>
  <c r="B130" i="8" s="1"/>
  <c r="B129" i="8" s="1"/>
  <c r="B128" i="8" s="1"/>
  <c r="B127" i="8" s="1"/>
  <c r="B126" i="8" s="1"/>
  <c r="B125" i="8" s="1"/>
  <c r="B124" i="8" s="1"/>
  <c r="B123" i="8" s="1"/>
  <c r="B122" i="8" s="1"/>
  <c r="B121" i="8" s="1"/>
  <c r="B120" i="8" s="1"/>
  <c r="B119" i="8" s="1"/>
  <c r="B118" i="8" s="1"/>
  <c r="B117" i="8" s="1"/>
  <c r="B116" i="8" s="1"/>
  <c r="B115" i="8" s="1"/>
  <c r="B114" i="8" s="1"/>
  <c r="B113" i="8" s="1"/>
  <c r="B112" i="8" s="1"/>
  <c r="B111" i="8" s="1"/>
  <c r="B110" i="8" s="1"/>
  <c r="B109" i="8" s="1"/>
  <c r="B108" i="8" s="1"/>
  <c r="B107" i="8" s="1"/>
  <c r="B106" i="8" s="1"/>
  <c r="B105" i="8" s="1"/>
  <c r="B104" i="8" s="1"/>
  <c r="B103" i="8" s="1"/>
  <c r="B102" i="8" s="1"/>
  <c r="B101" i="8" s="1"/>
  <c r="B100" i="8" s="1"/>
  <c r="B99" i="8" s="1"/>
  <c r="B98" i="8" s="1"/>
  <c r="B97" i="8" s="1"/>
  <c r="B96" i="8" s="1"/>
  <c r="B95" i="8" s="1"/>
  <c r="B94" i="8" s="1"/>
  <c r="B93" i="8" s="1"/>
  <c r="B92" i="8" s="1"/>
  <c r="B91" i="8" s="1"/>
  <c r="B90" i="8" s="1"/>
  <c r="B89" i="8" s="1"/>
  <c r="B88" i="8" s="1"/>
  <c r="B87" i="8" s="1"/>
  <c r="B86" i="8" s="1"/>
  <c r="B85" i="8" s="1"/>
  <c r="B84" i="8" s="1"/>
  <c r="B83" i="8" s="1"/>
  <c r="B82" i="8" s="1"/>
  <c r="B81" i="8" s="1"/>
  <c r="B80" i="8" s="1"/>
  <c r="B79" i="8" s="1"/>
  <c r="B78" i="8" s="1"/>
  <c r="B77" i="8" s="1"/>
  <c r="B76" i="8" s="1"/>
  <c r="B75" i="8" s="1"/>
  <c r="B74" i="8" s="1"/>
  <c r="B73" i="8" s="1"/>
  <c r="B72" i="8" s="1"/>
  <c r="B71" i="8" s="1"/>
  <c r="B70" i="8" s="1"/>
  <c r="B69" i="8" s="1"/>
  <c r="B68" i="8" s="1"/>
  <c r="B67" i="8" s="1"/>
  <c r="B66" i="8" s="1"/>
  <c r="B65" i="8" s="1"/>
  <c r="B64" i="8" s="1"/>
  <c r="B63" i="8" s="1"/>
  <c r="B62" i="8" s="1"/>
  <c r="B61" i="8" s="1"/>
  <c r="B60" i="8" s="1"/>
  <c r="B59" i="8" s="1"/>
  <c r="B58" i="8" s="1"/>
  <c r="B57" i="8" s="1"/>
  <c r="B56" i="8" s="1"/>
  <c r="B55" i="8" s="1"/>
  <c r="B54" i="8" s="1"/>
  <c r="B53" i="8" s="1"/>
  <c r="B52" i="8" s="1"/>
  <c r="B51" i="8" s="1"/>
  <c r="B50" i="8" s="1"/>
  <c r="B49" i="8" s="1"/>
  <c r="B48" i="8" s="1"/>
  <c r="B47" i="8" s="1"/>
  <c r="B46" i="8" s="1"/>
  <c r="B45" i="8" s="1"/>
  <c r="B44" i="8" s="1"/>
  <c r="B43" i="8" s="1"/>
  <c r="B42" i="8" s="1"/>
  <c r="B41" i="8" s="1"/>
  <c r="B40" i="8" s="1"/>
  <c r="B39" i="8" s="1"/>
  <c r="B38" i="8" s="1"/>
  <c r="B37" i="8" s="1"/>
  <c r="B36" i="8" s="1"/>
  <c r="B35" i="8" s="1"/>
  <c r="B34" i="8" s="1"/>
  <c r="B33" i="8" s="1"/>
  <c r="B32" i="8" s="1"/>
  <c r="B31" i="8" s="1"/>
  <c r="B30" i="8" s="1"/>
  <c r="B29" i="8" s="1"/>
  <c r="B28" i="8" s="1"/>
  <c r="B27" i="8" s="1"/>
  <c r="B26" i="8" s="1"/>
  <c r="B25" i="8" s="1"/>
  <c r="B24" i="8" s="1"/>
  <c r="B23" i="8" s="1"/>
  <c r="B22" i="8" s="1"/>
  <c r="B21" i="8" s="1"/>
  <c r="B20" i="8" s="1"/>
  <c r="B19" i="8" s="1"/>
  <c r="B18" i="8" s="1"/>
  <c r="B17" i="8" s="1"/>
  <c r="B16" i="8" s="1"/>
  <c r="B15" i="8" s="1"/>
  <c r="B14" i="8" s="1"/>
  <c r="B13" i="8" s="1"/>
  <c r="B12" i="8" s="1"/>
  <c r="B11" i="8" s="1"/>
  <c r="B10" i="8" s="1"/>
  <c r="B9" i="8" s="1"/>
  <c r="B8" i="8" s="1"/>
  <c r="B7" i="8" s="1"/>
  <c r="B6" i="8" s="1"/>
  <c r="B4" i="8" s="1"/>
  <c r="D31" i="16"/>
  <c r="D3" i="8"/>
  <c r="D159" i="8" s="1"/>
  <c r="D158" i="8" s="1"/>
  <c r="D157" i="8" s="1"/>
  <c r="D156" i="8" s="1"/>
  <c r="D155" i="8" s="1"/>
  <c r="D154" i="8" s="1"/>
  <c r="D153" i="8" s="1"/>
  <c r="D152" i="8" s="1"/>
  <c r="D151" i="8" s="1"/>
  <c r="D150" i="8" s="1"/>
  <c r="D149" i="8" s="1"/>
  <c r="D148" i="8" s="1"/>
  <c r="D147" i="8" s="1"/>
  <c r="D146" i="8" s="1"/>
  <c r="D145" i="8" s="1"/>
  <c r="D144" i="8" s="1"/>
  <c r="D143" i="8" s="1"/>
  <c r="D142" i="8" s="1"/>
  <c r="D141" i="8" s="1"/>
  <c r="D140" i="8" s="1"/>
  <c r="D139" i="8" s="1"/>
  <c r="D138" i="8" s="1"/>
  <c r="D137" i="8" s="1"/>
  <c r="D136" i="8" s="1"/>
  <c r="D135" i="8" s="1"/>
  <c r="D134" i="8" s="1"/>
  <c r="D133" i="8" s="1"/>
  <c r="D132" i="8" s="1"/>
  <c r="D131" i="8" s="1"/>
  <c r="D130" i="8" s="1"/>
  <c r="D129" i="8" s="1"/>
  <c r="D128" i="8" s="1"/>
  <c r="D127" i="8" s="1"/>
  <c r="D126" i="8" s="1"/>
  <c r="D125" i="8" s="1"/>
  <c r="D124" i="8" s="1"/>
  <c r="D123" i="8" s="1"/>
  <c r="D122" i="8" s="1"/>
  <c r="D121" i="8" s="1"/>
  <c r="D120" i="8" s="1"/>
  <c r="D119" i="8" s="1"/>
  <c r="D118" i="8" s="1"/>
  <c r="D117" i="8" s="1"/>
  <c r="D116" i="8" s="1"/>
  <c r="D115" i="8" s="1"/>
  <c r="D114" i="8" s="1"/>
  <c r="D113" i="8" s="1"/>
  <c r="D112" i="8" s="1"/>
  <c r="D111" i="8" s="1"/>
  <c r="D110" i="8" s="1"/>
  <c r="D109" i="8" s="1"/>
  <c r="D108" i="8" s="1"/>
  <c r="D107" i="8" s="1"/>
  <c r="D106" i="8" s="1"/>
  <c r="D105" i="8" s="1"/>
  <c r="D104" i="8" s="1"/>
  <c r="D103" i="8" s="1"/>
  <c r="D102" i="8" s="1"/>
  <c r="D101" i="8" s="1"/>
  <c r="D100" i="8" s="1"/>
  <c r="D99" i="8" s="1"/>
  <c r="D98" i="8" s="1"/>
  <c r="D97" i="8" s="1"/>
  <c r="D96" i="8" s="1"/>
  <c r="D95" i="8" s="1"/>
  <c r="D94" i="8" s="1"/>
  <c r="D93" i="8" s="1"/>
  <c r="D92" i="8" s="1"/>
  <c r="D91" i="8" s="1"/>
  <c r="D90" i="8" s="1"/>
  <c r="D89" i="8" s="1"/>
  <c r="D88" i="8" s="1"/>
  <c r="D87" i="8" s="1"/>
  <c r="D86" i="8" s="1"/>
  <c r="D85" i="8" s="1"/>
  <c r="D84" i="8" s="1"/>
  <c r="D83" i="8" s="1"/>
  <c r="D82" i="8" s="1"/>
  <c r="D81" i="8" s="1"/>
  <c r="D80" i="8" s="1"/>
  <c r="D79" i="8" s="1"/>
  <c r="D78" i="8" s="1"/>
  <c r="D77" i="8" s="1"/>
  <c r="D76" i="8" s="1"/>
  <c r="D75" i="8" s="1"/>
  <c r="D74" i="8" s="1"/>
  <c r="D73" i="8" s="1"/>
  <c r="D72" i="8" s="1"/>
  <c r="D71" i="8" s="1"/>
  <c r="D70" i="8" s="1"/>
  <c r="D69" i="8" s="1"/>
  <c r="D68" i="8" s="1"/>
  <c r="D67" i="8" s="1"/>
  <c r="D66" i="8" s="1"/>
  <c r="D65" i="8" s="1"/>
  <c r="D64" i="8" s="1"/>
  <c r="D63" i="8" s="1"/>
  <c r="D62" i="8" s="1"/>
  <c r="D61" i="8" s="1"/>
  <c r="D60" i="8" s="1"/>
  <c r="D59" i="8" s="1"/>
  <c r="D58" i="8" s="1"/>
  <c r="D57" i="8" s="1"/>
  <c r="D56" i="8" s="1"/>
  <c r="D55" i="8" s="1"/>
  <c r="D54" i="8" s="1"/>
  <c r="D53" i="8" s="1"/>
  <c r="D52" i="8" s="1"/>
  <c r="D51" i="8" s="1"/>
  <c r="D50" i="8" s="1"/>
  <c r="D49" i="8" s="1"/>
  <c r="D48" i="8" s="1"/>
  <c r="D47" i="8" s="1"/>
  <c r="D46" i="8" s="1"/>
  <c r="D45" i="8" s="1"/>
  <c r="D44" i="8" s="1"/>
  <c r="D43" i="8" s="1"/>
  <c r="D42" i="8" s="1"/>
  <c r="D41" i="8" s="1"/>
  <c r="D40" i="8" s="1"/>
  <c r="D39" i="8" s="1"/>
  <c r="D38" i="8" s="1"/>
  <c r="D37" i="8" s="1"/>
  <c r="D36" i="8" s="1"/>
  <c r="D35" i="8" s="1"/>
  <c r="D34" i="8" s="1"/>
  <c r="D33" i="8" s="1"/>
  <c r="D32" i="8" s="1"/>
  <c r="D31" i="8" s="1"/>
  <c r="D30" i="8" s="1"/>
  <c r="D29" i="8" s="1"/>
  <c r="D28" i="8" s="1"/>
  <c r="D27" i="8" s="1"/>
  <c r="D26" i="8" s="1"/>
  <c r="D25" i="8" s="1"/>
  <c r="D24" i="8" s="1"/>
  <c r="D23" i="8" s="1"/>
  <c r="D22" i="8" s="1"/>
  <c r="D21" i="8" s="1"/>
  <c r="D20" i="8" s="1"/>
  <c r="D19" i="8" s="1"/>
  <c r="D18" i="8" s="1"/>
  <c r="D17" i="8" s="1"/>
  <c r="D16" i="8" s="1"/>
  <c r="D15" i="8" s="1"/>
  <c r="D14" i="8" s="1"/>
  <c r="D13" i="8" s="1"/>
  <c r="D12" i="8" s="1"/>
  <c r="D11" i="8" s="1"/>
  <c r="D10" i="8" s="1"/>
  <c r="D9" i="8" s="1"/>
  <c r="D8" i="8" s="1"/>
  <c r="D7" i="8" s="1"/>
  <c r="D6" i="8" s="1"/>
  <c r="D4" i="8" s="1"/>
  <c r="E159" i="8"/>
  <c r="E158" i="8" s="1"/>
  <c r="E157" i="8" s="1"/>
  <c r="E156" i="8" s="1"/>
  <c r="E155" i="8" s="1"/>
  <c r="E154" i="8" s="1"/>
  <c r="E153" i="8" s="1"/>
  <c r="E152" i="8" s="1"/>
  <c r="E151" i="8" s="1"/>
  <c r="E150" i="8" s="1"/>
  <c r="E149" i="8" s="1"/>
  <c r="E148" i="8" s="1"/>
  <c r="E147" i="8" s="1"/>
  <c r="E146" i="8" s="1"/>
  <c r="E145" i="8" s="1"/>
  <c r="E144" i="8" s="1"/>
  <c r="E143" i="8" s="1"/>
  <c r="E142" i="8" s="1"/>
  <c r="E141" i="8" s="1"/>
  <c r="E140" i="8" s="1"/>
  <c r="E139" i="8" s="1"/>
  <c r="E138" i="8" s="1"/>
  <c r="E137" i="8" s="1"/>
  <c r="E136" i="8" s="1"/>
  <c r="E135" i="8" s="1"/>
  <c r="E134" i="8" s="1"/>
  <c r="E133" i="8" s="1"/>
  <c r="E132" i="8" s="1"/>
  <c r="E131" i="8" s="1"/>
  <c r="E130" i="8" s="1"/>
  <c r="E129" i="8" s="1"/>
  <c r="E128" i="8" s="1"/>
  <c r="E127" i="8" s="1"/>
  <c r="E126" i="8" s="1"/>
  <c r="E125" i="8" s="1"/>
  <c r="E124" i="8" s="1"/>
  <c r="E123" i="8" s="1"/>
  <c r="E122" i="8" s="1"/>
  <c r="E121" i="8" s="1"/>
  <c r="E120" i="8" s="1"/>
  <c r="E119" i="8" s="1"/>
  <c r="E118" i="8" s="1"/>
  <c r="E117" i="8" s="1"/>
  <c r="E116" i="8" s="1"/>
  <c r="E115" i="8" s="1"/>
  <c r="E114" i="8" s="1"/>
  <c r="E113" i="8" s="1"/>
  <c r="E112" i="8" s="1"/>
  <c r="E111" i="8" s="1"/>
  <c r="E110" i="8" s="1"/>
  <c r="E109" i="8" s="1"/>
  <c r="E108" i="8" s="1"/>
  <c r="E107" i="8" s="1"/>
  <c r="E106" i="8" s="1"/>
  <c r="E105" i="8" s="1"/>
  <c r="E104" i="8" s="1"/>
  <c r="E103" i="8" s="1"/>
  <c r="E102" i="8" s="1"/>
  <c r="E101" i="8" s="1"/>
  <c r="E100" i="8" s="1"/>
  <c r="E99" i="8" s="1"/>
  <c r="E98" i="8" s="1"/>
  <c r="E97" i="8" s="1"/>
  <c r="E96" i="8" s="1"/>
  <c r="E95" i="8" s="1"/>
  <c r="E94" i="8" s="1"/>
  <c r="E93" i="8" s="1"/>
  <c r="E92" i="8" s="1"/>
  <c r="E91" i="8" s="1"/>
  <c r="E90" i="8" s="1"/>
  <c r="E89" i="8" s="1"/>
  <c r="E88" i="8" s="1"/>
  <c r="E87" i="8" s="1"/>
  <c r="E86" i="8" s="1"/>
  <c r="E85" i="8" s="1"/>
  <c r="E84" i="8" s="1"/>
  <c r="E83" i="8" s="1"/>
  <c r="E82" i="8" s="1"/>
  <c r="E81" i="8" s="1"/>
  <c r="E80" i="8" s="1"/>
  <c r="E79" i="8" s="1"/>
  <c r="E78" i="8" s="1"/>
  <c r="E77" i="8" s="1"/>
  <c r="E76" i="8" s="1"/>
  <c r="E75" i="8" s="1"/>
  <c r="E74" i="8" s="1"/>
  <c r="E73" i="8" s="1"/>
  <c r="E72" i="8" s="1"/>
  <c r="E71" i="8" s="1"/>
  <c r="E70" i="8" s="1"/>
  <c r="E69" i="8" s="1"/>
  <c r="E68" i="8" s="1"/>
  <c r="E67" i="8" s="1"/>
  <c r="E66" i="8" s="1"/>
  <c r="E65" i="8" s="1"/>
  <c r="E64" i="8" s="1"/>
  <c r="E63" i="8" s="1"/>
  <c r="E62" i="8" s="1"/>
  <c r="E61" i="8" s="1"/>
  <c r="E60" i="8" s="1"/>
  <c r="E59" i="8" s="1"/>
  <c r="E58" i="8" s="1"/>
  <c r="E57" i="8" s="1"/>
  <c r="E56" i="8" s="1"/>
  <c r="E55" i="8" s="1"/>
  <c r="E54" i="8" s="1"/>
  <c r="E53" i="8" s="1"/>
  <c r="E52" i="8" s="1"/>
  <c r="E51" i="8" s="1"/>
  <c r="E50" i="8" s="1"/>
  <c r="E49" i="8" s="1"/>
  <c r="E48" i="8" s="1"/>
  <c r="E47" i="8" s="1"/>
  <c r="E46" i="8" s="1"/>
  <c r="E45" i="8" s="1"/>
  <c r="E44" i="8" s="1"/>
  <c r="E43" i="8" s="1"/>
  <c r="E42" i="8" s="1"/>
  <c r="E41" i="8" s="1"/>
  <c r="E40" i="8" s="1"/>
  <c r="E39" i="8" s="1"/>
  <c r="E38" i="8" s="1"/>
  <c r="E37" i="8" s="1"/>
  <c r="E36" i="8" s="1"/>
  <c r="E35" i="8" s="1"/>
  <c r="E34" i="8" s="1"/>
  <c r="E33" i="8" s="1"/>
  <c r="E32" i="8" s="1"/>
  <c r="E31" i="8" s="1"/>
  <c r="E30" i="8" s="1"/>
  <c r="E29" i="8" s="1"/>
  <c r="E28" i="8" s="1"/>
  <c r="E27" i="8" s="1"/>
  <c r="E26" i="8" s="1"/>
  <c r="E25" i="8" s="1"/>
  <c r="E24" i="8" s="1"/>
  <c r="E23" i="8" s="1"/>
  <c r="E22" i="8" s="1"/>
  <c r="E21" i="8" s="1"/>
  <c r="E20" i="8" s="1"/>
  <c r="E19" i="8" s="1"/>
  <c r="E18" i="8" s="1"/>
  <c r="E17" i="8" s="1"/>
  <c r="E16" i="8" s="1"/>
  <c r="E15" i="8" s="1"/>
  <c r="E14" i="8" s="1"/>
  <c r="E13" i="8" s="1"/>
  <c r="E12" i="8" s="1"/>
  <c r="E11" i="8" s="1"/>
  <c r="E10" i="8" s="1"/>
  <c r="E9" i="8" s="1"/>
  <c r="E8" i="8" s="1"/>
  <c r="E7" i="8" s="1"/>
  <c r="E6" i="8" s="1"/>
  <c r="E4" i="8" s="1"/>
  <c r="B238" i="2"/>
  <c r="S76" i="2"/>
  <c r="B232" i="2"/>
  <c r="I72" i="2"/>
  <c r="C3" i="8"/>
  <c r="C159" i="8" s="1"/>
  <c r="C158" i="8" s="1"/>
  <c r="A232" i="2"/>
  <c r="F40" i="1"/>
  <c r="B9" i="19"/>
  <c r="D9" i="19" s="1"/>
  <c r="B17" i="19"/>
  <c r="D17" i="19" s="1"/>
  <c r="B221" i="2"/>
  <c r="B13" i="2"/>
  <c r="CR195" i="25" l="1"/>
  <c r="CS195" i="25" s="1"/>
  <c r="Q104" i="2"/>
  <c r="CQ136" i="24"/>
  <c r="CR136" i="24" s="1"/>
  <c r="CT136" i="24" s="1"/>
  <c r="CQ204" i="24"/>
  <c r="CR204" i="24" s="1"/>
  <c r="CT204" i="24" s="1"/>
  <c r="CQ140" i="24"/>
  <c r="CR140" i="24" s="1"/>
  <c r="CT140" i="24" s="1"/>
  <c r="CQ149" i="24"/>
  <c r="CR149" i="24" s="1"/>
  <c r="CT149" i="24" s="1"/>
  <c r="CO140" i="24"/>
  <c r="CR197" i="25"/>
  <c r="CS197" i="25" s="1"/>
  <c r="CR111" i="25"/>
  <c r="CS111" i="25" s="1"/>
  <c r="CQ175" i="24"/>
  <c r="CR175" i="24" s="1"/>
  <c r="CT175" i="24" s="1"/>
  <c r="CR200" i="25"/>
  <c r="CS200" i="25" s="1"/>
  <c r="CO136" i="24"/>
  <c r="CO174" i="24"/>
  <c r="CQ131" i="24"/>
  <c r="CR131" i="24" s="1"/>
  <c r="CT131" i="24" s="1"/>
  <c r="CQ185" i="24"/>
  <c r="CR185" i="24" s="1"/>
  <c r="CT185" i="24" s="1"/>
  <c r="CQ174" i="24"/>
  <c r="CR174" i="24" s="1"/>
  <c r="CT174" i="24" s="1"/>
  <c r="CO185" i="24"/>
  <c r="CO175" i="24"/>
  <c r="CR152" i="25"/>
  <c r="CS152" i="25" s="1"/>
  <c r="CR126" i="25"/>
  <c r="CS126" i="25" s="1"/>
  <c r="CO204" i="24"/>
  <c r="CR116" i="25"/>
  <c r="CS116" i="25" s="1"/>
  <c r="CR185" i="25"/>
  <c r="CS185" i="25" s="1"/>
  <c r="CR143" i="25"/>
  <c r="CS143" i="25" s="1"/>
  <c r="CR125" i="25"/>
  <c r="CS125" i="25" s="1"/>
  <c r="CR179" i="25"/>
  <c r="CS179" i="25" s="1"/>
  <c r="CR140" i="25"/>
  <c r="CS140" i="25" s="1"/>
  <c r="CQ212" i="24"/>
  <c r="CR212" i="24" s="1"/>
  <c r="CT212" i="24" s="1"/>
  <c r="CO212" i="24"/>
  <c r="CR205" i="25"/>
  <c r="CS205" i="25" s="1"/>
  <c r="D33" i="16"/>
  <c r="D32" i="16"/>
  <c r="CQ114" i="24"/>
  <c r="CR114" i="24" s="1"/>
  <c r="CT114" i="24" s="1"/>
  <c r="CO177" i="24"/>
  <c r="CO165" i="24"/>
  <c r="CQ177" i="24"/>
  <c r="CR177" i="24" s="1"/>
  <c r="CT177" i="24" s="1"/>
  <c r="G327" i="24"/>
  <c r="I27" i="8" s="1"/>
  <c r="CQ128" i="24"/>
  <c r="CR128" i="24" s="1"/>
  <c r="CT128" i="24" s="1"/>
  <c r="CQ178" i="24"/>
  <c r="CR178" i="24" s="1"/>
  <c r="CT178" i="24" s="1"/>
  <c r="CR123" i="25"/>
  <c r="CS123" i="25" s="1"/>
  <c r="CQ122" i="24"/>
  <c r="CR122" i="24" s="1"/>
  <c r="CT122" i="24" s="1"/>
  <c r="CO178" i="24"/>
  <c r="CO128" i="24"/>
  <c r="FG212" i="25"/>
  <c r="CL212" i="25"/>
  <c r="DL212" i="25" s="1"/>
  <c r="DP212" i="25"/>
  <c r="EQ212" i="25"/>
  <c r="EU212" i="25" s="1"/>
  <c r="CP212" i="25"/>
  <c r="EM212" i="25"/>
  <c r="B18" i="29"/>
  <c r="CX212" i="25"/>
  <c r="CS212" i="25"/>
  <c r="L68" i="1"/>
  <c r="L70" i="1" s="1"/>
  <c r="E22" i="1"/>
  <c r="CJ212" i="24"/>
  <c r="N327" i="25"/>
  <c r="I29" i="8" s="1"/>
  <c r="CP223" i="25"/>
  <c r="EM223" i="25"/>
  <c r="CP287" i="25"/>
  <c r="EM287" i="25"/>
  <c r="CP240" i="25"/>
  <c r="EM240" i="25"/>
  <c r="CP304" i="25"/>
  <c r="EM304" i="25"/>
  <c r="CP257" i="25"/>
  <c r="EM257" i="25"/>
  <c r="CP294" i="25"/>
  <c r="EM294" i="25"/>
  <c r="CP274" i="25"/>
  <c r="EM274" i="25"/>
  <c r="CP219" i="25"/>
  <c r="EM219" i="25"/>
  <c r="CP283" i="25"/>
  <c r="EM283" i="25"/>
  <c r="CP228" i="25"/>
  <c r="EM228" i="25"/>
  <c r="CP292" i="25"/>
  <c r="EM292" i="25"/>
  <c r="CP229" i="25"/>
  <c r="EM229" i="25"/>
  <c r="CP293" i="25"/>
  <c r="EM293" i="25"/>
  <c r="CP231" i="25"/>
  <c r="EM231" i="25"/>
  <c r="CP295" i="25"/>
  <c r="EM295" i="25"/>
  <c r="CP248" i="25"/>
  <c r="EM248" i="25"/>
  <c r="CP312" i="25"/>
  <c r="EM312" i="25"/>
  <c r="CP265" i="25"/>
  <c r="EM265" i="25"/>
  <c r="CP218" i="25"/>
  <c r="EM218" i="25"/>
  <c r="CP282" i="25"/>
  <c r="EM282" i="25"/>
  <c r="CP227" i="25"/>
  <c r="EM227" i="25"/>
  <c r="CP291" i="25"/>
  <c r="EM291" i="25"/>
  <c r="CP236" i="25"/>
  <c r="EM236" i="25"/>
  <c r="CP300" i="25"/>
  <c r="EM300" i="25"/>
  <c r="CP237" i="25"/>
  <c r="EM237" i="25"/>
  <c r="CP301" i="25"/>
  <c r="EM301" i="25"/>
  <c r="CP239" i="25"/>
  <c r="EM239" i="25"/>
  <c r="CP303" i="25"/>
  <c r="EM303" i="25"/>
  <c r="CP256" i="25"/>
  <c r="EM256" i="25"/>
  <c r="CP286" i="25"/>
  <c r="EM286" i="25"/>
  <c r="CP273" i="25"/>
  <c r="EM273" i="25"/>
  <c r="CP226" i="25"/>
  <c r="EM226" i="25"/>
  <c r="CP290" i="25"/>
  <c r="EM290" i="25"/>
  <c r="CP235" i="25"/>
  <c r="EM235" i="25"/>
  <c r="CP299" i="25"/>
  <c r="EM299" i="25"/>
  <c r="CP244" i="25"/>
  <c r="EM244" i="25"/>
  <c r="CP308" i="25"/>
  <c r="EM308" i="25"/>
  <c r="CP245" i="25"/>
  <c r="EM245" i="25"/>
  <c r="CP309" i="25"/>
  <c r="EM309" i="25"/>
  <c r="CP247" i="25"/>
  <c r="EM247" i="25"/>
  <c r="CP311" i="25"/>
  <c r="EM311" i="25"/>
  <c r="CP264" i="25"/>
  <c r="EM264" i="25"/>
  <c r="CP217" i="25"/>
  <c r="EM217" i="25"/>
  <c r="CP281" i="25"/>
  <c r="EM281" i="25"/>
  <c r="CP234" i="25"/>
  <c r="EM234" i="25"/>
  <c r="CP298" i="25"/>
  <c r="EM298" i="25"/>
  <c r="CP243" i="25"/>
  <c r="EM243" i="25"/>
  <c r="CP307" i="25"/>
  <c r="EM307" i="25"/>
  <c r="CP252" i="25"/>
  <c r="EM252" i="25"/>
  <c r="CP316" i="25"/>
  <c r="EM316" i="25"/>
  <c r="CP253" i="25"/>
  <c r="EM253" i="25"/>
  <c r="CP255" i="25"/>
  <c r="EM255" i="25"/>
  <c r="CP230" i="25"/>
  <c r="EM230" i="25"/>
  <c r="CP272" i="25"/>
  <c r="EM272" i="25"/>
  <c r="CP225" i="25"/>
  <c r="EM225" i="25"/>
  <c r="CP289" i="25"/>
  <c r="EM289" i="25"/>
  <c r="CP242" i="25"/>
  <c r="EM242" i="25"/>
  <c r="CP306" i="25"/>
  <c r="EM306" i="25"/>
  <c r="CP251" i="25"/>
  <c r="EM251" i="25"/>
  <c r="CP315" i="25"/>
  <c r="EM315" i="25"/>
  <c r="CP260" i="25"/>
  <c r="EM260" i="25"/>
  <c r="CP222" i="25"/>
  <c r="EM222" i="25"/>
  <c r="CP261" i="25"/>
  <c r="EM261" i="25"/>
  <c r="CP263" i="25"/>
  <c r="EM263" i="25"/>
  <c r="CP302" i="25"/>
  <c r="EM302" i="25"/>
  <c r="CP280" i="25"/>
  <c r="EM280" i="25"/>
  <c r="CP233" i="25"/>
  <c r="EM233" i="25"/>
  <c r="CP297" i="25"/>
  <c r="EM297" i="25"/>
  <c r="CP250" i="25"/>
  <c r="EM250" i="25"/>
  <c r="CP314" i="25"/>
  <c r="EM314" i="25"/>
  <c r="CP259" i="25"/>
  <c r="EM259" i="25"/>
  <c r="CP254" i="25"/>
  <c r="EM254" i="25"/>
  <c r="CP268" i="25"/>
  <c r="EM268" i="25"/>
  <c r="CP246" i="25"/>
  <c r="EM246" i="25"/>
  <c r="CP269" i="25"/>
  <c r="EM269" i="25"/>
  <c r="CP310" i="25"/>
  <c r="EM310" i="25"/>
  <c r="CP271" i="25"/>
  <c r="EM271" i="25"/>
  <c r="CP224" i="25"/>
  <c r="EM224" i="25"/>
  <c r="CP288" i="25"/>
  <c r="EM288" i="25"/>
  <c r="CP241" i="25"/>
  <c r="EM241" i="25"/>
  <c r="CP305" i="25"/>
  <c r="EM305" i="25"/>
  <c r="CP258" i="25"/>
  <c r="EM258" i="25"/>
  <c r="CP238" i="25"/>
  <c r="EM238" i="25"/>
  <c r="CP267" i="25"/>
  <c r="EM267" i="25"/>
  <c r="CP278" i="25"/>
  <c r="EM278" i="25"/>
  <c r="CP276" i="25"/>
  <c r="EM276" i="25"/>
  <c r="CP262" i="25"/>
  <c r="EM262" i="25"/>
  <c r="CP277" i="25"/>
  <c r="EM277" i="25"/>
  <c r="CP216" i="25"/>
  <c r="EM216" i="25"/>
  <c r="CP279" i="25"/>
  <c r="EM279" i="25"/>
  <c r="CP232" i="25"/>
  <c r="EM232" i="25"/>
  <c r="CP296" i="25"/>
  <c r="EM296" i="25"/>
  <c r="CP249" i="25"/>
  <c r="EM249" i="25"/>
  <c r="CP313" i="25"/>
  <c r="EM313" i="25"/>
  <c r="CP266" i="25"/>
  <c r="EM266" i="25"/>
  <c r="CP270" i="25"/>
  <c r="EM270" i="25"/>
  <c r="CP275" i="25"/>
  <c r="EM275" i="25"/>
  <c r="CP220" i="25"/>
  <c r="EM220" i="25"/>
  <c r="CP284" i="25"/>
  <c r="EM284" i="25"/>
  <c r="CP221" i="25"/>
  <c r="EM221" i="25"/>
  <c r="CP285" i="25"/>
  <c r="EM285" i="25"/>
  <c r="G327" i="25"/>
  <c r="H329" i="25" s="1"/>
  <c r="I24" i="8" s="1"/>
  <c r="J24" i="8" s="1"/>
  <c r="CP113" i="25"/>
  <c r="CP170" i="25"/>
  <c r="CP139" i="25"/>
  <c r="CP203" i="25"/>
  <c r="CP121" i="25"/>
  <c r="CP172" i="25"/>
  <c r="CP165" i="25"/>
  <c r="CP142" i="25"/>
  <c r="CP206" i="25"/>
  <c r="CP167" i="25"/>
  <c r="CP136" i="25"/>
  <c r="CP200" i="25"/>
  <c r="CP169" i="25"/>
  <c r="CP114" i="25"/>
  <c r="CP178" i="25"/>
  <c r="CP147" i="25"/>
  <c r="CP177" i="25"/>
  <c r="CP116" i="25"/>
  <c r="CP180" i="25"/>
  <c r="CP173" i="25"/>
  <c r="CP150" i="25"/>
  <c r="CP161" i="25"/>
  <c r="CP110" i="25"/>
  <c r="CP175" i="25"/>
  <c r="CP144" i="25"/>
  <c r="CP208" i="25"/>
  <c r="CP122" i="25"/>
  <c r="CP186" i="25"/>
  <c r="CP155" i="25"/>
  <c r="CP124" i="25"/>
  <c r="CP188" i="25"/>
  <c r="CP117" i="25"/>
  <c r="CP181" i="25"/>
  <c r="CP158" i="25"/>
  <c r="CP201" i="25"/>
  <c r="CP119" i="25"/>
  <c r="CP183" i="25"/>
  <c r="CP152" i="25"/>
  <c r="CP130" i="25"/>
  <c r="CP194" i="25"/>
  <c r="CP163" i="25"/>
  <c r="CP132" i="25"/>
  <c r="CP196" i="25"/>
  <c r="CP153" i="25"/>
  <c r="CP125" i="25"/>
  <c r="CP189" i="25"/>
  <c r="CP166" i="25"/>
  <c r="CP127" i="25"/>
  <c r="CP191" i="25"/>
  <c r="CP160" i="25"/>
  <c r="CP138" i="25"/>
  <c r="CP202" i="25"/>
  <c r="CP137" i="25"/>
  <c r="CP171" i="25"/>
  <c r="CP140" i="25"/>
  <c r="CP204" i="25"/>
  <c r="CP133" i="25"/>
  <c r="CP197" i="25"/>
  <c r="CP174" i="25"/>
  <c r="CP135" i="25"/>
  <c r="CP199" i="25"/>
  <c r="CP168" i="25"/>
  <c r="CP146" i="25"/>
  <c r="CP210" i="25"/>
  <c r="CP185" i="25"/>
  <c r="CP115" i="25"/>
  <c r="CP179" i="25"/>
  <c r="CP148" i="25"/>
  <c r="CP141" i="25"/>
  <c r="CP205" i="25"/>
  <c r="CP129" i="25"/>
  <c r="CP118" i="25"/>
  <c r="CP182" i="25"/>
  <c r="CP143" i="25"/>
  <c r="CP207" i="25"/>
  <c r="CP145" i="25"/>
  <c r="CP111" i="25"/>
  <c r="CP176" i="25"/>
  <c r="CP154" i="25"/>
  <c r="CP123" i="25"/>
  <c r="CP187" i="25"/>
  <c r="CP156" i="25"/>
  <c r="CP149" i="25"/>
  <c r="CP193" i="25"/>
  <c r="CP126" i="25"/>
  <c r="CP190" i="25"/>
  <c r="CP151" i="25"/>
  <c r="CP209" i="25"/>
  <c r="CP120" i="25"/>
  <c r="CP184" i="25"/>
  <c r="CR112" i="25"/>
  <c r="CS112" i="25" s="1"/>
  <c r="EM112" i="25"/>
  <c r="CP162" i="25"/>
  <c r="CP131" i="25"/>
  <c r="CP195" i="25"/>
  <c r="CP164" i="25"/>
  <c r="CP157" i="25"/>
  <c r="CP134" i="25"/>
  <c r="CP198" i="25"/>
  <c r="CP159" i="25"/>
  <c r="CP128" i="25"/>
  <c r="CP192" i="25"/>
  <c r="CJ112" i="25"/>
  <c r="CR174" i="25"/>
  <c r="CS174" i="25" s="1"/>
  <c r="CO131" i="24"/>
  <c r="CO149" i="24"/>
  <c r="CQ165" i="24"/>
  <c r="CR165" i="24" s="1"/>
  <c r="CT165" i="24" s="1"/>
  <c r="CR161" i="25"/>
  <c r="CS161" i="25" s="1"/>
  <c r="CQ163" i="24"/>
  <c r="CR163" i="24" s="1"/>
  <c r="CT163" i="24" s="1"/>
  <c r="CO122" i="24"/>
  <c r="CO164" i="24"/>
  <c r="CO132" i="24"/>
  <c r="CO129" i="24"/>
  <c r="CQ167" i="24"/>
  <c r="CR167" i="24" s="1"/>
  <c r="CT167" i="24" s="1"/>
  <c r="CQ164" i="24"/>
  <c r="CR164" i="24" s="1"/>
  <c r="CT164" i="24" s="1"/>
  <c r="CQ192" i="24"/>
  <c r="CR192" i="24" s="1"/>
  <c r="CT192" i="24" s="1"/>
  <c r="CO112" i="24"/>
  <c r="CO124" i="24"/>
  <c r="CR169" i="25"/>
  <c r="CS169" i="25" s="1"/>
  <c r="CR138" i="25"/>
  <c r="CS138" i="25" s="1"/>
  <c r="CR189" i="25"/>
  <c r="CS189" i="25" s="1"/>
  <c r="CR207" i="25"/>
  <c r="CS207" i="25" s="1"/>
  <c r="CO117" i="24"/>
  <c r="CQ142" i="24"/>
  <c r="CR142" i="24" s="1"/>
  <c r="CT142" i="24" s="1"/>
  <c r="CO142" i="24"/>
  <c r="CQ120" i="24"/>
  <c r="CR120" i="24" s="1"/>
  <c r="CT120" i="24" s="1"/>
  <c r="CO138" i="24"/>
  <c r="CO192" i="24"/>
  <c r="CQ129" i="24"/>
  <c r="CR129" i="24" s="1"/>
  <c r="CT129" i="24" s="1"/>
  <c r="CQ132" i="24"/>
  <c r="CR132" i="24" s="1"/>
  <c r="CT132" i="24" s="1"/>
  <c r="CO166" i="24"/>
  <c r="CR164" i="25"/>
  <c r="CS164" i="25" s="1"/>
  <c r="CQ173" i="24"/>
  <c r="CR173" i="24" s="1"/>
  <c r="CT173" i="24" s="1"/>
  <c r="CQ112" i="24"/>
  <c r="CR112" i="24" s="1"/>
  <c r="CT112" i="24" s="1"/>
  <c r="CQ116" i="24"/>
  <c r="CR116" i="24" s="1"/>
  <c r="CT116" i="24" s="1"/>
  <c r="CQ124" i="24"/>
  <c r="CR124" i="24" s="1"/>
  <c r="CT124" i="24" s="1"/>
  <c r="CQ117" i="24"/>
  <c r="CR117" i="24" s="1"/>
  <c r="CT117" i="24" s="1"/>
  <c r="CR132" i="25"/>
  <c r="CS132" i="25" s="1"/>
  <c r="CR192" i="25"/>
  <c r="CS192" i="25" s="1"/>
  <c r="CO167" i="24"/>
  <c r="CR128" i="25"/>
  <c r="CS128" i="25" s="1"/>
  <c r="CQ166" i="24"/>
  <c r="CR166" i="24" s="1"/>
  <c r="CT166" i="24" s="1"/>
  <c r="CR114" i="25"/>
  <c r="CS114" i="25" s="1"/>
  <c r="CO171" i="24"/>
  <c r="CO173" i="24"/>
  <c r="CR172" i="25"/>
  <c r="CS172" i="25" s="1"/>
  <c r="CR159" i="25"/>
  <c r="CS159" i="25" s="1"/>
  <c r="CR201" i="25"/>
  <c r="CS201" i="25" s="1"/>
  <c r="CR115" i="25"/>
  <c r="CS115" i="25" s="1"/>
  <c r="CQ138" i="24"/>
  <c r="CR138" i="24" s="1"/>
  <c r="CT138" i="24" s="1"/>
  <c r="CO116" i="24"/>
  <c r="CQ115" i="24"/>
  <c r="CR115" i="24" s="1"/>
  <c r="CT115" i="24" s="1"/>
  <c r="CO176" i="24"/>
  <c r="CR141" i="25"/>
  <c r="CS141" i="25" s="1"/>
  <c r="CR131" i="25"/>
  <c r="CS131" i="25" s="1"/>
  <c r="CO125" i="24"/>
  <c r="CQ155" i="24"/>
  <c r="CR155" i="24" s="1"/>
  <c r="CT155" i="24" s="1"/>
  <c r="CR183" i="25"/>
  <c r="CS183" i="25" s="1"/>
  <c r="CQ118" i="24"/>
  <c r="CR118" i="24" s="1"/>
  <c r="CT118" i="24" s="1"/>
  <c r="CO118" i="24"/>
  <c r="CO111" i="24"/>
  <c r="CQ113" i="24"/>
  <c r="CR113" i="24" s="1"/>
  <c r="CT113" i="24" s="1"/>
  <c r="CQ119" i="24"/>
  <c r="CR119" i="24" s="1"/>
  <c r="CT119" i="24" s="1"/>
  <c r="CQ156" i="24"/>
  <c r="CR156" i="24" s="1"/>
  <c r="CT156" i="24" s="1"/>
  <c r="CO199" i="24"/>
  <c r="CR147" i="25"/>
  <c r="CS147" i="25" s="1"/>
  <c r="CR199" i="25"/>
  <c r="CS199" i="25" s="1"/>
  <c r="CQ176" i="24"/>
  <c r="CR176" i="24" s="1"/>
  <c r="CT176" i="24" s="1"/>
  <c r="CQ196" i="24"/>
  <c r="CR196" i="24" s="1"/>
  <c r="CT196" i="24" s="1"/>
  <c r="CQ153" i="24"/>
  <c r="CR153" i="24" s="1"/>
  <c r="CT153" i="24" s="1"/>
  <c r="CQ206" i="24"/>
  <c r="CR206" i="24" s="1"/>
  <c r="CT206" i="24" s="1"/>
  <c r="CR110" i="25"/>
  <c r="CX110" i="25" s="1"/>
  <c r="CY110" i="25" s="1"/>
  <c r="CO113" i="24"/>
  <c r="CO150" i="24"/>
  <c r="CQ111" i="24"/>
  <c r="CR111" i="24" s="1"/>
  <c r="CT111" i="24" s="1"/>
  <c r="CO119" i="24"/>
  <c r="CO196" i="24"/>
  <c r="CO198" i="24"/>
  <c r="CQ199" i="24"/>
  <c r="CR199" i="24" s="1"/>
  <c r="CT199" i="24" s="1"/>
  <c r="CR181" i="25"/>
  <c r="CS181" i="25" s="1"/>
  <c r="CO115" i="24"/>
  <c r="CR133" i="25"/>
  <c r="CS133" i="25" s="1"/>
  <c r="CR127" i="25"/>
  <c r="CS127" i="25" s="1"/>
  <c r="CO156" i="24"/>
  <c r="CO157" i="24"/>
  <c r="CQ198" i="24"/>
  <c r="CR198" i="24" s="1"/>
  <c r="CT198" i="24" s="1"/>
  <c r="CR155" i="25"/>
  <c r="CS155" i="25" s="1"/>
  <c r="CR120" i="25"/>
  <c r="CS120" i="25" s="1"/>
  <c r="CQ157" i="24"/>
  <c r="CR157" i="24" s="1"/>
  <c r="CT157" i="24" s="1"/>
  <c r="CR178" i="25"/>
  <c r="CS178" i="25" s="1"/>
  <c r="CR144" i="25"/>
  <c r="CS144" i="25" s="1"/>
  <c r="CQ158" i="24"/>
  <c r="CR158" i="24" s="1"/>
  <c r="CT158" i="24" s="1"/>
  <c r="CO168" i="24"/>
  <c r="CR153" i="25"/>
  <c r="CS153" i="25" s="1"/>
  <c r="CQ181" i="24"/>
  <c r="CR181" i="24" s="1"/>
  <c r="CT181" i="24" s="1"/>
  <c r="CQ110" i="24"/>
  <c r="CR110" i="24" s="1"/>
  <c r="DT110" i="24" s="1"/>
  <c r="CQ127" i="24"/>
  <c r="CR127" i="24" s="1"/>
  <c r="CT127" i="24" s="1"/>
  <c r="CQ205" i="24"/>
  <c r="CR205" i="24" s="1"/>
  <c r="CT205" i="24" s="1"/>
  <c r="CR124" i="25"/>
  <c r="CS124" i="25" s="1"/>
  <c r="CR156" i="25"/>
  <c r="CS156" i="25" s="1"/>
  <c r="CR162" i="25"/>
  <c r="CS162" i="25" s="1"/>
  <c r="CQ125" i="24"/>
  <c r="CR125" i="24" s="1"/>
  <c r="CT125" i="24" s="1"/>
  <c r="CO161" i="24"/>
  <c r="CO210" i="24"/>
  <c r="CR186" i="25"/>
  <c r="CS186" i="25" s="1"/>
  <c r="CR206" i="25"/>
  <c r="CS206" i="25" s="1"/>
  <c r="CO121" i="24"/>
  <c r="CO158" i="24"/>
  <c r="CR113" i="25"/>
  <c r="CS113" i="25" s="1"/>
  <c r="CQ161" i="24"/>
  <c r="CR161" i="24" s="1"/>
  <c r="CT161" i="24" s="1"/>
  <c r="CQ121" i="24"/>
  <c r="CR121" i="24" s="1"/>
  <c r="CT121" i="24" s="1"/>
  <c r="CR157" i="25"/>
  <c r="CS157" i="25" s="1"/>
  <c r="CO154" i="24"/>
  <c r="CQ210" i="24"/>
  <c r="CR210" i="24" s="1"/>
  <c r="CT210" i="24" s="1"/>
  <c r="CO127" i="24"/>
  <c r="CQ195" i="24"/>
  <c r="CR195" i="24" s="1"/>
  <c r="CT195" i="24" s="1"/>
  <c r="CO152" i="24"/>
  <c r="CQ170" i="24"/>
  <c r="CR170" i="24" s="1"/>
  <c r="CT170" i="24" s="1"/>
  <c r="CQ194" i="24"/>
  <c r="CR194" i="24" s="1"/>
  <c r="CT194" i="24" s="1"/>
  <c r="CR145" i="25"/>
  <c r="CS145" i="25" s="1"/>
  <c r="CR170" i="25"/>
  <c r="CS170" i="25" s="1"/>
  <c r="CO194" i="24"/>
  <c r="CR167" i="25"/>
  <c r="CS167" i="25" s="1"/>
  <c r="CR210" i="25"/>
  <c r="CS210" i="25" s="1"/>
  <c r="CR139" i="25"/>
  <c r="CS139" i="25" s="1"/>
  <c r="CQ151" i="24"/>
  <c r="CR151" i="24" s="1"/>
  <c r="CT151" i="24" s="1"/>
  <c r="CO191" i="24"/>
  <c r="CO170" i="24"/>
  <c r="CO151" i="24"/>
  <c r="CO195" i="24"/>
  <c r="CR142" i="25"/>
  <c r="CS142" i="25" s="1"/>
  <c r="CO208" i="24"/>
  <c r="CR173" i="25"/>
  <c r="CS173" i="25" s="1"/>
  <c r="CQ193" i="24"/>
  <c r="CR193" i="24" s="1"/>
  <c r="CT193" i="24" s="1"/>
  <c r="CR184" i="25"/>
  <c r="CS184" i="25" s="1"/>
  <c r="CO145" i="24"/>
  <c r="CQ208" i="24"/>
  <c r="CR208" i="24" s="1"/>
  <c r="CT208" i="24" s="1"/>
  <c r="CQ145" i="24"/>
  <c r="CR145" i="24" s="1"/>
  <c r="CT145" i="24" s="1"/>
  <c r="CR209" i="25"/>
  <c r="CS209" i="25" s="1"/>
  <c r="CO114" i="24"/>
  <c r="CO193" i="24"/>
  <c r="CQ191" i="24"/>
  <c r="CR191" i="24" s="1"/>
  <c r="CT191" i="24" s="1"/>
  <c r="CR136" i="25"/>
  <c r="CS136" i="25" s="1"/>
  <c r="CR117" i="25"/>
  <c r="CS117" i="25" s="1"/>
  <c r="CO148" i="24"/>
  <c r="CO120" i="24"/>
  <c r="CQ148" i="24"/>
  <c r="CR148" i="24" s="1"/>
  <c r="CT148" i="24" s="1"/>
  <c r="CQ152" i="24"/>
  <c r="CR152" i="24" s="1"/>
  <c r="CT152" i="24" s="1"/>
  <c r="CR198" i="25"/>
  <c r="CS198" i="25" s="1"/>
  <c r="CO155" i="24"/>
  <c r="CR188" i="25"/>
  <c r="CS188" i="25" s="1"/>
  <c r="CO205" i="24"/>
  <c r="CO202" i="24"/>
  <c r="CR203" i="25"/>
  <c r="CS203" i="25" s="1"/>
  <c r="CQ202" i="24"/>
  <c r="CR202" i="24" s="1"/>
  <c r="CT202" i="24" s="1"/>
  <c r="CO181" i="24"/>
  <c r="CQ168" i="24"/>
  <c r="CR168" i="24" s="1"/>
  <c r="CT168" i="24" s="1"/>
  <c r="CQ143" i="24"/>
  <c r="CR143" i="24" s="1"/>
  <c r="CT143" i="24" s="1"/>
  <c r="CQ146" i="24"/>
  <c r="CR146" i="24" s="1"/>
  <c r="CT146" i="24" s="1"/>
  <c r="CR191" i="25"/>
  <c r="CS191" i="25" s="1"/>
  <c r="CQ189" i="24"/>
  <c r="CR189" i="24" s="1"/>
  <c r="CT189" i="24" s="1"/>
  <c r="CR151" i="25"/>
  <c r="CS151" i="25" s="1"/>
  <c r="CR175" i="25"/>
  <c r="CS175" i="25" s="1"/>
  <c r="CO206" i="24"/>
  <c r="CQ150" i="24"/>
  <c r="CR150" i="24" s="1"/>
  <c r="CT150" i="24" s="1"/>
  <c r="CR202" i="25"/>
  <c r="CS202" i="25" s="1"/>
  <c r="CO153" i="24"/>
  <c r="CO209" i="24"/>
  <c r="CR204" i="25"/>
  <c r="CS204" i="25" s="1"/>
  <c r="CQ201" i="24"/>
  <c r="CR201" i="24" s="1"/>
  <c r="CT201" i="24" s="1"/>
  <c r="CO133" i="24"/>
  <c r="CR150" i="25"/>
  <c r="CS150" i="25" s="1"/>
  <c r="CO137" i="24"/>
  <c r="CQ137" i="24"/>
  <c r="CR137" i="24" s="1"/>
  <c r="CT137" i="24" s="1"/>
  <c r="CQ180" i="24"/>
  <c r="CR180" i="24" s="1"/>
  <c r="CT180" i="24" s="1"/>
  <c r="CQ141" i="24"/>
  <c r="CR141" i="24" s="1"/>
  <c r="CT141" i="24" s="1"/>
  <c r="CR148" i="25"/>
  <c r="CS148" i="25" s="1"/>
  <c r="CO201" i="24"/>
  <c r="CO182" i="24"/>
  <c r="CR187" i="25"/>
  <c r="CS187" i="25" s="1"/>
  <c r="CR190" i="25"/>
  <c r="CS190" i="25" s="1"/>
  <c r="CO183" i="24"/>
  <c r="CQ154" i="24"/>
  <c r="CR154" i="24" s="1"/>
  <c r="CT154" i="24" s="1"/>
  <c r="CQ182" i="24"/>
  <c r="CR182" i="24" s="1"/>
  <c r="CT182" i="24" s="1"/>
  <c r="CR129" i="25"/>
  <c r="CS129" i="25" s="1"/>
  <c r="CR182" i="25"/>
  <c r="CS182" i="25" s="1"/>
  <c r="CO187" i="24"/>
  <c r="CO141" i="24"/>
  <c r="CO180" i="24"/>
  <c r="CQ133" i="24"/>
  <c r="CR133" i="24" s="1"/>
  <c r="CT133" i="24" s="1"/>
  <c r="CQ187" i="24"/>
  <c r="CR187" i="24" s="1"/>
  <c r="CT187" i="24" s="1"/>
  <c r="CR158" i="25"/>
  <c r="CS158" i="25" s="1"/>
  <c r="CO184" i="24"/>
  <c r="CO162" i="24"/>
  <c r="CQ209" i="24"/>
  <c r="CR209" i="24" s="1"/>
  <c r="CT209" i="24" s="1"/>
  <c r="CQ162" i="24"/>
  <c r="CR162" i="24" s="1"/>
  <c r="CT162" i="24" s="1"/>
  <c r="CR168" i="25"/>
  <c r="CS168" i="25" s="1"/>
  <c r="CO134" i="24"/>
  <c r="CQ183" i="24"/>
  <c r="CR183" i="24" s="1"/>
  <c r="CT183" i="24" s="1"/>
  <c r="CQ134" i="24"/>
  <c r="CR134" i="24" s="1"/>
  <c r="CT134" i="24" s="1"/>
  <c r="CQ184" i="24"/>
  <c r="CR184" i="24" s="1"/>
  <c r="CT184" i="24" s="1"/>
  <c r="CO163" i="24"/>
  <c r="CQ197" i="24"/>
  <c r="CR197" i="24" s="1"/>
  <c r="CT197" i="24" s="1"/>
  <c r="CR146" i="25"/>
  <c r="CS146" i="25" s="1"/>
  <c r="CO130" i="24"/>
  <c r="CR5" i="24"/>
  <c r="DT5" i="24" s="1"/>
  <c r="CO179" i="24"/>
  <c r="CR171" i="25"/>
  <c r="CS171" i="25" s="1"/>
  <c r="CQ172" i="24"/>
  <c r="CR172" i="24" s="1"/>
  <c r="CT172" i="24" s="1"/>
  <c r="CR193" i="25"/>
  <c r="CS193" i="25" s="1"/>
  <c r="CR118" i="25"/>
  <c r="CS118" i="25" s="1"/>
  <c r="CR177" i="25"/>
  <c r="CS177" i="25" s="1"/>
  <c r="CQ171" i="24"/>
  <c r="CR171" i="24" s="1"/>
  <c r="CT171" i="24" s="1"/>
  <c r="CQ126" i="24"/>
  <c r="CR126" i="24" s="1"/>
  <c r="CT126" i="24" s="1"/>
  <c r="CO126" i="24"/>
  <c r="CO160" i="24"/>
  <c r="CO169" i="24"/>
  <c r="CQ160" i="24"/>
  <c r="CR160" i="24" s="1"/>
  <c r="CT160" i="24" s="1"/>
  <c r="CR196" i="25"/>
  <c r="CS196" i="25" s="1"/>
  <c r="CR121" i="25"/>
  <c r="CS121" i="25" s="1"/>
  <c r="CO123" i="24"/>
  <c r="CO197" i="24"/>
  <c r="CR135" i="25"/>
  <c r="CS135" i="25" s="1"/>
  <c r="CQ130" i="24"/>
  <c r="CR130" i="24" s="1"/>
  <c r="CT130" i="24" s="1"/>
  <c r="CR149" i="25"/>
  <c r="CS149" i="25" s="1"/>
  <c r="CO135" i="24"/>
  <c r="CO172" i="24"/>
  <c r="CQ169" i="24"/>
  <c r="CR169" i="24" s="1"/>
  <c r="CT169" i="24" s="1"/>
  <c r="CR166" i="25"/>
  <c r="CS166" i="25" s="1"/>
  <c r="CQ179" i="24"/>
  <c r="CR179" i="24" s="1"/>
  <c r="CT179" i="24" s="1"/>
  <c r="CQ144" i="24"/>
  <c r="CR144" i="24" s="1"/>
  <c r="CT144" i="24" s="1"/>
  <c r="CQ135" i="24"/>
  <c r="CR135" i="24" s="1"/>
  <c r="CT135" i="24" s="1"/>
  <c r="CR180" i="25"/>
  <c r="CS180" i="25" s="1"/>
  <c r="CO144" i="24"/>
  <c r="CQ123" i="24"/>
  <c r="CR123" i="24" s="1"/>
  <c r="CT123" i="24" s="1"/>
  <c r="CR154" i="25"/>
  <c r="CS154" i="25" s="1"/>
  <c r="L14" i="1"/>
  <c r="B99" i="2"/>
  <c r="CO139" i="24"/>
  <c r="CO203" i="24"/>
  <c r="CO190" i="24"/>
  <c r="CO159" i="24"/>
  <c r="CR208" i="25"/>
  <c r="CS208" i="25" s="1"/>
  <c r="CR119" i="25"/>
  <c r="CS119" i="25" s="1"/>
  <c r="CQ188" i="24"/>
  <c r="CR188" i="24" s="1"/>
  <c r="CT188" i="24" s="1"/>
  <c r="CR134" i="25"/>
  <c r="CS134" i="25" s="1"/>
  <c r="CR194" i="25"/>
  <c r="CS194" i="25" s="1"/>
  <c r="CO143" i="24"/>
  <c r="CR160" i="25"/>
  <c r="CS160" i="25" s="1"/>
  <c r="CO189" i="24"/>
  <c r="CQ207" i="24"/>
  <c r="CR207" i="24" s="1"/>
  <c r="CT207" i="24" s="1"/>
  <c r="CR130" i="25"/>
  <c r="CS130" i="25" s="1"/>
  <c r="CO200" i="24"/>
  <c r="CQ203" i="24"/>
  <c r="CR203" i="24" s="1"/>
  <c r="CT203" i="24" s="1"/>
  <c r="CO188" i="24"/>
  <c r="CR176" i="25"/>
  <c r="CS176" i="25" s="1"/>
  <c r="CQ147" i="24"/>
  <c r="CR147" i="24" s="1"/>
  <c r="CT147" i="24" s="1"/>
  <c r="CR165" i="25"/>
  <c r="CS165" i="25" s="1"/>
  <c r="CO146" i="24"/>
  <c r="CO186" i="24"/>
  <c r="CQ190" i="24"/>
  <c r="CR190" i="24" s="1"/>
  <c r="CT190" i="24" s="1"/>
  <c r="CO207" i="24"/>
  <c r="CQ139" i="24"/>
  <c r="CR139" i="24" s="1"/>
  <c r="CT139" i="24" s="1"/>
  <c r="CR163" i="25"/>
  <c r="CS163" i="25" s="1"/>
  <c r="CO147" i="24"/>
  <c r="CQ159" i="24"/>
  <c r="CR159" i="24" s="1"/>
  <c r="CT159" i="24" s="1"/>
  <c r="CR137" i="25"/>
  <c r="CS137" i="25" s="1"/>
  <c r="CQ186" i="24"/>
  <c r="CR186" i="24" s="1"/>
  <c r="CT186" i="24" s="1"/>
  <c r="CQ200" i="24"/>
  <c r="CR200" i="24" s="1"/>
  <c r="CT200" i="24" s="1"/>
  <c r="EO110" i="24"/>
  <c r="CW110" i="24"/>
  <c r="CX110" i="24" s="1"/>
  <c r="CN110" i="24" s="1"/>
  <c r="CN5" i="24"/>
  <c r="DA5" i="24" s="1"/>
  <c r="CS5" i="24"/>
  <c r="FD5" i="24" s="1"/>
  <c r="AW2" i="25"/>
  <c r="EA2" i="25"/>
  <c r="CZ5" i="24"/>
  <c r="CQ298" i="24"/>
  <c r="CR298" i="24" s="1"/>
  <c r="CT298" i="24" s="1"/>
  <c r="CO298" i="24"/>
  <c r="CO307" i="24"/>
  <c r="CQ307" i="24"/>
  <c r="CR307" i="24" s="1"/>
  <c r="CT307" i="24" s="1"/>
  <c r="CO236" i="24"/>
  <c r="CQ236" i="24"/>
  <c r="CR236" i="24" s="1"/>
  <c r="CT236" i="24" s="1"/>
  <c r="CO300" i="24"/>
  <c r="CQ300" i="24"/>
  <c r="CR300" i="24" s="1"/>
  <c r="CT300" i="24" s="1"/>
  <c r="CO309" i="24"/>
  <c r="CQ309" i="24"/>
  <c r="CR309" i="24" s="1"/>
  <c r="CT309" i="24" s="1"/>
  <c r="CQ262" i="24"/>
  <c r="CR262" i="24" s="1"/>
  <c r="CT262" i="24" s="1"/>
  <c r="CO262" i="24"/>
  <c r="CQ232" i="24"/>
  <c r="CR232" i="24" s="1"/>
  <c r="CT232" i="24" s="1"/>
  <c r="CO232" i="24"/>
  <c r="CO296" i="24"/>
  <c r="CQ296" i="24"/>
  <c r="CR296" i="24" s="1"/>
  <c r="CT296" i="24" s="1"/>
  <c r="CR247" i="25"/>
  <c r="CS247" i="25" s="1"/>
  <c r="CR311" i="25"/>
  <c r="CS311" i="25" s="1"/>
  <c r="CR264" i="25"/>
  <c r="CS264" i="25" s="1"/>
  <c r="CR217" i="25"/>
  <c r="CS217" i="25" s="1"/>
  <c r="CR281" i="25"/>
  <c r="CS281" i="25" s="1"/>
  <c r="CR234" i="25"/>
  <c r="CS234" i="25" s="1"/>
  <c r="CR298" i="25"/>
  <c r="CS298" i="25" s="1"/>
  <c r="CR243" i="25"/>
  <c r="CS243" i="25" s="1"/>
  <c r="CR307" i="25"/>
  <c r="CS307" i="25" s="1"/>
  <c r="CR252" i="25"/>
  <c r="CS252" i="25" s="1"/>
  <c r="CR316" i="25"/>
  <c r="CS316" i="25" s="1"/>
  <c r="CR253" i="25"/>
  <c r="CS253" i="25" s="1"/>
  <c r="CQ242" i="24"/>
  <c r="CR242" i="24" s="1"/>
  <c r="CT242" i="24" s="1"/>
  <c r="CO242" i="24"/>
  <c r="CO306" i="24"/>
  <c r="CQ306" i="24"/>
  <c r="CR306" i="24" s="1"/>
  <c r="CT306" i="24" s="1"/>
  <c r="CO251" i="24"/>
  <c r="CQ251" i="24"/>
  <c r="CR251" i="24" s="1"/>
  <c r="CT251" i="24" s="1"/>
  <c r="CO315" i="24"/>
  <c r="CQ315" i="24"/>
  <c r="CR315" i="24" s="1"/>
  <c r="CT315" i="24" s="1"/>
  <c r="CO244" i="24"/>
  <c r="CQ244" i="24"/>
  <c r="CR244" i="24" s="1"/>
  <c r="CT244" i="24" s="1"/>
  <c r="CQ308" i="24"/>
  <c r="CR308" i="24" s="1"/>
  <c r="CT308" i="24" s="1"/>
  <c r="CO308" i="24"/>
  <c r="CQ253" i="24"/>
  <c r="CR253" i="24" s="1"/>
  <c r="CT253" i="24" s="1"/>
  <c r="CO253" i="24"/>
  <c r="CO233" i="24"/>
  <c r="CQ233" i="24"/>
  <c r="CR233" i="24" s="1"/>
  <c r="CT233" i="24" s="1"/>
  <c r="CQ270" i="24"/>
  <c r="CR270" i="24" s="1"/>
  <c r="CT270" i="24" s="1"/>
  <c r="CO270" i="24"/>
  <c r="CW216" i="24"/>
  <c r="CX216" i="24" s="1"/>
  <c r="CO216" i="24"/>
  <c r="CQ216" i="24"/>
  <c r="CR216" i="24" s="1"/>
  <c r="CO279" i="24"/>
  <c r="CQ279" i="24"/>
  <c r="CR279" i="24" s="1"/>
  <c r="CT279" i="24" s="1"/>
  <c r="CQ240" i="24"/>
  <c r="CR240" i="24" s="1"/>
  <c r="CT240" i="24" s="1"/>
  <c r="CO240" i="24"/>
  <c r="CO304" i="24"/>
  <c r="CQ304" i="24"/>
  <c r="CR304" i="24" s="1"/>
  <c r="CT304" i="24" s="1"/>
  <c r="CR255" i="25"/>
  <c r="CS255" i="25" s="1"/>
  <c r="CR230" i="25"/>
  <c r="CS230" i="25" s="1"/>
  <c r="CR272" i="25"/>
  <c r="CS272" i="25" s="1"/>
  <c r="CR225" i="25"/>
  <c r="CS225" i="25" s="1"/>
  <c r="CR289" i="25"/>
  <c r="CS289" i="25" s="1"/>
  <c r="CR242" i="25"/>
  <c r="CS242" i="25" s="1"/>
  <c r="CR306" i="25"/>
  <c r="CS306" i="25" s="1"/>
  <c r="CR251" i="25"/>
  <c r="CS251" i="25" s="1"/>
  <c r="CR315" i="25"/>
  <c r="CS315" i="25" s="1"/>
  <c r="CR260" i="25"/>
  <c r="CS260" i="25" s="1"/>
  <c r="CR222" i="25"/>
  <c r="CS222" i="25" s="1"/>
  <c r="CR261" i="25"/>
  <c r="CS261" i="25" s="1"/>
  <c r="CQ218" i="24"/>
  <c r="CR218" i="24" s="1"/>
  <c r="CT218" i="24" s="1"/>
  <c r="CO218" i="24"/>
  <c r="CQ250" i="24"/>
  <c r="CR250" i="24" s="1"/>
  <c r="CT250" i="24" s="1"/>
  <c r="CO250" i="24"/>
  <c r="CO314" i="24"/>
  <c r="CQ314" i="24"/>
  <c r="CR314" i="24" s="1"/>
  <c r="CT314" i="24" s="1"/>
  <c r="CQ259" i="24"/>
  <c r="CR259" i="24" s="1"/>
  <c r="CT259" i="24" s="1"/>
  <c r="CO259" i="24"/>
  <c r="CO225" i="24"/>
  <c r="CQ225" i="24"/>
  <c r="CR225" i="24" s="1"/>
  <c r="CT225" i="24" s="1"/>
  <c r="CQ252" i="24"/>
  <c r="CR252" i="24" s="1"/>
  <c r="CT252" i="24" s="1"/>
  <c r="CO252" i="24"/>
  <c r="CO316" i="24"/>
  <c r="CQ316" i="24"/>
  <c r="CR316" i="24" s="1"/>
  <c r="CT316" i="24" s="1"/>
  <c r="CQ261" i="24"/>
  <c r="CR261" i="24" s="1"/>
  <c r="CT261" i="24" s="1"/>
  <c r="CO261" i="24"/>
  <c r="CO313" i="24"/>
  <c r="CQ313" i="24"/>
  <c r="CR313" i="24" s="1"/>
  <c r="CT313" i="24" s="1"/>
  <c r="CQ278" i="24"/>
  <c r="CR278" i="24" s="1"/>
  <c r="CT278" i="24" s="1"/>
  <c r="CO278" i="24"/>
  <c r="CQ223" i="24"/>
  <c r="CR223" i="24" s="1"/>
  <c r="CT223" i="24" s="1"/>
  <c r="CO223" i="24"/>
  <c r="CQ287" i="24"/>
  <c r="CR287" i="24" s="1"/>
  <c r="CT287" i="24" s="1"/>
  <c r="CO287" i="24"/>
  <c r="CQ248" i="24"/>
  <c r="CR248" i="24" s="1"/>
  <c r="CT248" i="24" s="1"/>
  <c r="CO248" i="24"/>
  <c r="CO312" i="24"/>
  <c r="CQ312" i="24"/>
  <c r="CR312" i="24" s="1"/>
  <c r="CT312" i="24" s="1"/>
  <c r="CR263" i="25"/>
  <c r="CS263" i="25" s="1"/>
  <c r="CR302" i="25"/>
  <c r="CS302" i="25" s="1"/>
  <c r="CR280" i="25"/>
  <c r="CS280" i="25" s="1"/>
  <c r="CR233" i="25"/>
  <c r="CS233" i="25" s="1"/>
  <c r="CR297" i="25"/>
  <c r="CS297" i="25" s="1"/>
  <c r="CR250" i="25"/>
  <c r="CS250" i="25" s="1"/>
  <c r="CR314" i="25"/>
  <c r="CS314" i="25" s="1"/>
  <c r="CR259" i="25"/>
  <c r="CS259" i="25" s="1"/>
  <c r="CR254" i="25"/>
  <c r="CS254" i="25" s="1"/>
  <c r="CR268" i="25"/>
  <c r="CS268" i="25" s="1"/>
  <c r="CR246" i="25"/>
  <c r="CS246" i="25" s="1"/>
  <c r="CR269" i="25"/>
  <c r="CS269" i="25" s="1"/>
  <c r="CO243" i="24"/>
  <c r="CQ243" i="24"/>
  <c r="CR243" i="24" s="1"/>
  <c r="CT243" i="24" s="1"/>
  <c r="CQ258" i="24"/>
  <c r="CR258" i="24" s="1"/>
  <c r="CT258" i="24" s="1"/>
  <c r="CO258" i="24"/>
  <c r="CO257" i="24"/>
  <c r="CQ257" i="24"/>
  <c r="CR257" i="24" s="1"/>
  <c r="CT257" i="24" s="1"/>
  <c r="CO267" i="24"/>
  <c r="CQ267" i="24"/>
  <c r="CR267" i="24" s="1"/>
  <c r="CT267" i="24" s="1"/>
  <c r="CO265" i="24"/>
  <c r="CQ265" i="24"/>
  <c r="CR265" i="24" s="1"/>
  <c r="CT265" i="24" s="1"/>
  <c r="CO260" i="24"/>
  <c r="CQ260" i="24"/>
  <c r="CR260" i="24" s="1"/>
  <c r="CT260" i="24" s="1"/>
  <c r="CQ249" i="24"/>
  <c r="CR249" i="24" s="1"/>
  <c r="CT249" i="24" s="1"/>
  <c r="CO249" i="24"/>
  <c r="CO269" i="24"/>
  <c r="CQ269" i="24"/>
  <c r="CR269" i="24" s="1"/>
  <c r="CT269" i="24" s="1"/>
  <c r="CO222" i="24"/>
  <c r="CQ222" i="24"/>
  <c r="CR222" i="24" s="1"/>
  <c r="CT222" i="24" s="1"/>
  <c r="CO286" i="24"/>
  <c r="CQ286" i="24"/>
  <c r="CR286" i="24" s="1"/>
  <c r="CT286" i="24" s="1"/>
  <c r="CQ231" i="24"/>
  <c r="CR231" i="24" s="1"/>
  <c r="CT231" i="24" s="1"/>
  <c r="CO231" i="24"/>
  <c r="CQ295" i="24"/>
  <c r="CR295" i="24" s="1"/>
  <c r="CT295" i="24" s="1"/>
  <c r="CO295" i="24"/>
  <c r="CO256" i="24"/>
  <c r="CQ256" i="24"/>
  <c r="CR256" i="24" s="1"/>
  <c r="CT256" i="24" s="1"/>
  <c r="CR310" i="25"/>
  <c r="CS310" i="25" s="1"/>
  <c r="CR271" i="25"/>
  <c r="CS271" i="25" s="1"/>
  <c r="CR224" i="25"/>
  <c r="CS224" i="25" s="1"/>
  <c r="CR288" i="25"/>
  <c r="CS288" i="25" s="1"/>
  <c r="CR241" i="25"/>
  <c r="CS241" i="25" s="1"/>
  <c r="CR305" i="25"/>
  <c r="CS305" i="25" s="1"/>
  <c r="CR258" i="25"/>
  <c r="CS258" i="25" s="1"/>
  <c r="CR238" i="25"/>
  <c r="CS238" i="25" s="1"/>
  <c r="CR267" i="25"/>
  <c r="CS267" i="25" s="1"/>
  <c r="CR278" i="25"/>
  <c r="CS278" i="25" s="1"/>
  <c r="CR276" i="25"/>
  <c r="CS276" i="25" s="1"/>
  <c r="CR262" i="25"/>
  <c r="CS262" i="25" s="1"/>
  <c r="CR277" i="25"/>
  <c r="CS277" i="25" s="1"/>
  <c r="CO245" i="24"/>
  <c r="CQ245" i="24"/>
  <c r="CR245" i="24" s="1"/>
  <c r="CT245" i="24" s="1"/>
  <c r="CO266" i="24"/>
  <c r="CQ266" i="24"/>
  <c r="CR266" i="24" s="1"/>
  <c r="CT266" i="24" s="1"/>
  <c r="CQ234" i="24"/>
  <c r="CR234" i="24" s="1"/>
  <c r="CT234" i="24" s="1"/>
  <c r="CO234" i="24"/>
  <c r="CQ275" i="24"/>
  <c r="CR275" i="24" s="1"/>
  <c r="CT275" i="24" s="1"/>
  <c r="CO275" i="24"/>
  <c r="CQ297" i="24"/>
  <c r="CR297" i="24" s="1"/>
  <c r="CT297" i="24" s="1"/>
  <c r="CO297" i="24"/>
  <c r="CO268" i="24"/>
  <c r="CQ268" i="24"/>
  <c r="CR268" i="24" s="1"/>
  <c r="CT268" i="24" s="1"/>
  <c r="CQ289" i="24"/>
  <c r="CR289" i="24" s="1"/>
  <c r="CT289" i="24" s="1"/>
  <c r="CO289" i="24"/>
  <c r="CQ277" i="24"/>
  <c r="CR277" i="24" s="1"/>
  <c r="CT277" i="24" s="1"/>
  <c r="CO277" i="24"/>
  <c r="CQ230" i="24"/>
  <c r="CR230" i="24" s="1"/>
  <c r="CT230" i="24" s="1"/>
  <c r="CO230" i="24"/>
  <c r="CQ294" i="24"/>
  <c r="CR294" i="24" s="1"/>
  <c r="CT294" i="24" s="1"/>
  <c r="CO294" i="24"/>
  <c r="CO239" i="24"/>
  <c r="CQ239" i="24"/>
  <c r="CR239" i="24" s="1"/>
  <c r="CT239" i="24" s="1"/>
  <c r="CQ303" i="24"/>
  <c r="CR303" i="24" s="1"/>
  <c r="CT303" i="24" s="1"/>
  <c r="CO303" i="24"/>
  <c r="CQ264" i="24"/>
  <c r="CR264" i="24" s="1"/>
  <c r="CT264" i="24" s="1"/>
  <c r="CO264" i="24"/>
  <c r="CR216" i="25"/>
  <c r="CX216" i="25" s="1"/>
  <c r="CY216" i="25" s="1"/>
  <c r="CR279" i="25"/>
  <c r="CS279" i="25" s="1"/>
  <c r="CR232" i="25"/>
  <c r="CS232" i="25" s="1"/>
  <c r="CR296" i="25"/>
  <c r="CS296" i="25" s="1"/>
  <c r="CR249" i="25"/>
  <c r="CS249" i="25" s="1"/>
  <c r="CR313" i="25"/>
  <c r="CS313" i="25" s="1"/>
  <c r="CR266" i="25"/>
  <c r="CS266" i="25" s="1"/>
  <c r="CR270" i="25"/>
  <c r="CS270" i="25" s="1"/>
  <c r="CR275" i="25"/>
  <c r="CS275" i="25" s="1"/>
  <c r="CR220" i="25"/>
  <c r="CS220" i="25" s="1"/>
  <c r="CR284" i="25"/>
  <c r="CS284" i="25" s="1"/>
  <c r="CR221" i="25"/>
  <c r="CS221" i="25" s="1"/>
  <c r="CR285" i="25"/>
  <c r="CS285" i="25" s="1"/>
  <c r="CQ305" i="24"/>
  <c r="CR305" i="24" s="1"/>
  <c r="CT305" i="24" s="1"/>
  <c r="CO305" i="24"/>
  <c r="CQ274" i="24"/>
  <c r="CR274" i="24" s="1"/>
  <c r="CT274" i="24" s="1"/>
  <c r="CO274" i="24"/>
  <c r="CO219" i="24"/>
  <c r="CQ219" i="24"/>
  <c r="CR219" i="24" s="1"/>
  <c r="CT219" i="24" s="1"/>
  <c r="CO283" i="24"/>
  <c r="CQ283" i="24"/>
  <c r="CR283" i="24" s="1"/>
  <c r="CT283" i="24" s="1"/>
  <c r="CQ226" i="24"/>
  <c r="CR226" i="24" s="1"/>
  <c r="CT226" i="24" s="1"/>
  <c r="CO226" i="24"/>
  <c r="CQ276" i="24"/>
  <c r="CR276" i="24" s="1"/>
  <c r="CT276" i="24" s="1"/>
  <c r="CO276" i="24"/>
  <c r="CQ221" i="24"/>
  <c r="CR221" i="24" s="1"/>
  <c r="CT221" i="24" s="1"/>
  <c r="CO221" i="24"/>
  <c r="CO285" i="24"/>
  <c r="CQ285" i="24"/>
  <c r="CR285" i="24" s="1"/>
  <c r="CT285" i="24" s="1"/>
  <c r="CO238" i="24"/>
  <c r="CQ238" i="24"/>
  <c r="CR238" i="24" s="1"/>
  <c r="CT238" i="24" s="1"/>
  <c r="CQ302" i="24"/>
  <c r="CR302" i="24" s="1"/>
  <c r="CT302" i="24" s="1"/>
  <c r="CO302" i="24"/>
  <c r="CQ247" i="24"/>
  <c r="CR247" i="24" s="1"/>
  <c r="CT247" i="24" s="1"/>
  <c r="CO247" i="24"/>
  <c r="CQ311" i="24"/>
  <c r="CR311" i="24" s="1"/>
  <c r="CT311" i="24" s="1"/>
  <c r="CO311" i="24"/>
  <c r="CQ272" i="24"/>
  <c r="CR272" i="24" s="1"/>
  <c r="CT272" i="24" s="1"/>
  <c r="CO272" i="24"/>
  <c r="CR223" i="25"/>
  <c r="CS223" i="25" s="1"/>
  <c r="CR287" i="25"/>
  <c r="CS287" i="25" s="1"/>
  <c r="CR240" i="25"/>
  <c r="CS240" i="25" s="1"/>
  <c r="CR304" i="25"/>
  <c r="CS304" i="25" s="1"/>
  <c r="CR257" i="25"/>
  <c r="CS257" i="25" s="1"/>
  <c r="CR294" i="25"/>
  <c r="CS294" i="25" s="1"/>
  <c r="CR274" i="25"/>
  <c r="CS274" i="25" s="1"/>
  <c r="CR219" i="25"/>
  <c r="CS219" i="25" s="1"/>
  <c r="CR283" i="25"/>
  <c r="CS283" i="25" s="1"/>
  <c r="CR228" i="25"/>
  <c r="CS228" i="25" s="1"/>
  <c r="CR292" i="25"/>
  <c r="CS292" i="25" s="1"/>
  <c r="CR229" i="25"/>
  <c r="CS229" i="25" s="1"/>
  <c r="CR293" i="25"/>
  <c r="CS293" i="25" s="1"/>
  <c r="CO217" i="24"/>
  <c r="CQ217" i="24"/>
  <c r="CR217" i="24" s="1"/>
  <c r="CT217" i="24" s="1"/>
  <c r="CQ282" i="24"/>
  <c r="CR282" i="24" s="1"/>
  <c r="CT282" i="24" s="1"/>
  <c r="CO282" i="24"/>
  <c r="CO227" i="24"/>
  <c r="CQ227" i="24"/>
  <c r="CR227" i="24" s="1"/>
  <c r="CT227" i="24" s="1"/>
  <c r="CQ291" i="24"/>
  <c r="CR291" i="24" s="1"/>
  <c r="CT291" i="24" s="1"/>
  <c r="CO291" i="24"/>
  <c r="CO220" i="24"/>
  <c r="CQ220" i="24"/>
  <c r="CR220" i="24" s="1"/>
  <c r="CT220" i="24" s="1"/>
  <c r="CQ284" i="24"/>
  <c r="CR284" i="24" s="1"/>
  <c r="CT284" i="24" s="1"/>
  <c r="CO284" i="24"/>
  <c r="CQ229" i="24"/>
  <c r="CR229" i="24" s="1"/>
  <c r="CT229" i="24" s="1"/>
  <c r="CO229" i="24"/>
  <c r="CO293" i="24"/>
  <c r="CQ293" i="24"/>
  <c r="CR293" i="24" s="1"/>
  <c r="CT293" i="24" s="1"/>
  <c r="CQ246" i="24"/>
  <c r="CR246" i="24" s="1"/>
  <c r="CT246" i="24" s="1"/>
  <c r="CO246" i="24"/>
  <c r="CO310" i="24"/>
  <c r="CQ310" i="24"/>
  <c r="CR310" i="24" s="1"/>
  <c r="CT310" i="24" s="1"/>
  <c r="CQ255" i="24"/>
  <c r="CR255" i="24" s="1"/>
  <c r="CT255" i="24" s="1"/>
  <c r="CO255" i="24"/>
  <c r="CO281" i="24"/>
  <c r="CQ281" i="24"/>
  <c r="CR281" i="24" s="1"/>
  <c r="CT281" i="24" s="1"/>
  <c r="CO280" i="24"/>
  <c r="CQ280" i="24"/>
  <c r="CR280" i="24" s="1"/>
  <c r="CT280" i="24" s="1"/>
  <c r="CR231" i="25"/>
  <c r="CS231" i="25" s="1"/>
  <c r="CR295" i="25"/>
  <c r="CS295" i="25" s="1"/>
  <c r="CR248" i="25"/>
  <c r="CS248" i="25" s="1"/>
  <c r="CR312" i="25"/>
  <c r="CS312" i="25" s="1"/>
  <c r="CR265" i="25"/>
  <c r="CS265" i="25" s="1"/>
  <c r="CR218" i="25"/>
  <c r="CS218" i="25" s="1"/>
  <c r="CR282" i="25"/>
  <c r="CS282" i="25" s="1"/>
  <c r="CR227" i="25"/>
  <c r="CS227" i="25" s="1"/>
  <c r="CR291" i="25"/>
  <c r="CS291" i="25" s="1"/>
  <c r="CR236" i="25"/>
  <c r="CS236" i="25" s="1"/>
  <c r="CR300" i="25"/>
  <c r="CS300" i="25" s="1"/>
  <c r="CR237" i="25"/>
  <c r="CS237" i="25" s="1"/>
  <c r="CR301" i="25"/>
  <c r="CS301" i="25" s="1"/>
  <c r="CQ271" i="24"/>
  <c r="CR271" i="24" s="1"/>
  <c r="CT271" i="24" s="1"/>
  <c r="CO271" i="24"/>
  <c r="CQ273" i="24"/>
  <c r="CR273" i="24" s="1"/>
  <c r="CT273" i="24" s="1"/>
  <c r="CO273" i="24"/>
  <c r="CQ290" i="24"/>
  <c r="CR290" i="24" s="1"/>
  <c r="CT290" i="24" s="1"/>
  <c r="CO290" i="24"/>
  <c r="CQ235" i="24"/>
  <c r="CR235" i="24" s="1"/>
  <c r="CT235" i="24" s="1"/>
  <c r="CO235" i="24"/>
  <c r="CQ299" i="24"/>
  <c r="CR299" i="24" s="1"/>
  <c r="CT299" i="24" s="1"/>
  <c r="CO299" i="24"/>
  <c r="CO228" i="24"/>
  <c r="CQ228" i="24"/>
  <c r="CR228" i="24" s="1"/>
  <c r="CT228" i="24" s="1"/>
  <c r="CO292" i="24"/>
  <c r="CQ292" i="24"/>
  <c r="CR292" i="24" s="1"/>
  <c r="CT292" i="24" s="1"/>
  <c r="CQ237" i="24"/>
  <c r="CR237" i="24" s="1"/>
  <c r="CT237" i="24" s="1"/>
  <c r="CO237" i="24"/>
  <c r="CO301" i="24"/>
  <c r="CQ301" i="24"/>
  <c r="CR301" i="24" s="1"/>
  <c r="CT301" i="24" s="1"/>
  <c r="CO254" i="24"/>
  <c r="CQ254" i="24"/>
  <c r="CR254" i="24" s="1"/>
  <c r="CT254" i="24" s="1"/>
  <c r="CO241" i="24"/>
  <c r="CQ241" i="24"/>
  <c r="CR241" i="24" s="1"/>
  <c r="CT241" i="24" s="1"/>
  <c r="CQ263" i="24"/>
  <c r="CR263" i="24" s="1"/>
  <c r="CT263" i="24" s="1"/>
  <c r="CO263" i="24"/>
  <c r="CO224" i="24"/>
  <c r="CQ224" i="24"/>
  <c r="CR224" i="24" s="1"/>
  <c r="CT224" i="24" s="1"/>
  <c r="CQ288" i="24"/>
  <c r="CR288" i="24" s="1"/>
  <c r="CT288" i="24" s="1"/>
  <c r="CO288" i="24"/>
  <c r="CR239" i="25"/>
  <c r="CS239" i="25" s="1"/>
  <c r="CR303" i="25"/>
  <c r="CS303" i="25" s="1"/>
  <c r="CR256" i="25"/>
  <c r="CS256" i="25" s="1"/>
  <c r="CR286" i="25"/>
  <c r="CS286" i="25" s="1"/>
  <c r="CR273" i="25"/>
  <c r="CS273" i="25" s="1"/>
  <c r="CR226" i="25"/>
  <c r="CS226" i="25" s="1"/>
  <c r="CR290" i="25"/>
  <c r="CS290" i="25" s="1"/>
  <c r="CR235" i="25"/>
  <c r="CS235" i="25" s="1"/>
  <c r="CR299" i="25"/>
  <c r="CS299" i="25" s="1"/>
  <c r="CR244" i="25"/>
  <c r="CS244" i="25" s="1"/>
  <c r="CR308" i="25"/>
  <c r="CS308" i="25" s="1"/>
  <c r="CR245" i="25"/>
  <c r="CS245" i="25" s="1"/>
  <c r="CR309" i="25"/>
  <c r="CS309" i="25" s="1"/>
  <c r="CS96" i="25"/>
  <c r="CS49" i="25"/>
  <c r="CS30" i="25"/>
  <c r="CS83" i="25"/>
  <c r="CS60" i="25"/>
  <c r="CS84" i="25"/>
  <c r="CS38" i="25"/>
  <c r="CS69" i="25"/>
  <c r="CS65" i="25"/>
  <c r="CS57" i="25"/>
  <c r="CS102" i="25"/>
  <c r="CS64" i="25"/>
  <c r="CS56" i="25"/>
  <c r="CS53" i="25"/>
  <c r="CS75" i="25"/>
  <c r="CS22" i="25"/>
  <c r="CS101" i="25"/>
  <c r="CS73" i="25"/>
  <c r="CS122" i="25"/>
  <c r="CS34" i="25"/>
  <c r="CS26" i="25"/>
  <c r="CS18" i="25"/>
  <c r="CS61" i="25"/>
  <c r="CS105" i="25"/>
  <c r="CS14" i="25"/>
  <c r="CS6" i="25"/>
  <c r="CS13" i="25"/>
  <c r="CS97" i="25"/>
  <c r="CS72" i="25"/>
  <c r="CS21" i="25"/>
  <c r="CS87" i="25"/>
  <c r="CS10" i="25"/>
  <c r="CS46" i="25"/>
  <c r="CS54" i="25"/>
  <c r="CS62" i="25"/>
  <c r="CS70" i="25"/>
  <c r="CS80" i="25"/>
  <c r="CS81" i="25"/>
  <c r="CS25" i="25"/>
  <c r="CS17" i="25"/>
  <c r="CS95" i="25"/>
  <c r="CS91" i="25"/>
  <c r="CS92" i="25"/>
  <c r="CS68" i="25"/>
  <c r="CS88" i="25"/>
  <c r="CS98" i="25"/>
  <c r="CS16" i="25"/>
  <c r="CS9" i="25"/>
  <c r="CS50" i="25"/>
  <c r="CS35" i="25"/>
  <c r="CS42" i="25"/>
  <c r="CS29" i="25"/>
  <c r="CS66" i="25"/>
  <c r="CS58" i="25"/>
  <c r="CS79" i="25"/>
  <c r="CS32" i="25"/>
  <c r="CS15" i="25"/>
  <c r="CS103" i="25"/>
  <c r="CS7" i="25"/>
  <c r="CS48" i="25"/>
  <c r="CS55" i="25"/>
  <c r="CS86" i="25"/>
  <c r="CS20" i="25"/>
  <c r="CS33" i="25"/>
  <c r="CS89" i="25"/>
  <c r="CS90" i="25"/>
  <c r="CS74" i="25"/>
  <c r="CS76" i="25"/>
  <c r="CS51" i="25"/>
  <c r="CS28" i="25"/>
  <c r="CS41" i="25"/>
  <c r="CS44" i="25"/>
  <c r="CS27" i="25"/>
  <c r="CS11" i="25"/>
  <c r="CS36" i="25"/>
  <c r="CS67" i="25"/>
  <c r="CS31" i="25"/>
  <c r="CS47" i="25"/>
  <c r="CS59" i="25"/>
  <c r="CS71" i="25"/>
  <c r="CS94" i="25"/>
  <c r="CS45" i="25"/>
  <c r="CS40" i="25"/>
  <c r="CS43" i="25"/>
  <c r="CS78" i="25"/>
  <c r="CS85" i="25"/>
  <c r="CS77" i="25"/>
  <c r="CS63" i="25"/>
  <c r="CS23" i="25"/>
  <c r="CS37" i="25"/>
  <c r="CS104" i="25"/>
  <c r="CS82" i="25"/>
  <c r="CS8" i="25"/>
  <c r="CS99" i="25"/>
  <c r="CS93" i="25"/>
  <c r="CS39" i="25"/>
  <c r="CS12" i="25"/>
  <c r="CS100" i="25"/>
  <c r="CS24" i="25"/>
  <c r="CS19" i="25"/>
  <c r="CS52" i="25"/>
  <c r="CJ306" i="25"/>
  <c r="CJ300" i="25"/>
  <c r="CJ299" i="25"/>
  <c r="CJ278" i="25"/>
  <c r="CJ263" i="25"/>
  <c r="CJ259" i="25"/>
  <c r="CJ256" i="25"/>
  <c r="CJ250" i="25"/>
  <c r="CJ235" i="25"/>
  <c r="CJ225" i="25"/>
  <c r="CJ220" i="25"/>
  <c r="CJ210" i="25"/>
  <c r="CJ207" i="25"/>
  <c r="CJ200" i="25"/>
  <c r="CJ197" i="25"/>
  <c r="CJ195" i="25"/>
  <c r="CJ194" i="25"/>
  <c r="CJ192" i="25"/>
  <c r="CJ186" i="25"/>
  <c r="CJ178" i="25"/>
  <c r="CJ167" i="25"/>
  <c r="CJ147" i="25"/>
  <c r="CJ309" i="25"/>
  <c r="CJ307" i="25"/>
  <c r="CJ275" i="25"/>
  <c r="CJ272" i="25"/>
  <c r="CJ271" i="25"/>
  <c r="CJ267" i="25"/>
  <c r="CJ255" i="25"/>
  <c r="CJ254" i="25"/>
  <c r="CJ251" i="25"/>
  <c r="CJ242" i="25"/>
  <c r="CJ241" i="25"/>
  <c r="CJ236" i="25"/>
  <c r="CJ231" i="25"/>
  <c r="CJ218" i="25"/>
  <c r="CJ205" i="25"/>
  <c r="CJ198" i="25"/>
  <c r="CJ182" i="25"/>
  <c r="CJ181" i="25"/>
  <c r="CJ180" i="25"/>
  <c r="CJ179" i="25"/>
  <c r="CJ166" i="25"/>
  <c r="CJ158" i="25"/>
  <c r="CJ155" i="25"/>
  <c r="CJ149" i="25"/>
  <c r="CJ314" i="25"/>
  <c r="CJ295" i="25"/>
  <c r="CJ294" i="25"/>
  <c r="CJ289" i="25"/>
  <c r="CJ279" i="25"/>
  <c r="CJ268" i="25"/>
  <c r="CJ260" i="25"/>
  <c r="CJ253" i="25"/>
  <c r="CJ252" i="25"/>
  <c r="CJ244" i="25"/>
  <c r="CJ237" i="25"/>
  <c r="CJ228" i="25"/>
  <c r="CJ204" i="25"/>
  <c r="CJ203" i="25"/>
  <c r="CJ187" i="25"/>
  <c r="CJ183" i="25"/>
  <c r="CJ168" i="25"/>
  <c r="CJ164" i="25"/>
  <c r="CJ161" i="25"/>
  <c r="CJ152" i="25"/>
  <c r="CJ310" i="25"/>
  <c r="CJ303" i="25"/>
  <c r="CJ301" i="25"/>
  <c r="CJ246" i="25"/>
  <c r="CJ245" i="25"/>
  <c r="CJ243" i="25"/>
  <c r="CJ238" i="25"/>
  <c r="CJ232" i="25"/>
  <c r="CJ223" i="25"/>
  <c r="CJ221" i="25"/>
  <c r="CJ191" i="25"/>
  <c r="CJ170" i="25"/>
  <c r="CJ169" i="25"/>
  <c r="CJ156" i="25"/>
  <c r="CJ146" i="25"/>
  <c r="CJ315" i="25"/>
  <c r="CJ311" i="25"/>
  <c r="CJ297" i="25"/>
  <c r="CJ296" i="25"/>
  <c r="CJ292" i="25"/>
  <c r="CJ290" i="25"/>
  <c r="CJ280" i="25"/>
  <c r="CJ276" i="25"/>
  <c r="CJ269" i="25"/>
  <c r="CJ261" i="25"/>
  <c r="CJ248" i="25"/>
  <c r="CJ229" i="25"/>
  <c r="CJ190" i="25"/>
  <c r="CJ189" i="25"/>
  <c r="CJ188" i="25"/>
  <c r="CJ185" i="25"/>
  <c r="CJ184" i="25"/>
  <c r="CJ165" i="25"/>
  <c r="CJ162" i="25"/>
  <c r="CJ159" i="25"/>
  <c r="CJ308" i="25"/>
  <c r="CJ287" i="25"/>
  <c r="CJ285" i="25"/>
  <c r="CJ283" i="25"/>
  <c r="CJ281" i="25"/>
  <c r="CJ274" i="25"/>
  <c r="CJ273" i="25"/>
  <c r="CJ270" i="25"/>
  <c r="CJ247" i="25"/>
  <c r="CJ239" i="25"/>
  <c r="CJ233" i="25"/>
  <c r="CJ226" i="25"/>
  <c r="CJ219" i="25"/>
  <c r="CJ217" i="25"/>
  <c r="CJ206" i="25"/>
  <c r="CJ202" i="25"/>
  <c r="CJ172" i="25"/>
  <c r="CJ171" i="25"/>
  <c r="CJ153" i="25"/>
  <c r="CJ148" i="25"/>
  <c r="CJ302" i="25"/>
  <c r="CJ291" i="25"/>
  <c r="CJ249" i="25"/>
  <c r="CJ222" i="25"/>
  <c r="CJ193" i="25"/>
  <c r="CJ173" i="25"/>
  <c r="CJ151" i="25"/>
  <c r="CJ143" i="25"/>
  <c r="CJ288" i="25"/>
  <c r="CJ282" i="25"/>
  <c r="CJ264" i="25"/>
  <c r="CJ224" i="25"/>
  <c r="CJ209" i="25"/>
  <c r="CJ140" i="25"/>
  <c r="CJ130" i="25"/>
  <c r="CJ129" i="25"/>
  <c r="CJ128" i="25"/>
  <c r="CJ124" i="25"/>
  <c r="CJ120" i="25"/>
  <c r="CJ118" i="25"/>
  <c r="CJ78" i="25"/>
  <c r="CJ69" i="25"/>
  <c r="CJ65" i="25"/>
  <c r="CJ57" i="25"/>
  <c r="CJ44" i="25"/>
  <c r="CJ32" i="25"/>
  <c r="CJ304" i="25"/>
  <c r="CJ293" i="25"/>
  <c r="CJ257" i="25"/>
  <c r="CJ227" i="25"/>
  <c r="CJ177" i="25"/>
  <c r="CJ145" i="25"/>
  <c r="CJ137" i="25"/>
  <c r="CJ134" i="25"/>
  <c r="CJ127" i="25"/>
  <c r="CJ123" i="25"/>
  <c r="CJ122" i="25"/>
  <c r="CJ121" i="25"/>
  <c r="CJ100" i="25"/>
  <c r="CJ85" i="25"/>
  <c r="CJ39" i="25"/>
  <c r="CJ312" i="25"/>
  <c r="CJ201" i="25"/>
  <c r="CJ174" i="25"/>
  <c r="CJ142" i="25"/>
  <c r="CJ139" i="25"/>
  <c r="CJ126" i="25"/>
  <c r="CJ125" i="25"/>
  <c r="CJ102" i="25"/>
  <c r="CJ101" i="25"/>
  <c r="CJ99" i="25"/>
  <c r="CJ94" i="25"/>
  <c r="CJ93" i="25"/>
  <c r="CJ88" i="25"/>
  <c r="CJ86" i="25"/>
  <c r="CJ79" i="25"/>
  <c r="CJ64" i="25"/>
  <c r="CJ56" i="25"/>
  <c r="CJ54" i="25"/>
  <c r="CJ50" i="25"/>
  <c r="CJ45" i="25"/>
  <c r="CJ40" i="25"/>
  <c r="CJ34" i="25"/>
  <c r="CJ33" i="25"/>
  <c r="CJ316" i="25"/>
  <c r="CJ286" i="25"/>
  <c r="CJ265" i="25"/>
  <c r="CJ150" i="25"/>
  <c r="CJ136" i="25"/>
  <c r="CJ95" i="25"/>
  <c r="CJ87" i="25"/>
  <c r="CJ74" i="25"/>
  <c r="CJ73" i="25"/>
  <c r="CJ63" i="25"/>
  <c r="CJ62" i="25"/>
  <c r="CJ52" i="25"/>
  <c r="CJ46" i="25"/>
  <c r="CJ298" i="25"/>
  <c r="CJ277" i="25"/>
  <c r="CJ262" i="25"/>
  <c r="CJ234" i="25"/>
  <c r="CJ196" i="25"/>
  <c r="CJ144" i="25"/>
  <c r="CJ138" i="25"/>
  <c r="CJ104" i="25"/>
  <c r="CJ96" i="25"/>
  <c r="CJ90" i="25"/>
  <c r="CJ89" i="25"/>
  <c r="CJ68" i="25"/>
  <c r="CJ67" i="25"/>
  <c r="CJ53" i="25"/>
  <c r="CJ51" i="25"/>
  <c r="CJ313" i="25"/>
  <c r="CJ284" i="25"/>
  <c r="CJ266" i="25"/>
  <c r="CJ119" i="25"/>
  <c r="CJ91" i="25"/>
  <c r="CJ84" i="25"/>
  <c r="CJ80" i="25"/>
  <c r="CJ75" i="25"/>
  <c r="CJ70" i="25"/>
  <c r="CJ48" i="25"/>
  <c r="CJ47" i="25"/>
  <c r="CJ22" i="25"/>
  <c r="CJ12" i="25"/>
  <c r="CJ11" i="25"/>
  <c r="CJ10" i="25"/>
  <c r="CJ258" i="25"/>
  <c r="CJ115" i="25"/>
  <c r="CJ71" i="25"/>
  <c r="CJ55" i="25"/>
  <c r="CJ43" i="25"/>
  <c r="CJ305" i="25"/>
  <c r="CJ135" i="25"/>
  <c r="CJ116" i="25"/>
  <c r="CJ111" i="25"/>
  <c r="CJ105" i="25"/>
  <c r="CJ92" i="25"/>
  <c r="CJ82" i="25"/>
  <c r="CJ59" i="25"/>
  <c r="CJ49" i="25"/>
  <c r="CJ36" i="25"/>
  <c r="CJ35" i="25"/>
  <c r="CJ41" i="25"/>
  <c r="CJ30" i="25"/>
  <c r="CJ28" i="25"/>
  <c r="CJ27" i="25"/>
  <c r="CJ25" i="25"/>
  <c r="CJ16" i="25"/>
  <c r="CJ61" i="25"/>
  <c r="CJ31" i="25"/>
  <c r="CJ141" i="25"/>
  <c r="CJ13" i="25"/>
  <c r="CJ9" i="25"/>
  <c r="CJ175" i="25"/>
  <c r="CJ117" i="25"/>
  <c r="CJ103" i="25"/>
  <c r="CJ97" i="25"/>
  <c r="CJ77" i="25"/>
  <c r="CJ21" i="25"/>
  <c r="CJ42" i="25"/>
  <c r="CJ17" i="25"/>
  <c r="CJ15" i="25"/>
  <c r="CJ230" i="25"/>
  <c r="CJ131" i="25"/>
  <c r="CJ83" i="25"/>
  <c r="CJ72" i="25"/>
  <c r="CJ66" i="25"/>
  <c r="CJ81" i="25"/>
  <c r="CJ176" i="25"/>
  <c r="CJ157" i="25"/>
  <c r="CJ154" i="25"/>
  <c r="CJ132" i="25"/>
  <c r="CJ113" i="25"/>
  <c r="CJ98" i="25"/>
  <c r="CJ60" i="25"/>
  <c r="CJ29" i="25"/>
  <c r="CJ14" i="25"/>
  <c r="CJ208" i="25"/>
  <c r="CJ199" i="25"/>
  <c r="CJ163" i="25"/>
  <c r="CJ160" i="25"/>
  <c r="CJ133" i="25"/>
  <c r="CJ114" i="25"/>
  <c r="CJ58" i="25"/>
  <c r="CJ37" i="25"/>
  <c r="CJ8" i="25"/>
  <c r="CJ240" i="25"/>
  <c r="CJ76" i="25"/>
  <c r="CJ26" i="25"/>
  <c r="CJ19" i="25"/>
  <c r="CJ23" i="25"/>
  <c r="CJ24" i="25"/>
  <c r="CJ38" i="25"/>
  <c r="CJ20" i="25"/>
  <c r="CJ18" i="25"/>
  <c r="CJ300" i="24"/>
  <c r="ES300" i="24" s="1"/>
  <c r="EV300" i="24" s="1"/>
  <c r="CJ296" i="24"/>
  <c r="ES296" i="24" s="1"/>
  <c r="EV296" i="24" s="1"/>
  <c r="CJ289" i="24"/>
  <c r="ES289" i="24" s="1"/>
  <c r="EV289" i="24" s="1"/>
  <c r="CJ280" i="24"/>
  <c r="ES280" i="24" s="1"/>
  <c r="EV280" i="24" s="1"/>
  <c r="CJ274" i="24"/>
  <c r="ES274" i="24" s="1"/>
  <c r="EV274" i="24" s="1"/>
  <c r="CJ269" i="24"/>
  <c r="ES269" i="24" s="1"/>
  <c r="EV269" i="24" s="1"/>
  <c r="CJ316" i="24"/>
  <c r="ES316" i="24" s="1"/>
  <c r="EV316" i="24" s="1"/>
  <c r="CJ313" i="24"/>
  <c r="ES313" i="24" s="1"/>
  <c r="EV313" i="24" s="1"/>
  <c r="CJ302" i="24"/>
  <c r="ES302" i="24" s="1"/>
  <c r="EV302" i="24" s="1"/>
  <c r="CJ283" i="24"/>
  <c r="ES283" i="24" s="1"/>
  <c r="EV283" i="24" s="1"/>
  <c r="CJ281" i="24"/>
  <c r="ES281" i="24" s="1"/>
  <c r="EV281" i="24" s="1"/>
  <c r="CJ278" i="24"/>
  <c r="ES278" i="24" s="1"/>
  <c r="EV278" i="24" s="1"/>
  <c r="CJ254" i="24"/>
  <c r="ES254" i="24" s="1"/>
  <c r="EV254" i="24" s="1"/>
  <c r="CJ252" i="24"/>
  <c r="ES252" i="24" s="1"/>
  <c r="EV252" i="24" s="1"/>
  <c r="CJ251" i="24"/>
  <c r="ES251" i="24" s="1"/>
  <c r="EV251" i="24" s="1"/>
  <c r="CJ246" i="24"/>
  <c r="ES246" i="24" s="1"/>
  <c r="EV246" i="24" s="1"/>
  <c r="CJ238" i="24"/>
  <c r="ES238" i="24" s="1"/>
  <c r="EV238" i="24" s="1"/>
  <c r="CJ236" i="24"/>
  <c r="ES236" i="24" s="1"/>
  <c r="EV236" i="24" s="1"/>
  <c r="CJ205" i="24"/>
  <c r="CJ204" i="24"/>
  <c r="CJ202" i="24"/>
  <c r="CJ199" i="24"/>
  <c r="CJ198" i="24"/>
  <c r="CJ196" i="24"/>
  <c r="CJ190" i="24"/>
  <c r="CJ189" i="24"/>
  <c r="CJ314" i="24"/>
  <c r="ES314" i="24" s="1"/>
  <c r="EV314" i="24" s="1"/>
  <c r="CJ311" i="24"/>
  <c r="ES311" i="24" s="1"/>
  <c r="EV311" i="24" s="1"/>
  <c r="CJ308" i="24"/>
  <c r="ES308" i="24" s="1"/>
  <c r="EV308" i="24" s="1"/>
  <c r="CJ304" i="24"/>
  <c r="ES304" i="24" s="1"/>
  <c r="EV304" i="24" s="1"/>
  <c r="CJ295" i="24"/>
  <c r="ES295" i="24" s="1"/>
  <c r="EV295" i="24" s="1"/>
  <c r="CJ290" i="24"/>
  <c r="ES290" i="24" s="1"/>
  <c r="EV290" i="24" s="1"/>
  <c r="CJ287" i="24"/>
  <c r="ES287" i="24" s="1"/>
  <c r="EV287" i="24" s="1"/>
  <c r="CJ284" i="24"/>
  <c r="ES284" i="24" s="1"/>
  <c r="EV284" i="24" s="1"/>
  <c r="CJ282" i="24"/>
  <c r="ES282" i="24" s="1"/>
  <c r="EV282" i="24" s="1"/>
  <c r="CJ262" i="24"/>
  <c r="ES262" i="24" s="1"/>
  <c r="EV262" i="24" s="1"/>
  <c r="CJ248" i="24"/>
  <c r="ES248" i="24" s="1"/>
  <c r="EV248" i="24" s="1"/>
  <c r="CJ247" i="24"/>
  <c r="ES247" i="24" s="1"/>
  <c r="EV247" i="24" s="1"/>
  <c r="CJ227" i="24"/>
  <c r="ES227" i="24" s="1"/>
  <c r="EV227" i="24" s="1"/>
  <c r="CJ223" i="24"/>
  <c r="ES223" i="24" s="1"/>
  <c r="EV223" i="24" s="1"/>
  <c r="CJ219" i="24"/>
  <c r="ES219" i="24" s="1"/>
  <c r="EV219" i="24" s="1"/>
  <c r="CJ206" i="24"/>
  <c r="CJ200" i="24"/>
  <c r="CJ293" i="24"/>
  <c r="ES293" i="24" s="1"/>
  <c r="EV293" i="24" s="1"/>
  <c r="CJ292" i="24"/>
  <c r="ES292" i="24" s="1"/>
  <c r="EV292" i="24" s="1"/>
  <c r="CJ273" i="24"/>
  <c r="ES273" i="24" s="1"/>
  <c r="EV273" i="24" s="1"/>
  <c r="CJ268" i="24"/>
  <c r="ES268" i="24" s="1"/>
  <c r="EV268" i="24" s="1"/>
  <c r="CJ260" i="24"/>
  <c r="ES260" i="24" s="1"/>
  <c r="EV260" i="24" s="1"/>
  <c r="CJ259" i="24"/>
  <c r="ES259" i="24" s="1"/>
  <c r="EV259" i="24" s="1"/>
  <c r="CJ255" i="24"/>
  <c r="ES255" i="24" s="1"/>
  <c r="EV255" i="24" s="1"/>
  <c r="CJ253" i="24"/>
  <c r="ES253" i="24" s="1"/>
  <c r="EV253" i="24" s="1"/>
  <c r="CJ245" i="24"/>
  <c r="ES245" i="24" s="1"/>
  <c r="EV245" i="24" s="1"/>
  <c r="CJ241" i="24"/>
  <c r="ES241" i="24" s="1"/>
  <c r="EV241" i="24" s="1"/>
  <c r="CJ231" i="24"/>
  <c r="ES231" i="24" s="1"/>
  <c r="EV231" i="24" s="1"/>
  <c r="CJ229" i="24"/>
  <c r="ES229" i="24" s="1"/>
  <c r="EV229" i="24" s="1"/>
  <c r="CJ225" i="24"/>
  <c r="ES225" i="24" s="1"/>
  <c r="EV225" i="24" s="1"/>
  <c r="CJ208" i="24"/>
  <c r="CJ203" i="24"/>
  <c r="CJ187" i="24"/>
  <c r="CJ185" i="24"/>
  <c r="CJ305" i="24"/>
  <c r="ES305" i="24" s="1"/>
  <c r="EV305" i="24" s="1"/>
  <c r="CJ303" i="24"/>
  <c r="ES303" i="24" s="1"/>
  <c r="EV303" i="24" s="1"/>
  <c r="CJ301" i="24"/>
  <c r="ES301" i="24" s="1"/>
  <c r="EV301" i="24" s="1"/>
  <c r="CJ299" i="24"/>
  <c r="ES299" i="24" s="1"/>
  <c r="EV299" i="24" s="1"/>
  <c r="CJ297" i="24"/>
  <c r="ES297" i="24" s="1"/>
  <c r="EV297" i="24" s="1"/>
  <c r="CJ285" i="24"/>
  <c r="ES285" i="24" s="1"/>
  <c r="EV285" i="24" s="1"/>
  <c r="CJ277" i="24"/>
  <c r="ES277" i="24" s="1"/>
  <c r="EV277" i="24" s="1"/>
  <c r="CJ276" i="24"/>
  <c r="ES276" i="24" s="1"/>
  <c r="EV276" i="24" s="1"/>
  <c r="CJ265" i="24"/>
  <c r="ES265" i="24" s="1"/>
  <c r="EV265" i="24" s="1"/>
  <c r="CJ261" i="24"/>
  <c r="ES261" i="24" s="1"/>
  <c r="EV261" i="24" s="1"/>
  <c r="CJ257" i="24"/>
  <c r="ES257" i="24" s="1"/>
  <c r="EV257" i="24" s="1"/>
  <c r="CJ239" i="24"/>
  <c r="ES239" i="24" s="1"/>
  <c r="EV239" i="24" s="1"/>
  <c r="CJ232" i="24"/>
  <c r="ES232" i="24" s="1"/>
  <c r="EV232" i="24" s="1"/>
  <c r="CJ226" i="24"/>
  <c r="ES226" i="24" s="1"/>
  <c r="EV226" i="24" s="1"/>
  <c r="CJ224" i="24"/>
  <c r="ES224" i="24" s="1"/>
  <c r="EV224" i="24" s="1"/>
  <c r="CJ222" i="24"/>
  <c r="ES222" i="24" s="1"/>
  <c r="EV222" i="24" s="1"/>
  <c r="CJ210" i="24"/>
  <c r="CJ197" i="24"/>
  <c r="CJ195" i="24"/>
  <c r="CJ315" i="24"/>
  <c r="ES315" i="24" s="1"/>
  <c r="EV315" i="24" s="1"/>
  <c r="CJ309" i="24"/>
  <c r="ES309" i="24" s="1"/>
  <c r="EV309" i="24" s="1"/>
  <c r="CJ294" i="24"/>
  <c r="ES294" i="24" s="1"/>
  <c r="EV294" i="24" s="1"/>
  <c r="CJ286" i="24"/>
  <c r="ES286" i="24" s="1"/>
  <c r="EV286" i="24" s="1"/>
  <c r="CJ279" i="24"/>
  <c r="ES279" i="24" s="1"/>
  <c r="EV279" i="24" s="1"/>
  <c r="CJ275" i="24"/>
  <c r="ES275" i="24" s="1"/>
  <c r="EV275" i="24" s="1"/>
  <c r="CJ270" i="24"/>
  <c r="ES270" i="24" s="1"/>
  <c r="EV270" i="24" s="1"/>
  <c r="CJ249" i="24"/>
  <c r="ES249" i="24" s="1"/>
  <c r="EV249" i="24" s="1"/>
  <c r="CJ237" i="24"/>
  <c r="ES237" i="24" s="1"/>
  <c r="EV237" i="24" s="1"/>
  <c r="CJ233" i="24"/>
  <c r="ES233" i="24" s="1"/>
  <c r="EV233" i="24" s="1"/>
  <c r="CJ221" i="24"/>
  <c r="ES221" i="24" s="1"/>
  <c r="EV221" i="24" s="1"/>
  <c r="CJ192" i="24"/>
  <c r="CJ191" i="24"/>
  <c r="CJ312" i="24"/>
  <c r="ES312" i="24" s="1"/>
  <c r="EV312" i="24" s="1"/>
  <c r="CJ288" i="24"/>
  <c r="ES288" i="24" s="1"/>
  <c r="EV288" i="24" s="1"/>
  <c r="CJ272" i="24"/>
  <c r="ES272" i="24" s="1"/>
  <c r="EV272" i="24" s="1"/>
  <c r="CJ271" i="24"/>
  <c r="ES271" i="24" s="1"/>
  <c r="EV271" i="24" s="1"/>
  <c r="CJ267" i="24"/>
  <c r="ES267" i="24" s="1"/>
  <c r="EV267" i="24" s="1"/>
  <c r="CJ263" i="24"/>
  <c r="ES263" i="24" s="1"/>
  <c r="EV263" i="24" s="1"/>
  <c r="CJ240" i="24"/>
  <c r="ES240" i="24" s="1"/>
  <c r="EV240" i="24" s="1"/>
  <c r="CJ235" i="24"/>
  <c r="ES235" i="24" s="1"/>
  <c r="EV235" i="24" s="1"/>
  <c r="CJ230" i="24"/>
  <c r="ES230" i="24" s="1"/>
  <c r="EV230" i="24" s="1"/>
  <c r="CJ220" i="24"/>
  <c r="ES220" i="24" s="1"/>
  <c r="EV220" i="24" s="1"/>
  <c r="CJ207" i="24"/>
  <c r="CJ201" i="24"/>
  <c r="CJ306" i="24"/>
  <c r="ES306" i="24" s="1"/>
  <c r="EV306" i="24" s="1"/>
  <c r="CJ298" i="24"/>
  <c r="ES298" i="24" s="1"/>
  <c r="EV298" i="24" s="1"/>
  <c r="CJ291" i="24"/>
  <c r="ES291" i="24" s="1"/>
  <c r="EV291" i="24" s="1"/>
  <c r="CJ243" i="24"/>
  <c r="ES243" i="24" s="1"/>
  <c r="EV243" i="24" s="1"/>
  <c r="CJ183" i="24"/>
  <c r="CJ181" i="24"/>
  <c r="CJ180" i="24"/>
  <c r="CJ176" i="24"/>
  <c r="CJ171" i="24"/>
  <c r="CJ157" i="24"/>
  <c r="CJ150" i="24"/>
  <c r="CJ143" i="24"/>
  <c r="CJ134" i="24"/>
  <c r="CJ131" i="24"/>
  <c r="CJ125" i="24"/>
  <c r="CJ114" i="24"/>
  <c r="CJ98" i="24"/>
  <c r="CJ83" i="24"/>
  <c r="CJ250" i="24"/>
  <c r="ES250" i="24" s="1"/>
  <c r="EV250" i="24" s="1"/>
  <c r="CJ228" i="24"/>
  <c r="ES228" i="24" s="1"/>
  <c r="EV228" i="24" s="1"/>
  <c r="CJ186" i="24"/>
  <c r="CJ184" i="24"/>
  <c r="CJ178" i="24"/>
  <c r="CJ174" i="24"/>
  <c r="CJ161" i="24"/>
  <c r="CJ153" i="24"/>
  <c r="CJ115" i="24"/>
  <c r="CJ112" i="24"/>
  <c r="CJ105" i="24"/>
  <c r="CJ101" i="24"/>
  <c r="CJ95" i="24"/>
  <c r="CJ310" i="24"/>
  <c r="ES310" i="24" s="1"/>
  <c r="EV310" i="24" s="1"/>
  <c r="CJ307" i="24"/>
  <c r="ES307" i="24" s="1"/>
  <c r="EV307" i="24" s="1"/>
  <c r="CJ209" i="24"/>
  <c r="CJ194" i="24"/>
  <c r="CJ175" i="24"/>
  <c r="CJ169" i="24"/>
  <c r="CJ160" i="24"/>
  <c r="CJ141" i="24"/>
  <c r="CJ138" i="24"/>
  <c r="CJ132" i="24"/>
  <c r="CJ123" i="24"/>
  <c r="CJ116" i="24"/>
  <c r="CJ104" i="24"/>
  <c r="CJ102" i="24"/>
  <c r="CJ100" i="24"/>
  <c r="CJ256" i="24"/>
  <c r="ES256" i="24" s="1"/>
  <c r="EV256" i="24" s="1"/>
  <c r="CJ188" i="24"/>
  <c r="CJ179" i="24"/>
  <c r="CJ177" i="24"/>
  <c r="CJ164" i="24"/>
  <c r="CJ154" i="24"/>
  <c r="CJ147" i="24"/>
  <c r="CJ135" i="24"/>
  <c r="CJ128" i="24"/>
  <c r="CJ124" i="24"/>
  <c r="CJ81" i="24"/>
  <c r="CJ244" i="24"/>
  <c r="ES244" i="24" s="1"/>
  <c r="EV244" i="24" s="1"/>
  <c r="CJ242" i="24"/>
  <c r="ES242" i="24" s="1"/>
  <c r="EV242" i="24" s="1"/>
  <c r="CJ182" i="24"/>
  <c r="CJ173" i="24"/>
  <c r="CJ165" i="24"/>
  <c r="CJ158" i="24"/>
  <c r="CJ151" i="24"/>
  <c r="CJ148" i="24"/>
  <c r="CJ146" i="24"/>
  <c r="CJ133" i="24"/>
  <c r="CJ129" i="24"/>
  <c r="CJ126" i="24"/>
  <c r="CJ121" i="24"/>
  <c r="CJ117" i="24"/>
  <c r="CJ99" i="24"/>
  <c r="CJ264" i="24"/>
  <c r="ES264" i="24" s="1"/>
  <c r="EV264" i="24" s="1"/>
  <c r="CJ217" i="24"/>
  <c r="ES217" i="24" s="1"/>
  <c r="EV217" i="24" s="1"/>
  <c r="CJ172" i="24"/>
  <c r="CJ166" i="24"/>
  <c r="CJ155" i="24"/>
  <c r="CJ144" i="24"/>
  <c r="CJ142" i="24"/>
  <c r="CJ140" i="24"/>
  <c r="CJ139" i="24"/>
  <c r="CJ136" i="24"/>
  <c r="CJ111" i="24"/>
  <c r="CJ82" i="24"/>
  <c r="CJ80" i="24"/>
  <c r="CJ78" i="24"/>
  <c r="CJ74" i="24"/>
  <c r="CJ69" i="24"/>
  <c r="CJ47" i="24"/>
  <c r="CJ40" i="24"/>
  <c r="CJ38" i="24"/>
  <c r="CJ37" i="24"/>
  <c r="CJ33" i="24"/>
  <c r="CJ32" i="24"/>
  <c r="CJ31" i="24"/>
  <c r="CJ266" i="24"/>
  <c r="ES266" i="24" s="1"/>
  <c r="EV266" i="24" s="1"/>
  <c r="CJ258" i="24"/>
  <c r="ES258" i="24" s="1"/>
  <c r="EV258" i="24" s="1"/>
  <c r="CJ234" i="24"/>
  <c r="ES234" i="24" s="1"/>
  <c r="EV234" i="24" s="1"/>
  <c r="CJ193" i="24"/>
  <c r="CJ170" i="24"/>
  <c r="CJ163" i="24"/>
  <c r="CJ159" i="24"/>
  <c r="CJ145" i="24"/>
  <c r="CJ127" i="24"/>
  <c r="CJ120" i="24"/>
  <c r="CJ113" i="24"/>
  <c r="CJ89" i="24"/>
  <c r="CJ88" i="24"/>
  <c r="CJ76" i="24"/>
  <c r="CJ68" i="24"/>
  <c r="CJ218" i="24"/>
  <c r="ES218" i="24" s="1"/>
  <c r="EV218" i="24" s="1"/>
  <c r="CJ168" i="24"/>
  <c r="CJ167" i="24"/>
  <c r="CJ162" i="24"/>
  <c r="CJ156" i="24"/>
  <c r="CJ152" i="24"/>
  <c r="CJ149" i="24"/>
  <c r="CJ137" i="24"/>
  <c r="CJ130" i="24"/>
  <c r="CJ122" i="24"/>
  <c r="CJ119" i="24"/>
  <c r="CJ118" i="24"/>
  <c r="CJ103" i="24"/>
  <c r="CJ97" i="24"/>
  <c r="CJ93" i="24"/>
  <c r="CJ63" i="24"/>
  <c r="CJ44" i="24"/>
  <c r="CJ43" i="24"/>
  <c r="CJ41" i="24"/>
  <c r="CJ70" i="24"/>
  <c r="CJ20" i="24"/>
  <c r="CJ7" i="24"/>
  <c r="CJ90" i="24"/>
  <c r="CJ85" i="24"/>
  <c r="CJ79" i="24"/>
  <c r="CJ71" i="24"/>
  <c r="CJ66" i="24"/>
  <c r="CJ64" i="24"/>
  <c r="CJ60" i="24"/>
  <c r="CJ56" i="24"/>
  <c r="CJ54" i="24"/>
  <c r="CJ51" i="24"/>
  <c r="CJ49" i="24"/>
  <c r="CJ39" i="24"/>
  <c r="CJ36" i="24"/>
  <c r="CJ14" i="24"/>
  <c r="CJ29" i="24"/>
  <c r="CJ19" i="24"/>
  <c r="CJ8" i="24"/>
  <c r="CJ13" i="24"/>
  <c r="CJ96" i="24"/>
  <c r="CJ91" i="24"/>
  <c r="CJ75" i="24"/>
  <c r="CJ73" i="24"/>
  <c r="CJ62" i="24"/>
  <c r="CJ55" i="24"/>
  <c r="CJ25" i="24"/>
  <c r="CJ23" i="24"/>
  <c r="CJ12" i="24"/>
  <c r="CJ11" i="24"/>
  <c r="CJ9" i="24"/>
  <c r="CJ6" i="24"/>
  <c r="CJ58" i="24"/>
  <c r="CJ27" i="24"/>
  <c r="CJ24" i="24"/>
  <c r="CJ35" i="24"/>
  <c r="CJ77" i="24"/>
  <c r="CJ42" i="24"/>
  <c r="CJ21" i="24"/>
  <c r="CJ52" i="24"/>
  <c r="CJ84" i="24"/>
  <c r="CJ67" i="24"/>
  <c r="CJ65" i="24"/>
  <c r="CJ61" i="24"/>
  <c r="CJ59" i="24"/>
  <c r="CJ53" i="24"/>
  <c r="CJ45" i="24"/>
  <c r="CJ18" i="24"/>
  <c r="CJ10" i="24"/>
  <c r="CJ48" i="24"/>
  <c r="CJ16" i="24"/>
  <c r="CJ94" i="24"/>
  <c r="CJ92" i="24"/>
  <c r="CJ87" i="24"/>
  <c r="CJ86" i="24"/>
  <c r="CJ72" i="24"/>
  <c r="CJ57" i="24"/>
  <c r="CJ50" i="24"/>
  <c r="CJ46" i="24"/>
  <c r="CJ28" i="24"/>
  <c r="CJ26" i="24"/>
  <c r="CJ34" i="24"/>
  <c r="CJ15" i="24"/>
  <c r="CJ30" i="24"/>
  <c r="CJ17" i="24"/>
  <c r="CJ22" i="24"/>
  <c r="I3" i="29"/>
  <c r="B222" i="2"/>
  <c r="B281" i="2"/>
  <c r="A28" i="16"/>
  <c r="BQ5" i="25"/>
  <c r="B277" i="2"/>
  <c r="D277" i="2" s="1"/>
  <c r="D34" i="16"/>
  <c r="W64" i="2"/>
  <c r="R66" i="2"/>
  <c r="S29" i="1" s="1"/>
  <c r="R67" i="2"/>
  <c r="B26" i="2"/>
  <c r="I9" i="19"/>
  <c r="I8" i="19"/>
  <c r="I7" i="19"/>
  <c r="I6" i="19"/>
  <c r="B125" i="2"/>
  <c r="B22" i="2"/>
  <c r="F17" i="23"/>
  <c r="J17" i="23" s="1"/>
  <c r="I33" i="23"/>
  <c r="F54" i="23"/>
  <c r="J54" i="23" s="1"/>
  <c r="I9" i="23"/>
  <c r="I70" i="23"/>
  <c r="F32" i="23"/>
  <c r="J32" i="23" s="1"/>
  <c r="F49" i="23"/>
  <c r="G49" i="23" s="1"/>
  <c r="H49" i="23" s="1"/>
  <c r="F103" i="23"/>
  <c r="G103" i="23" s="1"/>
  <c r="H103" i="23" s="1"/>
  <c r="F53" i="23"/>
  <c r="J53" i="23" s="1"/>
  <c r="I16" i="23"/>
  <c r="F46" i="23"/>
  <c r="J46" i="23" s="1"/>
  <c r="I43" i="23"/>
  <c r="I36" i="23"/>
  <c r="F67" i="23"/>
  <c r="G67" i="23" s="1"/>
  <c r="H67" i="23" s="1"/>
  <c r="I59" i="23"/>
  <c r="F30" i="23"/>
  <c r="J30" i="23" s="1"/>
  <c r="F88" i="23"/>
  <c r="G88" i="23" s="1"/>
  <c r="H88" i="23" s="1"/>
  <c r="I78" i="23"/>
  <c r="I27" i="23"/>
  <c r="I75" i="23"/>
  <c r="F73" i="23"/>
  <c r="J73" i="23" s="1"/>
  <c r="F71" i="23"/>
  <c r="J71" i="23" s="1"/>
  <c r="I48" i="23"/>
  <c r="F84" i="23"/>
  <c r="G84" i="23" s="1"/>
  <c r="H84" i="23" s="1"/>
  <c r="F6" i="23"/>
  <c r="J6" i="23" s="1"/>
  <c r="F25" i="23"/>
  <c r="J25" i="23" s="1"/>
  <c r="I23" i="23"/>
  <c r="F60" i="23"/>
  <c r="G60" i="23" s="1"/>
  <c r="H60" i="23" s="1"/>
  <c r="I38" i="23"/>
  <c r="I62" i="23"/>
  <c r="F105" i="23"/>
  <c r="J105" i="23" s="1"/>
  <c r="F94" i="23"/>
  <c r="J94" i="23" s="1"/>
  <c r="I41" i="23"/>
  <c r="F92" i="23"/>
  <c r="J92" i="23" s="1"/>
  <c r="A258" i="2"/>
  <c r="C258" i="2"/>
  <c r="I11" i="23"/>
  <c r="F101" i="23"/>
  <c r="J101" i="23" s="1"/>
  <c r="F20" i="23"/>
  <c r="G20" i="23" s="1"/>
  <c r="H20" i="23" s="1"/>
  <c r="F81" i="23"/>
  <c r="J81" i="23" s="1"/>
  <c r="F14" i="23"/>
  <c r="J14" i="23" s="1"/>
  <c r="F22" i="23"/>
  <c r="J22" i="23" s="1"/>
  <c r="F63" i="23"/>
  <c r="G63" i="23" s="1"/>
  <c r="H63" i="23" s="1"/>
  <c r="I99" i="23"/>
  <c r="F80" i="23"/>
  <c r="J80" i="23" s="1"/>
  <c r="I31" i="23"/>
  <c r="I96" i="23"/>
  <c r="F77" i="23"/>
  <c r="G77" i="23" s="1"/>
  <c r="H77" i="23" s="1"/>
  <c r="I56" i="23"/>
  <c r="I86" i="23"/>
  <c r="I98" i="23"/>
  <c r="H109" i="19"/>
  <c r="H110" i="19" s="1"/>
  <c r="F52" i="23"/>
  <c r="J52" i="23" s="1"/>
  <c r="F102" i="23"/>
  <c r="J102" i="23" s="1"/>
  <c r="J79" i="23"/>
  <c r="J7" i="23"/>
  <c r="J106" i="23"/>
  <c r="I87" i="23"/>
  <c r="I8" i="23"/>
  <c r="I106" i="23"/>
  <c r="J31" i="23"/>
  <c r="J99" i="23"/>
  <c r="J56" i="23"/>
  <c r="J27" i="23"/>
  <c r="J96" i="23"/>
  <c r="J86" i="23"/>
  <c r="J70" i="23"/>
  <c r="J38" i="23"/>
  <c r="J33" i="23"/>
  <c r="J69" i="23"/>
  <c r="J89" i="23"/>
  <c r="J44" i="23"/>
  <c r="F12" i="23"/>
  <c r="J12" i="23" s="1"/>
  <c r="J39" i="23"/>
  <c r="I76" i="23"/>
  <c r="J76" i="23"/>
  <c r="F24" i="23"/>
  <c r="G24" i="23" s="1"/>
  <c r="H24" i="23" s="1"/>
  <c r="J98" i="23"/>
  <c r="I50" i="23"/>
  <c r="F34" i="23"/>
  <c r="J34" i="23" s="1"/>
  <c r="F13" i="23"/>
  <c r="J13" i="23" s="1"/>
  <c r="F85" i="23"/>
  <c r="J85" i="23" s="1"/>
  <c r="F87" i="23"/>
  <c r="J87" i="23" s="1"/>
  <c r="I55" i="23"/>
  <c r="F26" i="23"/>
  <c r="J26" i="23" s="1"/>
  <c r="F61" i="23"/>
  <c r="J61" i="23" s="1"/>
  <c r="I90" i="23"/>
  <c r="J59" i="23"/>
  <c r="J36" i="23"/>
  <c r="J43" i="23"/>
  <c r="J11" i="23"/>
  <c r="J75" i="23"/>
  <c r="J23" i="23"/>
  <c r="J48" i="23"/>
  <c r="J16" i="23"/>
  <c r="J78" i="23"/>
  <c r="J62" i="23"/>
  <c r="J41" i="23"/>
  <c r="J9" i="23"/>
  <c r="N91" i="23"/>
  <c r="O91" i="23" s="1"/>
  <c r="P91" i="23" s="1"/>
  <c r="N47" i="23"/>
  <c r="O47" i="23" s="1"/>
  <c r="P47" i="23" s="1"/>
  <c r="N100" i="23"/>
  <c r="O100" i="23" s="1"/>
  <c r="P100" i="23" s="1"/>
  <c r="N79" i="23"/>
  <c r="O79" i="23" s="1"/>
  <c r="P79" i="23" s="1"/>
  <c r="N57" i="23"/>
  <c r="O57" i="23" s="1"/>
  <c r="P57" i="23" s="1"/>
  <c r="N28" i="23"/>
  <c r="O28" i="23" s="1"/>
  <c r="P28" i="23" s="1"/>
  <c r="N104" i="23"/>
  <c r="O104" i="23" s="1"/>
  <c r="P104" i="23" s="1"/>
  <c r="N83" i="23"/>
  <c r="O83" i="23" s="1"/>
  <c r="P83" i="23" s="1"/>
  <c r="N61" i="23"/>
  <c r="O61" i="23" s="1"/>
  <c r="P61" i="23" s="1"/>
  <c r="N35" i="23"/>
  <c r="O35" i="23" s="1"/>
  <c r="P35" i="23" s="1"/>
  <c r="N8" i="23"/>
  <c r="O8" i="23" s="1"/>
  <c r="P8" i="23" s="1"/>
  <c r="N64" i="23"/>
  <c r="O64" i="23" s="1"/>
  <c r="P64" i="23" s="1"/>
  <c r="N7" i="23"/>
  <c r="O7" i="23" s="1"/>
  <c r="P7" i="23" s="1"/>
  <c r="N87" i="23"/>
  <c r="O87" i="23" s="1"/>
  <c r="P87" i="23" s="1"/>
  <c r="N65" i="23"/>
  <c r="O65" i="23" s="1"/>
  <c r="P65" i="23" s="1"/>
  <c r="N40" i="23"/>
  <c r="O40" i="23" s="1"/>
  <c r="P40" i="23" s="1"/>
  <c r="N106" i="23"/>
  <c r="O106" i="23" s="1"/>
  <c r="P106" i="23" s="1"/>
  <c r="N90" i="23"/>
  <c r="O90" i="23" s="1"/>
  <c r="P90" i="23" s="1"/>
  <c r="N74" i="23"/>
  <c r="O74" i="23" s="1"/>
  <c r="P74" i="23" s="1"/>
  <c r="N58" i="23"/>
  <c r="O58" i="23" s="1"/>
  <c r="P58" i="23" s="1"/>
  <c r="N42" i="23"/>
  <c r="O42" i="23" s="1"/>
  <c r="P42" i="23" s="1"/>
  <c r="N26" i="23"/>
  <c r="O26" i="23" s="1"/>
  <c r="P26" i="23" s="1"/>
  <c r="N10" i="23"/>
  <c r="O10" i="23" s="1"/>
  <c r="P10" i="23" s="1"/>
  <c r="N37" i="23"/>
  <c r="O37" i="23" s="1"/>
  <c r="P37" i="23" s="1"/>
  <c r="N21" i="23"/>
  <c r="O21" i="23" s="1"/>
  <c r="P21" i="23" s="1"/>
  <c r="I57" i="23"/>
  <c r="F91" i="23"/>
  <c r="J91" i="23" s="1"/>
  <c r="I21" i="23"/>
  <c r="F21" i="23"/>
  <c r="J21" i="23" s="1"/>
  <c r="I40" i="23"/>
  <c r="I104" i="23"/>
  <c r="I42" i="23"/>
  <c r="N80" i="23"/>
  <c r="O80" i="23" s="1"/>
  <c r="P80" i="23" s="1"/>
  <c r="N31" i="23"/>
  <c r="O31" i="23" s="1"/>
  <c r="P31" i="23" s="1"/>
  <c r="N95" i="23"/>
  <c r="O95" i="23" s="1"/>
  <c r="P95" i="23" s="1"/>
  <c r="N73" i="23"/>
  <c r="O73" i="23" s="1"/>
  <c r="P73" i="23" s="1"/>
  <c r="N52" i="23"/>
  <c r="O52" i="23" s="1"/>
  <c r="P52" i="23" s="1"/>
  <c r="N20" i="23"/>
  <c r="O20" i="23" s="1"/>
  <c r="P20" i="23" s="1"/>
  <c r="N99" i="23"/>
  <c r="O99" i="23" s="1"/>
  <c r="P99" i="23" s="1"/>
  <c r="N77" i="23"/>
  <c r="O77" i="23" s="1"/>
  <c r="P77" i="23" s="1"/>
  <c r="N56" i="23"/>
  <c r="O56" i="23" s="1"/>
  <c r="P56" i="23" s="1"/>
  <c r="N27" i="23"/>
  <c r="O27" i="23" s="1"/>
  <c r="P27" i="23" s="1"/>
  <c r="N96" i="23"/>
  <c r="O96" i="23" s="1"/>
  <c r="P96" i="23" s="1"/>
  <c r="N53" i="23"/>
  <c r="O53" i="23" s="1"/>
  <c r="P53" i="23" s="1"/>
  <c r="N103" i="23"/>
  <c r="O103" i="23" s="1"/>
  <c r="P103" i="23" s="1"/>
  <c r="N81" i="23"/>
  <c r="O81" i="23" s="1"/>
  <c r="P81" i="23" s="1"/>
  <c r="N60" i="23"/>
  <c r="O60" i="23" s="1"/>
  <c r="P60" i="23" s="1"/>
  <c r="N32" i="23"/>
  <c r="O32" i="23" s="1"/>
  <c r="P32" i="23" s="1"/>
  <c r="N102" i="23"/>
  <c r="O102" i="23" s="1"/>
  <c r="P102" i="23" s="1"/>
  <c r="N86" i="23"/>
  <c r="O86" i="23" s="1"/>
  <c r="P86" i="23" s="1"/>
  <c r="N70" i="23"/>
  <c r="O70" i="23" s="1"/>
  <c r="P70" i="23" s="1"/>
  <c r="N54" i="23"/>
  <c r="O54" i="23" s="1"/>
  <c r="P54" i="23" s="1"/>
  <c r="N38" i="23"/>
  <c r="O38" i="23" s="1"/>
  <c r="P38" i="23" s="1"/>
  <c r="N22" i="23"/>
  <c r="O22" i="23" s="1"/>
  <c r="P22" i="23" s="1"/>
  <c r="N49" i="23"/>
  <c r="O49" i="23" s="1"/>
  <c r="P49" i="23" s="1"/>
  <c r="N33" i="23"/>
  <c r="O33" i="23" s="1"/>
  <c r="P33" i="23" s="1"/>
  <c r="N17" i="23"/>
  <c r="O17" i="23" s="1"/>
  <c r="P17" i="23" s="1"/>
  <c r="N69" i="23"/>
  <c r="O69" i="23" s="1"/>
  <c r="P69" i="23" s="1"/>
  <c r="N15" i="23"/>
  <c r="O15" i="23" s="1"/>
  <c r="P15" i="23" s="1"/>
  <c r="N89" i="23"/>
  <c r="O89" i="23" s="1"/>
  <c r="P89" i="23" s="1"/>
  <c r="N68" i="23"/>
  <c r="O68" i="23" s="1"/>
  <c r="P68" i="23" s="1"/>
  <c r="N44" i="23"/>
  <c r="O44" i="23" s="1"/>
  <c r="P44" i="23" s="1"/>
  <c r="N12" i="23"/>
  <c r="O12" i="23" s="1"/>
  <c r="P12" i="23" s="1"/>
  <c r="N93" i="23"/>
  <c r="O93" i="23" s="1"/>
  <c r="P93" i="23" s="1"/>
  <c r="N72" i="23"/>
  <c r="O72" i="23" s="1"/>
  <c r="P72" i="23" s="1"/>
  <c r="N51" i="23"/>
  <c r="O51" i="23" s="1"/>
  <c r="P51" i="23" s="1"/>
  <c r="N19" i="23"/>
  <c r="O19" i="23" s="1"/>
  <c r="P19" i="23" s="1"/>
  <c r="N85" i="23"/>
  <c r="O85" i="23" s="1"/>
  <c r="P85" i="23" s="1"/>
  <c r="N39" i="23"/>
  <c r="O39" i="23" s="1"/>
  <c r="P39" i="23" s="1"/>
  <c r="N97" i="23"/>
  <c r="O97" i="23" s="1"/>
  <c r="P97" i="23" s="1"/>
  <c r="N76" i="23"/>
  <c r="O76" i="23" s="1"/>
  <c r="P76" i="23" s="1"/>
  <c r="N55" i="23"/>
  <c r="O55" i="23" s="1"/>
  <c r="P55" i="23" s="1"/>
  <c r="N24" i="23"/>
  <c r="O24" i="23" s="1"/>
  <c r="P24" i="23" s="1"/>
  <c r="N98" i="23"/>
  <c r="O98" i="23" s="1"/>
  <c r="P98" i="23" s="1"/>
  <c r="N82" i="23"/>
  <c r="O82" i="23" s="1"/>
  <c r="P82" i="23" s="1"/>
  <c r="N66" i="23"/>
  <c r="O66" i="23" s="1"/>
  <c r="P66" i="23" s="1"/>
  <c r="N50" i="23"/>
  <c r="O50" i="23" s="1"/>
  <c r="P50" i="23" s="1"/>
  <c r="N34" i="23"/>
  <c r="O34" i="23" s="1"/>
  <c r="P34" i="23" s="1"/>
  <c r="N18" i="23"/>
  <c r="O18" i="23" s="1"/>
  <c r="P18" i="23" s="1"/>
  <c r="N45" i="23"/>
  <c r="O45" i="23" s="1"/>
  <c r="P45" i="23" s="1"/>
  <c r="N29" i="23"/>
  <c r="O29" i="23" s="1"/>
  <c r="P29" i="23" s="1"/>
  <c r="N13" i="23"/>
  <c r="O13" i="23" s="1"/>
  <c r="P13" i="23" s="1"/>
  <c r="I51" i="23"/>
  <c r="I83" i="23"/>
  <c r="I91" i="23"/>
  <c r="I44" i="23"/>
  <c r="F90" i="23"/>
  <c r="J90" i="23" s="1"/>
  <c r="F83" i="23"/>
  <c r="G83" i="23" s="1"/>
  <c r="H83" i="23" s="1"/>
  <c r="F42" i="23"/>
  <c r="G42" i="23" s="1"/>
  <c r="H42" i="23" s="1"/>
  <c r="F35" i="23"/>
  <c r="J35" i="23" s="1"/>
  <c r="I69" i="23"/>
  <c r="F50" i="23"/>
  <c r="J50" i="23" s="1"/>
  <c r="I72" i="23"/>
  <c r="I45" i="23"/>
  <c r="F65" i="23"/>
  <c r="G65" i="23" s="1"/>
  <c r="H65" i="23" s="1"/>
  <c r="F82" i="23"/>
  <c r="J82" i="23" s="1"/>
  <c r="N101" i="23"/>
  <c r="O101" i="23" s="1"/>
  <c r="P101" i="23" s="1"/>
  <c r="N59" i="23"/>
  <c r="O59" i="23" s="1"/>
  <c r="P59" i="23" s="1"/>
  <c r="N105" i="23"/>
  <c r="O105" i="23" s="1"/>
  <c r="P105" i="23" s="1"/>
  <c r="N84" i="23"/>
  <c r="O84" i="23" s="1"/>
  <c r="P84" i="23" s="1"/>
  <c r="N63" i="23"/>
  <c r="O63" i="23" s="1"/>
  <c r="P63" i="23" s="1"/>
  <c r="N36" i="23"/>
  <c r="O36" i="23" s="1"/>
  <c r="P36" i="23" s="1"/>
  <c r="N6" i="23"/>
  <c r="O6" i="23" s="1"/>
  <c r="P6" i="23" s="1"/>
  <c r="N88" i="23"/>
  <c r="O88" i="23" s="1"/>
  <c r="P88" i="23" s="1"/>
  <c r="N67" i="23"/>
  <c r="O67" i="23" s="1"/>
  <c r="P67" i="23" s="1"/>
  <c r="N43" i="23"/>
  <c r="O43" i="23" s="1"/>
  <c r="P43" i="23" s="1"/>
  <c r="N11" i="23"/>
  <c r="O11" i="23" s="1"/>
  <c r="P11" i="23" s="1"/>
  <c r="N75" i="23"/>
  <c r="O75" i="23" s="1"/>
  <c r="P75" i="23" s="1"/>
  <c r="N23" i="23"/>
  <c r="O23" i="23" s="1"/>
  <c r="P23" i="23" s="1"/>
  <c r="N92" i="23"/>
  <c r="O92" i="23" s="1"/>
  <c r="P92" i="23" s="1"/>
  <c r="N71" i="23"/>
  <c r="O71" i="23" s="1"/>
  <c r="P71" i="23" s="1"/>
  <c r="N48" i="23"/>
  <c r="O48" i="23" s="1"/>
  <c r="P48" i="23" s="1"/>
  <c r="N16" i="23"/>
  <c r="O16" i="23" s="1"/>
  <c r="P16" i="23" s="1"/>
  <c r="N94" i="23"/>
  <c r="O94" i="23" s="1"/>
  <c r="P94" i="23" s="1"/>
  <c r="N78" i="23"/>
  <c r="O78" i="23" s="1"/>
  <c r="P78" i="23" s="1"/>
  <c r="N62" i="23"/>
  <c r="O62" i="23" s="1"/>
  <c r="P62" i="23" s="1"/>
  <c r="N46" i="23"/>
  <c r="O46" i="23" s="1"/>
  <c r="P46" i="23" s="1"/>
  <c r="N30" i="23"/>
  <c r="O30" i="23" s="1"/>
  <c r="P30" i="23" s="1"/>
  <c r="N14" i="23"/>
  <c r="O14" i="23" s="1"/>
  <c r="P14" i="23" s="1"/>
  <c r="N41" i="23"/>
  <c r="O41" i="23" s="1"/>
  <c r="P41" i="23" s="1"/>
  <c r="N25" i="23"/>
  <c r="O25" i="23" s="1"/>
  <c r="P25" i="23" s="1"/>
  <c r="N9" i="23"/>
  <c r="O9" i="23" s="1"/>
  <c r="P9" i="23" s="1"/>
  <c r="I19" i="23"/>
  <c r="I28" i="23"/>
  <c r="I89" i="23"/>
  <c r="F64" i="23"/>
  <c r="J64" i="23" s="1"/>
  <c r="F37" i="23"/>
  <c r="J37" i="23" s="1"/>
  <c r="F74" i="23"/>
  <c r="G74" i="23" s="1"/>
  <c r="H74" i="23" s="1"/>
  <c r="F15" i="23"/>
  <c r="J15" i="23" s="1"/>
  <c r="I47" i="23"/>
  <c r="I97" i="23"/>
  <c r="F68" i="23"/>
  <c r="J68" i="23" s="1"/>
  <c r="F45" i="23"/>
  <c r="J45" i="23" s="1"/>
  <c r="F19" i="23"/>
  <c r="J19" i="23" s="1"/>
  <c r="F47" i="23"/>
  <c r="J47" i="23" s="1"/>
  <c r="I68" i="23"/>
  <c r="F40" i="23"/>
  <c r="J40" i="23" s="1"/>
  <c r="F104" i="23"/>
  <c r="J104" i="23" s="1"/>
  <c r="F18" i="23"/>
  <c r="J18" i="23" s="1"/>
  <c r="F57" i="23"/>
  <c r="G57" i="23" s="1"/>
  <c r="H57" i="23" s="1"/>
  <c r="I7" i="23"/>
  <c r="F28" i="23"/>
  <c r="J28" i="23" s="1"/>
  <c r="F97" i="23"/>
  <c r="G97" i="23" s="1"/>
  <c r="H97" i="23" s="1"/>
  <c r="F8" i="23"/>
  <c r="J8" i="23" s="1"/>
  <c r="I58" i="23"/>
  <c r="I82" i="23"/>
  <c r="I74" i="23"/>
  <c r="I37" i="23"/>
  <c r="I35" i="23"/>
  <c r="I85" i="23"/>
  <c r="I29" i="23"/>
  <c r="F58" i="23"/>
  <c r="G58" i="23" s="1"/>
  <c r="H58" i="23" s="1"/>
  <c r="F51" i="23"/>
  <c r="J51" i="23" s="1"/>
  <c r="I15" i="23"/>
  <c r="I79" i="23"/>
  <c r="I93" i="23"/>
  <c r="I64" i="23"/>
  <c r="F100" i="23"/>
  <c r="G100" i="23" s="1"/>
  <c r="H100" i="23" s="1"/>
  <c r="F10" i="23"/>
  <c r="J10" i="23" s="1"/>
  <c r="F66" i="23"/>
  <c r="G66" i="23" s="1"/>
  <c r="H66" i="23" s="1"/>
  <c r="F55" i="23"/>
  <c r="J55" i="23" s="1"/>
  <c r="I100" i="23"/>
  <c r="F72" i="23"/>
  <c r="G72" i="23" s="1"/>
  <c r="H72" i="23" s="1"/>
  <c r="I39" i="23"/>
  <c r="I24" i="23"/>
  <c r="F29" i="23"/>
  <c r="J29" i="23" s="1"/>
  <c r="F93" i="23"/>
  <c r="G93" i="23" s="1"/>
  <c r="H93" i="23" s="1"/>
  <c r="F95" i="23"/>
  <c r="G95" i="23" s="1"/>
  <c r="H95" i="23" s="1"/>
  <c r="I26" i="23"/>
  <c r="I66" i="23"/>
  <c r="I18" i="23"/>
  <c r="I34" i="23"/>
  <c r="G96" i="23"/>
  <c r="H96" i="23" s="1"/>
  <c r="G41" i="23"/>
  <c r="H41" i="23" s="1"/>
  <c r="G36" i="23"/>
  <c r="H36" i="23" s="1"/>
  <c r="G86" i="23"/>
  <c r="H86" i="23" s="1"/>
  <c r="G23" i="23"/>
  <c r="H23" i="23" s="1"/>
  <c r="G62" i="23"/>
  <c r="H62" i="23" s="1"/>
  <c r="G11" i="23"/>
  <c r="H11" i="23" s="1"/>
  <c r="G48" i="23"/>
  <c r="H48" i="23" s="1"/>
  <c r="G9" i="23"/>
  <c r="H9" i="23" s="1"/>
  <c r="G69" i="23"/>
  <c r="H69" i="23" s="1"/>
  <c r="G75" i="23"/>
  <c r="H75" i="23" s="1"/>
  <c r="G89" i="23"/>
  <c r="H89" i="23" s="1"/>
  <c r="G39" i="23"/>
  <c r="H39" i="23" s="1"/>
  <c r="G99" i="23"/>
  <c r="H99" i="23" s="1"/>
  <c r="G76" i="23"/>
  <c r="H76" i="23" s="1"/>
  <c r="G98" i="23"/>
  <c r="H98" i="23" s="1"/>
  <c r="G27" i="23"/>
  <c r="H27" i="23" s="1"/>
  <c r="G79" i="23"/>
  <c r="H79" i="23" s="1"/>
  <c r="G78" i="23"/>
  <c r="H78" i="23" s="1"/>
  <c r="G70" i="23"/>
  <c r="H70" i="23" s="1"/>
  <c r="G59" i="23"/>
  <c r="H59" i="23" s="1"/>
  <c r="G33" i="23"/>
  <c r="H33" i="23" s="1"/>
  <c r="G43" i="23"/>
  <c r="H43" i="23" s="1"/>
  <c r="G16" i="23"/>
  <c r="H16" i="23" s="1"/>
  <c r="G106" i="23"/>
  <c r="H106" i="23" s="1"/>
  <c r="G31" i="23"/>
  <c r="H31" i="23" s="1"/>
  <c r="G38" i="23"/>
  <c r="H38" i="23" s="1"/>
  <c r="G56" i="23"/>
  <c r="H56" i="23" s="1"/>
  <c r="G44" i="23"/>
  <c r="H44" i="23" s="1"/>
  <c r="G7" i="23"/>
  <c r="H7" i="23" s="1"/>
  <c r="B19" i="19"/>
  <c r="D19" i="19" s="1"/>
  <c r="I17" i="8"/>
  <c r="J17" i="8" s="1"/>
  <c r="D182" i="2" s="1"/>
  <c r="F270" i="2" s="1"/>
  <c r="G181" i="2"/>
  <c r="F181" i="2"/>
  <c r="E50" i="1" s="1"/>
  <c r="H269" i="2" s="1"/>
  <c r="C48" i="16" s="1"/>
  <c r="I18" i="8"/>
  <c r="J18" i="8" s="1"/>
  <c r="G273" i="2" s="1"/>
  <c r="A276" i="2"/>
  <c r="B276" i="2"/>
  <c r="B257" i="2"/>
  <c r="R76" i="2"/>
  <c r="C34" i="16"/>
  <c r="B167" i="2"/>
  <c r="K71" i="2"/>
  <c r="K72" i="2"/>
  <c r="D257" i="2"/>
  <c r="C157" i="8"/>
  <c r="C156" i="8" s="1"/>
  <c r="C155" i="8" s="1"/>
  <c r="C154" i="8" s="1"/>
  <c r="C153" i="8" s="1"/>
  <c r="C152" i="8" s="1"/>
  <c r="C151" i="8" s="1"/>
  <c r="C150" i="8" s="1"/>
  <c r="C149" i="8" s="1"/>
  <c r="C148" i="8" s="1"/>
  <c r="C147" i="8" s="1"/>
  <c r="C146" i="8" s="1"/>
  <c r="C145" i="8" s="1"/>
  <c r="C144" i="8" s="1"/>
  <c r="C143" i="8" s="1"/>
  <c r="C142" i="8" s="1"/>
  <c r="C141" i="8" s="1"/>
  <c r="C140" i="8" s="1"/>
  <c r="C139" i="8" s="1"/>
  <c r="C138" i="8" s="1"/>
  <c r="C137" i="8" s="1"/>
  <c r="C136" i="8" s="1"/>
  <c r="C135" i="8" s="1"/>
  <c r="C134" i="8" s="1"/>
  <c r="C133" i="8" s="1"/>
  <c r="C132" i="8" s="1"/>
  <c r="C131" i="8" s="1"/>
  <c r="C130" i="8" s="1"/>
  <c r="C129" i="8" s="1"/>
  <c r="C128" i="8" s="1"/>
  <c r="C127" i="8" s="1"/>
  <c r="C126" i="8" s="1"/>
  <c r="C125" i="8" s="1"/>
  <c r="C124" i="8" s="1"/>
  <c r="C123" i="8" s="1"/>
  <c r="C122" i="8" s="1"/>
  <c r="C121" i="8" s="1"/>
  <c r="C120" i="8" s="1"/>
  <c r="C119" i="8" s="1"/>
  <c r="C118" i="8" s="1"/>
  <c r="C117" i="8" s="1"/>
  <c r="C116" i="8" s="1"/>
  <c r="C115" i="8" s="1"/>
  <c r="C114" i="8" s="1"/>
  <c r="C113" i="8" s="1"/>
  <c r="C112" i="8" s="1"/>
  <c r="C111" i="8" s="1"/>
  <c r="C110" i="8" s="1"/>
  <c r="C109" i="8" s="1"/>
  <c r="C108" i="8" s="1"/>
  <c r="C107" i="8" s="1"/>
  <c r="C106" i="8" s="1"/>
  <c r="C105" i="8" s="1"/>
  <c r="C104" i="8" s="1"/>
  <c r="C103" i="8" s="1"/>
  <c r="C102" i="8" s="1"/>
  <c r="C101" i="8" s="1"/>
  <c r="C100" i="8" s="1"/>
  <c r="C99" i="8" s="1"/>
  <c r="C98" i="8" s="1"/>
  <c r="C97" i="8" s="1"/>
  <c r="C96" i="8" s="1"/>
  <c r="C95" i="8" s="1"/>
  <c r="C94" i="8" s="1"/>
  <c r="C93" i="8" s="1"/>
  <c r="C92" i="8" s="1"/>
  <c r="C91" i="8" s="1"/>
  <c r="C90" i="8" s="1"/>
  <c r="C89" i="8" s="1"/>
  <c r="C88" i="8" s="1"/>
  <c r="C87" i="8" s="1"/>
  <c r="C86" i="8" s="1"/>
  <c r="C85" i="8" s="1"/>
  <c r="C84" i="8" s="1"/>
  <c r="C83" i="8" s="1"/>
  <c r="C82" i="8" s="1"/>
  <c r="C81" i="8" s="1"/>
  <c r="C80" i="8" s="1"/>
  <c r="C79" i="8" s="1"/>
  <c r="C78" i="8" s="1"/>
  <c r="C77" i="8" s="1"/>
  <c r="C76" i="8" s="1"/>
  <c r="C75" i="8" s="1"/>
  <c r="C74" i="8" s="1"/>
  <c r="C73" i="8" s="1"/>
  <c r="C72" i="8" s="1"/>
  <c r="C71" i="8" s="1"/>
  <c r="C70" i="8" s="1"/>
  <c r="C69" i="8" s="1"/>
  <c r="C68" i="8" s="1"/>
  <c r="C67" i="8" s="1"/>
  <c r="C66" i="8" s="1"/>
  <c r="C65" i="8" s="1"/>
  <c r="C64" i="8" s="1"/>
  <c r="C63" i="8" s="1"/>
  <c r="C62" i="8" s="1"/>
  <c r="C61" i="8" s="1"/>
  <c r="C60" i="8" s="1"/>
  <c r="C59" i="8" s="1"/>
  <c r="C58" i="8" s="1"/>
  <c r="C57" i="8" s="1"/>
  <c r="C56" i="8" s="1"/>
  <c r="C55" i="8" s="1"/>
  <c r="C54" i="8" s="1"/>
  <c r="C53" i="8" s="1"/>
  <c r="C52" i="8" s="1"/>
  <c r="C51" i="8" s="1"/>
  <c r="C50" i="8" s="1"/>
  <c r="C49" i="8" s="1"/>
  <c r="C48" i="8" s="1"/>
  <c r="C47" i="8" s="1"/>
  <c r="C46" i="8" s="1"/>
  <c r="C45" i="8" s="1"/>
  <c r="C44" i="8" s="1"/>
  <c r="C43" i="8" s="1"/>
  <c r="C42" i="8" s="1"/>
  <c r="C41" i="8" s="1"/>
  <c r="C40" i="8" s="1"/>
  <c r="C39" i="8" s="1"/>
  <c r="C38" i="8" s="1"/>
  <c r="C37" i="8" s="1"/>
  <c r="C36" i="8" s="1"/>
  <c r="C35" i="8" s="1"/>
  <c r="C34" i="8" s="1"/>
  <c r="C33" i="8" s="1"/>
  <c r="C32" i="8" s="1"/>
  <c r="C31" i="8" s="1"/>
  <c r="C30" i="8" s="1"/>
  <c r="C29" i="8" s="1"/>
  <c r="C28" i="8" s="1"/>
  <c r="C27" i="8" s="1"/>
  <c r="C26" i="8" s="1"/>
  <c r="C25" i="8" s="1"/>
  <c r="C24" i="8" s="1"/>
  <c r="C23" i="8" s="1"/>
  <c r="C22" i="8" s="1"/>
  <c r="C21" i="8" s="1"/>
  <c r="C20" i="8" s="1"/>
  <c r="C19" i="8" s="1"/>
  <c r="C18" i="8" s="1"/>
  <c r="C17" i="8" s="1"/>
  <c r="C16" i="8" s="1"/>
  <c r="C15" i="8" s="1"/>
  <c r="C14" i="8" s="1"/>
  <c r="C13" i="8" s="1"/>
  <c r="C12" i="8" s="1"/>
  <c r="C11" i="8" s="1"/>
  <c r="C10" i="8" s="1"/>
  <c r="C9" i="8" s="1"/>
  <c r="C8" i="8" s="1"/>
  <c r="C7" i="8" s="1"/>
  <c r="C6" i="8" s="1"/>
  <c r="C4" i="8" s="1"/>
  <c r="B256" i="2"/>
  <c r="C257" i="2"/>
  <c r="B258" i="2"/>
  <c r="A259" i="2"/>
  <c r="B262" i="2"/>
  <c r="I11" i="19"/>
  <c r="I15" i="19"/>
  <c r="I19" i="19"/>
  <c r="I23" i="19"/>
  <c r="I27" i="19"/>
  <c r="I31" i="19"/>
  <c r="I35" i="19"/>
  <c r="I39" i="19"/>
  <c r="I43" i="19"/>
  <c r="I47" i="19"/>
  <c r="I51" i="19"/>
  <c r="I55" i="19"/>
  <c r="I59" i="19"/>
  <c r="I63" i="19"/>
  <c r="I67" i="19"/>
  <c r="I71" i="19"/>
  <c r="I75" i="19"/>
  <c r="I79" i="19"/>
  <c r="I83" i="19"/>
  <c r="I87" i="19"/>
  <c r="I91" i="19"/>
  <c r="I95" i="19"/>
  <c r="I99" i="19"/>
  <c r="I103" i="19"/>
  <c r="I13" i="19"/>
  <c r="I17" i="19"/>
  <c r="I21" i="19"/>
  <c r="I25" i="19"/>
  <c r="I29" i="19"/>
  <c r="I33" i="19"/>
  <c r="I37" i="19"/>
  <c r="I41" i="19"/>
  <c r="I45" i="19"/>
  <c r="I49" i="19"/>
  <c r="I53" i="19"/>
  <c r="I57" i="19"/>
  <c r="I61" i="19"/>
  <c r="I65" i="19"/>
  <c r="I69" i="19"/>
  <c r="I73" i="19"/>
  <c r="I77" i="19"/>
  <c r="I81" i="19"/>
  <c r="I85" i="19"/>
  <c r="I89" i="19"/>
  <c r="I93" i="19"/>
  <c r="I97" i="19"/>
  <c r="I101" i="19"/>
  <c r="I105" i="19"/>
  <c r="I10" i="19"/>
  <c r="I18" i="19"/>
  <c r="I26" i="19"/>
  <c r="I34" i="19"/>
  <c r="I42" i="19"/>
  <c r="I50" i="19"/>
  <c r="I58" i="19"/>
  <c r="I66" i="19"/>
  <c r="I74" i="19"/>
  <c r="I82" i="19"/>
  <c r="I90" i="19"/>
  <c r="I98" i="19"/>
  <c r="I106" i="19"/>
  <c r="I14" i="19"/>
  <c r="I22" i="19"/>
  <c r="I30" i="19"/>
  <c r="I38" i="19"/>
  <c r="I46" i="19"/>
  <c r="I54" i="19"/>
  <c r="I62" i="19"/>
  <c r="I70" i="19"/>
  <c r="I78" i="19"/>
  <c r="I86" i="19"/>
  <c r="I94" i="19"/>
  <c r="I102" i="19"/>
  <c r="I20" i="19"/>
  <c r="I36" i="19"/>
  <c r="I52" i="19"/>
  <c r="I68" i="19"/>
  <c r="I84" i="19"/>
  <c r="I100" i="19"/>
  <c r="I24" i="19"/>
  <c r="I40" i="19"/>
  <c r="I56" i="19"/>
  <c r="I72" i="19"/>
  <c r="I88" i="19"/>
  <c r="I104" i="19"/>
  <c r="I12" i="19"/>
  <c r="I28" i="19"/>
  <c r="I44" i="19"/>
  <c r="I60" i="19"/>
  <c r="I76" i="19"/>
  <c r="I92" i="19"/>
  <c r="I16" i="19"/>
  <c r="I32" i="19"/>
  <c r="I48" i="19"/>
  <c r="I64" i="19"/>
  <c r="I80" i="19"/>
  <c r="I96" i="19"/>
  <c r="D18" i="19"/>
  <c r="W65" i="2" l="1"/>
  <c r="W66" i="2" s="1"/>
  <c r="D54" i="16" s="1"/>
  <c r="B25" i="29"/>
  <c r="B26" i="29" s="1"/>
  <c r="D26" i="29" s="1"/>
  <c r="DC5" i="24"/>
  <c r="N329" i="25"/>
  <c r="L75" i="1" s="1"/>
  <c r="K76" i="1" s="1"/>
  <c r="O329" i="25"/>
  <c r="I25" i="8" s="1"/>
  <c r="J25" i="8" s="1"/>
  <c r="G329" i="24"/>
  <c r="H329" i="24"/>
  <c r="I23" i="8" s="1"/>
  <c r="J23" i="8" s="1"/>
  <c r="CS110" i="25"/>
  <c r="DS110" i="25" s="1"/>
  <c r="B15" i="29"/>
  <c r="B21" i="29" s="1"/>
  <c r="B22" i="29" s="1"/>
  <c r="CU212" i="25"/>
  <c r="CW212" i="25"/>
  <c r="CO212" i="25" s="1"/>
  <c r="CZ212" i="25" s="1"/>
  <c r="CV212" i="25"/>
  <c r="DS212" i="25"/>
  <c r="CY212" i="25"/>
  <c r="CT212" i="25"/>
  <c r="FD212" i="25" s="1"/>
  <c r="G329" i="25"/>
  <c r="I28" i="8"/>
  <c r="EQ266" i="25"/>
  <c r="EU266" i="25" s="1"/>
  <c r="FG266" i="25"/>
  <c r="EQ277" i="25"/>
  <c r="EU277" i="25" s="1"/>
  <c r="FG277" i="25"/>
  <c r="FG233" i="25"/>
  <c r="EQ233" i="25"/>
  <c r="EU233" i="25" s="1"/>
  <c r="EQ285" i="25"/>
  <c r="EU285" i="25" s="1"/>
  <c r="FG285" i="25"/>
  <c r="FG280" i="25"/>
  <c r="EQ280" i="25"/>
  <c r="EU280" i="25" s="1"/>
  <c r="FG243" i="25"/>
  <c r="EQ243" i="25"/>
  <c r="EU243" i="25" s="1"/>
  <c r="EQ244" i="25"/>
  <c r="EU244" i="25" s="1"/>
  <c r="FG244" i="25"/>
  <c r="FG295" i="25"/>
  <c r="EQ295" i="25"/>
  <c r="EU295" i="25" s="1"/>
  <c r="FG242" i="25"/>
  <c r="EQ242" i="25"/>
  <c r="EU242" i="25" s="1"/>
  <c r="EQ307" i="25"/>
  <c r="EU307" i="25" s="1"/>
  <c r="FG307" i="25"/>
  <c r="EQ250" i="25"/>
  <c r="EU250" i="25" s="1"/>
  <c r="FG250" i="25"/>
  <c r="FG284" i="25"/>
  <c r="EQ284" i="25"/>
  <c r="EU284" i="25" s="1"/>
  <c r="EQ298" i="25"/>
  <c r="EU298" i="25" s="1"/>
  <c r="FG298" i="25"/>
  <c r="EQ227" i="25"/>
  <c r="EU227" i="25" s="1"/>
  <c r="FG227" i="25"/>
  <c r="EQ239" i="25"/>
  <c r="EU239" i="25" s="1"/>
  <c r="FG239" i="25"/>
  <c r="EQ287" i="25"/>
  <c r="EU287" i="25" s="1"/>
  <c r="FG287" i="25"/>
  <c r="FG290" i="25"/>
  <c r="EQ290" i="25"/>
  <c r="EU290" i="25" s="1"/>
  <c r="EQ245" i="25"/>
  <c r="EU245" i="25" s="1"/>
  <c r="FG245" i="25"/>
  <c r="EQ252" i="25"/>
  <c r="EU252" i="25" s="1"/>
  <c r="FG252" i="25"/>
  <c r="FG314" i="25"/>
  <c r="EQ314" i="25"/>
  <c r="EU314" i="25" s="1"/>
  <c r="EQ251" i="25"/>
  <c r="EU251" i="25" s="1"/>
  <c r="FG251" i="25"/>
  <c r="FG309" i="25"/>
  <c r="EQ309" i="25"/>
  <c r="EU309" i="25" s="1"/>
  <c r="EQ256" i="25"/>
  <c r="EU256" i="25" s="1"/>
  <c r="FG256" i="25"/>
  <c r="FG313" i="25"/>
  <c r="EQ313" i="25"/>
  <c r="EU313" i="25" s="1"/>
  <c r="FG257" i="25"/>
  <c r="EQ257" i="25"/>
  <c r="EU257" i="25" s="1"/>
  <c r="FG247" i="25"/>
  <c r="EQ247" i="25"/>
  <c r="EU247" i="25" s="1"/>
  <c r="FG308" i="25"/>
  <c r="EQ308" i="25"/>
  <c r="EU308" i="25" s="1"/>
  <c r="EQ292" i="25"/>
  <c r="EU292" i="25" s="1"/>
  <c r="FG292" i="25"/>
  <c r="EQ246" i="25"/>
  <c r="EU246" i="25" s="1"/>
  <c r="FG246" i="25"/>
  <c r="FG253" i="25"/>
  <c r="EQ253" i="25"/>
  <c r="EU253" i="25" s="1"/>
  <c r="EQ254" i="25"/>
  <c r="EU254" i="25" s="1"/>
  <c r="FG254" i="25"/>
  <c r="FG259" i="25"/>
  <c r="EQ259" i="25"/>
  <c r="EU259" i="25" s="1"/>
  <c r="FG258" i="25"/>
  <c r="EQ258" i="25"/>
  <c r="EU258" i="25" s="1"/>
  <c r="EQ293" i="25"/>
  <c r="EU293" i="25" s="1"/>
  <c r="FG293" i="25"/>
  <c r="EQ224" i="25"/>
  <c r="EU224" i="25" s="1"/>
  <c r="FG224" i="25"/>
  <c r="FG222" i="25"/>
  <c r="EQ222" i="25"/>
  <c r="EU222" i="25" s="1"/>
  <c r="EQ270" i="25"/>
  <c r="EU270" i="25" s="1"/>
  <c r="FG270" i="25"/>
  <c r="FG229" i="25"/>
  <c r="EQ229" i="25"/>
  <c r="EU229" i="25" s="1"/>
  <c r="EQ296" i="25"/>
  <c r="EU296" i="25" s="1"/>
  <c r="FG296" i="25"/>
  <c r="EQ301" i="25"/>
  <c r="EU301" i="25" s="1"/>
  <c r="FG301" i="25"/>
  <c r="EQ260" i="25"/>
  <c r="EU260" i="25" s="1"/>
  <c r="FG260" i="25"/>
  <c r="EQ255" i="25"/>
  <c r="EU255" i="25" s="1"/>
  <c r="FG255" i="25"/>
  <c r="EQ263" i="25"/>
  <c r="EU263" i="25" s="1"/>
  <c r="FG263" i="25"/>
  <c r="EQ265" i="25"/>
  <c r="EU265" i="25" s="1"/>
  <c r="FG265" i="25"/>
  <c r="FG304" i="25"/>
  <c r="EQ304" i="25"/>
  <c r="EU304" i="25" s="1"/>
  <c r="FG264" i="25"/>
  <c r="EQ264" i="25"/>
  <c r="EU264" i="25" s="1"/>
  <c r="EQ249" i="25"/>
  <c r="EU249" i="25" s="1"/>
  <c r="FG249" i="25"/>
  <c r="FG273" i="25"/>
  <c r="EQ273" i="25"/>
  <c r="EU273" i="25" s="1"/>
  <c r="FG248" i="25"/>
  <c r="EQ248" i="25"/>
  <c r="EU248" i="25" s="1"/>
  <c r="EQ297" i="25"/>
  <c r="EU297" i="25" s="1"/>
  <c r="FG297" i="25"/>
  <c r="EQ221" i="25"/>
  <c r="EU221" i="25" s="1"/>
  <c r="FG221" i="25"/>
  <c r="EQ303" i="25"/>
  <c r="EU303" i="25" s="1"/>
  <c r="FG303" i="25"/>
  <c r="EQ268" i="25"/>
  <c r="EU268" i="25" s="1"/>
  <c r="FG268" i="25"/>
  <c r="FG218" i="25"/>
  <c r="EQ218" i="25"/>
  <c r="EU218" i="25" s="1"/>
  <c r="EQ267" i="25"/>
  <c r="EU267" i="25" s="1"/>
  <c r="FG267" i="25"/>
  <c r="EQ278" i="25"/>
  <c r="EU278" i="25" s="1"/>
  <c r="FG278" i="25"/>
  <c r="EQ286" i="25"/>
  <c r="EU286" i="25" s="1"/>
  <c r="FG286" i="25"/>
  <c r="EQ312" i="25"/>
  <c r="EU312" i="25" s="1"/>
  <c r="FG312" i="25"/>
  <c r="EQ282" i="25"/>
  <c r="EU282" i="25" s="1"/>
  <c r="FG282" i="25"/>
  <c r="EQ291" i="25"/>
  <c r="EU291" i="25" s="1"/>
  <c r="FG291" i="25"/>
  <c r="EQ217" i="25"/>
  <c r="EU217" i="25" s="1"/>
  <c r="FG217" i="25"/>
  <c r="FG274" i="25"/>
  <c r="EQ274" i="25"/>
  <c r="EU274" i="25" s="1"/>
  <c r="EQ261" i="25"/>
  <c r="EU261" i="25" s="1"/>
  <c r="FG261" i="25"/>
  <c r="EQ311" i="25"/>
  <c r="EU311" i="25" s="1"/>
  <c r="FG311" i="25"/>
  <c r="FG223" i="25"/>
  <c r="EQ223" i="25"/>
  <c r="EU223" i="25" s="1"/>
  <c r="EQ310" i="25"/>
  <c r="EU310" i="25" s="1"/>
  <c r="FG310" i="25"/>
  <c r="FG279" i="25"/>
  <c r="EQ279" i="25"/>
  <c r="EU279" i="25" s="1"/>
  <c r="EQ231" i="25"/>
  <c r="EU231" i="25" s="1"/>
  <c r="FG231" i="25"/>
  <c r="EQ271" i="25"/>
  <c r="EU271" i="25" s="1"/>
  <c r="FG271" i="25"/>
  <c r="EQ220" i="25"/>
  <c r="EU220" i="25" s="1"/>
  <c r="FG220" i="25"/>
  <c r="FG299" i="25"/>
  <c r="EQ299" i="25"/>
  <c r="EU299" i="25" s="1"/>
  <c r="FG305" i="25"/>
  <c r="EQ305" i="25"/>
  <c r="EU305" i="25" s="1"/>
  <c r="EQ234" i="25"/>
  <c r="EU234" i="25" s="1"/>
  <c r="FG234" i="25"/>
  <c r="EQ316" i="25"/>
  <c r="EU316" i="25" s="1"/>
  <c r="FG316" i="25"/>
  <c r="EQ288" i="25"/>
  <c r="EU288" i="25" s="1"/>
  <c r="FG288" i="25"/>
  <c r="EQ302" i="25"/>
  <c r="EU302" i="25" s="1"/>
  <c r="FG302" i="25"/>
  <c r="FG219" i="25"/>
  <c r="EQ219" i="25"/>
  <c r="EU219" i="25" s="1"/>
  <c r="FG281" i="25"/>
  <c r="EQ281" i="25"/>
  <c r="EU281" i="25" s="1"/>
  <c r="FG269" i="25"/>
  <c r="EQ269" i="25"/>
  <c r="EU269" i="25" s="1"/>
  <c r="EQ315" i="25"/>
  <c r="EU315" i="25" s="1"/>
  <c r="FG315" i="25"/>
  <c r="EQ232" i="25"/>
  <c r="EU232" i="25" s="1"/>
  <c r="FG232" i="25"/>
  <c r="FG228" i="25"/>
  <c r="EQ228" i="25"/>
  <c r="EU228" i="25" s="1"/>
  <c r="FG289" i="25"/>
  <c r="EQ289" i="25"/>
  <c r="EU289" i="25" s="1"/>
  <c r="EQ236" i="25"/>
  <c r="EU236" i="25" s="1"/>
  <c r="FG236" i="25"/>
  <c r="EQ272" i="25"/>
  <c r="EU272" i="25" s="1"/>
  <c r="FG272" i="25"/>
  <c r="EQ225" i="25"/>
  <c r="EU225" i="25" s="1"/>
  <c r="FG225" i="25"/>
  <c r="FG300" i="25"/>
  <c r="EQ300" i="25"/>
  <c r="EU300" i="25" s="1"/>
  <c r="EQ240" i="25"/>
  <c r="EU240" i="25" s="1"/>
  <c r="FG240" i="25"/>
  <c r="EQ230" i="25"/>
  <c r="EU230" i="25" s="1"/>
  <c r="FG230" i="25"/>
  <c r="EQ262" i="25"/>
  <c r="EU262" i="25" s="1"/>
  <c r="FG262" i="25"/>
  <c r="EQ226" i="25"/>
  <c r="EU226" i="25" s="1"/>
  <c r="FG226" i="25"/>
  <c r="EQ283" i="25"/>
  <c r="EU283" i="25" s="1"/>
  <c r="FG283" i="25"/>
  <c r="EQ276" i="25"/>
  <c r="EU276" i="25" s="1"/>
  <c r="FG276" i="25"/>
  <c r="FG238" i="25"/>
  <c r="EQ238" i="25"/>
  <c r="EU238" i="25" s="1"/>
  <c r="FG237" i="25"/>
  <c r="EQ237" i="25"/>
  <c r="EU237" i="25" s="1"/>
  <c r="FG294" i="25"/>
  <c r="EQ294" i="25"/>
  <c r="EU294" i="25" s="1"/>
  <c r="EQ241" i="25"/>
  <c r="EU241" i="25" s="1"/>
  <c r="FG241" i="25"/>
  <c r="FG275" i="25"/>
  <c r="EQ275" i="25"/>
  <c r="EU275" i="25" s="1"/>
  <c r="EQ235" i="25"/>
  <c r="EU235" i="25" s="1"/>
  <c r="FG235" i="25"/>
  <c r="EQ306" i="25"/>
  <c r="EU306" i="25" s="1"/>
  <c r="FG306" i="25"/>
  <c r="CU112" i="25"/>
  <c r="CV112" i="25"/>
  <c r="CL112" i="25"/>
  <c r="DP112" i="25"/>
  <c r="EQ112" i="25"/>
  <c r="EU112" i="25" s="1"/>
  <c r="FG112" i="25"/>
  <c r="CX112" i="25"/>
  <c r="CW112" i="25"/>
  <c r="CO112" i="25" s="1"/>
  <c r="B41" i="2"/>
  <c r="B110" i="2" s="1"/>
  <c r="CT112" i="25"/>
  <c r="CY110" i="24"/>
  <c r="DA110" i="24" s="1"/>
  <c r="CT110" i="24"/>
  <c r="CU110" i="24"/>
  <c r="CU5" i="24"/>
  <c r="CV5" i="24" s="1"/>
  <c r="CT5" i="24"/>
  <c r="CS216" i="25"/>
  <c r="DS216" i="25" s="1"/>
  <c r="CS110" i="24"/>
  <c r="FD110" i="24" s="1"/>
  <c r="DM110" i="24"/>
  <c r="DB110" i="24"/>
  <c r="DE110" i="24" s="1"/>
  <c r="DF110" i="24" s="1"/>
  <c r="DG110" i="24" s="1"/>
  <c r="DI110" i="24"/>
  <c r="DB5" i="24"/>
  <c r="DE5" i="24" s="1"/>
  <c r="DF5" i="24" s="1"/>
  <c r="DG5" i="24" s="1"/>
  <c r="DM5" i="24"/>
  <c r="DI5" i="24"/>
  <c r="CY216" i="24"/>
  <c r="CT216" i="24"/>
  <c r="DT216" i="24"/>
  <c r="CU216" i="24"/>
  <c r="CS216" i="24"/>
  <c r="FD216" i="24" s="1"/>
  <c r="CN216" i="24"/>
  <c r="CW113" i="25"/>
  <c r="CO113" i="25" s="1"/>
  <c r="CU113" i="25"/>
  <c r="CV113" i="25"/>
  <c r="FG20" i="25"/>
  <c r="DP20" i="25"/>
  <c r="EQ20" i="25"/>
  <c r="EU20" i="25" s="1"/>
  <c r="CL20" i="25"/>
  <c r="CX20" i="25"/>
  <c r="EQ8" i="25"/>
  <c r="EU8" i="25" s="1"/>
  <c r="DP8" i="25"/>
  <c r="FG8" i="25"/>
  <c r="CX8" i="25"/>
  <c r="CL8" i="25"/>
  <c r="EQ208" i="25"/>
  <c r="EU208" i="25" s="1"/>
  <c r="CL208" i="25"/>
  <c r="CX208" i="25"/>
  <c r="DP208" i="25"/>
  <c r="FG208" i="25"/>
  <c r="FG157" i="25"/>
  <c r="CL157" i="25"/>
  <c r="EQ157" i="25"/>
  <c r="EU157" i="25" s="1"/>
  <c r="DP157" i="25"/>
  <c r="CX157" i="25"/>
  <c r="CY157" i="25" s="1"/>
  <c r="DP15" i="25"/>
  <c r="CL15" i="25"/>
  <c r="EQ15" i="25"/>
  <c r="EU15" i="25" s="1"/>
  <c r="FG15" i="25"/>
  <c r="CX15" i="25"/>
  <c r="EQ117" i="25"/>
  <c r="EU117" i="25" s="1"/>
  <c r="CX117" i="25"/>
  <c r="DP117" i="25"/>
  <c r="CL117" i="25"/>
  <c r="FG117" i="25"/>
  <c r="EQ25" i="25"/>
  <c r="EU25" i="25" s="1"/>
  <c r="CL25" i="25"/>
  <c r="CX25" i="25"/>
  <c r="FG25" i="25"/>
  <c r="DP25" i="25"/>
  <c r="EQ59" i="25"/>
  <c r="EU59" i="25" s="1"/>
  <c r="DP59" i="25"/>
  <c r="CL59" i="25"/>
  <c r="FG59" i="25"/>
  <c r="CX59" i="25"/>
  <c r="EQ43" i="25"/>
  <c r="EU43" i="25" s="1"/>
  <c r="CL43" i="25"/>
  <c r="FG43" i="25"/>
  <c r="DP43" i="25"/>
  <c r="CX43" i="25"/>
  <c r="FG22" i="25"/>
  <c r="CX22" i="25"/>
  <c r="DP22" i="25"/>
  <c r="EQ22" i="25"/>
  <c r="EU22" i="25" s="1"/>
  <c r="CL22" i="25"/>
  <c r="EQ119" i="25"/>
  <c r="EU119" i="25" s="1"/>
  <c r="FG119" i="25"/>
  <c r="CX119" i="25"/>
  <c r="DP119" i="25"/>
  <c r="CL119" i="25"/>
  <c r="CL89" i="25"/>
  <c r="FG89" i="25"/>
  <c r="EQ89" i="25"/>
  <c r="EU89" i="25" s="1"/>
  <c r="DP89" i="25"/>
  <c r="CX89" i="25"/>
  <c r="DP262" i="25"/>
  <c r="CL262" i="25"/>
  <c r="CX262" i="25"/>
  <c r="CL74" i="25"/>
  <c r="DP74" i="25"/>
  <c r="EQ74" i="25"/>
  <c r="EU74" i="25" s="1"/>
  <c r="FG74" i="25"/>
  <c r="CX74" i="25"/>
  <c r="CL33" i="25"/>
  <c r="EQ33" i="25"/>
  <c r="EU33" i="25" s="1"/>
  <c r="FG33" i="25"/>
  <c r="DP33" i="25"/>
  <c r="CX33" i="25"/>
  <c r="DP79" i="25"/>
  <c r="EQ79" i="25"/>
  <c r="EU79" i="25" s="1"/>
  <c r="CX79" i="25"/>
  <c r="FG79" i="25"/>
  <c r="CL79" i="25"/>
  <c r="CX125" i="25"/>
  <c r="DP125" i="25"/>
  <c r="CL125" i="25"/>
  <c r="EQ125" i="25"/>
  <c r="EU125" i="25" s="1"/>
  <c r="FG125" i="25"/>
  <c r="FG85" i="25"/>
  <c r="CL85" i="25"/>
  <c r="DP85" i="25"/>
  <c r="EQ85" i="25"/>
  <c r="EU85" i="25" s="1"/>
  <c r="CX85" i="25"/>
  <c r="EQ145" i="25"/>
  <c r="EU145" i="25" s="1"/>
  <c r="FG145" i="25"/>
  <c r="CL145" i="25"/>
  <c r="DP145" i="25"/>
  <c r="CX145" i="25"/>
  <c r="EQ57" i="25"/>
  <c r="EU57" i="25" s="1"/>
  <c r="DP57" i="25"/>
  <c r="CX57" i="25"/>
  <c r="CL57" i="25"/>
  <c r="FG57" i="25"/>
  <c r="EQ129" i="25"/>
  <c r="EU129" i="25" s="1"/>
  <c r="FG129" i="25"/>
  <c r="CL129" i="25"/>
  <c r="DP129" i="25"/>
  <c r="CX129" i="25"/>
  <c r="FG143" i="25"/>
  <c r="CL143" i="25"/>
  <c r="DP143" i="25"/>
  <c r="CX143" i="25"/>
  <c r="EQ143" i="25"/>
  <c r="EU143" i="25" s="1"/>
  <c r="EQ148" i="25"/>
  <c r="EU148" i="25" s="1"/>
  <c r="FG148" i="25"/>
  <c r="DP148" i="25"/>
  <c r="CL148" i="25"/>
  <c r="CX148" i="25"/>
  <c r="DP226" i="25"/>
  <c r="CL226" i="25"/>
  <c r="CX226" i="25"/>
  <c r="CY226" i="25" s="1"/>
  <c r="DP283" i="25"/>
  <c r="CL283" i="25"/>
  <c r="CX283" i="25"/>
  <c r="EQ185" i="25"/>
  <c r="EU185" i="25" s="1"/>
  <c r="FG185" i="25"/>
  <c r="CL185" i="25"/>
  <c r="DP185" i="25"/>
  <c r="CX185" i="25"/>
  <c r="CL276" i="25"/>
  <c r="CX276" i="25"/>
  <c r="DP276" i="25"/>
  <c r="EQ146" i="25"/>
  <c r="EU146" i="25" s="1"/>
  <c r="FG146" i="25"/>
  <c r="CL146" i="25"/>
  <c r="DP146" i="25"/>
  <c r="CX146" i="25"/>
  <c r="CL238" i="25"/>
  <c r="DP238" i="25"/>
  <c r="CX238" i="25"/>
  <c r="CY238" i="25" s="1"/>
  <c r="CL161" i="25"/>
  <c r="FG161" i="25"/>
  <c r="DP161" i="25"/>
  <c r="EQ161" i="25"/>
  <c r="EU161" i="25" s="1"/>
  <c r="CX161" i="25"/>
  <c r="CL237" i="25"/>
  <c r="CX237" i="25"/>
  <c r="DP237" i="25"/>
  <c r="DP294" i="25"/>
  <c r="CX294" i="25"/>
  <c r="CL294" i="25"/>
  <c r="EQ180" i="25"/>
  <c r="EU180" i="25" s="1"/>
  <c r="DP180" i="25"/>
  <c r="CX180" i="25"/>
  <c r="FG180" i="25"/>
  <c r="CL180" i="25"/>
  <c r="CL241" i="25"/>
  <c r="CX241" i="25"/>
  <c r="DP241" i="25"/>
  <c r="CL275" i="25"/>
  <c r="DP275" i="25"/>
  <c r="CX275" i="25"/>
  <c r="FG194" i="25"/>
  <c r="CX194" i="25"/>
  <c r="DP194" i="25"/>
  <c r="CL194" i="25"/>
  <c r="EQ194" i="25"/>
  <c r="EU194" i="25" s="1"/>
  <c r="CX235" i="25"/>
  <c r="CL235" i="25"/>
  <c r="DP235" i="25"/>
  <c r="DP306" i="25"/>
  <c r="CL306" i="25"/>
  <c r="CX306" i="25"/>
  <c r="CU12" i="25"/>
  <c r="CW12" i="25"/>
  <c r="CO12" i="25" s="1"/>
  <c r="CV12" i="25"/>
  <c r="CV8" i="25"/>
  <c r="CW8" i="25"/>
  <c r="CO8" i="25" s="1"/>
  <c r="CU8" i="25"/>
  <c r="CW63" i="25"/>
  <c r="CO63" i="25" s="1"/>
  <c r="CU63" i="25"/>
  <c r="CV63" i="25"/>
  <c r="CV225" i="25"/>
  <c r="CU225" i="25"/>
  <c r="CW225" i="25"/>
  <c r="CO225" i="25" s="1"/>
  <c r="CV230" i="25"/>
  <c r="CU230" i="25"/>
  <c r="CW230" i="25"/>
  <c r="CO230" i="25" s="1"/>
  <c r="CW222" i="25"/>
  <c r="CO222" i="25" s="1"/>
  <c r="CU222" i="25"/>
  <c r="CV222" i="25"/>
  <c r="CU261" i="25"/>
  <c r="CV261" i="25"/>
  <c r="CW261" i="25"/>
  <c r="CO261" i="25" s="1"/>
  <c r="CW74" i="25"/>
  <c r="CO74" i="25" s="1"/>
  <c r="CV74" i="25"/>
  <c r="CU74" i="25"/>
  <c r="CV33" i="25"/>
  <c r="CU33" i="25"/>
  <c r="CW33" i="25"/>
  <c r="CO33" i="25" s="1"/>
  <c r="CU291" i="25"/>
  <c r="CV291" i="25"/>
  <c r="CW291" i="25"/>
  <c r="CO291" i="25" s="1"/>
  <c r="CW238" i="25"/>
  <c r="CO238" i="25" s="1"/>
  <c r="CV238" i="25"/>
  <c r="CU238" i="25"/>
  <c r="CU285" i="25"/>
  <c r="CW285" i="25"/>
  <c r="CO285" i="25" s="1"/>
  <c r="CV285" i="25"/>
  <c r="CU309" i="25"/>
  <c r="CW309" i="25"/>
  <c r="CO309" i="25" s="1"/>
  <c r="CV309" i="25"/>
  <c r="CV273" i="25"/>
  <c r="CW273" i="25"/>
  <c r="CO273" i="25" s="1"/>
  <c r="CU273" i="25"/>
  <c r="CW253" i="25"/>
  <c r="CO253" i="25" s="1"/>
  <c r="CU253" i="25"/>
  <c r="CV253" i="25"/>
  <c r="CV223" i="25"/>
  <c r="CU223" i="25"/>
  <c r="CW223" i="25"/>
  <c r="CO223" i="25" s="1"/>
  <c r="CU197" i="25"/>
  <c r="CW197" i="25"/>
  <c r="CO197" i="25" s="1"/>
  <c r="CV197" i="25"/>
  <c r="CW189" i="25"/>
  <c r="CO189" i="25" s="1"/>
  <c r="CV189" i="25"/>
  <c r="CU189" i="25"/>
  <c r="CU297" i="25"/>
  <c r="CW297" i="25"/>
  <c r="CO297" i="25" s="1"/>
  <c r="CV297" i="25"/>
  <c r="CV296" i="25"/>
  <c r="CU296" i="25"/>
  <c r="CW296" i="25"/>
  <c r="CO296" i="25" s="1"/>
  <c r="CW219" i="25"/>
  <c r="CO219" i="25" s="1"/>
  <c r="CV219" i="25"/>
  <c r="CU219" i="25"/>
  <c r="CW140" i="25"/>
  <c r="CO140" i="25" s="1"/>
  <c r="CV140" i="25"/>
  <c r="CU140" i="25"/>
  <c r="CU54" i="25"/>
  <c r="CW54" i="25"/>
  <c r="CO54" i="25" s="1"/>
  <c r="CV54" i="25"/>
  <c r="CV245" i="25"/>
  <c r="CU245" i="25"/>
  <c r="CW245" i="25"/>
  <c r="CO245" i="25" s="1"/>
  <c r="CW133" i="25"/>
  <c r="CO133" i="25" s="1"/>
  <c r="CU133" i="25"/>
  <c r="CV133" i="25"/>
  <c r="CW123" i="25"/>
  <c r="CO123" i="25" s="1"/>
  <c r="CV123" i="25"/>
  <c r="CU123" i="25"/>
  <c r="CW73" i="25"/>
  <c r="CO73" i="25" s="1"/>
  <c r="CV73" i="25"/>
  <c r="CU73" i="25"/>
  <c r="CW125" i="25"/>
  <c r="CO125" i="25" s="1"/>
  <c r="CV125" i="25"/>
  <c r="CU125" i="25"/>
  <c r="CU118" i="25"/>
  <c r="CW118" i="25"/>
  <c r="CO118" i="25" s="1"/>
  <c r="CV118" i="25"/>
  <c r="CW115" i="25"/>
  <c r="CO115" i="25" s="1"/>
  <c r="CV115" i="25"/>
  <c r="CU115" i="25"/>
  <c r="CW49" i="25"/>
  <c r="CO49" i="25" s="1"/>
  <c r="CU49" i="25"/>
  <c r="CV49" i="25"/>
  <c r="CV204" i="25"/>
  <c r="CU204" i="25"/>
  <c r="CW204" i="25"/>
  <c r="CO204" i="25" s="1"/>
  <c r="CW182" i="25"/>
  <c r="CO182" i="25" s="1"/>
  <c r="CU182" i="25"/>
  <c r="CV182" i="25"/>
  <c r="CW178" i="25"/>
  <c r="CO178" i="25" s="1"/>
  <c r="CU178" i="25"/>
  <c r="CV178" i="25"/>
  <c r="CV192" i="25"/>
  <c r="CW192" i="25"/>
  <c r="CO192" i="25" s="1"/>
  <c r="CU192" i="25"/>
  <c r="CW258" i="25"/>
  <c r="CO258" i="25" s="1"/>
  <c r="CV258" i="25"/>
  <c r="CU258" i="25"/>
  <c r="FG154" i="25"/>
  <c r="CL154" i="25"/>
  <c r="EQ154" i="25"/>
  <c r="EU154" i="25" s="1"/>
  <c r="DP154" i="25"/>
  <c r="CX154" i="25"/>
  <c r="CY154" i="25" s="1"/>
  <c r="DP305" i="25"/>
  <c r="CX305" i="25"/>
  <c r="CL305" i="25"/>
  <c r="FG68" i="25"/>
  <c r="CL68" i="25"/>
  <c r="DP68" i="25"/>
  <c r="EQ68" i="25"/>
  <c r="EU68" i="25" s="1"/>
  <c r="CX68" i="25"/>
  <c r="DP64" i="25"/>
  <c r="EQ64" i="25"/>
  <c r="EU64" i="25" s="1"/>
  <c r="FG64" i="25"/>
  <c r="CL64" i="25"/>
  <c r="CX64" i="25"/>
  <c r="EQ128" i="25"/>
  <c r="EU128" i="25" s="1"/>
  <c r="FG128" i="25"/>
  <c r="CL128" i="25"/>
  <c r="DP128" i="25"/>
  <c r="CX128" i="25"/>
  <c r="CL232" i="25"/>
  <c r="DP232" i="25"/>
  <c r="CX232" i="25"/>
  <c r="EQ179" i="25"/>
  <c r="EU179" i="25" s="1"/>
  <c r="DP179" i="25"/>
  <c r="CX179" i="25"/>
  <c r="FG179" i="25"/>
  <c r="CL179" i="25"/>
  <c r="CU250" i="25"/>
  <c r="CW250" i="25"/>
  <c r="CO250" i="25" s="1"/>
  <c r="CV250" i="25"/>
  <c r="CU94" i="25"/>
  <c r="CW94" i="25"/>
  <c r="CO94" i="25" s="1"/>
  <c r="CV94" i="25"/>
  <c r="CW55" i="25"/>
  <c r="CO55" i="25" s="1"/>
  <c r="CV55" i="25"/>
  <c r="CU55" i="25"/>
  <c r="CU260" i="25"/>
  <c r="CV260" i="25"/>
  <c r="CW260" i="25"/>
  <c r="CO260" i="25" s="1"/>
  <c r="CU124" i="25"/>
  <c r="CW124" i="25"/>
  <c r="CO124" i="25" s="1"/>
  <c r="CV124" i="25"/>
  <c r="CW145" i="25"/>
  <c r="CO145" i="25" s="1"/>
  <c r="CV145" i="25"/>
  <c r="CU145" i="25"/>
  <c r="CW62" i="25"/>
  <c r="CO62" i="25" s="1"/>
  <c r="CU62" i="25"/>
  <c r="CV62" i="25"/>
  <c r="CW139" i="25"/>
  <c r="CO139" i="25" s="1"/>
  <c r="CV139" i="25"/>
  <c r="CU139" i="25"/>
  <c r="CU315" i="25"/>
  <c r="CV315" i="25"/>
  <c r="CW315" i="25"/>
  <c r="CO315" i="25" s="1"/>
  <c r="CW69" i="25"/>
  <c r="CO69" i="25" s="1"/>
  <c r="CV69" i="25"/>
  <c r="CU69" i="25"/>
  <c r="CW177" i="25"/>
  <c r="CO177" i="25" s="1"/>
  <c r="CU177" i="25"/>
  <c r="CV177" i="25"/>
  <c r="FG38" i="25"/>
  <c r="CX38" i="25"/>
  <c r="DP38" i="25"/>
  <c r="EQ38" i="25"/>
  <c r="EU38" i="25" s="1"/>
  <c r="CL38" i="25"/>
  <c r="EQ37" i="25"/>
  <c r="EU37" i="25" s="1"/>
  <c r="CL37" i="25"/>
  <c r="CX37" i="25"/>
  <c r="DP37" i="25"/>
  <c r="FG37" i="25"/>
  <c r="FG14" i="25"/>
  <c r="CX14" i="25"/>
  <c r="CL14" i="25"/>
  <c r="EQ14" i="25"/>
  <c r="EU14" i="25" s="1"/>
  <c r="DP14" i="25"/>
  <c r="EQ176" i="25"/>
  <c r="EU176" i="25" s="1"/>
  <c r="DP176" i="25"/>
  <c r="FG176" i="25"/>
  <c r="CX176" i="25"/>
  <c r="CL176" i="25"/>
  <c r="FG17" i="25"/>
  <c r="CL17" i="25"/>
  <c r="EQ17" i="25"/>
  <c r="EU17" i="25" s="1"/>
  <c r="CX17" i="25"/>
  <c r="DP17" i="25"/>
  <c r="FG175" i="25"/>
  <c r="CX175" i="25"/>
  <c r="DP175" i="25"/>
  <c r="CL175" i="25"/>
  <c r="EQ175" i="25"/>
  <c r="EU175" i="25" s="1"/>
  <c r="EQ27" i="25"/>
  <c r="EU27" i="25" s="1"/>
  <c r="DP27" i="25"/>
  <c r="CL27" i="25"/>
  <c r="FG27" i="25"/>
  <c r="CX27" i="25"/>
  <c r="DP82" i="25"/>
  <c r="CL82" i="25"/>
  <c r="FG82" i="25"/>
  <c r="EQ82" i="25"/>
  <c r="EU82" i="25" s="1"/>
  <c r="CX82" i="25"/>
  <c r="CY82" i="25" s="1"/>
  <c r="CL55" i="25"/>
  <c r="FG55" i="25"/>
  <c r="EQ55" i="25"/>
  <c r="EU55" i="25" s="1"/>
  <c r="DP55" i="25"/>
  <c r="CX55" i="25"/>
  <c r="DP47" i="25"/>
  <c r="FG47" i="25"/>
  <c r="EQ47" i="25"/>
  <c r="EU47" i="25" s="1"/>
  <c r="CL47" i="25"/>
  <c r="CX47" i="25"/>
  <c r="CX266" i="25"/>
  <c r="DP266" i="25"/>
  <c r="CL266" i="25"/>
  <c r="DP90" i="25"/>
  <c r="CL90" i="25"/>
  <c r="CX90" i="25"/>
  <c r="EQ90" i="25"/>
  <c r="EU90" i="25" s="1"/>
  <c r="FG90" i="25"/>
  <c r="CX277" i="25"/>
  <c r="CL277" i="25"/>
  <c r="DP277" i="25"/>
  <c r="CL87" i="25"/>
  <c r="EQ87" i="25"/>
  <c r="EU87" i="25" s="1"/>
  <c r="CX87" i="25"/>
  <c r="FG87" i="25"/>
  <c r="DP87" i="25"/>
  <c r="EQ34" i="25"/>
  <c r="EU34" i="25" s="1"/>
  <c r="CX34" i="25"/>
  <c r="DP34" i="25"/>
  <c r="CL34" i="25"/>
  <c r="FG34" i="25"/>
  <c r="CL86" i="25"/>
  <c r="DP86" i="25"/>
  <c r="CX86" i="25"/>
  <c r="FG86" i="25"/>
  <c r="EQ86" i="25"/>
  <c r="EU86" i="25" s="1"/>
  <c r="DP126" i="25"/>
  <c r="CL126" i="25"/>
  <c r="EQ126" i="25"/>
  <c r="EU126" i="25" s="1"/>
  <c r="FG126" i="25"/>
  <c r="CX126" i="25"/>
  <c r="EQ100" i="25"/>
  <c r="EU100" i="25" s="1"/>
  <c r="DP100" i="25"/>
  <c r="CL100" i="25"/>
  <c r="CX100" i="25"/>
  <c r="FG100" i="25"/>
  <c r="EQ177" i="25"/>
  <c r="EU177" i="25" s="1"/>
  <c r="CL177" i="25"/>
  <c r="CX177" i="25"/>
  <c r="FG177" i="25"/>
  <c r="DP177" i="25"/>
  <c r="EQ65" i="25"/>
  <c r="EU65" i="25" s="1"/>
  <c r="DP65" i="25"/>
  <c r="CL65" i="25"/>
  <c r="CX65" i="25"/>
  <c r="FG65" i="25"/>
  <c r="EQ130" i="25"/>
  <c r="EU130" i="25" s="1"/>
  <c r="DP130" i="25"/>
  <c r="CX130" i="25"/>
  <c r="FG130" i="25"/>
  <c r="CL130" i="25"/>
  <c r="FG151" i="25"/>
  <c r="CL151" i="25"/>
  <c r="CX151" i="25"/>
  <c r="DP151" i="25"/>
  <c r="EQ151" i="25"/>
  <c r="EU151" i="25" s="1"/>
  <c r="FG153" i="25"/>
  <c r="CL153" i="25"/>
  <c r="EQ153" i="25"/>
  <c r="EU153" i="25" s="1"/>
  <c r="DP153" i="25"/>
  <c r="CX153" i="25"/>
  <c r="CX233" i="25"/>
  <c r="DP233" i="25"/>
  <c r="CL233" i="25"/>
  <c r="CL285" i="25"/>
  <c r="CX285" i="25"/>
  <c r="DP285" i="25"/>
  <c r="FG188" i="25"/>
  <c r="DP188" i="25"/>
  <c r="EQ188" i="25"/>
  <c r="EU188" i="25" s="1"/>
  <c r="CL188" i="25"/>
  <c r="CX188" i="25"/>
  <c r="CL280" i="25"/>
  <c r="DP280" i="25"/>
  <c r="CX280" i="25"/>
  <c r="CL156" i="25"/>
  <c r="FG156" i="25"/>
  <c r="DP156" i="25"/>
  <c r="EQ156" i="25"/>
  <c r="EU156" i="25" s="1"/>
  <c r="CX156" i="25"/>
  <c r="CL243" i="25"/>
  <c r="DP243" i="25"/>
  <c r="CX243" i="25"/>
  <c r="FG164" i="25"/>
  <c r="CL164" i="25"/>
  <c r="EQ164" i="25"/>
  <c r="EU164" i="25" s="1"/>
  <c r="DP164" i="25"/>
  <c r="CX164" i="25"/>
  <c r="CY164" i="25" s="1"/>
  <c r="CL244" i="25"/>
  <c r="DP244" i="25"/>
  <c r="CX244" i="25"/>
  <c r="CL295" i="25"/>
  <c r="CX295" i="25"/>
  <c r="DP295" i="25"/>
  <c r="EQ181" i="25"/>
  <c r="EU181" i="25" s="1"/>
  <c r="DP181" i="25"/>
  <c r="CL181" i="25"/>
  <c r="CX181" i="25"/>
  <c r="FG181" i="25"/>
  <c r="DP242" i="25"/>
  <c r="CL242" i="25"/>
  <c r="CX242" i="25"/>
  <c r="CL307" i="25"/>
  <c r="DP307" i="25"/>
  <c r="CX307" i="25"/>
  <c r="DP195" i="25"/>
  <c r="CX195" i="25"/>
  <c r="CL195" i="25"/>
  <c r="EQ195" i="25"/>
  <c r="EU195" i="25" s="1"/>
  <c r="FG195" i="25"/>
  <c r="DP250" i="25"/>
  <c r="CL250" i="25"/>
  <c r="CX250" i="25"/>
  <c r="CU159" i="25"/>
  <c r="CW159" i="25"/>
  <c r="CO159" i="25" s="1"/>
  <c r="CV159" i="25"/>
  <c r="CV152" i="25"/>
  <c r="CW152" i="25"/>
  <c r="CO152" i="25" s="1"/>
  <c r="CU152" i="25"/>
  <c r="CW82" i="25"/>
  <c r="CO82" i="25" s="1"/>
  <c r="CU82" i="25"/>
  <c r="CV82" i="25"/>
  <c r="CV154" i="25"/>
  <c r="CW154" i="25"/>
  <c r="CO154" i="25" s="1"/>
  <c r="CU154" i="25"/>
  <c r="CU288" i="25"/>
  <c r="CW288" i="25"/>
  <c r="CO288" i="25" s="1"/>
  <c r="CV288" i="25"/>
  <c r="CU236" i="25"/>
  <c r="CW236" i="25"/>
  <c r="CO236" i="25" s="1"/>
  <c r="CV236" i="25"/>
  <c r="CU36" i="25"/>
  <c r="CW36" i="25"/>
  <c r="CO36" i="25" s="1"/>
  <c r="CV36" i="25"/>
  <c r="CU313" i="25"/>
  <c r="CW313" i="25"/>
  <c r="CO313" i="25" s="1"/>
  <c r="CV313" i="25"/>
  <c r="CV163" i="25"/>
  <c r="CW163" i="25"/>
  <c r="CO163" i="25" s="1"/>
  <c r="CU163" i="25"/>
  <c r="CU90" i="25"/>
  <c r="CW90" i="25"/>
  <c r="CO90" i="25" s="1"/>
  <c r="CV90" i="25"/>
  <c r="CW221" i="25"/>
  <c r="CO221" i="25" s="1"/>
  <c r="CU221" i="25"/>
  <c r="CV221" i="25"/>
  <c r="CV224" i="25"/>
  <c r="CU224" i="25"/>
  <c r="CW224" i="25"/>
  <c r="CO224" i="25" s="1"/>
  <c r="CW155" i="25"/>
  <c r="CO155" i="25" s="1"/>
  <c r="CU155" i="25"/>
  <c r="CV155" i="25"/>
  <c r="CW281" i="25"/>
  <c r="CO281" i="25" s="1"/>
  <c r="CU281" i="25"/>
  <c r="CV281" i="25"/>
  <c r="CW310" i="25"/>
  <c r="CO310" i="25" s="1"/>
  <c r="CU310" i="25"/>
  <c r="CV310" i="25"/>
  <c r="CV278" i="25"/>
  <c r="CU278" i="25"/>
  <c r="CW278" i="25"/>
  <c r="CO278" i="25" s="1"/>
  <c r="CU263" i="25"/>
  <c r="CV263" i="25"/>
  <c r="CW263" i="25"/>
  <c r="CO263" i="25" s="1"/>
  <c r="CV194" i="25"/>
  <c r="CW194" i="25"/>
  <c r="CO194" i="25" s="1"/>
  <c r="CU194" i="25"/>
  <c r="CW142" i="25"/>
  <c r="CO142" i="25" s="1"/>
  <c r="CV142" i="25"/>
  <c r="CU142" i="25"/>
  <c r="CV170" i="25"/>
  <c r="CU170" i="25"/>
  <c r="CW170" i="25"/>
  <c r="CO170" i="25" s="1"/>
  <c r="CW167" i="25"/>
  <c r="CO167" i="25" s="1"/>
  <c r="CU167" i="25"/>
  <c r="CV167" i="25"/>
  <c r="CV293" i="25"/>
  <c r="CW293" i="25"/>
  <c r="CO293" i="25" s="1"/>
  <c r="CU293" i="25"/>
  <c r="CW135" i="25"/>
  <c r="CO135" i="25" s="1"/>
  <c r="CV135" i="25"/>
  <c r="CU135" i="25"/>
  <c r="CU17" i="25"/>
  <c r="CV17" i="25"/>
  <c r="CW17" i="25"/>
  <c r="CO17" i="25" s="1"/>
  <c r="CV46" i="25"/>
  <c r="CU46" i="25"/>
  <c r="CW46" i="25"/>
  <c r="CO46" i="25" s="1"/>
  <c r="CU21" i="25"/>
  <c r="CW21" i="25"/>
  <c r="CO21" i="25" s="1"/>
  <c r="CV21" i="25"/>
  <c r="CU13" i="25"/>
  <c r="CW13" i="25"/>
  <c r="CO13" i="25" s="1"/>
  <c r="CV13" i="25"/>
  <c r="CW127" i="25"/>
  <c r="CO127" i="25" s="1"/>
  <c r="CV127" i="25"/>
  <c r="CU127" i="25"/>
  <c r="CU101" i="25"/>
  <c r="CW101" i="25"/>
  <c r="CO101" i="25" s="1"/>
  <c r="CV101" i="25"/>
  <c r="CW126" i="25"/>
  <c r="CO126" i="25" s="1"/>
  <c r="CU126" i="25"/>
  <c r="CV126" i="25"/>
  <c r="CW128" i="25"/>
  <c r="CO128" i="25" s="1"/>
  <c r="CU128" i="25"/>
  <c r="CV128" i="25"/>
  <c r="CW117" i="25"/>
  <c r="CO117" i="25" s="1"/>
  <c r="CV117" i="25"/>
  <c r="CU117" i="25"/>
  <c r="CU96" i="25"/>
  <c r="CW96" i="25"/>
  <c r="CO96" i="25" s="1"/>
  <c r="CV96" i="25"/>
  <c r="CU243" i="25"/>
  <c r="CV243" i="25"/>
  <c r="CW243" i="25"/>
  <c r="CO243" i="25" s="1"/>
  <c r="CW198" i="25"/>
  <c r="CO198" i="25" s="1"/>
  <c r="CU198" i="25"/>
  <c r="CV198" i="25"/>
  <c r="CV208" i="25"/>
  <c r="CU208" i="25"/>
  <c r="CW208" i="25"/>
  <c r="CO208" i="25" s="1"/>
  <c r="CU195" i="25"/>
  <c r="CV195" i="25"/>
  <c r="CW195" i="25"/>
  <c r="CO195" i="25" s="1"/>
  <c r="CW171" i="25"/>
  <c r="CO171" i="25" s="1"/>
  <c r="CU171" i="25"/>
  <c r="CV171" i="25"/>
  <c r="EQ12" i="25"/>
  <c r="EU12" i="25" s="1"/>
  <c r="DP12" i="25"/>
  <c r="FG12" i="25"/>
  <c r="CL12" i="25"/>
  <c r="CX12" i="25"/>
  <c r="CX269" i="25"/>
  <c r="CL269" i="25"/>
  <c r="DP269" i="25"/>
  <c r="CL225" i="25"/>
  <c r="DP225" i="25"/>
  <c r="CX225" i="25"/>
  <c r="CW185" i="25"/>
  <c r="CO185" i="25" s="1"/>
  <c r="CV185" i="25"/>
  <c r="CU185" i="25"/>
  <c r="CU176" i="25"/>
  <c r="CW176" i="25"/>
  <c r="CO176" i="25" s="1"/>
  <c r="CV176" i="25"/>
  <c r="CT176" i="25"/>
  <c r="CT175" i="25"/>
  <c r="CT173" i="25"/>
  <c r="CT286" i="25"/>
  <c r="CT284" i="25"/>
  <c r="CT282" i="25"/>
  <c r="CT277" i="25"/>
  <c r="CT264" i="25"/>
  <c r="CT249" i="25"/>
  <c r="CT201" i="25"/>
  <c r="CT177" i="25"/>
  <c r="CT174" i="25"/>
  <c r="CT256" i="25"/>
  <c r="CT235" i="25"/>
  <c r="CT208" i="25"/>
  <c r="CT199" i="25"/>
  <c r="CT178" i="25"/>
  <c r="CT251" i="25"/>
  <c r="CT241" i="25"/>
  <c r="CT209" i="25"/>
  <c r="CT205" i="25"/>
  <c r="CT198" i="25"/>
  <c r="CT182" i="25"/>
  <c r="CT181" i="25"/>
  <c r="CT180" i="25"/>
  <c r="CT179" i="25"/>
  <c r="CT271" i="25"/>
  <c r="CT252" i="25"/>
  <c r="CT243" i="25"/>
  <c r="CT231" i="25"/>
  <c r="CT207" i="25"/>
  <c r="CT204" i="25"/>
  <c r="CT203" i="25"/>
  <c r="CT197" i="25"/>
  <c r="CT146" i="25"/>
  <c r="CT295" i="25"/>
  <c r="CT294" i="25"/>
  <c r="CT245" i="25"/>
  <c r="CT183" i="25"/>
  <c r="CT169" i="25"/>
  <c r="CT168" i="25"/>
  <c r="CT165" i="25"/>
  <c r="CT184" i="25"/>
  <c r="CT141" i="25"/>
  <c r="CT202" i="25"/>
  <c r="CT172" i="25"/>
  <c r="CT143" i="25"/>
  <c r="CT97" i="25"/>
  <c r="CT83" i="25"/>
  <c r="CT140" i="25"/>
  <c r="CT132" i="25"/>
  <c r="CT131" i="25"/>
  <c r="CT115" i="25"/>
  <c r="CT113" i="25"/>
  <c r="CT111" i="25"/>
  <c r="CT137" i="25"/>
  <c r="CT130" i="25"/>
  <c r="CT129" i="25"/>
  <c r="CT128" i="25"/>
  <c r="CT118" i="25"/>
  <c r="CT69" i="25"/>
  <c r="CT65" i="25"/>
  <c r="CT57" i="25"/>
  <c r="CT296" i="25"/>
  <c r="CT145" i="25"/>
  <c r="CT139" i="25"/>
  <c r="CT134" i="25"/>
  <c r="CT127" i="25"/>
  <c r="CT123" i="25"/>
  <c r="CT122" i="25"/>
  <c r="CT120" i="25"/>
  <c r="CT229" i="25"/>
  <c r="CT148" i="25"/>
  <c r="CT110" i="25"/>
  <c r="CT297" i="25"/>
  <c r="CT233" i="25"/>
  <c r="CT73" i="25"/>
  <c r="CT29" i="25"/>
  <c r="CT144" i="25"/>
  <c r="CT133" i="25"/>
  <c r="CT269" i="25"/>
  <c r="CT247" i="25"/>
  <c r="CT171" i="25"/>
  <c r="CT125" i="25"/>
  <c r="CT13" i="25"/>
  <c r="CT17" i="25"/>
  <c r="CT206" i="25"/>
  <c r="CT136" i="25"/>
  <c r="CT135" i="25"/>
  <c r="CT53" i="25"/>
  <c r="CT142" i="25"/>
  <c r="CT126" i="25"/>
  <c r="CT49" i="25"/>
  <c r="CT35" i="25"/>
  <c r="CT25" i="25"/>
  <c r="CT21" i="25"/>
  <c r="CT138" i="25"/>
  <c r="CT87" i="25"/>
  <c r="CT61" i="25"/>
  <c r="CT75" i="25"/>
  <c r="CT170" i="25"/>
  <c r="CT14" i="25"/>
  <c r="CT84" i="25"/>
  <c r="CT119" i="25"/>
  <c r="CT192" i="25"/>
  <c r="CT6" i="25"/>
  <c r="CT46" i="25"/>
  <c r="CT62" i="25"/>
  <c r="CT70" i="25"/>
  <c r="CT81" i="25"/>
  <c r="CT88" i="25"/>
  <c r="CT18" i="25"/>
  <c r="CT10" i="25"/>
  <c r="CT22" i="25"/>
  <c r="CT79" i="25"/>
  <c r="CT92" i="25"/>
  <c r="CT60" i="25"/>
  <c r="CT188" i="25"/>
  <c r="CT195" i="25"/>
  <c r="CT217" i="25"/>
  <c r="CT292" i="25"/>
  <c r="CT42" i="25"/>
  <c r="CT56" i="25"/>
  <c r="CT54" i="25"/>
  <c r="CT101" i="25"/>
  <c r="CT117" i="25"/>
  <c r="CT223" i="25"/>
  <c r="CT299" i="25"/>
  <c r="CT262" i="25"/>
  <c r="CT9" i="25"/>
  <c r="CT105" i="25"/>
  <c r="CT26" i="25"/>
  <c r="CT64" i="25"/>
  <c r="CT72" i="25"/>
  <c r="CT289" i="25"/>
  <c r="CT279" i="25"/>
  <c r="CT191" i="25"/>
  <c r="CT166" i="25"/>
  <c r="CT258" i="25"/>
  <c r="CT316" i="25"/>
  <c r="CT283" i="25"/>
  <c r="CT34" i="25"/>
  <c r="CT287" i="25"/>
  <c r="CT66" i="25"/>
  <c r="CT16" i="25"/>
  <c r="CT124" i="25"/>
  <c r="CT116" i="25"/>
  <c r="CT80" i="25"/>
  <c r="CT266" i="25"/>
  <c r="CT285" i="25"/>
  <c r="CT98" i="25"/>
  <c r="CT147" i="25"/>
  <c r="CT38" i="25"/>
  <c r="CT30" i="25"/>
  <c r="CT200" i="25"/>
  <c r="CT102" i="25"/>
  <c r="CT303" i="25"/>
  <c r="CT95" i="25"/>
  <c r="CT312" i="25"/>
  <c r="CT190" i="25"/>
  <c r="CT114" i="25"/>
  <c r="CT315" i="25"/>
  <c r="CT167" i="25"/>
  <c r="CT196" i="25"/>
  <c r="CT278" i="25"/>
  <c r="CT227" i="25"/>
  <c r="CT121" i="25"/>
  <c r="CT68" i="25"/>
  <c r="CT50" i="25"/>
  <c r="CT306" i="25"/>
  <c r="CT265" i="25"/>
  <c r="CT263" i="25"/>
  <c r="CT253" i="25"/>
  <c r="CT58" i="25"/>
  <c r="CT189" i="25"/>
  <c r="CT237" i="25"/>
  <c r="CT300" i="25"/>
  <c r="CT193" i="25"/>
  <c r="CT257" i="25"/>
  <c r="CT293" i="25"/>
  <c r="CT310" i="25"/>
  <c r="CT254" i="25"/>
  <c r="CT219" i="25"/>
  <c r="CT280" i="25"/>
  <c r="CT305" i="25"/>
  <c r="CT309" i="25"/>
  <c r="CT311" i="25"/>
  <c r="CT239" i="25"/>
  <c r="CT268" i="25"/>
  <c r="CT194" i="25"/>
  <c r="CT255" i="25"/>
  <c r="CT91" i="25"/>
  <c r="CT149" i="25"/>
  <c r="CT260" i="25"/>
  <c r="CT273" i="25"/>
  <c r="CT275" i="25"/>
  <c r="CT304" i="25"/>
  <c r="CT96" i="25"/>
  <c r="CT276" i="25"/>
  <c r="CT281" i="25"/>
  <c r="CT41" i="25"/>
  <c r="CT298" i="25"/>
  <c r="CT224" i="25"/>
  <c r="CT240" i="25"/>
  <c r="CT155" i="25"/>
  <c r="CT55" i="25"/>
  <c r="CT47" i="25"/>
  <c r="CT225" i="25"/>
  <c r="FD225" i="25" s="1"/>
  <c r="CT59" i="25"/>
  <c r="CT44" i="25"/>
  <c r="CT154" i="25"/>
  <c r="CT267" i="25"/>
  <c r="CT238" i="25"/>
  <c r="CT33" i="25"/>
  <c r="CT15" i="25"/>
  <c r="CT291" i="25"/>
  <c r="CT77" i="25"/>
  <c r="CT7" i="25"/>
  <c r="FD7" i="25" s="1"/>
  <c r="CT36" i="25"/>
  <c r="CT301" i="25"/>
  <c r="CT19" i="25"/>
  <c r="CT162" i="25"/>
  <c r="CT187" i="25"/>
  <c r="CT100" i="25"/>
  <c r="CT156" i="25"/>
  <c r="CT220" i="25"/>
  <c r="CT27" i="25"/>
  <c r="CT185" i="25"/>
  <c r="CT288" i="25"/>
  <c r="CT157" i="25"/>
  <c r="CT163" i="25"/>
  <c r="CT222" i="25"/>
  <c r="CT259" i="25"/>
  <c r="CT218" i="25"/>
  <c r="CT232" i="25"/>
  <c r="CT32" i="25"/>
  <c r="CT103" i="25"/>
  <c r="CT290" i="25"/>
  <c r="CT270" i="25"/>
  <c r="CT20" i="25"/>
  <c r="CT76" i="25"/>
  <c r="CT28" i="25"/>
  <c r="CT242" i="25"/>
  <c r="CT313" i="25"/>
  <c r="CT86" i="25"/>
  <c r="CT48" i="25"/>
  <c r="CT67" i="25"/>
  <c r="CT159" i="25"/>
  <c r="CT99" i="25"/>
  <c r="CT37" i="25"/>
  <c r="CT8" i="25"/>
  <c r="CT228" i="25"/>
  <c r="CT11" i="25"/>
  <c r="CT307" i="25"/>
  <c r="CT161" i="25"/>
  <c r="CT248" i="25"/>
  <c r="CT31" i="25"/>
  <c r="CT90" i="25"/>
  <c r="CT160" i="25"/>
  <c r="CT158" i="25"/>
  <c r="CT82" i="25"/>
  <c r="CT226" i="25"/>
  <c r="CT150" i="25"/>
  <c r="CT71" i="25"/>
  <c r="CT230" i="25"/>
  <c r="CT94" i="25"/>
  <c r="CT164" i="25"/>
  <c r="CT216" i="25"/>
  <c r="CT74" i="25"/>
  <c r="CT78" i="25"/>
  <c r="CT85" i="25"/>
  <c r="CT186" i="25"/>
  <c r="CT274" i="25"/>
  <c r="CT236" i="25"/>
  <c r="CT89" i="25"/>
  <c r="CT151" i="25"/>
  <c r="CT45" i="25"/>
  <c r="CT244" i="25"/>
  <c r="CT210" i="25"/>
  <c r="CT153" i="25"/>
  <c r="CT234" i="25"/>
  <c r="CT152" i="25"/>
  <c r="CT246" i="25"/>
  <c r="CT51" i="25"/>
  <c r="CT43" i="25"/>
  <c r="CT12" i="25"/>
  <c r="CT63" i="25"/>
  <c r="CT314" i="25"/>
  <c r="CT93" i="25"/>
  <c r="CT104" i="25"/>
  <c r="CT23" i="25"/>
  <c r="CT308" i="25"/>
  <c r="CT261" i="25"/>
  <c r="CT302" i="25"/>
  <c r="CT272" i="25"/>
  <c r="CT24" i="25"/>
  <c r="CT40" i="25"/>
  <c r="CT250" i="25"/>
  <c r="CT39" i="25"/>
  <c r="CT221" i="25"/>
  <c r="CT52" i="25"/>
  <c r="FG24" i="25"/>
  <c r="DP24" i="25"/>
  <c r="CX24" i="25"/>
  <c r="CL24" i="25"/>
  <c r="EQ24" i="25"/>
  <c r="EU24" i="25" s="1"/>
  <c r="FG58" i="25"/>
  <c r="EQ58" i="25"/>
  <c r="EU58" i="25" s="1"/>
  <c r="DP58" i="25"/>
  <c r="CL58" i="25"/>
  <c r="CX58" i="25"/>
  <c r="CL29" i="25"/>
  <c r="EQ29" i="25"/>
  <c r="EU29" i="25" s="1"/>
  <c r="CX29" i="25"/>
  <c r="FG29" i="25"/>
  <c r="DP29" i="25"/>
  <c r="CL81" i="25"/>
  <c r="FG81" i="25"/>
  <c r="DP81" i="25"/>
  <c r="EQ81" i="25"/>
  <c r="EU81" i="25" s="1"/>
  <c r="CX81" i="25"/>
  <c r="DP42" i="25"/>
  <c r="FG42" i="25"/>
  <c r="CX42" i="25"/>
  <c r="EQ42" i="25"/>
  <c r="EU42" i="25" s="1"/>
  <c r="CL42" i="25"/>
  <c r="CL9" i="25"/>
  <c r="FG9" i="25"/>
  <c r="EQ9" i="25"/>
  <c r="EU9" i="25" s="1"/>
  <c r="DP9" i="25"/>
  <c r="CX9" i="25"/>
  <c r="DP28" i="25"/>
  <c r="FG28" i="25"/>
  <c r="CX28" i="25"/>
  <c r="CL28" i="25"/>
  <c r="EQ28" i="25"/>
  <c r="EU28" i="25" s="1"/>
  <c r="CX92" i="25"/>
  <c r="DP92" i="25"/>
  <c r="CL92" i="25"/>
  <c r="EQ92" i="25"/>
  <c r="EU92" i="25" s="1"/>
  <c r="FG92" i="25"/>
  <c r="FG71" i="25"/>
  <c r="EQ71" i="25"/>
  <c r="EU71" i="25" s="1"/>
  <c r="DP71" i="25"/>
  <c r="CL71" i="25"/>
  <c r="CX71" i="25"/>
  <c r="DP48" i="25"/>
  <c r="CX48" i="25"/>
  <c r="CL48" i="25"/>
  <c r="EQ48" i="25"/>
  <c r="EU48" i="25" s="1"/>
  <c r="FG48" i="25"/>
  <c r="CL284" i="25"/>
  <c r="DP284" i="25"/>
  <c r="CX284" i="25"/>
  <c r="EQ96" i="25"/>
  <c r="EU96" i="25" s="1"/>
  <c r="FG96" i="25"/>
  <c r="CX96" i="25"/>
  <c r="DP96" i="25"/>
  <c r="CL96" i="25"/>
  <c r="DP298" i="25"/>
  <c r="CL298" i="25"/>
  <c r="CX298" i="25"/>
  <c r="CL95" i="25"/>
  <c r="EQ95" i="25"/>
  <c r="EU95" i="25" s="1"/>
  <c r="CX95" i="25"/>
  <c r="FG95" i="25"/>
  <c r="DP95" i="25"/>
  <c r="FG40" i="25"/>
  <c r="DP40" i="25"/>
  <c r="CX40" i="25"/>
  <c r="CL40" i="25"/>
  <c r="EQ40" i="25"/>
  <c r="EU40" i="25" s="1"/>
  <c r="DP88" i="25"/>
  <c r="CL88" i="25"/>
  <c r="FG88" i="25"/>
  <c r="CX88" i="25"/>
  <c r="EQ88" i="25"/>
  <c r="EU88" i="25" s="1"/>
  <c r="FG139" i="25"/>
  <c r="CL139" i="25"/>
  <c r="DP139" i="25"/>
  <c r="EQ139" i="25"/>
  <c r="EU139" i="25" s="1"/>
  <c r="CX139" i="25"/>
  <c r="EQ121" i="25"/>
  <c r="EU121" i="25" s="1"/>
  <c r="CL121" i="25"/>
  <c r="FG121" i="25"/>
  <c r="CX121" i="25"/>
  <c r="DP121" i="25"/>
  <c r="DP227" i="25"/>
  <c r="CX227" i="25"/>
  <c r="CL227" i="25"/>
  <c r="EQ69" i="25"/>
  <c r="EU69" i="25" s="1"/>
  <c r="CX69" i="25"/>
  <c r="DP69" i="25"/>
  <c r="FG69" i="25"/>
  <c r="CL69" i="25"/>
  <c r="FG140" i="25"/>
  <c r="DP140" i="25"/>
  <c r="CL140" i="25"/>
  <c r="EQ140" i="25"/>
  <c r="EU140" i="25" s="1"/>
  <c r="CX140" i="25"/>
  <c r="EQ173" i="25"/>
  <c r="EU173" i="25" s="1"/>
  <c r="DP173" i="25"/>
  <c r="CX173" i="25"/>
  <c r="CL173" i="25"/>
  <c r="FG173" i="25"/>
  <c r="EQ171" i="25"/>
  <c r="EU171" i="25" s="1"/>
  <c r="CL171" i="25"/>
  <c r="CX171" i="25"/>
  <c r="DP171" i="25"/>
  <c r="FG171" i="25"/>
  <c r="CL239" i="25"/>
  <c r="CX239" i="25"/>
  <c r="DP239" i="25"/>
  <c r="CL287" i="25"/>
  <c r="CX287" i="25"/>
  <c r="DP287" i="25"/>
  <c r="EQ189" i="25"/>
  <c r="EU189" i="25" s="1"/>
  <c r="CL189" i="25"/>
  <c r="CX189" i="25"/>
  <c r="FG189" i="25"/>
  <c r="DP189" i="25"/>
  <c r="DP290" i="25"/>
  <c r="CL290" i="25"/>
  <c r="CX290" i="25"/>
  <c r="EQ169" i="25"/>
  <c r="EU169" i="25" s="1"/>
  <c r="CL169" i="25"/>
  <c r="FG169" i="25"/>
  <c r="CX169" i="25"/>
  <c r="DP169" i="25"/>
  <c r="CL245" i="25"/>
  <c r="CX245" i="25"/>
  <c r="DP245" i="25"/>
  <c r="DP168" i="25"/>
  <c r="EQ168" i="25"/>
  <c r="EU168" i="25" s="1"/>
  <c r="FG168" i="25"/>
  <c r="CX168" i="25"/>
  <c r="CL168" i="25"/>
  <c r="DP252" i="25"/>
  <c r="CX252" i="25"/>
  <c r="CL252" i="25"/>
  <c r="CL314" i="25"/>
  <c r="DP314" i="25"/>
  <c r="CX314" i="25"/>
  <c r="EQ182" i="25"/>
  <c r="EU182" i="25" s="1"/>
  <c r="CL182" i="25"/>
  <c r="FG182" i="25"/>
  <c r="DP182" i="25"/>
  <c r="CX182" i="25"/>
  <c r="DP251" i="25"/>
  <c r="CL251" i="25"/>
  <c r="CX251" i="25"/>
  <c r="DP309" i="25"/>
  <c r="CL309" i="25"/>
  <c r="CX309" i="25"/>
  <c r="FG197" i="25"/>
  <c r="DP197" i="25"/>
  <c r="EQ197" i="25"/>
  <c r="EU197" i="25" s="1"/>
  <c r="CL197" i="25"/>
  <c r="CX197" i="25"/>
  <c r="DP256" i="25"/>
  <c r="CL256" i="25"/>
  <c r="CX256" i="25"/>
  <c r="CU52" i="25"/>
  <c r="CV52" i="25"/>
  <c r="CW52" i="25"/>
  <c r="CO52" i="25" s="1"/>
  <c r="CW39" i="25"/>
  <c r="CO39" i="25" s="1"/>
  <c r="CU39" i="25"/>
  <c r="CV39" i="25"/>
  <c r="CU246" i="25"/>
  <c r="CW246" i="25"/>
  <c r="CO246" i="25" s="1"/>
  <c r="CV246" i="25"/>
  <c r="CW77" i="25"/>
  <c r="CO77" i="25" s="1"/>
  <c r="CU77" i="25"/>
  <c r="CV77" i="25"/>
  <c r="CV153" i="25"/>
  <c r="CW153" i="25"/>
  <c r="CO153" i="25" s="1"/>
  <c r="CU153" i="25"/>
  <c r="CV71" i="25"/>
  <c r="CU71" i="25"/>
  <c r="CW71" i="25"/>
  <c r="CO71" i="25" s="1"/>
  <c r="CV150" i="25"/>
  <c r="CU150" i="25"/>
  <c r="CW150" i="25"/>
  <c r="CO150" i="25" s="1"/>
  <c r="CV162" i="25"/>
  <c r="CU162" i="25"/>
  <c r="CW162" i="25"/>
  <c r="CO162" i="25" s="1"/>
  <c r="CU242" i="25"/>
  <c r="CW242" i="25"/>
  <c r="CO242" i="25" s="1"/>
  <c r="CV242" i="25"/>
  <c r="CV89" i="25"/>
  <c r="CU89" i="25"/>
  <c r="CW89" i="25"/>
  <c r="CO89" i="25" s="1"/>
  <c r="CU20" i="25"/>
  <c r="CW20" i="25"/>
  <c r="CO20" i="25" s="1"/>
  <c r="CV20" i="25"/>
  <c r="CU48" i="25"/>
  <c r="CW48" i="25"/>
  <c r="CO48" i="25" s="1"/>
  <c r="CV48" i="25"/>
  <c r="CW240" i="25"/>
  <c r="CO240" i="25" s="1"/>
  <c r="CV240" i="25"/>
  <c r="CU240" i="25"/>
  <c r="CW303" i="25"/>
  <c r="CO303" i="25" s="1"/>
  <c r="CU303" i="25"/>
  <c r="CV303" i="25"/>
  <c r="CV300" i="25"/>
  <c r="CW300" i="25"/>
  <c r="CO300" i="25" s="1"/>
  <c r="CU300" i="25"/>
  <c r="CV316" i="25"/>
  <c r="CW316" i="25"/>
  <c r="CO316" i="25" s="1"/>
  <c r="CU316" i="25"/>
  <c r="CV265" i="25"/>
  <c r="CW265" i="25"/>
  <c r="CO265" i="25" s="1"/>
  <c r="CU265" i="25"/>
  <c r="CV193" i="25"/>
  <c r="CW193" i="25"/>
  <c r="CO193" i="25" s="1"/>
  <c r="CU193" i="25"/>
  <c r="CV114" i="25"/>
  <c r="CW114" i="25"/>
  <c r="CO114" i="25" s="1"/>
  <c r="CU114" i="25"/>
  <c r="CW116" i="25"/>
  <c r="CO116" i="25" s="1"/>
  <c r="CV116" i="25"/>
  <c r="CU116" i="25"/>
  <c r="CV119" i="25"/>
  <c r="CW119" i="25"/>
  <c r="CO119" i="25" s="1"/>
  <c r="CU119" i="25"/>
  <c r="CW146" i="25"/>
  <c r="CO146" i="25" s="1"/>
  <c r="CU146" i="25"/>
  <c r="CV146" i="25"/>
  <c r="CW137" i="25"/>
  <c r="CO137" i="25" s="1"/>
  <c r="CV137" i="25"/>
  <c r="CU137" i="25"/>
  <c r="CU25" i="25"/>
  <c r="CV25" i="25"/>
  <c r="CW25" i="25"/>
  <c r="CO25" i="25" s="1"/>
  <c r="CW10" i="25"/>
  <c r="CO10" i="25" s="1"/>
  <c r="CU10" i="25"/>
  <c r="CV10" i="25"/>
  <c r="CV72" i="25"/>
  <c r="CW72" i="25"/>
  <c r="CO72" i="25" s="1"/>
  <c r="CU72" i="25"/>
  <c r="CW134" i="25"/>
  <c r="CO134" i="25" s="1"/>
  <c r="CV134" i="25"/>
  <c r="CU134" i="25"/>
  <c r="CW61" i="25"/>
  <c r="CO61" i="25" s="1"/>
  <c r="CU61" i="25"/>
  <c r="CV61" i="25"/>
  <c r="CW22" i="25"/>
  <c r="CO22" i="25" s="1"/>
  <c r="CV22" i="25"/>
  <c r="CU22" i="25"/>
  <c r="CW183" i="25"/>
  <c r="CO183" i="25" s="1"/>
  <c r="CU183" i="25"/>
  <c r="CV183" i="25"/>
  <c r="CW129" i="25"/>
  <c r="CO129" i="25" s="1"/>
  <c r="CU129" i="25"/>
  <c r="CV129" i="25"/>
  <c r="CW131" i="25"/>
  <c r="CO131" i="25" s="1"/>
  <c r="CV131" i="25"/>
  <c r="CU131" i="25"/>
  <c r="CU169" i="25"/>
  <c r="CW169" i="25"/>
  <c r="CO169" i="25" s="1"/>
  <c r="CV169" i="25"/>
  <c r="CU271" i="25"/>
  <c r="CW271" i="25"/>
  <c r="CO271" i="25" s="1"/>
  <c r="CV271" i="25"/>
  <c r="CU205" i="25"/>
  <c r="CV205" i="25"/>
  <c r="CW205" i="25"/>
  <c r="CO205" i="25" s="1"/>
  <c r="CV235" i="25"/>
  <c r="CU235" i="25"/>
  <c r="CW235" i="25"/>
  <c r="CO235" i="25" s="1"/>
  <c r="CU201" i="25"/>
  <c r="CW201" i="25"/>
  <c r="CO201" i="25" s="1"/>
  <c r="CV201" i="25"/>
  <c r="CW172" i="25"/>
  <c r="CO172" i="25" s="1"/>
  <c r="CV172" i="25"/>
  <c r="CU172" i="25"/>
  <c r="EQ199" i="25"/>
  <c r="EU199" i="25" s="1"/>
  <c r="CX199" i="25"/>
  <c r="CL199" i="25"/>
  <c r="DP199" i="25"/>
  <c r="FG199" i="25"/>
  <c r="CL49" i="25"/>
  <c r="EQ49" i="25"/>
  <c r="EU49" i="25" s="1"/>
  <c r="DP49" i="25"/>
  <c r="FG49" i="25"/>
  <c r="CX49" i="25"/>
  <c r="EQ73" i="25"/>
  <c r="EU73" i="25" s="1"/>
  <c r="CL73" i="25"/>
  <c r="DP73" i="25"/>
  <c r="CX73" i="25"/>
  <c r="FG73" i="25"/>
  <c r="EQ39" i="25"/>
  <c r="EU39" i="25" s="1"/>
  <c r="CL39" i="25"/>
  <c r="FG39" i="25"/>
  <c r="DP39" i="25"/>
  <c r="CX39" i="25"/>
  <c r="DP302" i="25"/>
  <c r="CL302" i="25"/>
  <c r="CX302" i="25"/>
  <c r="EQ184" i="25"/>
  <c r="EU184" i="25" s="1"/>
  <c r="CX184" i="25"/>
  <c r="FG184" i="25"/>
  <c r="DP184" i="25"/>
  <c r="CL184" i="25"/>
  <c r="CX289" i="25"/>
  <c r="CL289" i="25"/>
  <c r="DP289" i="25"/>
  <c r="CL272" i="25"/>
  <c r="DP272" i="25"/>
  <c r="CX272" i="25"/>
  <c r="CW43" i="25"/>
  <c r="CO43" i="25" s="1"/>
  <c r="CV43" i="25"/>
  <c r="CU43" i="25"/>
  <c r="CV160" i="25"/>
  <c r="CU160" i="25"/>
  <c r="CW160" i="25"/>
  <c r="CO160" i="25" s="1"/>
  <c r="CV268" i="25"/>
  <c r="CU268" i="25"/>
  <c r="CW268" i="25"/>
  <c r="CO268" i="25" s="1"/>
  <c r="CW88" i="25"/>
  <c r="CO88" i="25" s="1"/>
  <c r="CV88" i="25"/>
  <c r="CU88" i="25"/>
  <c r="CW181" i="25"/>
  <c r="CO181" i="25" s="1"/>
  <c r="CU181" i="25"/>
  <c r="CV181" i="25"/>
  <c r="CL23" i="25"/>
  <c r="EQ23" i="25"/>
  <c r="EU23" i="25" s="1"/>
  <c r="DP23" i="25"/>
  <c r="FG23" i="25"/>
  <c r="CX23" i="25"/>
  <c r="EQ114" i="25"/>
  <c r="EU114" i="25" s="1"/>
  <c r="CL114" i="25"/>
  <c r="FG114" i="25"/>
  <c r="CX114" i="25"/>
  <c r="DP114" i="25"/>
  <c r="DP60" i="25"/>
  <c r="FG60" i="25"/>
  <c r="EQ60" i="25"/>
  <c r="EU60" i="25" s="1"/>
  <c r="CX60" i="25"/>
  <c r="CL60" i="25"/>
  <c r="DP66" i="25"/>
  <c r="EQ66" i="25"/>
  <c r="EU66" i="25" s="1"/>
  <c r="FG66" i="25"/>
  <c r="CL66" i="25"/>
  <c r="CX66" i="25"/>
  <c r="CY66" i="25" s="1"/>
  <c r="EQ21" i="25"/>
  <c r="EU21" i="25" s="1"/>
  <c r="FG21" i="25"/>
  <c r="CL21" i="25"/>
  <c r="DP21" i="25"/>
  <c r="CX21" i="25"/>
  <c r="EQ13" i="25"/>
  <c r="EU13" i="25" s="1"/>
  <c r="FG13" i="25"/>
  <c r="CL13" i="25"/>
  <c r="DP13" i="25"/>
  <c r="CX13" i="25"/>
  <c r="FG30" i="25"/>
  <c r="CX30" i="25"/>
  <c r="DP30" i="25"/>
  <c r="EQ30" i="25"/>
  <c r="EU30" i="25" s="1"/>
  <c r="CL30" i="25"/>
  <c r="CL105" i="25"/>
  <c r="FG105" i="25"/>
  <c r="EQ105" i="25"/>
  <c r="EU105" i="25" s="1"/>
  <c r="CX105" i="25"/>
  <c r="DP105" i="25"/>
  <c r="CX115" i="25"/>
  <c r="DP115" i="25"/>
  <c r="CL115" i="25"/>
  <c r="FG115" i="25"/>
  <c r="EQ115" i="25"/>
  <c r="EU115" i="25" s="1"/>
  <c r="EQ70" i="25"/>
  <c r="EU70" i="25" s="1"/>
  <c r="DP70" i="25"/>
  <c r="FG70" i="25"/>
  <c r="CX70" i="25"/>
  <c r="CL70" i="25"/>
  <c r="DP313" i="25"/>
  <c r="CL313" i="25"/>
  <c r="CX313" i="25"/>
  <c r="DP104" i="25"/>
  <c r="CL104" i="25"/>
  <c r="EQ104" i="25"/>
  <c r="EU104" i="25" s="1"/>
  <c r="FG104" i="25"/>
  <c r="CX104" i="25"/>
  <c r="CL46" i="25"/>
  <c r="CX46" i="25"/>
  <c r="DP46" i="25"/>
  <c r="EQ46" i="25"/>
  <c r="EU46" i="25" s="1"/>
  <c r="FG46" i="25"/>
  <c r="FG136" i="25"/>
  <c r="CL136" i="25"/>
  <c r="DP136" i="25"/>
  <c r="CX136" i="25"/>
  <c r="EQ136" i="25"/>
  <c r="EU136" i="25" s="1"/>
  <c r="CL45" i="25"/>
  <c r="EQ45" i="25"/>
  <c r="EU45" i="25" s="1"/>
  <c r="FG45" i="25"/>
  <c r="DP45" i="25"/>
  <c r="CX45" i="25"/>
  <c r="CL93" i="25"/>
  <c r="FG93" i="25"/>
  <c r="EQ93" i="25"/>
  <c r="EU93" i="25" s="1"/>
  <c r="DP93" i="25"/>
  <c r="CX93" i="25"/>
  <c r="FG142" i="25"/>
  <c r="DP142" i="25"/>
  <c r="CL142" i="25"/>
  <c r="EQ142" i="25"/>
  <c r="EU142" i="25" s="1"/>
  <c r="CX142" i="25"/>
  <c r="EQ122" i="25"/>
  <c r="EU122" i="25" s="1"/>
  <c r="DP122" i="25"/>
  <c r="CL122" i="25"/>
  <c r="FG122" i="25"/>
  <c r="CX122" i="25"/>
  <c r="DP257" i="25"/>
  <c r="CL257" i="25"/>
  <c r="CX257" i="25"/>
  <c r="EQ78" i="25"/>
  <c r="EU78" i="25" s="1"/>
  <c r="DP78" i="25"/>
  <c r="CL78" i="25"/>
  <c r="FG78" i="25"/>
  <c r="CX78" i="25"/>
  <c r="EQ209" i="25"/>
  <c r="EU209" i="25" s="1"/>
  <c r="FG209" i="25"/>
  <c r="DP209" i="25"/>
  <c r="CX209" i="25"/>
  <c r="CL209" i="25"/>
  <c r="EQ193" i="25"/>
  <c r="EU193" i="25" s="1"/>
  <c r="CL193" i="25"/>
  <c r="DP193" i="25"/>
  <c r="CX193" i="25"/>
  <c r="FG193" i="25"/>
  <c r="EQ172" i="25"/>
  <c r="EU172" i="25" s="1"/>
  <c r="CL172" i="25"/>
  <c r="FG172" i="25"/>
  <c r="CX172" i="25"/>
  <c r="DP172" i="25"/>
  <c r="CL247" i="25"/>
  <c r="DP247" i="25"/>
  <c r="CX247" i="25"/>
  <c r="CL308" i="25"/>
  <c r="CX308" i="25"/>
  <c r="DP308" i="25"/>
  <c r="FG190" i="25"/>
  <c r="CL190" i="25"/>
  <c r="EQ190" i="25"/>
  <c r="EU190" i="25" s="1"/>
  <c r="CX190" i="25"/>
  <c r="DP190" i="25"/>
  <c r="CL292" i="25"/>
  <c r="CX292" i="25"/>
  <c r="DP292" i="25"/>
  <c r="CL170" i="25"/>
  <c r="EQ170" i="25"/>
  <c r="EU170" i="25" s="1"/>
  <c r="CX170" i="25"/>
  <c r="DP170" i="25"/>
  <c r="FG170" i="25"/>
  <c r="CL246" i="25"/>
  <c r="DP246" i="25"/>
  <c r="CX246" i="25"/>
  <c r="EQ183" i="25"/>
  <c r="EU183" i="25" s="1"/>
  <c r="DP183" i="25"/>
  <c r="CX183" i="25"/>
  <c r="CL183" i="25"/>
  <c r="FG183" i="25"/>
  <c r="CL253" i="25"/>
  <c r="DP253" i="25"/>
  <c r="CX253" i="25"/>
  <c r="DP149" i="25"/>
  <c r="CL149" i="25"/>
  <c r="FG149" i="25"/>
  <c r="CX149" i="25"/>
  <c r="EQ149" i="25"/>
  <c r="EU149" i="25" s="1"/>
  <c r="CL198" i="25"/>
  <c r="FG198" i="25"/>
  <c r="DP198" i="25"/>
  <c r="CX198" i="25"/>
  <c r="EQ198" i="25"/>
  <c r="EU198" i="25" s="1"/>
  <c r="DP254" i="25"/>
  <c r="CL254" i="25"/>
  <c r="CX254" i="25"/>
  <c r="EQ147" i="25"/>
  <c r="EU147" i="25" s="1"/>
  <c r="CL147" i="25"/>
  <c r="FG147" i="25"/>
  <c r="DP147" i="25"/>
  <c r="CX147" i="25"/>
  <c r="EQ200" i="25"/>
  <c r="EU200" i="25" s="1"/>
  <c r="DP200" i="25"/>
  <c r="CL200" i="25"/>
  <c r="FG200" i="25"/>
  <c r="CX200" i="25"/>
  <c r="DP259" i="25"/>
  <c r="CL259" i="25"/>
  <c r="CX259" i="25"/>
  <c r="CY259" i="25" s="1"/>
  <c r="CU19" i="25"/>
  <c r="CV19" i="25"/>
  <c r="CW19" i="25"/>
  <c r="CO19" i="25" s="1"/>
  <c r="CU272" i="25"/>
  <c r="CW272" i="25"/>
  <c r="CO272" i="25" s="1"/>
  <c r="CV272" i="25"/>
  <c r="CU307" i="25"/>
  <c r="CV307" i="25"/>
  <c r="CW307" i="25"/>
  <c r="CO307" i="25" s="1"/>
  <c r="CV186" i="25"/>
  <c r="CU186" i="25"/>
  <c r="CW186" i="25"/>
  <c r="CO186" i="25" s="1"/>
  <c r="CW218" i="25"/>
  <c r="CO218" i="25" s="1"/>
  <c r="CV218" i="25"/>
  <c r="CU218" i="25"/>
  <c r="CV274" i="25"/>
  <c r="CU274" i="25"/>
  <c r="CW274" i="25"/>
  <c r="CO274" i="25" s="1"/>
  <c r="CV161" i="25"/>
  <c r="CU161" i="25"/>
  <c r="CW161" i="25"/>
  <c r="CO161" i="25" s="1"/>
  <c r="CU301" i="25"/>
  <c r="CW301" i="25"/>
  <c r="CO301" i="25" s="1"/>
  <c r="CV301" i="25"/>
  <c r="CV28" i="25"/>
  <c r="CU28" i="25"/>
  <c r="CW28" i="25"/>
  <c r="CO28" i="25" s="1"/>
  <c r="CV270" i="25"/>
  <c r="CU270" i="25"/>
  <c r="CW270" i="25"/>
  <c r="CO270" i="25" s="1"/>
  <c r="CW86" i="25"/>
  <c r="CO86" i="25" s="1"/>
  <c r="CV86" i="25"/>
  <c r="CU86" i="25"/>
  <c r="CV151" i="25"/>
  <c r="CU151" i="25"/>
  <c r="CW151" i="25"/>
  <c r="CO151" i="25" s="1"/>
  <c r="CU298" i="25"/>
  <c r="CW298" i="25"/>
  <c r="CO298" i="25" s="1"/>
  <c r="CV298" i="25"/>
  <c r="CW305" i="25"/>
  <c r="CO305" i="25" s="1"/>
  <c r="CU305" i="25"/>
  <c r="CV305" i="25"/>
  <c r="CW255" i="25"/>
  <c r="CO255" i="25" s="1"/>
  <c r="CU255" i="25"/>
  <c r="CV255" i="25"/>
  <c r="CW312" i="25"/>
  <c r="CO312" i="25" s="1"/>
  <c r="CV312" i="25"/>
  <c r="CU312" i="25"/>
  <c r="CU287" i="25"/>
  <c r="CV287" i="25"/>
  <c r="CW287" i="25"/>
  <c r="CO287" i="25" s="1"/>
  <c r="CV66" i="25"/>
  <c r="CU66" i="25"/>
  <c r="CW66" i="25"/>
  <c r="CO66" i="25" s="1"/>
  <c r="CW121" i="25"/>
  <c r="CO121" i="25" s="1"/>
  <c r="CU121" i="25"/>
  <c r="CV121" i="25"/>
  <c r="CW16" i="25"/>
  <c r="CO16" i="25" s="1"/>
  <c r="CU16" i="25"/>
  <c r="CV16" i="25"/>
  <c r="CW68" i="25"/>
  <c r="CO68" i="25" s="1"/>
  <c r="CU68" i="25"/>
  <c r="CV68" i="25"/>
  <c r="CW141" i="25"/>
  <c r="CO141" i="25" s="1"/>
  <c r="CV141" i="25"/>
  <c r="CU141" i="25"/>
  <c r="CW136" i="25"/>
  <c r="CO136" i="25" s="1"/>
  <c r="CV136" i="25"/>
  <c r="CU136" i="25"/>
  <c r="CW149" i="25"/>
  <c r="CO149" i="25" s="1"/>
  <c r="CU149" i="25"/>
  <c r="CV149" i="25"/>
  <c r="CV229" i="25"/>
  <c r="CU229" i="25"/>
  <c r="CW229" i="25"/>
  <c r="CO229" i="25" s="1"/>
  <c r="CW148" i="25"/>
  <c r="CO148" i="25" s="1"/>
  <c r="CV148" i="25"/>
  <c r="CU148" i="25"/>
  <c r="CW6" i="25"/>
  <c r="CO6" i="25" s="1"/>
  <c r="CV6" i="25"/>
  <c r="CU6" i="25"/>
  <c r="FD6" i="25"/>
  <c r="DS6" i="25"/>
  <c r="CW18" i="25"/>
  <c r="CO18" i="25" s="1"/>
  <c r="CV18" i="25"/>
  <c r="CU18" i="25"/>
  <c r="CV75" i="25"/>
  <c r="CU75" i="25"/>
  <c r="CW75" i="25"/>
  <c r="CO75" i="25" s="1"/>
  <c r="CU247" i="25"/>
  <c r="CV247" i="25"/>
  <c r="CW247" i="25"/>
  <c r="CO247" i="25" s="1"/>
  <c r="CW130" i="25"/>
  <c r="CO130" i="25" s="1"/>
  <c r="CV130" i="25"/>
  <c r="CU130" i="25"/>
  <c r="CV165" i="25"/>
  <c r="CW165" i="25"/>
  <c r="CO165" i="25" s="1"/>
  <c r="CU165" i="25"/>
  <c r="CW184" i="25"/>
  <c r="CO184" i="25" s="1"/>
  <c r="CV184" i="25"/>
  <c r="CU184" i="25"/>
  <c r="CW279" i="25"/>
  <c r="CO279" i="25" s="1"/>
  <c r="CU279" i="25"/>
  <c r="CV279" i="25"/>
  <c r="CV209" i="25"/>
  <c r="CU209" i="25"/>
  <c r="CW209" i="25"/>
  <c r="CO209" i="25" s="1"/>
  <c r="CV256" i="25"/>
  <c r="CU256" i="25"/>
  <c r="CW256" i="25"/>
  <c r="CO256" i="25" s="1"/>
  <c r="CV264" i="25"/>
  <c r="CU264" i="25"/>
  <c r="CW264" i="25"/>
  <c r="CO264" i="25" s="1"/>
  <c r="CW196" i="25"/>
  <c r="CO196" i="25" s="1"/>
  <c r="CV196" i="25"/>
  <c r="CU196" i="25"/>
  <c r="DP230" i="25"/>
  <c r="CL230" i="25"/>
  <c r="CX230" i="25"/>
  <c r="FG137" i="25"/>
  <c r="CL137" i="25"/>
  <c r="DP137" i="25"/>
  <c r="EQ137" i="25"/>
  <c r="EU137" i="25" s="1"/>
  <c r="CX137" i="25"/>
  <c r="CL228" i="25"/>
  <c r="DP228" i="25"/>
  <c r="CX228" i="25"/>
  <c r="DP300" i="25"/>
  <c r="CL300" i="25"/>
  <c r="CX300" i="25"/>
  <c r="CY300" i="25" s="1"/>
  <c r="CW11" i="25"/>
  <c r="CO11" i="25" s="1"/>
  <c r="CV11" i="25"/>
  <c r="CU11" i="25"/>
  <c r="CV227" i="25"/>
  <c r="CU227" i="25"/>
  <c r="CW227" i="25"/>
  <c r="CO227" i="25" s="1"/>
  <c r="CV30" i="25"/>
  <c r="CW30" i="25"/>
  <c r="CO30" i="25" s="1"/>
  <c r="CU30" i="25"/>
  <c r="CL19" i="25"/>
  <c r="EQ19" i="25"/>
  <c r="EU19" i="25" s="1"/>
  <c r="DP19" i="25"/>
  <c r="FG19" i="25"/>
  <c r="CX19" i="25"/>
  <c r="CY19" i="25" s="1"/>
  <c r="FG133" i="25"/>
  <c r="DP133" i="25"/>
  <c r="CL133" i="25"/>
  <c r="EQ133" i="25"/>
  <c r="EU133" i="25" s="1"/>
  <c r="CX133" i="25"/>
  <c r="CX98" i="25"/>
  <c r="FG98" i="25"/>
  <c r="CL98" i="25"/>
  <c r="EQ98" i="25"/>
  <c r="EU98" i="25" s="1"/>
  <c r="DP98" i="25"/>
  <c r="DP72" i="25"/>
  <c r="CL72" i="25"/>
  <c r="EQ72" i="25"/>
  <c r="EU72" i="25" s="1"/>
  <c r="FG72" i="25"/>
  <c r="CX72" i="25"/>
  <c r="FG77" i="25"/>
  <c r="CL77" i="25"/>
  <c r="EQ77" i="25"/>
  <c r="EU77" i="25" s="1"/>
  <c r="DP77" i="25"/>
  <c r="CX77" i="25"/>
  <c r="FG141" i="25"/>
  <c r="DP141" i="25"/>
  <c r="CL141" i="25"/>
  <c r="EQ141" i="25"/>
  <c r="EU141" i="25" s="1"/>
  <c r="CX141" i="25"/>
  <c r="CL41" i="25"/>
  <c r="EQ41" i="25"/>
  <c r="EU41" i="25" s="1"/>
  <c r="FG41" i="25"/>
  <c r="DP41" i="25"/>
  <c r="CX41" i="25"/>
  <c r="EQ111" i="25"/>
  <c r="EU111" i="25" s="1"/>
  <c r="DP111" i="25"/>
  <c r="CL111" i="25"/>
  <c r="FG111" i="25"/>
  <c r="CX111" i="25"/>
  <c r="DP258" i="25"/>
  <c r="CL258" i="25"/>
  <c r="CX258" i="25"/>
  <c r="EQ75" i="25"/>
  <c r="EU75" i="25" s="1"/>
  <c r="FG75" i="25"/>
  <c r="CX75" i="25"/>
  <c r="CL75" i="25"/>
  <c r="DP75" i="25"/>
  <c r="DP51" i="25"/>
  <c r="CL51" i="25"/>
  <c r="FG51" i="25"/>
  <c r="EQ51" i="25"/>
  <c r="EU51" i="25" s="1"/>
  <c r="CX51" i="25"/>
  <c r="CY51" i="25" s="1"/>
  <c r="FG138" i="25"/>
  <c r="DP138" i="25"/>
  <c r="CL138" i="25"/>
  <c r="EQ138" i="25"/>
  <c r="EU138" i="25" s="1"/>
  <c r="CX138" i="25"/>
  <c r="DP52" i="25"/>
  <c r="CL52" i="25"/>
  <c r="EQ52" i="25"/>
  <c r="EU52" i="25" s="1"/>
  <c r="FG52" i="25"/>
  <c r="CX52" i="25"/>
  <c r="FG150" i="25"/>
  <c r="CL150" i="25"/>
  <c r="EQ150" i="25"/>
  <c r="EU150" i="25" s="1"/>
  <c r="DP150" i="25"/>
  <c r="CX150" i="25"/>
  <c r="FG50" i="25"/>
  <c r="CX50" i="25"/>
  <c r="DP50" i="25"/>
  <c r="EQ50" i="25"/>
  <c r="EU50" i="25" s="1"/>
  <c r="CL50" i="25"/>
  <c r="CL94" i="25"/>
  <c r="DP94" i="25"/>
  <c r="FG94" i="25"/>
  <c r="EQ94" i="25"/>
  <c r="EU94" i="25" s="1"/>
  <c r="CX94" i="25"/>
  <c r="EQ174" i="25"/>
  <c r="EU174" i="25" s="1"/>
  <c r="DP174" i="25"/>
  <c r="CX174" i="25"/>
  <c r="FG174" i="25"/>
  <c r="CL174" i="25"/>
  <c r="DP123" i="25"/>
  <c r="CL123" i="25"/>
  <c r="EQ123" i="25"/>
  <c r="EU123" i="25" s="1"/>
  <c r="CX123" i="25"/>
  <c r="FG123" i="25"/>
  <c r="CL293" i="25"/>
  <c r="CX293" i="25"/>
  <c r="DP293" i="25"/>
  <c r="EQ118" i="25"/>
  <c r="EU118" i="25" s="1"/>
  <c r="DP118" i="25"/>
  <c r="CX118" i="25"/>
  <c r="CL118" i="25"/>
  <c r="FG118" i="25"/>
  <c r="DP224" i="25"/>
  <c r="CL224" i="25"/>
  <c r="CX224" i="25"/>
  <c r="CL222" i="25"/>
  <c r="DP222" i="25"/>
  <c r="CX222" i="25"/>
  <c r="DP202" i="25"/>
  <c r="CL202" i="25"/>
  <c r="CX202" i="25"/>
  <c r="FG202" i="25"/>
  <c r="EQ202" i="25"/>
  <c r="EU202" i="25" s="1"/>
  <c r="CL270" i="25"/>
  <c r="DP270" i="25"/>
  <c r="CX270" i="25"/>
  <c r="CY270" i="25" s="1"/>
  <c r="FG159" i="25"/>
  <c r="CL159" i="25"/>
  <c r="DP159" i="25"/>
  <c r="EQ159" i="25"/>
  <c r="EU159" i="25" s="1"/>
  <c r="CX159" i="25"/>
  <c r="CL229" i="25"/>
  <c r="CX229" i="25"/>
  <c r="DP229" i="25"/>
  <c r="DP296" i="25"/>
  <c r="CX296" i="25"/>
  <c r="CL296" i="25"/>
  <c r="FG191" i="25"/>
  <c r="DP191" i="25"/>
  <c r="CX191" i="25"/>
  <c r="EQ191" i="25"/>
  <c r="EU191" i="25" s="1"/>
  <c r="CL191" i="25"/>
  <c r="CL301" i="25"/>
  <c r="DP301" i="25"/>
  <c r="CX301" i="25"/>
  <c r="DP187" i="25"/>
  <c r="FG187" i="25"/>
  <c r="EQ187" i="25"/>
  <c r="EU187" i="25" s="1"/>
  <c r="CL187" i="25"/>
  <c r="CX187" i="25"/>
  <c r="DP260" i="25"/>
  <c r="CX260" i="25"/>
  <c r="CL260" i="25"/>
  <c r="FG155" i="25"/>
  <c r="CL155" i="25"/>
  <c r="DP155" i="25"/>
  <c r="EQ155" i="25"/>
  <c r="EU155" i="25" s="1"/>
  <c r="CX155" i="25"/>
  <c r="CY155" i="25" s="1"/>
  <c r="DP205" i="25"/>
  <c r="CX205" i="25"/>
  <c r="FG205" i="25"/>
  <c r="CL205" i="25"/>
  <c r="EQ205" i="25"/>
  <c r="EU205" i="25" s="1"/>
  <c r="DP255" i="25"/>
  <c r="CX255" i="25"/>
  <c r="CL255" i="25"/>
  <c r="DP167" i="25"/>
  <c r="CL167" i="25"/>
  <c r="CX167" i="25"/>
  <c r="FG167" i="25"/>
  <c r="EQ167" i="25"/>
  <c r="EU167" i="25" s="1"/>
  <c r="EQ207" i="25"/>
  <c r="EU207" i="25" s="1"/>
  <c r="CX207" i="25"/>
  <c r="CY207" i="25" s="1"/>
  <c r="CL207" i="25"/>
  <c r="FG207" i="25"/>
  <c r="DP207" i="25"/>
  <c r="DP263" i="25"/>
  <c r="CX263" i="25"/>
  <c r="CL263" i="25"/>
  <c r="CV24" i="25"/>
  <c r="CU24" i="25"/>
  <c r="CW24" i="25"/>
  <c r="CO24" i="25" s="1"/>
  <c r="CW93" i="25"/>
  <c r="CO93" i="25" s="1"/>
  <c r="CV93" i="25"/>
  <c r="CU93" i="25"/>
  <c r="CV104" i="25"/>
  <c r="CU104" i="25"/>
  <c r="CW104" i="25"/>
  <c r="CO104" i="25" s="1"/>
  <c r="CV85" i="25"/>
  <c r="CU85" i="25"/>
  <c r="CW85" i="25"/>
  <c r="CO85" i="25" s="1"/>
  <c r="CU244" i="25"/>
  <c r="CW244" i="25"/>
  <c r="CO244" i="25" s="1"/>
  <c r="CV244" i="25"/>
  <c r="CW59" i="25"/>
  <c r="CO59" i="25" s="1"/>
  <c r="CV59" i="25"/>
  <c r="CU59" i="25"/>
  <c r="CV232" i="25"/>
  <c r="CU232" i="25"/>
  <c r="CW232" i="25"/>
  <c r="CO232" i="25" s="1"/>
  <c r="CU248" i="25"/>
  <c r="CW248" i="25"/>
  <c r="CO248" i="25" s="1"/>
  <c r="CV248" i="25"/>
  <c r="CV51" i="25"/>
  <c r="CU51" i="25"/>
  <c r="CW51" i="25"/>
  <c r="CO51" i="25" s="1"/>
  <c r="CW234" i="25"/>
  <c r="CO234" i="25" s="1"/>
  <c r="CV234" i="25"/>
  <c r="CU234" i="25"/>
  <c r="CU157" i="25"/>
  <c r="CV157" i="25"/>
  <c r="CW157" i="25"/>
  <c r="CO157" i="25" s="1"/>
  <c r="CU290" i="25"/>
  <c r="CW290" i="25"/>
  <c r="CO290" i="25" s="1"/>
  <c r="CV290" i="25"/>
  <c r="CV226" i="25"/>
  <c r="CU226" i="25"/>
  <c r="CW226" i="25"/>
  <c r="CO226" i="25" s="1"/>
  <c r="CV266" i="25"/>
  <c r="CW266" i="25"/>
  <c r="CO266" i="25" s="1"/>
  <c r="CU266" i="25"/>
  <c r="CV257" i="25"/>
  <c r="CU257" i="25"/>
  <c r="CW257" i="25"/>
  <c r="CO257" i="25" s="1"/>
  <c r="CW304" i="25"/>
  <c r="CO304" i="25" s="1"/>
  <c r="CV304" i="25"/>
  <c r="CU304" i="25"/>
  <c r="CU217" i="25"/>
  <c r="CV217" i="25"/>
  <c r="CW217" i="25"/>
  <c r="CO217" i="25" s="1"/>
  <c r="CU29" i="25"/>
  <c r="CW29" i="25"/>
  <c r="CO29" i="25" s="1"/>
  <c r="CV29" i="25"/>
  <c r="CW50" i="25"/>
  <c r="CO50" i="25" s="1"/>
  <c r="CU50" i="25"/>
  <c r="CV50" i="25"/>
  <c r="CW282" i="25"/>
  <c r="CO282" i="25" s="1"/>
  <c r="CU282" i="25"/>
  <c r="CV282" i="25"/>
  <c r="CV207" i="25"/>
  <c r="CU207" i="25"/>
  <c r="CW207" i="25"/>
  <c r="CO207" i="25" s="1"/>
  <c r="CW249" i="25"/>
  <c r="CO249" i="25" s="1"/>
  <c r="CU249" i="25"/>
  <c r="CV249" i="25"/>
  <c r="CV81" i="25"/>
  <c r="CW81" i="25"/>
  <c r="CO81" i="25" s="1"/>
  <c r="CU81" i="25"/>
  <c r="CW252" i="25"/>
  <c r="CO252" i="25" s="1"/>
  <c r="CV252" i="25"/>
  <c r="CU252" i="25"/>
  <c r="CW286" i="25"/>
  <c r="CO286" i="25" s="1"/>
  <c r="CU286" i="25"/>
  <c r="CV286" i="25"/>
  <c r="CV14" i="25"/>
  <c r="CW14" i="25"/>
  <c r="CO14" i="25" s="1"/>
  <c r="CU14" i="25"/>
  <c r="CW26" i="25"/>
  <c r="CO26" i="25" s="1"/>
  <c r="CV26" i="25"/>
  <c r="CU26" i="25"/>
  <c r="CW53" i="25"/>
  <c r="CO53" i="25" s="1"/>
  <c r="CU53" i="25"/>
  <c r="CV53" i="25"/>
  <c r="CW269" i="25"/>
  <c r="CO269" i="25" s="1"/>
  <c r="CU269" i="25"/>
  <c r="CV269" i="25"/>
  <c r="CV38" i="25"/>
  <c r="CU38" i="25"/>
  <c r="CW38" i="25"/>
  <c r="CO38" i="25" s="1"/>
  <c r="CU60" i="25"/>
  <c r="CV60" i="25"/>
  <c r="CW60" i="25"/>
  <c r="CO60" i="25" s="1"/>
  <c r="CW188" i="25"/>
  <c r="CO188" i="25" s="1"/>
  <c r="CV188" i="25"/>
  <c r="CU188" i="25"/>
  <c r="CW289" i="25"/>
  <c r="CO289" i="25" s="1"/>
  <c r="CV289" i="25"/>
  <c r="CU289" i="25"/>
  <c r="CV237" i="25"/>
  <c r="CU237" i="25"/>
  <c r="CW237" i="25"/>
  <c r="CO237" i="25" s="1"/>
  <c r="CV299" i="25"/>
  <c r="CU299" i="25"/>
  <c r="CW299" i="25"/>
  <c r="CO299" i="25" s="1"/>
  <c r="CU277" i="25"/>
  <c r="CW277" i="25"/>
  <c r="CO277" i="25" s="1"/>
  <c r="CV277" i="25"/>
  <c r="CW206" i="25"/>
  <c r="CO206" i="25" s="1"/>
  <c r="CV206" i="25"/>
  <c r="CU206" i="25"/>
  <c r="DP240" i="25"/>
  <c r="CL240" i="25"/>
  <c r="CX240" i="25"/>
  <c r="DP16" i="25"/>
  <c r="FG16" i="25"/>
  <c r="EQ16" i="25"/>
  <c r="EU16" i="25" s="1"/>
  <c r="CX16" i="25"/>
  <c r="CL16" i="25"/>
  <c r="EQ91" i="25"/>
  <c r="EU91" i="25" s="1"/>
  <c r="CL91" i="25"/>
  <c r="FG91" i="25"/>
  <c r="CX91" i="25"/>
  <c r="DP91" i="25"/>
  <c r="CL102" i="25"/>
  <c r="DP102" i="25"/>
  <c r="EQ102" i="25"/>
  <c r="EU102" i="25" s="1"/>
  <c r="FG102" i="25"/>
  <c r="CX102" i="25"/>
  <c r="DP288" i="25"/>
  <c r="CL288" i="25"/>
  <c r="CX288" i="25"/>
  <c r="CX219" i="25"/>
  <c r="DP219" i="25"/>
  <c r="CL219" i="25"/>
  <c r="CL152" i="25"/>
  <c r="FG152" i="25"/>
  <c r="EQ152" i="25"/>
  <c r="EU152" i="25" s="1"/>
  <c r="DP152" i="25"/>
  <c r="CX152" i="25"/>
  <c r="EQ192" i="25"/>
  <c r="EU192" i="25" s="1"/>
  <c r="FG192" i="25"/>
  <c r="CX192" i="25"/>
  <c r="CL192" i="25"/>
  <c r="DP192" i="25"/>
  <c r="CW23" i="25"/>
  <c r="CO23" i="25" s="1"/>
  <c r="CV23" i="25"/>
  <c r="CU23" i="25"/>
  <c r="CV41" i="25"/>
  <c r="CW41" i="25"/>
  <c r="CO41" i="25" s="1"/>
  <c r="CU41" i="25"/>
  <c r="CW15" i="25"/>
  <c r="CO15" i="25" s="1"/>
  <c r="CV15" i="25"/>
  <c r="CU15" i="25"/>
  <c r="CV58" i="25"/>
  <c r="CU58" i="25"/>
  <c r="CW58" i="25"/>
  <c r="CO58" i="25" s="1"/>
  <c r="CW91" i="25"/>
  <c r="CO91" i="25" s="1"/>
  <c r="CU91" i="25"/>
  <c r="CV91" i="25"/>
  <c r="CU95" i="25"/>
  <c r="CW95" i="25"/>
  <c r="CO95" i="25" s="1"/>
  <c r="CV95" i="25"/>
  <c r="CU132" i="25"/>
  <c r="CW132" i="25"/>
  <c r="CO132" i="25" s="1"/>
  <c r="CV132" i="25"/>
  <c r="CU105" i="25"/>
  <c r="CW105" i="25"/>
  <c r="CO105" i="25" s="1"/>
  <c r="CV105" i="25"/>
  <c r="CU102" i="25"/>
  <c r="CV102" i="25"/>
  <c r="CW102" i="25"/>
  <c r="CO102" i="25" s="1"/>
  <c r="CW166" i="25"/>
  <c r="CO166" i="25" s="1"/>
  <c r="CU166" i="25"/>
  <c r="CV166" i="25"/>
  <c r="FG26" i="25"/>
  <c r="CX26" i="25"/>
  <c r="DP26" i="25"/>
  <c r="CL26" i="25"/>
  <c r="EQ26" i="25"/>
  <c r="EU26" i="25" s="1"/>
  <c r="FG160" i="25"/>
  <c r="CL160" i="25"/>
  <c r="CX160" i="25"/>
  <c r="DP160" i="25"/>
  <c r="EQ160" i="25"/>
  <c r="EU160" i="25" s="1"/>
  <c r="EQ113" i="25"/>
  <c r="EU113" i="25" s="1"/>
  <c r="CL113" i="25"/>
  <c r="FG113" i="25"/>
  <c r="CX113" i="25"/>
  <c r="DP113" i="25"/>
  <c r="EQ83" i="25"/>
  <c r="EU83" i="25" s="1"/>
  <c r="CL83" i="25"/>
  <c r="DP83" i="25"/>
  <c r="FG83" i="25"/>
  <c r="CX83" i="25"/>
  <c r="CL97" i="25"/>
  <c r="DP97" i="25"/>
  <c r="EQ97" i="25"/>
  <c r="EU97" i="25" s="1"/>
  <c r="FG97" i="25"/>
  <c r="CX97" i="25"/>
  <c r="EQ31" i="25"/>
  <c r="EU31" i="25" s="1"/>
  <c r="CL31" i="25"/>
  <c r="FG31" i="25"/>
  <c r="DP31" i="25"/>
  <c r="CX31" i="25"/>
  <c r="EQ35" i="25"/>
  <c r="EU35" i="25" s="1"/>
  <c r="CL35" i="25"/>
  <c r="DP35" i="25"/>
  <c r="CX35" i="25"/>
  <c r="FG35" i="25"/>
  <c r="EQ116" i="25"/>
  <c r="EU116" i="25" s="1"/>
  <c r="DP116" i="25"/>
  <c r="CL116" i="25"/>
  <c r="FG116" i="25"/>
  <c r="CX116" i="25"/>
  <c r="DP10" i="25"/>
  <c r="FG10" i="25"/>
  <c r="CL10" i="25"/>
  <c r="CX10" i="25"/>
  <c r="EQ10" i="25"/>
  <c r="EU10" i="25" s="1"/>
  <c r="EQ80" i="25"/>
  <c r="EU80" i="25" s="1"/>
  <c r="DP80" i="25"/>
  <c r="CL80" i="25"/>
  <c r="FG80" i="25"/>
  <c r="CX80" i="25"/>
  <c r="EQ53" i="25"/>
  <c r="EU53" i="25" s="1"/>
  <c r="CL53" i="25"/>
  <c r="DP53" i="25"/>
  <c r="CX53" i="25"/>
  <c r="FG53" i="25"/>
  <c r="EQ144" i="25"/>
  <c r="EU144" i="25" s="1"/>
  <c r="FG144" i="25"/>
  <c r="DP144" i="25"/>
  <c r="CL144" i="25"/>
  <c r="CX144" i="25"/>
  <c r="EQ62" i="25"/>
  <c r="EU62" i="25" s="1"/>
  <c r="DP62" i="25"/>
  <c r="FG62" i="25"/>
  <c r="CX62" i="25"/>
  <c r="CL62" i="25"/>
  <c r="DP265" i="25"/>
  <c r="CL265" i="25"/>
  <c r="CX265" i="25"/>
  <c r="CY265" i="25" s="1"/>
  <c r="FG54" i="25"/>
  <c r="CX54" i="25"/>
  <c r="DP54" i="25"/>
  <c r="CL54" i="25"/>
  <c r="EQ54" i="25"/>
  <c r="EU54" i="25" s="1"/>
  <c r="CL99" i="25"/>
  <c r="DP99" i="25"/>
  <c r="FG99" i="25"/>
  <c r="EQ99" i="25"/>
  <c r="EU99" i="25" s="1"/>
  <c r="CX99" i="25"/>
  <c r="DP201" i="25"/>
  <c r="CL201" i="25"/>
  <c r="FG201" i="25"/>
  <c r="CX201" i="25"/>
  <c r="EQ201" i="25"/>
  <c r="EU201" i="25" s="1"/>
  <c r="EQ127" i="25"/>
  <c r="EU127" i="25" s="1"/>
  <c r="CL127" i="25"/>
  <c r="FG127" i="25"/>
  <c r="DP127" i="25"/>
  <c r="CX127" i="25"/>
  <c r="DP304" i="25"/>
  <c r="CL304" i="25"/>
  <c r="CX304" i="25"/>
  <c r="CX120" i="25"/>
  <c r="CL120" i="25"/>
  <c r="FG120" i="25"/>
  <c r="DP120" i="25"/>
  <c r="EQ120" i="25"/>
  <c r="EU120" i="25" s="1"/>
  <c r="CX264" i="25"/>
  <c r="DP264" i="25"/>
  <c r="CL264" i="25"/>
  <c r="CX249" i="25"/>
  <c r="CL249" i="25"/>
  <c r="DP249" i="25"/>
  <c r="FG206" i="25"/>
  <c r="DP206" i="25"/>
  <c r="CL206" i="25"/>
  <c r="EQ206" i="25"/>
  <c r="EU206" i="25" s="1"/>
  <c r="CX206" i="25"/>
  <c r="CL273" i="25"/>
  <c r="DP273" i="25"/>
  <c r="CX273" i="25"/>
  <c r="FG162" i="25"/>
  <c r="CL162" i="25"/>
  <c r="DP162" i="25"/>
  <c r="EQ162" i="25"/>
  <c r="EU162" i="25" s="1"/>
  <c r="CX162" i="25"/>
  <c r="CY162" i="25" s="1"/>
  <c r="CL248" i="25"/>
  <c r="DP248" i="25"/>
  <c r="CX248" i="25"/>
  <c r="CL297" i="25"/>
  <c r="CX297" i="25"/>
  <c r="DP297" i="25"/>
  <c r="DP221" i="25"/>
  <c r="CL221" i="25"/>
  <c r="CX221" i="25"/>
  <c r="CX303" i="25"/>
  <c r="DP303" i="25"/>
  <c r="CL303" i="25"/>
  <c r="CX203" i="25"/>
  <c r="FG203" i="25"/>
  <c r="CL203" i="25"/>
  <c r="EQ203" i="25"/>
  <c r="EU203" i="25" s="1"/>
  <c r="DP203" i="25"/>
  <c r="DP268" i="25"/>
  <c r="CX268" i="25"/>
  <c r="CL268" i="25"/>
  <c r="FG158" i="25"/>
  <c r="CL158" i="25"/>
  <c r="EQ158" i="25"/>
  <c r="EU158" i="25" s="1"/>
  <c r="DP158" i="25"/>
  <c r="CX158" i="25"/>
  <c r="CX218" i="25"/>
  <c r="DP218" i="25"/>
  <c r="CL218" i="25"/>
  <c r="DP267" i="25"/>
  <c r="CL267" i="25"/>
  <c r="CX267" i="25"/>
  <c r="EQ178" i="25"/>
  <c r="EU178" i="25" s="1"/>
  <c r="FG178" i="25"/>
  <c r="CL178" i="25"/>
  <c r="DP178" i="25"/>
  <c r="CX178" i="25"/>
  <c r="FG210" i="25"/>
  <c r="EQ210" i="25"/>
  <c r="EU210" i="25" s="1"/>
  <c r="DP210" i="25"/>
  <c r="CL210" i="25"/>
  <c r="CX210" i="25"/>
  <c r="CX278" i="25"/>
  <c r="DP278" i="25"/>
  <c r="CL278" i="25"/>
  <c r="CW302" i="25"/>
  <c r="CO302" i="25" s="1"/>
  <c r="CU302" i="25"/>
  <c r="CV302" i="25"/>
  <c r="CU228" i="25"/>
  <c r="CW228" i="25"/>
  <c r="CO228" i="25" s="1"/>
  <c r="CV228" i="25"/>
  <c r="CU314" i="25"/>
  <c r="CW314" i="25"/>
  <c r="CO314" i="25" s="1"/>
  <c r="CV314" i="25"/>
  <c r="CW78" i="25"/>
  <c r="CO78" i="25" s="1"/>
  <c r="CV78" i="25"/>
  <c r="CU78" i="25"/>
  <c r="CW40" i="25"/>
  <c r="CO40" i="25" s="1"/>
  <c r="CV40" i="25"/>
  <c r="CU40" i="25"/>
  <c r="CW47" i="25"/>
  <c r="CO47" i="25" s="1"/>
  <c r="CV47" i="25"/>
  <c r="CU47" i="25"/>
  <c r="CV308" i="25"/>
  <c r="CW308" i="25"/>
  <c r="CO308" i="25" s="1"/>
  <c r="CU308" i="25"/>
  <c r="CW27" i="25"/>
  <c r="CO27" i="25" s="1"/>
  <c r="CV27" i="25"/>
  <c r="CU27" i="25"/>
  <c r="CU210" i="25"/>
  <c r="CW210" i="25"/>
  <c r="CO210" i="25" s="1"/>
  <c r="CV210" i="25"/>
  <c r="CV220" i="25"/>
  <c r="CW220" i="25"/>
  <c r="CO220" i="25" s="1"/>
  <c r="CU220" i="25"/>
  <c r="CV267" i="25"/>
  <c r="CW267" i="25"/>
  <c r="CO267" i="25" s="1"/>
  <c r="CU267" i="25"/>
  <c r="CU7" i="25"/>
  <c r="CW7" i="25"/>
  <c r="CO7" i="25" s="1"/>
  <c r="CV7" i="25"/>
  <c r="DS7" i="25"/>
  <c r="CV32" i="25"/>
  <c r="CU32" i="25"/>
  <c r="CW32" i="25"/>
  <c r="CO32" i="25" s="1"/>
  <c r="CV254" i="25"/>
  <c r="CW254" i="25"/>
  <c r="CO254" i="25" s="1"/>
  <c r="CU254" i="25"/>
  <c r="CU79" i="25"/>
  <c r="CW79" i="25"/>
  <c r="CO79" i="25" s="1"/>
  <c r="CV79" i="25"/>
  <c r="CV276" i="25"/>
  <c r="CU276" i="25"/>
  <c r="CW276" i="25"/>
  <c r="CO276" i="25" s="1"/>
  <c r="CV200" i="25"/>
  <c r="CW200" i="25"/>
  <c r="CO200" i="25" s="1"/>
  <c r="CU200" i="25"/>
  <c r="CU42" i="25"/>
  <c r="CV42" i="25"/>
  <c r="CW42" i="25"/>
  <c r="CO42" i="25" s="1"/>
  <c r="CW147" i="25"/>
  <c r="CO147" i="25" s="1"/>
  <c r="CV147" i="25"/>
  <c r="CU147" i="25"/>
  <c r="CW138" i="25"/>
  <c r="CO138" i="25" s="1"/>
  <c r="CV138" i="25"/>
  <c r="CU138" i="25"/>
  <c r="CW120" i="25"/>
  <c r="CO120" i="25" s="1"/>
  <c r="CV120" i="25"/>
  <c r="CU120" i="25"/>
  <c r="CV294" i="25"/>
  <c r="CW294" i="25"/>
  <c r="CO294" i="25" s="1"/>
  <c r="CU294" i="25"/>
  <c r="CW199" i="25"/>
  <c r="CO199" i="25" s="1"/>
  <c r="CV199" i="25"/>
  <c r="CU199" i="25"/>
  <c r="CW80" i="25"/>
  <c r="CO80" i="25" s="1"/>
  <c r="CU80" i="25"/>
  <c r="CV80" i="25"/>
  <c r="CU87" i="25"/>
  <c r="CW87" i="25"/>
  <c r="CO87" i="25" s="1"/>
  <c r="CV87" i="25"/>
  <c r="CU231" i="25"/>
  <c r="CW231" i="25"/>
  <c r="CO231" i="25" s="1"/>
  <c r="CV231" i="25"/>
  <c r="CW190" i="25"/>
  <c r="CO190" i="25" s="1"/>
  <c r="CV190" i="25"/>
  <c r="CU190" i="25"/>
  <c r="CU34" i="25"/>
  <c r="CW34" i="25"/>
  <c r="CO34" i="25" s="1"/>
  <c r="CV34" i="25"/>
  <c r="CU56" i="25"/>
  <c r="CV56" i="25"/>
  <c r="CW56" i="25"/>
  <c r="CO56" i="25" s="1"/>
  <c r="CW57" i="25"/>
  <c r="CO57" i="25" s="1"/>
  <c r="CV57" i="25"/>
  <c r="CU57" i="25"/>
  <c r="CV84" i="25"/>
  <c r="CW84" i="25"/>
  <c r="CO84" i="25" s="1"/>
  <c r="CU84" i="25"/>
  <c r="CW83" i="25"/>
  <c r="CO83" i="25" s="1"/>
  <c r="CU83" i="25"/>
  <c r="CV83" i="25"/>
  <c r="CW262" i="25"/>
  <c r="CO262" i="25" s="1"/>
  <c r="CV262" i="25"/>
  <c r="CU262" i="25"/>
  <c r="CW179" i="25"/>
  <c r="CO179" i="25" s="1"/>
  <c r="CU179" i="25"/>
  <c r="CV179" i="25"/>
  <c r="CU241" i="25"/>
  <c r="CW241" i="25"/>
  <c r="CO241" i="25" s="1"/>
  <c r="CV241" i="25"/>
  <c r="CV306" i="25"/>
  <c r="CW306" i="25"/>
  <c r="CO306" i="25" s="1"/>
  <c r="CU306" i="25"/>
  <c r="CW173" i="25"/>
  <c r="CO173" i="25" s="1"/>
  <c r="CU173" i="25"/>
  <c r="CV173" i="25"/>
  <c r="CW233" i="25"/>
  <c r="CO233" i="25" s="1"/>
  <c r="CV233" i="25"/>
  <c r="CU233" i="25"/>
  <c r="FG18" i="25"/>
  <c r="CX18" i="25"/>
  <c r="DP18" i="25"/>
  <c r="CL18" i="25"/>
  <c r="EQ18" i="25"/>
  <c r="EU18" i="25" s="1"/>
  <c r="DP234" i="25"/>
  <c r="CL234" i="25"/>
  <c r="CX234" i="25"/>
  <c r="CX316" i="25"/>
  <c r="CL316" i="25"/>
  <c r="DP316" i="25"/>
  <c r="DP44" i="25"/>
  <c r="EQ44" i="25"/>
  <c r="EU44" i="25" s="1"/>
  <c r="FG44" i="25"/>
  <c r="CL44" i="25"/>
  <c r="CX44" i="25"/>
  <c r="DP281" i="25"/>
  <c r="CX281" i="25"/>
  <c r="CL281" i="25"/>
  <c r="DP315" i="25"/>
  <c r="CX315" i="25"/>
  <c r="CL315" i="25"/>
  <c r="DP236" i="25"/>
  <c r="CL236" i="25"/>
  <c r="CX236" i="25"/>
  <c r="CY236" i="25" s="1"/>
  <c r="CU259" i="25"/>
  <c r="CV259" i="25"/>
  <c r="CW259" i="25"/>
  <c r="CO259" i="25" s="1"/>
  <c r="CW67" i="25"/>
  <c r="CO67" i="25" s="1"/>
  <c r="CV67" i="25"/>
  <c r="CU67" i="25"/>
  <c r="CU311" i="25"/>
  <c r="CW311" i="25"/>
  <c r="CO311" i="25" s="1"/>
  <c r="CV311" i="25"/>
  <c r="CW9" i="25"/>
  <c r="CO9" i="25" s="1"/>
  <c r="CV9" i="25"/>
  <c r="CU9" i="25"/>
  <c r="CV203" i="25"/>
  <c r="CW203" i="25"/>
  <c r="CO203" i="25" s="1"/>
  <c r="CU203" i="25"/>
  <c r="EQ76" i="25"/>
  <c r="EU76" i="25" s="1"/>
  <c r="FG76" i="25"/>
  <c r="CX76" i="25"/>
  <c r="DP76" i="25"/>
  <c r="CL76" i="25"/>
  <c r="FG163" i="25"/>
  <c r="CL163" i="25"/>
  <c r="DP163" i="25"/>
  <c r="EQ163" i="25"/>
  <c r="EU163" i="25" s="1"/>
  <c r="CX163" i="25"/>
  <c r="FG132" i="25"/>
  <c r="DP132" i="25"/>
  <c r="CL132" i="25"/>
  <c r="CX132" i="25"/>
  <c r="EQ132" i="25"/>
  <c r="EU132" i="25" s="1"/>
  <c r="FG131" i="25"/>
  <c r="DP131" i="25"/>
  <c r="CX131" i="25"/>
  <c r="CL131" i="25"/>
  <c r="EQ131" i="25"/>
  <c r="EU131" i="25" s="1"/>
  <c r="CL103" i="25"/>
  <c r="DP103" i="25"/>
  <c r="CX103" i="25"/>
  <c r="EQ103" i="25"/>
  <c r="EU103" i="25" s="1"/>
  <c r="FG103" i="25"/>
  <c r="EQ61" i="25"/>
  <c r="EU61" i="25" s="1"/>
  <c r="DP61" i="25"/>
  <c r="CX61" i="25"/>
  <c r="FG61" i="25"/>
  <c r="CL61" i="25"/>
  <c r="DP36" i="25"/>
  <c r="FG36" i="25"/>
  <c r="CL36" i="25"/>
  <c r="CX36" i="25"/>
  <c r="EQ36" i="25"/>
  <c r="EU36" i="25" s="1"/>
  <c r="FG135" i="25"/>
  <c r="DP135" i="25"/>
  <c r="CL135" i="25"/>
  <c r="EQ135" i="25"/>
  <c r="EU135" i="25" s="1"/>
  <c r="CX135" i="25"/>
  <c r="DP11" i="25"/>
  <c r="EQ11" i="25"/>
  <c r="EU11" i="25" s="1"/>
  <c r="CL11" i="25"/>
  <c r="FG11" i="25"/>
  <c r="CX11" i="25"/>
  <c r="EQ84" i="25"/>
  <c r="EU84" i="25" s="1"/>
  <c r="FG84" i="25"/>
  <c r="CL84" i="25"/>
  <c r="CX84" i="25"/>
  <c r="DP84" i="25"/>
  <c r="DP67" i="25"/>
  <c r="CL67" i="25"/>
  <c r="FG67" i="25"/>
  <c r="EQ67" i="25"/>
  <c r="EU67" i="25" s="1"/>
  <c r="CX67" i="25"/>
  <c r="FG196" i="25"/>
  <c r="EQ196" i="25"/>
  <c r="EU196" i="25" s="1"/>
  <c r="DP196" i="25"/>
  <c r="CL196" i="25"/>
  <c r="CX196" i="25"/>
  <c r="CL63" i="25"/>
  <c r="FG63" i="25"/>
  <c r="EQ63" i="25"/>
  <c r="EU63" i="25" s="1"/>
  <c r="DP63" i="25"/>
  <c r="CX63" i="25"/>
  <c r="CY63" i="25" s="1"/>
  <c r="CX286" i="25"/>
  <c r="CL286" i="25"/>
  <c r="DP286" i="25"/>
  <c r="DP56" i="25"/>
  <c r="EQ56" i="25"/>
  <c r="EU56" i="25" s="1"/>
  <c r="CX56" i="25"/>
  <c r="CL56" i="25"/>
  <c r="FG56" i="25"/>
  <c r="CL101" i="25"/>
  <c r="FG101" i="25"/>
  <c r="DP101" i="25"/>
  <c r="EQ101" i="25"/>
  <c r="EU101" i="25" s="1"/>
  <c r="CX101" i="25"/>
  <c r="DP312" i="25"/>
  <c r="CL312" i="25"/>
  <c r="CX312" i="25"/>
  <c r="FG134" i="25"/>
  <c r="DP134" i="25"/>
  <c r="CL134" i="25"/>
  <c r="CX134" i="25"/>
  <c r="EQ134" i="25"/>
  <c r="EU134" i="25" s="1"/>
  <c r="FG32" i="25"/>
  <c r="DP32" i="25"/>
  <c r="CL32" i="25"/>
  <c r="EQ32" i="25"/>
  <c r="EU32" i="25" s="1"/>
  <c r="CX32" i="25"/>
  <c r="DP124" i="25"/>
  <c r="CL124" i="25"/>
  <c r="EQ124" i="25"/>
  <c r="EU124" i="25" s="1"/>
  <c r="FG124" i="25"/>
  <c r="CX124" i="25"/>
  <c r="CL282" i="25"/>
  <c r="DP282" i="25"/>
  <c r="CX282" i="25"/>
  <c r="DP291" i="25"/>
  <c r="CX291" i="25"/>
  <c r="CL291" i="25"/>
  <c r="CL217" i="25"/>
  <c r="CX217" i="25"/>
  <c r="DP217" i="25"/>
  <c r="CL274" i="25"/>
  <c r="DP274" i="25"/>
  <c r="CX274" i="25"/>
  <c r="EQ165" i="25"/>
  <c r="EU165" i="25" s="1"/>
  <c r="DP165" i="25"/>
  <c r="CX165" i="25"/>
  <c r="CL165" i="25"/>
  <c r="FG165" i="25"/>
  <c r="CL261" i="25"/>
  <c r="DP261" i="25"/>
  <c r="CX261" i="25"/>
  <c r="CX311" i="25"/>
  <c r="DP311" i="25"/>
  <c r="CL311" i="25"/>
  <c r="CX223" i="25"/>
  <c r="CL223" i="25"/>
  <c r="DP223" i="25"/>
  <c r="CL310" i="25"/>
  <c r="DP310" i="25"/>
  <c r="CX310" i="25"/>
  <c r="DP204" i="25"/>
  <c r="CX204" i="25"/>
  <c r="CL204" i="25"/>
  <c r="FG204" i="25"/>
  <c r="EQ204" i="25"/>
  <c r="EU204" i="25" s="1"/>
  <c r="CL279" i="25"/>
  <c r="DP279" i="25"/>
  <c r="CX279" i="25"/>
  <c r="EQ166" i="25"/>
  <c r="EU166" i="25" s="1"/>
  <c r="DP166" i="25"/>
  <c r="CL166" i="25"/>
  <c r="CX166" i="25"/>
  <c r="FG166" i="25"/>
  <c r="DP231" i="25"/>
  <c r="CL231" i="25"/>
  <c r="CX231" i="25"/>
  <c r="DP271" i="25"/>
  <c r="CX271" i="25"/>
  <c r="CL271" i="25"/>
  <c r="FG186" i="25"/>
  <c r="EQ186" i="25"/>
  <c r="EU186" i="25" s="1"/>
  <c r="CX186" i="25"/>
  <c r="DP186" i="25"/>
  <c r="CL186" i="25"/>
  <c r="DP220" i="25"/>
  <c r="CL220" i="25"/>
  <c r="CX220" i="25"/>
  <c r="CY220" i="25" s="1"/>
  <c r="DP299" i="25"/>
  <c r="CX299" i="25"/>
  <c r="CL299" i="25"/>
  <c r="CW100" i="25"/>
  <c r="CO100" i="25" s="1"/>
  <c r="CV100" i="25"/>
  <c r="CU100" i="25"/>
  <c r="CW99" i="25"/>
  <c r="CO99" i="25" s="1"/>
  <c r="CV99" i="25"/>
  <c r="CU99" i="25"/>
  <c r="CV37" i="25"/>
  <c r="CU37" i="25"/>
  <c r="CW37" i="25"/>
  <c r="CO37" i="25" s="1"/>
  <c r="CV187" i="25"/>
  <c r="CU187" i="25"/>
  <c r="CW187" i="25"/>
  <c r="CO187" i="25" s="1"/>
  <c r="CU45" i="25"/>
  <c r="CW45" i="25"/>
  <c r="CO45" i="25" s="1"/>
  <c r="CV45" i="25"/>
  <c r="CV31" i="25"/>
  <c r="CU31" i="25"/>
  <c r="CW31" i="25"/>
  <c r="CO31" i="25" s="1"/>
  <c r="CU158" i="25"/>
  <c r="CW158" i="25"/>
  <c r="CO158" i="25" s="1"/>
  <c r="CV158" i="25"/>
  <c r="CU44" i="25"/>
  <c r="CV44" i="25"/>
  <c r="CW44" i="25"/>
  <c r="CO44" i="25" s="1"/>
  <c r="CV76" i="25"/>
  <c r="CW76" i="25"/>
  <c r="CO76" i="25" s="1"/>
  <c r="CU76" i="25"/>
  <c r="CV164" i="25"/>
  <c r="CU164" i="25"/>
  <c r="CW164" i="25"/>
  <c r="CO164" i="25" s="1"/>
  <c r="CV156" i="25"/>
  <c r="CU156" i="25"/>
  <c r="CW156" i="25"/>
  <c r="CO156" i="25" s="1"/>
  <c r="CV103" i="25"/>
  <c r="CW103" i="25"/>
  <c r="CO103" i="25" s="1"/>
  <c r="CU103" i="25"/>
  <c r="CW275" i="25"/>
  <c r="CO275" i="25" s="1"/>
  <c r="CV275" i="25"/>
  <c r="CU275" i="25"/>
  <c r="CU283" i="25"/>
  <c r="CV283" i="25"/>
  <c r="CW283" i="25"/>
  <c r="CO283" i="25" s="1"/>
  <c r="CW280" i="25"/>
  <c r="CO280" i="25" s="1"/>
  <c r="CU280" i="25"/>
  <c r="CV280" i="25"/>
  <c r="CW239" i="25"/>
  <c r="CO239" i="25" s="1"/>
  <c r="CV239" i="25"/>
  <c r="CU239" i="25"/>
  <c r="CW284" i="25"/>
  <c r="CO284" i="25" s="1"/>
  <c r="CU284" i="25"/>
  <c r="CV284" i="25"/>
  <c r="CW35" i="25"/>
  <c r="CO35" i="25" s="1"/>
  <c r="CV35" i="25"/>
  <c r="CU35" i="25"/>
  <c r="CU295" i="25"/>
  <c r="CW295" i="25"/>
  <c r="CO295" i="25" s="1"/>
  <c r="CV295" i="25"/>
  <c r="CV98" i="25"/>
  <c r="CU98" i="25"/>
  <c r="CW98" i="25"/>
  <c r="CO98" i="25" s="1"/>
  <c r="CU92" i="25"/>
  <c r="CW92" i="25"/>
  <c r="CO92" i="25" s="1"/>
  <c r="CV92" i="25"/>
  <c r="CV168" i="25"/>
  <c r="CW168" i="25"/>
  <c r="CO168" i="25" s="1"/>
  <c r="CU168" i="25"/>
  <c r="CW144" i="25"/>
  <c r="CO144" i="25" s="1"/>
  <c r="CV144" i="25"/>
  <c r="CU144" i="25"/>
  <c r="CV70" i="25"/>
  <c r="CU70" i="25"/>
  <c r="CW70" i="25"/>
  <c r="CO70" i="25" s="1"/>
  <c r="CW143" i="25"/>
  <c r="CO143" i="25" s="1"/>
  <c r="CU143" i="25"/>
  <c r="CV143" i="25"/>
  <c r="CW97" i="25"/>
  <c r="CO97" i="25" s="1"/>
  <c r="CV97" i="25"/>
  <c r="CU97" i="25"/>
  <c r="CV122" i="25"/>
  <c r="CU122" i="25"/>
  <c r="CW122" i="25"/>
  <c r="CO122" i="25" s="1"/>
  <c r="CU64" i="25"/>
  <c r="CV64" i="25"/>
  <c r="CW64" i="25"/>
  <c r="CO64" i="25" s="1"/>
  <c r="CW65" i="25"/>
  <c r="CO65" i="25" s="1"/>
  <c r="CV65" i="25"/>
  <c r="CU65" i="25"/>
  <c r="CV111" i="25"/>
  <c r="CU111" i="25"/>
  <c r="CW111" i="25"/>
  <c r="CO111" i="25" s="1"/>
  <c r="CV202" i="25"/>
  <c r="CU202" i="25"/>
  <c r="CW202" i="25"/>
  <c r="CO202" i="25" s="1"/>
  <c r="CV191" i="25"/>
  <c r="CW191" i="25"/>
  <c r="CO191" i="25" s="1"/>
  <c r="CU191" i="25"/>
  <c r="CW180" i="25"/>
  <c r="CO180" i="25" s="1"/>
  <c r="CV180" i="25"/>
  <c r="CU180" i="25"/>
  <c r="CU251" i="25"/>
  <c r="CW251" i="25"/>
  <c r="CO251" i="25" s="1"/>
  <c r="CV251" i="25"/>
  <c r="CU174" i="25"/>
  <c r="CW174" i="25"/>
  <c r="CO174" i="25" s="1"/>
  <c r="CV174" i="25"/>
  <c r="CU175" i="25"/>
  <c r="CV175" i="25"/>
  <c r="CW175" i="25"/>
  <c r="CO175" i="25" s="1"/>
  <c r="CW292" i="25"/>
  <c r="CO292" i="25" s="1"/>
  <c r="CU292" i="25"/>
  <c r="CV292" i="25"/>
  <c r="CL34" i="24"/>
  <c r="CW34" i="24"/>
  <c r="CX34" i="24" s="1"/>
  <c r="DQ34" i="24"/>
  <c r="ES34" i="24"/>
  <c r="EV34" i="24" s="1"/>
  <c r="CY34" i="24"/>
  <c r="CU34" i="24"/>
  <c r="CV34" i="24" s="1"/>
  <c r="CY87" i="24"/>
  <c r="CL87" i="24"/>
  <c r="ES87" i="24"/>
  <c r="EV87" i="24" s="1"/>
  <c r="CW87" i="24"/>
  <c r="CX87" i="24" s="1"/>
  <c r="DQ87" i="24"/>
  <c r="CU87" i="24"/>
  <c r="CV87" i="24" s="1"/>
  <c r="ES53" i="24"/>
  <c r="EV53" i="24" s="1"/>
  <c r="CL53" i="24"/>
  <c r="DQ53" i="24"/>
  <c r="CW53" i="24"/>
  <c r="CX53" i="24" s="1"/>
  <c r="CY53" i="24"/>
  <c r="CU53" i="24"/>
  <c r="CV53" i="24" s="1"/>
  <c r="ES42" i="24"/>
  <c r="EV42" i="24" s="1"/>
  <c r="CL42" i="24"/>
  <c r="CW42" i="24"/>
  <c r="CX42" i="24" s="1"/>
  <c r="CY42" i="24"/>
  <c r="DQ42" i="24"/>
  <c r="CU42" i="24"/>
  <c r="CV42" i="24" s="1"/>
  <c r="CU11" i="24"/>
  <c r="CV11" i="24" s="1"/>
  <c r="CL11" i="24"/>
  <c r="DQ11" i="24"/>
  <c r="ES11" i="24"/>
  <c r="EV11" i="24" s="1"/>
  <c r="CW11" i="24"/>
  <c r="CX11" i="24" s="1"/>
  <c r="CY11" i="24"/>
  <c r="CZ11" i="24" s="1"/>
  <c r="CL91" i="24"/>
  <c r="DQ91" i="24"/>
  <c r="ES91" i="24"/>
  <c r="EV91" i="24" s="1"/>
  <c r="CW91" i="24"/>
  <c r="CX91" i="24" s="1"/>
  <c r="CY91" i="24"/>
  <c r="CZ91" i="24" s="1"/>
  <c r="CU91" i="24"/>
  <c r="CV91" i="24" s="1"/>
  <c r="CL39" i="24"/>
  <c r="CU39" i="24"/>
  <c r="CV39" i="24" s="1"/>
  <c r="ES39" i="24"/>
  <c r="EV39" i="24" s="1"/>
  <c r="CY39" i="24"/>
  <c r="CW39" i="24"/>
  <c r="CX39" i="24" s="1"/>
  <c r="DQ39" i="24"/>
  <c r="CW71" i="24"/>
  <c r="CX71" i="24" s="1"/>
  <c r="DQ71" i="24"/>
  <c r="ES71" i="24"/>
  <c r="EV71" i="24" s="1"/>
  <c r="CL71" i="24"/>
  <c r="CY71" i="24"/>
  <c r="CU71" i="24"/>
  <c r="CV71" i="24" s="1"/>
  <c r="CW43" i="24"/>
  <c r="CX43" i="24" s="1"/>
  <c r="CL43" i="24"/>
  <c r="ES43" i="24"/>
  <c r="EV43" i="24" s="1"/>
  <c r="CU43" i="24"/>
  <c r="CV43" i="24" s="1"/>
  <c r="DQ43" i="24"/>
  <c r="CY43" i="24"/>
  <c r="DQ122" i="24"/>
  <c r="CY122" i="24"/>
  <c r="CZ122" i="24" s="1"/>
  <c r="CU122" i="24"/>
  <c r="ES122" i="24"/>
  <c r="EV122" i="24" s="1"/>
  <c r="CW122" i="24"/>
  <c r="CX122" i="24" s="1"/>
  <c r="CL122" i="24"/>
  <c r="ES168" i="24"/>
  <c r="EV168" i="24" s="1"/>
  <c r="CL168" i="24"/>
  <c r="CU168" i="24"/>
  <c r="CW168" i="24"/>
  <c r="CX168" i="24" s="1"/>
  <c r="DQ168" i="24"/>
  <c r="CY168" i="24"/>
  <c r="CZ168" i="24" s="1"/>
  <c r="ES127" i="24"/>
  <c r="EV127" i="24" s="1"/>
  <c r="DQ127" i="24"/>
  <c r="CW127" i="24"/>
  <c r="CX127" i="24" s="1"/>
  <c r="CL127" i="24"/>
  <c r="CY127" i="24"/>
  <c r="CU127" i="24"/>
  <c r="CW266" i="24"/>
  <c r="CX266" i="24" s="1"/>
  <c r="CU266" i="24"/>
  <c r="CL266" i="24"/>
  <c r="DQ266" i="24"/>
  <c r="CY266" i="24"/>
  <c r="ES69" i="24"/>
  <c r="EV69" i="24" s="1"/>
  <c r="CW69" i="24"/>
  <c r="CX69" i="24" s="1"/>
  <c r="CL69" i="24"/>
  <c r="DQ69" i="24"/>
  <c r="CU69" i="24"/>
  <c r="CV69" i="24" s="1"/>
  <c r="CY69" i="24"/>
  <c r="CL140" i="24"/>
  <c r="ES140" i="24"/>
  <c r="EV140" i="24" s="1"/>
  <c r="DQ140" i="24"/>
  <c r="CW140" i="24"/>
  <c r="CX140" i="24" s="1"/>
  <c r="CY140" i="24"/>
  <c r="CU140" i="24"/>
  <c r="ES99" i="24"/>
  <c r="EV99" i="24" s="1"/>
  <c r="CW99" i="24"/>
  <c r="CX99" i="24" s="1"/>
  <c r="CY99" i="24"/>
  <c r="DQ99" i="24"/>
  <c r="CL99" i="24"/>
  <c r="CU99" i="24"/>
  <c r="CV99" i="24" s="1"/>
  <c r="DQ151" i="24"/>
  <c r="CL151" i="24"/>
  <c r="CW151" i="24"/>
  <c r="CX151" i="24" s="1"/>
  <c r="ES151" i="24"/>
  <c r="EV151" i="24" s="1"/>
  <c r="CY151" i="24"/>
  <c r="CU151" i="24"/>
  <c r="CY124" i="24"/>
  <c r="DQ124" i="24"/>
  <c r="ES124" i="24"/>
  <c r="EV124" i="24" s="1"/>
  <c r="CL124" i="24"/>
  <c r="CW124" i="24"/>
  <c r="CX124" i="24" s="1"/>
  <c r="CU124" i="24"/>
  <c r="DQ188" i="24"/>
  <c r="CY188" i="24"/>
  <c r="ES188" i="24"/>
  <c r="EV188" i="24" s="1"/>
  <c r="CU188" i="24"/>
  <c r="CL188" i="24"/>
  <c r="CW188" i="24"/>
  <c r="CX188" i="24" s="1"/>
  <c r="ES138" i="24"/>
  <c r="EV138" i="24" s="1"/>
  <c r="CL138" i="24"/>
  <c r="DQ138" i="24"/>
  <c r="CY138" i="24"/>
  <c r="CW138" i="24"/>
  <c r="CX138" i="24" s="1"/>
  <c r="CU138" i="24"/>
  <c r="CL310" i="24"/>
  <c r="CW310" i="24"/>
  <c r="CX310" i="24" s="1"/>
  <c r="CU310" i="24"/>
  <c r="CY310" i="24"/>
  <c r="DQ310" i="24"/>
  <c r="CL174" i="24"/>
  <c r="ES174" i="24"/>
  <c r="EV174" i="24" s="1"/>
  <c r="DQ174" i="24"/>
  <c r="CU174" i="24"/>
  <c r="CW174" i="24"/>
  <c r="CX174" i="24" s="1"/>
  <c r="CY174" i="24"/>
  <c r="ES114" i="24"/>
  <c r="EV114" i="24" s="1"/>
  <c r="CW114" i="24"/>
  <c r="CX114" i="24" s="1"/>
  <c r="DQ114" i="24"/>
  <c r="CL114" i="24"/>
  <c r="CY114" i="24"/>
  <c r="CU114" i="24"/>
  <c r="CL176" i="24"/>
  <c r="CU176" i="24"/>
  <c r="ES176" i="24"/>
  <c r="EV176" i="24" s="1"/>
  <c r="CW176" i="24"/>
  <c r="CX176" i="24" s="1"/>
  <c r="DQ176" i="24"/>
  <c r="CY176" i="24"/>
  <c r="ES201" i="24"/>
  <c r="EV201" i="24" s="1"/>
  <c r="DQ201" i="24"/>
  <c r="CW201" i="24"/>
  <c r="CX201" i="24" s="1"/>
  <c r="CU201" i="24"/>
  <c r="CL201" i="24"/>
  <c r="CY201" i="24"/>
  <c r="CZ201" i="24" s="1"/>
  <c r="CW271" i="24"/>
  <c r="CX271" i="24" s="1"/>
  <c r="CL271" i="24"/>
  <c r="DQ271" i="24"/>
  <c r="CY271" i="24"/>
  <c r="CU271" i="24"/>
  <c r="DQ237" i="24"/>
  <c r="CL237" i="24"/>
  <c r="CW237" i="24"/>
  <c r="CX237" i="24" s="1"/>
  <c r="CU237" i="24"/>
  <c r="CY237" i="24"/>
  <c r="DQ315" i="24"/>
  <c r="CL315" i="24"/>
  <c r="CW315" i="24"/>
  <c r="CX315" i="24" s="1"/>
  <c r="CY315" i="24"/>
  <c r="CU315" i="24"/>
  <c r="DQ239" i="24"/>
  <c r="CW239" i="24"/>
  <c r="CX239" i="24" s="1"/>
  <c r="CL239" i="24"/>
  <c r="CY239" i="24"/>
  <c r="CU239" i="24"/>
  <c r="DQ299" i="24"/>
  <c r="CL299" i="24"/>
  <c r="CY299" i="24"/>
  <c r="CZ299" i="24" s="1"/>
  <c r="CW299" i="24"/>
  <c r="CX299" i="24" s="1"/>
  <c r="CU299" i="24"/>
  <c r="CY225" i="24"/>
  <c r="CW225" i="24"/>
  <c r="CX225" i="24" s="1"/>
  <c r="CU225" i="24"/>
  <c r="DQ225" i="24"/>
  <c r="CL225" i="24"/>
  <c r="CW260" i="24"/>
  <c r="CX260" i="24" s="1"/>
  <c r="CU260" i="24"/>
  <c r="CL260" i="24"/>
  <c r="DQ260" i="24"/>
  <c r="CY260" i="24"/>
  <c r="CU223" i="24"/>
  <c r="CW223" i="24"/>
  <c r="CX223" i="24" s="1"/>
  <c r="CY223" i="24"/>
  <c r="DQ223" i="24"/>
  <c r="CL223" i="24"/>
  <c r="DQ290" i="24"/>
  <c r="CL290" i="24"/>
  <c r="CW290" i="24"/>
  <c r="CX290" i="24" s="1"/>
  <c r="CY290" i="24"/>
  <c r="CU290" i="24"/>
  <c r="ES196" i="24"/>
  <c r="EV196" i="24" s="1"/>
  <c r="CU196" i="24"/>
  <c r="CY196" i="24"/>
  <c r="DQ196" i="24"/>
  <c r="CW196" i="24"/>
  <c r="CX196" i="24" s="1"/>
  <c r="CL196" i="24"/>
  <c r="DQ246" i="24"/>
  <c r="CU246" i="24"/>
  <c r="CL246" i="24"/>
  <c r="CW246" i="24"/>
  <c r="CX246" i="24" s="1"/>
  <c r="CY246" i="24"/>
  <c r="CL313" i="24"/>
  <c r="DQ313" i="24"/>
  <c r="CY313" i="24"/>
  <c r="CW313" i="24"/>
  <c r="CX313" i="24" s="1"/>
  <c r="CU313" i="24"/>
  <c r="CL26" i="24"/>
  <c r="CW26" i="24"/>
  <c r="CX26" i="24" s="1"/>
  <c r="CY26" i="24"/>
  <c r="ES26" i="24"/>
  <c r="EV26" i="24" s="1"/>
  <c r="DQ26" i="24"/>
  <c r="CU26" i="24"/>
  <c r="CV26" i="24" s="1"/>
  <c r="DQ92" i="24"/>
  <c r="CL92" i="24"/>
  <c r="CW92" i="24"/>
  <c r="CX92" i="24" s="1"/>
  <c r="CY92" i="24"/>
  <c r="CU92" i="24"/>
  <c r="CV92" i="24" s="1"/>
  <c r="ES92" i="24"/>
  <c r="EV92" i="24" s="1"/>
  <c r="DQ59" i="24"/>
  <c r="ES59" i="24"/>
  <c r="EV59" i="24" s="1"/>
  <c r="CL59" i="24"/>
  <c r="CW59" i="24"/>
  <c r="CX59" i="24" s="1"/>
  <c r="CY59" i="24"/>
  <c r="CU59" i="24"/>
  <c r="CV59" i="24" s="1"/>
  <c r="CW77" i="24"/>
  <c r="CX77" i="24" s="1"/>
  <c r="ES77" i="24"/>
  <c r="EV77" i="24" s="1"/>
  <c r="CL77" i="24"/>
  <c r="CY77" i="24"/>
  <c r="DQ77" i="24"/>
  <c r="CU77" i="24"/>
  <c r="CV77" i="24" s="1"/>
  <c r="CY12" i="24"/>
  <c r="ES12" i="24"/>
  <c r="EV12" i="24" s="1"/>
  <c r="CW12" i="24"/>
  <c r="CX12" i="24" s="1"/>
  <c r="CU12" i="24"/>
  <c r="CV12" i="24" s="1"/>
  <c r="DQ12" i="24"/>
  <c r="CL12" i="24"/>
  <c r="ES96" i="24"/>
  <c r="EV96" i="24" s="1"/>
  <c r="CL96" i="24"/>
  <c r="DQ96" i="24"/>
  <c r="CW96" i="24"/>
  <c r="CX96" i="24" s="1"/>
  <c r="CU96" i="24"/>
  <c r="CV96" i="24" s="1"/>
  <c r="CY96" i="24"/>
  <c r="ES49" i="24"/>
  <c r="EV49" i="24" s="1"/>
  <c r="CL49" i="24"/>
  <c r="CW49" i="24"/>
  <c r="CX49" i="24" s="1"/>
  <c r="CY49" i="24"/>
  <c r="DQ49" i="24"/>
  <c r="CU49" i="24"/>
  <c r="CV49" i="24" s="1"/>
  <c r="ES79" i="24"/>
  <c r="EV79" i="24" s="1"/>
  <c r="CW79" i="24"/>
  <c r="CX79" i="24" s="1"/>
  <c r="CY79" i="24"/>
  <c r="DQ79" i="24"/>
  <c r="CU79" i="24"/>
  <c r="CV79" i="24" s="1"/>
  <c r="CL79" i="24"/>
  <c r="CW44" i="24"/>
  <c r="CX44" i="24" s="1"/>
  <c r="CL44" i="24"/>
  <c r="DQ44" i="24"/>
  <c r="ES44" i="24"/>
  <c r="EV44" i="24" s="1"/>
  <c r="CY44" i="24"/>
  <c r="CU44" i="24"/>
  <c r="CV44" i="24" s="1"/>
  <c r="ES130" i="24"/>
  <c r="EV130" i="24" s="1"/>
  <c r="DQ130" i="24"/>
  <c r="CL130" i="24"/>
  <c r="CU130" i="24"/>
  <c r="CW130" i="24"/>
  <c r="CX130" i="24" s="1"/>
  <c r="CY130" i="24"/>
  <c r="CU218" i="24"/>
  <c r="CW218" i="24"/>
  <c r="CX218" i="24" s="1"/>
  <c r="CL218" i="24"/>
  <c r="CY218" i="24"/>
  <c r="DQ218" i="24"/>
  <c r="ES145" i="24"/>
  <c r="EV145" i="24" s="1"/>
  <c r="CW145" i="24"/>
  <c r="CX145" i="24" s="1"/>
  <c r="DQ145" i="24"/>
  <c r="CL145" i="24"/>
  <c r="CU145" i="24"/>
  <c r="CY145" i="24"/>
  <c r="ES31" i="24"/>
  <c r="EV31" i="24" s="1"/>
  <c r="DQ31" i="24"/>
  <c r="CY31" i="24"/>
  <c r="CW31" i="24"/>
  <c r="CX31" i="24" s="1"/>
  <c r="CU31" i="24"/>
  <c r="CV31" i="24" s="1"/>
  <c r="CL31" i="24"/>
  <c r="DQ74" i="24"/>
  <c r="ES74" i="24"/>
  <c r="EV74" i="24" s="1"/>
  <c r="CL74" i="24"/>
  <c r="CW74" i="24"/>
  <c r="CX74" i="24" s="1"/>
  <c r="CU74" i="24"/>
  <c r="CV74" i="24" s="1"/>
  <c r="CY74" i="24"/>
  <c r="DQ142" i="24"/>
  <c r="CW142" i="24"/>
  <c r="CX142" i="24" s="1"/>
  <c r="CL142" i="24"/>
  <c r="ES142" i="24"/>
  <c r="EV142" i="24" s="1"/>
  <c r="CU142" i="24"/>
  <c r="CY142" i="24"/>
  <c r="ES117" i="24"/>
  <c r="EV117" i="24" s="1"/>
  <c r="DQ117" i="24"/>
  <c r="CL117" i="24"/>
  <c r="CW117" i="24"/>
  <c r="CX117" i="24" s="1"/>
  <c r="CU117" i="24"/>
  <c r="CY117" i="24"/>
  <c r="DQ158" i="24"/>
  <c r="CL158" i="24"/>
  <c r="ES158" i="24"/>
  <c r="EV158" i="24" s="1"/>
  <c r="CY158" i="24"/>
  <c r="CW158" i="24"/>
  <c r="CX158" i="24" s="1"/>
  <c r="CU158" i="24"/>
  <c r="CW128" i="24"/>
  <c r="CX128" i="24" s="1"/>
  <c r="ES128" i="24"/>
  <c r="EV128" i="24" s="1"/>
  <c r="DQ128" i="24"/>
  <c r="CU128" i="24"/>
  <c r="CY128" i="24"/>
  <c r="CL128" i="24"/>
  <c r="CW256" i="24"/>
  <c r="CX256" i="24" s="1"/>
  <c r="CU256" i="24"/>
  <c r="CY256" i="24"/>
  <c r="DQ256" i="24"/>
  <c r="CL256" i="24"/>
  <c r="ES141" i="24"/>
  <c r="EV141" i="24" s="1"/>
  <c r="CL141" i="24"/>
  <c r="DQ141" i="24"/>
  <c r="CW141" i="24"/>
  <c r="CX141" i="24" s="1"/>
  <c r="CY141" i="24"/>
  <c r="CU141" i="24"/>
  <c r="ES95" i="24"/>
  <c r="EV95" i="24" s="1"/>
  <c r="DQ95" i="24"/>
  <c r="CL95" i="24"/>
  <c r="CU95" i="24"/>
  <c r="CV95" i="24" s="1"/>
  <c r="CW95" i="24"/>
  <c r="CX95" i="24" s="1"/>
  <c r="CY95" i="24"/>
  <c r="DQ178" i="24"/>
  <c r="CL178" i="24"/>
  <c r="CW178" i="24"/>
  <c r="CX178" i="24" s="1"/>
  <c r="CY178" i="24"/>
  <c r="ES178" i="24"/>
  <c r="EV178" i="24" s="1"/>
  <c r="CU178" i="24"/>
  <c r="ES125" i="24"/>
  <c r="EV125" i="24" s="1"/>
  <c r="DQ125" i="24"/>
  <c r="CL125" i="24"/>
  <c r="CW125" i="24"/>
  <c r="CX125" i="24" s="1"/>
  <c r="CY125" i="24"/>
  <c r="CU125" i="24"/>
  <c r="ES180" i="24"/>
  <c r="EV180" i="24" s="1"/>
  <c r="DQ180" i="24"/>
  <c r="CU180" i="24"/>
  <c r="CL180" i="24"/>
  <c r="CY180" i="24"/>
  <c r="CW180" i="24"/>
  <c r="CX180" i="24" s="1"/>
  <c r="ES207" i="24"/>
  <c r="EV207" i="24" s="1"/>
  <c r="CL207" i="24"/>
  <c r="DQ207" i="24"/>
  <c r="CY207" i="24"/>
  <c r="CW207" i="24"/>
  <c r="CX207" i="24" s="1"/>
  <c r="CU207" i="24"/>
  <c r="DQ272" i="24"/>
  <c r="CW272" i="24"/>
  <c r="CX272" i="24" s="1"/>
  <c r="CL272" i="24"/>
  <c r="CY272" i="24"/>
  <c r="CU272" i="24"/>
  <c r="DQ249" i="24"/>
  <c r="CL249" i="24"/>
  <c r="CW249" i="24"/>
  <c r="CX249" i="24" s="1"/>
  <c r="CU249" i="24"/>
  <c r="CY249" i="24"/>
  <c r="DQ195" i="24"/>
  <c r="CW195" i="24"/>
  <c r="CX195" i="24" s="1"/>
  <c r="ES195" i="24"/>
  <c r="EV195" i="24" s="1"/>
  <c r="CY195" i="24"/>
  <c r="CL195" i="24"/>
  <c r="CU195" i="24"/>
  <c r="DQ257" i="24"/>
  <c r="CL257" i="24"/>
  <c r="CW257" i="24"/>
  <c r="CX257" i="24" s="1"/>
  <c r="CY257" i="24"/>
  <c r="CU257" i="24"/>
  <c r="DQ301" i="24"/>
  <c r="CL301" i="24"/>
  <c r="CW301" i="24"/>
  <c r="CX301" i="24" s="1"/>
  <c r="CY301" i="24"/>
  <c r="CU301" i="24"/>
  <c r="DQ229" i="24"/>
  <c r="CY229" i="24"/>
  <c r="CZ229" i="24" s="1"/>
  <c r="CL229" i="24"/>
  <c r="CW229" i="24"/>
  <c r="CX229" i="24" s="1"/>
  <c r="CU229" i="24"/>
  <c r="DQ268" i="24"/>
  <c r="CL268" i="24"/>
  <c r="CW268" i="24"/>
  <c r="CX268" i="24" s="1"/>
  <c r="CY268" i="24"/>
  <c r="CU268" i="24"/>
  <c r="CY227" i="24"/>
  <c r="CZ227" i="24" s="1"/>
  <c r="CL227" i="24"/>
  <c r="DQ227" i="24"/>
  <c r="CW227" i="24"/>
  <c r="CX227" i="24" s="1"/>
  <c r="CU227" i="24"/>
  <c r="CY295" i="24"/>
  <c r="CW295" i="24"/>
  <c r="CX295" i="24" s="1"/>
  <c r="CL295" i="24"/>
  <c r="DQ295" i="24"/>
  <c r="CU295" i="24"/>
  <c r="ES198" i="24"/>
  <c r="EV198" i="24" s="1"/>
  <c r="CL198" i="24"/>
  <c r="CY198" i="24"/>
  <c r="DQ198" i="24"/>
  <c r="CW198" i="24"/>
  <c r="CX198" i="24" s="1"/>
  <c r="CU198" i="24"/>
  <c r="DQ251" i="24"/>
  <c r="CY251" i="24"/>
  <c r="CL251" i="24"/>
  <c r="CW251" i="24"/>
  <c r="CX251" i="24" s="1"/>
  <c r="CU251" i="24"/>
  <c r="DQ316" i="24"/>
  <c r="CY316" i="24"/>
  <c r="CL316" i="24"/>
  <c r="CW316" i="24"/>
  <c r="CX316" i="24" s="1"/>
  <c r="CU316" i="24"/>
  <c r="CL28" i="24"/>
  <c r="CU28" i="24"/>
  <c r="CV28" i="24" s="1"/>
  <c r="DQ28" i="24"/>
  <c r="CW28" i="24"/>
  <c r="CX28" i="24" s="1"/>
  <c r="CY28" i="24"/>
  <c r="CZ28" i="24" s="1"/>
  <c r="ES28" i="24"/>
  <c r="EV28" i="24" s="1"/>
  <c r="CL94" i="24"/>
  <c r="CY94" i="24"/>
  <c r="CW94" i="24"/>
  <c r="CX94" i="24" s="1"/>
  <c r="ES94" i="24"/>
  <c r="EV94" i="24" s="1"/>
  <c r="DQ94" i="24"/>
  <c r="CU94" i="24"/>
  <c r="CV94" i="24" s="1"/>
  <c r="CL61" i="24"/>
  <c r="CY61" i="24"/>
  <c r="CW61" i="24"/>
  <c r="CX61" i="24" s="1"/>
  <c r="DQ61" i="24"/>
  <c r="ES61" i="24"/>
  <c r="EV61" i="24" s="1"/>
  <c r="CU61" i="24"/>
  <c r="CV61" i="24" s="1"/>
  <c r="CL35" i="24"/>
  <c r="ES35" i="24"/>
  <c r="EV35" i="24" s="1"/>
  <c r="DQ35" i="24"/>
  <c r="CU35" i="24"/>
  <c r="CV35" i="24" s="1"/>
  <c r="CY35" i="24"/>
  <c r="CW35" i="24"/>
  <c r="CX35" i="24" s="1"/>
  <c r="ES23" i="24"/>
  <c r="EV23" i="24" s="1"/>
  <c r="DQ23" i="24"/>
  <c r="CY23" i="24"/>
  <c r="CW23" i="24"/>
  <c r="CX23" i="24" s="1"/>
  <c r="CL23" i="24"/>
  <c r="CU23" i="24"/>
  <c r="CV23" i="24" s="1"/>
  <c r="ES13" i="24"/>
  <c r="EV13" i="24" s="1"/>
  <c r="CL13" i="24"/>
  <c r="CW13" i="24"/>
  <c r="CX13" i="24" s="1"/>
  <c r="CY13" i="24"/>
  <c r="CU13" i="24"/>
  <c r="CV13" i="24" s="1"/>
  <c r="DQ13" i="24"/>
  <c r="CU51" i="24"/>
  <c r="CV51" i="24" s="1"/>
  <c r="CY51" i="24"/>
  <c r="CW51" i="24"/>
  <c r="CX51" i="24" s="1"/>
  <c r="CL51" i="24"/>
  <c r="ES51" i="24"/>
  <c r="EV51" i="24" s="1"/>
  <c r="DQ51" i="24"/>
  <c r="CL85" i="24"/>
  <c r="CW85" i="24"/>
  <c r="CX85" i="24" s="1"/>
  <c r="ES85" i="24"/>
  <c r="EV85" i="24" s="1"/>
  <c r="DQ85" i="24"/>
  <c r="CY85" i="24"/>
  <c r="CU85" i="24"/>
  <c r="CV85" i="24" s="1"/>
  <c r="CU63" i="24"/>
  <c r="CV63" i="24" s="1"/>
  <c r="DQ63" i="24"/>
  <c r="CW63" i="24"/>
  <c r="CX63" i="24" s="1"/>
  <c r="CL63" i="24"/>
  <c r="ES63" i="24"/>
  <c r="EV63" i="24" s="1"/>
  <c r="CY63" i="24"/>
  <c r="ES137" i="24"/>
  <c r="EV137" i="24" s="1"/>
  <c r="CW137" i="24"/>
  <c r="CX137" i="24" s="1"/>
  <c r="CL137" i="24"/>
  <c r="DQ137" i="24"/>
  <c r="CY137" i="24"/>
  <c r="CU137" i="24"/>
  <c r="DQ68" i="24"/>
  <c r="CL68" i="24"/>
  <c r="CW68" i="24"/>
  <c r="CX68" i="24" s="1"/>
  <c r="CU68" i="24"/>
  <c r="CV68" i="24" s="1"/>
  <c r="ES68" i="24"/>
  <c r="EV68" i="24" s="1"/>
  <c r="CY68" i="24"/>
  <c r="DQ159" i="24"/>
  <c r="CW159" i="24"/>
  <c r="CX159" i="24" s="1"/>
  <c r="CY159" i="24"/>
  <c r="CU159" i="24"/>
  <c r="ES159" i="24"/>
  <c r="EV159" i="24" s="1"/>
  <c r="CL159" i="24"/>
  <c r="ES32" i="24"/>
  <c r="EV32" i="24" s="1"/>
  <c r="CL32" i="24"/>
  <c r="DQ32" i="24"/>
  <c r="CW32" i="24"/>
  <c r="CX32" i="24" s="1"/>
  <c r="CY32" i="24"/>
  <c r="CU32" i="24"/>
  <c r="CV32" i="24" s="1"/>
  <c r="DQ78" i="24"/>
  <c r="CW78" i="24"/>
  <c r="CX78" i="24" s="1"/>
  <c r="CU78" i="24"/>
  <c r="CV78" i="24" s="1"/>
  <c r="CL78" i="24"/>
  <c r="ES78" i="24"/>
  <c r="EV78" i="24" s="1"/>
  <c r="CY78" i="24"/>
  <c r="ES144" i="24"/>
  <c r="EV144" i="24" s="1"/>
  <c r="CW144" i="24"/>
  <c r="CX144" i="24" s="1"/>
  <c r="CL144" i="24"/>
  <c r="CU144" i="24"/>
  <c r="DQ144" i="24"/>
  <c r="CY144" i="24"/>
  <c r="DQ121" i="24"/>
  <c r="ES121" i="24"/>
  <c r="EV121" i="24" s="1"/>
  <c r="CU121" i="24"/>
  <c r="CY121" i="24"/>
  <c r="CW121" i="24"/>
  <c r="CX121" i="24" s="1"/>
  <c r="CL121" i="24"/>
  <c r="ES165" i="24"/>
  <c r="EV165" i="24" s="1"/>
  <c r="CU165" i="24"/>
  <c r="CY165" i="24"/>
  <c r="CL165" i="24"/>
  <c r="CW165" i="24"/>
  <c r="CX165" i="24" s="1"/>
  <c r="DQ165" i="24"/>
  <c r="CL135" i="24"/>
  <c r="ES135" i="24"/>
  <c r="EV135" i="24" s="1"/>
  <c r="DQ135" i="24"/>
  <c r="CY135" i="24"/>
  <c r="CW135" i="24"/>
  <c r="CX135" i="24" s="1"/>
  <c r="CU135" i="24"/>
  <c r="DQ100" i="24"/>
  <c r="CL100" i="24"/>
  <c r="ES100" i="24"/>
  <c r="EV100" i="24" s="1"/>
  <c r="CU100" i="24"/>
  <c r="CV100" i="24" s="1"/>
  <c r="CY100" i="24"/>
  <c r="CW100" i="24"/>
  <c r="CX100" i="24" s="1"/>
  <c r="CL160" i="24"/>
  <c r="ES160" i="24"/>
  <c r="EV160" i="24" s="1"/>
  <c r="CU160" i="24"/>
  <c r="DQ160" i="24"/>
  <c r="CW160" i="24"/>
  <c r="CX160" i="24" s="1"/>
  <c r="CY160" i="24"/>
  <c r="CY101" i="24"/>
  <c r="CU101" i="24"/>
  <c r="CV101" i="24" s="1"/>
  <c r="DQ101" i="24"/>
  <c r="ES101" i="24"/>
  <c r="EV101" i="24" s="1"/>
  <c r="CL101" i="24"/>
  <c r="CW101" i="24"/>
  <c r="CX101" i="24" s="1"/>
  <c r="DQ184" i="24"/>
  <c r="ES184" i="24"/>
  <c r="EV184" i="24" s="1"/>
  <c r="CL184" i="24"/>
  <c r="CU184" i="24"/>
  <c r="CW184" i="24"/>
  <c r="CX184" i="24" s="1"/>
  <c r="CY184" i="24"/>
  <c r="CZ184" i="24" s="1"/>
  <c r="CU131" i="24"/>
  <c r="CL131" i="24"/>
  <c r="CY131" i="24"/>
  <c r="DQ131" i="24"/>
  <c r="ES131" i="24"/>
  <c r="EV131" i="24" s="1"/>
  <c r="CW131" i="24"/>
  <c r="CX131" i="24" s="1"/>
  <c r="DQ181" i="24"/>
  <c r="CW181" i="24"/>
  <c r="CX181" i="24" s="1"/>
  <c r="CY181" i="24"/>
  <c r="ES181" i="24"/>
  <c r="EV181" i="24" s="1"/>
  <c r="CL181" i="24"/>
  <c r="CU181" i="24"/>
  <c r="CL220" i="24"/>
  <c r="DQ220" i="24"/>
  <c r="CY220" i="24"/>
  <c r="CW220" i="24"/>
  <c r="CX220" i="24" s="1"/>
  <c r="CU220" i="24"/>
  <c r="DQ288" i="24"/>
  <c r="CY288" i="24"/>
  <c r="CL288" i="24"/>
  <c r="CU288" i="24"/>
  <c r="CW288" i="24"/>
  <c r="CX288" i="24" s="1"/>
  <c r="CY270" i="24"/>
  <c r="DQ270" i="24"/>
  <c r="CL270" i="24"/>
  <c r="CU270" i="24"/>
  <c r="CW270" i="24"/>
  <c r="CX270" i="24" s="1"/>
  <c r="CL197" i="24"/>
  <c r="CW197" i="24"/>
  <c r="CX197" i="24" s="1"/>
  <c r="ES197" i="24"/>
  <c r="EV197" i="24" s="1"/>
  <c r="DQ197" i="24"/>
  <c r="CY197" i="24"/>
  <c r="CU197" i="24"/>
  <c r="CW261" i="24"/>
  <c r="CX261" i="24" s="1"/>
  <c r="CY261" i="24"/>
  <c r="CZ261" i="24" s="1"/>
  <c r="DQ261" i="24"/>
  <c r="CL261" i="24"/>
  <c r="CU261" i="24"/>
  <c r="CW303" i="24"/>
  <c r="CX303" i="24" s="1"/>
  <c r="DQ303" i="24"/>
  <c r="CL303" i="24"/>
  <c r="CY303" i="24"/>
  <c r="CU303" i="24"/>
  <c r="CL231" i="24"/>
  <c r="CU231" i="24"/>
  <c r="CY231" i="24"/>
  <c r="DQ231" i="24"/>
  <c r="CW231" i="24"/>
  <c r="CX231" i="24" s="1"/>
  <c r="CL273" i="24"/>
  <c r="CW273" i="24"/>
  <c r="CX273" i="24" s="1"/>
  <c r="DQ273" i="24"/>
  <c r="CY273" i="24"/>
  <c r="CU273" i="24"/>
  <c r="CL247" i="24"/>
  <c r="DQ247" i="24"/>
  <c r="CW247" i="24"/>
  <c r="CX247" i="24" s="1"/>
  <c r="CY247" i="24"/>
  <c r="CU247" i="24"/>
  <c r="CL304" i="24"/>
  <c r="DQ304" i="24"/>
  <c r="CW304" i="24"/>
  <c r="CX304" i="24" s="1"/>
  <c r="CY304" i="24"/>
  <c r="CU304" i="24"/>
  <c r="DQ199" i="24"/>
  <c r="CW199" i="24"/>
  <c r="CX199" i="24" s="1"/>
  <c r="CL199" i="24"/>
  <c r="ES199" i="24"/>
  <c r="EV199" i="24" s="1"/>
  <c r="CY199" i="24"/>
  <c r="CU199" i="24"/>
  <c r="CW252" i="24"/>
  <c r="CX252" i="24" s="1"/>
  <c r="CL252" i="24"/>
  <c r="CU252" i="24"/>
  <c r="DQ252" i="24"/>
  <c r="CY252" i="24"/>
  <c r="CL269" i="24"/>
  <c r="DQ269" i="24"/>
  <c r="CW269" i="24"/>
  <c r="CX269" i="24" s="1"/>
  <c r="CU269" i="24"/>
  <c r="CY269" i="24"/>
  <c r="ES46" i="24"/>
  <c r="EV46" i="24" s="1"/>
  <c r="DQ46" i="24"/>
  <c r="CU46" i="24"/>
  <c r="CV46" i="24" s="1"/>
  <c r="CW46" i="24"/>
  <c r="CX46" i="24" s="1"/>
  <c r="CL46" i="24"/>
  <c r="CY46" i="24"/>
  <c r="CL16" i="24"/>
  <c r="ES16" i="24"/>
  <c r="EV16" i="24" s="1"/>
  <c r="DQ16" i="24"/>
  <c r="CW16" i="24"/>
  <c r="CX16" i="24" s="1"/>
  <c r="CY16" i="24"/>
  <c r="CU16" i="24"/>
  <c r="CV16" i="24" s="1"/>
  <c r="ES65" i="24"/>
  <c r="EV65" i="24" s="1"/>
  <c r="DQ65" i="24"/>
  <c r="CY65" i="24"/>
  <c r="CZ65" i="24" s="1"/>
  <c r="CL65" i="24"/>
  <c r="CW65" i="24"/>
  <c r="CX65" i="24" s="1"/>
  <c r="CU65" i="24"/>
  <c r="CV65" i="24" s="1"/>
  <c r="CL24" i="24"/>
  <c r="ES24" i="24"/>
  <c r="EV24" i="24" s="1"/>
  <c r="DQ24" i="24"/>
  <c r="CW24" i="24"/>
  <c r="CX24" i="24" s="1"/>
  <c r="CY24" i="24"/>
  <c r="CU24" i="24"/>
  <c r="CV24" i="24" s="1"/>
  <c r="DQ25" i="24"/>
  <c r="ES25" i="24"/>
  <c r="EV25" i="24" s="1"/>
  <c r="CW25" i="24"/>
  <c r="CX25" i="24" s="1"/>
  <c r="CL25" i="24"/>
  <c r="CY25" i="24"/>
  <c r="CU25" i="24"/>
  <c r="CV25" i="24" s="1"/>
  <c r="CL8" i="24"/>
  <c r="ES8" i="24"/>
  <c r="EV8" i="24" s="1"/>
  <c r="DQ8" i="24"/>
  <c r="CW8" i="24"/>
  <c r="CX8" i="24" s="1"/>
  <c r="CY8" i="24"/>
  <c r="CU8" i="24"/>
  <c r="CV8" i="24" s="1"/>
  <c r="DQ54" i="24"/>
  <c r="CY54" i="24"/>
  <c r="CL54" i="24"/>
  <c r="CU54" i="24"/>
  <c r="CV54" i="24" s="1"/>
  <c r="ES54" i="24"/>
  <c r="EV54" i="24" s="1"/>
  <c r="CW54" i="24"/>
  <c r="CX54" i="24" s="1"/>
  <c r="CL90" i="24"/>
  <c r="CW90" i="24"/>
  <c r="CX90" i="24" s="1"/>
  <c r="ES90" i="24"/>
  <c r="EV90" i="24" s="1"/>
  <c r="DQ90" i="24"/>
  <c r="CU90" i="24"/>
  <c r="CV90" i="24" s="1"/>
  <c r="CY90" i="24"/>
  <c r="DQ93" i="24"/>
  <c r="ES93" i="24"/>
  <c r="EV93" i="24" s="1"/>
  <c r="CY93" i="24"/>
  <c r="CL93" i="24"/>
  <c r="CW93" i="24"/>
  <c r="CX93" i="24" s="1"/>
  <c r="CU93" i="24"/>
  <c r="CV93" i="24" s="1"/>
  <c r="DQ149" i="24"/>
  <c r="CY149" i="24"/>
  <c r="CU149" i="24"/>
  <c r="CW149" i="24"/>
  <c r="CX149" i="24" s="1"/>
  <c r="ES149" i="24"/>
  <c r="EV149" i="24" s="1"/>
  <c r="CL149" i="24"/>
  <c r="CL76" i="24"/>
  <c r="ES76" i="24"/>
  <c r="EV76" i="24" s="1"/>
  <c r="CY76" i="24"/>
  <c r="CZ76" i="24" s="1"/>
  <c r="CW76" i="24"/>
  <c r="CX76" i="24" s="1"/>
  <c r="DQ76" i="24"/>
  <c r="CU76" i="24"/>
  <c r="CV76" i="24" s="1"/>
  <c r="DQ163" i="24"/>
  <c r="ES163" i="24"/>
  <c r="EV163" i="24" s="1"/>
  <c r="CL163" i="24"/>
  <c r="CW163" i="24"/>
  <c r="CX163" i="24" s="1"/>
  <c r="CY163" i="24"/>
  <c r="CZ163" i="24" s="1"/>
  <c r="CU163" i="24"/>
  <c r="ES33" i="24"/>
  <c r="EV33" i="24" s="1"/>
  <c r="DQ33" i="24"/>
  <c r="CY33" i="24"/>
  <c r="CL33" i="24"/>
  <c r="CW33" i="24"/>
  <c r="CX33" i="24" s="1"/>
  <c r="CU33" i="24"/>
  <c r="CV33" i="24" s="1"/>
  <c r="DQ80" i="24"/>
  <c r="CW80" i="24"/>
  <c r="CX80" i="24" s="1"/>
  <c r="ES80" i="24"/>
  <c r="EV80" i="24" s="1"/>
  <c r="CU80" i="24"/>
  <c r="CV80" i="24" s="1"/>
  <c r="CL80" i="24"/>
  <c r="CY80" i="24"/>
  <c r="ES155" i="24"/>
  <c r="EV155" i="24" s="1"/>
  <c r="DQ155" i="24"/>
  <c r="CL155" i="24"/>
  <c r="CW155" i="24"/>
  <c r="CX155" i="24" s="1"/>
  <c r="CY155" i="24"/>
  <c r="CU155" i="24"/>
  <c r="DQ126" i="24"/>
  <c r="CW126" i="24"/>
  <c r="CX126" i="24" s="1"/>
  <c r="CL126" i="24"/>
  <c r="ES126" i="24"/>
  <c r="EV126" i="24" s="1"/>
  <c r="CU126" i="24"/>
  <c r="CY126" i="24"/>
  <c r="CW173" i="24"/>
  <c r="CX173" i="24" s="1"/>
  <c r="CL173" i="24"/>
  <c r="ES173" i="24"/>
  <c r="EV173" i="24" s="1"/>
  <c r="DQ173" i="24"/>
  <c r="CY173" i="24"/>
  <c r="CU173" i="24"/>
  <c r="CY147" i="24"/>
  <c r="CU147" i="24"/>
  <c r="DQ147" i="24"/>
  <c r="CW147" i="24"/>
  <c r="CX147" i="24" s="1"/>
  <c r="ES147" i="24"/>
  <c r="EV147" i="24" s="1"/>
  <c r="CL147" i="24"/>
  <c r="ES102" i="24"/>
  <c r="EV102" i="24" s="1"/>
  <c r="CL102" i="24"/>
  <c r="DQ102" i="24"/>
  <c r="CW102" i="24"/>
  <c r="CX102" i="24" s="1"/>
  <c r="CY102" i="24"/>
  <c r="CU102" i="24"/>
  <c r="CV102" i="24" s="1"/>
  <c r="DQ169" i="24"/>
  <c r="CW169" i="24"/>
  <c r="CX169" i="24" s="1"/>
  <c r="CL169" i="24"/>
  <c r="ES169" i="24"/>
  <c r="EV169" i="24" s="1"/>
  <c r="CY169" i="24"/>
  <c r="CU169" i="24"/>
  <c r="CL105" i="24"/>
  <c r="ES105" i="24"/>
  <c r="EV105" i="24" s="1"/>
  <c r="DQ105" i="24"/>
  <c r="CW105" i="24"/>
  <c r="CX105" i="24" s="1"/>
  <c r="CY105" i="24"/>
  <c r="CU105" i="24"/>
  <c r="CV105" i="24" s="1"/>
  <c r="DQ186" i="24"/>
  <c r="CW186" i="24"/>
  <c r="CX186" i="24" s="1"/>
  <c r="CL186" i="24"/>
  <c r="ES186" i="24"/>
  <c r="EV186" i="24" s="1"/>
  <c r="CY186" i="24"/>
  <c r="CU186" i="24"/>
  <c r="DQ134" i="24"/>
  <c r="CL134" i="24"/>
  <c r="CW134" i="24"/>
  <c r="CX134" i="24" s="1"/>
  <c r="CY134" i="24"/>
  <c r="ES134" i="24"/>
  <c r="EV134" i="24" s="1"/>
  <c r="CU134" i="24"/>
  <c r="ES183" i="24"/>
  <c r="EV183" i="24" s="1"/>
  <c r="DQ183" i="24"/>
  <c r="CY183" i="24"/>
  <c r="CL183" i="24"/>
  <c r="CW183" i="24"/>
  <c r="CX183" i="24" s="1"/>
  <c r="CU183" i="24"/>
  <c r="DQ230" i="24"/>
  <c r="CW230" i="24"/>
  <c r="CX230" i="24" s="1"/>
  <c r="CL230" i="24"/>
  <c r="CY230" i="24"/>
  <c r="CU230" i="24"/>
  <c r="DQ312" i="24"/>
  <c r="CL312" i="24"/>
  <c r="CY312" i="24"/>
  <c r="CW312" i="24"/>
  <c r="CX312" i="24" s="1"/>
  <c r="CU312" i="24"/>
  <c r="CL275" i="24"/>
  <c r="DQ275" i="24"/>
  <c r="CW275" i="24"/>
  <c r="CX275" i="24" s="1"/>
  <c r="CU275" i="24"/>
  <c r="CY275" i="24"/>
  <c r="ES210" i="24"/>
  <c r="EV210" i="24" s="1"/>
  <c r="CW210" i="24"/>
  <c r="CX210" i="24" s="1"/>
  <c r="CY210" i="24"/>
  <c r="CU210" i="24"/>
  <c r="CL210" i="24"/>
  <c r="DQ210" i="24"/>
  <c r="DQ265" i="24"/>
  <c r="CL265" i="24"/>
  <c r="CU265" i="24"/>
  <c r="CW265" i="24"/>
  <c r="CX265" i="24" s="1"/>
  <c r="CY265" i="24"/>
  <c r="DQ305" i="24"/>
  <c r="CW305" i="24"/>
  <c r="CX305" i="24" s="1"/>
  <c r="CY305" i="24"/>
  <c r="CZ305" i="24" s="1"/>
  <c r="CL305" i="24"/>
  <c r="CU305" i="24"/>
  <c r="DQ241" i="24"/>
  <c r="CW241" i="24"/>
  <c r="CX241" i="24" s="1"/>
  <c r="CL241" i="24"/>
  <c r="CU241" i="24"/>
  <c r="CY241" i="24"/>
  <c r="CL292" i="24"/>
  <c r="DQ292" i="24"/>
  <c r="CY292" i="24"/>
  <c r="CW292" i="24"/>
  <c r="CX292" i="24" s="1"/>
  <c r="CU292" i="24"/>
  <c r="CY248" i="24"/>
  <c r="CZ248" i="24" s="1"/>
  <c r="DQ248" i="24"/>
  <c r="CU248" i="24"/>
  <c r="CW248" i="24"/>
  <c r="CX248" i="24" s="1"/>
  <c r="CL248" i="24"/>
  <c r="CL308" i="24"/>
  <c r="DQ308" i="24"/>
  <c r="CU308" i="24"/>
  <c r="CY308" i="24"/>
  <c r="CW308" i="24"/>
  <c r="CX308" i="24" s="1"/>
  <c r="ES202" i="24"/>
  <c r="EV202" i="24" s="1"/>
  <c r="DQ202" i="24"/>
  <c r="CW202" i="24"/>
  <c r="CX202" i="24" s="1"/>
  <c r="CL202" i="24"/>
  <c r="CU202" i="24"/>
  <c r="CY202" i="24"/>
  <c r="CZ202" i="24" s="1"/>
  <c r="DQ254" i="24"/>
  <c r="CW254" i="24"/>
  <c r="CX254" i="24" s="1"/>
  <c r="CL254" i="24"/>
  <c r="CY254" i="24"/>
  <c r="CU254" i="24"/>
  <c r="CU274" i="24"/>
  <c r="CL274" i="24"/>
  <c r="CW274" i="24"/>
  <c r="CX274" i="24" s="1"/>
  <c r="DQ274" i="24"/>
  <c r="CY274" i="24"/>
  <c r="ES22" i="24"/>
  <c r="EV22" i="24" s="1"/>
  <c r="DQ22" i="24"/>
  <c r="CW22" i="24"/>
  <c r="CX22" i="24" s="1"/>
  <c r="CY22" i="24"/>
  <c r="CU22" i="24"/>
  <c r="CV22" i="24" s="1"/>
  <c r="CL22" i="24"/>
  <c r="ES50" i="24"/>
  <c r="EV50" i="24" s="1"/>
  <c r="CL50" i="24"/>
  <c r="CU50" i="24"/>
  <c r="CV50" i="24" s="1"/>
  <c r="CW50" i="24"/>
  <c r="CX50" i="24" s="1"/>
  <c r="DQ50" i="24"/>
  <c r="CY50" i="24"/>
  <c r="CZ50" i="24" s="1"/>
  <c r="CW48" i="24"/>
  <c r="CX48" i="24" s="1"/>
  <c r="DQ48" i="24"/>
  <c r="ES48" i="24"/>
  <c r="EV48" i="24" s="1"/>
  <c r="CL48" i="24"/>
  <c r="CY48" i="24"/>
  <c r="CU48" i="24"/>
  <c r="CV48" i="24" s="1"/>
  <c r="DQ67" i="24"/>
  <c r="ES67" i="24"/>
  <c r="EV67" i="24" s="1"/>
  <c r="CL67" i="24"/>
  <c r="CW67" i="24"/>
  <c r="CX67" i="24" s="1"/>
  <c r="CY67" i="24"/>
  <c r="CU67" i="24"/>
  <c r="CV67" i="24" s="1"/>
  <c r="CL27" i="24"/>
  <c r="CU27" i="24"/>
  <c r="CV27" i="24" s="1"/>
  <c r="CW27" i="24"/>
  <c r="CX27" i="24" s="1"/>
  <c r="DQ27" i="24"/>
  <c r="ES27" i="24"/>
  <c r="EV27" i="24" s="1"/>
  <c r="CY27" i="24"/>
  <c r="CL55" i="24"/>
  <c r="CW55" i="24"/>
  <c r="CX55" i="24" s="1"/>
  <c r="ES55" i="24"/>
  <c r="EV55" i="24" s="1"/>
  <c r="CY55" i="24"/>
  <c r="DQ55" i="24"/>
  <c r="CU55" i="24"/>
  <c r="CV55" i="24" s="1"/>
  <c r="CU19" i="24"/>
  <c r="CV19" i="24" s="1"/>
  <c r="CL19" i="24"/>
  <c r="CY19" i="24"/>
  <c r="ES19" i="24"/>
  <c r="EV19" i="24" s="1"/>
  <c r="DQ19" i="24"/>
  <c r="CW19" i="24"/>
  <c r="CX19" i="24" s="1"/>
  <c r="CL56" i="24"/>
  <c r="ES56" i="24"/>
  <c r="EV56" i="24" s="1"/>
  <c r="CY56" i="24"/>
  <c r="CW56" i="24"/>
  <c r="CX56" i="24" s="1"/>
  <c r="DQ56" i="24"/>
  <c r="CU56" i="24"/>
  <c r="CV56" i="24" s="1"/>
  <c r="ES7" i="24"/>
  <c r="EV7" i="24" s="1"/>
  <c r="CL7" i="24"/>
  <c r="DQ7" i="24"/>
  <c r="CW7" i="24"/>
  <c r="CX7" i="24" s="1"/>
  <c r="CY7" i="24"/>
  <c r="CU7" i="24"/>
  <c r="CV7" i="24" s="1"/>
  <c r="DQ97" i="24"/>
  <c r="CL97" i="24"/>
  <c r="ES97" i="24"/>
  <c r="EV97" i="24" s="1"/>
  <c r="CW97" i="24"/>
  <c r="CX97" i="24" s="1"/>
  <c r="CY97" i="24"/>
  <c r="CU97" i="24"/>
  <c r="CV97" i="24" s="1"/>
  <c r="ES152" i="24"/>
  <c r="EV152" i="24" s="1"/>
  <c r="CU152" i="24"/>
  <c r="CY152" i="24"/>
  <c r="CW152" i="24"/>
  <c r="CX152" i="24" s="1"/>
  <c r="CL152" i="24"/>
  <c r="DQ152" i="24"/>
  <c r="ES88" i="24"/>
  <c r="EV88" i="24" s="1"/>
  <c r="CU88" i="24"/>
  <c r="CV88" i="24" s="1"/>
  <c r="CL88" i="24"/>
  <c r="CW88" i="24"/>
  <c r="CX88" i="24" s="1"/>
  <c r="DQ88" i="24"/>
  <c r="CY88" i="24"/>
  <c r="DQ170" i="24"/>
  <c r="CL170" i="24"/>
  <c r="CW170" i="24"/>
  <c r="CX170" i="24" s="1"/>
  <c r="CU170" i="24"/>
  <c r="ES170" i="24"/>
  <c r="EV170" i="24" s="1"/>
  <c r="CY170" i="24"/>
  <c r="ES37" i="24"/>
  <c r="EV37" i="24" s="1"/>
  <c r="CL37" i="24"/>
  <c r="CY37" i="24"/>
  <c r="CW37" i="24"/>
  <c r="CX37" i="24" s="1"/>
  <c r="DQ37" i="24"/>
  <c r="CU37" i="24"/>
  <c r="CV37" i="24" s="1"/>
  <c r="ES82" i="24"/>
  <c r="EV82" i="24" s="1"/>
  <c r="DQ82" i="24"/>
  <c r="CL82" i="24"/>
  <c r="CY82" i="24"/>
  <c r="CW82" i="24"/>
  <c r="CX82" i="24" s="1"/>
  <c r="CU82" i="24"/>
  <c r="CV82" i="24" s="1"/>
  <c r="ES166" i="24"/>
  <c r="EV166" i="24" s="1"/>
  <c r="DQ166" i="24"/>
  <c r="CL166" i="24"/>
  <c r="CW166" i="24"/>
  <c r="CX166" i="24" s="1"/>
  <c r="CY166" i="24"/>
  <c r="CU166" i="24"/>
  <c r="DQ129" i="24"/>
  <c r="CW129" i="24"/>
  <c r="CX129" i="24" s="1"/>
  <c r="CL129" i="24"/>
  <c r="ES129" i="24"/>
  <c r="EV129" i="24" s="1"/>
  <c r="CU129" i="24"/>
  <c r="CY129" i="24"/>
  <c r="ES182" i="24"/>
  <c r="EV182" i="24" s="1"/>
  <c r="DQ182" i="24"/>
  <c r="CL182" i="24"/>
  <c r="CW182" i="24"/>
  <c r="CX182" i="24" s="1"/>
  <c r="CU182" i="24"/>
  <c r="CY182" i="24"/>
  <c r="DQ154" i="24"/>
  <c r="CL154" i="24"/>
  <c r="CW154" i="24"/>
  <c r="CX154" i="24" s="1"/>
  <c r="CY154" i="24"/>
  <c r="ES154" i="24"/>
  <c r="EV154" i="24" s="1"/>
  <c r="CU154" i="24"/>
  <c r="ES104" i="24"/>
  <c r="EV104" i="24" s="1"/>
  <c r="DQ104" i="24"/>
  <c r="CW104" i="24"/>
  <c r="CX104" i="24" s="1"/>
  <c r="CY104" i="24"/>
  <c r="CL104" i="24"/>
  <c r="CU104" i="24"/>
  <c r="CV104" i="24" s="1"/>
  <c r="CY175" i="24"/>
  <c r="DQ175" i="24"/>
  <c r="CW175" i="24"/>
  <c r="CX175" i="24" s="1"/>
  <c r="ES175" i="24"/>
  <c r="EV175" i="24" s="1"/>
  <c r="CL175" i="24"/>
  <c r="CU175" i="24"/>
  <c r="DQ112" i="24"/>
  <c r="CW112" i="24"/>
  <c r="CX112" i="24" s="1"/>
  <c r="ES112" i="24"/>
  <c r="EV112" i="24" s="1"/>
  <c r="CL112" i="24"/>
  <c r="CY112" i="24"/>
  <c r="CU112" i="24"/>
  <c r="DQ228" i="24"/>
  <c r="CL228" i="24"/>
  <c r="CW228" i="24"/>
  <c r="CX228" i="24" s="1"/>
  <c r="CY228" i="24"/>
  <c r="CU228" i="24"/>
  <c r="DQ143" i="24"/>
  <c r="CL143" i="24"/>
  <c r="CW143" i="24"/>
  <c r="CX143" i="24" s="1"/>
  <c r="ES143" i="24"/>
  <c r="EV143" i="24" s="1"/>
  <c r="CU143" i="24"/>
  <c r="CY143" i="24"/>
  <c r="DQ243" i="24"/>
  <c r="CW243" i="24"/>
  <c r="CX243" i="24" s="1"/>
  <c r="CL243" i="24"/>
  <c r="CU243" i="24"/>
  <c r="CY243" i="24"/>
  <c r="DQ235" i="24"/>
  <c r="CL235" i="24"/>
  <c r="CY235" i="24"/>
  <c r="CW235" i="24"/>
  <c r="CX235" i="24" s="1"/>
  <c r="CU235" i="24"/>
  <c r="CL191" i="24"/>
  <c r="CU191" i="24"/>
  <c r="CY191" i="24"/>
  <c r="ES191" i="24"/>
  <c r="EV191" i="24" s="1"/>
  <c r="CW191" i="24"/>
  <c r="CX191" i="24" s="1"/>
  <c r="DQ191" i="24"/>
  <c r="DQ279" i="24"/>
  <c r="CL279" i="24"/>
  <c r="CW279" i="24"/>
  <c r="CX279" i="24" s="1"/>
  <c r="CU279" i="24"/>
  <c r="CY279" i="24"/>
  <c r="DQ222" i="24"/>
  <c r="CW222" i="24"/>
  <c r="CX222" i="24" s="1"/>
  <c r="CL222" i="24"/>
  <c r="CY222" i="24"/>
  <c r="CU222" i="24"/>
  <c r="CL276" i="24"/>
  <c r="CY276" i="24"/>
  <c r="CZ276" i="24" s="1"/>
  <c r="CW276" i="24"/>
  <c r="CX276" i="24" s="1"/>
  <c r="DQ276" i="24"/>
  <c r="CU276" i="24"/>
  <c r="ES185" i="24"/>
  <c r="EV185" i="24" s="1"/>
  <c r="CL185" i="24"/>
  <c r="CW185" i="24"/>
  <c r="CX185" i="24" s="1"/>
  <c r="DQ185" i="24"/>
  <c r="CU185" i="24"/>
  <c r="CY185" i="24"/>
  <c r="CL245" i="24"/>
  <c r="CY245" i="24"/>
  <c r="CZ245" i="24" s="1"/>
  <c r="DQ245" i="24"/>
  <c r="CW245" i="24"/>
  <c r="CX245" i="24" s="1"/>
  <c r="CU245" i="24"/>
  <c r="CU293" i="24"/>
  <c r="CW293" i="24"/>
  <c r="CX293" i="24" s="1"/>
  <c r="DQ293" i="24"/>
  <c r="CL293" i="24"/>
  <c r="CY293" i="24"/>
  <c r="CL262" i="24"/>
  <c r="DQ262" i="24"/>
  <c r="CW262" i="24"/>
  <c r="CX262" i="24" s="1"/>
  <c r="CU262" i="24"/>
  <c r="CY262" i="24"/>
  <c r="CL311" i="24"/>
  <c r="DQ311" i="24"/>
  <c r="CY311" i="24"/>
  <c r="CW311" i="24"/>
  <c r="CX311" i="24" s="1"/>
  <c r="CU311" i="24"/>
  <c r="ES204" i="24"/>
  <c r="EV204" i="24" s="1"/>
  <c r="CW204" i="24"/>
  <c r="CX204" i="24" s="1"/>
  <c r="CY204" i="24"/>
  <c r="CL204" i="24"/>
  <c r="DQ204" i="24"/>
  <c r="CU204" i="24"/>
  <c r="CL278" i="24"/>
  <c r="DQ278" i="24"/>
  <c r="CW278" i="24"/>
  <c r="CX278" i="24" s="1"/>
  <c r="CY278" i="24"/>
  <c r="CU278" i="24"/>
  <c r="CY280" i="24"/>
  <c r="CL280" i="24"/>
  <c r="CW280" i="24"/>
  <c r="CX280" i="24" s="1"/>
  <c r="CU280" i="24"/>
  <c r="DQ280" i="24"/>
  <c r="ES17" i="24"/>
  <c r="EV17" i="24" s="1"/>
  <c r="CW17" i="24"/>
  <c r="CX17" i="24" s="1"/>
  <c r="DQ17" i="24"/>
  <c r="CL17" i="24"/>
  <c r="CU17" i="24"/>
  <c r="CV17" i="24" s="1"/>
  <c r="CY17" i="24"/>
  <c r="ES57" i="24"/>
  <c r="EV57" i="24" s="1"/>
  <c r="DQ57" i="24"/>
  <c r="CW57" i="24"/>
  <c r="CX57" i="24" s="1"/>
  <c r="CL57" i="24"/>
  <c r="CY57" i="24"/>
  <c r="CU57" i="24"/>
  <c r="CV57" i="24" s="1"/>
  <c r="CL10" i="24"/>
  <c r="ES10" i="24"/>
  <c r="EV10" i="24" s="1"/>
  <c r="CW10" i="24"/>
  <c r="CX10" i="24" s="1"/>
  <c r="DQ10" i="24"/>
  <c r="CU10" i="24"/>
  <c r="CV10" i="24" s="1"/>
  <c r="CY10" i="24"/>
  <c r="DQ84" i="24"/>
  <c r="ES84" i="24"/>
  <c r="EV84" i="24" s="1"/>
  <c r="CU84" i="24"/>
  <c r="CV84" i="24" s="1"/>
  <c r="CW84" i="24"/>
  <c r="CX84" i="24" s="1"/>
  <c r="CL84" i="24"/>
  <c r="CY84" i="24"/>
  <c r="DQ58" i="24"/>
  <c r="ES58" i="24"/>
  <c r="EV58" i="24" s="1"/>
  <c r="CL58" i="24"/>
  <c r="CY58" i="24"/>
  <c r="CU58" i="24"/>
  <c r="CV58" i="24" s="1"/>
  <c r="CW58" i="24"/>
  <c r="CX58" i="24" s="1"/>
  <c r="ES62" i="24"/>
  <c r="EV62" i="24" s="1"/>
  <c r="CL62" i="24"/>
  <c r="CW62" i="24"/>
  <c r="CX62" i="24" s="1"/>
  <c r="CU62" i="24"/>
  <c r="CV62" i="24" s="1"/>
  <c r="CY62" i="24"/>
  <c r="DQ62" i="24"/>
  <c r="ES29" i="24"/>
  <c r="EV29" i="24" s="1"/>
  <c r="CL29" i="24"/>
  <c r="CW29" i="24"/>
  <c r="CX29" i="24" s="1"/>
  <c r="CY29" i="24"/>
  <c r="CU29" i="24"/>
  <c r="CV29" i="24" s="1"/>
  <c r="DQ29" i="24"/>
  <c r="CY60" i="24"/>
  <c r="CW60" i="24"/>
  <c r="CX60" i="24" s="1"/>
  <c r="ES60" i="24"/>
  <c r="EV60" i="24" s="1"/>
  <c r="DQ60" i="24"/>
  <c r="CL60" i="24"/>
  <c r="CU60" i="24"/>
  <c r="CV60" i="24" s="1"/>
  <c r="CY20" i="24"/>
  <c r="CU20" i="24"/>
  <c r="CV20" i="24" s="1"/>
  <c r="CL20" i="24"/>
  <c r="CW20" i="24"/>
  <c r="CX20" i="24" s="1"/>
  <c r="ES20" i="24"/>
  <c r="EV20" i="24" s="1"/>
  <c r="DQ20" i="24"/>
  <c r="DQ103" i="24"/>
  <c r="ES103" i="24"/>
  <c r="EV103" i="24" s="1"/>
  <c r="CL103" i="24"/>
  <c r="CW103" i="24"/>
  <c r="CX103" i="24" s="1"/>
  <c r="CY103" i="24"/>
  <c r="CU103" i="24"/>
  <c r="CV103" i="24" s="1"/>
  <c r="ES156" i="24"/>
  <c r="EV156" i="24" s="1"/>
  <c r="DQ156" i="24"/>
  <c r="CW156" i="24"/>
  <c r="CX156" i="24" s="1"/>
  <c r="CL156" i="24"/>
  <c r="CY156" i="24"/>
  <c r="CU156" i="24"/>
  <c r="CU89" i="24"/>
  <c r="CV89" i="24" s="1"/>
  <c r="DQ89" i="24"/>
  <c r="CL89" i="24"/>
  <c r="ES89" i="24"/>
  <c r="EV89" i="24" s="1"/>
  <c r="CW89" i="24"/>
  <c r="CX89" i="24" s="1"/>
  <c r="CY89" i="24"/>
  <c r="CZ89" i="24" s="1"/>
  <c r="ES193" i="24"/>
  <c r="EV193" i="24" s="1"/>
  <c r="DQ193" i="24"/>
  <c r="CW193" i="24"/>
  <c r="CX193" i="24" s="1"/>
  <c r="CL193" i="24"/>
  <c r="CY193" i="24"/>
  <c r="CU193" i="24"/>
  <c r="ES38" i="24"/>
  <c r="EV38" i="24" s="1"/>
  <c r="DQ38" i="24"/>
  <c r="CW38" i="24"/>
  <c r="CX38" i="24" s="1"/>
  <c r="CU38" i="24"/>
  <c r="CV38" i="24" s="1"/>
  <c r="CY38" i="24"/>
  <c r="CL38" i="24"/>
  <c r="DQ111" i="24"/>
  <c r="CW111" i="24"/>
  <c r="CX111" i="24" s="1"/>
  <c r="ES111" i="24"/>
  <c r="EV111" i="24" s="1"/>
  <c r="CY111" i="24"/>
  <c r="CL111" i="24"/>
  <c r="CU111" i="24"/>
  <c r="ES172" i="24"/>
  <c r="EV172" i="24" s="1"/>
  <c r="CW172" i="24"/>
  <c r="CX172" i="24" s="1"/>
  <c r="CU172" i="24"/>
  <c r="CL172" i="24"/>
  <c r="DQ172" i="24"/>
  <c r="CY172" i="24"/>
  <c r="ES133" i="24"/>
  <c r="EV133" i="24" s="1"/>
  <c r="DQ133" i="24"/>
  <c r="CL133" i="24"/>
  <c r="CW133" i="24"/>
  <c r="CX133" i="24" s="1"/>
  <c r="CY133" i="24"/>
  <c r="CU133" i="24"/>
  <c r="CW242" i="24"/>
  <c r="CX242" i="24" s="1"/>
  <c r="DQ242" i="24"/>
  <c r="CL242" i="24"/>
  <c r="CY242" i="24"/>
  <c r="CU242" i="24"/>
  <c r="ES164" i="24"/>
  <c r="EV164" i="24" s="1"/>
  <c r="CL164" i="24"/>
  <c r="DQ164" i="24"/>
  <c r="CW164" i="24"/>
  <c r="CX164" i="24" s="1"/>
  <c r="CU164" i="24"/>
  <c r="CY164" i="24"/>
  <c r="CL116" i="24"/>
  <c r="ES116" i="24"/>
  <c r="EV116" i="24" s="1"/>
  <c r="CW116" i="24"/>
  <c r="CX116" i="24" s="1"/>
  <c r="DQ116" i="24"/>
  <c r="CY116" i="24"/>
  <c r="CU116" i="24"/>
  <c r="CW194" i="24"/>
  <c r="CX194" i="24" s="1"/>
  <c r="CY194" i="24"/>
  <c r="CZ194" i="24" s="1"/>
  <c r="DQ194" i="24"/>
  <c r="CU194" i="24"/>
  <c r="ES194" i="24"/>
  <c r="EV194" i="24" s="1"/>
  <c r="CL194" i="24"/>
  <c r="CY115" i="24"/>
  <c r="CZ115" i="24" s="1"/>
  <c r="CW115" i="24"/>
  <c r="CX115" i="24" s="1"/>
  <c r="CU115" i="24"/>
  <c r="DQ115" i="24"/>
  <c r="ES115" i="24"/>
  <c r="EV115" i="24" s="1"/>
  <c r="CL115" i="24"/>
  <c r="DQ250" i="24"/>
  <c r="CY250" i="24"/>
  <c r="CZ250" i="24" s="1"/>
  <c r="CW250" i="24"/>
  <c r="CX250" i="24" s="1"/>
  <c r="CL250" i="24"/>
  <c r="CU250" i="24"/>
  <c r="ES150" i="24"/>
  <c r="EV150" i="24" s="1"/>
  <c r="CL150" i="24"/>
  <c r="DQ150" i="24"/>
  <c r="CU150" i="24"/>
  <c r="CW150" i="24"/>
  <c r="CX150" i="24" s="1"/>
  <c r="CY150" i="24"/>
  <c r="DQ291" i="24"/>
  <c r="CL291" i="24"/>
  <c r="CW291" i="24"/>
  <c r="CX291" i="24" s="1"/>
  <c r="CY291" i="24"/>
  <c r="CU291" i="24"/>
  <c r="CL240" i="24"/>
  <c r="CW240" i="24"/>
  <c r="CX240" i="24" s="1"/>
  <c r="DQ240" i="24"/>
  <c r="CY240" i="24"/>
  <c r="CU240" i="24"/>
  <c r="ES192" i="24"/>
  <c r="EV192" i="24" s="1"/>
  <c r="CW192" i="24"/>
  <c r="CX192" i="24" s="1"/>
  <c r="CL192" i="24"/>
  <c r="DQ192" i="24"/>
  <c r="CY192" i="24"/>
  <c r="CU192" i="24"/>
  <c r="DQ286" i="24"/>
  <c r="CY286" i="24"/>
  <c r="CL286" i="24"/>
  <c r="CW286" i="24"/>
  <c r="CX286" i="24" s="1"/>
  <c r="CU286" i="24"/>
  <c r="CL224" i="24"/>
  <c r="DQ224" i="24"/>
  <c r="CW224" i="24"/>
  <c r="CX224" i="24" s="1"/>
  <c r="CU224" i="24"/>
  <c r="CY224" i="24"/>
  <c r="DQ277" i="24"/>
  <c r="CY277" i="24"/>
  <c r="CL277" i="24"/>
  <c r="CW277" i="24"/>
  <c r="CX277" i="24" s="1"/>
  <c r="CU277" i="24"/>
  <c r="CL187" i="24"/>
  <c r="CY187" i="24"/>
  <c r="ES187" i="24"/>
  <c r="EV187" i="24" s="1"/>
  <c r="CU187" i="24"/>
  <c r="CW187" i="24"/>
  <c r="CX187" i="24" s="1"/>
  <c r="DQ187" i="24"/>
  <c r="CY253" i="24"/>
  <c r="DQ253" i="24"/>
  <c r="CW253" i="24"/>
  <c r="CX253" i="24" s="1"/>
  <c r="CL253" i="24"/>
  <c r="CU253" i="24"/>
  <c r="CL200" i="24"/>
  <c r="CW200" i="24"/>
  <c r="CX200" i="24" s="1"/>
  <c r="DQ200" i="24"/>
  <c r="ES200" i="24"/>
  <c r="EV200" i="24" s="1"/>
  <c r="CY200" i="24"/>
  <c r="CU200" i="24"/>
  <c r="CL282" i="24"/>
  <c r="CY282" i="24"/>
  <c r="CU282" i="24"/>
  <c r="CW282" i="24"/>
  <c r="CX282" i="24" s="1"/>
  <c r="DQ282" i="24"/>
  <c r="CW314" i="24"/>
  <c r="CX314" i="24" s="1"/>
  <c r="CU314" i="24"/>
  <c r="CL314" i="24"/>
  <c r="CY314" i="24"/>
  <c r="DQ314" i="24"/>
  <c r="CW205" i="24"/>
  <c r="CX205" i="24" s="1"/>
  <c r="CY205" i="24"/>
  <c r="DQ205" i="24"/>
  <c r="CU205" i="24"/>
  <c r="CL205" i="24"/>
  <c r="ES205" i="24"/>
  <c r="EV205" i="24" s="1"/>
  <c r="CL281" i="24"/>
  <c r="DQ281" i="24"/>
  <c r="CW281" i="24"/>
  <c r="CX281" i="24" s="1"/>
  <c r="CU281" i="24"/>
  <c r="CY281" i="24"/>
  <c r="CU289" i="24"/>
  <c r="CL289" i="24"/>
  <c r="CY289" i="24"/>
  <c r="DQ289" i="24"/>
  <c r="CW289" i="24"/>
  <c r="CX289" i="24" s="1"/>
  <c r="ES30" i="24"/>
  <c r="EV30" i="24" s="1"/>
  <c r="DQ30" i="24"/>
  <c r="CY30" i="24"/>
  <c r="CW30" i="24"/>
  <c r="CX30" i="24" s="1"/>
  <c r="CL30" i="24"/>
  <c r="CU30" i="24"/>
  <c r="CV30" i="24" s="1"/>
  <c r="CY72" i="24"/>
  <c r="ES72" i="24"/>
  <c r="EV72" i="24" s="1"/>
  <c r="DQ72" i="24"/>
  <c r="CW72" i="24"/>
  <c r="CX72" i="24" s="1"/>
  <c r="CL72" i="24"/>
  <c r="CU72" i="24"/>
  <c r="CV72" i="24" s="1"/>
  <c r="CL18" i="24"/>
  <c r="ES18" i="24"/>
  <c r="EV18" i="24" s="1"/>
  <c r="CW18" i="24"/>
  <c r="CX18" i="24" s="1"/>
  <c r="DQ18" i="24"/>
  <c r="CY18" i="24"/>
  <c r="CZ18" i="24" s="1"/>
  <c r="CU18" i="24"/>
  <c r="CV18" i="24" s="1"/>
  <c r="ES52" i="24"/>
  <c r="EV52" i="24" s="1"/>
  <c r="DQ52" i="24"/>
  <c r="CW52" i="24"/>
  <c r="CX52" i="24" s="1"/>
  <c r="CU52" i="24"/>
  <c r="CV52" i="24" s="1"/>
  <c r="CL52" i="24"/>
  <c r="CY52" i="24"/>
  <c r="CZ52" i="24" s="1"/>
  <c r="DQ6" i="24"/>
  <c r="CY6" i="24"/>
  <c r="CU6" i="24"/>
  <c r="CV6" i="24" s="1"/>
  <c r="CL6" i="24"/>
  <c r="CW6" i="24"/>
  <c r="CX6" i="24" s="1"/>
  <c r="ES6" i="24"/>
  <c r="EV6" i="24" s="1"/>
  <c r="ES73" i="24"/>
  <c r="EV73" i="24" s="1"/>
  <c r="DQ73" i="24"/>
  <c r="CU73" i="24"/>
  <c r="CV73" i="24" s="1"/>
  <c r="CW73" i="24"/>
  <c r="CX73" i="24" s="1"/>
  <c r="CY73" i="24"/>
  <c r="CL73" i="24"/>
  <c r="ES14" i="24"/>
  <c r="EV14" i="24" s="1"/>
  <c r="DQ14" i="24"/>
  <c r="CY14" i="24"/>
  <c r="CZ14" i="24" s="1"/>
  <c r="CW14" i="24"/>
  <c r="CX14" i="24" s="1"/>
  <c r="CL14" i="24"/>
  <c r="CU14" i="24"/>
  <c r="CV14" i="24" s="1"/>
  <c r="CL64" i="24"/>
  <c r="DQ64" i="24"/>
  <c r="CY64" i="24"/>
  <c r="CW64" i="24"/>
  <c r="CX64" i="24" s="1"/>
  <c r="ES64" i="24"/>
  <c r="EV64" i="24" s="1"/>
  <c r="CU64" i="24"/>
  <c r="CV64" i="24" s="1"/>
  <c r="CL70" i="24"/>
  <c r="DQ70" i="24"/>
  <c r="CY70" i="24"/>
  <c r="CZ70" i="24" s="1"/>
  <c r="CW70" i="24"/>
  <c r="CX70" i="24" s="1"/>
  <c r="CU70" i="24"/>
  <c r="CV70" i="24" s="1"/>
  <c r="ES70" i="24"/>
  <c r="EV70" i="24" s="1"/>
  <c r="DQ118" i="24"/>
  <c r="CU118" i="24"/>
  <c r="CL118" i="24"/>
  <c r="CY118" i="24"/>
  <c r="CW118" i="24"/>
  <c r="CX118" i="24" s="1"/>
  <c r="ES118" i="24"/>
  <c r="EV118" i="24" s="1"/>
  <c r="DQ162" i="24"/>
  <c r="CL162" i="24"/>
  <c r="CW162" i="24"/>
  <c r="CX162" i="24" s="1"/>
  <c r="CY162" i="24"/>
  <c r="CU162" i="24"/>
  <c r="ES162" i="24"/>
  <c r="EV162" i="24" s="1"/>
  <c r="ES113" i="24"/>
  <c r="EV113" i="24" s="1"/>
  <c r="CU113" i="24"/>
  <c r="CW113" i="24"/>
  <c r="CX113" i="24" s="1"/>
  <c r="DQ113" i="24"/>
  <c r="CL113" i="24"/>
  <c r="CY113" i="24"/>
  <c r="DQ234" i="24"/>
  <c r="CL234" i="24"/>
  <c r="CY234" i="24"/>
  <c r="CW234" i="24"/>
  <c r="CX234" i="24" s="1"/>
  <c r="CU234" i="24"/>
  <c r="ES40" i="24"/>
  <c r="EV40" i="24" s="1"/>
  <c r="DQ40" i="24"/>
  <c r="CY40" i="24"/>
  <c r="CU40" i="24"/>
  <c r="CV40" i="24" s="1"/>
  <c r="CL40" i="24"/>
  <c r="CW40" i="24"/>
  <c r="CX40" i="24" s="1"/>
  <c r="ES136" i="24"/>
  <c r="EV136" i="24" s="1"/>
  <c r="CU136" i="24"/>
  <c r="CL136" i="24"/>
  <c r="DQ136" i="24"/>
  <c r="CW136" i="24"/>
  <c r="CX136" i="24" s="1"/>
  <c r="CY136" i="24"/>
  <c r="CY217" i="24"/>
  <c r="CW217" i="24"/>
  <c r="CX217" i="24" s="1"/>
  <c r="CU217" i="24"/>
  <c r="CL217" i="24"/>
  <c r="DQ217" i="24"/>
  <c r="ES146" i="24"/>
  <c r="EV146" i="24" s="1"/>
  <c r="CL146" i="24"/>
  <c r="DQ146" i="24"/>
  <c r="CW146" i="24"/>
  <c r="CX146" i="24" s="1"/>
  <c r="CU146" i="24"/>
  <c r="CY146" i="24"/>
  <c r="DQ244" i="24"/>
  <c r="CY244" i="24"/>
  <c r="CW244" i="24"/>
  <c r="CX244" i="24" s="1"/>
  <c r="CU244" i="24"/>
  <c r="CL244" i="24"/>
  <c r="DQ177" i="24"/>
  <c r="CW177" i="24"/>
  <c r="CX177" i="24" s="1"/>
  <c r="CY177" i="24"/>
  <c r="CL177" i="24"/>
  <c r="ES177" i="24"/>
  <c r="EV177" i="24" s="1"/>
  <c r="CU177" i="24"/>
  <c r="CY123" i="24"/>
  <c r="CU123" i="24"/>
  <c r="CL123" i="24"/>
  <c r="DQ123" i="24"/>
  <c r="ES123" i="24"/>
  <c r="EV123" i="24" s="1"/>
  <c r="CW123" i="24"/>
  <c r="CX123" i="24" s="1"/>
  <c r="DQ209" i="24"/>
  <c r="CL209" i="24"/>
  <c r="ES209" i="24"/>
  <c r="EV209" i="24" s="1"/>
  <c r="CW209" i="24"/>
  <c r="CX209" i="24" s="1"/>
  <c r="CY209" i="24"/>
  <c r="CU209" i="24"/>
  <c r="CL153" i="24"/>
  <c r="ES153" i="24"/>
  <c r="EV153" i="24" s="1"/>
  <c r="DQ153" i="24"/>
  <c r="CW153" i="24"/>
  <c r="CX153" i="24" s="1"/>
  <c r="CU153" i="24"/>
  <c r="CY153" i="24"/>
  <c r="ES83" i="24"/>
  <c r="EV83" i="24" s="1"/>
  <c r="CL83" i="24"/>
  <c r="DQ83" i="24"/>
  <c r="CW83" i="24"/>
  <c r="CX83" i="24" s="1"/>
  <c r="CY83" i="24"/>
  <c r="CZ83" i="24" s="1"/>
  <c r="CU83" i="24"/>
  <c r="CV83" i="24" s="1"/>
  <c r="ES157" i="24"/>
  <c r="EV157" i="24" s="1"/>
  <c r="CY157" i="24"/>
  <c r="CW157" i="24"/>
  <c r="CX157" i="24" s="1"/>
  <c r="DQ157" i="24"/>
  <c r="CL157" i="24"/>
  <c r="CU157" i="24"/>
  <c r="DQ298" i="24"/>
  <c r="CW298" i="24"/>
  <c r="CX298" i="24" s="1"/>
  <c r="CL298" i="24"/>
  <c r="CU298" i="24"/>
  <c r="CY298" i="24"/>
  <c r="DQ263" i="24"/>
  <c r="CL263" i="24"/>
  <c r="CW263" i="24"/>
  <c r="CX263" i="24" s="1"/>
  <c r="CU263" i="24"/>
  <c r="CY263" i="24"/>
  <c r="CL221" i="24"/>
  <c r="CY221" i="24"/>
  <c r="CU221" i="24"/>
  <c r="CW221" i="24"/>
  <c r="CX221" i="24" s="1"/>
  <c r="DQ221" i="24"/>
  <c r="CW294" i="24"/>
  <c r="CX294" i="24" s="1"/>
  <c r="DQ294" i="24"/>
  <c r="CY294" i="24"/>
  <c r="CL294" i="24"/>
  <c r="CU294" i="24"/>
  <c r="CL226" i="24"/>
  <c r="CW226" i="24"/>
  <c r="CX226" i="24" s="1"/>
  <c r="DQ226" i="24"/>
  <c r="CU226" i="24"/>
  <c r="CY226" i="24"/>
  <c r="CL285" i="24"/>
  <c r="DQ285" i="24"/>
  <c r="CW285" i="24"/>
  <c r="CX285" i="24" s="1"/>
  <c r="CY285" i="24"/>
  <c r="CU285" i="24"/>
  <c r="ES203" i="24"/>
  <c r="EV203" i="24" s="1"/>
  <c r="DQ203" i="24"/>
  <c r="CL203" i="24"/>
  <c r="CW203" i="24"/>
  <c r="CX203" i="24" s="1"/>
  <c r="CY203" i="24"/>
  <c r="CU203" i="24"/>
  <c r="DQ255" i="24"/>
  <c r="CL255" i="24"/>
  <c r="CY255" i="24"/>
  <c r="CU255" i="24"/>
  <c r="CW255" i="24"/>
  <c r="CX255" i="24" s="1"/>
  <c r="ES206" i="24"/>
  <c r="EV206" i="24" s="1"/>
  <c r="CL206" i="24"/>
  <c r="DQ206" i="24"/>
  <c r="CW206" i="24"/>
  <c r="CX206" i="24" s="1"/>
  <c r="CY206" i="24"/>
  <c r="CU206" i="24"/>
  <c r="CL284" i="24"/>
  <c r="CW284" i="24"/>
  <c r="CX284" i="24" s="1"/>
  <c r="CY284" i="24"/>
  <c r="DQ284" i="24"/>
  <c r="CU284" i="24"/>
  <c r="DQ189" i="24"/>
  <c r="CU189" i="24"/>
  <c r="CL189" i="24"/>
  <c r="CY189" i="24"/>
  <c r="CZ189" i="24" s="1"/>
  <c r="CW189" i="24"/>
  <c r="CX189" i="24" s="1"/>
  <c r="ES189" i="24"/>
  <c r="EV189" i="24" s="1"/>
  <c r="DQ236" i="24"/>
  <c r="CL236" i="24"/>
  <c r="CW236" i="24"/>
  <c r="CX236" i="24" s="1"/>
  <c r="CY236" i="24"/>
  <c r="CU236" i="24"/>
  <c r="CL283" i="24"/>
  <c r="DQ283" i="24"/>
  <c r="CW283" i="24"/>
  <c r="CX283" i="24" s="1"/>
  <c r="CY283" i="24"/>
  <c r="CU283" i="24"/>
  <c r="DQ296" i="24"/>
  <c r="CL296" i="24"/>
  <c r="CY296" i="24"/>
  <c r="CW296" i="24"/>
  <c r="CX296" i="24" s="1"/>
  <c r="CU296" i="24"/>
  <c r="DQ15" i="24"/>
  <c r="ES15" i="24"/>
  <c r="EV15" i="24" s="1"/>
  <c r="CL15" i="24"/>
  <c r="CW15" i="24"/>
  <c r="CX15" i="24" s="1"/>
  <c r="CY15" i="24"/>
  <c r="CU15" i="24"/>
  <c r="CV15" i="24" s="1"/>
  <c r="CW86" i="24"/>
  <c r="CX86" i="24" s="1"/>
  <c r="ES86" i="24"/>
  <c r="EV86" i="24" s="1"/>
  <c r="DQ86" i="24"/>
  <c r="CL86" i="24"/>
  <c r="CU86" i="24"/>
  <c r="CV86" i="24" s="1"/>
  <c r="CY86" i="24"/>
  <c r="CW45" i="24"/>
  <c r="CX45" i="24" s="1"/>
  <c r="DQ45" i="24"/>
  <c r="CL45" i="24"/>
  <c r="ES45" i="24"/>
  <c r="EV45" i="24" s="1"/>
  <c r="CY45" i="24"/>
  <c r="CU45" i="24"/>
  <c r="CV45" i="24" s="1"/>
  <c r="ES21" i="24"/>
  <c r="EV21" i="24" s="1"/>
  <c r="CL21" i="24"/>
  <c r="CY21" i="24"/>
  <c r="CW21" i="24"/>
  <c r="CX21" i="24" s="1"/>
  <c r="CU21" i="24"/>
  <c r="CV21" i="24" s="1"/>
  <c r="DQ21" i="24"/>
  <c r="DQ9" i="24"/>
  <c r="CL9" i="24"/>
  <c r="CU9" i="24"/>
  <c r="CV9" i="24" s="1"/>
  <c r="CW9" i="24"/>
  <c r="CX9" i="24" s="1"/>
  <c r="ES9" i="24"/>
  <c r="EV9" i="24" s="1"/>
  <c r="CY9" i="24"/>
  <c r="ES75" i="24"/>
  <c r="EV75" i="24" s="1"/>
  <c r="CL75" i="24"/>
  <c r="DQ75" i="24"/>
  <c r="CW75" i="24"/>
  <c r="CX75" i="24" s="1"/>
  <c r="CY75" i="24"/>
  <c r="CU75" i="24"/>
  <c r="CV75" i="24" s="1"/>
  <c r="DQ36" i="24"/>
  <c r="CU36" i="24"/>
  <c r="CV36" i="24" s="1"/>
  <c r="ES36" i="24"/>
  <c r="EV36" i="24" s="1"/>
  <c r="CW36" i="24"/>
  <c r="CX36" i="24" s="1"/>
  <c r="CL36" i="24"/>
  <c r="CY36" i="24"/>
  <c r="CL66" i="24"/>
  <c r="ES66" i="24"/>
  <c r="EV66" i="24" s="1"/>
  <c r="DQ66" i="24"/>
  <c r="CW66" i="24"/>
  <c r="CX66" i="24" s="1"/>
  <c r="CY66" i="24"/>
  <c r="CU66" i="24"/>
  <c r="CV66" i="24" s="1"/>
  <c r="DQ41" i="24"/>
  <c r="ES41" i="24"/>
  <c r="EV41" i="24" s="1"/>
  <c r="CL41" i="24"/>
  <c r="CW41" i="24"/>
  <c r="CX41" i="24" s="1"/>
  <c r="CY41" i="24"/>
  <c r="CU41" i="24"/>
  <c r="CV41" i="24" s="1"/>
  <c r="DQ119" i="24"/>
  <c r="CY119" i="24"/>
  <c r="CU119" i="24"/>
  <c r="CL119" i="24"/>
  <c r="ES119" i="24"/>
  <c r="EV119" i="24" s="1"/>
  <c r="CW119" i="24"/>
  <c r="CX119" i="24" s="1"/>
  <c r="DQ167" i="24"/>
  <c r="CY167" i="24"/>
  <c r="CW167" i="24"/>
  <c r="CX167" i="24" s="1"/>
  <c r="CU167" i="24"/>
  <c r="ES167" i="24"/>
  <c r="EV167" i="24" s="1"/>
  <c r="CL167" i="24"/>
  <c r="DQ120" i="24"/>
  <c r="ES120" i="24"/>
  <c r="EV120" i="24" s="1"/>
  <c r="CW120" i="24"/>
  <c r="CX120" i="24" s="1"/>
  <c r="CL120" i="24"/>
  <c r="CY120" i="24"/>
  <c r="CU120" i="24"/>
  <c r="DQ258" i="24"/>
  <c r="CW258" i="24"/>
  <c r="CX258" i="24" s="1"/>
  <c r="CL258" i="24"/>
  <c r="CY258" i="24"/>
  <c r="CU258" i="24"/>
  <c r="CW47" i="24"/>
  <c r="CX47" i="24" s="1"/>
  <c r="DQ47" i="24"/>
  <c r="CL47" i="24"/>
  <c r="CY47" i="24"/>
  <c r="ES47" i="24"/>
  <c r="EV47" i="24" s="1"/>
  <c r="CU47" i="24"/>
  <c r="CV47" i="24" s="1"/>
  <c r="CU139" i="24"/>
  <c r="CL139" i="24"/>
  <c r="ES139" i="24"/>
  <c r="EV139" i="24" s="1"/>
  <c r="CY139" i="24"/>
  <c r="CW139" i="24"/>
  <c r="CX139" i="24" s="1"/>
  <c r="DQ139" i="24"/>
  <c r="CU264" i="24"/>
  <c r="CL264" i="24"/>
  <c r="CW264" i="24"/>
  <c r="CX264" i="24" s="1"/>
  <c r="CY264" i="24"/>
  <c r="DQ264" i="24"/>
  <c r="ES148" i="24"/>
  <c r="EV148" i="24" s="1"/>
  <c r="CL148" i="24"/>
  <c r="CW148" i="24"/>
  <c r="CX148" i="24" s="1"/>
  <c r="DQ148" i="24"/>
  <c r="CY148" i="24"/>
  <c r="CU148" i="24"/>
  <c r="DQ81" i="24"/>
  <c r="ES81" i="24"/>
  <c r="EV81" i="24" s="1"/>
  <c r="CY81" i="24"/>
  <c r="CZ81" i="24" s="1"/>
  <c r="CU81" i="24"/>
  <c r="CV81" i="24" s="1"/>
  <c r="CL81" i="24"/>
  <c r="CW81" i="24"/>
  <c r="CX81" i="24" s="1"/>
  <c r="ES179" i="24"/>
  <c r="EV179" i="24" s="1"/>
  <c r="CL179" i="24"/>
  <c r="CY179" i="24"/>
  <c r="DQ179" i="24"/>
  <c r="CW179" i="24"/>
  <c r="CX179" i="24" s="1"/>
  <c r="CU179" i="24"/>
  <c r="CL132" i="24"/>
  <c r="ES132" i="24"/>
  <c r="EV132" i="24" s="1"/>
  <c r="CW132" i="24"/>
  <c r="CX132" i="24" s="1"/>
  <c r="DQ132" i="24"/>
  <c r="CY132" i="24"/>
  <c r="CU132" i="24"/>
  <c r="DQ307" i="24"/>
  <c r="CW307" i="24"/>
  <c r="CX307" i="24" s="1"/>
  <c r="CL307" i="24"/>
  <c r="CY307" i="24"/>
  <c r="CU307" i="24"/>
  <c r="ES161" i="24"/>
  <c r="EV161" i="24" s="1"/>
  <c r="CY161" i="24"/>
  <c r="DQ161" i="24"/>
  <c r="CL161" i="24"/>
  <c r="CW161" i="24"/>
  <c r="CX161" i="24" s="1"/>
  <c r="CU161" i="24"/>
  <c r="ES98" i="24"/>
  <c r="EV98" i="24" s="1"/>
  <c r="CL98" i="24"/>
  <c r="DQ98" i="24"/>
  <c r="CW98" i="24"/>
  <c r="CX98" i="24" s="1"/>
  <c r="CY98" i="24"/>
  <c r="CU98" i="24"/>
  <c r="CV98" i="24" s="1"/>
  <c r="DQ171" i="24"/>
  <c r="CL171" i="24"/>
  <c r="ES171" i="24"/>
  <c r="EV171" i="24" s="1"/>
  <c r="CY171" i="24"/>
  <c r="CZ171" i="24" s="1"/>
  <c r="CW171" i="24"/>
  <c r="CX171" i="24" s="1"/>
  <c r="CU171" i="24"/>
  <c r="CW306" i="24"/>
  <c r="CX306" i="24" s="1"/>
  <c r="CL306" i="24"/>
  <c r="CU306" i="24"/>
  <c r="CY306" i="24"/>
  <c r="DQ306" i="24"/>
  <c r="DQ267" i="24"/>
  <c r="CL267" i="24"/>
  <c r="CY267" i="24"/>
  <c r="CU267" i="24"/>
  <c r="CW267" i="24"/>
  <c r="CX267" i="24" s="1"/>
  <c r="CW233" i="24"/>
  <c r="CX233" i="24" s="1"/>
  <c r="CU233" i="24"/>
  <c r="CL233" i="24"/>
  <c r="DQ233" i="24"/>
  <c r="CY233" i="24"/>
  <c r="DQ309" i="24"/>
  <c r="CY309" i="24"/>
  <c r="CL309" i="24"/>
  <c r="CW309" i="24"/>
  <c r="CX309" i="24" s="1"/>
  <c r="CU309" i="24"/>
  <c r="CL232" i="24"/>
  <c r="DQ232" i="24"/>
  <c r="CY232" i="24"/>
  <c r="CZ232" i="24" s="1"/>
  <c r="CW232" i="24"/>
  <c r="CX232" i="24" s="1"/>
  <c r="CU232" i="24"/>
  <c r="CL297" i="24"/>
  <c r="CU297" i="24"/>
  <c r="DQ297" i="24"/>
  <c r="CY297" i="24"/>
  <c r="CW297" i="24"/>
  <c r="CX297" i="24" s="1"/>
  <c r="CL208" i="24"/>
  <c r="CW208" i="24"/>
  <c r="CX208" i="24" s="1"/>
  <c r="DQ208" i="24"/>
  <c r="ES208" i="24"/>
  <c r="EV208" i="24" s="1"/>
  <c r="CY208" i="24"/>
  <c r="CU208" i="24"/>
  <c r="CL259" i="24"/>
  <c r="DQ259" i="24"/>
  <c r="CY259" i="24"/>
  <c r="CW259" i="24"/>
  <c r="CX259" i="24" s="1"/>
  <c r="CU259" i="24"/>
  <c r="DQ219" i="24"/>
  <c r="CU219" i="24"/>
  <c r="CL219" i="24"/>
  <c r="CW219" i="24"/>
  <c r="CX219" i="24" s="1"/>
  <c r="CY219" i="24"/>
  <c r="CL287" i="24"/>
  <c r="CW287" i="24"/>
  <c r="CX287" i="24" s="1"/>
  <c r="DQ287" i="24"/>
  <c r="CY287" i="24"/>
  <c r="CU287" i="24"/>
  <c r="CW190" i="24"/>
  <c r="CX190" i="24" s="1"/>
  <c r="CL190" i="24"/>
  <c r="DQ190" i="24"/>
  <c r="ES190" i="24"/>
  <c r="EV190" i="24" s="1"/>
  <c r="CU190" i="24"/>
  <c r="CY190" i="24"/>
  <c r="CW238" i="24"/>
  <c r="CX238" i="24" s="1"/>
  <c r="CL238" i="24"/>
  <c r="DQ238" i="24"/>
  <c r="CU238" i="24"/>
  <c r="CY238" i="24"/>
  <c r="CU302" i="24"/>
  <c r="DQ302" i="24"/>
  <c r="CW302" i="24"/>
  <c r="CX302" i="24" s="1"/>
  <c r="CL302" i="24"/>
  <c r="CY302" i="24"/>
  <c r="DQ300" i="24"/>
  <c r="CL300" i="24"/>
  <c r="CW300" i="24"/>
  <c r="CX300" i="24" s="1"/>
  <c r="CY300" i="24"/>
  <c r="CU300" i="24"/>
  <c r="J77" i="23"/>
  <c r="L77" i="23" s="1"/>
  <c r="B25" i="2"/>
  <c r="AY7" i="19"/>
  <c r="BD7" i="19" s="1"/>
  <c r="BN7" i="19"/>
  <c r="AY8" i="19"/>
  <c r="BC8" i="19" s="1"/>
  <c r="BN8" i="19"/>
  <c r="AY6" i="19"/>
  <c r="BJ6" i="19" s="1"/>
  <c r="BN6" i="19"/>
  <c r="AY9" i="19"/>
  <c r="BN9" i="19"/>
  <c r="J67" i="23"/>
  <c r="L67" i="23" s="1"/>
  <c r="G71" i="23"/>
  <c r="H71" i="23" s="1"/>
  <c r="G17" i="23"/>
  <c r="H17" i="23" s="1"/>
  <c r="G32" i="23"/>
  <c r="H32" i="23" s="1"/>
  <c r="G54" i="23"/>
  <c r="H54" i="23" s="1"/>
  <c r="G101" i="23"/>
  <c r="H101" i="23" s="1"/>
  <c r="G30" i="23"/>
  <c r="H30" i="23" s="1"/>
  <c r="G51" i="23"/>
  <c r="H51" i="23" s="1"/>
  <c r="J103" i="23"/>
  <c r="K103" i="23" s="1"/>
  <c r="G25" i="23"/>
  <c r="H25" i="23" s="1"/>
  <c r="G80" i="23"/>
  <c r="H80" i="23" s="1"/>
  <c r="G21" i="23"/>
  <c r="H21" i="23" s="1"/>
  <c r="G105" i="23"/>
  <c r="H105" i="23" s="1"/>
  <c r="J63" i="23"/>
  <c r="L63" i="23" s="1"/>
  <c r="J88" i="23"/>
  <c r="K88" i="23" s="1"/>
  <c r="J49" i="23"/>
  <c r="K49" i="23" s="1"/>
  <c r="G92" i="23"/>
  <c r="H92" i="23" s="1"/>
  <c r="G22" i="23"/>
  <c r="H22" i="23" s="1"/>
  <c r="J20" i="23"/>
  <c r="L20" i="23" s="1"/>
  <c r="G53" i="23"/>
  <c r="H53" i="23" s="1"/>
  <c r="G73" i="23"/>
  <c r="H73" i="23" s="1"/>
  <c r="G46" i="23"/>
  <c r="H46" i="23" s="1"/>
  <c r="G6" i="23"/>
  <c r="H6" i="23" s="1"/>
  <c r="G94" i="23"/>
  <c r="H94" i="23" s="1"/>
  <c r="G90" i="23"/>
  <c r="H90" i="23" s="1"/>
  <c r="G14" i="23"/>
  <c r="H14" i="23" s="1"/>
  <c r="J60" i="23"/>
  <c r="K60" i="23" s="1"/>
  <c r="J10" i="8"/>
  <c r="B195" i="2" s="1"/>
  <c r="B259" i="2" s="1"/>
  <c r="J84" i="23"/>
  <c r="L84" i="23" s="1"/>
  <c r="G81" i="23"/>
  <c r="H81" i="23" s="1"/>
  <c r="G52" i="23"/>
  <c r="H52" i="23" s="1"/>
  <c r="G87" i="23"/>
  <c r="H87" i="23" s="1"/>
  <c r="G47" i="23"/>
  <c r="H47" i="23" s="1"/>
  <c r="G15" i="23"/>
  <c r="H15" i="23" s="1"/>
  <c r="G34" i="23"/>
  <c r="H34" i="23" s="1"/>
  <c r="Q34" i="23"/>
  <c r="Q44" i="23"/>
  <c r="Q106" i="23"/>
  <c r="Q14" i="23"/>
  <c r="Q81" i="23"/>
  <c r="Q91" i="23"/>
  <c r="Q6" i="23"/>
  <c r="Q48" i="23"/>
  <c r="Q82" i="23"/>
  <c r="Q93" i="23"/>
  <c r="Q22" i="23"/>
  <c r="Q99" i="23"/>
  <c r="Q42" i="23"/>
  <c r="Q35" i="23"/>
  <c r="Q9" i="23"/>
  <c r="Q78" i="23"/>
  <c r="Q75" i="23"/>
  <c r="Q88" i="23"/>
  <c r="Q63" i="23"/>
  <c r="Q101" i="23"/>
  <c r="Q29" i="23"/>
  <c r="Q98" i="23"/>
  <c r="Q19" i="23"/>
  <c r="Q12" i="23"/>
  <c r="Q89" i="23"/>
  <c r="Q33" i="23"/>
  <c r="Q38" i="23"/>
  <c r="Q102" i="23"/>
  <c r="Q27" i="23"/>
  <c r="Q95" i="23"/>
  <c r="Q37" i="23"/>
  <c r="Q58" i="23"/>
  <c r="Q7" i="23"/>
  <c r="Q28" i="23"/>
  <c r="Q47" i="23"/>
  <c r="J24" i="23"/>
  <c r="K24" i="23" s="1"/>
  <c r="J97" i="23"/>
  <c r="K97" i="23" s="1"/>
  <c r="H5" i="24"/>
  <c r="Q23" i="23"/>
  <c r="Q59" i="23"/>
  <c r="Q13" i="23"/>
  <c r="Q76" i="23"/>
  <c r="Q17" i="23"/>
  <c r="Q96" i="23"/>
  <c r="Q21" i="23"/>
  <c r="Q87" i="23"/>
  <c r="Q94" i="23"/>
  <c r="Q71" i="23"/>
  <c r="Q84" i="23"/>
  <c r="Q24" i="23"/>
  <c r="Q97" i="23"/>
  <c r="Q54" i="23"/>
  <c r="Q103" i="23"/>
  <c r="Q20" i="23"/>
  <c r="Q31" i="23"/>
  <c r="Q10" i="23"/>
  <c r="Q40" i="23"/>
  <c r="Q64" i="23"/>
  <c r="Q61" i="23"/>
  <c r="Q57" i="23"/>
  <c r="Q62" i="23"/>
  <c r="Q67" i="23"/>
  <c r="Q36" i="23"/>
  <c r="Q85" i="23"/>
  <c r="Q68" i="23"/>
  <c r="Q86" i="23"/>
  <c r="Q73" i="23"/>
  <c r="Q104" i="23"/>
  <c r="Q100" i="23"/>
  <c r="Q25" i="23"/>
  <c r="Q30" i="23"/>
  <c r="Q11" i="23"/>
  <c r="Q45" i="23"/>
  <c r="Q50" i="23"/>
  <c r="Q51" i="23"/>
  <c r="Q15" i="23"/>
  <c r="Q49" i="23"/>
  <c r="Q32" i="23"/>
  <c r="Q56" i="23"/>
  <c r="Q74" i="23"/>
  <c r="G82" i="23"/>
  <c r="H82" i="23" s="1"/>
  <c r="G102" i="23"/>
  <c r="H102" i="23" s="1"/>
  <c r="G13" i="23"/>
  <c r="H13" i="23" s="1"/>
  <c r="G104" i="23"/>
  <c r="H104" i="23" s="1"/>
  <c r="Q41" i="23"/>
  <c r="Q46" i="23"/>
  <c r="Q16" i="23"/>
  <c r="Q92" i="23"/>
  <c r="Q43" i="23"/>
  <c r="Q105" i="23"/>
  <c r="Q18" i="23"/>
  <c r="Q66" i="23"/>
  <c r="Q55" i="23"/>
  <c r="Q39" i="23"/>
  <c r="Q72" i="23"/>
  <c r="Q69" i="23"/>
  <c r="Q70" i="23"/>
  <c r="Q60" i="23"/>
  <c r="Q53" i="23"/>
  <c r="Q77" i="23"/>
  <c r="Q52" i="23"/>
  <c r="Q80" i="23"/>
  <c r="Q26" i="23"/>
  <c r="Q90" i="23"/>
  <c r="Q65" i="23"/>
  <c r="Q8" i="23"/>
  <c r="Q83" i="23"/>
  <c r="Q79" i="23"/>
  <c r="G85" i="23"/>
  <c r="H85" i="23" s="1"/>
  <c r="J83" i="23"/>
  <c r="L83" i="23" s="1"/>
  <c r="G12" i="23"/>
  <c r="H12" i="23" s="1"/>
  <c r="J65" i="23"/>
  <c r="L65" i="23" s="1"/>
  <c r="G61" i="23"/>
  <c r="H61" i="23" s="1"/>
  <c r="J58" i="23"/>
  <c r="L58" i="23" s="1"/>
  <c r="J100" i="23"/>
  <c r="K100" i="23" s="1"/>
  <c r="G26" i="23"/>
  <c r="H26" i="23" s="1"/>
  <c r="G91" i="23"/>
  <c r="H91" i="23" s="1"/>
  <c r="G40" i="23"/>
  <c r="H40" i="23" s="1"/>
  <c r="G55" i="23"/>
  <c r="H55" i="23" s="1"/>
  <c r="J74" i="23"/>
  <c r="L74" i="23" s="1"/>
  <c r="G35" i="23"/>
  <c r="H35" i="23" s="1"/>
  <c r="G68" i="23"/>
  <c r="H68" i="23" s="1"/>
  <c r="G29" i="23"/>
  <c r="H29" i="23" s="1"/>
  <c r="J72" i="23"/>
  <c r="K72" i="23" s="1"/>
  <c r="G45" i="23"/>
  <c r="H45" i="23" s="1"/>
  <c r="J66" i="23"/>
  <c r="L66" i="23" s="1"/>
  <c r="J95" i="23"/>
  <c r="K95" i="23" s="1"/>
  <c r="J93" i="23"/>
  <c r="L93" i="23" s="1"/>
  <c r="J42" i="23"/>
  <c r="L42" i="23" s="1"/>
  <c r="J57" i="23"/>
  <c r="K57" i="23" s="1"/>
  <c r="G37" i="23"/>
  <c r="H37" i="23" s="1"/>
  <c r="G50" i="23"/>
  <c r="H50" i="23" s="1"/>
  <c r="G64" i="23"/>
  <c r="H64" i="23" s="1"/>
  <c r="G18" i="23"/>
  <c r="H18" i="23" s="1"/>
  <c r="G10" i="23"/>
  <c r="H10" i="23" s="1"/>
  <c r="G28" i="23"/>
  <c r="H28" i="23" s="1"/>
  <c r="G8" i="23"/>
  <c r="H8" i="23" s="1"/>
  <c r="G19" i="23"/>
  <c r="H19" i="23" s="1"/>
  <c r="K26" i="23"/>
  <c r="L26" i="23"/>
  <c r="K44" i="23"/>
  <c r="L44" i="23"/>
  <c r="K102" i="23"/>
  <c r="L102" i="23"/>
  <c r="L56" i="23"/>
  <c r="K56" i="23"/>
  <c r="L35" i="23"/>
  <c r="K35" i="23"/>
  <c r="K13" i="23"/>
  <c r="L13" i="23"/>
  <c r="K30" i="23"/>
  <c r="L30" i="23"/>
  <c r="K73" i="23"/>
  <c r="L73" i="23"/>
  <c r="L16" i="23"/>
  <c r="K16" i="23"/>
  <c r="L43" i="23"/>
  <c r="K43" i="23"/>
  <c r="K33" i="23"/>
  <c r="L33" i="23"/>
  <c r="K92" i="23"/>
  <c r="L92" i="23"/>
  <c r="L59" i="23"/>
  <c r="K59" i="23"/>
  <c r="L104" i="23"/>
  <c r="K104" i="23"/>
  <c r="L47" i="23"/>
  <c r="K47" i="23"/>
  <c r="K45" i="23"/>
  <c r="L45" i="23"/>
  <c r="K101" i="23"/>
  <c r="L101" i="23"/>
  <c r="K37" i="23"/>
  <c r="L37" i="23"/>
  <c r="L79" i="23"/>
  <c r="K79" i="23"/>
  <c r="K22" i="23"/>
  <c r="L22" i="23"/>
  <c r="L12" i="23"/>
  <c r="K12" i="23"/>
  <c r="L39" i="23"/>
  <c r="K39" i="23"/>
  <c r="K21" i="23"/>
  <c r="L21" i="23"/>
  <c r="L75" i="23"/>
  <c r="K75" i="23"/>
  <c r="K17" i="23"/>
  <c r="L17" i="23"/>
  <c r="L71" i="23"/>
  <c r="K71" i="23"/>
  <c r="K69" i="23"/>
  <c r="L69" i="23"/>
  <c r="K9" i="23"/>
  <c r="L9" i="23"/>
  <c r="K29" i="23"/>
  <c r="L29" i="23"/>
  <c r="K14" i="23"/>
  <c r="L14" i="23"/>
  <c r="K53" i="23"/>
  <c r="L53" i="23"/>
  <c r="L55" i="23"/>
  <c r="K55" i="23"/>
  <c r="L51" i="23"/>
  <c r="K51" i="23"/>
  <c r="K41" i="23"/>
  <c r="L41" i="23"/>
  <c r="L96" i="23"/>
  <c r="K96" i="23"/>
  <c r="K82" i="23"/>
  <c r="L82" i="23"/>
  <c r="K50" i="23"/>
  <c r="L50" i="23"/>
  <c r="L6" i="23"/>
  <c r="K6" i="23"/>
  <c r="K61" i="23"/>
  <c r="L61" i="23"/>
  <c r="L7" i="23"/>
  <c r="K7" i="23"/>
  <c r="L87" i="23"/>
  <c r="K87" i="23"/>
  <c r="K85" i="23"/>
  <c r="L85" i="23"/>
  <c r="K25" i="23"/>
  <c r="L25" i="23"/>
  <c r="L91" i="23"/>
  <c r="K91" i="23"/>
  <c r="K38" i="23"/>
  <c r="L38" i="23"/>
  <c r="K81" i="23"/>
  <c r="L81" i="23"/>
  <c r="L31" i="23"/>
  <c r="K31" i="23"/>
  <c r="K106" i="23"/>
  <c r="L106" i="23"/>
  <c r="L80" i="23"/>
  <c r="K80" i="23"/>
  <c r="L8" i="23"/>
  <c r="K8" i="23"/>
  <c r="K54" i="23"/>
  <c r="L54" i="23"/>
  <c r="K28" i="23"/>
  <c r="L28" i="23"/>
  <c r="K70" i="23"/>
  <c r="L70" i="23"/>
  <c r="L40" i="23"/>
  <c r="K40" i="23"/>
  <c r="L19" i="23"/>
  <c r="K19" i="23"/>
  <c r="K78" i="23"/>
  <c r="L78" i="23"/>
  <c r="K68" i="23"/>
  <c r="L68" i="23"/>
  <c r="L15" i="23"/>
  <c r="K15" i="23"/>
  <c r="L64" i="23"/>
  <c r="K64" i="23"/>
  <c r="L27" i="23"/>
  <c r="K27" i="23"/>
  <c r="K76" i="23"/>
  <c r="L76" i="23"/>
  <c r="L99" i="23"/>
  <c r="K99" i="23"/>
  <c r="K46" i="23"/>
  <c r="L46" i="23"/>
  <c r="K89" i="23"/>
  <c r="L89" i="23"/>
  <c r="K94" i="23"/>
  <c r="L94" i="23"/>
  <c r="K52" i="23"/>
  <c r="L52" i="23"/>
  <c r="L48" i="23"/>
  <c r="K48" i="23"/>
  <c r="L11" i="23"/>
  <c r="K11" i="23"/>
  <c r="K62" i="23"/>
  <c r="L62" i="23"/>
  <c r="L23" i="23"/>
  <c r="K23" i="23"/>
  <c r="K86" i="23"/>
  <c r="L86" i="23"/>
  <c r="K10" i="23"/>
  <c r="L10" i="23"/>
  <c r="K36" i="23"/>
  <c r="L36" i="23"/>
  <c r="K105" i="23"/>
  <c r="L105" i="23"/>
  <c r="L32" i="23"/>
  <c r="K32" i="23"/>
  <c r="K18" i="23"/>
  <c r="L18" i="23"/>
  <c r="K98" i="23"/>
  <c r="L98" i="23"/>
  <c r="K90" i="23"/>
  <c r="L90" i="23"/>
  <c r="K34" i="23"/>
  <c r="L34" i="23"/>
  <c r="C269" i="2"/>
  <c r="B269" i="2"/>
  <c r="B185" i="2"/>
  <c r="A228" i="2"/>
  <c r="F269" i="2"/>
  <c r="B270" i="2"/>
  <c r="H270" i="2"/>
  <c r="C49" i="16" s="1"/>
  <c r="F182" i="2"/>
  <c r="E51" i="1" s="1"/>
  <c r="A229" i="2" s="1"/>
  <c r="G182" i="2"/>
  <c r="G270" i="2"/>
  <c r="C270" i="2"/>
  <c r="A270" i="2" s="1"/>
  <c r="B184" i="2"/>
  <c r="AO2" i="19"/>
  <c r="H273" i="2"/>
  <c r="F273" i="2"/>
  <c r="K57" i="16"/>
  <c r="M57" i="16" s="1"/>
  <c r="B235" i="2"/>
  <c r="A235" i="2"/>
  <c r="E43" i="1"/>
  <c r="A2" i="21"/>
  <c r="K70" i="2"/>
  <c r="G89" i="19"/>
  <c r="G64" i="19"/>
  <c r="G65" i="19"/>
  <c r="G90" i="19"/>
  <c r="G91" i="19"/>
  <c r="AY106" i="19"/>
  <c r="G66" i="19"/>
  <c r="BN106" i="19"/>
  <c r="FD243" i="25" l="1"/>
  <c r="FD233" i="25"/>
  <c r="DB212" i="25"/>
  <c r="CV110" i="25"/>
  <c r="B47" i="2"/>
  <c r="CW110" i="25"/>
  <c r="CO110" i="25" s="1"/>
  <c r="DH110" i="25" s="1"/>
  <c r="CU110" i="25"/>
  <c r="FD110" i="25"/>
  <c r="B112" i="2"/>
  <c r="B113" i="2" s="1"/>
  <c r="L6" i="1"/>
  <c r="M76" i="1"/>
  <c r="L76" i="1"/>
  <c r="L77" i="1" s="1"/>
  <c r="E75" i="1"/>
  <c r="B43" i="2"/>
  <c r="D25" i="29"/>
  <c r="Q3" i="29" s="1"/>
  <c r="B27" i="29"/>
  <c r="D27" i="29" s="1"/>
  <c r="DH212" i="25"/>
  <c r="DA212" i="25"/>
  <c r="DD212" i="25" s="1"/>
  <c r="DE212" i="25" s="1"/>
  <c r="DF212" i="25" s="1"/>
  <c r="DM212" i="25" s="1"/>
  <c r="DW212" i="25" s="1"/>
  <c r="DS193" i="25"/>
  <c r="DS204" i="25"/>
  <c r="DS203" i="25"/>
  <c r="DS99" i="25"/>
  <c r="DS96" i="25"/>
  <c r="DS194" i="25"/>
  <c r="DS206" i="25"/>
  <c r="DS209" i="25"/>
  <c r="DS100" i="25"/>
  <c r="DS201" i="25"/>
  <c r="DS205" i="25"/>
  <c r="DS105" i="25"/>
  <c r="DS103" i="25"/>
  <c r="DS198" i="25"/>
  <c r="DS102" i="25"/>
  <c r="DS202" i="25"/>
  <c r="DS200" i="25"/>
  <c r="DS199" i="25"/>
  <c r="DS196" i="25"/>
  <c r="DS97" i="25"/>
  <c r="DS197" i="25"/>
  <c r="DS208" i="25"/>
  <c r="DS101" i="25"/>
  <c r="DS207" i="25"/>
  <c r="DS210" i="25"/>
  <c r="DS98" i="25"/>
  <c r="DS104" i="25"/>
  <c r="DS195" i="25"/>
  <c r="DS91" i="25"/>
  <c r="DS94" i="25"/>
  <c r="DS93" i="25"/>
  <c r="DS95" i="25"/>
  <c r="DS92" i="25"/>
  <c r="DT120" i="24"/>
  <c r="DT189" i="24"/>
  <c r="DT157" i="24"/>
  <c r="DT153" i="24"/>
  <c r="DT193" i="24"/>
  <c r="DT204" i="24"/>
  <c r="DT202" i="24"/>
  <c r="DT155" i="24"/>
  <c r="DT198" i="24"/>
  <c r="DT180" i="24"/>
  <c r="DT117" i="24"/>
  <c r="DT174" i="24"/>
  <c r="DT139" i="24"/>
  <c r="DT192" i="24"/>
  <c r="DT115" i="24"/>
  <c r="DT133" i="24"/>
  <c r="DT143" i="24"/>
  <c r="DT129" i="24"/>
  <c r="DT183" i="24"/>
  <c r="DT134" i="24"/>
  <c r="DT184" i="24"/>
  <c r="DT137" i="24"/>
  <c r="DT195" i="24"/>
  <c r="DT128" i="24"/>
  <c r="DT140" i="24"/>
  <c r="DT122" i="24"/>
  <c r="DT208" i="24"/>
  <c r="DT179" i="24"/>
  <c r="DT123" i="24"/>
  <c r="DT150" i="24"/>
  <c r="DT116" i="24"/>
  <c r="DT191" i="24"/>
  <c r="DT112" i="24"/>
  <c r="DT170" i="24"/>
  <c r="DT169" i="24"/>
  <c r="DT126" i="24"/>
  <c r="DT163" i="24"/>
  <c r="DT197" i="24"/>
  <c r="DT121" i="24"/>
  <c r="DT159" i="24"/>
  <c r="DT141" i="24"/>
  <c r="DT201" i="24"/>
  <c r="DT138" i="24"/>
  <c r="DT118" i="24"/>
  <c r="DT200" i="24"/>
  <c r="DT111" i="24"/>
  <c r="DT182" i="24"/>
  <c r="DT152" i="24"/>
  <c r="DT210" i="24"/>
  <c r="H83" i="2" s="1"/>
  <c r="DT147" i="24"/>
  <c r="DT149" i="24"/>
  <c r="DT181" i="24"/>
  <c r="DT135" i="24"/>
  <c r="DT144" i="24"/>
  <c r="DT158" i="24"/>
  <c r="DT130" i="24"/>
  <c r="DT190" i="24"/>
  <c r="DT167" i="24"/>
  <c r="DT119" i="24"/>
  <c r="DT206" i="24"/>
  <c r="DT146" i="24"/>
  <c r="DT156" i="24"/>
  <c r="DT185" i="24"/>
  <c r="DT199" i="24"/>
  <c r="DT131" i="24"/>
  <c r="DT207" i="24"/>
  <c r="DT176" i="24"/>
  <c r="DT124" i="24"/>
  <c r="DT151" i="24"/>
  <c r="DT171" i="24"/>
  <c r="DT132" i="24"/>
  <c r="DT209" i="24"/>
  <c r="DT113" i="24"/>
  <c r="DT173" i="24"/>
  <c r="DT188" i="24"/>
  <c r="DT148" i="24"/>
  <c r="DT203" i="24"/>
  <c r="DT136" i="24"/>
  <c r="DT162" i="24"/>
  <c r="DT187" i="24"/>
  <c r="DT172" i="24"/>
  <c r="DT154" i="24"/>
  <c r="DT186" i="24"/>
  <c r="DT165" i="24"/>
  <c r="DT178" i="24"/>
  <c r="DT142" i="24"/>
  <c r="DT196" i="24"/>
  <c r="DT161" i="24"/>
  <c r="DT177" i="24"/>
  <c r="DT205" i="24"/>
  <c r="DT194" i="24"/>
  <c r="DT164" i="24"/>
  <c r="DT175" i="24"/>
  <c r="DT166" i="24"/>
  <c r="DT160" i="24"/>
  <c r="DT125" i="24"/>
  <c r="DT145" i="24"/>
  <c r="DT114" i="24"/>
  <c r="DT127" i="24"/>
  <c r="DT168" i="24"/>
  <c r="FD266" i="25"/>
  <c r="FD232" i="25"/>
  <c r="FD305" i="25"/>
  <c r="FD235" i="25"/>
  <c r="FD216" i="25"/>
  <c r="FD241" i="25"/>
  <c r="FD269" i="25"/>
  <c r="FD277" i="25"/>
  <c r="FD237" i="25"/>
  <c r="FD276" i="25"/>
  <c r="FD307" i="25"/>
  <c r="FD238" i="25"/>
  <c r="FD242" i="25"/>
  <c r="FD226" i="25"/>
  <c r="FD294" i="25"/>
  <c r="FD275" i="25"/>
  <c r="FD295" i="25"/>
  <c r="FD154" i="25"/>
  <c r="FD250" i="25"/>
  <c r="FD306" i="25"/>
  <c r="FD262" i="25"/>
  <c r="FD280" i="25"/>
  <c r="FD244" i="25"/>
  <c r="FD285" i="25"/>
  <c r="FD283" i="25"/>
  <c r="FD234" i="25"/>
  <c r="FD274" i="25"/>
  <c r="FD230" i="25"/>
  <c r="FD259" i="25"/>
  <c r="FD300" i="25"/>
  <c r="FD292" i="25"/>
  <c r="FD249" i="25"/>
  <c r="FD314" i="25"/>
  <c r="FD248" i="25"/>
  <c r="FD222" i="25"/>
  <c r="FD291" i="25"/>
  <c r="FD281" i="25"/>
  <c r="FD279" i="25"/>
  <c r="FD299" i="25"/>
  <c r="FD217" i="25"/>
  <c r="FD229" i="25"/>
  <c r="FD296" i="25"/>
  <c r="FD264" i="25"/>
  <c r="FD272" i="25"/>
  <c r="FD270" i="25"/>
  <c r="FD255" i="25"/>
  <c r="FD219" i="25"/>
  <c r="FD312" i="25"/>
  <c r="FD287" i="25"/>
  <c r="FD289" i="25"/>
  <c r="FD223" i="25"/>
  <c r="FD302" i="25"/>
  <c r="FD290" i="25"/>
  <c r="FD254" i="25"/>
  <c r="FD227" i="25"/>
  <c r="FD245" i="25"/>
  <c r="FD231" i="25"/>
  <c r="FD282" i="25"/>
  <c r="FD261" i="25"/>
  <c r="FD288" i="25"/>
  <c r="FD304" i="25"/>
  <c r="FD268" i="25"/>
  <c r="FD310" i="25"/>
  <c r="FD253" i="25"/>
  <c r="FD278" i="25"/>
  <c r="FD303" i="25"/>
  <c r="FD256" i="25"/>
  <c r="FD284" i="25"/>
  <c r="FD221" i="25"/>
  <c r="FD308" i="25"/>
  <c r="FD228" i="25"/>
  <c r="FD313" i="25"/>
  <c r="FD301" i="25"/>
  <c r="FD267" i="25"/>
  <c r="FD240" i="25"/>
  <c r="FD239" i="25"/>
  <c r="FD293" i="25"/>
  <c r="FD263" i="25"/>
  <c r="FD316" i="25"/>
  <c r="FD252" i="25"/>
  <c r="FD286" i="25"/>
  <c r="FD246" i="25"/>
  <c r="FD224" i="25"/>
  <c r="FD273" i="25"/>
  <c r="FD311" i="25"/>
  <c r="FD257" i="25"/>
  <c r="FD265" i="25"/>
  <c r="FD258" i="25"/>
  <c r="FD297" i="25"/>
  <c r="FD271" i="25"/>
  <c r="FD236" i="25"/>
  <c r="FD218" i="25"/>
  <c r="FD220" i="25"/>
  <c r="FD298" i="25"/>
  <c r="FD260" i="25"/>
  <c r="FD309" i="25"/>
  <c r="FD315" i="25"/>
  <c r="FD247" i="25"/>
  <c r="FD251" i="25"/>
  <c r="B45" i="2"/>
  <c r="FD112" i="25"/>
  <c r="DL112" i="25"/>
  <c r="DS112" i="25"/>
  <c r="DA112" i="25"/>
  <c r="DD112" i="25" s="1"/>
  <c r="DE112" i="25" s="1"/>
  <c r="DF112" i="25" s="1"/>
  <c r="DH112" i="25"/>
  <c r="CY112" i="25"/>
  <c r="CZ112" i="25"/>
  <c r="CZ110" i="24"/>
  <c r="DC110" i="24" s="1"/>
  <c r="DN5" i="24"/>
  <c r="DZ5" i="24" s="1"/>
  <c r="FD27" i="25"/>
  <c r="CW216" i="25"/>
  <c r="FD51" i="25"/>
  <c r="DS24" i="25"/>
  <c r="FD31" i="25"/>
  <c r="CV216" i="25"/>
  <c r="CU216" i="25"/>
  <c r="DS87" i="25"/>
  <c r="DN110" i="24"/>
  <c r="DX110" i="24" s="1"/>
  <c r="DJ5" i="24"/>
  <c r="DK5" i="24"/>
  <c r="DJ110" i="24"/>
  <c r="DK110" i="24"/>
  <c r="DI216" i="24"/>
  <c r="DM216" i="24"/>
  <c r="DB216" i="24"/>
  <c r="DE216" i="24" s="1"/>
  <c r="DF216" i="24" s="1"/>
  <c r="DG216" i="24" s="1"/>
  <c r="DA216" i="24"/>
  <c r="CZ216" i="24"/>
  <c r="DT35" i="24"/>
  <c r="DT289" i="24"/>
  <c r="DT221" i="24"/>
  <c r="DT37" i="24"/>
  <c r="DT50" i="24"/>
  <c r="FD19" i="25"/>
  <c r="DS9" i="25"/>
  <c r="DS83" i="25"/>
  <c r="DS49" i="25"/>
  <c r="DS245" i="25"/>
  <c r="DA180" i="25"/>
  <c r="DD180" i="25" s="1"/>
  <c r="DE180" i="25" s="1"/>
  <c r="DF180" i="25" s="1"/>
  <c r="DH180" i="25"/>
  <c r="DA122" i="25"/>
  <c r="DD122" i="25" s="1"/>
  <c r="DE122" i="25" s="1"/>
  <c r="DF122" i="25" s="1"/>
  <c r="DH122" i="25"/>
  <c r="DL271" i="25"/>
  <c r="DS271" i="25"/>
  <c r="DL231" i="25"/>
  <c r="DS231" i="25"/>
  <c r="DS166" i="25"/>
  <c r="FD166" i="25"/>
  <c r="DL166" i="25"/>
  <c r="DS279" i="25"/>
  <c r="DL279" i="25"/>
  <c r="CY204" i="25"/>
  <c r="CZ204" i="25"/>
  <c r="CY165" i="25"/>
  <c r="CZ165" i="25"/>
  <c r="DL274" i="25"/>
  <c r="DS274" i="25"/>
  <c r="CY32" i="25"/>
  <c r="CZ32" i="25"/>
  <c r="CZ101" i="25"/>
  <c r="CY101" i="25"/>
  <c r="DL36" i="25"/>
  <c r="FD36" i="25"/>
  <c r="DS36" i="25"/>
  <c r="DA203" i="25"/>
  <c r="DD203" i="25" s="1"/>
  <c r="DE203" i="25" s="1"/>
  <c r="DF203" i="25" s="1"/>
  <c r="DH203" i="25"/>
  <c r="CY315" i="25"/>
  <c r="CZ315" i="25"/>
  <c r="DA233" i="25"/>
  <c r="DD233" i="25" s="1"/>
  <c r="DE233" i="25" s="1"/>
  <c r="DF233" i="25" s="1"/>
  <c r="DH233" i="25"/>
  <c r="DA241" i="25"/>
  <c r="DD241" i="25" s="1"/>
  <c r="DE241" i="25" s="1"/>
  <c r="DF241" i="25" s="1"/>
  <c r="DH241" i="25"/>
  <c r="DA57" i="25"/>
  <c r="DD57" i="25" s="1"/>
  <c r="DE57" i="25" s="1"/>
  <c r="DF57" i="25" s="1"/>
  <c r="DH57" i="25"/>
  <c r="DH276" i="25"/>
  <c r="DA276" i="25"/>
  <c r="DD276" i="25" s="1"/>
  <c r="DE276" i="25" s="1"/>
  <c r="DF276" i="25" s="1"/>
  <c r="CZ7" i="25"/>
  <c r="DB7" i="25" s="1"/>
  <c r="DH7" i="25"/>
  <c r="DA7" i="25"/>
  <c r="DD7" i="25" s="1"/>
  <c r="DE7" i="25" s="1"/>
  <c r="DF7" i="25" s="1"/>
  <c r="DM7" i="25" s="1"/>
  <c r="CZ278" i="25"/>
  <c r="CY278" i="25"/>
  <c r="CY221" i="25"/>
  <c r="CZ221" i="25"/>
  <c r="DL297" i="25"/>
  <c r="DS264" i="25"/>
  <c r="DL264" i="25"/>
  <c r="CY304" i="25"/>
  <c r="CZ304" i="25"/>
  <c r="DL127" i="25"/>
  <c r="FD127" i="25"/>
  <c r="DS127" i="25"/>
  <c r="CZ201" i="25"/>
  <c r="CY201" i="25"/>
  <c r="CY99" i="25"/>
  <c r="CZ99" i="25"/>
  <c r="DL62" i="25"/>
  <c r="DS62" i="25"/>
  <c r="FD62" i="25"/>
  <c r="CZ144" i="25"/>
  <c r="CY144" i="25"/>
  <c r="FD116" i="25"/>
  <c r="DS116" i="25"/>
  <c r="DL116" i="25"/>
  <c r="DS113" i="25"/>
  <c r="FD113" i="25"/>
  <c r="DL113" i="25"/>
  <c r="CY160" i="25"/>
  <c r="CZ160" i="25"/>
  <c r="FD26" i="25"/>
  <c r="DS26" i="25"/>
  <c r="DL26" i="25"/>
  <c r="DL240" i="25"/>
  <c r="DS240" i="25"/>
  <c r="DH206" i="25"/>
  <c r="DA206" i="25"/>
  <c r="DD206" i="25" s="1"/>
  <c r="DE206" i="25" s="1"/>
  <c r="DF206" i="25" s="1"/>
  <c r="DA60" i="25"/>
  <c r="DD60" i="25" s="1"/>
  <c r="DE60" i="25" s="1"/>
  <c r="DF60" i="25" s="1"/>
  <c r="DH60" i="25"/>
  <c r="DH269" i="25"/>
  <c r="DA269" i="25"/>
  <c r="DD269" i="25" s="1"/>
  <c r="DE269" i="25" s="1"/>
  <c r="DF269" i="25" s="1"/>
  <c r="DH14" i="25"/>
  <c r="DA14" i="25"/>
  <c r="DD14" i="25" s="1"/>
  <c r="DE14" i="25" s="1"/>
  <c r="DF14" i="25" s="1"/>
  <c r="FD50" i="25"/>
  <c r="DL50" i="25"/>
  <c r="DS50" i="25"/>
  <c r="DH174" i="25"/>
  <c r="DA174" i="25"/>
  <c r="DD174" i="25" s="1"/>
  <c r="DE174" i="25" s="1"/>
  <c r="DF174" i="25" s="1"/>
  <c r="DH92" i="25"/>
  <c r="DA92" i="25"/>
  <c r="DD92" i="25" s="1"/>
  <c r="DE92" i="25" s="1"/>
  <c r="DF92" i="25" s="1"/>
  <c r="DA239" i="25"/>
  <c r="DD239" i="25" s="1"/>
  <c r="DE239" i="25" s="1"/>
  <c r="DF239" i="25" s="1"/>
  <c r="DH239" i="25"/>
  <c r="CZ164" i="25"/>
  <c r="DB164" i="25" s="1"/>
  <c r="DH164" i="25"/>
  <c r="DA164" i="25"/>
  <c r="DD164" i="25" s="1"/>
  <c r="DE164" i="25" s="1"/>
  <c r="DF164" i="25" s="1"/>
  <c r="DL220" i="25"/>
  <c r="DS220" i="25"/>
  <c r="CY186" i="25"/>
  <c r="CZ186" i="25"/>
  <c r="CY271" i="25"/>
  <c r="CZ271" i="25"/>
  <c r="DS311" i="25"/>
  <c r="DL311" i="25"/>
  <c r="DL261" i="25"/>
  <c r="DS261" i="25"/>
  <c r="DS282" i="25"/>
  <c r="DL282" i="25"/>
  <c r="CZ134" i="25"/>
  <c r="CY134" i="25"/>
  <c r="CZ312" i="25"/>
  <c r="CY312" i="25"/>
  <c r="CZ196" i="25"/>
  <c r="CY196" i="25"/>
  <c r="CY61" i="25"/>
  <c r="CZ61" i="25"/>
  <c r="DH56" i="25"/>
  <c r="DA56" i="25"/>
  <c r="DD56" i="25" s="1"/>
  <c r="DE56" i="25" s="1"/>
  <c r="DF56" i="25" s="1"/>
  <c r="DA190" i="25"/>
  <c r="DD190" i="25" s="1"/>
  <c r="DE190" i="25" s="1"/>
  <c r="DF190" i="25" s="1"/>
  <c r="DH190" i="25"/>
  <c r="DH147" i="25"/>
  <c r="DA147" i="25"/>
  <c r="DD147" i="25" s="1"/>
  <c r="DE147" i="25" s="1"/>
  <c r="DF147" i="25" s="1"/>
  <c r="DA32" i="25"/>
  <c r="DD32" i="25" s="1"/>
  <c r="DE32" i="25" s="1"/>
  <c r="DF32" i="25" s="1"/>
  <c r="DH32" i="25"/>
  <c r="DA210" i="25"/>
  <c r="DD210" i="25" s="1"/>
  <c r="DE210" i="25" s="1"/>
  <c r="DF210" i="25" s="1"/>
  <c r="DH210" i="25"/>
  <c r="DA78" i="25"/>
  <c r="DD78" i="25" s="1"/>
  <c r="DE78" i="25" s="1"/>
  <c r="DF78" i="25" s="1"/>
  <c r="DH78" i="25"/>
  <c r="DL221" i="25"/>
  <c r="DS221" i="25"/>
  <c r="CZ206" i="25"/>
  <c r="CY206" i="25"/>
  <c r="DL304" i="25"/>
  <c r="DS304" i="25"/>
  <c r="CY62" i="25"/>
  <c r="CZ62" i="25"/>
  <c r="CY35" i="25"/>
  <c r="CZ35" i="25"/>
  <c r="CY31" i="25"/>
  <c r="CZ31" i="25"/>
  <c r="DL160" i="25"/>
  <c r="FD160" i="25"/>
  <c r="DS160" i="25"/>
  <c r="DH105" i="25"/>
  <c r="DA105" i="25"/>
  <c r="DD105" i="25" s="1"/>
  <c r="DE105" i="25" s="1"/>
  <c r="DF105" i="25" s="1"/>
  <c r="DH15" i="25"/>
  <c r="DA15" i="25"/>
  <c r="DD15" i="25" s="1"/>
  <c r="DE15" i="25" s="1"/>
  <c r="DF15" i="25" s="1"/>
  <c r="DL219" i="25"/>
  <c r="DS219" i="25"/>
  <c r="CY16" i="25"/>
  <c r="CZ16" i="25"/>
  <c r="CZ226" i="25"/>
  <c r="DB226" i="25" s="1"/>
  <c r="DH226" i="25"/>
  <c r="DA226" i="25"/>
  <c r="DD226" i="25" s="1"/>
  <c r="DE226" i="25" s="1"/>
  <c r="DF226" i="25" s="1"/>
  <c r="DH59" i="25"/>
  <c r="DA59" i="25"/>
  <c r="DD59" i="25" s="1"/>
  <c r="DE59" i="25" s="1"/>
  <c r="DF59" i="25" s="1"/>
  <c r="CY167" i="25"/>
  <c r="CZ167" i="25"/>
  <c r="CZ229" i="25"/>
  <c r="CY229" i="25"/>
  <c r="DL202" i="25"/>
  <c r="FD202" i="25"/>
  <c r="DL224" i="25"/>
  <c r="DS224" i="25"/>
  <c r="DS123" i="25"/>
  <c r="DL123" i="25"/>
  <c r="FD123" i="25"/>
  <c r="DL150" i="25"/>
  <c r="DS150" i="25"/>
  <c r="FD150" i="25"/>
  <c r="DL41" i="25"/>
  <c r="FD41" i="25"/>
  <c r="DS41" i="25"/>
  <c r="DH191" i="25"/>
  <c r="DA191" i="25"/>
  <c r="DD191" i="25" s="1"/>
  <c r="DE191" i="25" s="1"/>
  <c r="DF191" i="25" s="1"/>
  <c r="DA275" i="25"/>
  <c r="DD275" i="25" s="1"/>
  <c r="DE275" i="25" s="1"/>
  <c r="DF275" i="25" s="1"/>
  <c r="DH275" i="25"/>
  <c r="DH45" i="25"/>
  <c r="DA45" i="25"/>
  <c r="DD45" i="25" s="1"/>
  <c r="DE45" i="25" s="1"/>
  <c r="DF45" i="25" s="1"/>
  <c r="DS299" i="25"/>
  <c r="DL299" i="25"/>
  <c r="DL291" i="25"/>
  <c r="DS291" i="25"/>
  <c r="DS124" i="25"/>
  <c r="FD124" i="25"/>
  <c r="DL124" i="25"/>
  <c r="DL32" i="25"/>
  <c r="DS32" i="25"/>
  <c r="FD32" i="25"/>
  <c r="DS134" i="25"/>
  <c r="FD134" i="25"/>
  <c r="DL134" i="25"/>
  <c r="DL312" i="25"/>
  <c r="DS312" i="25"/>
  <c r="DL286" i="25"/>
  <c r="DS286" i="25"/>
  <c r="FD196" i="25"/>
  <c r="DL196" i="25"/>
  <c r="CZ67" i="25"/>
  <c r="CY67" i="25"/>
  <c r="CY103" i="25"/>
  <c r="CZ103" i="25"/>
  <c r="DL131" i="25"/>
  <c r="DS131" i="25"/>
  <c r="FD131" i="25"/>
  <c r="DH67" i="25"/>
  <c r="DA67" i="25"/>
  <c r="DD67" i="25" s="1"/>
  <c r="DE67" i="25" s="1"/>
  <c r="DF67" i="25" s="1"/>
  <c r="DL236" i="25"/>
  <c r="DS236" i="25"/>
  <c r="CY234" i="25"/>
  <c r="CZ234" i="25"/>
  <c r="DH83" i="25"/>
  <c r="DA83" i="25"/>
  <c r="DD83" i="25" s="1"/>
  <c r="DE83" i="25" s="1"/>
  <c r="DF83" i="25" s="1"/>
  <c r="DA80" i="25"/>
  <c r="DD80" i="25" s="1"/>
  <c r="DE80" i="25" s="1"/>
  <c r="DF80" i="25" s="1"/>
  <c r="DH80" i="25"/>
  <c r="DH42" i="25"/>
  <c r="DA42" i="25"/>
  <c r="DD42" i="25" s="1"/>
  <c r="DE42" i="25" s="1"/>
  <c r="DF42" i="25" s="1"/>
  <c r="DH302" i="25"/>
  <c r="DA302" i="25"/>
  <c r="DD302" i="25" s="1"/>
  <c r="DE302" i="25" s="1"/>
  <c r="DF302" i="25" s="1"/>
  <c r="DS303" i="25"/>
  <c r="DL303" i="25"/>
  <c r="CY264" i="25"/>
  <c r="CZ264" i="25"/>
  <c r="FD201" i="25"/>
  <c r="DL201" i="25"/>
  <c r="FD54" i="25"/>
  <c r="DS54" i="25"/>
  <c r="DL54" i="25"/>
  <c r="DL265" i="25"/>
  <c r="DS265" i="25"/>
  <c r="FD144" i="25"/>
  <c r="DS144" i="25"/>
  <c r="DL144" i="25"/>
  <c r="CY97" i="25"/>
  <c r="CZ97" i="25"/>
  <c r="CZ26" i="25"/>
  <c r="CY26" i="25"/>
  <c r="DH277" i="25"/>
  <c r="DA277" i="25"/>
  <c r="DD277" i="25" s="1"/>
  <c r="DE277" i="25" s="1"/>
  <c r="DF277" i="25" s="1"/>
  <c r="DH304" i="25"/>
  <c r="DA304" i="25"/>
  <c r="DD304" i="25" s="1"/>
  <c r="DE304" i="25" s="1"/>
  <c r="DF304" i="25" s="1"/>
  <c r="DA97" i="25"/>
  <c r="DD97" i="25" s="1"/>
  <c r="DE97" i="25" s="1"/>
  <c r="DF97" i="25" s="1"/>
  <c r="DH97" i="25"/>
  <c r="DH98" i="25"/>
  <c r="DA98" i="25"/>
  <c r="DD98" i="25" s="1"/>
  <c r="DE98" i="25" s="1"/>
  <c r="DF98" i="25" s="1"/>
  <c r="DH35" i="25"/>
  <c r="DA35" i="25"/>
  <c r="DD35" i="25" s="1"/>
  <c r="DE35" i="25" s="1"/>
  <c r="DF35" i="25" s="1"/>
  <c r="DH158" i="25"/>
  <c r="DA158" i="25"/>
  <c r="DD158" i="25" s="1"/>
  <c r="DE158" i="25" s="1"/>
  <c r="DF158" i="25" s="1"/>
  <c r="CZ299" i="25"/>
  <c r="CY299" i="25"/>
  <c r="CY311" i="25"/>
  <c r="CZ311" i="25"/>
  <c r="CY291" i="25"/>
  <c r="CZ291" i="25"/>
  <c r="DL56" i="25"/>
  <c r="DS56" i="25"/>
  <c r="FD56" i="25"/>
  <c r="CY286" i="25"/>
  <c r="CZ286" i="25"/>
  <c r="CZ131" i="25"/>
  <c r="CY131" i="25"/>
  <c r="CZ132" i="25"/>
  <c r="CY132" i="25"/>
  <c r="CY163" i="25"/>
  <c r="CZ163" i="25"/>
  <c r="CZ259" i="25"/>
  <c r="DB259" i="25" s="1"/>
  <c r="DH259" i="25"/>
  <c r="DA259" i="25"/>
  <c r="DD259" i="25" s="1"/>
  <c r="DE259" i="25" s="1"/>
  <c r="DF259" i="25" s="1"/>
  <c r="DL234" i="25"/>
  <c r="DS234" i="25"/>
  <c r="DL18" i="25"/>
  <c r="DS18" i="25"/>
  <c r="FD18" i="25"/>
  <c r="DH173" i="25"/>
  <c r="DA173" i="25"/>
  <c r="DD173" i="25" s="1"/>
  <c r="DE173" i="25" s="1"/>
  <c r="DF173" i="25" s="1"/>
  <c r="DH231" i="25"/>
  <c r="DA231" i="25"/>
  <c r="DD231" i="25" s="1"/>
  <c r="DE231" i="25" s="1"/>
  <c r="DF231" i="25" s="1"/>
  <c r="DA120" i="25"/>
  <c r="DD120" i="25" s="1"/>
  <c r="DE120" i="25" s="1"/>
  <c r="DF120" i="25" s="1"/>
  <c r="DH120" i="25"/>
  <c r="DH267" i="25"/>
  <c r="DA267" i="25"/>
  <c r="DD267" i="25" s="1"/>
  <c r="DE267" i="25" s="1"/>
  <c r="DF267" i="25" s="1"/>
  <c r="DH47" i="25"/>
  <c r="DA47" i="25"/>
  <c r="DD47" i="25" s="1"/>
  <c r="DE47" i="25" s="1"/>
  <c r="DF47" i="25" s="1"/>
  <c r="DH314" i="25"/>
  <c r="DA314" i="25"/>
  <c r="DD314" i="25" s="1"/>
  <c r="DE314" i="25" s="1"/>
  <c r="DF314" i="25" s="1"/>
  <c r="CZ158" i="25"/>
  <c r="CY158" i="25"/>
  <c r="DS268" i="25"/>
  <c r="DL268" i="25"/>
  <c r="CY273" i="25"/>
  <c r="CZ273" i="25"/>
  <c r="FD206" i="25"/>
  <c r="DL206" i="25"/>
  <c r="DL249" i="25"/>
  <c r="DS249" i="25"/>
  <c r="FD120" i="25"/>
  <c r="DS120" i="25"/>
  <c r="DL120" i="25"/>
  <c r="DS35" i="25"/>
  <c r="DL35" i="25"/>
  <c r="FD35" i="25"/>
  <c r="CZ83" i="25"/>
  <c r="CY83" i="25"/>
  <c r="DH91" i="25"/>
  <c r="DA91" i="25"/>
  <c r="DD91" i="25" s="1"/>
  <c r="DE91" i="25" s="1"/>
  <c r="DF91" i="25" s="1"/>
  <c r="DH41" i="25"/>
  <c r="DA41" i="25"/>
  <c r="DD41" i="25" s="1"/>
  <c r="DE41" i="25" s="1"/>
  <c r="DF41" i="25" s="1"/>
  <c r="CY152" i="25"/>
  <c r="CZ152" i="25"/>
  <c r="DA257" i="25"/>
  <c r="DD257" i="25" s="1"/>
  <c r="DE257" i="25" s="1"/>
  <c r="DF257" i="25" s="1"/>
  <c r="DH257" i="25"/>
  <c r="DH244" i="25"/>
  <c r="DA244" i="25"/>
  <c r="DD244" i="25" s="1"/>
  <c r="DE244" i="25" s="1"/>
  <c r="DF244" i="25" s="1"/>
  <c r="DH292" i="25"/>
  <c r="DA292" i="25"/>
  <c r="DD292" i="25" s="1"/>
  <c r="DE292" i="25" s="1"/>
  <c r="DF292" i="25" s="1"/>
  <c r="DH251" i="25"/>
  <c r="DA251" i="25"/>
  <c r="DD251" i="25" s="1"/>
  <c r="DE251" i="25" s="1"/>
  <c r="DF251" i="25" s="1"/>
  <c r="DH202" i="25"/>
  <c r="DA202" i="25"/>
  <c r="DD202" i="25" s="1"/>
  <c r="DE202" i="25" s="1"/>
  <c r="DF202" i="25" s="1"/>
  <c r="DA65" i="25"/>
  <c r="DD65" i="25" s="1"/>
  <c r="DE65" i="25" s="1"/>
  <c r="DF65" i="25" s="1"/>
  <c r="DH65" i="25"/>
  <c r="DH144" i="25"/>
  <c r="DA144" i="25"/>
  <c r="DD144" i="25" s="1"/>
  <c r="DE144" i="25" s="1"/>
  <c r="DF144" i="25" s="1"/>
  <c r="DA280" i="25"/>
  <c r="DD280" i="25" s="1"/>
  <c r="DE280" i="25" s="1"/>
  <c r="DF280" i="25" s="1"/>
  <c r="DH280" i="25"/>
  <c r="DH103" i="25"/>
  <c r="DA103" i="25"/>
  <c r="DD103" i="25" s="1"/>
  <c r="DE103" i="25" s="1"/>
  <c r="DF103" i="25" s="1"/>
  <c r="DA187" i="25"/>
  <c r="DD187" i="25" s="1"/>
  <c r="DE187" i="25" s="1"/>
  <c r="DF187" i="25" s="1"/>
  <c r="DH187" i="25"/>
  <c r="DH99" i="25"/>
  <c r="DA99" i="25"/>
  <c r="DD99" i="25" s="1"/>
  <c r="DE99" i="25" s="1"/>
  <c r="DF99" i="25" s="1"/>
  <c r="DL223" i="25"/>
  <c r="DS223" i="25"/>
  <c r="FD101" i="25"/>
  <c r="DL101" i="25"/>
  <c r="CY56" i="25"/>
  <c r="CZ56" i="25"/>
  <c r="DL63" i="25"/>
  <c r="DS63" i="25"/>
  <c r="FD63" i="25"/>
  <c r="CZ84" i="25"/>
  <c r="CY84" i="25"/>
  <c r="CY11" i="25"/>
  <c r="CZ11" i="25"/>
  <c r="CZ135" i="25"/>
  <c r="CY135" i="25"/>
  <c r="DL103" i="25"/>
  <c r="FD103" i="25"/>
  <c r="DS132" i="25"/>
  <c r="DL132" i="25"/>
  <c r="FD132" i="25"/>
  <c r="DS76" i="25"/>
  <c r="DL76" i="25"/>
  <c r="FD76" i="25"/>
  <c r="DH9" i="25"/>
  <c r="DA9" i="25"/>
  <c r="DD9" i="25" s="1"/>
  <c r="DE9" i="25" s="1"/>
  <c r="DF9" i="25" s="1"/>
  <c r="CY44" i="25"/>
  <c r="CZ44" i="25"/>
  <c r="DA179" i="25"/>
  <c r="DD179" i="25" s="1"/>
  <c r="DE179" i="25" s="1"/>
  <c r="DF179" i="25" s="1"/>
  <c r="DH179" i="25"/>
  <c r="DA84" i="25"/>
  <c r="DD84" i="25" s="1"/>
  <c r="DE84" i="25" s="1"/>
  <c r="DF84" i="25" s="1"/>
  <c r="DH84" i="25"/>
  <c r="DA79" i="25"/>
  <c r="DD79" i="25" s="1"/>
  <c r="DE79" i="25" s="1"/>
  <c r="DF79" i="25" s="1"/>
  <c r="DH79" i="25"/>
  <c r="DL218" i="25"/>
  <c r="DS218" i="25"/>
  <c r="CY268" i="25"/>
  <c r="CZ268" i="25"/>
  <c r="DL203" i="25"/>
  <c r="FD203" i="25"/>
  <c r="CY303" i="25"/>
  <c r="CZ303" i="25"/>
  <c r="CY248" i="25"/>
  <c r="CZ248" i="25"/>
  <c r="CY249" i="25"/>
  <c r="CZ249" i="25"/>
  <c r="CZ120" i="25"/>
  <c r="CY120" i="25"/>
  <c r="DL99" i="25"/>
  <c r="FD99" i="25"/>
  <c r="CY54" i="25"/>
  <c r="CZ54" i="25"/>
  <c r="CY53" i="25"/>
  <c r="CZ53" i="25"/>
  <c r="CY80" i="25"/>
  <c r="CZ80" i="25"/>
  <c r="DL31" i="25"/>
  <c r="DS31" i="25"/>
  <c r="DH166" i="25"/>
  <c r="DA166" i="25"/>
  <c r="DD166" i="25" s="1"/>
  <c r="DE166" i="25" s="1"/>
  <c r="DF166" i="25" s="1"/>
  <c r="DH132" i="25"/>
  <c r="DA132" i="25"/>
  <c r="DD132" i="25" s="1"/>
  <c r="DE132" i="25" s="1"/>
  <c r="DF132" i="25" s="1"/>
  <c r="DA58" i="25"/>
  <c r="DD58" i="25" s="1"/>
  <c r="DE58" i="25" s="1"/>
  <c r="DF58" i="25" s="1"/>
  <c r="DH58" i="25"/>
  <c r="DS192" i="25"/>
  <c r="FD192" i="25"/>
  <c r="DL192" i="25"/>
  <c r="DL91" i="25"/>
  <c r="DH299" i="25"/>
  <c r="DA299" i="25"/>
  <c r="DD299" i="25" s="1"/>
  <c r="DE299" i="25" s="1"/>
  <c r="DF299" i="25" s="1"/>
  <c r="DA289" i="25"/>
  <c r="DD289" i="25" s="1"/>
  <c r="DE289" i="25" s="1"/>
  <c r="DF289" i="25" s="1"/>
  <c r="DH289" i="25"/>
  <c r="DH286" i="25"/>
  <c r="DA286" i="25"/>
  <c r="DD286" i="25" s="1"/>
  <c r="DE286" i="25" s="1"/>
  <c r="DF286" i="25" s="1"/>
  <c r="DH234" i="25"/>
  <c r="DA234" i="25"/>
  <c r="DD234" i="25" s="1"/>
  <c r="DE234" i="25" s="1"/>
  <c r="DF234" i="25" s="1"/>
  <c r="DA232" i="25"/>
  <c r="DD232" i="25" s="1"/>
  <c r="DE232" i="25" s="1"/>
  <c r="DF232" i="25" s="1"/>
  <c r="DH232" i="25"/>
  <c r="DL270" i="25"/>
  <c r="DS270" i="25"/>
  <c r="DL293" i="25"/>
  <c r="DS138" i="25"/>
  <c r="DL138" i="25"/>
  <c r="FD138" i="25"/>
  <c r="DH175" i="25"/>
  <c r="DA175" i="25"/>
  <c r="DD175" i="25" s="1"/>
  <c r="DE175" i="25" s="1"/>
  <c r="DF175" i="25" s="1"/>
  <c r="DA64" i="25"/>
  <c r="DD64" i="25" s="1"/>
  <c r="DE64" i="25" s="1"/>
  <c r="DF64" i="25" s="1"/>
  <c r="DH64" i="25"/>
  <c r="DH283" i="25"/>
  <c r="DA283" i="25"/>
  <c r="DD283" i="25" s="1"/>
  <c r="DE283" i="25" s="1"/>
  <c r="DF283" i="25" s="1"/>
  <c r="DA76" i="25"/>
  <c r="DD76" i="25" s="1"/>
  <c r="DE76" i="25" s="1"/>
  <c r="DF76" i="25" s="1"/>
  <c r="DH76" i="25"/>
  <c r="DA31" i="25"/>
  <c r="DD31" i="25" s="1"/>
  <c r="DE31" i="25" s="1"/>
  <c r="DF31" i="25" s="1"/>
  <c r="DH31" i="25"/>
  <c r="CY310" i="25"/>
  <c r="CZ310" i="25"/>
  <c r="CZ223" i="25"/>
  <c r="CY223" i="25"/>
  <c r="CY217" i="25"/>
  <c r="CZ217" i="25"/>
  <c r="DL67" i="25"/>
  <c r="DS67" i="25"/>
  <c r="FD67" i="25"/>
  <c r="DS84" i="25"/>
  <c r="FD84" i="25"/>
  <c r="DL84" i="25"/>
  <c r="DS281" i="25"/>
  <c r="DL281" i="25"/>
  <c r="DL44" i="25"/>
  <c r="DS44" i="25"/>
  <c r="DS316" i="25"/>
  <c r="DL316" i="25"/>
  <c r="CZ18" i="25"/>
  <c r="CY18" i="25"/>
  <c r="DH306" i="25"/>
  <c r="DA306" i="25"/>
  <c r="DD306" i="25" s="1"/>
  <c r="DE306" i="25" s="1"/>
  <c r="DF306" i="25" s="1"/>
  <c r="DH34" i="25"/>
  <c r="DA34" i="25"/>
  <c r="DD34" i="25" s="1"/>
  <c r="DE34" i="25" s="1"/>
  <c r="DF34" i="25" s="1"/>
  <c r="DA199" i="25"/>
  <c r="DD199" i="25" s="1"/>
  <c r="DE199" i="25" s="1"/>
  <c r="DF199" i="25" s="1"/>
  <c r="DH199" i="25"/>
  <c r="DH27" i="25"/>
  <c r="DA27" i="25"/>
  <c r="DD27" i="25" s="1"/>
  <c r="DE27" i="25" s="1"/>
  <c r="DF27" i="25" s="1"/>
  <c r="CY210" i="25"/>
  <c r="CZ210" i="25"/>
  <c r="CY178" i="25"/>
  <c r="CZ178" i="25"/>
  <c r="DL273" i="25"/>
  <c r="DS273" i="25"/>
  <c r="CZ127" i="25"/>
  <c r="CY127" i="25"/>
  <c r="DH102" i="25"/>
  <c r="DA102" i="25"/>
  <c r="DD102" i="25" s="1"/>
  <c r="DE102" i="25" s="1"/>
  <c r="DF102" i="25" s="1"/>
  <c r="CZ192" i="25"/>
  <c r="CY192" i="25"/>
  <c r="DH249" i="25"/>
  <c r="DA249" i="25"/>
  <c r="DD249" i="25" s="1"/>
  <c r="DE249" i="25" s="1"/>
  <c r="DF249" i="25" s="1"/>
  <c r="DH217" i="25"/>
  <c r="DA217" i="25"/>
  <c r="DD217" i="25" s="1"/>
  <c r="DE217" i="25" s="1"/>
  <c r="DF217" i="25" s="1"/>
  <c r="CY205" i="25"/>
  <c r="CZ205" i="25"/>
  <c r="DH143" i="25"/>
  <c r="DA143" i="25"/>
  <c r="DD143" i="25" s="1"/>
  <c r="DE143" i="25" s="1"/>
  <c r="DF143" i="25" s="1"/>
  <c r="DA168" i="25"/>
  <c r="DD168" i="25" s="1"/>
  <c r="DE168" i="25" s="1"/>
  <c r="DF168" i="25" s="1"/>
  <c r="DH168" i="25"/>
  <c r="DH284" i="25"/>
  <c r="DA284" i="25"/>
  <c r="DD284" i="25" s="1"/>
  <c r="DE284" i="25" s="1"/>
  <c r="DF284" i="25" s="1"/>
  <c r="DH156" i="25"/>
  <c r="DA156" i="25"/>
  <c r="DD156" i="25" s="1"/>
  <c r="DE156" i="25" s="1"/>
  <c r="DF156" i="25" s="1"/>
  <c r="CY279" i="25"/>
  <c r="CZ279" i="25"/>
  <c r="CY274" i="25"/>
  <c r="CZ274" i="25"/>
  <c r="DL217" i="25"/>
  <c r="DS217" i="25"/>
  <c r="DL11" i="25"/>
  <c r="DS11" i="25"/>
  <c r="FD11" i="25"/>
  <c r="DL163" i="25"/>
  <c r="FD163" i="25"/>
  <c r="DS163" i="25"/>
  <c r="CY76" i="25"/>
  <c r="CZ76" i="25"/>
  <c r="DH311" i="25"/>
  <c r="DA311" i="25"/>
  <c r="DD311" i="25" s="1"/>
  <c r="DE311" i="25" s="1"/>
  <c r="DF311" i="25" s="1"/>
  <c r="CZ281" i="25"/>
  <c r="CY281" i="25"/>
  <c r="CY316" i="25"/>
  <c r="CZ316" i="25"/>
  <c r="DA87" i="25"/>
  <c r="DD87" i="25" s="1"/>
  <c r="DE87" i="25" s="1"/>
  <c r="DF87" i="25" s="1"/>
  <c r="DH87" i="25"/>
  <c r="DH138" i="25"/>
  <c r="DA138" i="25"/>
  <c r="DD138" i="25" s="1"/>
  <c r="DE138" i="25" s="1"/>
  <c r="DF138" i="25" s="1"/>
  <c r="DH200" i="25"/>
  <c r="DA200" i="25"/>
  <c r="DD200" i="25" s="1"/>
  <c r="DE200" i="25" s="1"/>
  <c r="DF200" i="25" s="1"/>
  <c r="CZ220" i="25"/>
  <c r="DB220" i="25" s="1"/>
  <c r="DH220" i="25"/>
  <c r="DA220" i="25"/>
  <c r="DD220" i="25" s="1"/>
  <c r="DE220" i="25" s="1"/>
  <c r="DF220" i="25" s="1"/>
  <c r="DH40" i="25"/>
  <c r="DA40" i="25"/>
  <c r="DD40" i="25" s="1"/>
  <c r="DE40" i="25" s="1"/>
  <c r="DF40" i="25" s="1"/>
  <c r="DH228" i="25"/>
  <c r="DA228" i="25"/>
  <c r="DD228" i="25" s="1"/>
  <c r="DE228" i="25" s="1"/>
  <c r="DF228" i="25" s="1"/>
  <c r="DL278" i="25"/>
  <c r="DS278" i="25"/>
  <c r="DL210" i="25"/>
  <c r="FD210" i="25"/>
  <c r="CY267" i="25"/>
  <c r="CZ267" i="25"/>
  <c r="CY218" i="25"/>
  <c r="CZ218" i="25"/>
  <c r="DL158" i="25"/>
  <c r="DS158" i="25"/>
  <c r="FD158" i="25"/>
  <c r="CZ203" i="25"/>
  <c r="CY203" i="25"/>
  <c r="DS297" i="25"/>
  <c r="DL248" i="25"/>
  <c r="DS248" i="25"/>
  <c r="DL162" i="25"/>
  <c r="DS162" i="25"/>
  <c r="FD162" i="25"/>
  <c r="DS53" i="25"/>
  <c r="FD53" i="25"/>
  <c r="DL53" i="25"/>
  <c r="DS80" i="25"/>
  <c r="FD80" i="25"/>
  <c r="DL80" i="25"/>
  <c r="CY10" i="25"/>
  <c r="CZ10" i="25"/>
  <c r="CY116" i="25"/>
  <c r="CZ116" i="25"/>
  <c r="DL97" i="25"/>
  <c r="FD97" i="25"/>
  <c r="DL83" i="25"/>
  <c r="FD83" i="25"/>
  <c r="CY113" i="25"/>
  <c r="CZ113" i="25"/>
  <c r="CY288" i="25"/>
  <c r="CZ288" i="25"/>
  <c r="DS191" i="25"/>
  <c r="FD191" i="25"/>
  <c r="DL191" i="25"/>
  <c r="CY118" i="25"/>
  <c r="CZ118" i="25"/>
  <c r="CZ174" i="25"/>
  <c r="CY174" i="25"/>
  <c r="CY133" i="25"/>
  <c r="CZ133" i="25"/>
  <c r="DA111" i="25"/>
  <c r="DD111" i="25" s="1"/>
  <c r="DE111" i="25" s="1"/>
  <c r="DF111" i="25" s="1"/>
  <c r="DH111" i="25"/>
  <c r="DH70" i="25"/>
  <c r="DA70" i="25"/>
  <c r="DD70" i="25" s="1"/>
  <c r="DE70" i="25" s="1"/>
  <c r="DF70" i="25" s="1"/>
  <c r="DA295" i="25"/>
  <c r="DD295" i="25" s="1"/>
  <c r="DE295" i="25" s="1"/>
  <c r="DF295" i="25" s="1"/>
  <c r="DH295" i="25"/>
  <c r="DH44" i="25"/>
  <c r="DA44" i="25"/>
  <c r="DD44" i="25" s="1"/>
  <c r="DE44" i="25" s="1"/>
  <c r="DF44" i="25" s="1"/>
  <c r="DH37" i="25"/>
  <c r="DA37" i="25"/>
  <c r="DD37" i="25" s="1"/>
  <c r="DE37" i="25" s="1"/>
  <c r="DF37" i="25" s="1"/>
  <c r="DH100" i="25"/>
  <c r="DA100" i="25"/>
  <c r="DD100" i="25" s="1"/>
  <c r="DE100" i="25" s="1"/>
  <c r="DF100" i="25" s="1"/>
  <c r="DL186" i="25"/>
  <c r="FD186" i="25"/>
  <c r="DS186" i="25"/>
  <c r="CZ231" i="25"/>
  <c r="CY231" i="25"/>
  <c r="CZ166" i="25"/>
  <c r="CY166" i="25"/>
  <c r="DL204" i="25"/>
  <c r="FD204" i="25"/>
  <c r="DL310" i="25"/>
  <c r="DS310" i="25"/>
  <c r="CY261" i="25"/>
  <c r="CZ261" i="25"/>
  <c r="DL165" i="25"/>
  <c r="DS165" i="25"/>
  <c r="FD165" i="25"/>
  <c r="CY282" i="25"/>
  <c r="CZ282" i="25"/>
  <c r="CZ124" i="25"/>
  <c r="CY124" i="25"/>
  <c r="DL135" i="25"/>
  <c r="FD135" i="25"/>
  <c r="DS135" i="25"/>
  <c r="CY36" i="25"/>
  <c r="CZ36" i="25"/>
  <c r="DS61" i="25"/>
  <c r="DL61" i="25"/>
  <c r="FD61" i="25"/>
  <c r="DL315" i="25"/>
  <c r="DS315" i="25"/>
  <c r="DH262" i="25"/>
  <c r="DA262" i="25"/>
  <c r="DD262" i="25" s="1"/>
  <c r="DE262" i="25" s="1"/>
  <c r="DF262" i="25" s="1"/>
  <c r="DA294" i="25"/>
  <c r="DD294" i="25" s="1"/>
  <c r="DE294" i="25" s="1"/>
  <c r="DF294" i="25" s="1"/>
  <c r="DH294" i="25"/>
  <c r="DA254" i="25"/>
  <c r="DD254" i="25" s="1"/>
  <c r="DE254" i="25" s="1"/>
  <c r="DF254" i="25" s="1"/>
  <c r="DH254" i="25"/>
  <c r="DH308" i="25"/>
  <c r="DA308" i="25"/>
  <c r="DD308" i="25" s="1"/>
  <c r="DE308" i="25" s="1"/>
  <c r="DF308" i="25" s="1"/>
  <c r="DS178" i="25"/>
  <c r="FD178" i="25"/>
  <c r="DL178" i="25"/>
  <c r="DL267" i="25"/>
  <c r="DS267" i="25"/>
  <c r="CY297" i="25"/>
  <c r="CZ297" i="25"/>
  <c r="FD10" i="25"/>
  <c r="DS10" i="25"/>
  <c r="DL10" i="25"/>
  <c r="DA95" i="25"/>
  <c r="DD95" i="25" s="1"/>
  <c r="DE95" i="25" s="1"/>
  <c r="DF95" i="25" s="1"/>
  <c r="DH95" i="25"/>
  <c r="DH23" i="25"/>
  <c r="DA23" i="25"/>
  <c r="DD23" i="25" s="1"/>
  <c r="DE23" i="25" s="1"/>
  <c r="DF23" i="25" s="1"/>
  <c r="DL152" i="25"/>
  <c r="FD152" i="25"/>
  <c r="DS152" i="25"/>
  <c r="DL288" i="25"/>
  <c r="DS288" i="25"/>
  <c r="FD102" i="25"/>
  <c r="DL102" i="25"/>
  <c r="DA266" i="25"/>
  <c r="DD266" i="25" s="1"/>
  <c r="DE266" i="25" s="1"/>
  <c r="DF266" i="25" s="1"/>
  <c r="DH266" i="25"/>
  <c r="CZ157" i="25"/>
  <c r="DB157" i="25" s="1"/>
  <c r="DH157" i="25"/>
  <c r="DA157" i="25"/>
  <c r="DD157" i="25" s="1"/>
  <c r="DE157" i="25" s="1"/>
  <c r="DF157" i="25" s="1"/>
  <c r="CZ91" i="25"/>
  <c r="CY91" i="25"/>
  <c r="DL16" i="25"/>
  <c r="DS16" i="25"/>
  <c r="FD16" i="25"/>
  <c r="CY240" i="25"/>
  <c r="CZ240" i="25"/>
  <c r="DH38" i="25"/>
  <c r="DA38" i="25"/>
  <c r="DD38" i="25" s="1"/>
  <c r="DE38" i="25" s="1"/>
  <c r="DF38" i="25" s="1"/>
  <c r="DA53" i="25"/>
  <c r="DD53" i="25" s="1"/>
  <c r="DE53" i="25" s="1"/>
  <c r="DF53" i="25" s="1"/>
  <c r="DH53" i="25"/>
  <c r="DH29" i="25"/>
  <c r="DA29" i="25"/>
  <c r="DD29" i="25" s="1"/>
  <c r="DE29" i="25" s="1"/>
  <c r="DF29" i="25" s="1"/>
  <c r="DA248" i="25"/>
  <c r="DD248" i="25" s="1"/>
  <c r="DE248" i="25" s="1"/>
  <c r="DF248" i="25" s="1"/>
  <c r="DH248" i="25"/>
  <c r="CY202" i="25"/>
  <c r="CZ202" i="25"/>
  <c r="DL222" i="25"/>
  <c r="DS222" i="25"/>
  <c r="DL94" i="25"/>
  <c r="FD94" i="25"/>
  <c r="CY50" i="25"/>
  <c r="CZ50" i="25"/>
  <c r="CZ111" i="25"/>
  <c r="CY111" i="25"/>
  <c r="DS133" i="25"/>
  <c r="DL133" i="25"/>
  <c r="FD133" i="25"/>
  <c r="DH141" i="25"/>
  <c r="DA141" i="25"/>
  <c r="DD141" i="25" s="1"/>
  <c r="DE141" i="25" s="1"/>
  <c r="DF141" i="25" s="1"/>
  <c r="DL147" i="25"/>
  <c r="DS147" i="25"/>
  <c r="FD198" i="25"/>
  <c r="DL198" i="25"/>
  <c r="FD149" i="25"/>
  <c r="DL149" i="25"/>
  <c r="DS149" i="25"/>
  <c r="DS247" i="25"/>
  <c r="CY193" i="25"/>
  <c r="CZ193" i="25"/>
  <c r="DL209" i="25"/>
  <c r="FD209" i="25"/>
  <c r="CY122" i="25"/>
  <c r="CZ122" i="25"/>
  <c r="CZ142" i="25"/>
  <c r="CY142" i="25"/>
  <c r="CY46" i="25"/>
  <c r="CZ46" i="25"/>
  <c r="DS115" i="25"/>
  <c r="DL115" i="25"/>
  <c r="FD115" i="25"/>
  <c r="CY105" i="25"/>
  <c r="CZ105" i="25"/>
  <c r="FD30" i="25"/>
  <c r="DL30" i="25"/>
  <c r="DS30" i="25"/>
  <c r="CY114" i="25"/>
  <c r="CZ114" i="25"/>
  <c r="CZ23" i="25"/>
  <c r="CY23" i="25"/>
  <c r="DH268" i="25"/>
  <c r="DA268" i="25"/>
  <c r="DD268" i="25" s="1"/>
  <c r="DE268" i="25" s="1"/>
  <c r="DF268" i="25" s="1"/>
  <c r="DH43" i="25"/>
  <c r="DA43" i="25"/>
  <c r="DD43" i="25" s="1"/>
  <c r="DE43" i="25" s="1"/>
  <c r="DF43" i="25" s="1"/>
  <c r="DH134" i="25"/>
  <c r="DA134" i="25"/>
  <c r="DD134" i="25" s="1"/>
  <c r="DE134" i="25" s="1"/>
  <c r="DF134" i="25" s="1"/>
  <c r="DA316" i="25"/>
  <c r="DD316" i="25" s="1"/>
  <c r="DE316" i="25" s="1"/>
  <c r="DF316" i="25" s="1"/>
  <c r="DH316" i="25"/>
  <c r="CZ251" i="25"/>
  <c r="CY251" i="25"/>
  <c r="CZ95" i="25"/>
  <c r="CY95" i="25"/>
  <c r="FD92" i="25"/>
  <c r="DL92" i="25"/>
  <c r="DL28" i="25"/>
  <c r="DS28" i="25"/>
  <c r="CZ9" i="25"/>
  <c r="CY9" i="25"/>
  <c r="DS29" i="25"/>
  <c r="FD29" i="25"/>
  <c r="DL29" i="25"/>
  <c r="CY24" i="25"/>
  <c r="CZ24" i="25"/>
  <c r="CZ269" i="25"/>
  <c r="CY269" i="25"/>
  <c r="DA208" i="25"/>
  <c r="DD208" i="25" s="1"/>
  <c r="DE208" i="25" s="1"/>
  <c r="DF208" i="25" s="1"/>
  <c r="DH208" i="25"/>
  <c r="DH170" i="25"/>
  <c r="DA170" i="25"/>
  <c r="DD170" i="25" s="1"/>
  <c r="DE170" i="25" s="1"/>
  <c r="DF170" i="25" s="1"/>
  <c r="DA224" i="25"/>
  <c r="DD224" i="25" s="1"/>
  <c r="DE224" i="25" s="1"/>
  <c r="DF224" i="25" s="1"/>
  <c r="DH224" i="25"/>
  <c r="DH90" i="25"/>
  <c r="DA90" i="25"/>
  <c r="DD90" i="25" s="1"/>
  <c r="DE90" i="25" s="1"/>
  <c r="DF90" i="25" s="1"/>
  <c r="CY307" i="25"/>
  <c r="CZ307" i="25"/>
  <c r="CZ188" i="25"/>
  <c r="CY188" i="25"/>
  <c r="CY14" i="25"/>
  <c r="CZ14" i="25"/>
  <c r="CY37" i="25"/>
  <c r="CZ37" i="25"/>
  <c r="DS128" i="25"/>
  <c r="DL128" i="25"/>
  <c r="FD128" i="25"/>
  <c r="DS64" i="25"/>
  <c r="DL64" i="25"/>
  <c r="FD64" i="25"/>
  <c r="CY68" i="25"/>
  <c r="CZ68" i="25"/>
  <c r="DS305" i="25"/>
  <c r="DL305" i="25"/>
  <c r="DA178" i="25"/>
  <c r="DD178" i="25" s="1"/>
  <c r="DE178" i="25" s="1"/>
  <c r="DF178" i="25" s="1"/>
  <c r="DH178" i="25"/>
  <c r="DH123" i="25"/>
  <c r="DA123" i="25"/>
  <c r="DD123" i="25" s="1"/>
  <c r="DE123" i="25" s="1"/>
  <c r="DF123" i="25" s="1"/>
  <c r="DH54" i="25"/>
  <c r="DA54" i="25"/>
  <c r="DD54" i="25" s="1"/>
  <c r="DE54" i="25" s="1"/>
  <c r="DF54" i="25" s="1"/>
  <c r="DA296" i="25"/>
  <c r="DD296" i="25" s="1"/>
  <c r="DE296" i="25" s="1"/>
  <c r="DF296" i="25" s="1"/>
  <c r="DH296" i="25"/>
  <c r="DA189" i="25"/>
  <c r="DD189" i="25" s="1"/>
  <c r="DE189" i="25" s="1"/>
  <c r="DF189" i="25" s="1"/>
  <c r="DH189" i="25"/>
  <c r="DH225" i="25"/>
  <c r="DA225" i="25"/>
  <c r="DD225" i="25" s="1"/>
  <c r="DE225" i="25" s="1"/>
  <c r="DF225" i="25" s="1"/>
  <c r="DS306" i="25"/>
  <c r="DL306" i="25"/>
  <c r="CY235" i="25"/>
  <c r="CZ235" i="25"/>
  <c r="CY194" i="25"/>
  <c r="CZ194" i="25"/>
  <c r="DS180" i="25"/>
  <c r="FD180" i="25"/>
  <c r="DL180" i="25"/>
  <c r="CY237" i="25"/>
  <c r="CZ237" i="25"/>
  <c r="DL238" i="25"/>
  <c r="DS238" i="25"/>
  <c r="CY148" i="25"/>
  <c r="CZ148" i="25"/>
  <c r="DL85" i="25"/>
  <c r="FD85" i="25"/>
  <c r="DS85" i="25"/>
  <c r="DS125" i="25"/>
  <c r="FD125" i="25"/>
  <c r="DL125" i="25"/>
  <c r="CY33" i="25"/>
  <c r="CZ33" i="25"/>
  <c r="DS119" i="25"/>
  <c r="FD119" i="25"/>
  <c r="DL119" i="25"/>
  <c r="CY117" i="25"/>
  <c r="CZ117" i="25"/>
  <c r="CY258" i="25"/>
  <c r="CZ258" i="25"/>
  <c r="CY41" i="25"/>
  <c r="CZ41" i="25"/>
  <c r="CY141" i="25"/>
  <c r="CZ141" i="25"/>
  <c r="CZ98" i="25"/>
  <c r="CY98" i="25"/>
  <c r="DA11" i="25"/>
  <c r="DD11" i="25" s="1"/>
  <c r="DE11" i="25" s="1"/>
  <c r="DF11" i="25" s="1"/>
  <c r="DH11" i="25"/>
  <c r="DA256" i="25"/>
  <c r="DD256" i="25" s="1"/>
  <c r="DE256" i="25" s="1"/>
  <c r="DF256" i="25" s="1"/>
  <c r="DH256" i="25"/>
  <c r="DH279" i="25"/>
  <c r="DA279" i="25"/>
  <c r="DD279" i="25" s="1"/>
  <c r="DE279" i="25" s="1"/>
  <c r="DF279" i="25" s="1"/>
  <c r="DA6" i="25"/>
  <c r="DD6" i="25" s="1"/>
  <c r="DE6" i="25" s="1"/>
  <c r="DF6" i="25" s="1"/>
  <c r="DM6" i="25" s="1"/>
  <c r="DH6" i="25"/>
  <c r="CZ6" i="25"/>
  <c r="DB6" i="25" s="1"/>
  <c r="DH121" i="25"/>
  <c r="DA121" i="25"/>
  <c r="DD121" i="25" s="1"/>
  <c r="DE121" i="25" s="1"/>
  <c r="DF121" i="25" s="1"/>
  <c r="DH305" i="25"/>
  <c r="DA305" i="25"/>
  <c r="DD305" i="25" s="1"/>
  <c r="DE305" i="25" s="1"/>
  <c r="DF305" i="25" s="1"/>
  <c r="DA307" i="25"/>
  <c r="DD307" i="25" s="1"/>
  <c r="DE307" i="25" s="1"/>
  <c r="DF307" i="25" s="1"/>
  <c r="DH307" i="25"/>
  <c r="DL247" i="25"/>
  <c r="DL172" i="25"/>
  <c r="DS172" i="25"/>
  <c r="FD172" i="25"/>
  <c r="CZ209" i="25"/>
  <c r="CY209" i="25"/>
  <c r="CY78" i="25"/>
  <c r="CZ78" i="25"/>
  <c r="CZ257" i="25"/>
  <c r="CY257" i="25"/>
  <c r="DS46" i="25"/>
  <c r="DL46" i="25"/>
  <c r="FD46" i="25"/>
  <c r="DL104" i="25"/>
  <c r="FD104" i="25"/>
  <c r="CY39" i="25"/>
  <c r="CZ39" i="25"/>
  <c r="DA201" i="25"/>
  <c r="DD201" i="25" s="1"/>
  <c r="DE201" i="25" s="1"/>
  <c r="DF201" i="25" s="1"/>
  <c r="DH201" i="25"/>
  <c r="DA131" i="25"/>
  <c r="DD131" i="25" s="1"/>
  <c r="DE131" i="25" s="1"/>
  <c r="DF131" i="25" s="1"/>
  <c r="DH131" i="25"/>
  <c r="DH119" i="25"/>
  <c r="DA119" i="25"/>
  <c r="DD119" i="25" s="1"/>
  <c r="DE119" i="25" s="1"/>
  <c r="DF119" i="25" s="1"/>
  <c r="DH89" i="25"/>
  <c r="DA89" i="25"/>
  <c r="DD89" i="25" s="1"/>
  <c r="DE89" i="25" s="1"/>
  <c r="DF89" i="25" s="1"/>
  <c r="DH153" i="25"/>
  <c r="DA153" i="25"/>
  <c r="DD153" i="25" s="1"/>
  <c r="DE153" i="25" s="1"/>
  <c r="DF153" i="25" s="1"/>
  <c r="CY197" i="25"/>
  <c r="CZ197" i="25"/>
  <c r="CZ309" i="25"/>
  <c r="CY309" i="25"/>
  <c r="DS251" i="25"/>
  <c r="DL251" i="25"/>
  <c r="DL314" i="25"/>
  <c r="DS314" i="25"/>
  <c r="CY140" i="25"/>
  <c r="CZ140" i="25"/>
  <c r="CY28" i="25"/>
  <c r="CZ28" i="25"/>
  <c r="DS42" i="25"/>
  <c r="FD42" i="25"/>
  <c r="DL42" i="25"/>
  <c r="DL225" i="25"/>
  <c r="DA128" i="25"/>
  <c r="DD128" i="25" s="1"/>
  <c r="DE128" i="25" s="1"/>
  <c r="DF128" i="25" s="1"/>
  <c r="DH128" i="25"/>
  <c r="DH46" i="25"/>
  <c r="DA46" i="25"/>
  <c r="DD46" i="25" s="1"/>
  <c r="DE46" i="25" s="1"/>
  <c r="DF46" i="25" s="1"/>
  <c r="DH135" i="25"/>
  <c r="DA135" i="25"/>
  <c r="DD135" i="25" s="1"/>
  <c r="DE135" i="25" s="1"/>
  <c r="DF135" i="25" s="1"/>
  <c r="DH263" i="25"/>
  <c r="DA263" i="25"/>
  <c r="DD263" i="25" s="1"/>
  <c r="DE263" i="25" s="1"/>
  <c r="DF263" i="25" s="1"/>
  <c r="DA310" i="25"/>
  <c r="DD310" i="25" s="1"/>
  <c r="DE310" i="25" s="1"/>
  <c r="DF310" i="25" s="1"/>
  <c r="DH310" i="25"/>
  <c r="DH36" i="25"/>
  <c r="DA36" i="25"/>
  <c r="DD36" i="25" s="1"/>
  <c r="DE36" i="25" s="1"/>
  <c r="DF36" i="25" s="1"/>
  <c r="DH152" i="25"/>
  <c r="DA152" i="25"/>
  <c r="DD152" i="25" s="1"/>
  <c r="DE152" i="25" s="1"/>
  <c r="DF152" i="25" s="1"/>
  <c r="CZ250" i="25"/>
  <c r="CY250" i="25"/>
  <c r="CY156" i="25"/>
  <c r="CZ156" i="25"/>
  <c r="CY280" i="25"/>
  <c r="CZ280" i="25"/>
  <c r="FD188" i="25"/>
  <c r="DS188" i="25"/>
  <c r="DL188" i="25"/>
  <c r="CY285" i="25"/>
  <c r="CZ285" i="25"/>
  <c r="CZ233" i="25"/>
  <c r="CY233" i="25"/>
  <c r="DL153" i="25"/>
  <c r="FD153" i="25"/>
  <c r="DS153" i="25"/>
  <c r="CY151" i="25"/>
  <c r="CZ151" i="25"/>
  <c r="DL86" i="25"/>
  <c r="DS86" i="25"/>
  <c r="FD86" i="25"/>
  <c r="CZ34" i="25"/>
  <c r="CY34" i="25"/>
  <c r="CY87" i="25"/>
  <c r="CZ87" i="25"/>
  <c r="DS277" i="25"/>
  <c r="DL277" i="25"/>
  <c r="CY90" i="25"/>
  <c r="CZ90" i="25"/>
  <c r="CY266" i="25"/>
  <c r="CZ266" i="25"/>
  <c r="CZ27" i="25"/>
  <c r="CY27" i="25"/>
  <c r="DL37" i="25"/>
  <c r="DS37" i="25"/>
  <c r="FD37" i="25"/>
  <c r="DH250" i="25"/>
  <c r="DA250" i="25"/>
  <c r="DD250" i="25" s="1"/>
  <c r="DE250" i="25" s="1"/>
  <c r="DF250" i="25" s="1"/>
  <c r="CZ179" i="25"/>
  <c r="CY179" i="25"/>
  <c r="DL232" i="25"/>
  <c r="DS232" i="25"/>
  <c r="CZ305" i="25"/>
  <c r="CY305" i="25"/>
  <c r="DA49" i="25"/>
  <c r="DD49" i="25" s="1"/>
  <c r="DE49" i="25" s="1"/>
  <c r="DF49" i="25" s="1"/>
  <c r="DH49" i="25"/>
  <c r="DH253" i="25"/>
  <c r="DA253" i="25"/>
  <c r="DD253" i="25" s="1"/>
  <c r="DE253" i="25" s="1"/>
  <c r="DF253" i="25" s="1"/>
  <c r="DA285" i="25"/>
  <c r="DD285" i="25" s="1"/>
  <c r="DE285" i="25" s="1"/>
  <c r="DF285" i="25" s="1"/>
  <c r="DH285" i="25"/>
  <c r="DH33" i="25"/>
  <c r="DA33" i="25"/>
  <c r="DD33" i="25" s="1"/>
  <c r="DE33" i="25" s="1"/>
  <c r="DF33" i="25" s="1"/>
  <c r="DH12" i="25"/>
  <c r="DA12" i="25"/>
  <c r="DD12" i="25" s="1"/>
  <c r="DE12" i="25" s="1"/>
  <c r="DF12" i="25" s="1"/>
  <c r="DL294" i="25"/>
  <c r="DS294" i="25"/>
  <c r="DL237" i="25"/>
  <c r="DS237" i="25"/>
  <c r="CY143" i="25"/>
  <c r="CZ143" i="25"/>
  <c r="CY79" i="25"/>
  <c r="CZ79" i="25"/>
  <c r="CY74" i="25"/>
  <c r="CZ74" i="25"/>
  <c r="DL262" i="25"/>
  <c r="DS262" i="25"/>
  <c r="DS22" i="25"/>
  <c r="DL22" i="25"/>
  <c r="FD22" i="25"/>
  <c r="DL15" i="25"/>
  <c r="FD15" i="25"/>
  <c r="DS15" i="25"/>
  <c r="DL8" i="25"/>
  <c r="FD8" i="25"/>
  <c r="DS8" i="25"/>
  <c r="CY187" i="25"/>
  <c r="CZ187" i="25"/>
  <c r="CZ301" i="25"/>
  <c r="CY301" i="25"/>
  <c r="DL296" i="25"/>
  <c r="DS296" i="25"/>
  <c r="DL229" i="25"/>
  <c r="DS229" i="25"/>
  <c r="DL159" i="25"/>
  <c r="DS159" i="25"/>
  <c r="FD159" i="25"/>
  <c r="DS293" i="25"/>
  <c r="DL52" i="25"/>
  <c r="DS52" i="25"/>
  <c r="FD52" i="25"/>
  <c r="FD75" i="25"/>
  <c r="DS75" i="25"/>
  <c r="DL75" i="25"/>
  <c r="DS258" i="25"/>
  <c r="DL258" i="25"/>
  <c r="DL111" i="25"/>
  <c r="DS111" i="25"/>
  <c r="FD111" i="25"/>
  <c r="DH30" i="25"/>
  <c r="DA30" i="25"/>
  <c r="DD30" i="25" s="1"/>
  <c r="DE30" i="25" s="1"/>
  <c r="DF30" i="25" s="1"/>
  <c r="CZ137" i="25"/>
  <c r="CY137" i="25"/>
  <c r="DA130" i="25"/>
  <c r="DD130" i="25" s="1"/>
  <c r="DE130" i="25" s="1"/>
  <c r="DF130" i="25" s="1"/>
  <c r="DH130" i="25"/>
  <c r="DH149" i="25"/>
  <c r="DA149" i="25"/>
  <c r="DD149" i="25" s="1"/>
  <c r="DE149" i="25" s="1"/>
  <c r="DF149" i="25" s="1"/>
  <c r="CZ66" i="25"/>
  <c r="DB66" i="25" s="1"/>
  <c r="DA66" i="25"/>
  <c r="DD66" i="25" s="1"/>
  <c r="DE66" i="25" s="1"/>
  <c r="DF66" i="25" s="1"/>
  <c r="DH66" i="25"/>
  <c r="DH312" i="25"/>
  <c r="DA312" i="25"/>
  <c r="DD312" i="25" s="1"/>
  <c r="DE312" i="25" s="1"/>
  <c r="DF312" i="25" s="1"/>
  <c r="DH86" i="25"/>
  <c r="DA86" i="25"/>
  <c r="DD86" i="25" s="1"/>
  <c r="DE86" i="25" s="1"/>
  <c r="DF86" i="25" s="1"/>
  <c r="DH301" i="25"/>
  <c r="DA301" i="25"/>
  <c r="DD301" i="25" s="1"/>
  <c r="DE301" i="25" s="1"/>
  <c r="DF301" i="25" s="1"/>
  <c r="CY190" i="25"/>
  <c r="CZ190" i="25"/>
  <c r="CY308" i="25"/>
  <c r="CZ308" i="25"/>
  <c r="FD193" i="25"/>
  <c r="DL193" i="25"/>
  <c r="DL257" i="25"/>
  <c r="DS257" i="25"/>
  <c r="DS122" i="25"/>
  <c r="FD122" i="25"/>
  <c r="DL122" i="25"/>
  <c r="CZ93" i="25"/>
  <c r="CY93" i="25"/>
  <c r="CY115" i="25"/>
  <c r="CZ115" i="25"/>
  <c r="CY13" i="25"/>
  <c r="CZ13" i="25"/>
  <c r="FD114" i="25"/>
  <c r="DS114" i="25"/>
  <c r="DL114" i="25"/>
  <c r="DS184" i="25"/>
  <c r="DL184" i="25"/>
  <c r="FD184" i="25"/>
  <c r="CY302" i="25"/>
  <c r="CZ302" i="25"/>
  <c r="CY73" i="25"/>
  <c r="CZ73" i="25"/>
  <c r="CY49" i="25"/>
  <c r="CZ49" i="25"/>
  <c r="DH271" i="25"/>
  <c r="DA271" i="25"/>
  <c r="DD271" i="25" s="1"/>
  <c r="DE271" i="25" s="1"/>
  <c r="DF271" i="25" s="1"/>
  <c r="DH22" i="25"/>
  <c r="DA22" i="25"/>
  <c r="DD22" i="25" s="1"/>
  <c r="DE22" i="25" s="1"/>
  <c r="DF22" i="25" s="1"/>
  <c r="DH72" i="25"/>
  <c r="DA72" i="25"/>
  <c r="DD72" i="25" s="1"/>
  <c r="DE72" i="25" s="1"/>
  <c r="DF72" i="25" s="1"/>
  <c r="DA193" i="25"/>
  <c r="DD193" i="25" s="1"/>
  <c r="DE193" i="25" s="1"/>
  <c r="DF193" i="25" s="1"/>
  <c r="DH193" i="25"/>
  <c r="DA240" i="25"/>
  <c r="DD240" i="25" s="1"/>
  <c r="DE240" i="25" s="1"/>
  <c r="DF240" i="25" s="1"/>
  <c r="DH240" i="25"/>
  <c r="DH150" i="25"/>
  <c r="DA150" i="25"/>
  <c r="DD150" i="25" s="1"/>
  <c r="DE150" i="25" s="1"/>
  <c r="DF150" i="25" s="1"/>
  <c r="CZ256" i="25"/>
  <c r="CY256" i="25"/>
  <c r="FD197" i="25"/>
  <c r="DL197" i="25"/>
  <c r="DL309" i="25"/>
  <c r="DS309" i="25"/>
  <c r="FD182" i="25"/>
  <c r="DL182" i="25"/>
  <c r="DS182" i="25"/>
  <c r="CZ239" i="25"/>
  <c r="CY239" i="25"/>
  <c r="CY171" i="25"/>
  <c r="CZ171" i="25"/>
  <c r="DS173" i="25"/>
  <c r="FD173" i="25"/>
  <c r="DL173" i="25"/>
  <c r="DS69" i="25"/>
  <c r="FD69" i="25"/>
  <c r="DL69" i="25"/>
  <c r="CZ139" i="25"/>
  <c r="CY139" i="25"/>
  <c r="DL95" i="25"/>
  <c r="CY92" i="25"/>
  <c r="CZ92" i="25"/>
  <c r="CY81" i="25"/>
  <c r="CZ81" i="25"/>
  <c r="DA96" i="25"/>
  <c r="DD96" i="25" s="1"/>
  <c r="DE96" i="25" s="1"/>
  <c r="DF96" i="25" s="1"/>
  <c r="DH96" i="25"/>
  <c r="DA127" i="25"/>
  <c r="DD127" i="25" s="1"/>
  <c r="DE127" i="25" s="1"/>
  <c r="DF127" i="25" s="1"/>
  <c r="DH127" i="25"/>
  <c r="CZ154" i="25"/>
  <c r="DB154" i="25" s="1"/>
  <c r="DH154" i="25"/>
  <c r="DA154" i="25"/>
  <c r="DD154" i="25" s="1"/>
  <c r="DE154" i="25" s="1"/>
  <c r="DF154" i="25" s="1"/>
  <c r="DL250" i="25"/>
  <c r="DS250" i="25"/>
  <c r="FD195" i="25"/>
  <c r="DL195" i="25"/>
  <c r="DL307" i="25"/>
  <c r="DS307" i="25"/>
  <c r="CZ243" i="25"/>
  <c r="CY243" i="25"/>
  <c r="DS285" i="25"/>
  <c r="DL285" i="25"/>
  <c r="DL151" i="25"/>
  <c r="DS151" i="25"/>
  <c r="FD151" i="25"/>
  <c r="CZ130" i="25"/>
  <c r="CY130" i="25"/>
  <c r="CY65" i="25"/>
  <c r="CZ65" i="25"/>
  <c r="CY277" i="25"/>
  <c r="CZ277" i="25"/>
  <c r="DL90" i="25"/>
  <c r="FD90" i="25"/>
  <c r="DS90" i="25"/>
  <c r="CZ38" i="25"/>
  <c r="CY38" i="25"/>
  <c r="DH145" i="25"/>
  <c r="DA145" i="25"/>
  <c r="DD145" i="25" s="1"/>
  <c r="DE145" i="25" s="1"/>
  <c r="DF145" i="25" s="1"/>
  <c r="DL154" i="25"/>
  <c r="DS154" i="25"/>
  <c r="DH258" i="25"/>
  <c r="DA258" i="25"/>
  <c r="DD258" i="25" s="1"/>
  <c r="DE258" i="25" s="1"/>
  <c r="DF258" i="25" s="1"/>
  <c r="DH125" i="25"/>
  <c r="DA125" i="25"/>
  <c r="DD125" i="25" s="1"/>
  <c r="DE125" i="25" s="1"/>
  <c r="DF125" i="25" s="1"/>
  <c r="DA197" i="25"/>
  <c r="DD197" i="25" s="1"/>
  <c r="DE197" i="25" s="1"/>
  <c r="DF197" i="25" s="1"/>
  <c r="DH197" i="25"/>
  <c r="CY180" i="25"/>
  <c r="CZ180" i="25"/>
  <c r="CZ294" i="25"/>
  <c r="CY294" i="25"/>
  <c r="DL161" i="25"/>
  <c r="DS161" i="25"/>
  <c r="FD161" i="25"/>
  <c r="DS148" i="25"/>
  <c r="DL148" i="25"/>
  <c r="FD148" i="25"/>
  <c r="CZ129" i="25"/>
  <c r="CY129" i="25"/>
  <c r="CZ125" i="25"/>
  <c r="CY125" i="25"/>
  <c r="CY119" i="25"/>
  <c r="CZ119" i="25"/>
  <c r="CZ43" i="25"/>
  <c r="CY43" i="25"/>
  <c r="DL157" i="25"/>
  <c r="DS157" i="25"/>
  <c r="FD157" i="25"/>
  <c r="CZ208" i="25"/>
  <c r="CY208" i="25"/>
  <c r="CY8" i="25"/>
  <c r="CZ8" i="25"/>
  <c r="CY20" i="25"/>
  <c r="CZ20" i="25"/>
  <c r="CZ219" i="25"/>
  <c r="CY219" i="25"/>
  <c r="DH26" i="25"/>
  <c r="DA26" i="25"/>
  <c r="DD26" i="25" s="1"/>
  <c r="DE26" i="25" s="1"/>
  <c r="DF26" i="25" s="1"/>
  <c r="DH282" i="25"/>
  <c r="DA282" i="25"/>
  <c r="DD282" i="25" s="1"/>
  <c r="DE282" i="25" s="1"/>
  <c r="DF282" i="25" s="1"/>
  <c r="DH290" i="25"/>
  <c r="DA290" i="25"/>
  <c r="DD290" i="25" s="1"/>
  <c r="DE290" i="25" s="1"/>
  <c r="DF290" i="25" s="1"/>
  <c r="CZ51" i="25"/>
  <c r="DB51" i="25" s="1"/>
  <c r="DA51" i="25"/>
  <c r="DD51" i="25" s="1"/>
  <c r="DE51" i="25" s="1"/>
  <c r="DF51" i="25" s="1"/>
  <c r="DH51" i="25"/>
  <c r="DH85" i="25"/>
  <c r="DA85" i="25"/>
  <c r="DD85" i="25" s="1"/>
  <c r="DE85" i="25" s="1"/>
  <c r="DF85" i="25" s="1"/>
  <c r="DH93" i="25"/>
  <c r="DA93" i="25"/>
  <c r="DD93" i="25" s="1"/>
  <c r="DE93" i="25" s="1"/>
  <c r="DF93" i="25" s="1"/>
  <c r="DL263" i="25"/>
  <c r="DS263" i="25"/>
  <c r="DL255" i="25"/>
  <c r="DL205" i="25"/>
  <c r="FD205" i="25"/>
  <c r="DS260" i="25"/>
  <c r="DL260" i="25"/>
  <c r="DL187" i="25"/>
  <c r="FD187" i="25"/>
  <c r="DS187" i="25"/>
  <c r="CY191" i="25"/>
  <c r="CZ191" i="25"/>
  <c r="CY296" i="25"/>
  <c r="CZ296" i="25"/>
  <c r="CZ293" i="25"/>
  <c r="CY293" i="25"/>
  <c r="CY123" i="25"/>
  <c r="CZ123" i="25"/>
  <c r="DL174" i="25"/>
  <c r="DS174" i="25"/>
  <c r="FD174" i="25"/>
  <c r="DL51" i="25"/>
  <c r="DS51" i="25"/>
  <c r="CZ75" i="25"/>
  <c r="CY75" i="25"/>
  <c r="DS141" i="25"/>
  <c r="FD141" i="25"/>
  <c r="DL141" i="25"/>
  <c r="CY77" i="25"/>
  <c r="CZ77" i="25"/>
  <c r="DL19" i="25"/>
  <c r="DS19" i="25"/>
  <c r="CY230" i="25"/>
  <c r="CZ230" i="25"/>
  <c r="DH247" i="25"/>
  <c r="DA247" i="25"/>
  <c r="DD247" i="25" s="1"/>
  <c r="DE247" i="25" s="1"/>
  <c r="DF247" i="25" s="1"/>
  <c r="DH18" i="25"/>
  <c r="DA18" i="25"/>
  <c r="DD18" i="25" s="1"/>
  <c r="DE18" i="25" s="1"/>
  <c r="DF18" i="25" s="1"/>
  <c r="DA68" i="25"/>
  <c r="DD68" i="25" s="1"/>
  <c r="DE68" i="25" s="1"/>
  <c r="DF68" i="25" s="1"/>
  <c r="DH68" i="25"/>
  <c r="DA298" i="25"/>
  <c r="DD298" i="25" s="1"/>
  <c r="DE298" i="25" s="1"/>
  <c r="DF298" i="25" s="1"/>
  <c r="DH298" i="25"/>
  <c r="CZ270" i="25"/>
  <c r="DB270" i="25" s="1"/>
  <c r="DA270" i="25"/>
  <c r="DD270" i="25" s="1"/>
  <c r="DE270" i="25" s="1"/>
  <c r="DF270" i="25" s="1"/>
  <c r="DH270" i="25"/>
  <c r="CY198" i="25"/>
  <c r="CZ198" i="25"/>
  <c r="CY246" i="25"/>
  <c r="CZ246" i="25"/>
  <c r="CZ292" i="25"/>
  <c r="CY292" i="25"/>
  <c r="DL308" i="25"/>
  <c r="DS308" i="25"/>
  <c r="DL78" i="25"/>
  <c r="FD78" i="25"/>
  <c r="DS78" i="25"/>
  <c r="DL142" i="25"/>
  <c r="DS142" i="25"/>
  <c r="FD142" i="25"/>
  <c r="CY45" i="25"/>
  <c r="CZ45" i="25"/>
  <c r="FD105" i="25"/>
  <c r="DL105" i="25"/>
  <c r="CZ30" i="25"/>
  <c r="CY30" i="25"/>
  <c r="DS13" i="25"/>
  <c r="CZ21" i="25"/>
  <c r="CY21" i="25"/>
  <c r="DH160" i="25"/>
  <c r="DA160" i="25"/>
  <c r="DD160" i="25" s="1"/>
  <c r="DE160" i="25" s="1"/>
  <c r="DF160" i="25" s="1"/>
  <c r="DL289" i="25"/>
  <c r="DS289" i="25"/>
  <c r="DL302" i="25"/>
  <c r="DS302" i="25"/>
  <c r="DA235" i="25"/>
  <c r="DD235" i="25" s="1"/>
  <c r="DE235" i="25" s="1"/>
  <c r="DF235" i="25" s="1"/>
  <c r="DH235" i="25"/>
  <c r="CZ300" i="25"/>
  <c r="DB300" i="25" s="1"/>
  <c r="DH300" i="25"/>
  <c r="DA300" i="25"/>
  <c r="DD300" i="25" s="1"/>
  <c r="DE300" i="25" s="1"/>
  <c r="DF300" i="25" s="1"/>
  <c r="DH39" i="25"/>
  <c r="DA39" i="25"/>
  <c r="DD39" i="25" s="1"/>
  <c r="DE39" i="25" s="1"/>
  <c r="DF39" i="25" s="1"/>
  <c r="DS256" i="25"/>
  <c r="DL256" i="25"/>
  <c r="DL239" i="25"/>
  <c r="DS239" i="25"/>
  <c r="DS171" i="25"/>
  <c r="DL171" i="25"/>
  <c r="FD171" i="25"/>
  <c r="CZ173" i="25"/>
  <c r="CY173" i="25"/>
  <c r="DL227" i="25"/>
  <c r="DS227" i="25"/>
  <c r="CY121" i="25"/>
  <c r="CZ121" i="25"/>
  <c r="CY42" i="25"/>
  <c r="CZ42" i="25"/>
  <c r="FD28" i="25"/>
  <c r="FD44" i="25"/>
  <c r="DA185" i="25"/>
  <c r="DD185" i="25" s="1"/>
  <c r="DE185" i="25" s="1"/>
  <c r="DF185" i="25" s="1"/>
  <c r="DH185" i="25"/>
  <c r="DH293" i="25"/>
  <c r="DA293" i="25"/>
  <c r="DD293" i="25" s="1"/>
  <c r="DE293" i="25" s="1"/>
  <c r="DF293" i="25" s="1"/>
  <c r="DH163" i="25"/>
  <c r="DA163" i="25"/>
  <c r="DD163" i="25" s="1"/>
  <c r="DE163" i="25" s="1"/>
  <c r="DF163" i="25" s="1"/>
  <c r="CY195" i="25"/>
  <c r="CZ195" i="25"/>
  <c r="CZ244" i="25"/>
  <c r="CY244" i="25"/>
  <c r="DS243" i="25"/>
  <c r="DL280" i="25"/>
  <c r="DS280" i="25"/>
  <c r="FD65" i="25"/>
  <c r="DL65" i="25"/>
  <c r="DS65" i="25"/>
  <c r="FD87" i="25"/>
  <c r="DL87" i="25"/>
  <c r="DL55" i="25"/>
  <c r="DS55" i="25"/>
  <c r="DL82" i="25"/>
  <c r="FD82" i="25"/>
  <c r="DS82" i="25"/>
  <c r="DL27" i="25"/>
  <c r="DS27" i="25"/>
  <c r="DS175" i="25"/>
  <c r="DL175" i="25"/>
  <c r="FD175" i="25"/>
  <c r="DS17" i="25"/>
  <c r="DA177" i="25"/>
  <c r="DD177" i="25" s="1"/>
  <c r="DE177" i="25" s="1"/>
  <c r="DF177" i="25" s="1"/>
  <c r="DH177" i="25"/>
  <c r="DH55" i="25"/>
  <c r="DA55" i="25"/>
  <c r="DD55" i="25" s="1"/>
  <c r="DE55" i="25" s="1"/>
  <c r="DF55" i="25" s="1"/>
  <c r="DL68" i="25"/>
  <c r="FD68" i="25"/>
  <c r="DS68" i="25"/>
  <c r="DH182" i="25"/>
  <c r="DA182" i="25"/>
  <c r="DD182" i="25" s="1"/>
  <c r="DE182" i="25" s="1"/>
  <c r="DF182" i="25" s="1"/>
  <c r="DH133" i="25"/>
  <c r="DA133" i="25"/>
  <c r="DD133" i="25" s="1"/>
  <c r="DE133" i="25" s="1"/>
  <c r="DF133" i="25" s="1"/>
  <c r="DH273" i="25"/>
  <c r="DA273" i="25"/>
  <c r="DD273" i="25" s="1"/>
  <c r="DE273" i="25" s="1"/>
  <c r="DF273" i="25" s="1"/>
  <c r="DS225" i="25"/>
  <c r="CZ63" i="25"/>
  <c r="DB63" i="25" s="1"/>
  <c r="DH63" i="25"/>
  <c r="DA63" i="25"/>
  <c r="DD63" i="25" s="1"/>
  <c r="DE63" i="25" s="1"/>
  <c r="DF63" i="25" s="1"/>
  <c r="DL226" i="25"/>
  <c r="DS226" i="25"/>
  <c r="FD143" i="25"/>
  <c r="DS143" i="25"/>
  <c r="DL143" i="25"/>
  <c r="DL89" i="25"/>
  <c r="DS89" i="25"/>
  <c r="FD89" i="25"/>
  <c r="CY59" i="25"/>
  <c r="CZ59" i="25"/>
  <c r="DL208" i="25"/>
  <c r="FD208" i="25"/>
  <c r="FD20" i="25"/>
  <c r="DL20" i="25"/>
  <c r="DS20" i="25"/>
  <c r="DA237" i="25"/>
  <c r="DD237" i="25" s="1"/>
  <c r="DE237" i="25" s="1"/>
  <c r="DF237" i="25" s="1"/>
  <c r="DH237" i="25"/>
  <c r="DH188" i="25"/>
  <c r="DA188" i="25"/>
  <c r="DD188" i="25" s="1"/>
  <c r="DE188" i="25" s="1"/>
  <c r="DF188" i="25" s="1"/>
  <c r="DH252" i="25"/>
  <c r="DA252" i="25"/>
  <c r="DD252" i="25" s="1"/>
  <c r="DE252" i="25" s="1"/>
  <c r="DF252" i="25" s="1"/>
  <c r="DH24" i="25"/>
  <c r="DA24" i="25"/>
  <c r="DD24" i="25" s="1"/>
  <c r="DE24" i="25" s="1"/>
  <c r="DF24" i="25" s="1"/>
  <c r="CY263" i="25"/>
  <c r="CZ263" i="25"/>
  <c r="DL207" i="25"/>
  <c r="FD207" i="25"/>
  <c r="CY255" i="25"/>
  <c r="CZ255" i="25"/>
  <c r="CZ260" i="25"/>
  <c r="CY260" i="25"/>
  <c r="DL301" i="25"/>
  <c r="DS301" i="25"/>
  <c r="CZ224" i="25"/>
  <c r="CY224" i="25"/>
  <c r="FD118" i="25"/>
  <c r="DS118" i="25"/>
  <c r="DL118" i="25"/>
  <c r="CZ94" i="25"/>
  <c r="CY94" i="25"/>
  <c r="CY72" i="25"/>
  <c r="CZ72" i="25"/>
  <c r="DH227" i="25"/>
  <c r="DA227" i="25"/>
  <c r="DD227" i="25" s="1"/>
  <c r="DE227" i="25" s="1"/>
  <c r="DF227" i="25" s="1"/>
  <c r="CY228" i="25"/>
  <c r="CZ228" i="25"/>
  <c r="DL230" i="25"/>
  <c r="DS230" i="25"/>
  <c r="DH209" i="25"/>
  <c r="DA209" i="25"/>
  <c r="DD209" i="25" s="1"/>
  <c r="DE209" i="25" s="1"/>
  <c r="DF209" i="25" s="1"/>
  <c r="DH184" i="25"/>
  <c r="DA184" i="25"/>
  <c r="DD184" i="25" s="1"/>
  <c r="DE184" i="25" s="1"/>
  <c r="DF184" i="25" s="1"/>
  <c r="DH148" i="25"/>
  <c r="DA148" i="25"/>
  <c r="DD148" i="25" s="1"/>
  <c r="DE148" i="25" s="1"/>
  <c r="DF148" i="25" s="1"/>
  <c r="DH161" i="25"/>
  <c r="DA161" i="25"/>
  <c r="DD161" i="25" s="1"/>
  <c r="DE161" i="25" s="1"/>
  <c r="DF161" i="25" s="1"/>
  <c r="DH218" i="25"/>
  <c r="DA218" i="25"/>
  <c r="DD218" i="25" s="1"/>
  <c r="DE218" i="25" s="1"/>
  <c r="DF218" i="25" s="1"/>
  <c r="DL183" i="25"/>
  <c r="FD183" i="25"/>
  <c r="DS183" i="25"/>
  <c r="CY170" i="25"/>
  <c r="CZ170" i="25"/>
  <c r="DS292" i="25"/>
  <c r="DL292" i="25"/>
  <c r="DL190" i="25"/>
  <c r="DS190" i="25"/>
  <c r="FD190" i="25"/>
  <c r="CY136" i="25"/>
  <c r="CZ136" i="25"/>
  <c r="DL13" i="25"/>
  <c r="FD13" i="25"/>
  <c r="DL23" i="25"/>
  <c r="FD23" i="25"/>
  <c r="DS23" i="25"/>
  <c r="DH181" i="25"/>
  <c r="DA181" i="25"/>
  <c r="DD181" i="25" s="1"/>
  <c r="DE181" i="25" s="1"/>
  <c r="DF181" i="25" s="1"/>
  <c r="CY272" i="25"/>
  <c r="CZ272" i="25"/>
  <c r="CZ289" i="25"/>
  <c r="CY289" i="25"/>
  <c r="DL39" i="25"/>
  <c r="FD39" i="25"/>
  <c r="DS39" i="25"/>
  <c r="DL73" i="25"/>
  <c r="DS73" i="25"/>
  <c r="FD73" i="25"/>
  <c r="DA129" i="25"/>
  <c r="DD129" i="25" s="1"/>
  <c r="DE129" i="25" s="1"/>
  <c r="DF129" i="25" s="1"/>
  <c r="DH129" i="25"/>
  <c r="DH137" i="25"/>
  <c r="DA137" i="25"/>
  <c r="DD137" i="25" s="1"/>
  <c r="DE137" i="25" s="1"/>
  <c r="DF137" i="25" s="1"/>
  <c r="DH48" i="25"/>
  <c r="DA48" i="25"/>
  <c r="DD48" i="25" s="1"/>
  <c r="DE48" i="25" s="1"/>
  <c r="DF48" i="25" s="1"/>
  <c r="DH52" i="25"/>
  <c r="DA52" i="25"/>
  <c r="DD52" i="25" s="1"/>
  <c r="DE52" i="25" s="1"/>
  <c r="DF52" i="25" s="1"/>
  <c r="CY290" i="25"/>
  <c r="CZ290" i="25"/>
  <c r="CY287" i="25"/>
  <c r="CZ287" i="25"/>
  <c r="FD140" i="25"/>
  <c r="DS140" i="25"/>
  <c r="DL140" i="25"/>
  <c r="CY227" i="25"/>
  <c r="CZ227" i="25"/>
  <c r="CY284" i="25"/>
  <c r="CZ284" i="25"/>
  <c r="FD9" i="25"/>
  <c r="DL9" i="25"/>
  <c r="DH171" i="25"/>
  <c r="DA171" i="25"/>
  <c r="DD171" i="25" s="1"/>
  <c r="DE171" i="25" s="1"/>
  <c r="DF171" i="25" s="1"/>
  <c r="DH126" i="25"/>
  <c r="DA126" i="25"/>
  <c r="DD126" i="25" s="1"/>
  <c r="DE126" i="25" s="1"/>
  <c r="DF126" i="25" s="1"/>
  <c r="DH13" i="25"/>
  <c r="DA13" i="25"/>
  <c r="DD13" i="25" s="1"/>
  <c r="DE13" i="25" s="1"/>
  <c r="DF13" i="25" s="1"/>
  <c r="DH17" i="25"/>
  <c r="DA17" i="25"/>
  <c r="DD17" i="25" s="1"/>
  <c r="DE17" i="25" s="1"/>
  <c r="DF17" i="25" s="1"/>
  <c r="DH278" i="25"/>
  <c r="DA278" i="25"/>
  <c r="DD278" i="25" s="1"/>
  <c r="DE278" i="25" s="1"/>
  <c r="DF278" i="25" s="1"/>
  <c r="DA281" i="25"/>
  <c r="DD281" i="25" s="1"/>
  <c r="DE281" i="25" s="1"/>
  <c r="DF281" i="25" s="1"/>
  <c r="DH281" i="25"/>
  <c r="CZ236" i="25"/>
  <c r="DB236" i="25" s="1"/>
  <c r="DH236" i="25"/>
  <c r="DA236" i="25"/>
  <c r="DD236" i="25" s="1"/>
  <c r="DE236" i="25" s="1"/>
  <c r="DF236" i="25" s="1"/>
  <c r="DH159" i="25"/>
  <c r="DA159" i="25"/>
  <c r="DD159" i="25" s="1"/>
  <c r="DE159" i="25" s="1"/>
  <c r="DF159" i="25" s="1"/>
  <c r="DL243" i="25"/>
  <c r="CY177" i="25"/>
  <c r="CZ177" i="25"/>
  <c r="CY100" i="25"/>
  <c r="CZ100" i="25"/>
  <c r="CY126" i="25"/>
  <c r="CZ126" i="25"/>
  <c r="CY17" i="25"/>
  <c r="CZ17" i="25"/>
  <c r="DS176" i="25"/>
  <c r="FD176" i="25"/>
  <c r="DL176" i="25"/>
  <c r="DH139" i="25"/>
  <c r="DA139" i="25"/>
  <c r="DD139" i="25" s="1"/>
  <c r="DE139" i="25" s="1"/>
  <c r="DF139" i="25" s="1"/>
  <c r="DH124" i="25"/>
  <c r="DA124" i="25"/>
  <c r="DD124" i="25" s="1"/>
  <c r="DE124" i="25" s="1"/>
  <c r="DF124" i="25" s="1"/>
  <c r="FD55" i="25"/>
  <c r="DA192" i="25"/>
  <c r="DD192" i="25" s="1"/>
  <c r="DE192" i="25" s="1"/>
  <c r="DF192" i="25" s="1"/>
  <c r="DH192" i="25"/>
  <c r="DA204" i="25"/>
  <c r="DD204" i="25" s="1"/>
  <c r="DE204" i="25" s="1"/>
  <c r="DF204" i="25" s="1"/>
  <c r="DH204" i="25"/>
  <c r="DH115" i="25"/>
  <c r="DA115" i="25"/>
  <c r="DD115" i="25" s="1"/>
  <c r="DE115" i="25" s="1"/>
  <c r="DF115" i="25" s="1"/>
  <c r="DH245" i="25"/>
  <c r="DA245" i="25"/>
  <c r="DD245" i="25" s="1"/>
  <c r="DE245" i="25" s="1"/>
  <c r="DF245" i="25" s="1"/>
  <c r="DH140" i="25"/>
  <c r="DA140" i="25"/>
  <c r="DD140" i="25" s="1"/>
  <c r="DE140" i="25" s="1"/>
  <c r="DF140" i="25" s="1"/>
  <c r="DH297" i="25"/>
  <c r="DA297" i="25"/>
  <c r="DD297" i="25" s="1"/>
  <c r="DE297" i="25" s="1"/>
  <c r="DF297" i="25" s="1"/>
  <c r="DH223" i="25"/>
  <c r="DA223" i="25"/>
  <c r="DD223" i="25" s="1"/>
  <c r="DE223" i="25" s="1"/>
  <c r="DF223" i="25" s="1"/>
  <c r="DH222" i="25"/>
  <c r="DA222" i="25"/>
  <c r="DD222" i="25" s="1"/>
  <c r="DE222" i="25" s="1"/>
  <c r="DF222" i="25" s="1"/>
  <c r="CZ241" i="25"/>
  <c r="CY241" i="25"/>
  <c r="CY146" i="25"/>
  <c r="CZ146" i="25"/>
  <c r="CY185" i="25"/>
  <c r="CZ185" i="25"/>
  <c r="CZ283" i="25"/>
  <c r="CY283" i="25"/>
  <c r="DS129" i="25"/>
  <c r="DL129" i="25"/>
  <c r="FD129" i="25"/>
  <c r="DL57" i="25"/>
  <c r="DS57" i="25"/>
  <c r="FD57" i="25"/>
  <c r="CZ145" i="25"/>
  <c r="CY145" i="25"/>
  <c r="DL33" i="25"/>
  <c r="FD33" i="25"/>
  <c r="DS33" i="25"/>
  <c r="CY22" i="25"/>
  <c r="CZ22" i="25"/>
  <c r="DS25" i="25"/>
  <c r="DA196" i="25"/>
  <c r="DD196" i="25" s="1"/>
  <c r="DE196" i="25" s="1"/>
  <c r="DF196" i="25" s="1"/>
  <c r="DH196" i="25"/>
  <c r="DA229" i="25"/>
  <c r="DD229" i="25" s="1"/>
  <c r="DE229" i="25" s="1"/>
  <c r="DF229" i="25" s="1"/>
  <c r="DH229" i="25"/>
  <c r="DH136" i="25"/>
  <c r="DA136" i="25"/>
  <c r="DD136" i="25" s="1"/>
  <c r="DE136" i="25" s="1"/>
  <c r="DF136" i="25" s="1"/>
  <c r="DA287" i="25"/>
  <c r="DD287" i="25" s="1"/>
  <c r="DE287" i="25" s="1"/>
  <c r="DF287" i="25" s="1"/>
  <c r="DH287" i="25"/>
  <c r="DA255" i="25"/>
  <c r="DD255" i="25" s="1"/>
  <c r="DE255" i="25" s="1"/>
  <c r="DF255" i="25" s="1"/>
  <c r="DH255" i="25"/>
  <c r="DH151" i="25"/>
  <c r="DA151" i="25"/>
  <c r="DD151" i="25" s="1"/>
  <c r="DE151" i="25" s="1"/>
  <c r="DF151" i="25" s="1"/>
  <c r="DA186" i="25"/>
  <c r="DD186" i="25" s="1"/>
  <c r="DE186" i="25" s="1"/>
  <c r="DF186" i="25" s="1"/>
  <c r="DH186" i="25"/>
  <c r="DH272" i="25"/>
  <c r="DA272" i="25"/>
  <c r="DD272" i="25" s="1"/>
  <c r="DE272" i="25" s="1"/>
  <c r="DF272" i="25" s="1"/>
  <c r="CY200" i="25"/>
  <c r="CZ200" i="25"/>
  <c r="CY147" i="25"/>
  <c r="CZ147" i="25"/>
  <c r="CY254" i="25"/>
  <c r="CZ254" i="25"/>
  <c r="CY253" i="25"/>
  <c r="CZ253" i="25"/>
  <c r="CZ183" i="25"/>
  <c r="CY183" i="25"/>
  <c r="DL246" i="25"/>
  <c r="DS246" i="25"/>
  <c r="FD70" i="25"/>
  <c r="DS70" i="25"/>
  <c r="DL70" i="25"/>
  <c r="DL21" i="25"/>
  <c r="FD21" i="25"/>
  <c r="DS21" i="25"/>
  <c r="DS66" i="25"/>
  <c r="DL66" i="25"/>
  <c r="FD66" i="25"/>
  <c r="CZ184" i="25"/>
  <c r="CY184" i="25"/>
  <c r="FD199" i="25"/>
  <c r="DL199" i="25"/>
  <c r="DH169" i="25"/>
  <c r="DA169" i="25"/>
  <c r="DD169" i="25" s="1"/>
  <c r="DE169" i="25" s="1"/>
  <c r="DF169" i="25" s="1"/>
  <c r="DA61" i="25"/>
  <c r="DD61" i="25" s="1"/>
  <c r="DE61" i="25" s="1"/>
  <c r="DF61" i="25" s="1"/>
  <c r="DH61" i="25"/>
  <c r="DH116" i="25"/>
  <c r="DA116" i="25"/>
  <c r="DD116" i="25" s="1"/>
  <c r="DE116" i="25" s="1"/>
  <c r="DF116" i="25" s="1"/>
  <c r="CZ265" i="25"/>
  <c r="DB265" i="25" s="1"/>
  <c r="DA265" i="25"/>
  <c r="DD265" i="25" s="1"/>
  <c r="DE265" i="25" s="1"/>
  <c r="DF265" i="25" s="1"/>
  <c r="DH265" i="25"/>
  <c r="DH242" i="25"/>
  <c r="DA242" i="25"/>
  <c r="DD242" i="25" s="1"/>
  <c r="DE242" i="25" s="1"/>
  <c r="DF242" i="25" s="1"/>
  <c r="DA71" i="25"/>
  <c r="DD71" i="25" s="1"/>
  <c r="DE71" i="25" s="1"/>
  <c r="DF71" i="25" s="1"/>
  <c r="DH71" i="25"/>
  <c r="DH77" i="25"/>
  <c r="DA77" i="25"/>
  <c r="DD77" i="25" s="1"/>
  <c r="DE77" i="25" s="1"/>
  <c r="DF77" i="25" s="1"/>
  <c r="FD168" i="25"/>
  <c r="DS168" i="25"/>
  <c r="DL168" i="25"/>
  <c r="CY169" i="25"/>
  <c r="CZ169" i="25"/>
  <c r="DS290" i="25"/>
  <c r="DL290" i="25"/>
  <c r="CZ189" i="25"/>
  <c r="CY189" i="25"/>
  <c r="DS287" i="25"/>
  <c r="DL287" i="25"/>
  <c r="FD121" i="25"/>
  <c r="DS121" i="25"/>
  <c r="DL121" i="25"/>
  <c r="CY88" i="25"/>
  <c r="CZ88" i="25"/>
  <c r="FD96" i="25"/>
  <c r="DL96" i="25"/>
  <c r="CY71" i="25"/>
  <c r="CZ71" i="25"/>
  <c r="CY58" i="25"/>
  <c r="CZ58" i="25"/>
  <c r="FD91" i="25"/>
  <c r="FD147" i="25"/>
  <c r="CY12" i="25"/>
  <c r="CZ12" i="25"/>
  <c r="DA195" i="25"/>
  <c r="DD195" i="25" s="1"/>
  <c r="DE195" i="25" s="1"/>
  <c r="DF195" i="25" s="1"/>
  <c r="DH195" i="25"/>
  <c r="DA198" i="25"/>
  <c r="DD198" i="25" s="1"/>
  <c r="DE198" i="25" s="1"/>
  <c r="DF198" i="25" s="1"/>
  <c r="DH198" i="25"/>
  <c r="DH142" i="25"/>
  <c r="DA142" i="25"/>
  <c r="DD142" i="25" s="1"/>
  <c r="DE142" i="25" s="1"/>
  <c r="DF142" i="25" s="1"/>
  <c r="DH221" i="25"/>
  <c r="DA221" i="25"/>
  <c r="DD221" i="25" s="1"/>
  <c r="DE221" i="25" s="1"/>
  <c r="DF221" i="25" s="1"/>
  <c r="CY181" i="25"/>
  <c r="CZ181" i="25"/>
  <c r="DS295" i="25"/>
  <c r="DL244" i="25"/>
  <c r="DS244" i="25"/>
  <c r="DL164" i="25"/>
  <c r="FD164" i="25"/>
  <c r="DS164" i="25"/>
  <c r="DL156" i="25"/>
  <c r="DS156" i="25"/>
  <c r="FD156" i="25"/>
  <c r="DL177" i="25"/>
  <c r="DS177" i="25"/>
  <c r="FD177" i="25"/>
  <c r="DL100" i="25"/>
  <c r="FD100" i="25"/>
  <c r="CZ175" i="25"/>
  <c r="CY175" i="25"/>
  <c r="CZ176" i="25"/>
  <c r="CY176" i="25"/>
  <c r="CZ128" i="25"/>
  <c r="CY128" i="25"/>
  <c r="DA73" i="25"/>
  <c r="DD73" i="25" s="1"/>
  <c r="DE73" i="25" s="1"/>
  <c r="DF73" i="25" s="1"/>
  <c r="DH73" i="25"/>
  <c r="CZ238" i="25"/>
  <c r="DB238" i="25" s="1"/>
  <c r="DH238" i="25"/>
  <c r="DA238" i="25"/>
  <c r="DD238" i="25" s="1"/>
  <c r="DE238" i="25" s="1"/>
  <c r="DF238" i="25" s="1"/>
  <c r="DA230" i="25"/>
  <c r="DD230" i="25" s="1"/>
  <c r="DE230" i="25" s="1"/>
  <c r="DF230" i="25" s="1"/>
  <c r="DH230" i="25"/>
  <c r="CY275" i="25"/>
  <c r="CZ275" i="25"/>
  <c r="DL241" i="25"/>
  <c r="DS241" i="25"/>
  <c r="DS283" i="25"/>
  <c r="DL283" i="25"/>
  <c r="CY57" i="25"/>
  <c r="CZ57" i="25"/>
  <c r="CY85" i="25"/>
  <c r="CZ85" i="25"/>
  <c r="DL74" i="25"/>
  <c r="FD74" i="25"/>
  <c r="DS74" i="25"/>
  <c r="DL43" i="25"/>
  <c r="FD43" i="25"/>
  <c r="DS43" i="25"/>
  <c r="DL59" i="25"/>
  <c r="DS59" i="25"/>
  <c r="FD59" i="25"/>
  <c r="CY102" i="25"/>
  <c r="CZ102" i="25"/>
  <c r="DH81" i="25"/>
  <c r="DA81" i="25"/>
  <c r="DD81" i="25" s="1"/>
  <c r="DE81" i="25" s="1"/>
  <c r="DF81" i="25" s="1"/>
  <c r="CZ207" i="25"/>
  <c r="DB207" i="25" s="1"/>
  <c r="DH207" i="25"/>
  <c r="DA207" i="25"/>
  <c r="DD207" i="25" s="1"/>
  <c r="DE207" i="25" s="1"/>
  <c r="DF207" i="25" s="1"/>
  <c r="DH50" i="25"/>
  <c r="DA50" i="25"/>
  <c r="DD50" i="25" s="1"/>
  <c r="DE50" i="25" s="1"/>
  <c r="DF50" i="25" s="1"/>
  <c r="DH104" i="25"/>
  <c r="DA104" i="25"/>
  <c r="DD104" i="25" s="1"/>
  <c r="DE104" i="25" s="1"/>
  <c r="DF104" i="25" s="1"/>
  <c r="DS167" i="25"/>
  <c r="DL167" i="25"/>
  <c r="FD167" i="25"/>
  <c r="DL155" i="25"/>
  <c r="DS155" i="25"/>
  <c r="FD155" i="25"/>
  <c r="CY222" i="25"/>
  <c r="CZ222" i="25"/>
  <c r="CZ150" i="25"/>
  <c r="CY150" i="25"/>
  <c r="CZ138" i="25"/>
  <c r="CY138" i="25"/>
  <c r="DL77" i="25"/>
  <c r="DS77" i="25"/>
  <c r="FD77" i="25"/>
  <c r="DL228" i="25"/>
  <c r="DS228" i="25"/>
  <c r="DS137" i="25"/>
  <c r="FD137" i="25"/>
  <c r="DL137" i="25"/>
  <c r="DH264" i="25"/>
  <c r="DA264" i="25"/>
  <c r="DD264" i="25" s="1"/>
  <c r="DE264" i="25" s="1"/>
  <c r="DF264" i="25" s="1"/>
  <c r="DH165" i="25"/>
  <c r="DA165" i="25"/>
  <c r="DD165" i="25" s="1"/>
  <c r="DE165" i="25" s="1"/>
  <c r="DF165" i="25" s="1"/>
  <c r="DA75" i="25"/>
  <c r="DD75" i="25" s="1"/>
  <c r="DE75" i="25" s="1"/>
  <c r="DF75" i="25" s="1"/>
  <c r="DH75" i="25"/>
  <c r="DH16" i="25"/>
  <c r="DA16" i="25"/>
  <c r="DD16" i="25" s="1"/>
  <c r="DE16" i="25" s="1"/>
  <c r="DF16" i="25" s="1"/>
  <c r="DS255" i="25"/>
  <c r="DH28" i="25"/>
  <c r="DA28" i="25"/>
  <c r="DD28" i="25" s="1"/>
  <c r="DE28" i="25" s="1"/>
  <c r="DF28" i="25" s="1"/>
  <c r="DL254" i="25"/>
  <c r="DS254" i="25"/>
  <c r="CZ149" i="25"/>
  <c r="CY149" i="25"/>
  <c r="DS170" i="25"/>
  <c r="FD170" i="25"/>
  <c r="DL170" i="25"/>
  <c r="DL93" i="25"/>
  <c r="FD93" i="25"/>
  <c r="CY104" i="25"/>
  <c r="CZ104" i="25"/>
  <c r="CY313" i="25"/>
  <c r="CZ313" i="25"/>
  <c r="CY70" i="25"/>
  <c r="CZ70" i="25"/>
  <c r="FD60" i="25"/>
  <c r="DL60" i="25"/>
  <c r="DS60" i="25"/>
  <c r="DL272" i="25"/>
  <c r="DS272" i="25"/>
  <c r="DL49" i="25"/>
  <c r="FD49" i="25"/>
  <c r="CZ199" i="25"/>
  <c r="CY199" i="25"/>
  <c r="DH205" i="25"/>
  <c r="DA205" i="25"/>
  <c r="DD205" i="25" s="1"/>
  <c r="DE205" i="25" s="1"/>
  <c r="DF205" i="25" s="1"/>
  <c r="DH10" i="25"/>
  <c r="DA10" i="25"/>
  <c r="DD10" i="25" s="1"/>
  <c r="DE10" i="25" s="1"/>
  <c r="DF10" i="25" s="1"/>
  <c r="DS252" i="25"/>
  <c r="DL252" i="25"/>
  <c r="CZ168" i="25"/>
  <c r="CY168" i="25"/>
  <c r="CY245" i="25"/>
  <c r="CZ245" i="25"/>
  <c r="DL189" i="25"/>
  <c r="FD189" i="25"/>
  <c r="DS189" i="25"/>
  <c r="CY69" i="25"/>
  <c r="CZ69" i="25"/>
  <c r="DS139" i="25"/>
  <c r="DL139" i="25"/>
  <c r="FD139" i="25"/>
  <c r="DL40" i="25"/>
  <c r="FD40" i="25"/>
  <c r="DS40" i="25"/>
  <c r="CY298" i="25"/>
  <c r="CZ298" i="25"/>
  <c r="DS284" i="25"/>
  <c r="DL284" i="25"/>
  <c r="DL48" i="25"/>
  <c r="DS48" i="25"/>
  <c r="FD71" i="25"/>
  <c r="DL71" i="25"/>
  <c r="DS71" i="25"/>
  <c r="DL81" i="25"/>
  <c r="DS81" i="25"/>
  <c r="FD81" i="25"/>
  <c r="CZ29" i="25"/>
  <c r="CY29" i="25"/>
  <c r="DS58" i="25"/>
  <c r="DL58" i="25"/>
  <c r="FD58" i="25"/>
  <c r="DL12" i="25"/>
  <c r="DS12" i="25"/>
  <c r="FD12" i="25"/>
  <c r="DH243" i="25"/>
  <c r="DA243" i="25"/>
  <c r="DD243" i="25" s="1"/>
  <c r="DE243" i="25" s="1"/>
  <c r="DF243" i="25" s="1"/>
  <c r="DA117" i="25"/>
  <c r="DD117" i="25" s="1"/>
  <c r="DE117" i="25" s="1"/>
  <c r="DF117" i="25" s="1"/>
  <c r="DH117" i="25"/>
  <c r="DH101" i="25"/>
  <c r="DA101" i="25"/>
  <c r="DD101" i="25" s="1"/>
  <c r="DE101" i="25" s="1"/>
  <c r="DF101" i="25" s="1"/>
  <c r="DH313" i="25"/>
  <c r="DA313" i="25"/>
  <c r="DD313" i="25" s="1"/>
  <c r="DE313" i="25" s="1"/>
  <c r="DF313" i="25" s="1"/>
  <c r="CY242" i="25"/>
  <c r="CZ242" i="25"/>
  <c r="DS181" i="25"/>
  <c r="FD181" i="25"/>
  <c r="DL181" i="25"/>
  <c r="CY295" i="25"/>
  <c r="CZ295" i="25"/>
  <c r="CY153" i="25"/>
  <c r="CZ153" i="25"/>
  <c r="CY47" i="25"/>
  <c r="CZ47" i="25"/>
  <c r="FD17" i="25"/>
  <c r="DL17" i="25"/>
  <c r="DA69" i="25"/>
  <c r="DD69" i="25" s="1"/>
  <c r="DE69" i="25" s="1"/>
  <c r="DF69" i="25" s="1"/>
  <c r="DH69" i="25"/>
  <c r="DH260" i="25"/>
  <c r="DA260" i="25"/>
  <c r="DD260" i="25" s="1"/>
  <c r="DE260" i="25" s="1"/>
  <c r="DF260" i="25" s="1"/>
  <c r="DH94" i="25"/>
  <c r="DA94" i="25"/>
  <c r="DD94" i="25" s="1"/>
  <c r="DE94" i="25" s="1"/>
  <c r="DF94" i="25" s="1"/>
  <c r="DH118" i="25"/>
  <c r="DA118" i="25"/>
  <c r="DD118" i="25" s="1"/>
  <c r="DE118" i="25" s="1"/>
  <c r="DF118" i="25" s="1"/>
  <c r="DH309" i="25"/>
  <c r="DA309" i="25"/>
  <c r="DD309" i="25" s="1"/>
  <c r="DE309" i="25" s="1"/>
  <c r="DF309" i="25" s="1"/>
  <c r="DA291" i="25"/>
  <c r="DD291" i="25" s="1"/>
  <c r="DE291" i="25" s="1"/>
  <c r="DF291" i="25" s="1"/>
  <c r="DH291" i="25"/>
  <c r="DH74" i="25"/>
  <c r="DA74" i="25"/>
  <c r="DD74" i="25" s="1"/>
  <c r="DE74" i="25" s="1"/>
  <c r="DF74" i="25" s="1"/>
  <c r="DH8" i="25"/>
  <c r="DA8" i="25"/>
  <c r="DD8" i="25" s="1"/>
  <c r="DE8" i="25" s="1"/>
  <c r="DF8" i="25" s="1"/>
  <c r="FD194" i="25"/>
  <c r="DL194" i="25"/>
  <c r="CZ161" i="25"/>
  <c r="CY161" i="25"/>
  <c r="CY276" i="25"/>
  <c r="CZ276" i="25"/>
  <c r="DL185" i="25"/>
  <c r="DS185" i="25"/>
  <c r="FD185" i="25"/>
  <c r="DS145" i="25"/>
  <c r="DL145" i="25"/>
  <c r="FD145" i="25"/>
  <c r="CY25" i="25"/>
  <c r="CZ25" i="25"/>
  <c r="DS117" i="25"/>
  <c r="DL117" i="25"/>
  <c r="FD117" i="25"/>
  <c r="CY15" i="25"/>
  <c r="CZ15" i="25"/>
  <c r="CY159" i="25"/>
  <c r="CZ159" i="25"/>
  <c r="CY52" i="25"/>
  <c r="CZ52" i="25"/>
  <c r="DL72" i="25"/>
  <c r="DS72" i="25"/>
  <c r="FD72" i="25"/>
  <c r="FD98" i="25"/>
  <c r="DL98" i="25"/>
  <c r="DS300" i="25"/>
  <c r="DL300" i="25"/>
  <c r="DH274" i="25"/>
  <c r="DA274" i="25"/>
  <c r="DD274" i="25" s="1"/>
  <c r="DE274" i="25" s="1"/>
  <c r="DF274" i="25" s="1"/>
  <c r="CZ19" i="25"/>
  <c r="DB19" i="25" s="1"/>
  <c r="DH19" i="25"/>
  <c r="DA19" i="25"/>
  <c r="DD19" i="25" s="1"/>
  <c r="DE19" i="25" s="1"/>
  <c r="DF19" i="25" s="1"/>
  <c r="DL259" i="25"/>
  <c r="DS259" i="25"/>
  <c r="DL200" i="25"/>
  <c r="FD200" i="25"/>
  <c r="DL253" i="25"/>
  <c r="DS253" i="25"/>
  <c r="CY247" i="25"/>
  <c r="CZ247" i="25"/>
  <c r="CZ172" i="25"/>
  <c r="CY172" i="25"/>
  <c r="DL45" i="25"/>
  <c r="DS45" i="25"/>
  <c r="FD45" i="25"/>
  <c r="FD136" i="25"/>
  <c r="DS136" i="25"/>
  <c r="DL136" i="25"/>
  <c r="DL313" i="25"/>
  <c r="DS313" i="25"/>
  <c r="CY60" i="25"/>
  <c r="CZ60" i="25"/>
  <c r="DH88" i="25"/>
  <c r="DA88" i="25"/>
  <c r="DD88" i="25" s="1"/>
  <c r="DE88" i="25" s="1"/>
  <c r="DF88" i="25" s="1"/>
  <c r="DA172" i="25"/>
  <c r="DD172" i="25" s="1"/>
  <c r="DE172" i="25" s="1"/>
  <c r="DF172" i="25" s="1"/>
  <c r="DH172" i="25"/>
  <c r="DH183" i="25"/>
  <c r="DA183" i="25"/>
  <c r="DD183" i="25" s="1"/>
  <c r="DE183" i="25" s="1"/>
  <c r="DF183" i="25" s="1"/>
  <c r="DH25" i="25"/>
  <c r="DA25" i="25"/>
  <c r="DD25" i="25" s="1"/>
  <c r="DE25" i="25" s="1"/>
  <c r="DF25" i="25" s="1"/>
  <c r="DH146" i="25"/>
  <c r="DA146" i="25"/>
  <c r="DD146" i="25" s="1"/>
  <c r="DE146" i="25" s="1"/>
  <c r="DF146" i="25" s="1"/>
  <c r="DA114" i="25"/>
  <c r="DD114" i="25" s="1"/>
  <c r="DE114" i="25" s="1"/>
  <c r="DF114" i="25" s="1"/>
  <c r="DH114" i="25"/>
  <c r="DH303" i="25"/>
  <c r="DA303" i="25"/>
  <c r="DD303" i="25" s="1"/>
  <c r="DE303" i="25" s="1"/>
  <c r="DF303" i="25" s="1"/>
  <c r="DH20" i="25"/>
  <c r="DA20" i="25"/>
  <c r="DD20" i="25" s="1"/>
  <c r="DE20" i="25" s="1"/>
  <c r="DF20" i="25" s="1"/>
  <c r="CZ162" i="25"/>
  <c r="DB162" i="25" s="1"/>
  <c r="DH162" i="25"/>
  <c r="DA162" i="25"/>
  <c r="DD162" i="25" s="1"/>
  <c r="DE162" i="25" s="1"/>
  <c r="DF162" i="25" s="1"/>
  <c r="DH246" i="25"/>
  <c r="DA246" i="25"/>
  <c r="DD246" i="25" s="1"/>
  <c r="DE246" i="25" s="1"/>
  <c r="DF246" i="25" s="1"/>
  <c r="CY182" i="25"/>
  <c r="CZ182" i="25"/>
  <c r="CY314" i="25"/>
  <c r="CZ314" i="25"/>
  <c r="CZ252" i="25"/>
  <c r="CY252" i="25"/>
  <c r="DL245" i="25"/>
  <c r="FD169" i="25"/>
  <c r="DS169" i="25"/>
  <c r="DL169" i="25"/>
  <c r="DL88" i="25"/>
  <c r="DS88" i="25"/>
  <c r="FD88" i="25"/>
  <c r="CY40" i="25"/>
  <c r="CZ40" i="25"/>
  <c r="DL298" i="25"/>
  <c r="DS298" i="25"/>
  <c r="CZ96" i="25"/>
  <c r="CY96" i="25"/>
  <c r="CY48" i="25"/>
  <c r="CZ48" i="25"/>
  <c r="DL24" i="25"/>
  <c r="FD24" i="25"/>
  <c r="FD48" i="25"/>
  <c r="FD95" i="25"/>
  <c r="DH176" i="25"/>
  <c r="DA176" i="25"/>
  <c r="DD176" i="25" s="1"/>
  <c r="DE176" i="25" s="1"/>
  <c r="DF176" i="25" s="1"/>
  <c r="CY225" i="25"/>
  <c r="CZ225" i="25"/>
  <c r="DL269" i="25"/>
  <c r="DS269" i="25"/>
  <c r="DH21" i="25"/>
  <c r="DA21" i="25"/>
  <c r="DD21" i="25" s="1"/>
  <c r="DE21" i="25" s="1"/>
  <c r="DF21" i="25" s="1"/>
  <c r="DH167" i="25"/>
  <c r="DA167" i="25"/>
  <c r="DD167" i="25" s="1"/>
  <c r="DE167" i="25" s="1"/>
  <c r="DF167" i="25" s="1"/>
  <c r="DA194" i="25"/>
  <c r="DD194" i="25" s="1"/>
  <c r="DE194" i="25" s="1"/>
  <c r="DF194" i="25" s="1"/>
  <c r="DH194" i="25"/>
  <c r="CZ155" i="25"/>
  <c r="DB155" i="25" s="1"/>
  <c r="DH155" i="25"/>
  <c r="DA155" i="25"/>
  <c r="DD155" i="25" s="1"/>
  <c r="DE155" i="25" s="1"/>
  <c r="DF155" i="25" s="1"/>
  <c r="DH288" i="25"/>
  <c r="DA288" i="25"/>
  <c r="DD288" i="25" s="1"/>
  <c r="DE288" i="25" s="1"/>
  <c r="DF288" i="25" s="1"/>
  <c r="CZ82" i="25"/>
  <c r="DB82" i="25" s="1"/>
  <c r="DH82" i="25"/>
  <c r="DA82" i="25"/>
  <c r="DD82" i="25" s="1"/>
  <c r="DE82" i="25" s="1"/>
  <c r="DF82" i="25" s="1"/>
  <c r="DL242" i="25"/>
  <c r="DS242" i="25"/>
  <c r="DL295" i="25"/>
  <c r="DS233" i="25"/>
  <c r="DL233" i="25"/>
  <c r="FD130" i="25"/>
  <c r="DL130" i="25"/>
  <c r="DS130" i="25"/>
  <c r="DS126" i="25"/>
  <c r="FD126" i="25"/>
  <c r="DL126" i="25"/>
  <c r="CY86" i="25"/>
  <c r="CZ86" i="25"/>
  <c r="FD34" i="25"/>
  <c r="DL34" i="25"/>
  <c r="DS34" i="25"/>
  <c r="DS266" i="25"/>
  <c r="DL266" i="25"/>
  <c r="DL47" i="25"/>
  <c r="DS47" i="25"/>
  <c r="FD47" i="25"/>
  <c r="CY55" i="25"/>
  <c r="CZ55" i="25"/>
  <c r="DL14" i="25"/>
  <c r="DS14" i="25"/>
  <c r="FD14" i="25"/>
  <c r="DS38" i="25"/>
  <c r="FD38" i="25"/>
  <c r="DL38" i="25"/>
  <c r="DH315" i="25"/>
  <c r="DA315" i="25"/>
  <c r="DD315" i="25" s="1"/>
  <c r="DE315" i="25" s="1"/>
  <c r="DF315" i="25" s="1"/>
  <c r="DA62" i="25"/>
  <c r="DD62" i="25" s="1"/>
  <c r="DE62" i="25" s="1"/>
  <c r="DF62" i="25" s="1"/>
  <c r="DH62" i="25"/>
  <c r="DL179" i="25"/>
  <c r="FD179" i="25"/>
  <c r="DS179" i="25"/>
  <c r="CY232" i="25"/>
  <c r="CZ232" i="25"/>
  <c r="CY64" i="25"/>
  <c r="CZ64" i="25"/>
  <c r="DH219" i="25"/>
  <c r="DA219" i="25"/>
  <c r="DD219" i="25" s="1"/>
  <c r="DE219" i="25" s="1"/>
  <c r="DF219" i="25" s="1"/>
  <c r="DA261" i="25"/>
  <c r="DD261" i="25" s="1"/>
  <c r="DE261" i="25" s="1"/>
  <c r="DF261" i="25" s="1"/>
  <c r="DH261" i="25"/>
  <c r="CZ306" i="25"/>
  <c r="CY306" i="25"/>
  <c r="DL235" i="25"/>
  <c r="DS235" i="25"/>
  <c r="DL275" i="25"/>
  <c r="DS275" i="25"/>
  <c r="DS146" i="25"/>
  <c r="FD146" i="25"/>
  <c r="DL146" i="25"/>
  <c r="DL276" i="25"/>
  <c r="DS276" i="25"/>
  <c r="DS79" i="25"/>
  <c r="DL79" i="25"/>
  <c r="FD79" i="25"/>
  <c r="CY262" i="25"/>
  <c r="CZ262" i="25"/>
  <c r="CY89" i="25"/>
  <c r="CZ89" i="25"/>
  <c r="DL25" i="25"/>
  <c r="FD25" i="25"/>
  <c r="DH113" i="25"/>
  <c r="DA113" i="25"/>
  <c r="DD113" i="25" s="1"/>
  <c r="DE113" i="25" s="1"/>
  <c r="DF113" i="25" s="1"/>
  <c r="DT43" i="24"/>
  <c r="DT282" i="24"/>
  <c r="DT29" i="24"/>
  <c r="DT11" i="24"/>
  <c r="CN302" i="24"/>
  <c r="DA302" i="24" s="1"/>
  <c r="CS302" i="24"/>
  <c r="FD302" i="24" s="1"/>
  <c r="DT287" i="24"/>
  <c r="DT219" i="24"/>
  <c r="CS267" i="24"/>
  <c r="FD267" i="24" s="1"/>
  <c r="CN267" i="24"/>
  <c r="DA267" i="24" s="1"/>
  <c r="CZ47" i="24"/>
  <c r="DT66" i="24"/>
  <c r="DT36" i="24"/>
  <c r="CS9" i="24"/>
  <c r="FD9" i="24" s="1"/>
  <c r="CN9" i="24"/>
  <c r="DA9" i="24" s="1"/>
  <c r="CZ86" i="24"/>
  <c r="DT15" i="24"/>
  <c r="CS236" i="24"/>
  <c r="FD236" i="24" s="1"/>
  <c r="CN236" i="24"/>
  <c r="DA236" i="24" s="1"/>
  <c r="CN206" i="24"/>
  <c r="DA206" i="24" s="1"/>
  <c r="CS206" i="24"/>
  <c r="FD206" i="24" s="1"/>
  <c r="CZ226" i="24"/>
  <c r="DT263" i="24"/>
  <c r="DT83" i="24"/>
  <c r="CZ153" i="24"/>
  <c r="CN73" i="24"/>
  <c r="DA73" i="24" s="1"/>
  <c r="CS73" i="24"/>
  <c r="FD73" i="24" s="1"/>
  <c r="CS52" i="24"/>
  <c r="FD52" i="24" s="1"/>
  <c r="CN52" i="24"/>
  <c r="CZ72" i="24"/>
  <c r="CS30" i="24"/>
  <c r="FD30" i="24" s="1"/>
  <c r="CN30" i="24"/>
  <c r="DA30" i="24" s="1"/>
  <c r="DT281" i="24"/>
  <c r="DT277" i="24"/>
  <c r="CN192" i="24"/>
  <c r="DA192" i="24" s="1"/>
  <c r="CS192" i="24"/>
  <c r="FD192" i="24" s="1"/>
  <c r="CZ240" i="24"/>
  <c r="CN116" i="24"/>
  <c r="DA116" i="24" s="1"/>
  <c r="CS116" i="24"/>
  <c r="FD116" i="24" s="1"/>
  <c r="CN133" i="24"/>
  <c r="DA133" i="24" s="1"/>
  <c r="CS133" i="24"/>
  <c r="FD133" i="24" s="1"/>
  <c r="CZ172" i="24"/>
  <c r="DT38" i="24"/>
  <c r="DT103" i="24"/>
  <c r="CN20" i="24"/>
  <c r="DA20" i="24" s="1"/>
  <c r="CS20" i="24"/>
  <c r="FD20" i="24" s="1"/>
  <c r="CN311" i="24"/>
  <c r="DA311" i="24" s="1"/>
  <c r="CS311" i="24"/>
  <c r="FD311" i="24" s="1"/>
  <c r="DT238" i="24"/>
  <c r="CS259" i="24"/>
  <c r="FD259" i="24" s="1"/>
  <c r="CN259" i="24"/>
  <c r="DA259" i="24" s="1"/>
  <c r="CS232" i="24"/>
  <c r="FD232" i="24" s="1"/>
  <c r="CN232" i="24"/>
  <c r="CN233" i="24"/>
  <c r="DA233" i="24" s="1"/>
  <c r="CS233" i="24"/>
  <c r="FD233" i="24" s="1"/>
  <c r="DT306" i="24"/>
  <c r="DT98" i="24"/>
  <c r="CS161" i="24"/>
  <c r="FD161" i="24" s="1"/>
  <c r="CN161" i="24"/>
  <c r="DA161" i="24" s="1"/>
  <c r="CS132" i="24"/>
  <c r="FD132" i="24" s="1"/>
  <c r="CN132" i="24"/>
  <c r="DA132" i="24" s="1"/>
  <c r="CZ148" i="24"/>
  <c r="DT47" i="24"/>
  <c r="CS120" i="24"/>
  <c r="FD120" i="24" s="1"/>
  <c r="CN120" i="24"/>
  <c r="DA120" i="24" s="1"/>
  <c r="CZ119" i="24"/>
  <c r="CZ41" i="24"/>
  <c r="CZ66" i="24"/>
  <c r="CS36" i="24"/>
  <c r="FD36" i="24" s="1"/>
  <c r="CN36" i="24"/>
  <c r="DA36" i="24" s="1"/>
  <c r="DT21" i="24"/>
  <c r="DT45" i="24"/>
  <c r="DT236" i="24"/>
  <c r="CS189" i="24"/>
  <c r="FD189" i="24" s="1"/>
  <c r="CN189" i="24"/>
  <c r="CS255" i="24"/>
  <c r="FD255" i="24" s="1"/>
  <c r="CN255" i="24"/>
  <c r="DA255" i="24" s="1"/>
  <c r="DT285" i="24"/>
  <c r="DT298" i="24"/>
  <c r="CS146" i="24"/>
  <c r="FD146" i="24" s="1"/>
  <c r="CN146" i="24"/>
  <c r="DA146" i="24" s="1"/>
  <c r="DT217" i="24"/>
  <c r="CZ40" i="24"/>
  <c r="DT70" i="24"/>
  <c r="CZ30" i="24"/>
  <c r="CZ314" i="24"/>
  <c r="CN200" i="24"/>
  <c r="DA200" i="24" s="1"/>
  <c r="CS200" i="24"/>
  <c r="FD200" i="24" s="1"/>
  <c r="CZ277" i="24"/>
  <c r="CN224" i="24"/>
  <c r="DA224" i="24" s="1"/>
  <c r="CS224" i="24"/>
  <c r="FD224" i="24" s="1"/>
  <c r="DT242" i="24"/>
  <c r="CS29" i="24"/>
  <c r="FD29" i="24" s="1"/>
  <c r="CN29" i="24"/>
  <c r="DA29" i="24" s="1"/>
  <c r="CZ259" i="24"/>
  <c r="CZ208" i="24"/>
  <c r="DT297" i="24"/>
  <c r="CZ267" i="24"/>
  <c r="CN179" i="24"/>
  <c r="DA179" i="24" s="1"/>
  <c r="CS179" i="24"/>
  <c r="FD179" i="24" s="1"/>
  <c r="CN41" i="24"/>
  <c r="CS41" i="24"/>
  <c r="FD41" i="24" s="1"/>
  <c r="DT9" i="24"/>
  <c r="CN296" i="24"/>
  <c r="DA296" i="24" s="1"/>
  <c r="CS296" i="24"/>
  <c r="FD296" i="24" s="1"/>
  <c r="CS298" i="24"/>
  <c r="FD298" i="24" s="1"/>
  <c r="CN298" i="24"/>
  <c r="DA298" i="24" s="1"/>
  <c r="CS153" i="24"/>
  <c r="FD153" i="24" s="1"/>
  <c r="CN153" i="24"/>
  <c r="DA153" i="24" s="1"/>
  <c r="CS234" i="24"/>
  <c r="FD234" i="24" s="1"/>
  <c r="CN234" i="24"/>
  <c r="DA234" i="24" s="1"/>
  <c r="CN118" i="24"/>
  <c r="DA118" i="24" s="1"/>
  <c r="CS118" i="24"/>
  <c r="FD118" i="24" s="1"/>
  <c r="CS64" i="24"/>
  <c r="FD64" i="24" s="1"/>
  <c r="CN64" i="24"/>
  <c r="CS6" i="24"/>
  <c r="FD6" i="24" s="1"/>
  <c r="CN6" i="24"/>
  <c r="DA6" i="24" s="1"/>
  <c r="DT18" i="24"/>
  <c r="CN289" i="24"/>
  <c r="DA289" i="24" s="1"/>
  <c r="CS289" i="24"/>
  <c r="FD289" i="24" s="1"/>
  <c r="CZ205" i="24"/>
  <c r="DT314" i="24"/>
  <c r="DT253" i="24"/>
  <c r="CN240" i="24"/>
  <c r="DA240" i="24" s="1"/>
  <c r="CS240" i="24"/>
  <c r="FD240" i="24" s="1"/>
  <c r="CZ111" i="24"/>
  <c r="DT58" i="24"/>
  <c r="CN238" i="24"/>
  <c r="DA238" i="24" s="1"/>
  <c r="CS238" i="24"/>
  <c r="FD238" i="24" s="1"/>
  <c r="DT267" i="24"/>
  <c r="CN306" i="24"/>
  <c r="DA306" i="24" s="1"/>
  <c r="CS306" i="24"/>
  <c r="FD306" i="24" s="1"/>
  <c r="CS171" i="24"/>
  <c r="FD171" i="24" s="1"/>
  <c r="CN171" i="24"/>
  <c r="CS148" i="24"/>
  <c r="FD148" i="24" s="1"/>
  <c r="CN148" i="24"/>
  <c r="DA148" i="24" s="1"/>
  <c r="CZ258" i="24"/>
  <c r="DT41" i="24"/>
  <c r="CS45" i="24"/>
  <c r="FD45" i="24" s="1"/>
  <c r="CN45" i="24"/>
  <c r="DA45" i="24" s="1"/>
  <c r="DT86" i="24"/>
  <c r="CZ296" i="24"/>
  <c r="CZ255" i="24"/>
  <c r="CZ285" i="24"/>
  <c r="CS226" i="24"/>
  <c r="FD226" i="24" s="1"/>
  <c r="CN226" i="24"/>
  <c r="DT294" i="24"/>
  <c r="CZ123" i="24"/>
  <c r="CZ136" i="24"/>
  <c r="CZ234" i="24"/>
  <c r="CZ113" i="24"/>
  <c r="CZ118" i="24"/>
  <c r="CZ64" i="24"/>
  <c r="DT6" i="24"/>
  <c r="CS18" i="24"/>
  <c r="FD18" i="24" s="1"/>
  <c r="CN18" i="24"/>
  <c r="CS205" i="24"/>
  <c r="FD205" i="24" s="1"/>
  <c r="CN205" i="24"/>
  <c r="CN253" i="24"/>
  <c r="DA253" i="24" s="1"/>
  <c r="CS253" i="24"/>
  <c r="FD253" i="24" s="1"/>
  <c r="DT224" i="24"/>
  <c r="CS286" i="24"/>
  <c r="FD286" i="24" s="1"/>
  <c r="CN286" i="24"/>
  <c r="DA286" i="24" s="1"/>
  <c r="DT240" i="24"/>
  <c r="CZ150" i="24"/>
  <c r="CN242" i="24"/>
  <c r="DA242" i="24" s="1"/>
  <c r="CS242" i="24"/>
  <c r="FD242" i="24" s="1"/>
  <c r="CN89" i="24"/>
  <c r="CS89" i="24"/>
  <c r="FD89" i="24" s="1"/>
  <c r="CZ20" i="24"/>
  <c r="DT280" i="24"/>
  <c r="DT311" i="24"/>
  <c r="CZ300" i="24"/>
  <c r="DT259" i="24"/>
  <c r="DT232" i="24"/>
  <c r="CS309" i="24"/>
  <c r="FD309" i="24" s="1"/>
  <c r="CN309" i="24"/>
  <c r="DA309" i="24" s="1"/>
  <c r="CZ161" i="24"/>
  <c r="CZ307" i="24"/>
  <c r="CZ179" i="24"/>
  <c r="CS81" i="24"/>
  <c r="FD81" i="24" s="1"/>
  <c r="CN81" i="24"/>
  <c r="CZ264" i="24"/>
  <c r="CN47" i="24"/>
  <c r="DA47" i="24" s="1"/>
  <c r="CS47" i="24"/>
  <c r="FD47" i="24" s="1"/>
  <c r="CS167" i="24"/>
  <c r="FD167" i="24" s="1"/>
  <c r="CN167" i="24"/>
  <c r="DA167" i="24" s="1"/>
  <c r="CZ75" i="24"/>
  <c r="CN21" i="24"/>
  <c r="DA21" i="24" s="1"/>
  <c r="CS21" i="24"/>
  <c r="FD21" i="24" s="1"/>
  <c r="DT296" i="24"/>
  <c r="CZ283" i="24"/>
  <c r="DT255" i="24"/>
  <c r="CZ203" i="24"/>
  <c r="DT226" i="24"/>
  <c r="CZ294" i="24"/>
  <c r="CS221" i="24"/>
  <c r="FD221" i="24" s="1"/>
  <c r="CN221" i="24"/>
  <c r="DA221" i="24" s="1"/>
  <c r="CS157" i="24"/>
  <c r="FD157" i="24" s="1"/>
  <c r="CN157" i="24"/>
  <c r="DA157" i="24" s="1"/>
  <c r="CZ209" i="24"/>
  <c r="CZ177" i="24"/>
  <c r="DT244" i="24"/>
  <c r="CS217" i="24"/>
  <c r="FD217" i="24" s="1"/>
  <c r="CN217" i="24"/>
  <c r="DA217" i="24" s="1"/>
  <c r="CS136" i="24"/>
  <c r="FD136" i="24" s="1"/>
  <c r="CN136" i="24"/>
  <c r="DT234" i="24"/>
  <c r="DT14" i="24"/>
  <c r="DT72" i="24"/>
  <c r="CZ289" i="24"/>
  <c r="CZ281" i="24"/>
  <c r="CS282" i="24"/>
  <c r="FD282" i="24" s="1"/>
  <c r="CN282" i="24"/>
  <c r="DA282" i="24" s="1"/>
  <c r="CN187" i="24"/>
  <c r="DA187" i="24" s="1"/>
  <c r="CS187" i="24"/>
  <c r="FD187" i="24" s="1"/>
  <c r="DT286" i="24"/>
  <c r="CN291" i="24"/>
  <c r="DA291" i="24" s="1"/>
  <c r="CS291" i="24"/>
  <c r="FD291" i="24" s="1"/>
  <c r="CN150" i="24"/>
  <c r="CS150" i="24"/>
  <c r="FD150" i="24" s="1"/>
  <c r="CN115" i="24"/>
  <c r="CS115" i="24"/>
  <c r="FD115" i="24" s="1"/>
  <c r="CS172" i="24"/>
  <c r="FD172" i="24" s="1"/>
  <c r="CN172" i="24"/>
  <c r="DA172" i="24" s="1"/>
  <c r="CZ17" i="24"/>
  <c r="CS300" i="24"/>
  <c r="FD300" i="24" s="1"/>
  <c r="CN300" i="24"/>
  <c r="DA300" i="24" s="1"/>
  <c r="CZ238" i="24"/>
  <c r="CS190" i="24"/>
  <c r="FD190" i="24" s="1"/>
  <c r="CN190" i="24"/>
  <c r="DA190" i="24" s="1"/>
  <c r="CZ287" i="24"/>
  <c r="DT309" i="24"/>
  <c r="CZ233" i="24"/>
  <c r="DT307" i="24"/>
  <c r="DT81" i="24"/>
  <c r="CN264" i="24"/>
  <c r="DA264" i="24" s="1"/>
  <c r="CS264" i="24"/>
  <c r="FD264" i="24" s="1"/>
  <c r="DT258" i="24"/>
  <c r="CZ167" i="24"/>
  <c r="CN119" i="24"/>
  <c r="DA119" i="24" s="1"/>
  <c r="CS119" i="24"/>
  <c r="FD119" i="24" s="1"/>
  <c r="CN66" i="24"/>
  <c r="CS66" i="24"/>
  <c r="FD66" i="24" s="1"/>
  <c r="CN75" i="24"/>
  <c r="DA75" i="24" s="1"/>
  <c r="CS75" i="24"/>
  <c r="FD75" i="24" s="1"/>
  <c r="CZ21" i="24"/>
  <c r="CS283" i="24"/>
  <c r="FD283" i="24" s="1"/>
  <c r="CN283" i="24"/>
  <c r="DA283" i="24" s="1"/>
  <c r="DT284" i="24"/>
  <c r="CS203" i="24"/>
  <c r="FD203" i="24" s="1"/>
  <c r="CN203" i="24"/>
  <c r="DA203" i="24" s="1"/>
  <c r="CZ263" i="24"/>
  <c r="CZ157" i="24"/>
  <c r="CN209" i="24"/>
  <c r="DA209" i="24" s="1"/>
  <c r="CS209" i="24"/>
  <c r="FD209" i="24" s="1"/>
  <c r="CS177" i="24"/>
  <c r="FD177" i="24" s="1"/>
  <c r="CN177" i="24"/>
  <c r="CZ217" i="24"/>
  <c r="DT64" i="24"/>
  <c r="CS14" i="24"/>
  <c r="FD14" i="24" s="1"/>
  <c r="CN14" i="24"/>
  <c r="CZ6" i="24"/>
  <c r="CN72" i="24"/>
  <c r="CS72" i="24"/>
  <c r="FD72" i="24" s="1"/>
  <c r="CS314" i="24"/>
  <c r="FD314" i="24" s="1"/>
  <c r="CN314" i="24"/>
  <c r="CZ253" i="24"/>
  <c r="CZ286" i="24"/>
  <c r="CZ192" i="24"/>
  <c r="DT291" i="24"/>
  <c r="CZ116" i="24"/>
  <c r="CS193" i="24"/>
  <c r="FD193" i="24" s="1"/>
  <c r="CN193" i="24"/>
  <c r="DA193" i="24" s="1"/>
  <c r="CZ156" i="24"/>
  <c r="DT300" i="24"/>
  <c r="CZ302" i="24"/>
  <c r="CZ190" i="24"/>
  <c r="CZ219" i="24"/>
  <c r="CN208" i="24"/>
  <c r="CS208" i="24"/>
  <c r="FD208" i="24" s="1"/>
  <c r="CN297" i="24"/>
  <c r="DA297" i="24" s="1"/>
  <c r="CS297" i="24"/>
  <c r="FD297" i="24" s="1"/>
  <c r="CZ309" i="24"/>
  <c r="CZ98" i="24"/>
  <c r="CN307" i="24"/>
  <c r="DA307" i="24" s="1"/>
  <c r="CS307" i="24"/>
  <c r="FD307" i="24" s="1"/>
  <c r="DT264" i="24"/>
  <c r="CN139" i="24"/>
  <c r="DA139" i="24" s="1"/>
  <c r="CS139" i="24"/>
  <c r="FD139" i="24" s="1"/>
  <c r="CS258" i="24"/>
  <c r="FD258" i="24" s="1"/>
  <c r="CN258" i="24"/>
  <c r="CZ9" i="24"/>
  <c r="CS86" i="24"/>
  <c r="FD86" i="24" s="1"/>
  <c r="CN86" i="24"/>
  <c r="DA86" i="24" s="1"/>
  <c r="CZ15" i="24"/>
  <c r="CZ284" i="24"/>
  <c r="CN294" i="24"/>
  <c r="DA294" i="24" s="1"/>
  <c r="CS294" i="24"/>
  <c r="FD294" i="24" s="1"/>
  <c r="CZ221" i="24"/>
  <c r="CS83" i="24"/>
  <c r="FD83" i="24" s="1"/>
  <c r="CN83" i="24"/>
  <c r="CS123" i="24"/>
  <c r="FD123" i="24" s="1"/>
  <c r="CN123" i="24"/>
  <c r="CS244" i="24"/>
  <c r="FD244" i="24" s="1"/>
  <c r="CN244" i="24"/>
  <c r="DA244" i="24" s="1"/>
  <c r="CZ146" i="24"/>
  <c r="CN40" i="24"/>
  <c r="CS40" i="24"/>
  <c r="FD40" i="24" s="1"/>
  <c r="CN113" i="24"/>
  <c r="DA113" i="24" s="1"/>
  <c r="CS113" i="24"/>
  <c r="FD113" i="24" s="1"/>
  <c r="CZ162" i="24"/>
  <c r="CS70" i="24"/>
  <c r="FD70" i="24" s="1"/>
  <c r="CN70" i="24"/>
  <c r="DT73" i="24"/>
  <c r="DT52" i="24"/>
  <c r="CS281" i="24"/>
  <c r="FD281" i="24" s="1"/>
  <c r="CN281" i="24"/>
  <c r="DA281" i="24" s="1"/>
  <c r="CZ282" i="24"/>
  <c r="CZ200" i="24"/>
  <c r="CZ224" i="24"/>
  <c r="DT250" i="24"/>
  <c r="CZ103" i="24"/>
  <c r="CZ57" i="24"/>
  <c r="CN262" i="24"/>
  <c r="DA262" i="24" s="1"/>
  <c r="CS262" i="24"/>
  <c r="FD262" i="24" s="1"/>
  <c r="DT302" i="24"/>
  <c r="CN287" i="24"/>
  <c r="DA287" i="24" s="1"/>
  <c r="CS287" i="24"/>
  <c r="FD287" i="24" s="1"/>
  <c r="CN219" i="24"/>
  <c r="CS219" i="24"/>
  <c r="FD219" i="24" s="1"/>
  <c r="CZ297" i="24"/>
  <c r="DT233" i="24"/>
  <c r="CZ306" i="24"/>
  <c r="CS98" i="24"/>
  <c r="FD98" i="24" s="1"/>
  <c r="CN98" i="24"/>
  <c r="CZ132" i="24"/>
  <c r="CZ139" i="24"/>
  <c r="CZ120" i="24"/>
  <c r="CZ36" i="24"/>
  <c r="DT75" i="24"/>
  <c r="CZ45" i="24"/>
  <c r="CN15" i="24"/>
  <c r="CS15" i="24"/>
  <c r="FD15" i="24" s="1"/>
  <c r="DT283" i="24"/>
  <c r="CZ236" i="24"/>
  <c r="CS284" i="24"/>
  <c r="FD284" i="24" s="1"/>
  <c r="CN284" i="24"/>
  <c r="CZ206" i="24"/>
  <c r="CS285" i="24"/>
  <c r="FD285" i="24" s="1"/>
  <c r="CN285" i="24"/>
  <c r="DA285" i="24" s="1"/>
  <c r="CS263" i="24"/>
  <c r="FD263" i="24" s="1"/>
  <c r="CN263" i="24"/>
  <c r="CZ298" i="24"/>
  <c r="CZ244" i="24"/>
  <c r="DT40" i="24"/>
  <c r="CN162" i="24"/>
  <c r="DA162" i="24" s="1"/>
  <c r="CS162" i="24"/>
  <c r="FD162" i="24" s="1"/>
  <c r="CZ73" i="24"/>
  <c r="DT30" i="24"/>
  <c r="CZ187" i="24"/>
  <c r="CN277" i="24"/>
  <c r="DA277" i="24" s="1"/>
  <c r="CS277" i="24"/>
  <c r="FD277" i="24" s="1"/>
  <c r="CS250" i="24"/>
  <c r="FD250" i="24" s="1"/>
  <c r="CN250" i="24"/>
  <c r="CN194" i="24"/>
  <c r="CS194" i="24"/>
  <c r="FD194" i="24" s="1"/>
  <c r="CZ164" i="24"/>
  <c r="CZ242" i="24"/>
  <c r="CZ133" i="24"/>
  <c r="CS103" i="24"/>
  <c r="FD103" i="24" s="1"/>
  <c r="CN103" i="24"/>
  <c r="DA103" i="24" s="1"/>
  <c r="DT60" i="24"/>
  <c r="CS58" i="24"/>
  <c r="FD58" i="24" s="1"/>
  <c r="CN58" i="24"/>
  <c r="DA58" i="24" s="1"/>
  <c r="CZ84" i="24"/>
  <c r="CZ185" i="24"/>
  <c r="CZ222" i="24"/>
  <c r="CZ235" i="24"/>
  <c r="DT228" i="24"/>
  <c r="CZ112" i="24"/>
  <c r="CS104" i="24"/>
  <c r="FD104" i="24" s="1"/>
  <c r="CN104" i="24"/>
  <c r="DA104" i="24" s="1"/>
  <c r="DT82" i="24"/>
  <c r="CS67" i="24"/>
  <c r="FD67" i="24" s="1"/>
  <c r="CN67" i="24"/>
  <c r="DA67" i="24" s="1"/>
  <c r="CN50" i="24"/>
  <c r="CS50" i="24"/>
  <c r="FD50" i="24" s="1"/>
  <c r="DT22" i="24"/>
  <c r="DT274" i="24"/>
  <c r="CN248" i="24"/>
  <c r="CS248" i="24"/>
  <c r="FD248" i="24" s="1"/>
  <c r="CZ183" i="24"/>
  <c r="CN186" i="24"/>
  <c r="DA186" i="24" s="1"/>
  <c r="CS186" i="24"/>
  <c r="FD186" i="24" s="1"/>
  <c r="CZ105" i="24"/>
  <c r="CN102" i="24"/>
  <c r="DA102" i="24" s="1"/>
  <c r="CS102" i="24"/>
  <c r="FD102" i="24" s="1"/>
  <c r="DT80" i="24"/>
  <c r="CS163" i="24"/>
  <c r="FD163" i="24" s="1"/>
  <c r="CN163" i="24"/>
  <c r="DT54" i="24"/>
  <c r="CZ8" i="24"/>
  <c r="CN25" i="24"/>
  <c r="DA25" i="24" s="1"/>
  <c r="CS25" i="24"/>
  <c r="FD25" i="24" s="1"/>
  <c r="CS269" i="24"/>
  <c r="FD269" i="24" s="1"/>
  <c r="CN269" i="24"/>
  <c r="DA269" i="24" s="1"/>
  <c r="CZ252" i="24"/>
  <c r="CS247" i="24"/>
  <c r="FD247" i="24" s="1"/>
  <c r="CN247" i="24"/>
  <c r="DA247" i="24" s="1"/>
  <c r="CN303" i="24"/>
  <c r="DA303" i="24" s="1"/>
  <c r="CS303" i="24"/>
  <c r="FD303" i="24" s="1"/>
  <c r="CZ288" i="24"/>
  <c r="CN160" i="24"/>
  <c r="DA160" i="24" s="1"/>
  <c r="CS160" i="24"/>
  <c r="FD160" i="24" s="1"/>
  <c r="CZ135" i="24"/>
  <c r="CZ144" i="24"/>
  <c r="CN78" i="24"/>
  <c r="DA78" i="24" s="1"/>
  <c r="CS78" i="24"/>
  <c r="FD78" i="24" s="1"/>
  <c r="CZ32" i="24"/>
  <c r="CS68" i="24"/>
  <c r="FD68" i="24" s="1"/>
  <c r="CN68" i="24"/>
  <c r="DA68" i="24" s="1"/>
  <c r="CZ94" i="24"/>
  <c r="CS268" i="24"/>
  <c r="FD268" i="24" s="1"/>
  <c r="CN268" i="24"/>
  <c r="DA268" i="24" s="1"/>
  <c r="CN257" i="24"/>
  <c r="DA257" i="24" s="1"/>
  <c r="CS257" i="24"/>
  <c r="FD257" i="24" s="1"/>
  <c r="DT272" i="24"/>
  <c r="CS125" i="24"/>
  <c r="FD125" i="24" s="1"/>
  <c r="CN125" i="24"/>
  <c r="DA125" i="24" s="1"/>
  <c r="CZ141" i="24"/>
  <c r="CZ158" i="24"/>
  <c r="CN142" i="24"/>
  <c r="DA142" i="24" s="1"/>
  <c r="CS142" i="24"/>
  <c r="FD142" i="24" s="1"/>
  <c r="CS74" i="24"/>
  <c r="FD74" i="24" s="1"/>
  <c r="CN74" i="24"/>
  <c r="DA74" i="24" s="1"/>
  <c r="DT218" i="24"/>
  <c r="DT44" i="24"/>
  <c r="CS59" i="24"/>
  <c r="FD59" i="24" s="1"/>
  <c r="CN59" i="24"/>
  <c r="DA59" i="24" s="1"/>
  <c r="DT26" i="24"/>
  <c r="CS313" i="24"/>
  <c r="FD313" i="24" s="1"/>
  <c r="CN313" i="24"/>
  <c r="DA313" i="24" s="1"/>
  <c r="CN290" i="24"/>
  <c r="DA290" i="24" s="1"/>
  <c r="CS290" i="24"/>
  <c r="FD290" i="24" s="1"/>
  <c r="CS225" i="24"/>
  <c r="FD225" i="24" s="1"/>
  <c r="CN225" i="24"/>
  <c r="DA225" i="24" s="1"/>
  <c r="CN237" i="24"/>
  <c r="DA237" i="24" s="1"/>
  <c r="CS237" i="24"/>
  <c r="FD237" i="24" s="1"/>
  <c r="CZ271" i="24"/>
  <c r="CZ114" i="24"/>
  <c r="CZ310" i="24"/>
  <c r="CZ188" i="24"/>
  <c r="DT69" i="24"/>
  <c r="CZ266" i="24"/>
  <c r="CS122" i="24"/>
  <c r="FD122" i="24" s="1"/>
  <c r="CN122" i="24"/>
  <c r="CS43" i="24"/>
  <c r="FD43" i="24" s="1"/>
  <c r="CN43" i="24"/>
  <c r="DA43" i="24" s="1"/>
  <c r="DT71" i="24"/>
  <c r="DT91" i="24"/>
  <c r="DT53" i="24"/>
  <c r="CS60" i="24"/>
  <c r="FD60" i="24" s="1"/>
  <c r="CN60" i="24"/>
  <c r="DA60" i="24" s="1"/>
  <c r="CS17" i="24"/>
  <c r="FD17" i="24" s="1"/>
  <c r="CN17" i="24"/>
  <c r="CZ311" i="24"/>
  <c r="CZ262" i="24"/>
  <c r="DT222" i="24"/>
  <c r="CZ279" i="24"/>
  <c r="DT235" i="24"/>
  <c r="DT243" i="24"/>
  <c r="CN37" i="24"/>
  <c r="DA37" i="24" s="1"/>
  <c r="CS37" i="24"/>
  <c r="FD37" i="24" s="1"/>
  <c r="CS152" i="24"/>
  <c r="FD152" i="24" s="1"/>
  <c r="CN152" i="24"/>
  <c r="DA152" i="24" s="1"/>
  <c r="DT7" i="24"/>
  <c r="CZ55" i="24"/>
  <c r="DT67" i="24"/>
  <c r="CZ254" i="24"/>
  <c r="DT308" i="24"/>
  <c r="CS305" i="24"/>
  <c r="FD305" i="24" s="1"/>
  <c r="CN305" i="24"/>
  <c r="CZ265" i="24"/>
  <c r="CS275" i="24"/>
  <c r="FD275" i="24" s="1"/>
  <c r="CN275" i="24"/>
  <c r="DA275" i="24" s="1"/>
  <c r="CN173" i="24"/>
  <c r="DA173" i="24" s="1"/>
  <c r="CS173" i="24"/>
  <c r="FD173" i="24" s="1"/>
  <c r="CZ149" i="24"/>
  <c r="CS93" i="24"/>
  <c r="FD93" i="24" s="1"/>
  <c r="CN93" i="24"/>
  <c r="DA93" i="24" s="1"/>
  <c r="CZ90" i="24"/>
  <c r="CZ54" i="24"/>
  <c r="CS16" i="24"/>
  <c r="FD16" i="24" s="1"/>
  <c r="CN16" i="24"/>
  <c r="DA16" i="24" s="1"/>
  <c r="DT304" i="24"/>
  <c r="CZ273" i="24"/>
  <c r="CZ197" i="24"/>
  <c r="CS220" i="24"/>
  <c r="FD220" i="24" s="1"/>
  <c r="CN220" i="24"/>
  <c r="DA220" i="24" s="1"/>
  <c r="CZ131" i="24"/>
  <c r="CZ101" i="24"/>
  <c r="CS32" i="24"/>
  <c r="FD32" i="24" s="1"/>
  <c r="CN32" i="24"/>
  <c r="DA32" i="24" s="1"/>
  <c r="DT68" i="24"/>
  <c r="DT94" i="24"/>
  <c r="CS28" i="24"/>
  <c r="FD28" i="24" s="1"/>
  <c r="CN28" i="24"/>
  <c r="CZ198" i="24"/>
  <c r="DT268" i="24"/>
  <c r="DT257" i="24"/>
  <c r="CN272" i="24"/>
  <c r="DA272" i="24" s="1"/>
  <c r="CS272" i="24"/>
  <c r="FD272" i="24" s="1"/>
  <c r="CN207" i="24"/>
  <c r="DA207" i="24" s="1"/>
  <c r="CS207" i="24"/>
  <c r="FD207" i="24" s="1"/>
  <c r="CN141" i="24"/>
  <c r="CS141" i="24"/>
  <c r="FD141" i="24" s="1"/>
  <c r="CZ128" i="24"/>
  <c r="CZ117" i="24"/>
  <c r="DT74" i="24"/>
  <c r="DT31" i="24"/>
  <c r="CZ145" i="24"/>
  <c r="CS218" i="24"/>
  <c r="FD218" i="24" s="1"/>
  <c r="CN218" i="24"/>
  <c r="DA218" i="24" s="1"/>
  <c r="CZ130" i="24"/>
  <c r="CN44" i="24"/>
  <c r="DA44" i="24" s="1"/>
  <c r="CS44" i="24"/>
  <c r="FD44" i="24" s="1"/>
  <c r="DT96" i="24"/>
  <c r="DT12" i="24"/>
  <c r="CN77" i="24"/>
  <c r="DA77" i="24" s="1"/>
  <c r="CS77" i="24"/>
  <c r="FD77" i="24" s="1"/>
  <c r="DT59" i="24"/>
  <c r="CZ313" i="24"/>
  <c r="CZ246" i="24"/>
  <c r="DT290" i="24"/>
  <c r="DT223" i="24"/>
  <c r="CZ260" i="24"/>
  <c r="CZ225" i="24"/>
  <c r="CN299" i="24"/>
  <c r="CS299" i="24"/>
  <c r="FD299" i="24" s="1"/>
  <c r="DT237" i="24"/>
  <c r="CN124" i="24"/>
  <c r="DA124" i="24" s="1"/>
  <c r="CS124" i="24"/>
  <c r="FD124" i="24" s="1"/>
  <c r="CZ99" i="24"/>
  <c r="CN69" i="24"/>
  <c r="DA69" i="24" s="1"/>
  <c r="CS69" i="24"/>
  <c r="FD69" i="24" s="1"/>
  <c r="CZ127" i="24"/>
  <c r="CN39" i="24"/>
  <c r="DA39" i="24" s="1"/>
  <c r="CS39" i="24"/>
  <c r="FD39" i="24" s="1"/>
  <c r="CS87" i="24"/>
  <c r="FD87" i="24" s="1"/>
  <c r="CN87" i="24"/>
  <c r="DA87" i="24" s="1"/>
  <c r="CZ291" i="24"/>
  <c r="CS111" i="24"/>
  <c r="FD111" i="24" s="1"/>
  <c r="CN111" i="24"/>
  <c r="DA111" i="24" s="1"/>
  <c r="CZ38" i="24"/>
  <c r="DT89" i="24"/>
  <c r="CZ60" i="24"/>
  <c r="CZ29" i="24"/>
  <c r="CZ58" i="24"/>
  <c r="CN10" i="24"/>
  <c r="DA10" i="24" s="1"/>
  <c r="CS10" i="24"/>
  <c r="FD10" i="24" s="1"/>
  <c r="CN280" i="24"/>
  <c r="DA280" i="24" s="1"/>
  <c r="CS280" i="24"/>
  <c r="FD280" i="24" s="1"/>
  <c r="CZ293" i="24"/>
  <c r="DT245" i="24"/>
  <c r="CS222" i="24"/>
  <c r="FD222" i="24" s="1"/>
  <c r="CN222" i="24"/>
  <c r="CS243" i="24"/>
  <c r="FD243" i="24" s="1"/>
  <c r="CN243" i="24"/>
  <c r="DA243" i="24" s="1"/>
  <c r="CZ143" i="24"/>
  <c r="CZ37" i="24"/>
  <c r="CZ170" i="24"/>
  <c r="CZ152" i="24"/>
  <c r="CZ27" i="24"/>
  <c r="DT254" i="24"/>
  <c r="CS292" i="24"/>
  <c r="FD292" i="24" s="1"/>
  <c r="CN292" i="24"/>
  <c r="DA292" i="24" s="1"/>
  <c r="CN265" i="24"/>
  <c r="CS265" i="24"/>
  <c r="FD265" i="24" s="1"/>
  <c r="CN312" i="24"/>
  <c r="DA312" i="24" s="1"/>
  <c r="CS312" i="24"/>
  <c r="FD312" i="24" s="1"/>
  <c r="CZ134" i="24"/>
  <c r="CS105" i="24"/>
  <c r="FD105" i="24" s="1"/>
  <c r="CN105" i="24"/>
  <c r="CZ169" i="24"/>
  <c r="DT102" i="24"/>
  <c r="DT93" i="24"/>
  <c r="CZ24" i="24"/>
  <c r="CZ46" i="24"/>
  <c r="DT269" i="24"/>
  <c r="CZ199" i="24"/>
  <c r="DT247" i="24"/>
  <c r="DT273" i="24"/>
  <c r="CS231" i="24"/>
  <c r="FD231" i="24" s="1"/>
  <c r="CN231" i="24"/>
  <c r="DA231" i="24" s="1"/>
  <c r="CN261" i="24"/>
  <c r="CS261" i="24"/>
  <c r="FD261" i="24" s="1"/>
  <c r="CZ220" i="24"/>
  <c r="CS184" i="24"/>
  <c r="FD184" i="24" s="1"/>
  <c r="CN184" i="24"/>
  <c r="CS100" i="24"/>
  <c r="FD100" i="24" s="1"/>
  <c r="CN100" i="24"/>
  <c r="DA100" i="24" s="1"/>
  <c r="CN165" i="24"/>
  <c r="DA165" i="24" s="1"/>
  <c r="CS165" i="24"/>
  <c r="FD165" i="24" s="1"/>
  <c r="CZ78" i="24"/>
  <c r="CN137" i="24"/>
  <c r="DA137" i="24" s="1"/>
  <c r="CS137" i="24"/>
  <c r="FD137" i="24" s="1"/>
  <c r="CN85" i="24"/>
  <c r="DA85" i="24" s="1"/>
  <c r="CS85" i="24"/>
  <c r="FD85" i="24" s="1"/>
  <c r="DT23" i="24"/>
  <c r="CN229" i="24"/>
  <c r="CS229" i="24"/>
  <c r="FD229" i="24" s="1"/>
  <c r="CZ195" i="24"/>
  <c r="CZ207" i="24"/>
  <c r="DT256" i="24"/>
  <c r="CN130" i="24"/>
  <c r="DA130" i="24" s="1"/>
  <c r="CS130" i="24"/>
  <c r="FD130" i="24" s="1"/>
  <c r="CZ79" i="24"/>
  <c r="CZ92" i="24"/>
  <c r="CN246" i="24"/>
  <c r="DA246" i="24" s="1"/>
  <c r="CS246" i="24"/>
  <c r="FD246" i="24" s="1"/>
  <c r="CS310" i="24"/>
  <c r="FD310" i="24" s="1"/>
  <c r="CN310" i="24"/>
  <c r="CS138" i="24"/>
  <c r="FD138" i="24" s="1"/>
  <c r="CN138" i="24"/>
  <c r="CN99" i="24"/>
  <c r="CS99" i="24"/>
  <c r="FD99" i="24" s="1"/>
  <c r="DT266" i="24"/>
  <c r="CZ39" i="24"/>
  <c r="DT293" i="24"/>
  <c r="CS185" i="24"/>
  <c r="FD185" i="24" s="1"/>
  <c r="CN185" i="24"/>
  <c r="DA185" i="24" s="1"/>
  <c r="CS279" i="24"/>
  <c r="FD279" i="24" s="1"/>
  <c r="CN279" i="24"/>
  <c r="CN112" i="24"/>
  <c r="CS112" i="24"/>
  <c r="FD112" i="24" s="1"/>
  <c r="CZ154" i="24"/>
  <c r="CS129" i="24"/>
  <c r="FD129" i="24" s="1"/>
  <c r="CN129" i="24"/>
  <c r="DA129" i="24" s="1"/>
  <c r="CZ166" i="24"/>
  <c r="CZ88" i="24"/>
  <c r="CZ97" i="24"/>
  <c r="CS56" i="24"/>
  <c r="FD56" i="24" s="1"/>
  <c r="CN56" i="24"/>
  <c r="DA56" i="24" s="1"/>
  <c r="CN55" i="24"/>
  <c r="CS55" i="24"/>
  <c r="FD55" i="24" s="1"/>
  <c r="CZ48" i="24"/>
  <c r="CZ22" i="24"/>
  <c r="CS254" i="24"/>
  <c r="FD254" i="24" s="1"/>
  <c r="CN254" i="24"/>
  <c r="CZ292" i="24"/>
  <c r="CZ241" i="24"/>
  <c r="DT275" i="24"/>
  <c r="CZ312" i="24"/>
  <c r="CS134" i="24"/>
  <c r="FD134" i="24" s="1"/>
  <c r="CN134" i="24"/>
  <c r="CN147" i="24"/>
  <c r="DA147" i="24" s="1"/>
  <c r="CS147" i="24"/>
  <c r="FD147" i="24" s="1"/>
  <c r="CS126" i="24"/>
  <c r="FD126" i="24" s="1"/>
  <c r="CN126" i="24"/>
  <c r="DA126" i="24" s="1"/>
  <c r="CN80" i="24"/>
  <c r="DA80" i="24" s="1"/>
  <c r="CS80" i="24"/>
  <c r="FD80" i="24" s="1"/>
  <c r="CS76" i="24"/>
  <c r="FD76" i="24" s="1"/>
  <c r="CN76" i="24"/>
  <c r="CZ93" i="24"/>
  <c r="CN8" i="24"/>
  <c r="DA8" i="24" s="1"/>
  <c r="CS8" i="24"/>
  <c r="FD8" i="24" s="1"/>
  <c r="CS24" i="24"/>
  <c r="FD24" i="24" s="1"/>
  <c r="CN24" i="24"/>
  <c r="DA24" i="24" s="1"/>
  <c r="DT46" i="24"/>
  <c r="DT252" i="24"/>
  <c r="CN273" i="24"/>
  <c r="DA273" i="24" s="1"/>
  <c r="CS273" i="24"/>
  <c r="FD273" i="24" s="1"/>
  <c r="DT231" i="24"/>
  <c r="CS270" i="24"/>
  <c r="FD270" i="24" s="1"/>
  <c r="CN270" i="24"/>
  <c r="DA270" i="24" s="1"/>
  <c r="CZ100" i="24"/>
  <c r="DT32" i="24"/>
  <c r="CZ63" i="24"/>
  <c r="DT85" i="24"/>
  <c r="DT51" i="24"/>
  <c r="DT13" i="24"/>
  <c r="CN23" i="24"/>
  <c r="DA23" i="24" s="1"/>
  <c r="CS23" i="24"/>
  <c r="FD23" i="24" s="1"/>
  <c r="DT61" i="24"/>
  <c r="CN316" i="24"/>
  <c r="DA316" i="24" s="1"/>
  <c r="CS316" i="24"/>
  <c r="FD316" i="24" s="1"/>
  <c r="DT295" i="24"/>
  <c r="DT229" i="24"/>
  <c r="CS180" i="24"/>
  <c r="FD180" i="24" s="1"/>
  <c r="CN180" i="24"/>
  <c r="DA180" i="24" s="1"/>
  <c r="CZ178" i="24"/>
  <c r="CS117" i="24"/>
  <c r="FD117" i="24" s="1"/>
  <c r="CN117" i="24"/>
  <c r="CZ142" i="24"/>
  <c r="CN31" i="24"/>
  <c r="DA31" i="24" s="1"/>
  <c r="CS31" i="24"/>
  <c r="FD31" i="24" s="1"/>
  <c r="CN79" i="24"/>
  <c r="CS79" i="24"/>
  <c r="FD79" i="24" s="1"/>
  <c r="CS92" i="24"/>
  <c r="FD92" i="24" s="1"/>
  <c r="CN92" i="24"/>
  <c r="DA92" i="24" s="1"/>
  <c r="DT313" i="24"/>
  <c r="DT246" i="24"/>
  <c r="CZ223" i="24"/>
  <c r="DT260" i="24"/>
  <c r="DT299" i="24"/>
  <c r="CZ239" i="24"/>
  <c r="DT271" i="24"/>
  <c r="DT310" i="24"/>
  <c r="CZ138" i="24"/>
  <c r="CZ140" i="24"/>
  <c r="CZ43" i="24"/>
  <c r="CN71" i="24"/>
  <c r="DA71" i="24" s="1"/>
  <c r="CS71" i="24"/>
  <c r="FD71" i="24" s="1"/>
  <c r="CZ42" i="24"/>
  <c r="DT87" i="24"/>
  <c r="CZ34" i="24"/>
  <c r="CS38" i="24"/>
  <c r="FD38" i="24" s="1"/>
  <c r="CN38" i="24"/>
  <c r="DA38" i="24" s="1"/>
  <c r="DT20" i="24"/>
  <c r="DT62" i="24"/>
  <c r="DT84" i="24"/>
  <c r="DT10" i="24"/>
  <c r="DT57" i="24"/>
  <c r="CZ280" i="24"/>
  <c r="CZ278" i="24"/>
  <c r="DT279" i="24"/>
  <c r="CN191" i="24"/>
  <c r="DA191" i="24" s="1"/>
  <c r="CS191" i="24"/>
  <c r="FD191" i="24" s="1"/>
  <c r="DT104" i="24"/>
  <c r="CS154" i="24"/>
  <c r="FD154" i="24" s="1"/>
  <c r="CN154" i="24"/>
  <c r="DA154" i="24" s="1"/>
  <c r="CZ182" i="24"/>
  <c r="CS166" i="24"/>
  <c r="FD166" i="24" s="1"/>
  <c r="CN166" i="24"/>
  <c r="DA166" i="24" s="1"/>
  <c r="CN97" i="24"/>
  <c r="CS97" i="24"/>
  <c r="FD97" i="24" s="1"/>
  <c r="CZ7" i="24"/>
  <c r="CZ56" i="24"/>
  <c r="CN19" i="24"/>
  <c r="DA19" i="24" s="1"/>
  <c r="CS19" i="24"/>
  <c r="FD19" i="24" s="1"/>
  <c r="DT55" i="24"/>
  <c r="DT48" i="24"/>
  <c r="CS22" i="24"/>
  <c r="FD22" i="24" s="1"/>
  <c r="CN22" i="24"/>
  <c r="DA22" i="24" s="1"/>
  <c r="DT265" i="24"/>
  <c r="DT312" i="24"/>
  <c r="CZ230" i="24"/>
  <c r="CZ155" i="24"/>
  <c r="CS33" i="24"/>
  <c r="FD33" i="24" s="1"/>
  <c r="CN33" i="24"/>
  <c r="DA33" i="24" s="1"/>
  <c r="DT16" i="24"/>
  <c r="CS46" i="24"/>
  <c r="FD46" i="24" s="1"/>
  <c r="CN46" i="24"/>
  <c r="CS252" i="24"/>
  <c r="FD252" i="24" s="1"/>
  <c r="CN252" i="24"/>
  <c r="DA252" i="24" s="1"/>
  <c r="CZ247" i="24"/>
  <c r="CZ231" i="24"/>
  <c r="CS197" i="24"/>
  <c r="FD197" i="24" s="1"/>
  <c r="CN197" i="24"/>
  <c r="DT220" i="24"/>
  <c r="CN101" i="24"/>
  <c r="CS101" i="24"/>
  <c r="FD101" i="24" s="1"/>
  <c r="CZ165" i="24"/>
  <c r="CN51" i="24"/>
  <c r="DA51" i="24" s="1"/>
  <c r="CS51" i="24"/>
  <c r="FD51" i="24" s="1"/>
  <c r="CZ23" i="24"/>
  <c r="CN61" i="24"/>
  <c r="DA61" i="24" s="1"/>
  <c r="CS61" i="24"/>
  <c r="FD61" i="24" s="1"/>
  <c r="DT28" i="24"/>
  <c r="DT316" i="24"/>
  <c r="CN295" i="24"/>
  <c r="DA295" i="24" s="1"/>
  <c r="CS295" i="24"/>
  <c r="FD295" i="24" s="1"/>
  <c r="CS195" i="24"/>
  <c r="FD195" i="24" s="1"/>
  <c r="CN195" i="24"/>
  <c r="DA195" i="24" s="1"/>
  <c r="CZ249" i="24"/>
  <c r="CZ180" i="24"/>
  <c r="CS178" i="24"/>
  <c r="FD178" i="24" s="1"/>
  <c r="CN178" i="24"/>
  <c r="DA178" i="24" s="1"/>
  <c r="CZ95" i="24"/>
  <c r="CZ256" i="24"/>
  <c r="CZ74" i="24"/>
  <c r="CZ31" i="24"/>
  <c r="CZ44" i="24"/>
  <c r="CZ96" i="24"/>
  <c r="CN12" i="24"/>
  <c r="DA12" i="24" s="1"/>
  <c r="CS12" i="24"/>
  <c r="FD12" i="24" s="1"/>
  <c r="DT92" i="24"/>
  <c r="CS196" i="24"/>
  <c r="FD196" i="24" s="1"/>
  <c r="CN196" i="24"/>
  <c r="DA196" i="24" s="1"/>
  <c r="CS223" i="24"/>
  <c r="FD223" i="24" s="1"/>
  <c r="CN223" i="24"/>
  <c r="DT225" i="24"/>
  <c r="DT239" i="24"/>
  <c r="CN271" i="24"/>
  <c r="CS271" i="24"/>
  <c r="FD271" i="24" s="1"/>
  <c r="CZ174" i="24"/>
  <c r="CS188" i="24"/>
  <c r="FD188" i="24" s="1"/>
  <c r="CN188" i="24"/>
  <c r="CZ151" i="24"/>
  <c r="CS140" i="24"/>
  <c r="FD140" i="24" s="1"/>
  <c r="CN140" i="24"/>
  <c r="DA140" i="24" s="1"/>
  <c r="CS266" i="24"/>
  <c r="FD266" i="24" s="1"/>
  <c r="CN266" i="24"/>
  <c r="CN127" i="24"/>
  <c r="DA127" i="24" s="1"/>
  <c r="CS127" i="24"/>
  <c r="FD127" i="24" s="1"/>
  <c r="CS42" i="24"/>
  <c r="FD42" i="24" s="1"/>
  <c r="CN42" i="24"/>
  <c r="DA42" i="24" s="1"/>
  <c r="CZ87" i="24"/>
  <c r="CN164" i="24"/>
  <c r="DA164" i="24" s="1"/>
  <c r="CS164" i="24"/>
  <c r="FD164" i="24" s="1"/>
  <c r="CZ193" i="24"/>
  <c r="CS156" i="24"/>
  <c r="FD156" i="24" s="1"/>
  <c r="CN156" i="24"/>
  <c r="CZ62" i="24"/>
  <c r="CS84" i="24"/>
  <c r="FD84" i="24" s="1"/>
  <c r="CN84" i="24"/>
  <c r="CS57" i="24"/>
  <c r="FD57" i="24" s="1"/>
  <c r="CN57" i="24"/>
  <c r="DA57" i="24" s="1"/>
  <c r="CS278" i="24"/>
  <c r="FD278" i="24" s="1"/>
  <c r="CN278" i="24"/>
  <c r="DA278" i="24" s="1"/>
  <c r="DT262" i="24"/>
  <c r="DT276" i="24"/>
  <c r="CS143" i="24"/>
  <c r="FD143" i="24" s="1"/>
  <c r="CN143" i="24"/>
  <c r="CS175" i="24"/>
  <c r="FD175" i="24" s="1"/>
  <c r="CN175" i="24"/>
  <c r="DA175" i="24" s="1"/>
  <c r="CN170" i="24"/>
  <c r="CS170" i="24"/>
  <c r="FD170" i="24" s="1"/>
  <c r="DT19" i="24"/>
  <c r="CS27" i="24"/>
  <c r="FD27" i="24" s="1"/>
  <c r="CN27" i="24"/>
  <c r="CZ274" i="24"/>
  <c r="CS202" i="24"/>
  <c r="FD202" i="24" s="1"/>
  <c r="CN202" i="24"/>
  <c r="CS308" i="24"/>
  <c r="FD308" i="24" s="1"/>
  <c r="CN308" i="24"/>
  <c r="DA308" i="24" s="1"/>
  <c r="DT292" i="24"/>
  <c r="DT241" i="24"/>
  <c r="DT230" i="24"/>
  <c r="CZ186" i="24"/>
  <c r="DT105" i="24"/>
  <c r="CZ173" i="24"/>
  <c r="CN155" i="24"/>
  <c r="DA155" i="24" s="1"/>
  <c r="CS155" i="24"/>
  <c r="FD155" i="24" s="1"/>
  <c r="DT33" i="24"/>
  <c r="CS54" i="24"/>
  <c r="FD54" i="24" s="1"/>
  <c r="CN54" i="24"/>
  <c r="CS65" i="24"/>
  <c r="FD65" i="24" s="1"/>
  <c r="CN65" i="24"/>
  <c r="CZ304" i="24"/>
  <c r="CZ303" i="24"/>
  <c r="DT270" i="24"/>
  <c r="CN288" i="24"/>
  <c r="DA288" i="24" s="1"/>
  <c r="CS288" i="24"/>
  <c r="FD288" i="24" s="1"/>
  <c r="CZ181" i="24"/>
  <c r="DT101" i="24"/>
  <c r="CS144" i="24"/>
  <c r="FD144" i="24" s="1"/>
  <c r="CN144" i="24"/>
  <c r="CZ159" i="24"/>
  <c r="CZ68" i="24"/>
  <c r="CZ137" i="24"/>
  <c r="DT63" i="24"/>
  <c r="CZ51" i="24"/>
  <c r="CZ13" i="24"/>
  <c r="CS35" i="24"/>
  <c r="FD35" i="24" s="1"/>
  <c r="CN35" i="24"/>
  <c r="DA35" i="24" s="1"/>
  <c r="CZ61" i="24"/>
  <c r="CZ316" i="24"/>
  <c r="CS251" i="24"/>
  <c r="FD251" i="24" s="1"/>
  <c r="CN251" i="24"/>
  <c r="DA251" i="24" s="1"/>
  <c r="CZ295" i="24"/>
  <c r="CN227" i="24"/>
  <c r="CS227" i="24"/>
  <c r="FD227" i="24" s="1"/>
  <c r="CZ301" i="24"/>
  <c r="CS95" i="24"/>
  <c r="FD95" i="24" s="1"/>
  <c r="CN95" i="24"/>
  <c r="CZ49" i="24"/>
  <c r="CN239" i="24"/>
  <c r="CS239" i="24"/>
  <c r="FD239" i="24" s="1"/>
  <c r="CZ315" i="24"/>
  <c r="CS201" i="24"/>
  <c r="FD201" i="24" s="1"/>
  <c r="CN201" i="24"/>
  <c r="CZ176" i="24"/>
  <c r="CN114" i="24"/>
  <c r="CS114" i="24"/>
  <c r="FD114" i="24" s="1"/>
  <c r="CS174" i="24"/>
  <c r="FD174" i="24" s="1"/>
  <c r="CN174" i="24"/>
  <c r="CZ124" i="24"/>
  <c r="CZ69" i="24"/>
  <c r="DT39" i="24"/>
  <c r="CN91" i="24"/>
  <c r="CS91" i="24"/>
  <c r="FD91" i="24" s="1"/>
  <c r="DT42" i="24"/>
  <c r="CZ53" i="24"/>
  <c r="DT34" i="24"/>
  <c r="CZ204" i="24"/>
  <c r="CS293" i="24"/>
  <c r="FD293" i="24" s="1"/>
  <c r="CN293" i="24"/>
  <c r="DA293" i="24" s="1"/>
  <c r="CS276" i="24"/>
  <c r="FD276" i="24" s="1"/>
  <c r="CN276" i="24"/>
  <c r="CZ191" i="24"/>
  <c r="CZ228" i="24"/>
  <c r="CS182" i="24"/>
  <c r="FD182" i="24" s="1"/>
  <c r="CN182" i="24"/>
  <c r="CZ129" i="24"/>
  <c r="CN82" i="24"/>
  <c r="DA82" i="24" s="1"/>
  <c r="CS82" i="24"/>
  <c r="FD82" i="24" s="1"/>
  <c r="CN88" i="24"/>
  <c r="CS88" i="24"/>
  <c r="FD88" i="24" s="1"/>
  <c r="DT97" i="24"/>
  <c r="DT56" i="24"/>
  <c r="CZ308" i="24"/>
  <c r="CS241" i="24"/>
  <c r="FD241" i="24" s="1"/>
  <c r="CN241" i="24"/>
  <c r="CZ210" i="24"/>
  <c r="CN230" i="24"/>
  <c r="DA230" i="24" s="1"/>
  <c r="CS230" i="24"/>
  <c r="FD230" i="24" s="1"/>
  <c r="CN183" i="24"/>
  <c r="DA183" i="24" s="1"/>
  <c r="CS183" i="24"/>
  <c r="FD183" i="24" s="1"/>
  <c r="CZ147" i="24"/>
  <c r="CZ33" i="24"/>
  <c r="DT76" i="24"/>
  <c r="CN90" i="24"/>
  <c r="CS90" i="24"/>
  <c r="FD90" i="24" s="1"/>
  <c r="DT8" i="24"/>
  <c r="CZ25" i="24"/>
  <c r="DT24" i="24"/>
  <c r="DT65" i="24"/>
  <c r="CZ269" i="24"/>
  <c r="CN199" i="24"/>
  <c r="DA199" i="24" s="1"/>
  <c r="CS199" i="24"/>
  <c r="FD199" i="24" s="1"/>
  <c r="DT303" i="24"/>
  <c r="CN181" i="24"/>
  <c r="CS181" i="24"/>
  <c r="FD181" i="24" s="1"/>
  <c r="CN131" i="24"/>
  <c r="DA131" i="24" s="1"/>
  <c r="CS131" i="24"/>
  <c r="FD131" i="24" s="1"/>
  <c r="DT100" i="24"/>
  <c r="CN121" i="24"/>
  <c r="DA121" i="24" s="1"/>
  <c r="CS121" i="24"/>
  <c r="FD121" i="24" s="1"/>
  <c r="DT78" i="24"/>
  <c r="CS159" i="24"/>
  <c r="FD159" i="24" s="1"/>
  <c r="CN159" i="24"/>
  <c r="CS63" i="24"/>
  <c r="FD63" i="24" s="1"/>
  <c r="CN63" i="24"/>
  <c r="CZ35" i="24"/>
  <c r="DT251" i="24"/>
  <c r="CS301" i="24"/>
  <c r="FD301" i="24" s="1"/>
  <c r="CN301" i="24"/>
  <c r="DA301" i="24" s="1"/>
  <c r="CN249" i="24"/>
  <c r="CS249" i="24"/>
  <c r="FD249" i="24" s="1"/>
  <c r="CN256" i="24"/>
  <c r="CS256" i="24"/>
  <c r="FD256" i="24" s="1"/>
  <c r="CS49" i="24"/>
  <c r="FD49" i="24" s="1"/>
  <c r="CN49" i="24"/>
  <c r="DA49" i="24" s="1"/>
  <c r="CZ12" i="24"/>
  <c r="CZ77" i="24"/>
  <c r="CZ26" i="24"/>
  <c r="CZ196" i="24"/>
  <c r="CN260" i="24"/>
  <c r="DA260" i="24" s="1"/>
  <c r="CS260" i="24"/>
  <c r="FD260" i="24" s="1"/>
  <c r="CN315" i="24"/>
  <c r="CS315" i="24"/>
  <c r="FD315" i="24" s="1"/>
  <c r="CZ237" i="24"/>
  <c r="CS151" i="24"/>
  <c r="FD151" i="24" s="1"/>
  <c r="CN151" i="24"/>
  <c r="DA151" i="24" s="1"/>
  <c r="CN168" i="24"/>
  <c r="CS168" i="24"/>
  <c r="FD168" i="24" s="1"/>
  <c r="CN53" i="24"/>
  <c r="DA53" i="24" s="1"/>
  <c r="CS53" i="24"/>
  <c r="FD53" i="24" s="1"/>
  <c r="CS34" i="24"/>
  <c r="FD34" i="24" s="1"/>
  <c r="CN34" i="24"/>
  <c r="DA34" i="24" s="1"/>
  <c r="CN62" i="24"/>
  <c r="DA62" i="24" s="1"/>
  <c r="CS62" i="24"/>
  <c r="FD62" i="24" s="1"/>
  <c r="CZ10" i="24"/>
  <c r="DT17" i="24"/>
  <c r="DT278" i="24"/>
  <c r="CS204" i="24"/>
  <c r="FD204" i="24" s="1"/>
  <c r="CN204" i="24"/>
  <c r="DA204" i="24" s="1"/>
  <c r="CN245" i="24"/>
  <c r="CS245" i="24"/>
  <c r="FD245" i="24" s="1"/>
  <c r="CN235" i="24"/>
  <c r="CS235" i="24"/>
  <c r="FD235" i="24" s="1"/>
  <c r="CZ243" i="24"/>
  <c r="CS228" i="24"/>
  <c r="FD228" i="24" s="1"/>
  <c r="CN228" i="24"/>
  <c r="CZ175" i="24"/>
  <c r="CZ104" i="24"/>
  <c r="CZ82" i="24"/>
  <c r="DT88" i="24"/>
  <c r="CS7" i="24"/>
  <c r="FD7" i="24" s="1"/>
  <c r="CN7" i="24"/>
  <c r="DA7" i="24" s="1"/>
  <c r="CZ19" i="24"/>
  <c r="DT27" i="24"/>
  <c r="CZ67" i="24"/>
  <c r="CS48" i="24"/>
  <c r="FD48" i="24" s="1"/>
  <c r="CN48" i="24"/>
  <c r="DA48" i="24" s="1"/>
  <c r="CS274" i="24"/>
  <c r="FD274" i="24" s="1"/>
  <c r="CN274" i="24"/>
  <c r="DT248" i="24"/>
  <c r="DT305" i="24"/>
  <c r="CN210" i="24"/>
  <c r="CS210" i="24"/>
  <c r="FD210" i="24" s="1"/>
  <c r="CZ275" i="24"/>
  <c r="CN169" i="24"/>
  <c r="DA169" i="24" s="1"/>
  <c r="CS169" i="24"/>
  <c r="FD169" i="24" s="1"/>
  <c r="CZ102" i="24"/>
  <c r="CZ126" i="24"/>
  <c r="CZ80" i="24"/>
  <c r="CS149" i="24"/>
  <c r="FD149" i="24" s="1"/>
  <c r="CN149" i="24"/>
  <c r="DA149" i="24" s="1"/>
  <c r="DT90" i="24"/>
  <c r="DT25" i="24"/>
  <c r="CZ16" i="24"/>
  <c r="CS304" i="24"/>
  <c r="FD304" i="24" s="1"/>
  <c r="CN304" i="24"/>
  <c r="DT261" i="24"/>
  <c r="CZ270" i="24"/>
  <c r="DT288" i="24"/>
  <c r="CZ160" i="24"/>
  <c r="CS135" i="24"/>
  <c r="FD135" i="24" s="1"/>
  <c r="CN135" i="24"/>
  <c r="DA135" i="24" s="1"/>
  <c r="CZ121" i="24"/>
  <c r="CZ85" i="24"/>
  <c r="CN13" i="24"/>
  <c r="DA13" i="24" s="1"/>
  <c r="CS13" i="24"/>
  <c r="FD13" i="24" s="1"/>
  <c r="CS94" i="24"/>
  <c r="FD94" i="24" s="1"/>
  <c r="CN94" i="24"/>
  <c r="CZ251" i="24"/>
  <c r="CS198" i="24"/>
  <c r="FD198" i="24" s="1"/>
  <c r="CN198" i="24"/>
  <c r="DA198" i="24" s="1"/>
  <c r="DT227" i="24"/>
  <c r="CZ268" i="24"/>
  <c r="DT301" i="24"/>
  <c r="CZ257" i="24"/>
  <c r="DT249" i="24"/>
  <c r="CZ272" i="24"/>
  <c r="CZ125" i="24"/>
  <c r="DT95" i="24"/>
  <c r="CN128" i="24"/>
  <c r="DA128" i="24" s="1"/>
  <c r="CS128" i="24"/>
  <c r="FD128" i="24" s="1"/>
  <c r="CN158" i="24"/>
  <c r="CS158" i="24"/>
  <c r="FD158" i="24" s="1"/>
  <c r="CS145" i="24"/>
  <c r="FD145" i="24" s="1"/>
  <c r="CN145" i="24"/>
  <c r="CZ218" i="24"/>
  <c r="DT79" i="24"/>
  <c r="DT49" i="24"/>
  <c r="CN96" i="24"/>
  <c r="CS96" i="24"/>
  <c r="FD96" i="24" s="1"/>
  <c r="DT77" i="24"/>
  <c r="CZ59" i="24"/>
  <c r="CN26" i="24"/>
  <c r="DA26" i="24" s="1"/>
  <c r="CS26" i="24"/>
  <c r="FD26" i="24" s="1"/>
  <c r="CZ290" i="24"/>
  <c r="DT315" i="24"/>
  <c r="CN176" i="24"/>
  <c r="DA176" i="24" s="1"/>
  <c r="CS176" i="24"/>
  <c r="FD176" i="24" s="1"/>
  <c r="DT99" i="24"/>
  <c r="CZ71" i="24"/>
  <c r="CS11" i="24"/>
  <c r="FD11" i="24" s="1"/>
  <c r="CN11" i="24"/>
  <c r="Q5" i="29"/>
  <c r="BC7" i="19"/>
  <c r="K77" i="23"/>
  <c r="M77" i="23" s="1"/>
  <c r="B233" i="2"/>
  <c r="BK6" i="19"/>
  <c r="BB6" i="19"/>
  <c r="BH7" i="19"/>
  <c r="BF6" i="19"/>
  <c r="BK7" i="19"/>
  <c r="BS7" i="19"/>
  <c r="BF9" i="19"/>
  <c r="BH9" i="19"/>
  <c r="BD9" i="19"/>
  <c r="BA6" i="19"/>
  <c r="BI6" i="19"/>
  <c r="BD6" i="19"/>
  <c r="AZ7" i="19"/>
  <c r="BL7" i="19" s="1"/>
  <c r="BM7" i="19" s="1"/>
  <c r="BZ7" i="19" s="1"/>
  <c r="BG7" i="19"/>
  <c r="BJ7" i="19"/>
  <c r="BS6" i="19"/>
  <c r="AZ6" i="19"/>
  <c r="BL6" i="19" s="1"/>
  <c r="BM6" i="19" s="1"/>
  <c r="BZ6" i="19" s="1"/>
  <c r="BG6" i="19"/>
  <c r="BB7" i="19"/>
  <c r="BF7" i="19"/>
  <c r="BA7" i="19"/>
  <c r="BC6" i="19"/>
  <c r="BH6" i="19"/>
  <c r="BE6" i="19"/>
  <c r="BE7" i="19"/>
  <c r="BI7" i="19"/>
  <c r="BB9" i="19"/>
  <c r="BI9" i="19"/>
  <c r="BB8" i="19"/>
  <c r="BS8" i="19"/>
  <c r="BJ9" i="19"/>
  <c r="BS9" i="19"/>
  <c r="BK8" i="19"/>
  <c r="AZ9" i="19"/>
  <c r="BL9" i="19" s="1"/>
  <c r="BM9" i="19" s="1"/>
  <c r="BZ9" i="19" s="1"/>
  <c r="BD8" i="19"/>
  <c r="BE8" i="19"/>
  <c r="BG8" i="19"/>
  <c r="BE9" i="19"/>
  <c r="BA9" i="19"/>
  <c r="BG9" i="19"/>
  <c r="BH8" i="19"/>
  <c r="BI8" i="19"/>
  <c r="BF8" i="19"/>
  <c r="AZ8" i="19"/>
  <c r="BL8" i="19" s="1"/>
  <c r="BM8" i="19" s="1"/>
  <c r="BZ8" i="19" s="1"/>
  <c r="BK9" i="19"/>
  <c r="BC9" i="19"/>
  <c r="BA8" i="19"/>
  <c r="BJ8" i="19"/>
  <c r="K67" i="23"/>
  <c r="M67" i="23" s="1"/>
  <c r="L103" i="23"/>
  <c r="M103" i="23" s="1"/>
  <c r="L88" i="23"/>
  <c r="M88" i="23" s="1"/>
  <c r="K20" i="23"/>
  <c r="M20" i="23" s="1"/>
  <c r="K63" i="23"/>
  <c r="M63" i="23" s="1"/>
  <c r="L49" i="23"/>
  <c r="M49" i="23" s="1"/>
  <c r="K84" i="23"/>
  <c r="M84" i="23" s="1"/>
  <c r="L60" i="23"/>
  <c r="M60" i="23" s="1"/>
  <c r="L100" i="23"/>
  <c r="M100" i="23" s="1"/>
  <c r="L24" i="23"/>
  <c r="M24" i="23" s="1"/>
  <c r="K42" i="23"/>
  <c r="M42" i="23" s="1"/>
  <c r="K66" i="23"/>
  <c r="M66" i="23" s="1"/>
  <c r="K74" i="23"/>
  <c r="M74" i="23" s="1"/>
  <c r="K58" i="23"/>
  <c r="M58" i="23" s="1"/>
  <c r="K93" i="23"/>
  <c r="M93" i="23" s="1"/>
  <c r="L57" i="23"/>
  <c r="M57" i="23" s="1"/>
  <c r="L72" i="23"/>
  <c r="M72" i="23" s="1"/>
  <c r="K65" i="23"/>
  <c r="M65" i="23" s="1"/>
  <c r="L95" i="23"/>
  <c r="M95" i="23" s="1"/>
  <c r="M11" i="23"/>
  <c r="M99" i="23"/>
  <c r="M27" i="23"/>
  <c r="M19" i="23"/>
  <c r="M56" i="23"/>
  <c r="M8" i="23"/>
  <c r="M87" i="23"/>
  <c r="M55" i="23"/>
  <c r="M75" i="23"/>
  <c r="M12" i="23"/>
  <c r="M47" i="23"/>
  <c r="M43" i="23"/>
  <c r="M6" i="23"/>
  <c r="L97" i="23"/>
  <c r="M97" i="23" s="1"/>
  <c r="K83" i="23"/>
  <c r="M83" i="23" s="1"/>
  <c r="M98" i="23"/>
  <c r="M62" i="23"/>
  <c r="M46" i="23"/>
  <c r="M76" i="23"/>
  <c r="M78" i="23"/>
  <c r="M54" i="23"/>
  <c r="M81" i="23"/>
  <c r="M85" i="23"/>
  <c r="M50" i="23"/>
  <c r="M53" i="23"/>
  <c r="M101" i="23"/>
  <c r="M45" i="23"/>
  <c r="M34" i="23"/>
  <c r="M36" i="23"/>
  <c r="M28" i="23"/>
  <c r="M9" i="23"/>
  <c r="M33" i="23"/>
  <c r="M30" i="23"/>
  <c r="M90" i="23"/>
  <c r="M10" i="23"/>
  <c r="M94" i="23"/>
  <c r="M68" i="23"/>
  <c r="M70" i="23"/>
  <c r="M106" i="23"/>
  <c r="M41" i="23"/>
  <c r="M37" i="23"/>
  <c r="M44" i="23"/>
  <c r="M32" i="23"/>
  <c r="M23" i="23"/>
  <c r="M48" i="23"/>
  <c r="M64" i="23"/>
  <c r="M15" i="23"/>
  <c r="M40" i="23"/>
  <c r="M80" i="23"/>
  <c r="M31" i="23"/>
  <c r="M91" i="23"/>
  <c r="M7" i="23"/>
  <c r="M96" i="23"/>
  <c r="M51" i="23"/>
  <c r="M71" i="23"/>
  <c r="M39" i="23"/>
  <c r="M79" i="23"/>
  <c r="M104" i="23"/>
  <c r="M59" i="23"/>
  <c r="M16" i="23"/>
  <c r="M35" i="23"/>
  <c r="M18" i="23"/>
  <c r="M105" i="23"/>
  <c r="M86" i="23"/>
  <c r="M52" i="23"/>
  <c r="M89" i="23"/>
  <c r="M38" i="23"/>
  <c r="M25" i="23"/>
  <c r="M61" i="23"/>
  <c r="M82" i="23"/>
  <c r="M14" i="23"/>
  <c r="M29" i="23"/>
  <c r="M69" i="23"/>
  <c r="M17" i="23"/>
  <c r="M21" i="23"/>
  <c r="M22" i="23"/>
  <c r="M92" i="23"/>
  <c r="M73" i="23"/>
  <c r="M13" i="23"/>
  <c r="M102" i="23"/>
  <c r="M26" i="23"/>
  <c r="B228" i="2"/>
  <c r="A269" i="2"/>
  <c r="D48" i="16"/>
  <c r="B229" i="2"/>
  <c r="D49" i="16"/>
  <c r="DC85" i="24" l="1"/>
  <c r="DC58" i="24"/>
  <c r="DC29" i="24"/>
  <c r="E76" i="1"/>
  <c r="E77" i="1" s="1"/>
  <c r="F76" i="1"/>
  <c r="DC25" i="24"/>
  <c r="DC87" i="24"/>
  <c r="DC74" i="24"/>
  <c r="DC19" i="24"/>
  <c r="DC45" i="24"/>
  <c r="DC82" i="24"/>
  <c r="DC73" i="24"/>
  <c r="DC77" i="24"/>
  <c r="DC67" i="24"/>
  <c r="DB210" i="25"/>
  <c r="DC43" i="24"/>
  <c r="DC23" i="24"/>
  <c r="DC35" i="24"/>
  <c r="DC80" i="24"/>
  <c r="DC93" i="24"/>
  <c r="DC16" i="24"/>
  <c r="DC9" i="24"/>
  <c r="DC104" i="24"/>
  <c r="DC12" i="24"/>
  <c r="DC33" i="24"/>
  <c r="DC102" i="24"/>
  <c r="DC10" i="24"/>
  <c r="DC31" i="24"/>
  <c r="DC61" i="24"/>
  <c r="DC32" i="24"/>
  <c r="DC59" i="24"/>
  <c r="DC60" i="24"/>
  <c r="DC30" i="24"/>
  <c r="DC20" i="24"/>
  <c r="DC51" i="24"/>
  <c r="DC44" i="24"/>
  <c r="DC6" i="24"/>
  <c r="DC21" i="24"/>
  <c r="DC68" i="24"/>
  <c r="DC24" i="24"/>
  <c r="DC36" i="24"/>
  <c r="DC75" i="24"/>
  <c r="DC22" i="24"/>
  <c r="DC86" i="24"/>
  <c r="DC53" i="24"/>
  <c r="DC62" i="24"/>
  <c r="DC48" i="24"/>
  <c r="DC13" i="24"/>
  <c r="DC26" i="24"/>
  <c r="DC49" i="24"/>
  <c r="DC34" i="24"/>
  <c r="DC100" i="24"/>
  <c r="DC39" i="24"/>
  <c r="DC78" i="24"/>
  <c r="DC57" i="24"/>
  <c r="CZ110" i="25"/>
  <c r="DB110" i="25" s="1"/>
  <c r="DC56" i="24"/>
  <c r="DC42" i="24"/>
  <c r="DC92" i="24"/>
  <c r="DC37" i="24"/>
  <c r="DC38" i="24"/>
  <c r="DC8" i="24"/>
  <c r="DC103" i="24"/>
  <c r="DC47" i="24"/>
  <c r="DA110" i="25"/>
  <c r="DD110" i="25" s="1"/>
  <c r="DE110" i="25" s="1"/>
  <c r="DF110" i="25" s="1"/>
  <c r="DM110" i="25" s="1"/>
  <c r="DW110" i="25" s="1"/>
  <c r="DC71" i="24"/>
  <c r="DC69" i="24"/>
  <c r="DC7" i="24"/>
  <c r="DM101" i="25"/>
  <c r="DW101" i="25" s="1"/>
  <c r="K345" i="29"/>
  <c r="K107" i="29"/>
  <c r="K578" i="29"/>
  <c r="L563" i="29"/>
  <c r="L532" i="29"/>
  <c r="K493" i="29"/>
  <c r="K433" i="29"/>
  <c r="K405" i="29"/>
  <c r="L438" i="29"/>
  <c r="L23" i="29"/>
  <c r="L603" i="29"/>
  <c r="L566" i="29"/>
  <c r="K503" i="29"/>
  <c r="L482" i="29"/>
  <c r="K492" i="29"/>
  <c r="K411" i="29"/>
  <c r="L429" i="29"/>
  <c r="L344" i="29"/>
  <c r="L601" i="29"/>
  <c r="K575" i="29"/>
  <c r="K565" i="29"/>
  <c r="L536" i="29"/>
  <c r="L485" i="29"/>
  <c r="L31" i="29"/>
  <c r="L607" i="29"/>
  <c r="L571" i="29"/>
  <c r="K543" i="29"/>
  <c r="K526" i="29"/>
  <c r="K474" i="29"/>
  <c r="L443" i="29"/>
  <c r="K396" i="29"/>
  <c r="K386" i="29"/>
  <c r="K79" i="29"/>
  <c r="K582" i="29"/>
  <c r="K555" i="29"/>
  <c r="K522" i="29"/>
  <c r="L476" i="29"/>
  <c r="K449" i="29"/>
  <c r="L424" i="29"/>
  <c r="K383" i="29"/>
  <c r="K336" i="29"/>
  <c r="L600" i="29"/>
  <c r="K574" i="29"/>
  <c r="L539" i="29"/>
  <c r="L500" i="29"/>
  <c r="K467" i="29"/>
  <c r="K428" i="29"/>
  <c r="L442" i="29"/>
  <c r="L410" i="29"/>
  <c r="K126" i="29"/>
  <c r="K604" i="29"/>
  <c r="K547" i="29"/>
  <c r="K514" i="29"/>
  <c r="L468" i="29"/>
  <c r="K441" i="29"/>
  <c r="K414" i="29"/>
  <c r="K375" i="29"/>
  <c r="K328" i="29"/>
  <c r="K442" i="29"/>
  <c r="L314" i="29"/>
  <c r="K317" i="29"/>
  <c r="L249" i="29"/>
  <c r="K271" i="29"/>
  <c r="K217" i="29"/>
  <c r="K183" i="29"/>
  <c r="L188" i="29"/>
  <c r="K154" i="29"/>
  <c r="K26" i="29"/>
  <c r="K451" i="29"/>
  <c r="K319" i="29"/>
  <c r="L332" i="29"/>
  <c r="K234" i="29"/>
  <c r="L278" i="29"/>
  <c r="L217" i="29"/>
  <c r="L183" i="29"/>
  <c r="L194" i="29"/>
  <c r="L97" i="29"/>
  <c r="L99" i="29"/>
  <c r="K516" i="29"/>
  <c r="L343" i="29"/>
  <c r="K296" i="29"/>
  <c r="L277" i="29"/>
  <c r="K243" i="29"/>
  <c r="L609" i="29"/>
  <c r="K596" i="29"/>
  <c r="K525" i="29"/>
  <c r="K513" i="29"/>
  <c r="K500" i="29"/>
  <c r="L456" i="29"/>
  <c r="K373" i="29"/>
  <c r="L398" i="29"/>
  <c r="L52" i="29"/>
  <c r="L593" i="29"/>
  <c r="L547" i="29"/>
  <c r="L510" i="29"/>
  <c r="K497" i="29"/>
  <c r="K461" i="29"/>
  <c r="L433" i="29"/>
  <c r="K395" i="29"/>
  <c r="K348" i="29"/>
  <c r="L612" i="29"/>
  <c r="L574" i="29"/>
  <c r="K524" i="29"/>
  <c r="L515" i="29"/>
  <c r="K485" i="29"/>
  <c r="K54" i="29"/>
  <c r="K599" i="29"/>
  <c r="L567" i="29"/>
  <c r="K530" i="29"/>
  <c r="K506" i="29"/>
  <c r="K478" i="29"/>
  <c r="L411" i="29"/>
  <c r="L412" i="29"/>
  <c r="L397" i="29"/>
  <c r="K602" i="29"/>
  <c r="L568" i="29"/>
  <c r="K541" i="29"/>
  <c r="L509" i="29"/>
  <c r="K472" i="29"/>
  <c r="K417" i="29"/>
  <c r="K389" i="29"/>
  <c r="K416" i="29"/>
  <c r="L39" i="29"/>
  <c r="L599" i="29"/>
  <c r="K568" i="29"/>
  <c r="K535" i="29"/>
  <c r="K508" i="29"/>
  <c r="K466" i="29"/>
  <c r="L435" i="29"/>
  <c r="K388" i="29"/>
  <c r="K378" i="29"/>
  <c r="K594" i="29"/>
  <c r="L560" i="29"/>
  <c r="K533" i="29"/>
  <c r="K521" i="29"/>
  <c r="K464" i="29"/>
  <c r="K409" i="29"/>
  <c r="K381" i="29"/>
  <c r="K404" i="29"/>
  <c r="L581" i="29"/>
  <c r="L422" i="29"/>
  <c r="L341" i="29"/>
  <c r="K314" i="29"/>
  <c r="K275" i="29"/>
  <c r="K239" i="29"/>
  <c r="K185" i="29"/>
  <c r="K162" i="29"/>
  <c r="L142" i="29"/>
  <c r="L116" i="29"/>
  <c r="L24" i="29"/>
  <c r="K377" i="29"/>
  <c r="L342" i="29"/>
  <c r="K303" i="29"/>
  <c r="L275" i="29"/>
  <c r="L243" i="29"/>
  <c r="L185" i="29"/>
  <c r="K211" i="29"/>
  <c r="K147" i="29"/>
  <c r="L65" i="29"/>
  <c r="L67" i="29"/>
  <c r="L448" i="29"/>
  <c r="K85" i="29"/>
  <c r="K189" i="29"/>
  <c r="K142" i="29"/>
  <c r="K597" i="29"/>
  <c r="K585" i="29"/>
  <c r="K532" i="29"/>
  <c r="L504" i="29"/>
  <c r="K502" i="29"/>
  <c r="K448" i="29"/>
  <c r="L392" i="29"/>
  <c r="K454" i="29"/>
  <c r="K44" i="29"/>
  <c r="K577" i="29"/>
  <c r="K561" i="29"/>
  <c r="L521" i="29"/>
  <c r="L489" i="29"/>
  <c r="K429" i="29"/>
  <c r="K401" i="29"/>
  <c r="L430" i="29"/>
  <c r="L43" i="29"/>
  <c r="K627" i="29"/>
  <c r="K572" i="29"/>
  <c r="L545" i="29"/>
  <c r="L480" i="29"/>
  <c r="L478" i="29"/>
  <c r="K101" i="29"/>
  <c r="L591" i="29"/>
  <c r="L558" i="29"/>
  <c r="L534" i="29"/>
  <c r="K512" i="29"/>
  <c r="K480" i="29"/>
  <c r="K435" i="29"/>
  <c r="L379" i="29"/>
  <c r="L368" i="29"/>
  <c r="K613" i="29"/>
  <c r="K567" i="29"/>
  <c r="L549" i="29"/>
  <c r="L520" i="29"/>
  <c r="L471" i="29"/>
  <c r="L474" i="29"/>
  <c r="K418" i="29"/>
  <c r="L382" i="29"/>
  <c r="K86" i="29"/>
  <c r="K588" i="29"/>
  <c r="K553" i="29"/>
  <c r="L541" i="29"/>
  <c r="K499" i="29"/>
  <c r="L473" i="29"/>
  <c r="K459" i="29"/>
  <c r="L403" i="29"/>
  <c r="L389" i="29"/>
  <c r="K605" i="29"/>
  <c r="K559" i="29"/>
  <c r="K540" i="29"/>
  <c r="L512" i="29"/>
  <c r="L463" i="29"/>
  <c r="K456" i="29"/>
  <c r="L400" i="29"/>
  <c r="L374" i="29"/>
  <c r="L589" i="29"/>
  <c r="L401" i="29"/>
  <c r="K329" i="29"/>
  <c r="K286" i="29"/>
  <c r="K241" i="29"/>
  <c r="L242" i="29"/>
  <c r="L220" i="29"/>
  <c r="K157" i="29"/>
  <c r="L110" i="29"/>
  <c r="L84" i="29"/>
  <c r="L613" i="29"/>
  <c r="L395" i="29"/>
  <c r="L369" i="29"/>
  <c r="K311" i="29"/>
  <c r="L245" i="29"/>
  <c r="K267" i="29"/>
  <c r="K213" i="29"/>
  <c r="K179" i="29"/>
  <c r="L170" i="29"/>
  <c r="K146" i="29"/>
  <c r="K38" i="29"/>
  <c r="K439" i="29"/>
  <c r="K315" i="29"/>
  <c r="L331" i="29"/>
  <c r="K230" i="29"/>
  <c r="K45" i="29"/>
  <c r="K81" i="29"/>
  <c r="K446" i="29"/>
  <c r="L35" i="29"/>
  <c r="I633" i="29"/>
  <c r="K562" i="29"/>
  <c r="L527" i="29"/>
  <c r="L488" i="29"/>
  <c r="L505" i="29"/>
  <c r="L455" i="29"/>
  <c r="L417" i="29"/>
  <c r="K398" i="29"/>
  <c r="L605" i="29"/>
  <c r="L585" i="29"/>
  <c r="L578" i="29"/>
  <c r="K509" i="29"/>
  <c r="K489" i="29"/>
  <c r="L452" i="29"/>
  <c r="K450" i="29"/>
  <c r="L394" i="29"/>
  <c r="K70" i="29"/>
  <c r="K607" i="29"/>
  <c r="L573" i="29"/>
  <c r="K534" i="29"/>
  <c r="L487" i="29"/>
  <c r="L479" i="29"/>
  <c r="K20" i="29"/>
  <c r="L595" i="29"/>
  <c r="K556" i="29"/>
  <c r="L544" i="29"/>
  <c r="L502" i="29"/>
  <c r="L457" i="29"/>
  <c r="L470" i="29"/>
  <c r="L421" i="29"/>
  <c r="L372" i="29"/>
  <c r="L604" i="29"/>
  <c r="K583" i="29"/>
  <c r="L543" i="29"/>
  <c r="L503" i="29"/>
  <c r="K471" i="29"/>
  <c r="K432" i="29"/>
  <c r="L376" i="29"/>
  <c r="K420" i="29"/>
  <c r="K103" i="29"/>
  <c r="K591" i="29"/>
  <c r="L548" i="29"/>
  <c r="K519" i="29"/>
  <c r="L498" i="29"/>
  <c r="K477" i="29"/>
  <c r="K427" i="29"/>
  <c r="L371" i="29"/>
  <c r="L360" i="29"/>
  <c r="L596" i="29"/>
  <c r="K570" i="29"/>
  <c r="L535" i="29"/>
  <c r="L496" i="29"/>
  <c r="K463" i="29"/>
  <c r="K424" i="29"/>
  <c r="K434" i="29"/>
  <c r="K406" i="29"/>
  <c r="K510" i="29"/>
  <c r="K324" i="29"/>
  <c r="L284" i="29"/>
  <c r="K318" i="29"/>
  <c r="L252" i="29"/>
  <c r="L214" i="29"/>
  <c r="K220" i="29"/>
  <c r="K125" i="29"/>
  <c r="L78" i="29"/>
  <c r="K116" i="29"/>
  <c r="L556" i="29"/>
  <c r="L402" i="29"/>
  <c r="L337" i="29"/>
  <c r="L312" i="29"/>
  <c r="K269" i="29"/>
  <c r="L270" i="29"/>
  <c r="K181" i="29"/>
  <c r="K158" i="29"/>
  <c r="L138" i="29"/>
  <c r="L112" i="29"/>
  <c r="K36" i="29"/>
  <c r="L434" i="29"/>
  <c r="L338" i="29"/>
  <c r="K362" i="29"/>
  <c r="L274" i="29"/>
  <c r="E55" i="1"/>
  <c r="L21" i="29"/>
  <c r="K60" i="29"/>
  <c r="K59" i="29"/>
  <c r="L584" i="29"/>
  <c r="K550" i="29"/>
  <c r="K542" i="29"/>
  <c r="L495" i="29"/>
  <c r="K484" i="29"/>
  <c r="L423" i="29"/>
  <c r="K376" i="29"/>
  <c r="K410" i="29"/>
  <c r="K593" i="29"/>
  <c r="L583" i="29"/>
  <c r="K528" i="29"/>
  <c r="K520" i="29"/>
  <c r="K496" i="29"/>
  <c r="K444" i="29"/>
  <c r="L388" i="29"/>
  <c r="K438" i="29"/>
  <c r="K32" i="29"/>
  <c r="K600" i="29"/>
  <c r="L562" i="29"/>
  <c r="L569" i="29"/>
  <c r="L530" i="29"/>
  <c r="L497" i="29"/>
  <c r="L54" i="29"/>
  <c r="K586" i="29"/>
  <c r="L561" i="29"/>
  <c r="L538" i="29"/>
  <c r="L481" i="29"/>
  <c r="K453" i="29"/>
  <c r="L425" i="29"/>
  <c r="K387" i="29"/>
  <c r="K340" i="29"/>
  <c r="L606" i="29"/>
  <c r="K569" i="29"/>
  <c r="K539" i="29"/>
  <c r="L519" i="29"/>
  <c r="K470" i="29"/>
  <c r="L439" i="29"/>
  <c r="K392" i="29"/>
  <c r="K382" i="29"/>
  <c r="K28" i="29"/>
  <c r="L590" i="29"/>
  <c r="K548" i="29"/>
  <c r="K523" i="29"/>
  <c r="K494" i="29"/>
  <c r="L449" i="29"/>
  <c r="L458" i="29"/>
  <c r="K412" i="29"/>
  <c r="K364" i="29"/>
  <c r="L598" i="29"/>
  <c r="L557" i="29"/>
  <c r="K531" i="29"/>
  <c r="L506" i="29"/>
  <c r="K462" i="29"/>
  <c r="L431" i="29"/>
  <c r="K384" i="29"/>
  <c r="K374" i="29"/>
  <c r="L464" i="29"/>
  <c r="L351" i="29"/>
  <c r="K304" i="29"/>
  <c r="L285" i="29"/>
  <c r="K285" i="29"/>
  <c r="K222" i="29"/>
  <c r="K188" i="29"/>
  <c r="L160" i="29"/>
  <c r="K168" i="29"/>
  <c r="K84" i="29"/>
  <c r="K529" i="29"/>
  <c r="L381" i="29"/>
  <c r="K321" i="29"/>
  <c r="K282" i="29"/>
  <c r="L327" i="29"/>
  <c r="L238" i="29"/>
  <c r="L216" i="29"/>
  <c r="K153" i="29"/>
  <c r="L106" i="29"/>
  <c r="L80" i="29"/>
  <c r="K601" i="29"/>
  <c r="L383" i="29"/>
  <c r="L365" i="29"/>
  <c r="L310" i="29"/>
  <c r="K62" i="29"/>
  <c r="K113" i="29"/>
  <c r="K166" i="29"/>
  <c r="L345" i="29"/>
  <c r="L68" i="29"/>
  <c r="G623" i="29"/>
  <c r="K581" i="29"/>
  <c r="L529" i="29"/>
  <c r="K487" i="29"/>
  <c r="L577" i="29"/>
  <c r="K447" i="29"/>
  <c r="L391" i="29"/>
  <c r="L377" i="29"/>
  <c r="L627" i="29"/>
  <c r="K589" i="29"/>
  <c r="L553" i="29"/>
  <c r="L484" i="29"/>
  <c r="K488" i="29"/>
  <c r="L451" i="29"/>
  <c r="L408" i="29"/>
  <c r="K394" i="29"/>
  <c r="K61" i="29"/>
  <c r="L602" i="29"/>
  <c r="K558" i="29"/>
  <c r="L546" i="29"/>
  <c r="L524" i="29"/>
  <c r="L461" i="29"/>
  <c r="K606" i="29"/>
  <c r="L572" i="29"/>
  <c r="L550" i="29"/>
  <c r="L513" i="29"/>
  <c r="K476" i="29"/>
  <c r="K421" i="29"/>
  <c r="K393" i="29"/>
  <c r="L420" i="29"/>
  <c r="L19" i="29"/>
  <c r="K592" i="29"/>
  <c r="K560" i="29"/>
  <c r="K557" i="29"/>
  <c r="K504" i="29"/>
  <c r="L477" i="29"/>
  <c r="L407" i="29"/>
  <c r="K408" i="29"/>
  <c r="L393" i="29"/>
  <c r="K56" i="29"/>
  <c r="K612" i="29"/>
  <c r="K551" i="29"/>
  <c r="K518" i="29"/>
  <c r="L472" i="29"/>
  <c r="K445" i="29"/>
  <c r="L418" i="29"/>
  <c r="K379" i="29"/>
  <c r="L27" i="29"/>
  <c r="K584" i="29"/>
  <c r="K549" i="29"/>
  <c r="L537" i="29"/>
  <c r="K495" i="29"/>
  <c r="L469" i="29"/>
  <c r="K455" i="29"/>
  <c r="L399" i="29"/>
  <c r="L385" i="29"/>
  <c r="K437" i="29"/>
  <c r="K355" i="29"/>
  <c r="K358" i="29"/>
  <c r="K270" i="29"/>
  <c r="K248" i="29"/>
  <c r="K190" i="29"/>
  <c r="L219" i="29"/>
  <c r="L151" i="29"/>
  <c r="K128" i="29"/>
  <c r="K140" i="29"/>
  <c r="K517" i="29"/>
  <c r="K320" i="29"/>
  <c r="L280" i="29"/>
  <c r="K312" i="29"/>
  <c r="L248" i="29"/>
  <c r="L210" i="29"/>
  <c r="K216" i="29"/>
  <c r="K121" i="29"/>
  <c r="L169" i="29"/>
  <c r="K112" i="29"/>
  <c r="L586" i="29"/>
  <c r="L390" i="29"/>
  <c r="L333" i="29"/>
  <c r="K310" i="29"/>
  <c r="K603" i="29"/>
  <c r="K13" i="29"/>
  <c r="K24" i="29"/>
  <c r="L610" i="29"/>
  <c r="L575" i="29"/>
  <c r="K507" i="29"/>
  <c r="L486" i="29"/>
  <c r="K465" i="29"/>
  <c r="K415" i="29"/>
  <c r="L436" i="29"/>
  <c r="L348" i="29"/>
  <c r="L580" i="29"/>
  <c r="K546" i="29"/>
  <c r="K538" i="29"/>
  <c r="L491" i="29"/>
  <c r="L483" i="29"/>
  <c r="L419" i="29"/>
  <c r="K458" i="29"/>
  <c r="L405" i="29"/>
  <c r="L70" i="29"/>
  <c r="K590" i="29"/>
  <c r="L565" i="29"/>
  <c r="K564" i="29"/>
  <c r="L493" i="29"/>
  <c r="K457" i="29"/>
  <c r="L597" i="29"/>
  <c r="K571" i="29"/>
  <c r="L554" i="29"/>
  <c r="L526" i="29"/>
  <c r="L475" i="29"/>
  <c r="L444" i="29"/>
  <c r="L426" i="29"/>
  <c r="L386" i="29"/>
  <c r="K40" i="29"/>
  <c r="L587" i="29"/>
  <c r="L552" i="29"/>
  <c r="L523" i="29"/>
  <c r="L507" i="29"/>
  <c r="K479" i="29"/>
  <c r="K431" i="29"/>
  <c r="L375" i="29"/>
  <c r="L364" i="29"/>
  <c r="K598" i="29"/>
  <c r="L564" i="29"/>
  <c r="K537" i="29"/>
  <c r="L542" i="29"/>
  <c r="K468" i="29"/>
  <c r="K413" i="29"/>
  <c r="K385" i="29"/>
  <c r="L406" i="29"/>
  <c r="K16" i="29"/>
  <c r="K587" i="29"/>
  <c r="L579" i="29"/>
  <c r="K515" i="29"/>
  <c r="L494" i="29"/>
  <c r="K473" i="29"/>
  <c r="K423" i="29"/>
  <c r="L446" i="29"/>
  <c r="L356" i="29"/>
  <c r="L415" i="29"/>
  <c r="K323" i="29"/>
  <c r="K341" i="29"/>
  <c r="K238" i="29"/>
  <c r="L279" i="29"/>
  <c r="L221" i="29"/>
  <c r="L187" i="29"/>
  <c r="L119" i="29"/>
  <c r="L101" i="29"/>
  <c r="L103" i="29"/>
  <c r="L511" i="29"/>
  <c r="L347" i="29"/>
  <c r="K300" i="29"/>
  <c r="L281" i="29"/>
  <c r="K277" i="29"/>
  <c r="K218" i="29"/>
  <c r="K184" i="29"/>
  <c r="L156" i="29"/>
  <c r="L153" i="29"/>
  <c r="K80" i="29"/>
  <c r="K536" i="29"/>
  <c r="K371" i="29"/>
  <c r="L308" i="29"/>
  <c r="K278" i="29"/>
  <c r="L146" i="29"/>
  <c r="K283" i="29"/>
  <c r="K90" i="29"/>
  <c r="K595" i="29"/>
  <c r="L551" i="29"/>
  <c r="L514" i="29"/>
  <c r="K482" i="29"/>
  <c r="L466" i="29"/>
  <c r="L440" i="29"/>
  <c r="K399" i="29"/>
  <c r="K352" i="29"/>
  <c r="K608" i="29"/>
  <c r="K573" i="29"/>
  <c r="L525" i="29"/>
  <c r="K483" i="29"/>
  <c r="K501" i="29"/>
  <c r="K443" i="29"/>
  <c r="L387" i="29"/>
  <c r="L373" i="29"/>
  <c r="K610" i="29"/>
  <c r="L576" i="29"/>
  <c r="L559" i="29"/>
  <c r="L517" i="29"/>
  <c r="K481" i="29"/>
  <c r="K425" i="29"/>
  <c r="L608" i="29"/>
  <c r="L570" i="29"/>
  <c r="L582" i="29"/>
  <c r="K505" i="29"/>
  <c r="K475" i="29"/>
  <c r="K436" i="29"/>
  <c r="L380" i="29"/>
  <c r="K422" i="29"/>
  <c r="K72" i="29"/>
  <c r="L594" i="29"/>
  <c r="K552" i="29"/>
  <c r="L528" i="29"/>
  <c r="K498" i="29"/>
  <c r="L453" i="29"/>
  <c r="L462" i="29"/>
  <c r="L416" i="29"/>
  <c r="K368" i="29"/>
  <c r="K609" i="29"/>
  <c r="K563" i="29"/>
  <c r="K544" i="29"/>
  <c r="L516" i="29"/>
  <c r="L467" i="29"/>
  <c r="K460" i="29"/>
  <c r="L413" i="29"/>
  <c r="L378" i="29"/>
  <c r="K105" i="29"/>
  <c r="K611" i="29"/>
  <c r="K579" i="29"/>
  <c r="L522" i="29"/>
  <c r="K490" i="29"/>
  <c r="L445" i="29"/>
  <c r="L454" i="29"/>
  <c r="L404" i="29"/>
  <c r="K360" i="29"/>
  <c r="K397" i="29"/>
  <c r="L346" i="29"/>
  <c r="K307" i="29"/>
  <c r="L282" i="29"/>
  <c r="L247" i="29"/>
  <c r="L189" i="29"/>
  <c r="K215" i="29"/>
  <c r="K151" i="29"/>
  <c r="L69" i="29"/>
  <c r="L71" i="29"/>
  <c r="L460" i="29"/>
  <c r="K351" i="29"/>
  <c r="K342" i="29"/>
  <c r="K266" i="29"/>
  <c r="K365" i="29"/>
  <c r="K186" i="29"/>
  <c r="L215" i="29"/>
  <c r="L147" i="29"/>
  <c r="L121" i="29"/>
  <c r="L133" i="29"/>
  <c r="L508" i="29"/>
  <c r="K316" i="29"/>
  <c r="L276" i="29"/>
  <c r="L309" i="29"/>
  <c r="K347" i="29"/>
  <c r="L328" i="29"/>
  <c r="K182" i="29"/>
  <c r="L211" i="29"/>
  <c r="L143" i="29"/>
  <c r="L120" i="29"/>
  <c r="K132" i="29"/>
  <c r="K566" i="29"/>
  <c r="L370" i="29"/>
  <c r="L329" i="29"/>
  <c r="K306" i="29"/>
  <c r="K261" i="29"/>
  <c r="L262" i="29"/>
  <c r="K173" i="29"/>
  <c r="L186" i="29"/>
  <c r="L130" i="29"/>
  <c r="L104" i="29"/>
  <c r="L588" i="29"/>
  <c r="L428" i="29"/>
  <c r="L357" i="29"/>
  <c r="L302" i="29"/>
  <c r="K299" i="29"/>
  <c r="K255" i="29"/>
  <c r="K201" i="29"/>
  <c r="L182" i="29"/>
  <c r="L158" i="29"/>
  <c r="K122" i="29"/>
  <c r="K48" i="29"/>
  <c r="K426" i="29"/>
  <c r="L326" i="29"/>
  <c r="L336" i="29"/>
  <c r="L261" i="29"/>
  <c r="K295" i="29"/>
  <c r="K229" i="29"/>
  <c r="K195" i="29"/>
  <c r="K131" i="29"/>
  <c r="L49" i="29"/>
  <c r="L51" i="29"/>
  <c r="L447" i="29"/>
  <c r="K331" i="29"/>
  <c r="L303" i="29"/>
  <c r="K246" i="29"/>
  <c r="L287" i="29"/>
  <c r="L229" i="29"/>
  <c r="L195" i="29"/>
  <c r="L127" i="29"/>
  <c r="L109" i="29"/>
  <c r="L111" i="29"/>
  <c r="K94" i="29"/>
  <c r="K325" i="29"/>
  <c r="K49" i="29"/>
  <c r="L193" i="29"/>
  <c r="K65" i="29"/>
  <c r="L286" i="29"/>
  <c r="L72" i="29"/>
  <c r="K252" i="29"/>
  <c r="K69" i="29"/>
  <c r="K308" i="29"/>
  <c r="K119" i="29"/>
  <c r="K332" i="29"/>
  <c r="K33" i="29"/>
  <c r="K290" i="29"/>
  <c r="L48" i="29"/>
  <c r="K134" i="29"/>
  <c r="K31" i="29"/>
  <c r="L34" i="29"/>
  <c r="L38" i="29"/>
  <c r="K68" i="29"/>
  <c r="L492" i="29"/>
  <c r="L144" i="29"/>
  <c r="K366" i="29"/>
  <c r="L94" i="29"/>
  <c r="L321" i="29"/>
  <c r="L254" i="29"/>
  <c r="L96" i="29"/>
  <c r="L322" i="29"/>
  <c r="K225" i="29"/>
  <c r="K127" i="29"/>
  <c r="L157" i="29"/>
  <c r="L283" i="29"/>
  <c r="K276" i="29"/>
  <c r="K129" i="29"/>
  <c r="K330" i="29"/>
  <c r="L271" i="29"/>
  <c r="L213" i="29"/>
  <c r="L179" i="29"/>
  <c r="L178" i="29"/>
  <c r="L93" i="29"/>
  <c r="L95" i="29"/>
  <c r="L531" i="29"/>
  <c r="L352" i="29"/>
  <c r="L304" i="29"/>
  <c r="K274" i="29"/>
  <c r="L272" i="29"/>
  <c r="L230" i="29"/>
  <c r="L208" i="29"/>
  <c r="K145" i="29"/>
  <c r="L98" i="29"/>
  <c r="L148" i="29"/>
  <c r="K554" i="29"/>
  <c r="K430" i="29"/>
  <c r="L325" i="29"/>
  <c r="K302" i="29"/>
  <c r="K257" i="29"/>
  <c r="L258" i="29"/>
  <c r="K244" i="29"/>
  <c r="L174" i="29"/>
  <c r="L126" i="29"/>
  <c r="L100" i="29"/>
  <c r="K580" i="29"/>
  <c r="K403" i="29"/>
  <c r="L353" i="29"/>
  <c r="L298" i="29"/>
  <c r="K297" i="29"/>
  <c r="K251" i="29"/>
  <c r="K197" i="29"/>
  <c r="L171" i="29"/>
  <c r="L154" i="29"/>
  <c r="K120" i="29"/>
  <c r="K64" i="29"/>
  <c r="L432" i="29"/>
  <c r="L354" i="29"/>
  <c r="L315" i="29"/>
  <c r="L290" i="29"/>
  <c r="L255" i="29"/>
  <c r="L197" i="29"/>
  <c r="K223" i="29"/>
  <c r="K159" i="29"/>
  <c r="L77" i="29"/>
  <c r="L79" i="29"/>
  <c r="K58" i="29"/>
  <c r="L318" i="29"/>
  <c r="K37" i="29"/>
  <c r="L251" i="29"/>
  <c r="K17" i="29"/>
  <c r="K242" i="29"/>
  <c r="K63" i="29"/>
  <c r="K281" i="29"/>
  <c r="K88" i="29"/>
  <c r="L355" i="29"/>
  <c r="L82" i="29"/>
  <c r="L518" i="29"/>
  <c r="L44" i="29"/>
  <c r="K354" i="29"/>
  <c r="L46" i="29"/>
  <c r="K73" i="29"/>
  <c r="K115" i="29"/>
  <c r="K97" i="29"/>
  <c r="K34" i="29"/>
  <c r="K43" i="29"/>
  <c r="K372" i="29"/>
  <c r="K104" i="29"/>
  <c r="L300" i="29"/>
  <c r="L204" i="29"/>
  <c r="L140" i="29"/>
  <c r="K298" i="29"/>
  <c r="K169" i="29"/>
  <c r="L15" i="29"/>
  <c r="L257" i="29"/>
  <c r="K191" i="29"/>
  <c r="K380" i="29"/>
  <c r="K109" i="29"/>
  <c r="K114" i="29"/>
  <c r="K67" i="29"/>
  <c r="K262" i="29"/>
  <c r="L239" i="29"/>
  <c r="L181" i="29"/>
  <c r="K207" i="29"/>
  <c r="K143" i="29"/>
  <c r="L61" i="29"/>
  <c r="K370" i="29"/>
  <c r="L305" i="29"/>
  <c r="L240" i="29"/>
  <c r="L202" i="29"/>
  <c r="L196" i="29"/>
  <c r="L340" i="29"/>
  <c r="K237" i="29"/>
  <c r="K545" i="29"/>
  <c r="K233" i="29"/>
  <c r="K333" i="29"/>
  <c r="L47" i="29"/>
  <c r="L40" i="29"/>
  <c r="K349" i="29"/>
  <c r="K263" i="29"/>
  <c r="K209" i="29"/>
  <c r="K175" i="29"/>
  <c r="L166" i="29"/>
  <c r="K138" i="29"/>
  <c r="K42" i="29"/>
  <c r="L540" i="29"/>
  <c r="L339" i="29"/>
  <c r="K292" i="29"/>
  <c r="L273" i="29"/>
  <c r="K268" i="29"/>
  <c r="K210" i="29"/>
  <c r="K176" i="29"/>
  <c r="L184" i="29"/>
  <c r="L145" i="29"/>
  <c r="L173" i="29"/>
  <c r="L499" i="29"/>
  <c r="L367" i="29"/>
  <c r="K369" i="29"/>
  <c r="L301" i="29"/>
  <c r="L236" i="29"/>
  <c r="L198" i="29"/>
  <c r="K204" i="29"/>
  <c r="L180" i="29"/>
  <c r="L136" i="29"/>
  <c r="K100" i="29"/>
  <c r="L533" i="29"/>
  <c r="K356" i="29"/>
  <c r="L296" i="29"/>
  <c r="K350" i="29"/>
  <c r="L264" i="29"/>
  <c r="L226" i="29"/>
  <c r="K235" i="29"/>
  <c r="K137" i="29"/>
  <c r="L90" i="29"/>
  <c r="L132" i="29"/>
  <c r="L611" i="29"/>
  <c r="K391" i="29"/>
  <c r="L349" i="29"/>
  <c r="K361" i="29"/>
  <c r="K291" i="29"/>
  <c r="K247" i="29"/>
  <c r="K193" i="29"/>
  <c r="K170" i="29"/>
  <c r="L150" i="29"/>
  <c r="K117" i="29"/>
  <c r="L56" i="29"/>
  <c r="K123" i="29"/>
  <c r="K77" i="29"/>
  <c r="K74" i="29"/>
  <c r="L311" i="29"/>
  <c r="L107" i="29"/>
  <c r="K327" i="29"/>
  <c r="L141" i="29"/>
  <c r="K359" i="29"/>
  <c r="L164" i="29"/>
  <c r="L29" i="29"/>
  <c r="K224" i="29"/>
  <c r="L17" i="29"/>
  <c r="L114" i="29"/>
  <c r="L555" i="29"/>
  <c r="L66" i="29"/>
  <c r="K75" i="29"/>
  <c r="L14" i="29"/>
  <c r="K30" i="29"/>
  <c r="K82" i="29"/>
  <c r="K71" i="29"/>
  <c r="L626" i="29"/>
  <c r="L152" i="29"/>
  <c r="L235" i="29"/>
  <c r="K139" i="29"/>
  <c r="L362" i="29"/>
  <c r="L205" i="29"/>
  <c r="L85" i="29"/>
  <c r="K335" i="29"/>
  <c r="L294" i="29"/>
  <c r="L113" i="29"/>
  <c r="L359" i="29"/>
  <c r="K231" i="29"/>
  <c r="L118" i="29"/>
  <c r="L45" i="29"/>
  <c r="L191" i="29"/>
  <c r="K293" i="29"/>
  <c r="L41" i="29"/>
  <c r="K265" i="29"/>
  <c r="L266" i="29"/>
  <c r="K177" i="29"/>
  <c r="L192" i="29"/>
  <c r="L134" i="29"/>
  <c r="L108" i="29"/>
  <c r="L28" i="29"/>
  <c r="K452" i="29"/>
  <c r="K343" i="29"/>
  <c r="K322" i="29"/>
  <c r="K258" i="29"/>
  <c r="K309" i="29"/>
  <c r="K178" i="29"/>
  <c r="L207" i="29"/>
  <c r="L139" i="29"/>
  <c r="K118" i="29"/>
  <c r="L125" i="29"/>
  <c r="L501" i="29"/>
  <c r="L335" i="29"/>
  <c r="K288" i="29"/>
  <c r="L319" i="29"/>
  <c r="K264" i="29"/>
  <c r="K206" i="29"/>
  <c r="K172" i="29"/>
  <c r="L167" i="29"/>
  <c r="K144" i="29"/>
  <c r="K160" i="29"/>
  <c r="K491" i="29"/>
  <c r="L363" i="29"/>
  <c r="K353" i="29"/>
  <c r="L297" i="29"/>
  <c r="L232" i="29"/>
  <c r="L241" i="29"/>
  <c r="K200" i="29"/>
  <c r="K174" i="29"/>
  <c r="L128" i="29"/>
  <c r="K96" i="29"/>
  <c r="K576" i="29"/>
  <c r="K390" i="29"/>
  <c r="L317" i="29"/>
  <c r="K294" i="29"/>
  <c r="K249" i="29"/>
  <c r="L250" i="29"/>
  <c r="L228" i="29"/>
  <c r="K165" i="29"/>
  <c r="K164" i="29"/>
  <c r="L92" i="29"/>
  <c r="L33" i="29"/>
  <c r="K187" i="29"/>
  <c r="L60" i="29"/>
  <c r="L75" i="29"/>
  <c r="L350" i="29"/>
  <c r="L105" i="29"/>
  <c r="L427" i="29"/>
  <c r="L129" i="29"/>
  <c r="L441" i="29"/>
  <c r="K192" i="29"/>
  <c r="L13" i="29"/>
  <c r="L218" i="29"/>
  <c r="K87" i="29"/>
  <c r="K161" i="29"/>
  <c r="K19" i="29"/>
  <c r="K57" i="29"/>
  <c r="K52" i="29"/>
  <c r="K23" i="29"/>
  <c r="K27" i="29"/>
  <c r="K39" i="29"/>
  <c r="L22" i="29"/>
  <c r="K626" i="29"/>
  <c r="K108" i="29"/>
  <c r="L177" i="29"/>
  <c r="L59" i="29"/>
  <c r="L323" i="29"/>
  <c r="L237" i="29"/>
  <c r="L87" i="29"/>
  <c r="K250" i="29"/>
  <c r="L131" i="29"/>
  <c r="L490" i="29"/>
  <c r="K337" i="29"/>
  <c r="L168" i="29"/>
  <c r="K279" i="29"/>
  <c r="L76" i="29"/>
  <c r="K18" i="29"/>
  <c r="K326" i="29"/>
  <c r="K273" i="29"/>
  <c r="L234" i="29"/>
  <c r="L212" i="29"/>
  <c r="K149" i="29"/>
  <c r="L102" i="29"/>
  <c r="L161" i="29"/>
  <c r="K78" i="29"/>
  <c r="K419" i="29"/>
  <c r="L366" i="29"/>
  <c r="L324" i="29"/>
  <c r="K301" i="29"/>
  <c r="L267" i="29"/>
  <c r="L209" i="29"/>
  <c r="L175" i="29"/>
  <c r="L172" i="29"/>
  <c r="L89" i="29"/>
  <c r="L91" i="29"/>
  <c r="K440" i="29"/>
  <c r="K339" i="29"/>
  <c r="K313" i="29"/>
  <c r="K254" i="29"/>
  <c r="L295" i="29"/>
  <c r="K240" i="29"/>
  <c r="L203" i="29"/>
  <c r="L135" i="29"/>
  <c r="L117" i="29"/>
  <c r="K124" i="29"/>
  <c r="L465" i="29"/>
  <c r="K367" i="29"/>
  <c r="K284" i="29"/>
  <c r="K305" i="29"/>
  <c r="K260" i="29"/>
  <c r="K202" i="29"/>
  <c r="K236" i="29"/>
  <c r="L163" i="29"/>
  <c r="L137" i="29"/>
  <c r="L149" i="29"/>
  <c r="K511" i="29"/>
  <c r="K344" i="29"/>
  <c r="L292" i="29"/>
  <c r="K334" i="29"/>
  <c r="L260" i="29"/>
  <c r="L222" i="29"/>
  <c r="K228" i="29"/>
  <c r="K133" i="29"/>
  <c r="L86" i="29"/>
  <c r="L124" i="29"/>
  <c r="K25" i="29"/>
  <c r="K221" i="29"/>
  <c r="K51" i="29"/>
  <c r="L73" i="29"/>
  <c r="L409" i="29"/>
  <c r="L123" i="29"/>
  <c r="L37" i="29"/>
  <c r="L155" i="29"/>
  <c r="L25" i="29"/>
  <c r="K226" i="29"/>
  <c r="K83" i="29"/>
  <c r="L256" i="29"/>
  <c r="K102" i="29"/>
  <c r="L224" i="29"/>
  <c r="K106" i="29"/>
  <c r="K47" i="29"/>
  <c r="K35" i="29"/>
  <c r="L62" i="29"/>
  <c r="K46" i="29"/>
  <c r="K110" i="29"/>
  <c r="K150" i="29"/>
  <c r="L396" i="29"/>
  <c r="L57" i="29"/>
  <c r="L299" i="29"/>
  <c r="K167" i="29"/>
  <c r="L307" i="29"/>
  <c r="K232" i="29"/>
  <c r="L115" i="29"/>
  <c r="L293" i="29"/>
  <c r="K196" i="29"/>
  <c r="L20" i="29"/>
  <c r="K155" i="29"/>
  <c r="L223" i="29"/>
  <c r="K21" i="29"/>
  <c r="L244" i="29"/>
  <c r="L206" i="29"/>
  <c r="K212" i="29"/>
  <c r="L200" i="29"/>
  <c r="L36" i="29"/>
  <c r="L334" i="29"/>
  <c r="K346" i="29"/>
  <c r="L269" i="29"/>
  <c r="K203" i="29"/>
  <c r="K407" i="29"/>
  <c r="L263" i="29"/>
  <c r="L459" i="29"/>
  <c r="L199" i="29"/>
  <c r="L313" i="29"/>
  <c r="K92" i="29"/>
  <c r="K22" i="29"/>
  <c r="K272" i="29"/>
  <c r="K214" i="29"/>
  <c r="K180" i="29"/>
  <c r="L190" i="29"/>
  <c r="K152" i="29"/>
  <c r="K76" i="29"/>
  <c r="L592" i="29"/>
  <c r="L437" i="29"/>
  <c r="L361" i="29"/>
  <c r="L306" i="29"/>
  <c r="L320" i="29"/>
  <c r="K259" i="29"/>
  <c r="K205" i="29"/>
  <c r="K171" i="29"/>
  <c r="L162" i="29"/>
  <c r="K130" i="29"/>
  <c r="L16" i="29"/>
  <c r="L384" i="29"/>
  <c r="L330" i="29"/>
  <c r="K338" i="29"/>
  <c r="L265" i="29"/>
  <c r="L231" i="29"/>
  <c r="L233" i="29"/>
  <c r="K199" i="29"/>
  <c r="K135" i="29"/>
  <c r="L53" i="29"/>
  <c r="L55" i="29"/>
  <c r="L450" i="29"/>
  <c r="L358" i="29"/>
  <c r="L316" i="29"/>
  <c r="L291" i="29"/>
  <c r="L259" i="29"/>
  <c r="L201" i="29"/>
  <c r="K227" i="29"/>
  <c r="K163" i="29"/>
  <c r="L81" i="29"/>
  <c r="L83" i="29"/>
  <c r="K469" i="29"/>
  <c r="K363" i="29"/>
  <c r="K280" i="29"/>
  <c r="K289" i="29"/>
  <c r="K256" i="29"/>
  <c r="K198" i="29"/>
  <c r="L227" i="29"/>
  <c r="L159" i="29"/>
  <c r="K136" i="29"/>
  <c r="K148" i="29"/>
  <c r="K111" i="29"/>
  <c r="L253" i="29"/>
  <c r="L58" i="29"/>
  <c r="K219" i="29"/>
  <c r="L74" i="29"/>
  <c r="L225" i="29"/>
  <c r="K29" i="29"/>
  <c r="K194" i="29"/>
  <c r="K41" i="29"/>
  <c r="L289" i="29"/>
  <c r="K53" i="29"/>
  <c r="L288" i="29"/>
  <c r="K98" i="29"/>
  <c r="K245" i="29"/>
  <c r="K15" i="29"/>
  <c r="L30" i="29"/>
  <c r="L165" i="29"/>
  <c r="K55" i="29"/>
  <c r="K50" i="29"/>
  <c r="L18" i="29"/>
  <c r="L63" i="29"/>
  <c r="K208" i="29"/>
  <c r="K527" i="29"/>
  <c r="L268" i="29"/>
  <c r="K141" i="29"/>
  <c r="K402" i="29"/>
  <c r="K253" i="29"/>
  <c r="L122" i="29"/>
  <c r="K400" i="29"/>
  <c r="K287" i="29"/>
  <c r="L176" i="29"/>
  <c r="L32" i="29"/>
  <c r="K357" i="29"/>
  <c r="K486" i="29"/>
  <c r="L88" i="29"/>
  <c r="L246" i="29"/>
  <c r="L64" i="29"/>
  <c r="L414" i="29"/>
  <c r="L50" i="29"/>
  <c r="K91" i="29"/>
  <c r="K95" i="29"/>
  <c r="K89" i="29"/>
  <c r="K99" i="29"/>
  <c r="K93" i="29"/>
  <c r="K66" i="29"/>
  <c r="K14" i="29"/>
  <c r="K156" i="29"/>
  <c r="L26" i="29"/>
  <c r="L42" i="29"/>
  <c r="K624" i="29"/>
  <c r="K625" i="29"/>
  <c r="L624" i="29"/>
  <c r="L625" i="29"/>
  <c r="Q4" i="29"/>
  <c r="EB212" i="25"/>
  <c r="EA212" i="25"/>
  <c r="DJ212" i="25"/>
  <c r="DI212" i="25"/>
  <c r="DM112" i="25"/>
  <c r="DW112" i="25" s="1"/>
  <c r="EB112" i="25" s="1"/>
  <c r="DB112" i="25"/>
  <c r="DI112" i="25"/>
  <c r="DJ112" i="25"/>
  <c r="CO216" i="25"/>
  <c r="DA216" i="25" s="1"/>
  <c r="DD216" i="25" s="1"/>
  <c r="DE216" i="25" s="1"/>
  <c r="DF216" i="25" s="1"/>
  <c r="DM216" i="25" s="1"/>
  <c r="DW216" i="25" s="1"/>
  <c r="DM219" i="25"/>
  <c r="DW219" i="25" s="1"/>
  <c r="DM229" i="25"/>
  <c r="DW229" i="25" s="1"/>
  <c r="DM163" i="25"/>
  <c r="DW163" i="25" s="1"/>
  <c r="DM184" i="25"/>
  <c r="DW184" i="25" s="1"/>
  <c r="DM297" i="25"/>
  <c r="DW297" i="25" s="1"/>
  <c r="DM224" i="25"/>
  <c r="DW224" i="25" s="1"/>
  <c r="DM152" i="25"/>
  <c r="DW152" i="25" s="1"/>
  <c r="DM135" i="25"/>
  <c r="DW135" i="25" s="1"/>
  <c r="DM166" i="25"/>
  <c r="DW166" i="25" s="1"/>
  <c r="DM69" i="25"/>
  <c r="DW69" i="25" s="1"/>
  <c r="DX5" i="24"/>
  <c r="EE5" i="24" s="1"/>
  <c r="DM207" i="25"/>
  <c r="DW207" i="25" s="1"/>
  <c r="DM192" i="25"/>
  <c r="DW192" i="25" s="1"/>
  <c r="DM204" i="25"/>
  <c r="DW204" i="25" s="1"/>
  <c r="DM201" i="25"/>
  <c r="DW201" i="25" s="1"/>
  <c r="DM142" i="25"/>
  <c r="DW142" i="25" s="1"/>
  <c r="DM151" i="25"/>
  <c r="DW151" i="25" s="1"/>
  <c r="DM209" i="25"/>
  <c r="DW209" i="25" s="1"/>
  <c r="DM237" i="25"/>
  <c r="DW237" i="25" s="1"/>
  <c r="DM196" i="25"/>
  <c r="DW196" i="25" s="1"/>
  <c r="DM76" i="25"/>
  <c r="DW76" i="25" s="1"/>
  <c r="DM61" i="25"/>
  <c r="DW61" i="25" s="1"/>
  <c r="DM240" i="25"/>
  <c r="DW240" i="25" s="1"/>
  <c r="DM221" i="25"/>
  <c r="DW221" i="25" s="1"/>
  <c r="DM222" i="25"/>
  <c r="DW222" i="25" s="1"/>
  <c r="DM53" i="25"/>
  <c r="DW53" i="25" s="1"/>
  <c r="DM238" i="25"/>
  <c r="DW238" i="25" s="1"/>
  <c r="DM273" i="25"/>
  <c r="DW273" i="25" s="1"/>
  <c r="DM270" i="25"/>
  <c r="DW270" i="25" s="1"/>
  <c r="DM288" i="25"/>
  <c r="DW288" i="25" s="1"/>
  <c r="DM104" i="25"/>
  <c r="DW104" i="25" s="1"/>
  <c r="DM183" i="25"/>
  <c r="DW183" i="25" s="1"/>
  <c r="DM75" i="25"/>
  <c r="DW75" i="25" s="1"/>
  <c r="DM149" i="25"/>
  <c r="DW149" i="25" s="1"/>
  <c r="DM125" i="25"/>
  <c r="DW125" i="25" s="1"/>
  <c r="DM223" i="25"/>
  <c r="DW223" i="25" s="1"/>
  <c r="DM165" i="25"/>
  <c r="DW165" i="25" s="1"/>
  <c r="DM162" i="25"/>
  <c r="DW162" i="25" s="1"/>
  <c r="DM188" i="25"/>
  <c r="DW188" i="25" s="1"/>
  <c r="DM182" i="25"/>
  <c r="DW182" i="25" s="1"/>
  <c r="DM274" i="25"/>
  <c r="DW274" i="25" s="1"/>
  <c r="DM255" i="25"/>
  <c r="DW255" i="25" s="1"/>
  <c r="DM62" i="25"/>
  <c r="DW62" i="25" s="1"/>
  <c r="DM268" i="25"/>
  <c r="DW268" i="25" s="1"/>
  <c r="DM303" i="25"/>
  <c r="DW303" i="25" s="1"/>
  <c r="DM113" i="25"/>
  <c r="DW113" i="25" s="1"/>
  <c r="DM159" i="25"/>
  <c r="DW159" i="25" s="1"/>
  <c r="DM63" i="25"/>
  <c r="DW63" i="25" s="1"/>
  <c r="DM10" i="25"/>
  <c r="DW10" i="25" s="1"/>
  <c r="DM312" i="25"/>
  <c r="DW312" i="25" s="1"/>
  <c r="DM282" i="25"/>
  <c r="DW282" i="25" s="1"/>
  <c r="DM57" i="25"/>
  <c r="DW57" i="25" s="1"/>
  <c r="DM54" i="25"/>
  <c r="DW54" i="25" s="1"/>
  <c r="DM246" i="25"/>
  <c r="DW246" i="25" s="1"/>
  <c r="DM260" i="25"/>
  <c r="DW260" i="25" s="1"/>
  <c r="DB10" i="25"/>
  <c r="DB186" i="25"/>
  <c r="DN216" i="24"/>
  <c r="DM315" i="25"/>
  <c r="DW315" i="25" s="1"/>
  <c r="DM197" i="25"/>
  <c r="DW197" i="25" s="1"/>
  <c r="DC198" i="24"/>
  <c r="DM16" i="25"/>
  <c r="DW16" i="25" s="1"/>
  <c r="DM20" i="25"/>
  <c r="DW20" i="25" s="1"/>
  <c r="EE110" i="24"/>
  <c r="DO110" i="24"/>
  <c r="DR110" i="24"/>
  <c r="DO5" i="24"/>
  <c r="DR5" i="24"/>
  <c r="DC216" i="24"/>
  <c r="DB278" i="25"/>
  <c r="DB304" i="25"/>
  <c r="DJ216" i="24"/>
  <c r="DK216" i="24"/>
  <c r="DM205" i="25"/>
  <c r="DW205" i="25" s="1"/>
  <c r="DM85" i="25"/>
  <c r="DW85" i="25" s="1"/>
  <c r="DM150" i="25"/>
  <c r="DW150" i="25" s="1"/>
  <c r="DM309" i="25"/>
  <c r="DW309" i="25" s="1"/>
  <c r="DM195" i="25"/>
  <c r="DW195" i="25" s="1"/>
  <c r="DM186" i="25"/>
  <c r="DW186" i="25" s="1"/>
  <c r="DM281" i="25"/>
  <c r="DW281" i="25" s="1"/>
  <c r="DM28" i="25"/>
  <c r="DW28" i="25" s="1"/>
  <c r="DM134" i="25"/>
  <c r="DW134" i="25" s="1"/>
  <c r="DM202" i="25"/>
  <c r="DW202" i="25" s="1"/>
  <c r="DM41" i="25"/>
  <c r="DW41" i="25" s="1"/>
  <c r="DM234" i="25"/>
  <c r="DW234" i="25" s="1"/>
  <c r="DM160" i="25"/>
  <c r="DW160" i="25" s="1"/>
  <c r="DM316" i="25"/>
  <c r="DW316" i="25" s="1"/>
  <c r="DM286" i="25"/>
  <c r="DW286" i="25" s="1"/>
  <c r="DM304" i="25"/>
  <c r="DW304" i="25" s="1"/>
  <c r="DM130" i="25"/>
  <c r="DW130" i="25" s="1"/>
  <c r="DM231" i="25"/>
  <c r="DW231" i="25" s="1"/>
  <c r="DC183" i="24"/>
  <c r="DC149" i="24"/>
  <c r="DM248" i="25"/>
  <c r="DW248" i="25" s="1"/>
  <c r="DM19" i="25"/>
  <c r="DW19" i="25" s="1"/>
  <c r="DM161" i="25"/>
  <c r="DW161" i="25" s="1"/>
  <c r="DM82" i="25"/>
  <c r="DW82" i="25" s="1"/>
  <c r="DC292" i="24"/>
  <c r="DM155" i="25"/>
  <c r="DW155" i="25" s="1"/>
  <c r="DM30" i="25"/>
  <c r="DW30" i="25" s="1"/>
  <c r="DB310" i="25"/>
  <c r="DB101" i="25"/>
  <c r="DC217" i="24"/>
  <c r="DM46" i="25"/>
  <c r="DW46" i="25" s="1"/>
  <c r="DC165" i="24"/>
  <c r="DB143" i="25"/>
  <c r="DB156" i="25"/>
  <c r="DB140" i="25"/>
  <c r="DB41" i="25"/>
  <c r="DB24" i="25"/>
  <c r="DC288" i="24"/>
  <c r="DB148" i="25"/>
  <c r="DC186" i="24"/>
  <c r="DB279" i="25"/>
  <c r="DM249" i="25"/>
  <c r="DW249" i="25" s="1"/>
  <c r="DM198" i="25"/>
  <c r="DW198" i="25" s="1"/>
  <c r="DM293" i="25"/>
  <c r="DW293" i="25" s="1"/>
  <c r="DM18" i="25"/>
  <c r="DW18" i="25" s="1"/>
  <c r="DM36" i="25"/>
  <c r="DW36" i="25" s="1"/>
  <c r="DM206" i="25"/>
  <c r="DW206" i="25" s="1"/>
  <c r="DM261" i="25"/>
  <c r="DW261" i="25" s="1"/>
  <c r="DB295" i="25"/>
  <c r="DB181" i="25"/>
  <c r="DB71" i="25"/>
  <c r="DB169" i="25"/>
  <c r="DB284" i="25"/>
  <c r="DM218" i="25"/>
  <c r="DW218" i="25" s="1"/>
  <c r="DM31" i="25"/>
  <c r="DW31" i="25" s="1"/>
  <c r="DM118" i="25"/>
  <c r="DW118" i="25" s="1"/>
  <c r="DM73" i="25"/>
  <c r="DW73" i="25" s="1"/>
  <c r="DM220" i="25"/>
  <c r="DW220" i="25" s="1"/>
  <c r="DM114" i="25"/>
  <c r="DW114" i="25" s="1"/>
  <c r="DM172" i="25"/>
  <c r="DW172" i="25" s="1"/>
  <c r="DM52" i="25"/>
  <c r="DW52" i="25" s="1"/>
  <c r="DM133" i="25"/>
  <c r="DW133" i="25" s="1"/>
  <c r="DM94" i="25"/>
  <c r="DW94" i="25" s="1"/>
  <c r="DM264" i="25"/>
  <c r="DW264" i="25" s="1"/>
  <c r="DM278" i="25"/>
  <c r="DW278" i="25" s="1"/>
  <c r="DB27" i="25"/>
  <c r="DB166" i="25"/>
  <c r="DB223" i="25"/>
  <c r="DB44" i="25"/>
  <c r="DB83" i="25"/>
  <c r="DB103" i="25"/>
  <c r="DM258" i="25"/>
  <c r="DW258" i="25" s="1"/>
  <c r="DB73" i="25"/>
  <c r="DB117" i="25"/>
  <c r="DB235" i="25"/>
  <c r="DM21" i="25"/>
  <c r="DW21" i="25" s="1"/>
  <c r="DB150" i="25"/>
  <c r="DB72" i="25"/>
  <c r="DB244" i="25"/>
  <c r="DM247" i="25"/>
  <c r="DW247" i="25" s="1"/>
  <c r="DB268" i="25"/>
  <c r="DB219" i="25"/>
  <c r="DB179" i="25"/>
  <c r="DM243" i="25"/>
  <c r="DW243" i="25" s="1"/>
  <c r="DB200" i="25"/>
  <c r="DB65" i="25"/>
  <c r="DB243" i="25"/>
  <c r="DB218" i="25"/>
  <c r="DB281" i="25"/>
  <c r="DB86" i="25"/>
  <c r="DM116" i="25"/>
  <c r="DW116" i="25" s="1"/>
  <c r="DM115" i="25"/>
  <c r="DW115" i="25" s="1"/>
  <c r="DB255" i="25"/>
  <c r="DM154" i="25"/>
  <c r="DW154" i="25" s="1"/>
  <c r="DM120" i="25"/>
  <c r="DW120" i="25" s="1"/>
  <c r="DM291" i="25"/>
  <c r="DW291" i="25" s="1"/>
  <c r="DM44" i="25"/>
  <c r="DW44" i="25" s="1"/>
  <c r="DM22" i="25"/>
  <c r="DW22" i="25" s="1"/>
  <c r="DB302" i="25"/>
  <c r="DB187" i="25"/>
  <c r="DB90" i="25"/>
  <c r="DB280" i="25"/>
  <c r="DB237" i="25"/>
  <c r="DB269" i="25"/>
  <c r="DB251" i="25"/>
  <c r="DB203" i="25"/>
  <c r="DB192" i="25"/>
  <c r="DM132" i="25"/>
  <c r="DW132" i="25" s="1"/>
  <c r="DM144" i="25"/>
  <c r="DW144" i="25" s="1"/>
  <c r="DM32" i="25"/>
  <c r="DW32" i="25" s="1"/>
  <c r="DB221" i="25"/>
  <c r="DB315" i="25"/>
  <c r="DB32" i="25"/>
  <c r="DM8" i="25"/>
  <c r="DW8" i="25" s="1"/>
  <c r="DM140" i="25"/>
  <c r="DW140" i="25" s="1"/>
  <c r="DM123" i="25"/>
  <c r="DW123" i="25" s="1"/>
  <c r="DB105" i="25"/>
  <c r="DB48" i="25"/>
  <c r="DB276" i="25"/>
  <c r="DB69" i="25"/>
  <c r="DB70" i="25"/>
  <c r="DB222" i="25"/>
  <c r="DB147" i="25"/>
  <c r="DB177" i="25"/>
  <c r="DB263" i="25"/>
  <c r="DB173" i="25"/>
  <c r="DM26" i="25"/>
  <c r="DW26" i="25" s="1"/>
  <c r="DB119" i="25"/>
  <c r="DB277" i="25"/>
  <c r="DB247" i="25"/>
  <c r="DB12" i="25"/>
  <c r="DB241" i="25"/>
  <c r="DM55" i="25"/>
  <c r="DW55" i="25" s="1"/>
  <c r="DB292" i="25"/>
  <c r="DB282" i="25"/>
  <c r="DB76" i="25"/>
  <c r="DB178" i="25"/>
  <c r="DB53" i="25"/>
  <c r="DM84" i="25"/>
  <c r="DW84" i="25" s="1"/>
  <c r="DB135" i="25"/>
  <c r="DB273" i="25"/>
  <c r="DM67" i="25"/>
  <c r="DW67" i="25" s="1"/>
  <c r="DB271" i="25"/>
  <c r="DM146" i="25"/>
  <c r="DW146" i="25" s="1"/>
  <c r="DM271" i="25"/>
  <c r="DW271" i="25" s="1"/>
  <c r="DM310" i="25"/>
  <c r="DW310" i="25" s="1"/>
  <c r="DM102" i="25"/>
  <c r="DW102" i="25" s="1"/>
  <c r="DB306" i="25"/>
  <c r="DB64" i="25"/>
  <c r="DM117" i="25"/>
  <c r="DW117" i="25" s="1"/>
  <c r="DB313" i="25"/>
  <c r="DB189" i="25"/>
  <c r="DM265" i="25"/>
  <c r="DW265" i="25" s="1"/>
  <c r="DB145" i="25"/>
  <c r="DB283" i="25"/>
  <c r="DB260" i="25"/>
  <c r="DB195" i="25"/>
  <c r="DM39" i="25"/>
  <c r="DW39" i="25" s="1"/>
  <c r="DB246" i="25"/>
  <c r="DB230" i="25"/>
  <c r="DB75" i="25"/>
  <c r="DB125" i="25"/>
  <c r="DM153" i="25"/>
  <c r="DW153" i="25" s="1"/>
  <c r="DB33" i="25"/>
  <c r="DB14" i="25"/>
  <c r="DB122" i="25"/>
  <c r="DB316" i="25"/>
  <c r="DB248" i="25"/>
  <c r="DB56" i="25"/>
  <c r="DB97" i="25"/>
  <c r="DM167" i="25"/>
  <c r="DW167" i="25" s="1"/>
  <c r="DM176" i="25"/>
  <c r="DW176" i="25" s="1"/>
  <c r="DM50" i="25"/>
  <c r="DW50" i="25" s="1"/>
  <c r="DM124" i="25"/>
  <c r="DW124" i="25" s="1"/>
  <c r="DM148" i="25"/>
  <c r="DW148" i="25" s="1"/>
  <c r="DB239" i="25"/>
  <c r="DB88" i="25"/>
  <c r="DB228" i="25"/>
  <c r="DM68" i="25"/>
  <c r="DW68" i="25" s="1"/>
  <c r="DB87" i="25"/>
  <c r="DM11" i="25"/>
  <c r="DW11" i="25" s="1"/>
  <c r="DB194" i="25"/>
  <c r="DB114" i="25"/>
  <c r="DB132" i="25"/>
  <c r="DM299" i="25"/>
  <c r="DW299" i="25" s="1"/>
  <c r="DB165" i="25"/>
  <c r="DM307" i="25"/>
  <c r="DW307" i="25" s="1"/>
  <c r="DB182" i="25"/>
  <c r="DB245" i="25"/>
  <c r="DB275" i="25"/>
  <c r="DB175" i="25"/>
  <c r="DB184" i="25"/>
  <c r="DB185" i="25"/>
  <c r="DB126" i="25"/>
  <c r="DM236" i="25"/>
  <c r="DW236" i="25" s="1"/>
  <c r="DB294" i="25"/>
  <c r="DB301" i="25"/>
  <c r="DB39" i="25"/>
  <c r="DB307" i="25"/>
  <c r="DB297" i="25"/>
  <c r="DB261" i="25"/>
  <c r="DB231" i="25"/>
  <c r="DB80" i="25"/>
  <c r="DM71" i="25"/>
  <c r="DW71" i="25" s="1"/>
  <c r="DB224" i="25"/>
  <c r="DB92" i="25"/>
  <c r="DB137" i="25"/>
  <c r="DB78" i="25"/>
  <c r="DM296" i="25"/>
  <c r="DW296" i="25" s="1"/>
  <c r="DB9" i="25"/>
  <c r="DB204" i="25"/>
  <c r="DC308" i="24"/>
  <c r="DC121" i="24"/>
  <c r="DC119" i="24"/>
  <c r="DC173" i="24"/>
  <c r="DC230" i="24"/>
  <c r="DC309" i="24"/>
  <c r="DC298" i="24"/>
  <c r="DC116" i="24"/>
  <c r="DC157" i="24"/>
  <c r="DC272" i="24"/>
  <c r="DJ219" i="25"/>
  <c r="DI219" i="25"/>
  <c r="DJ167" i="25"/>
  <c r="DI167" i="25"/>
  <c r="DJ303" i="25"/>
  <c r="DI303" i="25"/>
  <c r="DJ183" i="25"/>
  <c r="DI183" i="25"/>
  <c r="DJ8" i="25"/>
  <c r="DI8" i="25"/>
  <c r="DJ118" i="25"/>
  <c r="DI118" i="25"/>
  <c r="DJ104" i="25"/>
  <c r="DI104" i="25"/>
  <c r="DJ238" i="25"/>
  <c r="DI238" i="25"/>
  <c r="DM77" i="25"/>
  <c r="DJ186" i="25"/>
  <c r="DI186" i="25"/>
  <c r="DM136" i="25"/>
  <c r="DB22" i="25"/>
  <c r="DJ222" i="25"/>
  <c r="DI222" i="25"/>
  <c r="DJ245" i="25"/>
  <c r="DI245" i="25"/>
  <c r="DJ126" i="25"/>
  <c r="DI126" i="25"/>
  <c r="DJ129" i="25"/>
  <c r="DI129" i="25"/>
  <c r="DJ218" i="25"/>
  <c r="DI218" i="25"/>
  <c r="DJ209" i="25"/>
  <c r="DI209" i="25"/>
  <c r="DJ24" i="25"/>
  <c r="DI24" i="25"/>
  <c r="DB59" i="25"/>
  <c r="DJ185" i="25"/>
  <c r="DI185" i="25"/>
  <c r="DJ39" i="25"/>
  <c r="DI39" i="25"/>
  <c r="DB198" i="25"/>
  <c r="DM290" i="25"/>
  <c r="DW290" i="25" s="1"/>
  <c r="DB180" i="25"/>
  <c r="DM193" i="25"/>
  <c r="DB49" i="25"/>
  <c r="DB115" i="25"/>
  <c r="DJ66" i="25"/>
  <c r="DI66" i="25"/>
  <c r="DJ285" i="25"/>
  <c r="DI285" i="25"/>
  <c r="DJ131" i="25"/>
  <c r="DI131" i="25"/>
  <c r="DB258" i="25"/>
  <c r="DM141" i="25"/>
  <c r="DJ53" i="25"/>
  <c r="DI53" i="25"/>
  <c r="DM266" i="25"/>
  <c r="DW266" i="25" s="1"/>
  <c r="DM254" i="25"/>
  <c r="DW254" i="25" s="1"/>
  <c r="DJ44" i="25"/>
  <c r="DI44" i="25"/>
  <c r="DB133" i="25"/>
  <c r="DB267" i="25"/>
  <c r="DM228" i="25"/>
  <c r="DW228" i="25" s="1"/>
  <c r="DJ200" i="25"/>
  <c r="DI200" i="25"/>
  <c r="DJ168" i="25"/>
  <c r="DI168" i="25"/>
  <c r="DB205" i="25"/>
  <c r="DJ102" i="25"/>
  <c r="DI102" i="25"/>
  <c r="DM306" i="25"/>
  <c r="DW306" i="25" s="1"/>
  <c r="DJ283" i="25"/>
  <c r="DI283" i="25"/>
  <c r="DB303" i="25"/>
  <c r="DJ280" i="25"/>
  <c r="DI280" i="25"/>
  <c r="DM251" i="25"/>
  <c r="DW251" i="25" s="1"/>
  <c r="DM257" i="25"/>
  <c r="DW257" i="25" s="1"/>
  <c r="DM314" i="25"/>
  <c r="DW314" i="25" s="1"/>
  <c r="DM158" i="25"/>
  <c r="DB264" i="25"/>
  <c r="DJ80" i="25"/>
  <c r="DI80" i="25"/>
  <c r="DM226" i="25"/>
  <c r="DW226" i="25" s="1"/>
  <c r="DM15" i="25"/>
  <c r="DM78" i="25"/>
  <c r="DM190" i="25"/>
  <c r="DM164" i="25"/>
  <c r="DJ174" i="25"/>
  <c r="DI174" i="25"/>
  <c r="DJ269" i="25"/>
  <c r="DI269" i="25"/>
  <c r="DJ7" i="25"/>
  <c r="DI7" i="25"/>
  <c r="DJ233" i="25"/>
  <c r="DI233" i="25"/>
  <c r="DJ113" i="25"/>
  <c r="DI113" i="25"/>
  <c r="DB262" i="25"/>
  <c r="DJ288" i="25"/>
  <c r="DI288" i="25"/>
  <c r="DJ176" i="25"/>
  <c r="DI176" i="25"/>
  <c r="DB96" i="25"/>
  <c r="DJ246" i="25"/>
  <c r="DI246" i="25"/>
  <c r="DJ114" i="25"/>
  <c r="DI114" i="25"/>
  <c r="DJ172" i="25"/>
  <c r="DI172" i="25"/>
  <c r="DJ19" i="25"/>
  <c r="DI19" i="25"/>
  <c r="DB52" i="25"/>
  <c r="DB161" i="25"/>
  <c r="DM74" i="25"/>
  <c r="DJ101" i="25"/>
  <c r="DI101" i="25"/>
  <c r="DB168" i="25"/>
  <c r="DJ205" i="25"/>
  <c r="DI205" i="25"/>
  <c r="DB138" i="25"/>
  <c r="DB102" i="25"/>
  <c r="DB57" i="25"/>
  <c r="DJ221" i="25"/>
  <c r="DI221" i="25"/>
  <c r="DJ77" i="25"/>
  <c r="DI77" i="25"/>
  <c r="DB254" i="25"/>
  <c r="DJ136" i="25"/>
  <c r="DI136" i="25"/>
  <c r="DJ124" i="25"/>
  <c r="DI124" i="25"/>
  <c r="DB17" i="25"/>
  <c r="DM171" i="25"/>
  <c r="DB227" i="25"/>
  <c r="DB290" i="25"/>
  <c r="DM129" i="25"/>
  <c r="DB136" i="25"/>
  <c r="DB170" i="25"/>
  <c r="DM252" i="25"/>
  <c r="DW252" i="25" s="1"/>
  <c r="DJ273" i="25"/>
  <c r="DI273" i="25"/>
  <c r="DM185" i="25"/>
  <c r="DM300" i="25"/>
  <c r="DW300" i="25" s="1"/>
  <c r="DB30" i="25"/>
  <c r="DJ270" i="25"/>
  <c r="DI270" i="25"/>
  <c r="DJ18" i="25"/>
  <c r="DI18" i="25"/>
  <c r="DB77" i="25"/>
  <c r="DB123" i="25"/>
  <c r="DM93" i="25"/>
  <c r="DJ290" i="25"/>
  <c r="DI290" i="25"/>
  <c r="DJ197" i="25"/>
  <c r="DI197" i="25"/>
  <c r="DJ96" i="25"/>
  <c r="DI96" i="25"/>
  <c r="DB139" i="25"/>
  <c r="DB256" i="25"/>
  <c r="DM72" i="25"/>
  <c r="DB93" i="25"/>
  <c r="DB190" i="25"/>
  <c r="DM66" i="25"/>
  <c r="DB74" i="25"/>
  <c r="DM285" i="25"/>
  <c r="DW285" i="25" s="1"/>
  <c r="DJ152" i="25"/>
  <c r="DI152" i="25"/>
  <c r="DJ135" i="25"/>
  <c r="DI135" i="25"/>
  <c r="DB197" i="25"/>
  <c r="DJ6" i="25"/>
  <c r="DI6" i="25"/>
  <c r="DB98" i="25"/>
  <c r="DB188" i="25"/>
  <c r="DM170" i="25"/>
  <c r="DJ268" i="25"/>
  <c r="DI268" i="25"/>
  <c r="DB46" i="25"/>
  <c r="DJ141" i="25"/>
  <c r="DI141" i="25"/>
  <c r="DB50" i="25"/>
  <c r="DJ294" i="25"/>
  <c r="DI294" i="25"/>
  <c r="DJ295" i="25"/>
  <c r="DI295" i="25"/>
  <c r="DB174" i="25"/>
  <c r="DB288" i="25"/>
  <c r="DJ228" i="25"/>
  <c r="DI228" i="25"/>
  <c r="DM138" i="25"/>
  <c r="DM311" i="25"/>
  <c r="DW311" i="25" s="1"/>
  <c r="DB274" i="25"/>
  <c r="DM168" i="25"/>
  <c r="DM217" i="25"/>
  <c r="DW217" i="25" s="1"/>
  <c r="DB127" i="25"/>
  <c r="DJ306" i="25"/>
  <c r="DI306" i="25"/>
  <c r="DJ64" i="25"/>
  <c r="DI64" i="25"/>
  <c r="DJ234" i="25"/>
  <c r="DI234" i="25"/>
  <c r="DI132" i="25"/>
  <c r="DJ132" i="25"/>
  <c r="DB120" i="25"/>
  <c r="DM280" i="25"/>
  <c r="DW280" i="25" s="1"/>
  <c r="DJ251" i="25"/>
  <c r="DI251" i="25"/>
  <c r="DB152" i="25"/>
  <c r="DJ314" i="25"/>
  <c r="DI314" i="25"/>
  <c r="DJ231" i="25"/>
  <c r="DI231" i="25"/>
  <c r="DJ158" i="25"/>
  <c r="DI158" i="25"/>
  <c r="DJ304" i="25"/>
  <c r="DI304" i="25"/>
  <c r="DM80" i="25"/>
  <c r="DM45" i="25"/>
  <c r="DJ226" i="25"/>
  <c r="DI226" i="25"/>
  <c r="DJ15" i="25"/>
  <c r="DI15" i="25"/>
  <c r="DB31" i="25"/>
  <c r="DJ210" i="25"/>
  <c r="DI210" i="25"/>
  <c r="DM56" i="25"/>
  <c r="DB61" i="25"/>
  <c r="DJ164" i="25"/>
  <c r="DI164" i="25"/>
  <c r="DJ60" i="25"/>
  <c r="DI60" i="25"/>
  <c r="DM233" i="25"/>
  <c r="DW233" i="25" s="1"/>
  <c r="DJ62" i="25"/>
  <c r="DI62" i="25"/>
  <c r="DJ21" i="25"/>
  <c r="DI21" i="25"/>
  <c r="DB252" i="25"/>
  <c r="DB172" i="25"/>
  <c r="DJ74" i="25"/>
  <c r="DI74" i="25"/>
  <c r="DJ94" i="25"/>
  <c r="DI94" i="25"/>
  <c r="DB47" i="25"/>
  <c r="DJ117" i="25"/>
  <c r="DI117" i="25"/>
  <c r="DB199" i="25"/>
  <c r="DB104" i="25"/>
  <c r="DJ165" i="25"/>
  <c r="DI165" i="25"/>
  <c r="DJ50" i="25"/>
  <c r="DI50" i="25"/>
  <c r="DJ73" i="25"/>
  <c r="DI73" i="25"/>
  <c r="DJ71" i="25"/>
  <c r="DI71" i="25"/>
  <c r="DJ116" i="25"/>
  <c r="DI116" i="25"/>
  <c r="DJ229" i="25"/>
  <c r="DI229" i="25"/>
  <c r="DJ223" i="25"/>
  <c r="DI223" i="25"/>
  <c r="DJ115" i="25"/>
  <c r="DI115" i="25"/>
  <c r="DM139" i="25"/>
  <c r="DJ278" i="25"/>
  <c r="DI278" i="25"/>
  <c r="DJ171" i="25"/>
  <c r="DI171" i="25"/>
  <c r="DB289" i="25"/>
  <c r="DJ161" i="25"/>
  <c r="DI161" i="25"/>
  <c r="DB94" i="25"/>
  <c r="DJ252" i="25"/>
  <c r="DI252" i="25"/>
  <c r="DJ300" i="25"/>
  <c r="DI300" i="25"/>
  <c r="DB293" i="25"/>
  <c r="DJ93" i="25"/>
  <c r="DI93" i="25"/>
  <c r="DB20" i="25"/>
  <c r="DB129" i="25"/>
  <c r="DM145" i="25"/>
  <c r="DM96" i="25"/>
  <c r="DJ72" i="25"/>
  <c r="DI72" i="25"/>
  <c r="DM301" i="25"/>
  <c r="DW301" i="25" s="1"/>
  <c r="DJ30" i="25"/>
  <c r="DI30" i="25"/>
  <c r="DB79" i="25"/>
  <c r="DM253" i="25"/>
  <c r="DW253" i="25" s="1"/>
  <c r="DB233" i="25"/>
  <c r="DJ201" i="25"/>
  <c r="DI201" i="25"/>
  <c r="DB209" i="25"/>
  <c r="DJ307" i="25"/>
  <c r="DI307" i="25"/>
  <c r="DW6" i="25"/>
  <c r="DJ54" i="25"/>
  <c r="DI54" i="25"/>
  <c r="DB68" i="25"/>
  <c r="DM128" i="25"/>
  <c r="DJ170" i="25"/>
  <c r="DI170" i="25"/>
  <c r="DJ316" i="25"/>
  <c r="DI316" i="25"/>
  <c r="DB23" i="25"/>
  <c r="DB142" i="25"/>
  <c r="DB193" i="25"/>
  <c r="DB202" i="25"/>
  <c r="DM38" i="25"/>
  <c r="DB91" i="25"/>
  <c r="DM294" i="25"/>
  <c r="DW294" i="25" s="1"/>
  <c r="DB124" i="25"/>
  <c r="DM295" i="25"/>
  <c r="DW295" i="25" s="1"/>
  <c r="DM40" i="25"/>
  <c r="DJ138" i="25"/>
  <c r="DI138" i="25"/>
  <c r="DJ311" i="25"/>
  <c r="DI311" i="25"/>
  <c r="DM143" i="25"/>
  <c r="DJ217" i="25"/>
  <c r="DI217" i="25"/>
  <c r="DM27" i="25"/>
  <c r="DB18" i="25"/>
  <c r="DM64" i="25"/>
  <c r="DJ79" i="25"/>
  <c r="DI79" i="25"/>
  <c r="DM9" i="25"/>
  <c r="DB11" i="25"/>
  <c r="DM99" i="25"/>
  <c r="DM292" i="25"/>
  <c r="DW292" i="25" s="1"/>
  <c r="DM47" i="25"/>
  <c r="DM173" i="25"/>
  <c r="DB131" i="25"/>
  <c r="DB291" i="25"/>
  <c r="DM35" i="25"/>
  <c r="DM277" i="25"/>
  <c r="DW277" i="25" s="1"/>
  <c r="DM83" i="25"/>
  <c r="DB67" i="25"/>
  <c r="DJ45" i="25"/>
  <c r="DI45" i="25"/>
  <c r="DB229" i="25"/>
  <c r="DM105" i="25"/>
  <c r="DB35" i="25"/>
  <c r="DB206" i="25"/>
  <c r="DM210" i="25"/>
  <c r="DJ56" i="25"/>
  <c r="DI56" i="25"/>
  <c r="DB196" i="25"/>
  <c r="DM60" i="25"/>
  <c r="DM276" i="25"/>
  <c r="DW276" i="25" s="1"/>
  <c r="DJ155" i="25"/>
  <c r="DI155" i="25"/>
  <c r="DJ162" i="25"/>
  <c r="DI162" i="25"/>
  <c r="DM88" i="25"/>
  <c r="DJ291" i="25"/>
  <c r="DI291" i="25"/>
  <c r="DJ28" i="25"/>
  <c r="DI28" i="25"/>
  <c r="DJ142" i="25"/>
  <c r="DI142" i="25"/>
  <c r="DJ61" i="25"/>
  <c r="DI61" i="25"/>
  <c r="DJ151" i="25"/>
  <c r="DI151" i="25"/>
  <c r="DJ204" i="25"/>
  <c r="DI204" i="25"/>
  <c r="DJ139" i="25"/>
  <c r="DI139" i="25"/>
  <c r="DJ159" i="25"/>
  <c r="DI159" i="25"/>
  <c r="DM17" i="25"/>
  <c r="DJ52" i="25"/>
  <c r="DI52" i="25"/>
  <c r="DJ133" i="25"/>
  <c r="DI133" i="25"/>
  <c r="DJ55" i="25"/>
  <c r="DI55" i="25"/>
  <c r="DJ247" i="25"/>
  <c r="DI247" i="25"/>
  <c r="DJ282" i="25"/>
  <c r="DI282" i="25"/>
  <c r="DI145" i="25"/>
  <c r="DJ145" i="25"/>
  <c r="DJ301" i="25"/>
  <c r="DI301" i="25"/>
  <c r="DJ253" i="25"/>
  <c r="DI253" i="25"/>
  <c r="DJ36" i="25"/>
  <c r="DI36" i="25"/>
  <c r="DJ46" i="25"/>
  <c r="DI46" i="25"/>
  <c r="DJ153" i="25"/>
  <c r="DI153" i="25"/>
  <c r="DM225" i="25"/>
  <c r="DW225" i="25" s="1"/>
  <c r="DJ208" i="25"/>
  <c r="DI208" i="25"/>
  <c r="DJ38" i="25"/>
  <c r="DI38" i="25"/>
  <c r="DM262" i="25"/>
  <c r="DW262" i="25" s="1"/>
  <c r="DM100" i="25"/>
  <c r="DM70" i="25"/>
  <c r="DJ40" i="25"/>
  <c r="DI40" i="25"/>
  <c r="DJ87" i="25"/>
  <c r="DI87" i="25"/>
  <c r="DJ143" i="25"/>
  <c r="DI143" i="25"/>
  <c r="DJ27" i="25"/>
  <c r="DI27" i="25"/>
  <c r="DJ31" i="25"/>
  <c r="DI31" i="25"/>
  <c r="DM175" i="25"/>
  <c r="DI286" i="25"/>
  <c r="DJ286" i="25"/>
  <c r="DJ166" i="25"/>
  <c r="DI166" i="25"/>
  <c r="DM79" i="25"/>
  <c r="DJ9" i="25"/>
  <c r="DI9" i="25"/>
  <c r="DJ99" i="25"/>
  <c r="DI99" i="25"/>
  <c r="DJ144" i="25"/>
  <c r="DI144" i="25"/>
  <c r="DJ292" i="25"/>
  <c r="DI292" i="25"/>
  <c r="DJ47" i="25"/>
  <c r="DI47" i="25"/>
  <c r="DJ173" i="25"/>
  <c r="DI173" i="25"/>
  <c r="DM259" i="25"/>
  <c r="DW259" i="25" s="1"/>
  <c r="DJ35" i="25"/>
  <c r="DI35" i="25"/>
  <c r="DJ277" i="25"/>
  <c r="DI277" i="25"/>
  <c r="DJ83" i="25"/>
  <c r="DI83" i="25"/>
  <c r="DJ275" i="25"/>
  <c r="DI275" i="25"/>
  <c r="DJ105" i="25"/>
  <c r="DI105" i="25"/>
  <c r="DJ32" i="25"/>
  <c r="DI32" i="25"/>
  <c r="DJ239" i="25"/>
  <c r="DI239" i="25"/>
  <c r="DM127" i="25"/>
  <c r="DJ276" i="25"/>
  <c r="DI276" i="25"/>
  <c r="DB232" i="25"/>
  <c r="DB314" i="25"/>
  <c r="DJ146" i="25"/>
  <c r="DI146" i="25"/>
  <c r="DJ88" i="25"/>
  <c r="DI88" i="25"/>
  <c r="DJ274" i="25"/>
  <c r="DI274" i="25"/>
  <c r="DB159" i="25"/>
  <c r="DB25" i="25"/>
  <c r="DJ260" i="25"/>
  <c r="DI260" i="25"/>
  <c r="DB153" i="25"/>
  <c r="DB242" i="25"/>
  <c r="DB149" i="25"/>
  <c r="DJ264" i="25"/>
  <c r="DI264" i="25"/>
  <c r="DJ207" i="25"/>
  <c r="DI207" i="25"/>
  <c r="DB128" i="25"/>
  <c r="DJ198" i="25"/>
  <c r="DI198" i="25"/>
  <c r="DB58" i="25"/>
  <c r="DM242" i="25"/>
  <c r="DW242" i="25" s="1"/>
  <c r="DB183" i="25"/>
  <c r="DJ255" i="25"/>
  <c r="DI255" i="25"/>
  <c r="DJ196" i="25"/>
  <c r="DI196" i="25"/>
  <c r="DB146" i="25"/>
  <c r="DJ297" i="25"/>
  <c r="DI297" i="25"/>
  <c r="DB100" i="25"/>
  <c r="DJ17" i="25"/>
  <c r="DI17" i="25"/>
  <c r="DM48" i="25"/>
  <c r="DB272" i="25"/>
  <c r="DJ148" i="25"/>
  <c r="DI148" i="25"/>
  <c r="DJ188" i="25"/>
  <c r="DI188" i="25"/>
  <c r="DJ177" i="25"/>
  <c r="DI177" i="25"/>
  <c r="DB42" i="25"/>
  <c r="DJ235" i="25"/>
  <c r="DI235" i="25"/>
  <c r="DJ298" i="25"/>
  <c r="DI298" i="25"/>
  <c r="DB296" i="25"/>
  <c r="DJ85" i="25"/>
  <c r="DI85" i="25"/>
  <c r="DB8" i="25"/>
  <c r="DB43" i="25"/>
  <c r="DJ125" i="25"/>
  <c r="DI125" i="25"/>
  <c r="DB38" i="25"/>
  <c r="DB81" i="25"/>
  <c r="DB171" i="25"/>
  <c r="DJ150" i="25"/>
  <c r="DI150" i="25"/>
  <c r="DJ22" i="25"/>
  <c r="DI22" i="25"/>
  <c r="DM86" i="25"/>
  <c r="DJ149" i="25"/>
  <c r="DI149" i="25"/>
  <c r="DM12" i="25"/>
  <c r="DJ49" i="25"/>
  <c r="DI49" i="25"/>
  <c r="DB151" i="25"/>
  <c r="DB285" i="25"/>
  <c r="DJ310" i="25"/>
  <c r="DI310" i="25"/>
  <c r="DJ128" i="25"/>
  <c r="DI128" i="25"/>
  <c r="DB28" i="25"/>
  <c r="DM89" i="25"/>
  <c r="DM305" i="25"/>
  <c r="DW305" i="25" s="1"/>
  <c r="DJ279" i="25"/>
  <c r="DI279" i="25"/>
  <c r="DB141" i="25"/>
  <c r="DJ225" i="25"/>
  <c r="DI225" i="25"/>
  <c r="DJ123" i="25"/>
  <c r="DI123" i="25"/>
  <c r="DB37" i="25"/>
  <c r="DM208" i="25"/>
  <c r="DJ248" i="25"/>
  <c r="DI248" i="25"/>
  <c r="DB240" i="25"/>
  <c r="DM157" i="25"/>
  <c r="DM23" i="25"/>
  <c r="DJ262" i="25"/>
  <c r="DI262" i="25"/>
  <c r="DB36" i="25"/>
  <c r="DJ100" i="25"/>
  <c r="DI100" i="25"/>
  <c r="DJ70" i="25"/>
  <c r="DI70" i="25"/>
  <c r="DB118" i="25"/>
  <c r="DB113" i="25"/>
  <c r="DB116" i="25"/>
  <c r="DM87" i="25"/>
  <c r="DM156" i="25"/>
  <c r="DJ249" i="25"/>
  <c r="DI249" i="25"/>
  <c r="DJ199" i="25"/>
  <c r="DI199" i="25"/>
  <c r="DJ175" i="25"/>
  <c r="DI175" i="25"/>
  <c r="DJ289" i="25"/>
  <c r="DI289" i="25"/>
  <c r="DB54" i="25"/>
  <c r="DB249" i="25"/>
  <c r="DJ84" i="25"/>
  <c r="DI84" i="25"/>
  <c r="DB84" i="25"/>
  <c r="DJ187" i="25"/>
  <c r="DI187" i="25"/>
  <c r="DJ65" i="25"/>
  <c r="DI65" i="25"/>
  <c r="DJ41" i="25"/>
  <c r="DI41" i="25"/>
  <c r="DM267" i="25"/>
  <c r="DW267" i="25" s="1"/>
  <c r="DJ259" i="25"/>
  <c r="DI259" i="25"/>
  <c r="DM98" i="25"/>
  <c r="DB26" i="25"/>
  <c r="DM302" i="25"/>
  <c r="DW302" i="25" s="1"/>
  <c r="DJ67" i="25"/>
  <c r="DI67" i="25"/>
  <c r="DM275" i="25"/>
  <c r="DW275" i="25" s="1"/>
  <c r="DB167" i="25"/>
  <c r="DB16" i="25"/>
  <c r="DB62" i="25"/>
  <c r="DB312" i="25"/>
  <c r="DM239" i="25"/>
  <c r="DW239" i="25" s="1"/>
  <c r="DJ206" i="25"/>
  <c r="DI206" i="25"/>
  <c r="DB160" i="25"/>
  <c r="DB99" i="25"/>
  <c r="DJ57" i="25"/>
  <c r="DI57" i="25"/>
  <c r="DJ203" i="25"/>
  <c r="DI203" i="25"/>
  <c r="DJ122" i="25"/>
  <c r="DI122" i="25"/>
  <c r="DJ261" i="25"/>
  <c r="DI261" i="25"/>
  <c r="DJ315" i="25"/>
  <c r="DI315" i="25"/>
  <c r="DJ194" i="25"/>
  <c r="DI194" i="25"/>
  <c r="DM25" i="25"/>
  <c r="DJ69" i="25"/>
  <c r="DI69" i="25"/>
  <c r="DJ243" i="25"/>
  <c r="DI243" i="25"/>
  <c r="DJ230" i="25"/>
  <c r="DI230" i="25"/>
  <c r="DJ242" i="25"/>
  <c r="DI242" i="25"/>
  <c r="DM169" i="25"/>
  <c r="DJ192" i="25"/>
  <c r="DI192" i="25"/>
  <c r="DJ236" i="25"/>
  <c r="DI236" i="25"/>
  <c r="DM13" i="25"/>
  <c r="DJ48" i="25"/>
  <c r="DI48" i="25"/>
  <c r="DJ237" i="25"/>
  <c r="DI237" i="25"/>
  <c r="DJ63" i="25"/>
  <c r="DI63" i="25"/>
  <c r="DJ182" i="25"/>
  <c r="DI182" i="25"/>
  <c r="DM177" i="25"/>
  <c r="DJ163" i="25"/>
  <c r="DI163" i="25"/>
  <c r="DM235" i="25"/>
  <c r="DW235" i="25" s="1"/>
  <c r="DJ160" i="25"/>
  <c r="DI160" i="25"/>
  <c r="DM298" i="25"/>
  <c r="DW298" i="25" s="1"/>
  <c r="DJ51" i="25"/>
  <c r="DI51" i="25"/>
  <c r="DJ154" i="25"/>
  <c r="DI154" i="25"/>
  <c r="DJ240" i="25"/>
  <c r="DI240" i="25"/>
  <c r="DJ86" i="25"/>
  <c r="DI86" i="25"/>
  <c r="DJ130" i="25"/>
  <c r="DI130" i="25"/>
  <c r="DJ12" i="25"/>
  <c r="DI12" i="25"/>
  <c r="DM49" i="25"/>
  <c r="DM250" i="25"/>
  <c r="DW250" i="25" s="1"/>
  <c r="DJ89" i="25"/>
  <c r="DI89" i="25"/>
  <c r="DJ305" i="25"/>
  <c r="DI305" i="25"/>
  <c r="DJ256" i="25"/>
  <c r="DI256" i="25"/>
  <c r="DJ189" i="25"/>
  <c r="DI189" i="25"/>
  <c r="DJ178" i="25"/>
  <c r="DI178" i="25"/>
  <c r="DM90" i="25"/>
  <c r="DJ134" i="25"/>
  <c r="DI134" i="25"/>
  <c r="DJ157" i="25"/>
  <c r="DI157" i="25"/>
  <c r="DJ23" i="25"/>
  <c r="DI23" i="25"/>
  <c r="DM308" i="25"/>
  <c r="DW308" i="25" s="1"/>
  <c r="DM37" i="25"/>
  <c r="DJ111" i="25"/>
  <c r="DI111" i="25"/>
  <c r="DJ220" i="25"/>
  <c r="DI220" i="25"/>
  <c r="DJ156" i="25"/>
  <c r="DI156" i="25"/>
  <c r="DM199" i="25"/>
  <c r="DJ76" i="25"/>
  <c r="DI76" i="25"/>
  <c r="DM289" i="25"/>
  <c r="DW289" i="25" s="1"/>
  <c r="DM187" i="25"/>
  <c r="DM65" i="25"/>
  <c r="DM244" i="25"/>
  <c r="DW244" i="25" s="1"/>
  <c r="DM91" i="25"/>
  <c r="DJ267" i="25"/>
  <c r="DI267" i="25"/>
  <c r="DB286" i="25"/>
  <c r="DB311" i="25"/>
  <c r="DJ98" i="25"/>
  <c r="DI98" i="25"/>
  <c r="DJ302" i="25"/>
  <c r="DI302" i="25"/>
  <c r="DM191" i="25"/>
  <c r="DM147" i="25"/>
  <c r="DM92" i="25"/>
  <c r="DM14" i="25"/>
  <c r="DM203" i="25"/>
  <c r="DM122" i="25"/>
  <c r="DB89" i="25"/>
  <c r="DB55" i="25"/>
  <c r="DJ82" i="25"/>
  <c r="DI82" i="25"/>
  <c r="DM194" i="25"/>
  <c r="DB225" i="25"/>
  <c r="DB40" i="25"/>
  <c r="DJ20" i="25"/>
  <c r="DI20" i="25"/>
  <c r="DJ25" i="25"/>
  <c r="DI25" i="25"/>
  <c r="DB60" i="25"/>
  <c r="DB15" i="25"/>
  <c r="DJ309" i="25"/>
  <c r="DI309" i="25"/>
  <c r="DM313" i="25"/>
  <c r="DW313" i="25" s="1"/>
  <c r="DB29" i="25"/>
  <c r="DB298" i="25"/>
  <c r="DJ16" i="25"/>
  <c r="DI16" i="25"/>
  <c r="DM81" i="25"/>
  <c r="DB85" i="25"/>
  <c r="DM230" i="25"/>
  <c r="DW230" i="25" s="1"/>
  <c r="DB176" i="25"/>
  <c r="DJ195" i="25"/>
  <c r="DI195" i="25"/>
  <c r="DJ265" i="25"/>
  <c r="DI265" i="25"/>
  <c r="DJ169" i="25"/>
  <c r="DI169" i="25"/>
  <c r="DB253" i="25"/>
  <c r="DM272" i="25"/>
  <c r="DW272" i="25" s="1"/>
  <c r="DJ287" i="25"/>
  <c r="DI287" i="25"/>
  <c r="DJ140" i="25"/>
  <c r="DI140" i="25"/>
  <c r="DJ13" i="25"/>
  <c r="DI13" i="25"/>
  <c r="DB287" i="25"/>
  <c r="DM137" i="25"/>
  <c r="DM181" i="25"/>
  <c r="DJ184" i="25"/>
  <c r="DI184" i="25"/>
  <c r="DM227" i="25"/>
  <c r="DW227" i="25" s="1"/>
  <c r="DB121" i="25"/>
  <c r="DB21" i="25"/>
  <c r="DB45" i="25"/>
  <c r="DJ68" i="25"/>
  <c r="DI68" i="25"/>
  <c r="DB191" i="25"/>
  <c r="DM51" i="25"/>
  <c r="DB208" i="25"/>
  <c r="DJ258" i="25"/>
  <c r="DI258" i="25"/>
  <c r="DB130" i="25"/>
  <c r="DJ271" i="25"/>
  <c r="DI271" i="25"/>
  <c r="DB13" i="25"/>
  <c r="DB308" i="25"/>
  <c r="DM33" i="25"/>
  <c r="DB305" i="25"/>
  <c r="DJ250" i="25"/>
  <c r="DI250" i="25"/>
  <c r="DB266" i="25"/>
  <c r="DB34" i="25"/>
  <c r="DB250" i="25"/>
  <c r="DM263" i="25"/>
  <c r="DW263" i="25" s="1"/>
  <c r="DB309" i="25"/>
  <c r="DM119" i="25"/>
  <c r="DB257" i="25"/>
  <c r="DM121" i="25"/>
  <c r="DM256" i="25"/>
  <c r="DW256" i="25" s="1"/>
  <c r="DM189" i="25"/>
  <c r="DM178" i="25"/>
  <c r="DJ90" i="25"/>
  <c r="DI90" i="25"/>
  <c r="DB95" i="25"/>
  <c r="DM43" i="25"/>
  <c r="DB111" i="25"/>
  <c r="DM29" i="25"/>
  <c r="DJ95" i="25"/>
  <c r="DI95" i="25"/>
  <c r="DJ308" i="25"/>
  <c r="DI308" i="25"/>
  <c r="DJ37" i="25"/>
  <c r="DI37" i="25"/>
  <c r="DM111" i="25"/>
  <c r="DM284" i="25"/>
  <c r="DW284" i="25" s="1"/>
  <c r="DI110" i="25"/>
  <c r="DM34" i="25"/>
  <c r="DB217" i="25"/>
  <c r="DJ232" i="25"/>
  <c r="DI232" i="25"/>
  <c r="DJ58" i="25"/>
  <c r="DI58" i="25"/>
  <c r="DJ179" i="25"/>
  <c r="DI179" i="25"/>
  <c r="DM103" i="25"/>
  <c r="DJ244" i="25"/>
  <c r="DI244" i="25"/>
  <c r="DJ91" i="25"/>
  <c r="DI91" i="25"/>
  <c r="DB158" i="25"/>
  <c r="DJ120" i="25"/>
  <c r="DI120" i="25"/>
  <c r="DB163" i="25"/>
  <c r="DB299" i="25"/>
  <c r="DJ97" i="25"/>
  <c r="DI97" i="25"/>
  <c r="DM42" i="25"/>
  <c r="DB234" i="25"/>
  <c r="DJ191" i="25"/>
  <c r="DI191" i="25"/>
  <c r="DM59" i="25"/>
  <c r="DI147" i="25"/>
  <c r="DJ147" i="25"/>
  <c r="DB134" i="25"/>
  <c r="DJ92" i="25"/>
  <c r="DI92" i="25"/>
  <c r="DJ14" i="25"/>
  <c r="DI14" i="25"/>
  <c r="DB144" i="25"/>
  <c r="DB201" i="25"/>
  <c r="DJ241" i="25"/>
  <c r="DI241" i="25"/>
  <c r="DJ180" i="25"/>
  <c r="DI180" i="25"/>
  <c r="DJ313" i="25"/>
  <c r="DI313" i="25"/>
  <c r="DJ10" i="25"/>
  <c r="DI10" i="25"/>
  <c r="DJ75" i="25"/>
  <c r="DI75" i="25"/>
  <c r="DJ81" i="25"/>
  <c r="DI81" i="25"/>
  <c r="DJ272" i="25"/>
  <c r="DI272" i="25"/>
  <c r="DM287" i="25"/>
  <c r="DW287" i="25" s="1"/>
  <c r="DM245" i="25"/>
  <c r="DW245" i="25" s="1"/>
  <c r="DJ281" i="25"/>
  <c r="DI281" i="25"/>
  <c r="DM126" i="25"/>
  <c r="DJ137" i="25"/>
  <c r="DI137" i="25"/>
  <c r="DJ181" i="25"/>
  <c r="DI181" i="25"/>
  <c r="DJ227" i="25"/>
  <c r="DI227" i="25"/>
  <c r="DM24" i="25"/>
  <c r="DJ293" i="25"/>
  <c r="DI293" i="25"/>
  <c r="DJ26" i="25"/>
  <c r="DI26" i="25"/>
  <c r="DJ127" i="25"/>
  <c r="DI127" i="25"/>
  <c r="DJ193" i="25"/>
  <c r="DI193" i="25"/>
  <c r="DJ312" i="25"/>
  <c r="DI312" i="25"/>
  <c r="DJ33" i="25"/>
  <c r="DI33" i="25"/>
  <c r="DJ263" i="25"/>
  <c r="DI263" i="25"/>
  <c r="DJ119" i="25"/>
  <c r="DI119" i="25"/>
  <c r="DJ121" i="25"/>
  <c r="DI121" i="25"/>
  <c r="DJ11" i="25"/>
  <c r="DI11" i="25"/>
  <c r="DJ296" i="25"/>
  <c r="DI296" i="25"/>
  <c r="DJ224" i="25"/>
  <c r="DI224" i="25"/>
  <c r="DJ43" i="25"/>
  <c r="DI43" i="25"/>
  <c r="DJ29" i="25"/>
  <c r="DI29" i="25"/>
  <c r="DJ266" i="25"/>
  <c r="DI266" i="25"/>
  <c r="DM95" i="25"/>
  <c r="DJ254" i="25"/>
  <c r="DI254" i="25"/>
  <c r="DM200" i="25"/>
  <c r="DJ284" i="25"/>
  <c r="DI284" i="25"/>
  <c r="DJ34" i="25"/>
  <c r="DI34" i="25"/>
  <c r="DM283" i="25"/>
  <c r="DW283" i="25" s="1"/>
  <c r="DM232" i="25"/>
  <c r="DW232" i="25" s="1"/>
  <c r="DJ299" i="25"/>
  <c r="DI299" i="25"/>
  <c r="DM58" i="25"/>
  <c r="DM179" i="25"/>
  <c r="DJ103" i="25"/>
  <c r="DI103" i="25"/>
  <c r="DJ202" i="25"/>
  <c r="DI202" i="25"/>
  <c r="DJ257" i="25"/>
  <c r="DI257" i="25"/>
  <c r="DM97" i="25"/>
  <c r="DJ42" i="25"/>
  <c r="DI42" i="25"/>
  <c r="DM131" i="25"/>
  <c r="DJ59" i="25"/>
  <c r="DI59" i="25"/>
  <c r="DJ78" i="25"/>
  <c r="DI78" i="25"/>
  <c r="DJ190" i="25"/>
  <c r="DI190" i="25"/>
  <c r="DM174" i="25"/>
  <c r="DM269" i="25"/>
  <c r="DW269" i="25" s="1"/>
  <c r="DW7" i="25"/>
  <c r="DM241" i="25"/>
  <c r="DW241" i="25" s="1"/>
  <c r="DM279" i="25"/>
  <c r="DW279" i="25" s="1"/>
  <c r="DM180" i="25"/>
  <c r="DC251" i="24"/>
  <c r="DC196" i="24"/>
  <c r="DC191" i="24"/>
  <c r="DC297" i="24"/>
  <c r="DC237" i="24"/>
  <c r="DC220" i="24"/>
  <c r="DC313" i="24"/>
  <c r="DC282" i="24"/>
  <c r="DC286" i="24"/>
  <c r="DC290" i="24"/>
  <c r="DC244" i="24"/>
  <c r="DC306" i="24"/>
  <c r="DC224" i="24"/>
  <c r="DC233" i="24"/>
  <c r="DC126" i="24"/>
  <c r="DC147" i="24"/>
  <c r="DC137" i="24"/>
  <c r="DC193" i="24"/>
  <c r="DC247" i="24"/>
  <c r="DC118" i="24"/>
  <c r="DC312" i="24"/>
  <c r="DC225" i="24"/>
  <c r="DC218" i="24"/>
  <c r="DC270" i="24"/>
  <c r="DC175" i="24"/>
  <c r="DC295" i="24"/>
  <c r="DC207" i="24"/>
  <c r="DC311" i="24"/>
  <c r="DC167" i="24"/>
  <c r="DC179" i="24"/>
  <c r="DC180" i="24"/>
  <c r="DC125" i="24"/>
  <c r="DC303" i="24"/>
  <c r="DC231" i="24"/>
  <c r="DB210" i="24"/>
  <c r="DE210" i="24" s="1"/>
  <c r="DF210" i="24" s="1"/>
  <c r="DG210" i="24" s="1"/>
  <c r="DI210" i="24"/>
  <c r="DM210" i="24"/>
  <c r="DB181" i="24"/>
  <c r="DE181" i="24" s="1"/>
  <c r="DF181" i="24" s="1"/>
  <c r="DG181" i="24" s="1"/>
  <c r="DI181" i="24"/>
  <c r="DM181" i="24"/>
  <c r="DC204" i="24"/>
  <c r="DA91" i="24"/>
  <c r="DC91" i="24" s="1"/>
  <c r="DI91" i="24"/>
  <c r="DB91" i="24"/>
  <c r="DE91" i="24" s="1"/>
  <c r="DF91" i="24" s="1"/>
  <c r="DG91" i="24" s="1"/>
  <c r="DM91" i="24"/>
  <c r="DI27" i="24"/>
  <c r="DB27" i="24"/>
  <c r="DE27" i="24" s="1"/>
  <c r="DF27" i="24" s="1"/>
  <c r="DG27" i="24" s="1"/>
  <c r="DM27" i="24"/>
  <c r="DB271" i="24"/>
  <c r="DE271" i="24" s="1"/>
  <c r="DF271" i="24" s="1"/>
  <c r="DG271" i="24" s="1"/>
  <c r="DI271" i="24"/>
  <c r="DM271" i="24"/>
  <c r="DI197" i="24"/>
  <c r="DB197" i="24"/>
  <c r="DE197" i="24" s="1"/>
  <c r="DF197" i="24" s="1"/>
  <c r="DG197" i="24" s="1"/>
  <c r="DM197" i="24"/>
  <c r="DI79" i="24"/>
  <c r="DB79" i="24"/>
  <c r="DE79" i="24" s="1"/>
  <c r="DF79" i="24" s="1"/>
  <c r="DG79" i="24" s="1"/>
  <c r="DM79" i="24"/>
  <c r="DB80" i="24"/>
  <c r="DE80" i="24" s="1"/>
  <c r="DF80" i="24" s="1"/>
  <c r="DG80" i="24" s="1"/>
  <c r="DI80" i="24"/>
  <c r="DM80" i="24"/>
  <c r="DI254" i="24"/>
  <c r="DB254" i="24"/>
  <c r="DE254" i="24" s="1"/>
  <c r="DF254" i="24" s="1"/>
  <c r="DG254" i="24" s="1"/>
  <c r="DM254" i="24"/>
  <c r="DB56" i="24"/>
  <c r="DE56" i="24" s="1"/>
  <c r="DF56" i="24" s="1"/>
  <c r="DG56" i="24" s="1"/>
  <c r="DI56" i="24"/>
  <c r="DM56" i="24"/>
  <c r="DI112" i="24"/>
  <c r="DB112" i="24"/>
  <c r="DE112" i="24" s="1"/>
  <c r="DF112" i="24" s="1"/>
  <c r="DG112" i="24" s="1"/>
  <c r="DM112" i="24"/>
  <c r="DI137" i="24"/>
  <c r="DB137" i="24"/>
  <c r="DE137" i="24" s="1"/>
  <c r="DF137" i="24" s="1"/>
  <c r="DG137" i="24" s="1"/>
  <c r="DM137" i="24"/>
  <c r="DI100" i="24"/>
  <c r="DB100" i="24"/>
  <c r="DE100" i="24" s="1"/>
  <c r="DF100" i="24" s="1"/>
  <c r="DG100" i="24" s="1"/>
  <c r="DM100" i="24"/>
  <c r="DI312" i="24"/>
  <c r="DB312" i="24"/>
  <c r="DE312" i="24" s="1"/>
  <c r="DF312" i="24" s="1"/>
  <c r="DG312" i="24" s="1"/>
  <c r="DM312" i="24"/>
  <c r="DI222" i="24"/>
  <c r="DB222" i="24"/>
  <c r="DE222" i="24" s="1"/>
  <c r="DF222" i="24" s="1"/>
  <c r="DG222" i="24" s="1"/>
  <c r="DM222" i="24"/>
  <c r="DI207" i="24"/>
  <c r="DB207" i="24"/>
  <c r="DE207" i="24" s="1"/>
  <c r="DF207" i="24" s="1"/>
  <c r="DG207" i="24" s="1"/>
  <c r="DM207" i="24"/>
  <c r="DC131" i="24"/>
  <c r="DI173" i="24"/>
  <c r="DB173" i="24"/>
  <c r="DE173" i="24" s="1"/>
  <c r="DF173" i="24" s="1"/>
  <c r="DG173" i="24" s="1"/>
  <c r="DM173" i="24"/>
  <c r="DI60" i="24"/>
  <c r="DB60" i="24"/>
  <c r="DE60" i="24" s="1"/>
  <c r="DF60" i="24" s="1"/>
  <c r="DG60" i="24" s="1"/>
  <c r="DM60" i="24"/>
  <c r="DB290" i="24"/>
  <c r="DE290" i="24" s="1"/>
  <c r="DF290" i="24" s="1"/>
  <c r="DG290" i="24" s="1"/>
  <c r="DI290" i="24"/>
  <c r="DM290" i="24"/>
  <c r="DA222" i="24"/>
  <c r="DC222" i="24" s="1"/>
  <c r="DC242" i="24"/>
  <c r="DC132" i="24"/>
  <c r="DI123" i="24"/>
  <c r="DB123" i="24"/>
  <c r="DE123" i="24" s="1"/>
  <c r="DF123" i="24" s="1"/>
  <c r="DG123" i="24" s="1"/>
  <c r="DM123" i="24"/>
  <c r="DI72" i="24"/>
  <c r="DB72" i="24"/>
  <c r="DE72" i="24" s="1"/>
  <c r="DF72" i="24" s="1"/>
  <c r="DG72" i="24" s="1"/>
  <c r="DM72" i="24"/>
  <c r="DC283" i="24"/>
  <c r="DI309" i="24"/>
  <c r="DB309" i="24"/>
  <c r="DE309" i="24" s="1"/>
  <c r="DF309" i="24" s="1"/>
  <c r="DG309" i="24" s="1"/>
  <c r="DM309" i="24"/>
  <c r="DA89" i="24"/>
  <c r="DC89" i="24" s="1"/>
  <c r="DB89" i="24"/>
  <c r="DE89" i="24" s="1"/>
  <c r="DF89" i="24" s="1"/>
  <c r="DG89" i="24" s="1"/>
  <c r="DI89" i="24"/>
  <c r="DM89" i="24"/>
  <c r="DB205" i="24"/>
  <c r="DE205" i="24" s="1"/>
  <c r="DF205" i="24" s="1"/>
  <c r="DG205" i="24" s="1"/>
  <c r="DI205" i="24"/>
  <c r="DM205" i="24"/>
  <c r="DB289" i="24"/>
  <c r="DE289" i="24" s="1"/>
  <c r="DF289" i="24" s="1"/>
  <c r="DG289" i="24" s="1"/>
  <c r="DI289" i="24"/>
  <c r="DM289" i="24"/>
  <c r="DI234" i="24"/>
  <c r="DB234" i="24"/>
  <c r="DE234" i="24" s="1"/>
  <c r="DF234" i="24" s="1"/>
  <c r="DG234" i="24" s="1"/>
  <c r="DM234" i="24"/>
  <c r="DC267" i="24"/>
  <c r="DI29" i="24"/>
  <c r="DB29" i="24"/>
  <c r="DE29" i="24" s="1"/>
  <c r="DF29" i="24" s="1"/>
  <c r="DG29" i="24" s="1"/>
  <c r="DM29" i="24"/>
  <c r="DI224" i="24"/>
  <c r="DB224" i="24"/>
  <c r="DE224" i="24" s="1"/>
  <c r="DF224" i="24" s="1"/>
  <c r="DG224" i="24" s="1"/>
  <c r="DM224" i="24"/>
  <c r="DB20" i="24"/>
  <c r="DE20" i="24" s="1"/>
  <c r="DF20" i="24" s="1"/>
  <c r="DG20" i="24" s="1"/>
  <c r="DI20" i="24"/>
  <c r="DM20" i="24"/>
  <c r="DI73" i="24"/>
  <c r="DB73" i="24"/>
  <c r="DE73" i="24" s="1"/>
  <c r="DF73" i="24" s="1"/>
  <c r="DG73" i="24" s="1"/>
  <c r="DM73" i="24"/>
  <c r="DB267" i="24"/>
  <c r="DE267" i="24" s="1"/>
  <c r="DF267" i="24" s="1"/>
  <c r="DG267" i="24" s="1"/>
  <c r="DI267" i="24"/>
  <c r="DM267" i="24"/>
  <c r="DI158" i="24"/>
  <c r="DB158" i="24"/>
  <c r="DE158" i="24" s="1"/>
  <c r="DF158" i="24" s="1"/>
  <c r="DG158" i="24" s="1"/>
  <c r="DM158" i="24"/>
  <c r="DI94" i="24"/>
  <c r="DB94" i="24"/>
  <c r="DE94" i="24" s="1"/>
  <c r="DF94" i="24" s="1"/>
  <c r="DG94" i="24" s="1"/>
  <c r="DM94" i="24"/>
  <c r="DI135" i="24"/>
  <c r="DB135" i="24"/>
  <c r="DE135" i="24" s="1"/>
  <c r="DF135" i="24" s="1"/>
  <c r="DG135" i="24" s="1"/>
  <c r="DM135" i="24"/>
  <c r="DB235" i="24"/>
  <c r="DE235" i="24" s="1"/>
  <c r="DF235" i="24" s="1"/>
  <c r="DG235" i="24" s="1"/>
  <c r="DI235" i="24"/>
  <c r="DM235" i="24"/>
  <c r="DI256" i="24"/>
  <c r="DB256" i="24"/>
  <c r="DE256" i="24" s="1"/>
  <c r="DF256" i="24" s="1"/>
  <c r="DG256" i="24" s="1"/>
  <c r="DM256" i="24"/>
  <c r="DI241" i="24"/>
  <c r="DB241" i="24"/>
  <c r="DE241" i="24" s="1"/>
  <c r="DF241" i="24" s="1"/>
  <c r="DG241" i="24" s="1"/>
  <c r="DM241" i="24"/>
  <c r="DI82" i="24"/>
  <c r="DB82" i="24"/>
  <c r="DE82" i="24" s="1"/>
  <c r="DF82" i="24" s="1"/>
  <c r="DG82" i="24" s="1"/>
  <c r="DM82" i="24"/>
  <c r="DA201" i="24"/>
  <c r="DC201" i="24" s="1"/>
  <c r="DB201" i="24"/>
  <c r="DE201" i="24" s="1"/>
  <c r="DF201" i="24" s="1"/>
  <c r="DG201" i="24" s="1"/>
  <c r="DI201" i="24"/>
  <c r="DM201" i="24"/>
  <c r="DB251" i="24"/>
  <c r="DE251" i="24" s="1"/>
  <c r="DF251" i="24" s="1"/>
  <c r="DG251" i="24" s="1"/>
  <c r="DI251" i="24"/>
  <c r="DM251" i="24"/>
  <c r="DB84" i="24"/>
  <c r="DE84" i="24" s="1"/>
  <c r="DF84" i="24" s="1"/>
  <c r="DG84" i="24" s="1"/>
  <c r="DI84" i="24"/>
  <c r="DM84" i="24"/>
  <c r="DC151" i="24"/>
  <c r="DB61" i="24"/>
  <c r="DE61" i="24" s="1"/>
  <c r="DF61" i="24" s="1"/>
  <c r="DG61" i="24" s="1"/>
  <c r="DI61" i="24"/>
  <c r="DM61" i="24"/>
  <c r="DB46" i="24"/>
  <c r="DE46" i="24" s="1"/>
  <c r="DF46" i="24" s="1"/>
  <c r="DG46" i="24" s="1"/>
  <c r="DI46" i="24"/>
  <c r="DM46" i="24"/>
  <c r="DC155" i="24"/>
  <c r="DI273" i="24"/>
  <c r="DB273" i="24"/>
  <c r="DE273" i="24" s="1"/>
  <c r="DF273" i="24" s="1"/>
  <c r="DG273" i="24" s="1"/>
  <c r="DM273" i="24"/>
  <c r="DB126" i="24"/>
  <c r="DE126" i="24" s="1"/>
  <c r="DF126" i="24" s="1"/>
  <c r="DG126" i="24" s="1"/>
  <c r="DI126" i="24"/>
  <c r="DM126" i="24"/>
  <c r="DB129" i="24"/>
  <c r="DE129" i="24" s="1"/>
  <c r="DF129" i="24" s="1"/>
  <c r="DG129" i="24" s="1"/>
  <c r="DI129" i="24"/>
  <c r="DM129" i="24"/>
  <c r="DI99" i="24"/>
  <c r="DB99" i="24"/>
  <c r="DE99" i="24" s="1"/>
  <c r="DF99" i="24" s="1"/>
  <c r="DG99" i="24" s="1"/>
  <c r="DM99" i="24"/>
  <c r="DC199" i="24"/>
  <c r="DC169" i="24"/>
  <c r="DB10" i="24"/>
  <c r="DE10" i="24" s="1"/>
  <c r="DF10" i="24" s="1"/>
  <c r="DG10" i="24" s="1"/>
  <c r="DI10" i="24"/>
  <c r="DM10" i="24"/>
  <c r="DC291" i="24"/>
  <c r="DC128" i="24"/>
  <c r="DB93" i="24"/>
  <c r="DE93" i="24" s="1"/>
  <c r="DF93" i="24" s="1"/>
  <c r="DG93" i="24" s="1"/>
  <c r="DI93" i="24"/>
  <c r="DM93" i="24"/>
  <c r="DB43" i="24"/>
  <c r="DE43" i="24" s="1"/>
  <c r="DF43" i="24" s="1"/>
  <c r="DG43" i="24" s="1"/>
  <c r="DI43" i="24"/>
  <c r="DM43" i="24"/>
  <c r="DB313" i="24"/>
  <c r="DE313" i="24" s="1"/>
  <c r="DF313" i="24" s="1"/>
  <c r="DG313" i="24" s="1"/>
  <c r="DI313" i="24"/>
  <c r="DM313" i="24"/>
  <c r="DA158" i="24"/>
  <c r="DC158" i="24" s="1"/>
  <c r="DA94" i="24"/>
  <c r="DC94" i="24" s="1"/>
  <c r="DC252" i="24"/>
  <c r="DB186" i="24"/>
  <c r="DE186" i="24" s="1"/>
  <c r="DF186" i="24" s="1"/>
  <c r="DG186" i="24" s="1"/>
  <c r="DI186" i="24"/>
  <c r="DM186" i="24"/>
  <c r="DA112" i="24"/>
  <c r="DC112" i="24" s="1"/>
  <c r="DC164" i="24"/>
  <c r="DI162" i="24"/>
  <c r="DB162" i="24"/>
  <c r="DE162" i="24" s="1"/>
  <c r="DF162" i="24" s="1"/>
  <c r="DG162" i="24" s="1"/>
  <c r="DM162" i="24"/>
  <c r="DC206" i="24"/>
  <c r="DI15" i="24"/>
  <c r="DB15" i="24"/>
  <c r="DE15" i="24" s="1"/>
  <c r="DF15" i="24" s="1"/>
  <c r="DG15" i="24" s="1"/>
  <c r="DM15" i="24"/>
  <c r="DI98" i="24"/>
  <c r="DB98" i="24"/>
  <c r="DE98" i="24" s="1"/>
  <c r="DF98" i="24" s="1"/>
  <c r="DG98" i="24" s="1"/>
  <c r="DM98" i="24"/>
  <c r="DI40" i="24"/>
  <c r="DB40" i="24"/>
  <c r="DE40" i="24" s="1"/>
  <c r="DF40" i="24" s="1"/>
  <c r="DG40" i="24" s="1"/>
  <c r="DM40" i="24"/>
  <c r="DI66" i="24"/>
  <c r="DB66" i="24"/>
  <c r="DE66" i="24" s="1"/>
  <c r="DF66" i="24" s="1"/>
  <c r="DG66" i="24" s="1"/>
  <c r="DM66" i="24"/>
  <c r="DI264" i="24"/>
  <c r="DB264" i="24"/>
  <c r="DE264" i="24" s="1"/>
  <c r="DF264" i="24" s="1"/>
  <c r="DG264" i="24" s="1"/>
  <c r="DM264" i="24"/>
  <c r="DI291" i="24"/>
  <c r="DB291" i="24"/>
  <c r="DE291" i="24" s="1"/>
  <c r="DF291" i="24" s="1"/>
  <c r="DG291" i="24" s="1"/>
  <c r="DM291" i="24"/>
  <c r="DC281" i="24"/>
  <c r="DB136" i="24"/>
  <c r="DE136" i="24" s="1"/>
  <c r="DF136" i="24" s="1"/>
  <c r="DG136" i="24" s="1"/>
  <c r="DI136" i="24"/>
  <c r="DM136" i="24"/>
  <c r="DC209" i="24"/>
  <c r="DB226" i="24"/>
  <c r="DE226" i="24" s="1"/>
  <c r="DF226" i="24" s="1"/>
  <c r="DG226" i="24" s="1"/>
  <c r="DI226" i="24"/>
  <c r="DM226" i="24"/>
  <c r="DA171" i="24"/>
  <c r="DC171" i="24" s="1"/>
  <c r="DI171" i="24"/>
  <c r="DB171" i="24"/>
  <c r="DE171" i="24" s="1"/>
  <c r="DF171" i="24" s="1"/>
  <c r="DG171" i="24" s="1"/>
  <c r="DM171" i="24"/>
  <c r="DI41" i="24"/>
  <c r="DB41" i="24"/>
  <c r="DE41" i="24" s="1"/>
  <c r="DF41" i="24" s="1"/>
  <c r="DG41" i="24" s="1"/>
  <c r="DM41" i="24"/>
  <c r="DI146" i="24"/>
  <c r="DB146" i="24"/>
  <c r="DE146" i="24" s="1"/>
  <c r="DF146" i="24" s="1"/>
  <c r="DG146" i="24" s="1"/>
  <c r="DM146" i="24"/>
  <c r="DM255" i="24"/>
  <c r="DB255" i="24"/>
  <c r="DE255" i="24" s="1"/>
  <c r="DF255" i="24" s="1"/>
  <c r="DG255" i="24" s="1"/>
  <c r="DI255" i="24"/>
  <c r="DB259" i="24"/>
  <c r="DE259" i="24" s="1"/>
  <c r="DF259" i="24" s="1"/>
  <c r="DG259" i="24" s="1"/>
  <c r="DI259" i="24"/>
  <c r="DM259" i="24"/>
  <c r="DB133" i="24"/>
  <c r="DE133" i="24" s="1"/>
  <c r="DF133" i="24" s="1"/>
  <c r="DG133" i="24" s="1"/>
  <c r="DI133" i="24"/>
  <c r="DM133" i="24"/>
  <c r="DB30" i="24"/>
  <c r="DE30" i="24" s="1"/>
  <c r="DF30" i="24" s="1"/>
  <c r="DG30" i="24" s="1"/>
  <c r="DI30" i="24"/>
  <c r="DM30" i="24"/>
  <c r="DC268" i="24"/>
  <c r="DI53" i="24"/>
  <c r="DB53" i="24"/>
  <c r="DE53" i="24" s="1"/>
  <c r="DF53" i="24" s="1"/>
  <c r="DG53" i="24" s="1"/>
  <c r="DM53" i="24"/>
  <c r="DI121" i="24"/>
  <c r="DB121" i="24"/>
  <c r="DE121" i="24" s="1"/>
  <c r="DF121" i="24" s="1"/>
  <c r="DG121" i="24" s="1"/>
  <c r="DM121" i="24"/>
  <c r="DI90" i="24"/>
  <c r="DB90" i="24"/>
  <c r="DE90" i="24" s="1"/>
  <c r="DF90" i="24" s="1"/>
  <c r="DG90" i="24" s="1"/>
  <c r="DM90" i="24"/>
  <c r="DC129" i="24"/>
  <c r="DI308" i="24"/>
  <c r="DB308" i="24"/>
  <c r="DE308" i="24" s="1"/>
  <c r="DF308" i="24" s="1"/>
  <c r="DG308" i="24" s="1"/>
  <c r="DM308" i="24"/>
  <c r="DA256" i="24"/>
  <c r="DC256" i="24" s="1"/>
  <c r="DI295" i="24"/>
  <c r="DB295" i="24"/>
  <c r="DE295" i="24" s="1"/>
  <c r="DF295" i="24" s="1"/>
  <c r="DG295" i="24" s="1"/>
  <c r="DM295" i="24"/>
  <c r="DI97" i="24"/>
  <c r="DB97" i="24"/>
  <c r="DE97" i="24" s="1"/>
  <c r="DF97" i="24" s="1"/>
  <c r="DG97" i="24" s="1"/>
  <c r="DM97" i="24"/>
  <c r="DI31" i="24"/>
  <c r="DB31" i="24"/>
  <c r="DE31" i="24" s="1"/>
  <c r="DF31" i="24" s="1"/>
  <c r="DG31" i="24" s="1"/>
  <c r="DM31" i="24"/>
  <c r="DC178" i="24"/>
  <c r="DI8" i="24"/>
  <c r="DB8" i="24"/>
  <c r="DE8" i="24" s="1"/>
  <c r="DF8" i="24" s="1"/>
  <c r="DG8" i="24" s="1"/>
  <c r="DM8" i="24"/>
  <c r="DB279" i="24"/>
  <c r="DE279" i="24" s="1"/>
  <c r="DF279" i="24" s="1"/>
  <c r="DG279" i="24" s="1"/>
  <c r="DI279" i="24"/>
  <c r="DM279" i="24"/>
  <c r="DA79" i="24"/>
  <c r="DC79" i="24" s="1"/>
  <c r="DA184" i="24"/>
  <c r="DC184" i="24" s="1"/>
  <c r="DI184" i="24"/>
  <c r="DB184" i="24"/>
  <c r="DE184" i="24" s="1"/>
  <c r="DF184" i="24" s="1"/>
  <c r="DG184" i="24" s="1"/>
  <c r="DM184" i="24"/>
  <c r="DA261" i="24"/>
  <c r="DC261" i="24" s="1"/>
  <c r="DI261" i="24"/>
  <c r="DB261" i="24"/>
  <c r="DE261" i="24" s="1"/>
  <c r="DF261" i="24" s="1"/>
  <c r="DG261" i="24" s="1"/>
  <c r="DM261" i="24"/>
  <c r="DI265" i="24"/>
  <c r="DB265" i="24"/>
  <c r="DE265" i="24" s="1"/>
  <c r="DF265" i="24" s="1"/>
  <c r="DG265" i="24" s="1"/>
  <c r="DM265" i="24"/>
  <c r="DA27" i="24"/>
  <c r="DC27" i="24" s="1"/>
  <c r="DI69" i="24"/>
  <c r="DB69" i="24"/>
  <c r="DE69" i="24" s="1"/>
  <c r="DF69" i="24" s="1"/>
  <c r="DG69" i="24" s="1"/>
  <c r="DM69" i="24"/>
  <c r="DI44" i="24"/>
  <c r="DB44" i="24"/>
  <c r="DE44" i="24" s="1"/>
  <c r="DF44" i="24" s="1"/>
  <c r="DG44" i="24" s="1"/>
  <c r="DM44" i="24"/>
  <c r="DB272" i="24"/>
  <c r="DE272" i="24" s="1"/>
  <c r="DF272" i="24" s="1"/>
  <c r="DG272" i="24" s="1"/>
  <c r="DI272" i="24"/>
  <c r="DM272" i="24"/>
  <c r="DI220" i="24"/>
  <c r="DB220" i="24"/>
  <c r="DE220" i="24" s="1"/>
  <c r="DF220" i="24" s="1"/>
  <c r="DG220" i="24" s="1"/>
  <c r="DM220" i="24"/>
  <c r="DC262" i="24"/>
  <c r="DA271" i="24"/>
  <c r="DC271" i="24" s="1"/>
  <c r="DB160" i="24"/>
  <c r="DE160" i="24" s="1"/>
  <c r="DF160" i="24" s="1"/>
  <c r="DG160" i="24" s="1"/>
  <c r="DI160" i="24"/>
  <c r="DM160" i="24"/>
  <c r="DB284" i="24"/>
  <c r="DE284" i="24" s="1"/>
  <c r="DF284" i="24" s="1"/>
  <c r="DG284" i="24" s="1"/>
  <c r="DI284" i="24"/>
  <c r="DM284" i="24"/>
  <c r="DC120" i="24"/>
  <c r="DI281" i="24"/>
  <c r="DB281" i="24"/>
  <c r="DE281" i="24" s="1"/>
  <c r="DF281" i="24" s="1"/>
  <c r="DG281" i="24" s="1"/>
  <c r="DM281" i="24"/>
  <c r="DA70" i="24"/>
  <c r="DC70" i="24" s="1"/>
  <c r="DI70" i="24"/>
  <c r="DB70" i="24"/>
  <c r="DE70" i="24" s="1"/>
  <c r="DF70" i="24" s="1"/>
  <c r="DG70" i="24" s="1"/>
  <c r="DM70" i="24"/>
  <c r="DA83" i="24"/>
  <c r="DC83" i="24" s="1"/>
  <c r="DI83" i="24"/>
  <c r="DB83" i="24"/>
  <c r="DE83" i="24" s="1"/>
  <c r="DF83" i="24" s="1"/>
  <c r="DG83" i="24" s="1"/>
  <c r="DM83" i="24"/>
  <c r="DA284" i="24"/>
  <c r="DC284" i="24" s="1"/>
  <c r="DI307" i="24"/>
  <c r="DB307" i="24"/>
  <c r="DE307" i="24" s="1"/>
  <c r="DF307" i="24" s="1"/>
  <c r="DG307" i="24" s="1"/>
  <c r="DM307" i="24"/>
  <c r="DI297" i="24"/>
  <c r="DB297" i="24"/>
  <c r="DE297" i="24" s="1"/>
  <c r="DF297" i="24" s="1"/>
  <c r="DG297" i="24" s="1"/>
  <c r="DM297" i="24"/>
  <c r="DC302" i="24"/>
  <c r="DC253" i="24"/>
  <c r="DB283" i="24"/>
  <c r="DE283" i="24" s="1"/>
  <c r="DF283" i="24" s="1"/>
  <c r="DG283" i="24" s="1"/>
  <c r="DI283" i="24"/>
  <c r="DM283" i="24"/>
  <c r="DC238" i="24"/>
  <c r="DB172" i="24"/>
  <c r="DE172" i="24" s="1"/>
  <c r="DF172" i="24" s="1"/>
  <c r="DG172" i="24" s="1"/>
  <c r="DI172" i="24"/>
  <c r="DM172" i="24"/>
  <c r="DC289" i="24"/>
  <c r="DI47" i="24"/>
  <c r="DB47" i="24"/>
  <c r="DE47" i="24" s="1"/>
  <c r="DF47" i="24" s="1"/>
  <c r="DG47" i="24" s="1"/>
  <c r="DM47" i="24"/>
  <c r="DM242" i="24"/>
  <c r="DI242" i="24"/>
  <c r="DB242" i="24"/>
  <c r="DE242" i="24" s="1"/>
  <c r="DF242" i="24" s="1"/>
  <c r="DG242" i="24" s="1"/>
  <c r="DI286" i="24"/>
  <c r="DB286" i="24"/>
  <c r="DE286" i="24" s="1"/>
  <c r="DF286" i="24" s="1"/>
  <c r="DG286" i="24" s="1"/>
  <c r="DM286" i="24"/>
  <c r="DA18" i="24"/>
  <c r="DC18" i="24" s="1"/>
  <c r="DI18" i="24"/>
  <c r="DB18" i="24"/>
  <c r="DE18" i="24" s="1"/>
  <c r="DF18" i="24" s="1"/>
  <c r="DG18" i="24" s="1"/>
  <c r="DM18" i="24"/>
  <c r="DC113" i="24"/>
  <c r="DC296" i="24"/>
  <c r="DI6" i="24"/>
  <c r="DB6" i="24"/>
  <c r="DE6" i="24" s="1"/>
  <c r="DF6" i="24" s="1"/>
  <c r="DG6" i="24" s="1"/>
  <c r="DM6" i="24"/>
  <c r="DI153" i="24"/>
  <c r="DB153" i="24"/>
  <c r="DE153" i="24" s="1"/>
  <c r="DF153" i="24" s="1"/>
  <c r="DG153" i="24" s="1"/>
  <c r="DM153" i="24"/>
  <c r="DC277" i="24"/>
  <c r="DI36" i="24"/>
  <c r="DB36" i="24"/>
  <c r="DE36" i="24" s="1"/>
  <c r="DF36" i="24" s="1"/>
  <c r="DG36" i="24" s="1"/>
  <c r="DM36" i="24"/>
  <c r="DB192" i="24"/>
  <c r="DE192" i="24" s="1"/>
  <c r="DF192" i="24" s="1"/>
  <c r="DG192" i="24" s="1"/>
  <c r="DI192" i="24"/>
  <c r="DM192" i="24"/>
  <c r="DA226" i="24"/>
  <c r="DC226" i="24" s="1"/>
  <c r="DI96" i="24"/>
  <c r="DB96" i="24"/>
  <c r="DE96" i="24" s="1"/>
  <c r="DF96" i="24" s="1"/>
  <c r="DG96" i="24" s="1"/>
  <c r="DM96" i="24"/>
  <c r="DI145" i="24"/>
  <c r="DB145" i="24"/>
  <c r="DE145" i="24" s="1"/>
  <c r="DF145" i="24" s="1"/>
  <c r="DG145" i="24" s="1"/>
  <c r="DM145" i="24"/>
  <c r="DM128" i="24"/>
  <c r="DI128" i="24"/>
  <c r="DB128" i="24"/>
  <c r="DE128" i="24" s="1"/>
  <c r="DF128" i="24" s="1"/>
  <c r="DG128" i="24" s="1"/>
  <c r="DC160" i="24"/>
  <c r="DI304" i="24"/>
  <c r="DB304" i="24"/>
  <c r="DE304" i="24" s="1"/>
  <c r="DF304" i="24" s="1"/>
  <c r="DG304" i="24" s="1"/>
  <c r="DM304" i="24"/>
  <c r="DA245" i="24"/>
  <c r="DC245" i="24" s="1"/>
  <c r="DI245" i="24"/>
  <c r="DB245" i="24"/>
  <c r="DE245" i="24" s="1"/>
  <c r="DF245" i="24" s="1"/>
  <c r="DG245" i="24" s="1"/>
  <c r="DM245" i="24"/>
  <c r="DI315" i="24"/>
  <c r="DB315" i="24"/>
  <c r="DE315" i="24" s="1"/>
  <c r="DF315" i="24" s="1"/>
  <c r="DG315" i="24" s="1"/>
  <c r="DM315" i="24"/>
  <c r="DI249" i="24"/>
  <c r="DB249" i="24"/>
  <c r="DE249" i="24" s="1"/>
  <c r="DF249" i="24" s="1"/>
  <c r="DG249" i="24" s="1"/>
  <c r="DM249" i="24"/>
  <c r="DI63" i="24"/>
  <c r="DB63" i="24"/>
  <c r="DE63" i="24" s="1"/>
  <c r="DF63" i="24" s="1"/>
  <c r="DG63" i="24" s="1"/>
  <c r="DM63" i="24"/>
  <c r="DI174" i="24"/>
  <c r="DB174" i="24"/>
  <c r="DE174" i="24" s="1"/>
  <c r="DF174" i="24" s="1"/>
  <c r="DG174" i="24" s="1"/>
  <c r="DM174" i="24"/>
  <c r="DA315" i="24"/>
  <c r="DC315" i="24" s="1"/>
  <c r="DC316" i="24"/>
  <c r="DA65" i="24"/>
  <c r="DC65" i="24" s="1"/>
  <c r="DI65" i="24"/>
  <c r="DB65" i="24"/>
  <c r="DE65" i="24" s="1"/>
  <c r="DF65" i="24" s="1"/>
  <c r="DG65" i="24" s="1"/>
  <c r="DM65" i="24"/>
  <c r="DB175" i="24"/>
  <c r="DE175" i="24" s="1"/>
  <c r="DF175" i="24" s="1"/>
  <c r="DG175" i="24" s="1"/>
  <c r="DI175" i="24"/>
  <c r="DM175" i="24"/>
  <c r="DI188" i="24"/>
  <c r="DB188" i="24"/>
  <c r="DE188" i="24" s="1"/>
  <c r="DF188" i="24" s="1"/>
  <c r="DG188" i="24" s="1"/>
  <c r="DM188" i="24"/>
  <c r="DI101" i="24"/>
  <c r="DB101" i="24"/>
  <c r="DE101" i="24" s="1"/>
  <c r="DF101" i="24" s="1"/>
  <c r="DG101" i="24" s="1"/>
  <c r="DM101" i="24"/>
  <c r="DB166" i="24"/>
  <c r="DE166" i="24" s="1"/>
  <c r="DF166" i="24" s="1"/>
  <c r="DG166" i="24" s="1"/>
  <c r="DI166" i="24"/>
  <c r="DM166" i="24"/>
  <c r="DC140" i="24"/>
  <c r="DC142" i="24"/>
  <c r="DI316" i="24"/>
  <c r="DB316" i="24"/>
  <c r="DE316" i="24" s="1"/>
  <c r="DF316" i="24" s="1"/>
  <c r="DG316" i="24" s="1"/>
  <c r="DM316" i="24"/>
  <c r="DA97" i="24"/>
  <c r="DC97" i="24" s="1"/>
  <c r="DC154" i="24"/>
  <c r="DI231" i="24"/>
  <c r="DB231" i="24"/>
  <c r="DE231" i="24" s="1"/>
  <c r="DF231" i="24" s="1"/>
  <c r="DG231" i="24" s="1"/>
  <c r="DM231" i="24"/>
  <c r="DI105" i="24"/>
  <c r="DB105" i="24"/>
  <c r="DE105" i="24" s="1"/>
  <c r="DF105" i="24" s="1"/>
  <c r="DG105" i="24" s="1"/>
  <c r="DM105" i="24"/>
  <c r="DI292" i="24"/>
  <c r="DB292" i="24"/>
  <c r="DE292" i="24" s="1"/>
  <c r="DF292" i="24" s="1"/>
  <c r="DG292" i="24" s="1"/>
  <c r="DM292" i="24"/>
  <c r="DC152" i="24"/>
  <c r="DI87" i="24"/>
  <c r="DB87" i="24"/>
  <c r="DE87" i="24" s="1"/>
  <c r="DF87" i="24" s="1"/>
  <c r="DG87" i="24" s="1"/>
  <c r="DM87" i="24"/>
  <c r="DA99" i="24"/>
  <c r="DC99" i="24" s="1"/>
  <c r="DA28" i="24"/>
  <c r="DC28" i="24" s="1"/>
  <c r="DI28" i="24"/>
  <c r="DB28" i="24"/>
  <c r="DE28" i="24" s="1"/>
  <c r="DF28" i="24" s="1"/>
  <c r="DG28" i="24" s="1"/>
  <c r="DM28" i="24"/>
  <c r="DI32" i="24"/>
  <c r="DB32" i="24"/>
  <c r="DE32" i="24" s="1"/>
  <c r="DF32" i="24" s="1"/>
  <c r="DG32" i="24" s="1"/>
  <c r="DM32" i="24"/>
  <c r="DI16" i="24"/>
  <c r="DB16" i="24"/>
  <c r="DE16" i="24" s="1"/>
  <c r="DF16" i="24" s="1"/>
  <c r="DG16" i="24" s="1"/>
  <c r="DM16" i="24"/>
  <c r="DB275" i="24"/>
  <c r="DE275" i="24" s="1"/>
  <c r="DF275" i="24" s="1"/>
  <c r="DG275" i="24" s="1"/>
  <c r="DI275" i="24"/>
  <c r="DM275" i="24"/>
  <c r="DI152" i="24"/>
  <c r="DB152" i="24"/>
  <c r="DE152" i="24" s="1"/>
  <c r="DF152" i="24" s="1"/>
  <c r="DG152" i="24" s="1"/>
  <c r="DM152" i="24"/>
  <c r="DA122" i="24"/>
  <c r="DC122" i="24" s="1"/>
  <c r="DI122" i="24"/>
  <c r="DB122" i="24"/>
  <c r="DE122" i="24" s="1"/>
  <c r="DF122" i="24" s="1"/>
  <c r="DG122" i="24" s="1"/>
  <c r="DM122" i="24"/>
  <c r="DA188" i="24"/>
  <c r="DC188" i="24" s="1"/>
  <c r="DI269" i="24"/>
  <c r="DB269" i="24"/>
  <c r="DE269" i="24" s="1"/>
  <c r="DF269" i="24" s="1"/>
  <c r="DG269" i="24" s="1"/>
  <c r="DM269" i="24"/>
  <c r="DC185" i="24"/>
  <c r="DI103" i="24"/>
  <c r="DB103" i="24"/>
  <c r="DE103" i="24" s="1"/>
  <c r="DF103" i="24" s="1"/>
  <c r="DG103" i="24" s="1"/>
  <c r="DM103" i="24"/>
  <c r="DB263" i="24"/>
  <c r="DE263" i="24" s="1"/>
  <c r="DF263" i="24" s="1"/>
  <c r="DG263" i="24" s="1"/>
  <c r="DI263" i="24"/>
  <c r="DM263" i="24"/>
  <c r="DI262" i="24"/>
  <c r="DB262" i="24"/>
  <c r="DE262" i="24" s="1"/>
  <c r="DF262" i="24" s="1"/>
  <c r="DG262" i="24" s="1"/>
  <c r="DM262" i="24"/>
  <c r="DB258" i="24"/>
  <c r="DE258" i="24" s="1"/>
  <c r="DF258" i="24" s="1"/>
  <c r="DG258" i="24" s="1"/>
  <c r="DI258" i="24"/>
  <c r="DM258" i="24"/>
  <c r="DA98" i="24"/>
  <c r="DC98" i="24" s="1"/>
  <c r="DI119" i="24"/>
  <c r="DB119" i="24"/>
  <c r="DE119" i="24" s="1"/>
  <c r="DF119" i="24" s="1"/>
  <c r="DG119" i="24" s="1"/>
  <c r="DM119" i="24"/>
  <c r="DB300" i="24"/>
  <c r="DE300" i="24" s="1"/>
  <c r="DF300" i="24" s="1"/>
  <c r="DG300" i="24" s="1"/>
  <c r="DI300" i="24"/>
  <c r="DM300" i="24"/>
  <c r="DI217" i="24"/>
  <c r="DB217" i="24"/>
  <c r="DE217" i="24" s="1"/>
  <c r="DF217" i="24" s="1"/>
  <c r="DG217" i="24" s="1"/>
  <c r="DM217" i="24"/>
  <c r="DI157" i="24"/>
  <c r="DB157" i="24"/>
  <c r="DE157" i="24" s="1"/>
  <c r="DF157" i="24" s="1"/>
  <c r="DG157" i="24" s="1"/>
  <c r="DM157" i="24"/>
  <c r="DC203" i="24"/>
  <c r="DC264" i="24"/>
  <c r="DC307" i="24"/>
  <c r="DC285" i="24"/>
  <c r="DA258" i="24"/>
  <c r="DC258" i="24" s="1"/>
  <c r="DI238" i="24"/>
  <c r="DB238" i="24"/>
  <c r="DE238" i="24" s="1"/>
  <c r="DF238" i="24" s="1"/>
  <c r="DG238" i="24" s="1"/>
  <c r="DM238" i="24"/>
  <c r="DI179" i="24"/>
  <c r="DB179" i="24"/>
  <c r="DE179" i="24" s="1"/>
  <c r="DF179" i="24" s="1"/>
  <c r="DG179" i="24" s="1"/>
  <c r="DM179" i="24"/>
  <c r="DA189" i="24"/>
  <c r="DC189" i="24" s="1"/>
  <c r="DI189" i="24"/>
  <c r="DB189" i="24"/>
  <c r="DE189" i="24" s="1"/>
  <c r="DF189" i="24" s="1"/>
  <c r="DG189" i="24" s="1"/>
  <c r="DM189" i="24"/>
  <c r="DC148" i="24"/>
  <c r="DB116" i="24"/>
  <c r="DE116" i="24" s="1"/>
  <c r="DF116" i="24" s="1"/>
  <c r="DG116" i="24" s="1"/>
  <c r="DI116" i="24"/>
  <c r="DM116" i="24"/>
  <c r="DC153" i="24"/>
  <c r="DI13" i="24"/>
  <c r="DB13" i="24"/>
  <c r="DE13" i="24" s="1"/>
  <c r="DF13" i="24" s="1"/>
  <c r="DG13" i="24" s="1"/>
  <c r="DM13" i="24"/>
  <c r="DI228" i="24"/>
  <c r="DB228" i="24"/>
  <c r="DE228" i="24" s="1"/>
  <c r="DF228" i="24" s="1"/>
  <c r="DG228" i="24" s="1"/>
  <c r="DM228" i="24"/>
  <c r="DI204" i="24"/>
  <c r="DB204" i="24"/>
  <c r="DE204" i="24" s="1"/>
  <c r="DF204" i="24" s="1"/>
  <c r="DG204" i="24" s="1"/>
  <c r="DM204" i="24"/>
  <c r="DI301" i="24"/>
  <c r="DB301" i="24"/>
  <c r="DE301" i="24" s="1"/>
  <c r="DF301" i="24" s="1"/>
  <c r="DG301" i="24" s="1"/>
  <c r="DM301" i="24"/>
  <c r="DB183" i="24"/>
  <c r="DE183" i="24" s="1"/>
  <c r="DF183" i="24" s="1"/>
  <c r="DG183" i="24" s="1"/>
  <c r="DI183" i="24"/>
  <c r="DM183" i="24"/>
  <c r="DB88" i="24"/>
  <c r="DE88" i="24" s="1"/>
  <c r="DF88" i="24" s="1"/>
  <c r="DG88" i="24" s="1"/>
  <c r="DI88" i="24"/>
  <c r="DM88" i="24"/>
  <c r="DI182" i="24"/>
  <c r="DB182" i="24"/>
  <c r="DE182" i="24" s="1"/>
  <c r="DF182" i="24" s="1"/>
  <c r="DG182" i="24" s="1"/>
  <c r="DM182" i="24"/>
  <c r="DA276" i="24"/>
  <c r="DC276" i="24" s="1"/>
  <c r="DI276" i="24"/>
  <c r="DB276" i="24"/>
  <c r="DE276" i="24" s="1"/>
  <c r="DF276" i="24" s="1"/>
  <c r="DG276" i="24" s="1"/>
  <c r="DM276" i="24"/>
  <c r="DI95" i="24"/>
  <c r="DB95" i="24"/>
  <c r="DE95" i="24" s="1"/>
  <c r="DF95" i="24" s="1"/>
  <c r="DG95" i="24" s="1"/>
  <c r="DM95" i="24"/>
  <c r="DC301" i="24"/>
  <c r="DA202" i="24"/>
  <c r="DC202" i="24" s="1"/>
  <c r="DI202" i="24"/>
  <c r="DB202" i="24"/>
  <c r="DE202" i="24" s="1"/>
  <c r="DF202" i="24" s="1"/>
  <c r="DG202" i="24" s="1"/>
  <c r="DM202" i="24"/>
  <c r="DB170" i="24"/>
  <c r="DE170" i="24" s="1"/>
  <c r="DF170" i="24" s="1"/>
  <c r="DG170" i="24" s="1"/>
  <c r="DI170" i="24"/>
  <c r="DM170" i="24"/>
  <c r="DB164" i="24"/>
  <c r="DE164" i="24" s="1"/>
  <c r="DF164" i="24" s="1"/>
  <c r="DG164" i="24" s="1"/>
  <c r="DI164" i="24"/>
  <c r="DM164" i="24"/>
  <c r="DI127" i="24"/>
  <c r="DB127" i="24"/>
  <c r="DE127" i="24" s="1"/>
  <c r="DF127" i="24" s="1"/>
  <c r="DG127" i="24" s="1"/>
  <c r="DM127" i="24"/>
  <c r="DA95" i="24"/>
  <c r="DC95" i="24" s="1"/>
  <c r="DA249" i="24"/>
  <c r="DC249" i="24" s="1"/>
  <c r="DB22" i="24"/>
  <c r="DE22" i="24" s="1"/>
  <c r="DF22" i="24" s="1"/>
  <c r="DG22" i="24" s="1"/>
  <c r="DI22" i="24"/>
  <c r="DM22" i="24"/>
  <c r="DI19" i="24"/>
  <c r="DB19" i="24"/>
  <c r="DE19" i="24" s="1"/>
  <c r="DF19" i="24" s="1"/>
  <c r="DG19" i="24" s="1"/>
  <c r="DM19" i="24"/>
  <c r="DC278" i="24"/>
  <c r="DB180" i="24"/>
  <c r="DE180" i="24" s="1"/>
  <c r="DF180" i="24" s="1"/>
  <c r="DG180" i="24" s="1"/>
  <c r="DI180" i="24"/>
  <c r="DM180" i="24"/>
  <c r="DI147" i="24"/>
  <c r="DB147" i="24"/>
  <c r="DE147" i="24" s="1"/>
  <c r="DF147" i="24" s="1"/>
  <c r="DG147" i="24" s="1"/>
  <c r="DM147" i="24"/>
  <c r="DA241" i="24"/>
  <c r="DC241" i="24" s="1"/>
  <c r="DI185" i="24"/>
  <c r="DB185" i="24"/>
  <c r="DE185" i="24" s="1"/>
  <c r="DF185" i="24" s="1"/>
  <c r="DG185" i="24" s="1"/>
  <c r="DM185" i="24"/>
  <c r="DB138" i="24"/>
  <c r="DE138" i="24" s="1"/>
  <c r="DF138" i="24" s="1"/>
  <c r="DG138" i="24" s="1"/>
  <c r="DI138" i="24"/>
  <c r="DM138" i="24"/>
  <c r="DA46" i="24"/>
  <c r="DC46" i="24" s="1"/>
  <c r="DI111" i="24"/>
  <c r="DB111" i="24"/>
  <c r="DE111" i="24" s="1"/>
  <c r="DF111" i="24" s="1"/>
  <c r="DG111" i="24" s="1"/>
  <c r="DM111" i="24"/>
  <c r="DA299" i="24"/>
  <c r="DC299" i="24" s="1"/>
  <c r="DB299" i="24"/>
  <c r="DE299" i="24" s="1"/>
  <c r="DF299" i="24" s="1"/>
  <c r="DG299" i="24" s="1"/>
  <c r="DI299" i="24"/>
  <c r="DM299" i="24"/>
  <c r="DI77" i="24"/>
  <c r="DB77" i="24"/>
  <c r="DE77" i="24" s="1"/>
  <c r="DF77" i="24" s="1"/>
  <c r="DG77" i="24" s="1"/>
  <c r="DM77" i="24"/>
  <c r="DC130" i="24"/>
  <c r="DB141" i="24"/>
  <c r="DE141" i="24" s="1"/>
  <c r="DF141" i="24" s="1"/>
  <c r="DG141" i="24" s="1"/>
  <c r="DI141" i="24"/>
  <c r="DM141" i="24"/>
  <c r="DA254" i="24"/>
  <c r="DC254" i="24" s="1"/>
  <c r="DI237" i="24"/>
  <c r="DB237" i="24"/>
  <c r="DE237" i="24" s="1"/>
  <c r="DF237" i="24" s="1"/>
  <c r="DG237" i="24" s="1"/>
  <c r="DM237" i="24"/>
  <c r="DI74" i="24"/>
  <c r="DB74" i="24"/>
  <c r="DE74" i="24" s="1"/>
  <c r="DF74" i="24" s="1"/>
  <c r="DG74" i="24" s="1"/>
  <c r="DM74" i="24"/>
  <c r="DI257" i="24"/>
  <c r="DB257" i="24"/>
  <c r="DE257" i="24" s="1"/>
  <c r="DF257" i="24" s="1"/>
  <c r="DG257" i="24" s="1"/>
  <c r="DM257" i="24"/>
  <c r="DB78" i="24"/>
  <c r="DE78" i="24" s="1"/>
  <c r="DF78" i="24" s="1"/>
  <c r="DG78" i="24" s="1"/>
  <c r="DI78" i="24"/>
  <c r="DM78" i="24"/>
  <c r="DA163" i="24"/>
  <c r="DC163" i="24" s="1"/>
  <c r="DB163" i="24"/>
  <c r="DE163" i="24" s="1"/>
  <c r="DF163" i="24" s="1"/>
  <c r="DG163" i="24" s="1"/>
  <c r="DI163" i="24"/>
  <c r="DM163" i="24"/>
  <c r="DA194" i="24"/>
  <c r="DC194" i="24" s="1"/>
  <c r="DI194" i="24"/>
  <c r="DB194" i="24"/>
  <c r="DE194" i="24" s="1"/>
  <c r="DF194" i="24" s="1"/>
  <c r="DG194" i="24" s="1"/>
  <c r="DM194" i="24"/>
  <c r="DB277" i="24"/>
  <c r="DE277" i="24" s="1"/>
  <c r="DF277" i="24" s="1"/>
  <c r="DG277" i="24" s="1"/>
  <c r="DI277" i="24"/>
  <c r="DM277" i="24"/>
  <c r="DB208" i="24"/>
  <c r="DE208" i="24" s="1"/>
  <c r="DF208" i="24" s="1"/>
  <c r="DG208" i="24" s="1"/>
  <c r="DI208" i="24"/>
  <c r="DM208" i="24"/>
  <c r="DB314" i="24"/>
  <c r="DE314" i="24" s="1"/>
  <c r="DF314" i="24" s="1"/>
  <c r="DG314" i="24" s="1"/>
  <c r="DI314" i="24"/>
  <c r="DM314" i="24"/>
  <c r="DB177" i="24"/>
  <c r="DE177" i="24" s="1"/>
  <c r="DF177" i="24" s="1"/>
  <c r="DG177" i="24" s="1"/>
  <c r="DI177" i="24"/>
  <c r="DM177" i="24"/>
  <c r="DI21" i="24"/>
  <c r="DB21" i="24"/>
  <c r="DE21" i="24" s="1"/>
  <c r="DF21" i="24" s="1"/>
  <c r="DG21" i="24" s="1"/>
  <c r="DM21" i="24"/>
  <c r="DB306" i="24"/>
  <c r="DE306" i="24" s="1"/>
  <c r="DF306" i="24" s="1"/>
  <c r="DG306" i="24" s="1"/>
  <c r="DI306" i="24"/>
  <c r="DM306" i="24"/>
  <c r="DI64" i="24"/>
  <c r="DB64" i="24"/>
  <c r="DE64" i="24" s="1"/>
  <c r="DF64" i="24" s="1"/>
  <c r="DG64" i="24" s="1"/>
  <c r="DM64" i="24"/>
  <c r="DI296" i="24"/>
  <c r="DB296" i="24"/>
  <c r="DE296" i="24" s="1"/>
  <c r="DF296" i="24" s="1"/>
  <c r="DG296" i="24" s="1"/>
  <c r="DM296" i="24"/>
  <c r="DI200" i="24"/>
  <c r="DB200" i="24"/>
  <c r="DE200" i="24" s="1"/>
  <c r="DF200" i="24" s="1"/>
  <c r="DG200" i="24" s="1"/>
  <c r="DM200" i="24"/>
  <c r="DA66" i="24"/>
  <c r="DC66" i="24" s="1"/>
  <c r="DA72" i="24"/>
  <c r="DC72" i="24" s="1"/>
  <c r="DB206" i="24"/>
  <c r="DE206" i="24" s="1"/>
  <c r="DF206" i="24" s="1"/>
  <c r="DG206" i="24" s="1"/>
  <c r="DI206" i="24"/>
  <c r="DM206" i="24"/>
  <c r="DB9" i="24"/>
  <c r="DE9" i="24" s="1"/>
  <c r="DF9" i="24" s="1"/>
  <c r="DG9" i="24" s="1"/>
  <c r="DI9" i="24"/>
  <c r="DM9" i="24"/>
  <c r="DI26" i="24"/>
  <c r="DB26" i="24"/>
  <c r="DE26" i="24" s="1"/>
  <c r="DF26" i="24" s="1"/>
  <c r="DG26" i="24" s="1"/>
  <c r="DM26" i="24"/>
  <c r="DI198" i="24"/>
  <c r="DB198" i="24"/>
  <c r="DE198" i="24" s="1"/>
  <c r="DF198" i="24" s="1"/>
  <c r="DG198" i="24" s="1"/>
  <c r="DM198" i="24"/>
  <c r="DI149" i="24"/>
  <c r="DB149" i="24"/>
  <c r="DE149" i="24" s="1"/>
  <c r="DF149" i="24" s="1"/>
  <c r="DG149" i="24" s="1"/>
  <c r="DM149" i="24"/>
  <c r="DC275" i="24"/>
  <c r="DI274" i="24"/>
  <c r="DB274" i="24"/>
  <c r="DE274" i="24" s="1"/>
  <c r="DF274" i="24" s="1"/>
  <c r="DG274" i="24" s="1"/>
  <c r="DM274" i="24"/>
  <c r="DA168" i="24"/>
  <c r="DC168" i="24" s="1"/>
  <c r="DB168" i="24"/>
  <c r="DE168" i="24" s="1"/>
  <c r="DF168" i="24" s="1"/>
  <c r="DG168" i="24" s="1"/>
  <c r="DI168" i="24"/>
  <c r="DM168" i="24"/>
  <c r="DI260" i="24"/>
  <c r="DB260" i="24"/>
  <c r="DE260" i="24" s="1"/>
  <c r="DF260" i="24" s="1"/>
  <c r="DG260" i="24" s="1"/>
  <c r="DM260" i="24"/>
  <c r="DI159" i="24"/>
  <c r="DB159" i="24"/>
  <c r="DE159" i="24" s="1"/>
  <c r="DF159" i="24" s="1"/>
  <c r="DG159" i="24" s="1"/>
  <c r="DM159" i="24"/>
  <c r="DM199" i="24"/>
  <c r="DB199" i="24"/>
  <c r="DE199" i="24" s="1"/>
  <c r="DF199" i="24" s="1"/>
  <c r="DG199" i="24" s="1"/>
  <c r="DI199" i="24"/>
  <c r="DA159" i="24"/>
  <c r="DC159" i="24" s="1"/>
  <c r="DA181" i="24"/>
  <c r="DC181" i="24" s="1"/>
  <c r="DB54" i="24"/>
  <c r="DE54" i="24" s="1"/>
  <c r="DF54" i="24" s="1"/>
  <c r="DG54" i="24" s="1"/>
  <c r="DI54" i="24"/>
  <c r="DM54" i="24"/>
  <c r="DB155" i="24"/>
  <c r="DE155" i="24" s="1"/>
  <c r="DF155" i="24" s="1"/>
  <c r="DG155" i="24" s="1"/>
  <c r="DI155" i="24"/>
  <c r="DM155" i="24"/>
  <c r="DI143" i="24"/>
  <c r="DB143" i="24"/>
  <c r="DE143" i="24" s="1"/>
  <c r="DF143" i="24" s="1"/>
  <c r="DG143" i="24" s="1"/>
  <c r="DM143" i="24"/>
  <c r="DI278" i="24"/>
  <c r="DB278" i="24"/>
  <c r="DE278" i="24" s="1"/>
  <c r="DF278" i="24" s="1"/>
  <c r="DG278" i="24" s="1"/>
  <c r="DM278" i="24"/>
  <c r="DB156" i="24"/>
  <c r="DE156" i="24" s="1"/>
  <c r="DF156" i="24" s="1"/>
  <c r="DG156" i="24" s="1"/>
  <c r="DI156" i="24"/>
  <c r="DM156" i="24"/>
  <c r="DB266" i="24"/>
  <c r="DE266" i="24" s="1"/>
  <c r="DF266" i="24" s="1"/>
  <c r="DG266" i="24" s="1"/>
  <c r="DI266" i="24"/>
  <c r="DM266" i="24"/>
  <c r="DA174" i="24"/>
  <c r="DC174" i="24" s="1"/>
  <c r="DB223" i="24"/>
  <c r="DE223" i="24" s="1"/>
  <c r="DF223" i="24" s="1"/>
  <c r="DG223" i="24" s="1"/>
  <c r="DI223" i="24"/>
  <c r="DM223" i="24"/>
  <c r="DB12" i="24"/>
  <c r="DE12" i="24" s="1"/>
  <c r="DF12" i="24" s="1"/>
  <c r="DG12" i="24" s="1"/>
  <c r="DI12" i="24"/>
  <c r="DM12" i="24"/>
  <c r="DB51" i="24"/>
  <c r="DE51" i="24" s="1"/>
  <c r="DF51" i="24" s="1"/>
  <c r="DG51" i="24" s="1"/>
  <c r="DI51" i="24"/>
  <c r="DM51" i="24"/>
  <c r="DA182" i="24"/>
  <c r="DC182" i="24" s="1"/>
  <c r="DI191" i="24"/>
  <c r="DB191" i="24"/>
  <c r="DE191" i="24" s="1"/>
  <c r="DF191" i="24" s="1"/>
  <c r="DG191" i="24" s="1"/>
  <c r="DM191" i="24"/>
  <c r="DA138" i="24"/>
  <c r="DC138" i="24" s="1"/>
  <c r="DA223" i="24"/>
  <c r="DC223" i="24" s="1"/>
  <c r="DB92" i="24"/>
  <c r="DE92" i="24" s="1"/>
  <c r="DF92" i="24" s="1"/>
  <c r="DG92" i="24" s="1"/>
  <c r="DI92" i="24"/>
  <c r="DM92" i="24"/>
  <c r="DI117" i="24"/>
  <c r="DB117" i="24"/>
  <c r="DE117" i="24" s="1"/>
  <c r="DF117" i="24" s="1"/>
  <c r="DG117" i="24" s="1"/>
  <c r="DM117" i="24"/>
  <c r="DA63" i="24"/>
  <c r="DC63" i="24" s="1"/>
  <c r="DI270" i="24"/>
  <c r="DB270" i="24"/>
  <c r="DE270" i="24" s="1"/>
  <c r="DF270" i="24" s="1"/>
  <c r="DG270" i="24" s="1"/>
  <c r="DM270" i="24"/>
  <c r="DA76" i="24"/>
  <c r="DC76" i="24" s="1"/>
  <c r="DI76" i="24"/>
  <c r="DB76" i="24"/>
  <c r="DE76" i="24" s="1"/>
  <c r="DF76" i="24" s="1"/>
  <c r="DG76" i="24" s="1"/>
  <c r="DM76" i="24"/>
  <c r="DI134" i="24"/>
  <c r="DB134" i="24"/>
  <c r="DE134" i="24" s="1"/>
  <c r="DF134" i="24" s="1"/>
  <c r="DG134" i="24" s="1"/>
  <c r="DM134" i="24"/>
  <c r="DA88" i="24"/>
  <c r="DC88" i="24" s="1"/>
  <c r="DI130" i="24"/>
  <c r="DB130" i="24"/>
  <c r="DE130" i="24" s="1"/>
  <c r="DF130" i="24" s="1"/>
  <c r="DG130" i="24" s="1"/>
  <c r="DM130" i="24"/>
  <c r="DC195" i="24"/>
  <c r="DA170" i="24"/>
  <c r="DC170" i="24" s="1"/>
  <c r="DA143" i="24"/>
  <c r="DC143" i="24" s="1"/>
  <c r="DC293" i="24"/>
  <c r="DC246" i="24"/>
  <c r="DB218" i="24"/>
  <c r="DE218" i="24" s="1"/>
  <c r="DF218" i="24" s="1"/>
  <c r="DG218" i="24" s="1"/>
  <c r="DI218" i="24"/>
  <c r="DM218" i="24"/>
  <c r="DA101" i="24"/>
  <c r="DC101" i="24" s="1"/>
  <c r="DA197" i="24"/>
  <c r="DC197" i="24" s="1"/>
  <c r="DA54" i="24"/>
  <c r="DC54" i="24" s="1"/>
  <c r="DA265" i="24"/>
  <c r="DC265" i="24" s="1"/>
  <c r="DA279" i="24"/>
  <c r="DC279" i="24" s="1"/>
  <c r="DB225" i="24"/>
  <c r="DE225" i="24" s="1"/>
  <c r="DF225" i="24" s="1"/>
  <c r="DG225" i="24" s="1"/>
  <c r="DI225" i="24"/>
  <c r="DM225" i="24"/>
  <c r="DM59" i="24"/>
  <c r="DI59" i="24"/>
  <c r="DB59" i="24"/>
  <c r="DE59" i="24" s="1"/>
  <c r="DF59" i="24" s="1"/>
  <c r="DG59" i="24" s="1"/>
  <c r="DA141" i="24"/>
  <c r="DC141" i="24" s="1"/>
  <c r="DI268" i="24"/>
  <c r="DB268" i="24"/>
  <c r="DE268" i="24" s="1"/>
  <c r="DF268" i="24" s="1"/>
  <c r="DG268" i="24" s="1"/>
  <c r="DM268" i="24"/>
  <c r="DI102" i="24"/>
  <c r="DB102" i="24"/>
  <c r="DE102" i="24" s="1"/>
  <c r="DF102" i="24" s="1"/>
  <c r="DG102" i="24" s="1"/>
  <c r="DM102" i="24"/>
  <c r="DA50" i="24"/>
  <c r="DC50" i="24" s="1"/>
  <c r="DI50" i="24"/>
  <c r="DB50" i="24"/>
  <c r="DE50" i="24" s="1"/>
  <c r="DF50" i="24" s="1"/>
  <c r="DG50" i="24" s="1"/>
  <c r="DM50" i="24"/>
  <c r="DA235" i="24"/>
  <c r="DC235" i="24" s="1"/>
  <c r="DA84" i="24"/>
  <c r="DC84" i="24" s="1"/>
  <c r="DC133" i="24"/>
  <c r="DA250" i="24"/>
  <c r="DC250" i="24" s="1"/>
  <c r="DB250" i="24"/>
  <c r="DE250" i="24" s="1"/>
  <c r="DF250" i="24" s="1"/>
  <c r="DG250" i="24" s="1"/>
  <c r="DI250" i="24"/>
  <c r="DM250" i="24"/>
  <c r="DC187" i="24"/>
  <c r="DC236" i="24"/>
  <c r="DC139" i="24"/>
  <c r="DI219" i="24"/>
  <c r="DB219" i="24"/>
  <c r="DE219" i="24" s="1"/>
  <c r="DF219" i="24" s="1"/>
  <c r="DG219" i="24" s="1"/>
  <c r="DM219" i="24"/>
  <c r="DC162" i="24"/>
  <c r="DC146" i="24"/>
  <c r="DC221" i="24"/>
  <c r="DA15" i="24"/>
  <c r="DC15" i="24" s="1"/>
  <c r="DA219" i="24"/>
  <c r="DC219" i="24" s="1"/>
  <c r="DA14" i="24"/>
  <c r="DC14" i="24" s="1"/>
  <c r="DB14" i="24"/>
  <c r="DE14" i="24" s="1"/>
  <c r="DF14" i="24" s="1"/>
  <c r="DG14" i="24" s="1"/>
  <c r="DI14" i="24"/>
  <c r="DM14" i="24"/>
  <c r="DC287" i="24"/>
  <c r="DA115" i="24"/>
  <c r="DC115" i="24" s="1"/>
  <c r="DI115" i="24"/>
  <c r="DB115" i="24"/>
  <c r="DE115" i="24" s="1"/>
  <c r="DF115" i="24" s="1"/>
  <c r="DG115" i="24" s="1"/>
  <c r="DM115" i="24"/>
  <c r="DI187" i="24"/>
  <c r="DB187" i="24"/>
  <c r="DE187" i="24" s="1"/>
  <c r="DF187" i="24" s="1"/>
  <c r="DG187" i="24" s="1"/>
  <c r="DM187" i="24"/>
  <c r="DI221" i="24"/>
  <c r="DB221" i="24"/>
  <c r="DE221" i="24" s="1"/>
  <c r="DF221" i="24" s="1"/>
  <c r="DG221" i="24" s="1"/>
  <c r="DM221" i="24"/>
  <c r="DC161" i="24"/>
  <c r="DC234" i="24"/>
  <c r="DA123" i="24"/>
  <c r="DC123" i="24" s="1"/>
  <c r="DC255" i="24"/>
  <c r="DI148" i="24"/>
  <c r="DB148" i="24"/>
  <c r="DE148" i="24" s="1"/>
  <c r="DF148" i="24" s="1"/>
  <c r="DG148" i="24" s="1"/>
  <c r="DM148" i="24"/>
  <c r="DA205" i="24"/>
  <c r="DC205" i="24" s="1"/>
  <c r="DA208" i="24"/>
  <c r="DC208" i="24" s="1"/>
  <c r="DA314" i="24"/>
  <c r="DC314" i="24" s="1"/>
  <c r="DA40" i="24"/>
  <c r="DC40" i="24" s="1"/>
  <c r="DI120" i="24"/>
  <c r="DB120" i="24"/>
  <c r="DE120" i="24" s="1"/>
  <c r="DF120" i="24" s="1"/>
  <c r="DG120" i="24" s="1"/>
  <c r="DM120" i="24"/>
  <c r="DI132" i="24"/>
  <c r="DB132" i="24"/>
  <c r="DE132" i="24" s="1"/>
  <c r="DF132" i="24" s="1"/>
  <c r="DG132" i="24" s="1"/>
  <c r="DM132" i="24"/>
  <c r="DA52" i="24"/>
  <c r="DC52" i="24" s="1"/>
  <c r="DB52" i="24"/>
  <c r="DE52" i="24" s="1"/>
  <c r="DF52" i="24" s="1"/>
  <c r="DG52" i="24" s="1"/>
  <c r="DI52" i="24"/>
  <c r="DM52" i="24"/>
  <c r="DC257" i="24"/>
  <c r="DC243" i="24"/>
  <c r="DB62" i="24"/>
  <c r="DE62" i="24" s="1"/>
  <c r="DF62" i="24" s="1"/>
  <c r="DG62" i="24" s="1"/>
  <c r="DI62" i="24"/>
  <c r="DM62" i="24"/>
  <c r="DI151" i="24"/>
  <c r="DB151" i="24"/>
  <c r="DE151" i="24" s="1"/>
  <c r="DF151" i="24" s="1"/>
  <c r="DG151" i="24" s="1"/>
  <c r="DM151" i="24"/>
  <c r="DI49" i="24"/>
  <c r="DB49" i="24"/>
  <c r="DE49" i="24" s="1"/>
  <c r="DF49" i="24" s="1"/>
  <c r="DG49" i="24" s="1"/>
  <c r="DM49" i="24"/>
  <c r="DI131" i="24"/>
  <c r="DB131" i="24"/>
  <c r="DE131" i="24" s="1"/>
  <c r="DF131" i="24" s="1"/>
  <c r="DG131" i="24" s="1"/>
  <c r="DM131" i="24"/>
  <c r="DC269" i="24"/>
  <c r="DI230" i="24"/>
  <c r="DB230" i="24"/>
  <c r="DE230" i="24" s="1"/>
  <c r="DF230" i="24" s="1"/>
  <c r="DG230" i="24" s="1"/>
  <c r="DM230" i="24"/>
  <c r="DI293" i="24"/>
  <c r="DB293" i="24"/>
  <c r="DE293" i="24" s="1"/>
  <c r="DF293" i="24" s="1"/>
  <c r="DG293" i="24" s="1"/>
  <c r="DM293" i="24"/>
  <c r="DC124" i="24"/>
  <c r="DI114" i="24"/>
  <c r="DB114" i="24"/>
  <c r="DE114" i="24" s="1"/>
  <c r="DF114" i="24" s="1"/>
  <c r="DG114" i="24" s="1"/>
  <c r="DM114" i="24"/>
  <c r="DI239" i="24"/>
  <c r="DB239" i="24"/>
  <c r="DE239" i="24" s="1"/>
  <c r="DF239" i="24" s="1"/>
  <c r="DG239" i="24" s="1"/>
  <c r="DM239" i="24"/>
  <c r="DA227" i="24"/>
  <c r="DC227" i="24" s="1"/>
  <c r="DI227" i="24"/>
  <c r="DB227" i="24"/>
  <c r="DE227" i="24" s="1"/>
  <c r="DF227" i="24" s="1"/>
  <c r="DG227" i="24" s="1"/>
  <c r="DM227" i="24"/>
  <c r="DB144" i="24"/>
  <c r="DE144" i="24" s="1"/>
  <c r="DF144" i="24" s="1"/>
  <c r="DG144" i="24" s="1"/>
  <c r="DI144" i="24"/>
  <c r="DM144" i="24"/>
  <c r="DA304" i="24"/>
  <c r="DC304" i="24" s="1"/>
  <c r="DA96" i="24"/>
  <c r="DC96" i="24" s="1"/>
  <c r="DB178" i="24"/>
  <c r="DE178" i="24" s="1"/>
  <c r="DF178" i="24" s="1"/>
  <c r="DG178" i="24" s="1"/>
  <c r="DI178" i="24"/>
  <c r="DM178" i="24"/>
  <c r="DB195" i="24"/>
  <c r="DE195" i="24" s="1"/>
  <c r="DF195" i="24" s="1"/>
  <c r="DG195" i="24" s="1"/>
  <c r="DI195" i="24"/>
  <c r="DM195" i="24"/>
  <c r="DC280" i="24"/>
  <c r="DI38" i="24"/>
  <c r="DB38" i="24"/>
  <c r="DE38" i="24" s="1"/>
  <c r="DF38" i="24" s="1"/>
  <c r="DG38" i="24" s="1"/>
  <c r="DM38" i="24"/>
  <c r="DI23" i="24"/>
  <c r="DB23" i="24"/>
  <c r="DE23" i="24" s="1"/>
  <c r="DF23" i="24" s="1"/>
  <c r="DG23" i="24" s="1"/>
  <c r="DM23" i="24"/>
  <c r="DB310" i="24"/>
  <c r="DE310" i="24" s="1"/>
  <c r="DF310" i="24" s="1"/>
  <c r="DG310" i="24" s="1"/>
  <c r="DI310" i="24"/>
  <c r="DM310" i="24"/>
  <c r="DI85" i="24"/>
  <c r="DB85" i="24"/>
  <c r="DE85" i="24" s="1"/>
  <c r="DF85" i="24" s="1"/>
  <c r="DG85" i="24" s="1"/>
  <c r="DM85" i="24"/>
  <c r="DA134" i="24"/>
  <c r="DC134" i="24" s="1"/>
  <c r="DI243" i="24"/>
  <c r="DB243" i="24"/>
  <c r="DE243" i="24" s="1"/>
  <c r="DF243" i="24" s="1"/>
  <c r="DG243" i="24" s="1"/>
  <c r="DM243" i="24"/>
  <c r="DM39" i="24"/>
  <c r="DB39" i="24"/>
  <c r="DE39" i="24" s="1"/>
  <c r="DF39" i="24" s="1"/>
  <c r="DG39" i="24" s="1"/>
  <c r="DI39" i="24"/>
  <c r="DB124" i="24"/>
  <c r="DE124" i="24" s="1"/>
  <c r="DF124" i="24" s="1"/>
  <c r="DG124" i="24" s="1"/>
  <c r="DI124" i="24"/>
  <c r="DM124" i="24"/>
  <c r="DI37" i="24"/>
  <c r="DB37" i="24"/>
  <c r="DE37" i="24" s="1"/>
  <c r="DF37" i="24" s="1"/>
  <c r="DG37" i="24" s="1"/>
  <c r="DM37" i="24"/>
  <c r="DI17" i="24"/>
  <c r="DB17" i="24"/>
  <c r="DE17" i="24" s="1"/>
  <c r="DF17" i="24" s="1"/>
  <c r="DG17" i="24" s="1"/>
  <c r="DM17" i="24"/>
  <c r="DA310" i="24"/>
  <c r="DC310" i="24" s="1"/>
  <c r="DA144" i="24"/>
  <c r="DC144" i="24" s="1"/>
  <c r="DI303" i="24"/>
  <c r="DB303" i="24"/>
  <c r="DE303" i="24" s="1"/>
  <c r="DF303" i="24" s="1"/>
  <c r="DG303" i="24" s="1"/>
  <c r="DM303" i="24"/>
  <c r="DI25" i="24"/>
  <c r="DB25" i="24"/>
  <c r="DE25" i="24" s="1"/>
  <c r="DF25" i="24" s="1"/>
  <c r="DG25" i="24" s="1"/>
  <c r="DM25" i="24"/>
  <c r="DA248" i="24"/>
  <c r="DC248" i="24" s="1"/>
  <c r="DI248" i="24"/>
  <c r="DB248" i="24"/>
  <c r="DE248" i="24" s="1"/>
  <c r="DF248" i="24" s="1"/>
  <c r="DG248" i="24" s="1"/>
  <c r="DM248" i="24"/>
  <c r="DB67" i="24"/>
  <c r="DE67" i="24" s="1"/>
  <c r="DF67" i="24" s="1"/>
  <c r="DG67" i="24" s="1"/>
  <c r="DI67" i="24"/>
  <c r="DM67" i="24"/>
  <c r="DI104" i="24"/>
  <c r="DB104" i="24"/>
  <c r="DE104" i="24" s="1"/>
  <c r="DF104" i="24" s="1"/>
  <c r="DG104" i="24" s="1"/>
  <c r="DM104" i="24"/>
  <c r="DI58" i="24"/>
  <c r="DB58" i="24"/>
  <c r="DE58" i="24" s="1"/>
  <c r="DF58" i="24" s="1"/>
  <c r="DG58" i="24" s="1"/>
  <c r="DM58" i="24"/>
  <c r="DI285" i="24"/>
  <c r="DB285" i="24"/>
  <c r="DE285" i="24" s="1"/>
  <c r="DF285" i="24" s="1"/>
  <c r="DG285" i="24" s="1"/>
  <c r="DM285" i="24"/>
  <c r="DC200" i="24"/>
  <c r="DI244" i="24"/>
  <c r="DB244" i="24"/>
  <c r="DE244" i="24" s="1"/>
  <c r="DF244" i="24" s="1"/>
  <c r="DG244" i="24" s="1"/>
  <c r="DM244" i="24"/>
  <c r="DB86" i="24"/>
  <c r="DE86" i="24" s="1"/>
  <c r="DF86" i="24" s="1"/>
  <c r="DG86" i="24" s="1"/>
  <c r="DI86" i="24"/>
  <c r="DM86" i="24"/>
  <c r="DI139" i="24"/>
  <c r="DB139" i="24"/>
  <c r="DE139" i="24" s="1"/>
  <c r="DF139" i="24" s="1"/>
  <c r="DG139" i="24" s="1"/>
  <c r="DM139" i="24"/>
  <c r="DA156" i="24"/>
  <c r="DC156" i="24" s="1"/>
  <c r="DC192" i="24"/>
  <c r="DA263" i="24"/>
  <c r="DC263" i="24" s="1"/>
  <c r="DA17" i="24"/>
  <c r="DC17" i="24" s="1"/>
  <c r="DB282" i="24"/>
  <c r="DE282" i="24" s="1"/>
  <c r="DF282" i="24" s="1"/>
  <c r="DG282" i="24" s="1"/>
  <c r="DI282" i="24"/>
  <c r="DM282" i="24"/>
  <c r="DC300" i="24"/>
  <c r="DA64" i="24"/>
  <c r="DC64" i="24" s="1"/>
  <c r="DA136" i="24"/>
  <c r="DC136" i="24" s="1"/>
  <c r="DI45" i="24"/>
  <c r="DB45" i="24"/>
  <c r="DE45" i="24" s="1"/>
  <c r="DF45" i="24" s="1"/>
  <c r="DG45" i="24" s="1"/>
  <c r="DM45" i="24"/>
  <c r="DI240" i="24"/>
  <c r="DB240" i="24"/>
  <c r="DE240" i="24" s="1"/>
  <c r="DF240" i="24" s="1"/>
  <c r="DG240" i="24" s="1"/>
  <c r="DM240" i="24"/>
  <c r="DB298" i="24"/>
  <c r="DE298" i="24" s="1"/>
  <c r="DF298" i="24" s="1"/>
  <c r="DG298" i="24" s="1"/>
  <c r="DI298" i="24"/>
  <c r="DM298" i="24"/>
  <c r="DC259" i="24"/>
  <c r="DA41" i="24"/>
  <c r="DC41" i="24" s="1"/>
  <c r="DB233" i="24"/>
  <c r="DE233" i="24" s="1"/>
  <c r="DF233" i="24" s="1"/>
  <c r="DG233" i="24" s="1"/>
  <c r="DI233" i="24"/>
  <c r="DM233" i="24"/>
  <c r="DI311" i="24"/>
  <c r="DB311" i="24"/>
  <c r="DE311" i="24" s="1"/>
  <c r="DF311" i="24" s="1"/>
  <c r="DG311" i="24" s="1"/>
  <c r="DM311" i="24"/>
  <c r="DC172" i="24"/>
  <c r="DB236" i="24"/>
  <c r="DE236" i="24" s="1"/>
  <c r="DF236" i="24" s="1"/>
  <c r="DG236" i="24" s="1"/>
  <c r="DI236" i="24"/>
  <c r="DM236" i="24"/>
  <c r="DA11" i="24"/>
  <c r="DC11" i="24" s="1"/>
  <c r="DB11" i="24"/>
  <c r="DE11" i="24" s="1"/>
  <c r="DF11" i="24" s="1"/>
  <c r="DG11" i="24" s="1"/>
  <c r="DI11" i="24"/>
  <c r="DM11" i="24"/>
  <c r="DI176" i="24"/>
  <c r="DB176" i="24"/>
  <c r="DE176" i="24" s="1"/>
  <c r="DF176" i="24" s="1"/>
  <c r="DG176" i="24" s="1"/>
  <c r="DM176" i="24"/>
  <c r="DI169" i="24"/>
  <c r="DB169" i="24"/>
  <c r="DE169" i="24" s="1"/>
  <c r="DF169" i="24" s="1"/>
  <c r="DG169" i="24" s="1"/>
  <c r="DM169" i="24"/>
  <c r="DB48" i="24"/>
  <c r="DE48" i="24" s="1"/>
  <c r="DF48" i="24" s="1"/>
  <c r="DG48" i="24" s="1"/>
  <c r="DI48" i="24"/>
  <c r="DM48" i="24"/>
  <c r="DI7" i="24"/>
  <c r="DB7" i="24"/>
  <c r="DE7" i="24" s="1"/>
  <c r="DF7" i="24" s="1"/>
  <c r="DG7" i="24" s="1"/>
  <c r="DM7" i="24"/>
  <c r="DI34" i="24"/>
  <c r="DB34" i="24"/>
  <c r="DE34" i="24" s="1"/>
  <c r="DF34" i="24" s="1"/>
  <c r="DG34" i="24" s="1"/>
  <c r="DM34" i="24"/>
  <c r="DA210" i="24"/>
  <c r="DC210" i="24" s="1"/>
  <c r="DA228" i="24"/>
  <c r="DC228" i="24" s="1"/>
  <c r="DC176" i="24"/>
  <c r="DB35" i="24"/>
  <c r="DE35" i="24" s="1"/>
  <c r="DF35" i="24" s="1"/>
  <c r="DG35" i="24" s="1"/>
  <c r="DI35" i="24"/>
  <c r="DM35" i="24"/>
  <c r="DI288" i="24"/>
  <c r="DB288" i="24"/>
  <c r="DE288" i="24" s="1"/>
  <c r="DF288" i="24" s="1"/>
  <c r="DG288" i="24" s="1"/>
  <c r="DM288" i="24"/>
  <c r="DA274" i="24"/>
  <c r="DC274" i="24" s="1"/>
  <c r="DI57" i="24"/>
  <c r="DB57" i="24"/>
  <c r="DE57" i="24" s="1"/>
  <c r="DF57" i="24" s="1"/>
  <c r="DG57" i="24" s="1"/>
  <c r="DM57" i="24"/>
  <c r="DI42" i="24"/>
  <c r="DB42" i="24"/>
  <c r="DE42" i="24" s="1"/>
  <c r="DF42" i="24" s="1"/>
  <c r="DG42" i="24" s="1"/>
  <c r="DM42" i="24"/>
  <c r="DI140" i="24"/>
  <c r="DB140" i="24"/>
  <c r="DE140" i="24" s="1"/>
  <c r="DF140" i="24" s="1"/>
  <c r="DG140" i="24" s="1"/>
  <c r="DM140" i="24"/>
  <c r="DI196" i="24"/>
  <c r="DB196" i="24"/>
  <c r="DE196" i="24" s="1"/>
  <c r="DF196" i="24" s="1"/>
  <c r="DG196" i="24" s="1"/>
  <c r="DM196" i="24"/>
  <c r="DI252" i="24"/>
  <c r="DB252" i="24"/>
  <c r="DE252" i="24" s="1"/>
  <c r="DF252" i="24" s="1"/>
  <c r="DG252" i="24" s="1"/>
  <c r="DM252" i="24"/>
  <c r="DB33" i="24"/>
  <c r="DE33" i="24" s="1"/>
  <c r="DF33" i="24" s="1"/>
  <c r="DG33" i="24" s="1"/>
  <c r="DI33" i="24"/>
  <c r="DM33" i="24"/>
  <c r="DI154" i="24"/>
  <c r="DB154" i="24"/>
  <c r="DE154" i="24" s="1"/>
  <c r="DF154" i="24" s="1"/>
  <c r="DG154" i="24" s="1"/>
  <c r="DM154" i="24"/>
  <c r="DI71" i="24"/>
  <c r="DB71" i="24"/>
  <c r="DE71" i="24" s="1"/>
  <c r="DF71" i="24" s="1"/>
  <c r="DG71" i="24" s="1"/>
  <c r="DM71" i="24"/>
  <c r="DA239" i="24"/>
  <c r="DC239" i="24" s="1"/>
  <c r="DI24" i="24"/>
  <c r="DB24" i="24"/>
  <c r="DE24" i="24" s="1"/>
  <c r="DF24" i="24" s="1"/>
  <c r="DG24" i="24" s="1"/>
  <c r="DM24" i="24"/>
  <c r="DI55" i="24"/>
  <c r="DB55" i="24"/>
  <c r="DE55" i="24" s="1"/>
  <c r="DF55" i="24" s="1"/>
  <c r="DG55" i="24" s="1"/>
  <c r="DM55" i="24"/>
  <c r="DC166" i="24"/>
  <c r="DI246" i="24"/>
  <c r="DB246" i="24"/>
  <c r="DE246" i="24" s="1"/>
  <c r="DF246" i="24" s="1"/>
  <c r="DG246" i="24" s="1"/>
  <c r="DM246" i="24"/>
  <c r="DA229" i="24"/>
  <c r="DC229" i="24" s="1"/>
  <c r="DB229" i="24"/>
  <c r="DE229" i="24" s="1"/>
  <c r="DF229" i="24" s="1"/>
  <c r="DG229" i="24" s="1"/>
  <c r="DI229" i="24"/>
  <c r="DM229" i="24"/>
  <c r="DI165" i="24"/>
  <c r="DB165" i="24"/>
  <c r="DE165" i="24" s="1"/>
  <c r="DF165" i="24" s="1"/>
  <c r="DG165" i="24" s="1"/>
  <c r="DM165" i="24"/>
  <c r="DI280" i="24"/>
  <c r="DB280" i="24"/>
  <c r="DE280" i="24" s="1"/>
  <c r="DF280" i="24" s="1"/>
  <c r="DG280" i="24" s="1"/>
  <c r="DM280" i="24"/>
  <c r="DC127" i="24"/>
  <c r="DC260" i="24"/>
  <c r="DA145" i="24"/>
  <c r="DC145" i="24" s="1"/>
  <c r="DA117" i="24"/>
  <c r="DC117" i="24" s="1"/>
  <c r="DC273" i="24"/>
  <c r="DA90" i="24"/>
  <c r="DC90" i="24" s="1"/>
  <c r="DA305" i="24"/>
  <c r="DC305" i="24" s="1"/>
  <c r="DB305" i="24"/>
  <c r="DE305" i="24" s="1"/>
  <c r="DF305" i="24" s="1"/>
  <c r="DG305" i="24" s="1"/>
  <c r="DI305" i="24"/>
  <c r="DM305" i="24"/>
  <c r="DA55" i="24"/>
  <c r="DC55" i="24" s="1"/>
  <c r="DA266" i="24"/>
  <c r="DC266" i="24" s="1"/>
  <c r="DA114" i="24"/>
  <c r="DC114" i="24" s="1"/>
  <c r="DB142" i="24"/>
  <c r="DE142" i="24" s="1"/>
  <c r="DF142" i="24" s="1"/>
  <c r="DG142" i="24" s="1"/>
  <c r="DI142" i="24"/>
  <c r="DM142" i="24"/>
  <c r="DI125" i="24"/>
  <c r="DB125" i="24"/>
  <c r="DE125" i="24" s="1"/>
  <c r="DF125" i="24" s="1"/>
  <c r="DG125" i="24" s="1"/>
  <c r="DM125" i="24"/>
  <c r="DI68" i="24"/>
  <c r="DB68" i="24"/>
  <c r="DE68" i="24" s="1"/>
  <c r="DF68" i="24" s="1"/>
  <c r="DG68" i="24" s="1"/>
  <c r="DM68" i="24"/>
  <c r="DC135" i="24"/>
  <c r="DB247" i="24"/>
  <c r="DE247" i="24" s="1"/>
  <c r="DF247" i="24" s="1"/>
  <c r="DG247" i="24" s="1"/>
  <c r="DI247" i="24"/>
  <c r="DM247" i="24"/>
  <c r="DA105" i="24"/>
  <c r="DC105" i="24" s="1"/>
  <c r="DI287" i="24"/>
  <c r="DB287" i="24"/>
  <c r="DE287" i="24" s="1"/>
  <c r="DF287" i="24" s="1"/>
  <c r="DG287" i="24" s="1"/>
  <c r="DM287" i="24"/>
  <c r="DI113" i="24"/>
  <c r="DB113" i="24"/>
  <c r="DE113" i="24" s="1"/>
  <c r="DF113" i="24" s="1"/>
  <c r="DG113" i="24" s="1"/>
  <c r="DM113" i="24"/>
  <c r="DB294" i="24"/>
  <c r="DE294" i="24" s="1"/>
  <c r="DF294" i="24" s="1"/>
  <c r="DG294" i="24" s="1"/>
  <c r="DI294" i="24"/>
  <c r="DM294" i="24"/>
  <c r="DC190" i="24"/>
  <c r="DB193" i="24"/>
  <c r="DE193" i="24" s="1"/>
  <c r="DF193" i="24" s="1"/>
  <c r="DG193" i="24" s="1"/>
  <c r="DI193" i="24"/>
  <c r="DM193" i="24"/>
  <c r="DI209" i="24"/>
  <c r="DB209" i="24"/>
  <c r="DE209" i="24" s="1"/>
  <c r="DF209" i="24" s="1"/>
  <c r="DG209" i="24" s="1"/>
  <c r="DM209" i="24"/>
  <c r="DI203" i="24"/>
  <c r="DB203" i="24"/>
  <c r="DE203" i="24" s="1"/>
  <c r="DF203" i="24" s="1"/>
  <c r="DG203" i="24" s="1"/>
  <c r="DM203" i="24"/>
  <c r="DI75" i="24"/>
  <c r="DB75" i="24"/>
  <c r="DE75" i="24" s="1"/>
  <c r="DF75" i="24" s="1"/>
  <c r="DG75" i="24" s="1"/>
  <c r="DM75" i="24"/>
  <c r="DI190" i="24"/>
  <c r="DB190" i="24"/>
  <c r="DE190" i="24" s="1"/>
  <c r="DF190" i="24" s="1"/>
  <c r="DG190" i="24" s="1"/>
  <c r="DM190" i="24"/>
  <c r="DI150" i="24"/>
  <c r="DB150" i="24"/>
  <c r="DE150" i="24" s="1"/>
  <c r="DF150" i="24" s="1"/>
  <c r="DG150" i="24" s="1"/>
  <c r="DM150" i="24"/>
  <c r="DA177" i="24"/>
  <c r="DC177" i="24" s="1"/>
  <c r="DC294" i="24"/>
  <c r="DB167" i="24"/>
  <c r="DE167" i="24" s="1"/>
  <c r="DF167" i="24" s="1"/>
  <c r="DG167" i="24" s="1"/>
  <c r="DI167" i="24"/>
  <c r="DM167" i="24"/>
  <c r="DA81" i="24"/>
  <c r="DC81" i="24" s="1"/>
  <c r="DB81" i="24"/>
  <c r="DE81" i="24" s="1"/>
  <c r="DF81" i="24" s="1"/>
  <c r="DG81" i="24" s="1"/>
  <c r="DI81" i="24"/>
  <c r="DM81" i="24"/>
  <c r="DA150" i="24"/>
  <c r="DC150" i="24" s="1"/>
  <c r="DI253" i="24"/>
  <c r="DB253" i="24"/>
  <c r="DE253" i="24" s="1"/>
  <c r="DF253" i="24" s="1"/>
  <c r="DG253" i="24" s="1"/>
  <c r="DM253" i="24"/>
  <c r="DC111" i="24"/>
  <c r="DI118" i="24"/>
  <c r="DB118" i="24"/>
  <c r="DE118" i="24" s="1"/>
  <c r="DF118" i="24" s="1"/>
  <c r="DG118" i="24" s="1"/>
  <c r="DM118" i="24"/>
  <c r="DB161" i="24"/>
  <c r="DE161" i="24" s="1"/>
  <c r="DF161" i="24" s="1"/>
  <c r="DG161" i="24" s="1"/>
  <c r="DI161" i="24"/>
  <c r="DM161" i="24"/>
  <c r="DA232" i="24"/>
  <c r="DC232" i="24" s="1"/>
  <c r="DB232" i="24"/>
  <c r="DE232" i="24" s="1"/>
  <c r="DF232" i="24" s="1"/>
  <c r="DG232" i="24" s="1"/>
  <c r="DI232" i="24"/>
  <c r="DM232" i="24"/>
  <c r="DC240" i="24"/>
  <c r="DI302" i="24"/>
  <c r="DB302" i="24"/>
  <c r="DE302" i="24" s="1"/>
  <c r="DF302" i="24" s="1"/>
  <c r="DG302" i="24" s="1"/>
  <c r="DM302" i="24"/>
  <c r="E56" i="1"/>
  <c r="N53" i="29"/>
  <c r="N309" i="29"/>
  <c r="M226" i="29"/>
  <c r="N150" i="29"/>
  <c r="M67" i="29"/>
  <c r="M323" i="29"/>
  <c r="N239" i="29"/>
  <c r="M160" i="29"/>
  <c r="N185" i="29"/>
  <c r="M102" i="29"/>
  <c r="N26" i="29"/>
  <c r="N282" i="29"/>
  <c r="M199" i="29"/>
  <c r="N115" i="29"/>
  <c r="M36" i="29"/>
  <c r="M292" i="29"/>
  <c r="N212" i="29"/>
  <c r="N101" i="29"/>
  <c r="M18" i="29"/>
  <c r="M274" i="29"/>
  <c r="N198" i="29"/>
  <c r="M115" i="29"/>
  <c r="N31" i="29"/>
  <c r="N287" i="29"/>
  <c r="M208" i="29"/>
  <c r="N128" i="29"/>
  <c r="M285" i="29"/>
  <c r="M54" i="29"/>
  <c r="N130" i="29"/>
  <c r="M203" i="29"/>
  <c r="N267" i="29"/>
  <c r="M328" i="29"/>
  <c r="N332" i="29"/>
  <c r="M562" i="29"/>
  <c r="N486" i="29"/>
  <c r="M407" i="29"/>
  <c r="M233" i="29"/>
  <c r="N209" i="29"/>
  <c r="M342" i="29"/>
  <c r="M139" i="29"/>
  <c r="N263" i="29"/>
  <c r="N40" i="29"/>
  <c r="M378" i="29"/>
  <c r="M257" i="29"/>
  <c r="N384" i="29"/>
  <c r="M587" i="29"/>
  <c r="N543" i="29"/>
  <c r="M468" i="29"/>
  <c r="M74" i="29"/>
  <c r="N206" i="29"/>
  <c r="M335" i="29"/>
  <c r="M124" i="29"/>
  <c r="N200" i="29"/>
  <c r="M502" i="29"/>
  <c r="N462" i="29"/>
  <c r="M419" i="29"/>
  <c r="N383" i="29"/>
  <c r="M109" i="29"/>
  <c r="N169" i="29"/>
  <c r="N114" i="29"/>
  <c r="N71" i="29"/>
  <c r="M340" i="29"/>
  <c r="M446" i="29"/>
  <c r="N506" i="29"/>
  <c r="M559" i="29"/>
  <c r="N603" i="29"/>
  <c r="M592" i="29"/>
  <c r="M513" i="29"/>
  <c r="N105" i="29"/>
  <c r="N50" i="29"/>
  <c r="M343" i="29"/>
  <c r="M280" i="29"/>
  <c r="N109" i="29"/>
  <c r="N62" i="29"/>
  <c r="M347" i="29"/>
  <c r="M288" i="29"/>
  <c r="M410" i="29"/>
  <c r="N470" i="29"/>
  <c r="M523" i="29"/>
  <c r="N571" i="29"/>
  <c r="M568" i="29"/>
  <c r="M489" i="29"/>
  <c r="N437" i="29"/>
  <c r="M22" i="29"/>
  <c r="N306" i="29"/>
  <c r="N85" i="29"/>
  <c r="N341" i="29"/>
  <c r="M258" i="29"/>
  <c r="N182" i="29"/>
  <c r="M99" i="29"/>
  <c r="N15" i="29"/>
  <c r="N271" i="29"/>
  <c r="M192" i="29"/>
  <c r="N217" i="29"/>
  <c r="M134" i="29"/>
  <c r="N58" i="29"/>
  <c r="N314" i="29"/>
  <c r="M231" i="29"/>
  <c r="N147" i="29"/>
  <c r="M68" i="29"/>
  <c r="M324" i="29"/>
  <c r="N244" i="29"/>
  <c r="N133" i="29"/>
  <c r="M50" i="29"/>
  <c r="M306" i="29"/>
  <c r="N230" i="29"/>
  <c r="M147" i="29"/>
  <c r="N63" i="29"/>
  <c r="N319" i="29"/>
  <c r="M240" i="29"/>
  <c r="N160" i="29"/>
  <c r="N33" i="29"/>
  <c r="M106" i="29"/>
  <c r="N178" i="29"/>
  <c r="M251" i="29"/>
  <c r="N323" i="29"/>
  <c r="N36" i="29"/>
  <c r="M221" i="29"/>
  <c r="M594" i="29"/>
  <c r="N518" i="29"/>
  <c r="M439" i="29"/>
  <c r="N367" i="29"/>
  <c r="N269" i="29"/>
  <c r="N66" i="29"/>
  <c r="M191" i="29"/>
  <c r="N327" i="29"/>
  <c r="N88" i="29"/>
  <c r="M414" i="29"/>
  <c r="N374" i="29"/>
  <c r="M197" i="29"/>
  <c r="N392" i="29"/>
  <c r="N575" i="29"/>
  <c r="M500" i="29"/>
  <c r="M126" i="29"/>
  <c r="N266" i="29"/>
  <c r="N55" i="29"/>
  <c r="M184" i="29"/>
  <c r="N252" i="29"/>
  <c r="M538" i="29"/>
  <c r="N498" i="29"/>
  <c r="M455" i="29"/>
  <c r="N419" i="29"/>
  <c r="M352" i="29"/>
  <c r="N253" i="29"/>
  <c r="N202" i="29"/>
  <c r="N139" i="29"/>
  <c r="N68" i="29"/>
  <c r="M494" i="29"/>
  <c r="N554" i="29"/>
  <c r="M611" i="29"/>
  <c r="M77" i="29"/>
  <c r="M273" i="29"/>
  <c r="M545" i="29"/>
  <c r="N177" i="29"/>
  <c r="N138" i="29"/>
  <c r="N75" i="29"/>
  <c r="M348" i="29"/>
  <c r="N193" i="29"/>
  <c r="N142" i="29"/>
  <c r="N87" i="29"/>
  <c r="N16" i="29"/>
  <c r="M458" i="29"/>
  <c r="N514" i="29"/>
  <c r="M575" i="29"/>
  <c r="M49" i="29"/>
  <c r="M600" i="29"/>
  <c r="M521" i="29"/>
  <c r="N469" i="29"/>
  <c r="M90" i="29"/>
  <c r="N117" i="29"/>
  <c r="M34" i="29"/>
  <c r="M290" i="29"/>
  <c r="N214" i="29"/>
  <c r="M131" i="29"/>
  <c r="N47" i="29"/>
  <c r="N303" i="29"/>
  <c r="M224" i="29"/>
  <c r="N249" i="29"/>
  <c r="M166" i="29"/>
  <c r="N90" i="29"/>
  <c r="N346" i="29"/>
  <c r="M263" i="29"/>
  <c r="N179" i="29"/>
  <c r="M100" i="29"/>
  <c r="N20" i="29"/>
  <c r="N276" i="29"/>
  <c r="N165" i="29"/>
  <c r="M82" i="29"/>
  <c r="M338" i="29"/>
  <c r="N262" i="29"/>
  <c r="M179" i="29"/>
  <c r="N95" i="29"/>
  <c r="M16" i="29"/>
  <c r="M272" i="29"/>
  <c r="N192" i="29"/>
  <c r="N81" i="29"/>
  <c r="M154" i="29"/>
  <c r="N234" i="29"/>
  <c r="M303" i="29"/>
  <c r="M40" i="29"/>
  <c r="N76" i="29"/>
  <c r="M370" i="29"/>
  <c r="N388" i="29"/>
  <c r="N550" i="29"/>
  <c r="M471" i="29"/>
  <c r="N399" i="29"/>
  <c r="N329" i="29"/>
  <c r="N126" i="29"/>
  <c r="M255" i="29"/>
  <c r="M52" i="29"/>
  <c r="N136" i="29"/>
  <c r="M450" i="29"/>
  <c r="N410" i="29"/>
  <c r="M367" i="29"/>
  <c r="M201" i="29"/>
  <c r="N607" i="29"/>
  <c r="N61" i="29"/>
  <c r="M186" i="29"/>
  <c r="N322" i="29"/>
  <c r="N107" i="29"/>
  <c r="M248" i="29"/>
  <c r="N300" i="29"/>
  <c r="M574" i="29"/>
  <c r="N534" i="29"/>
  <c r="M491" i="29"/>
  <c r="N455" i="29"/>
  <c r="M384" i="29"/>
  <c r="N321" i="29"/>
  <c r="N274" i="29"/>
  <c r="N227" i="29"/>
  <c r="N132" i="29"/>
  <c r="M546" i="29"/>
  <c r="N602" i="29"/>
  <c r="M169" i="29"/>
  <c r="M360" i="29"/>
  <c r="M117" i="29"/>
  <c r="M577" i="29"/>
  <c r="N257" i="29"/>
  <c r="N210" i="29"/>
  <c r="N155" i="29"/>
  <c r="N72" i="29"/>
  <c r="N265" i="29"/>
  <c r="N222" i="29"/>
  <c r="N163" i="29"/>
  <c r="N80" i="29"/>
  <c r="M510" i="29"/>
  <c r="N566" i="29"/>
  <c r="M337" i="29"/>
  <c r="M173" i="29"/>
  <c r="N376" i="29"/>
  <c r="M553" i="29"/>
  <c r="N501" i="29"/>
  <c r="M174" i="29"/>
  <c r="N149" i="29"/>
  <c r="M66" i="29"/>
  <c r="M322" i="29"/>
  <c r="N246" i="29"/>
  <c r="M163" i="29"/>
  <c r="N79" i="29"/>
  <c r="N335" i="29"/>
  <c r="N25" i="29"/>
  <c r="N281" i="29"/>
  <c r="M198" i="29"/>
  <c r="N122" i="29"/>
  <c r="M39" i="29"/>
  <c r="M295" i="29"/>
  <c r="N211" i="29"/>
  <c r="M132" i="29"/>
  <c r="N52" i="29"/>
  <c r="N308" i="29"/>
  <c r="N197" i="29"/>
  <c r="M114" i="29"/>
  <c r="N38" i="29"/>
  <c r="N294" i="29"/>
  <c r="M211" i="29"/>
  <c r="N127" i="29"/>
  <c r="M48" i="29"/>
  <c r="M304" i="29"/>
  <c r="N224" i="29"/>
  <c r="N137" i="29"/>
  <c r="M206" i="29"/>
  <c r="N286" i="29"/>
  <c r="M351" i="29"/>
  <c r="M88" i="29"/>
  <c r="N120" i="29"/>
  <c r="M402" i="29"/>
  <c r="M161" i="29"/>
  <c r="N582" i="29"/>
  <c r="M503" i="29"/>
  <c r="N431" i="29"/>
  <c r="M46" i="29"/>
  <c r="N190" i="29"/>
  <c r="M315" i="29"/>
  <c r="M108" i="29"/>
  <c r="N184" i="29"/>
  <c r="M486" i="29"/>
  <c r="N446" i="29"/>
  <c r="M403" i="29"/>
  <c r="N371" i="29"/>
  <c r="N468" i="29"/>
  <c r="N113" i="29"/>
  <c r="M246" i="29"/>
  <c r="M43" i="29"/>
  <c r="N171" i="29"/>
  <c r="M296" i="29"/>
  <c r="N348" i="29"/>
  <c r="M610" i="29"/>
  <c r="N570" i="29"/>
  <c r="M527" i="29"/>
  <c r="N491" i="29"/>
  <c r="M416" i="29"/>
  <c r="M62" i="29"/>
  <c r="M15" i="29"/>
  <c r="N299" i="29"/>
  <c r="N196" i="29"/>
  <c r="M590" i="29"/>
  <c r="M101" i="29"/>
  <c r="N379" i="29"/>
  <c r="M400" i="29"/>
  <c r="M353" i="29"/>
  <c r="M609" i="29"/>
  <c r="N333" i="29"/>
  <c r="N290" i="29"/>
  <c r="N235" i="29"/>
  <c r="N140" i="29"/>
  <c r="N349" i="29"/>
  <c r="N298" i="29"/>
  <c r="N247" i="29"/>
  <c r="N144" i="29"/>
  <c r="M554" i="29"/>
  <c r="M145" i="29"/>
  <c r="M297" i="29"/>
  <c r="M368" i="29"/>
  <c r="M181" i="29"/>
  <c r="M585" i="29"/>
  <c r="N533" i="29"/>
  <c r="M250" i="29"/>
  <c r="N181" i="29"/>
  <c r="M98" i="29"/>
  <c r="N22" i="29"/>
  <c r="N278" i="29"/>
  <c r="M195" i="29"/>
  <c r="N111" i="29"/>
  <c r="M32" i="29"/>
  <c r="N57" i="29"/>
  <c r="N313" i="29"/>
  <c r="M230" i="29"/>
  <c r="N154" i="29"/>
  <c r="M71" i="29"/>
  <c r="M327" i="29"/>
  <c r="N243" i="29"/>
  <c r="M164" i="29"/>
  <c r="N84" i="29"/>
  <c r="N340" i="29"/>
  <c r="N229" i="29"/>
  <c r="M146" i="29"/>
  <c r="N70" i="29"/>
  <c r="N326" i="29"/>
  <c r="M243" i="29"/>
  <c r="N159" i="29"/>
  <c r="M80" i="29"/>
  <c r="M336" i="29"/>
  <c r="N256" i="29"/>
  <c r="N189" i="29"/>
  <c r="M254" i="29"/>
  <c r="N334" i="29"/>
  <c r="N67" i="29"/>
  <c r="M140" i="29"/>
  <c r="N164" i="29"/>
  <c r="M434" i="29"/>
  <c r="N358" i="29"/>
  <c r="M13" i="29"/>
  <c r="M535" i="29"/>
  <c r="N463" i="29"/>
  <c r="M110" i="29"/>
  <c r="N242" i="29"/>
  <c r="N35" i="29"/>
  <c r="M168" i="29"/>
  <c r="N232" i="29"/>
  <c r="M522" i="29"/>
  <c r="N482" i="29"/>
  <c r="M443" i="29"/>
  <c r="N407" i="29"/>
  <c r="M269" i="29"/>
  <c r="N173" i="29"/>
  <c r="M302" i="29"/>
  <c r="M107" i="29"/>
  <c r="N231" i="29"/>
  <c r="M344" i="29"/>
  <c r="M354" i="29"/>
  <c r="M65" i="29"/>
  <c r="N606" i="29"/>
  <c r="M563" i="29"/>
  <c r="N523" i="29"/>
  <c r="M448" i="29"/>
  <c r="M142" i="29"/>
  <c r="M91" i="29"/>
  <c r="M44" i="29"/>
  <c r="N264" i="29"/>
  <c r="M33" i="29"/>
  <c r="M363" i="29"/>
  <c r="N427" i="29"/>
  <c r="M444" i="29"/>
  <c r="M385" i="29"/>
  <c r="M217" i="29"/>
  <c r="M78" i="29"/>
  <c r="M27" i="29"/>
  <c r="N311" i="29"/>
  <c r="N208" i="29"/>
  <c r="M86" i="29"/>
  <c r="M31" i="29"/>
  <c r="N315" i="29"/>
  <c r="N216" i="29"/>
  <c r="M606" i="29"/>
  <c r="M165" i="29"/>
  <c r="N391" i="29"/>
  <c r="M412" i="29"/>
  <c r="M361" i="29"/>
  <c r="M25" i="29"/>
  <c r="N45" i="29"/>
  <c r="M330" i="29"/>
  <c r="N213" i="29"/>
  <c r="M130" i="29"/>
  <c r="N54" i="29"/>
  <c r="N310" i="29"/>
  <c r="M227" i="29"/>
  <c r="N143" i="29"/>
  <c r="M64" i="29"/>
  <c r="N89" i="29"/>
  <c r="N345" i="29"/>
  <c r="M262" i="29"/>
  <c r="N186" i="29"/>
  <c r="M103" i="29"/>
  <c r="N19" i="29"/>
  <c r="N275" i="29"/>
  <c r="M196" i="29"/>
  <c r="N116" i="29"/>
  <c r="M189" i="29"/>
  <c r="N261" i="29"/>
  <c r="M178" i="29"/>
  <c r="N102" i="29"/>
  <c r="M19" i="29"/>
  <c r="M275" i="29"/>
  <c r="N191" i="29"/>
  <c r="M112" i="29"/>
  <c r="N32" i="29"/>
  <c r="N288" i="29"/>
  <c r="N237" i="29"/>
  <c r="M310" i="29"/>
  <c r="M47" i="29"/>
  <c r="N119" i="29"/>
  <c r="M188" i="29"/>
  <c r="N204" i="29"/>
  <c r="M466" i="29"/>
  <c r="N390" i="29"/>
  <c r="M37" i="29"/>
  <c r="M567" i="29"/>
  <c r="N41" i="29"/>
  <c r="M170" i="29"/>
  <c r="N302" i="29"/>
  <c r="N91" i="29"/>
  <c r="M220" i="29"/>
  <c r="N280" i="29"/>
  <c r="M558" i="29"/>
  <c r="N522" i="29"/>
  <c r="M479" i="29"/>
  <c r="N443" i="29"/>
  <c r="M372" i="29"/>
  <c r="N233" i="29"/>
  <c r="N34" i="29"/>
  <c r="M159" i="29"/>
  <c r="N291" i="29"/>
  <c r="N56" i="29"/>
  <c r="M390" i="29"/>
  <c r="M349" i="29"/>
  <c r="N448" i="29"/>
  <c r="M603" i="29"/>
  <c r="N555" i="29"/>
  <c r="M480" i="29"/>
  <c r="M218" i="29"/>
  <c r="M175" i="29"/>
  <c r="M120" i="29"/>
  <c r="N324" i="29"/>
  <c r="N362" i="29"/>
  <c r="M415" i="29"/>
  <c r="N475" i="29"/>
  <c r="M488" i="29"/>
  <c r="M417" i="29"/>
  <c r="N365" i="29"/>
  <c r="M150" i="29"/>
  <c r="M111" i="29"/>
  <c r="M56" i="29"/>
  <c r="N268" i="29"/>
  <c r="M158" i="29"/>
  <c r="M119" i="29"/>
  <c r="M60" i="29"/>
  <c r="N272" i="29"/>
  <c r="M129" i="29"/>
  <c r="M379" i="29"/>
  <c r="N439" i="29"/>
  <c r="M456" i="29"/>
  <c r="M393" i="29"/>
  <c r="M281" i="29"/>
  <c r="N125" i="29"/>
  <c r="N74" i="29"/>
  <c r="N245" i="29"/>
  <c r="M162" i="29"/>
  <c r="N86" i="29"/>
  <c r="N342" i="29"/>
  <c r="M259" i="29"/>
  <c r="N175" i="29"/>
  <c r="M96" i="29"/>
  <c r="N121" i="29"/>
  <c r="M38" i="29"/>
  <c r="M294" i="29"/>
  <c r="N218" i="29"/>
  <c r="M135" i="29"/>
  <c r="N51" i="29"/>
  <c r="N307" i="29"/>
  <c r="M228" i="29"/>
  <c r="N148" i="29"/>
  <c r="N37" i="29"/>
  <c r="N293" i="29"/>
  <c r="M210" i="29"/>
  <c r="N134" i="29"/>
  <c r="M51" i="29"/>
  <c r="M307" i="29"/>
  <c r="N223" i="29"/>
  <c r="M144" i="29"/>
  <c r="N64" i="29"/>
  <c r="N320" i="29"/>
  <c r="N289" i="29"/>
  <c r="N30" i="29"/>
  <c r="M95" i="29"/>
  <c r="N167" i="29"/>
  <c r="M244" i="29"/>
  <c r="N248" i="29"/>
  <c r="M498" i="29"/>
  <c r="N422" i="29"/>
  <c r="M293" i="29"/>
  <c r="M599" i="29"/>
  <c r="N97" i="29"/>
  <c r="M222" i="29"/>
  <c r="M23" i="29"/>
  <c r="N151" i="29"/>
  <c r="M276" i="29"/>
  <c r="N328" i="29"/>
  <c r="M598" i="29"/>
  <c r="N558" i="29"/>
  <c r="M515" i="29"/>
  <c r="N479" i="29"/>
  <c r="M404" i="29"/>
  <c r="N297" i="29"/>
  <c r="N94" i="29"/>
  <c r="M219" i="29"/>
  <c r="N347" i="29"/>
  <c r="N104" i="29"/>
  <c r="M426" i="29"/>
  <c r="N386" i="29"/>
  <c r="M325" i="29"/>
  <c r="M41" i="29"/>
  <c r="N587" i="29"/>
  <c r="M512" i="29"/>
  <c r="M298" i="29"/>
  <c r="M247" i="29"/>
  <c r="M204" i="29"/>
  <c r="M346" i="29"/>
  <c r="N406" i="29"/>
  <c r="M463" i="29"/>
  <c r="N519" i="29"/>
  <c r="M528" i="29"/>
  <c r="M449" i="29"/>
  <c r="N397" i="29"/>
  <c r="M234" i="29"/>
  <c r="M183" i="29"/>
  <c r="M136" i="29"/>
  <c r="N336" i="29"/>
  <c r="M238" i="29"/>
  <c r="M187" i="29"/>
  <c r="M148" i="29"/>
  <c r="N344" i="29"/>
  <c r="N370" i="29"/>
  <c r="M427" i="29"/>
  <c r="N487" i="29"/>
  <c r="M496" i="29"/>
  <c r="M425" i="29"/>
  <c r="N373" i="29"/>
  <c r="N201" i="29"/>
  <c r="N158" i="29"/>
  <c r="N21" i="29"/>
  <c r="N277" i="29"/>
  <c r="M194" i="29"/>
  <c r="N118" i="29"/>
  <c r="M35" i="29"/>
  <c r="M291" i="29"/>
  <c r="N207" i="29"/>
  <c r="M128" i="29"/>
  <c r="N153" i="29"/>
  <c r="M70" i="29"/>
  <c r="M326" i="29"/>
  <c r="N250" i="29"/>
  <c r="M167" i="29"/>
  <c r="N83" i="29"/>
  <c r="N339" i="29"/>
  <c r="M260" i="29"/>
  <c r="N180" i="29"/>
  <c r="N69" i="29"/>
  <c r="N325" i="29"/>
  <c r="M242" i="29"/>
  <c r="N166" i="29"/>
  <c r="M83" i="29"/>
  <c r="M339" i="29"/>
  <c r="N255" i="29"/>
  <c r="M176" i="29"/>
  <c r="N96" i="29"/>
  <c r="M29" i="29"/>
  <c r="N337" i="29"/>
  <c r="N78" i="29"/>
  <c r="M151" i="29"/>
  <c r="N219" i="29"/>
  <c r="M284" i="29"/>
  <c r="N292" i="29"/>
  <c r="M530" i="29"/>
  <c r="N454" i="29"/>
  <c r="M375" i="29"/>
  <c r="N440" i="29"/>
  <c r="N157" i="29"/>
  <c r="M282" i="29"/>
  <c r="M79" i="29"/>
  <c r="N203" i="29"/>
  <c r="M320" i="29"/>
  <c r="M253" i="29"/>
  <c r="N436" i="29"/>
  <c r="N594" i="29"/>
  <c r="M551" i="29"/>
  <c r="N511" i="29"/>
  <c r="M436" i="29"/>
  <c r="M14" i="29"/>
  <c r="N146" i="29"/>
  <c r="M279" i="29"/>
  <c r="M72" i="29"/>
  <c r="N152" i="29"/>
  <c r="M462" i="29"/>
  <c r="N426" i="29"/>
  <c r="M383" i="29"/>
  <c r="M329" i="29"/>
  <c r="N360" i="29"/>
  <c r="N93" i="29"/>
  <c r="N46" i="29"/>
  <c r="M331" i="29"/>
  <c r="M268" i="29"/>
  <c r="M398" i="29"/>
  <c r="N458" i="29"/>
  <c r="M511" i="29"/>
  <c r="N563" i="29"/>
  <c r="M560" i="29"/>
  <c r="M481" i="29"/>
  <c r="N17" i="29"/>
  <c r="M314" i="29"/>
  <c r="M267" i="29"/>
  <c r="M212" i="29"/>
  <c r="N29" i="29"/>
  <c r="M318" i="29"/>
  <c r="M271" i="29"/>
  <c r="M216" i="29"/>
  <c r="M362" i="29"/>
  <c r="N418" i="29"/>
  <c r="M475" i="29"/>
  <c r="N531" i="29"/>
  <c r="M536" i="29"/>
  <c r="M457" i="29"/>
  <c r="N405" i="29"/>
  <c r="N273" i="29"/>
  <c r="N226" i="29"/>
  <c r="N251" i="29"/>
  <c r="N156" i="29"/>
  <c r="M566" i="29"/>
  <c r="M305" i="29"/>
  <c r="N351" i="29"/>
  <c r="M376" i="29"/>
  <c r="M213" i="29"/>
  <c r="M589" i="29"/>
  <c r="M42" i="29"/>
  <c r="N338" i="29"/>
  <c r="N283" i="29"/>
  <c r="N176" i="29"/>
  <c r="M582" i="29"/>
  <c r="N428" i="29"/>
  <c r="N363" i="29"/>
  <c r="M392" i="29"/>
  <c r="M309" i="29"/>
  <c r="M601" i="29"/>
  <c r="N350" i="29"/>
  <c r="M430" i="29"/>
  <c r="M543" i="29"/>
  <c r="M580" i="29"/>
  <c r="N429" i="29"/>
  <c r="N552" i="29"/>
  <c r="N361" i="29"/>
  <c r="N364" i="29"/>
  <c r="M59" i="29"/>
  <c r="M442" i="29"/>
  <c r="M555" i="29"/>
  <c r="M588" i="29"/>
  <c r="N433" i="29"/>
  <c r="N584" i="29"/>
  <c r="N241" i="29"/>
  <c r="M236" i="29"/>
  <c r="N510" i="29"/>
  <c r="N611" i="29"/>
  <c r="M517" i="29"/>
  <c r="N581" i="29"/>
  <c r="N354" i="29"/>
  <c r="M116" i="29"/>
  <c r="N285" i="29"/>
  <c r="M252" i="29"/>
  <c r="N530" i="29"/>
  <c r="N404" i="29"/>
  <c r="M529" i="29"/>
  <c r="N585" i="29"/>
  <c r="N27" i="29"/>
  <c r="N318" i="29"/>
  <c r="N77" i="29"/>
  <c r="M84" i="29"/>
  <c r="N438" i="29"/>
  <c r="N547" i="29"/>
  <c r="M469" i="29"/>
  <c r="N557" i="29"/>
  <c r="N270" i="29"/>
  <c r="N168" i="29"/>
  <c r="N546" i="29"/>
  <c r="N493" i="29"/>
  <c r="N59" i="29"/>
  <c r="M81" i="29"/>
  <c r="N403" i="29"/>
  <c r="M369" i="29"/>
  <c r="N497" i="29"/>
  <c r="N504" i="29"/>
  <c r="N417" i="29"/>
  <c r="N597" i="29"/>
  <c r="M55" i="29"/>
  <c r="N331" i="29"/>
  <c r="N220" i="29"/>
  <c r="N13" i="29"/>
  <c r="M229" i="29"/>
  <c r="N395" i="29"/>
  <c r="M420" i="29"/>
  <c r="M365" i="29"/>
  <c r="M57" i="29"/>
  <c r="M122" i="29"/>
  <c r="M75" i="29"/>
  <c r="M24" i="29"/>
  <c r="N240" i="29"/>
  <c r="N408" i="29"/>
  <c r="M355" i="29"/>
  <c r="N415" i="29"/>
  <c r="M432" i="29"/>
  <c r="M377" i="29"/>
  <c r="M153" i="29"/>
  <c r="M223" i="29"/>
  <c r="M526" i="29"/>
  <c r="M73" i="29"/>
  <c r="M21" i="29"/>
  <c r="N465" i="29"/>
  <c r="N496" i="29"/>
  <c r="N561" i="29"/>
  <c r="N369" i="29"/>
  <c r="M239" i="29"/>
  <c r="M542" i="29"/>
  <c r="M137" i="29"/>
  <c r="M85" i="29"/>
  <c r="N473" i="29"/>
  <c r="N528" i="29"/>
  <c r="M118" i="29"/>
  <c r="N60" i="29"/>
  <c r="N610" i="29"/>
  <c r="M364" i="29"/>
  <c r="M581" i="29"/>
  <c r="N613" i="29"/>
  <c r="M607" i="29"/>
  <c r="M602" i="29"/>
  <c r="M138" i="29"/>
  <c r="N100" i="29"/>
  <c r="N368" i="29"/>
  <c r="M380" i="29"/>
  <c r="M593" i="29"/>
  <c r="M177" i="29"/>
  <c r="M394" i="29"/>
  <c r="M312" i="29"/>
  <c r="N301" i="29"/>
  <c r="M264" i="29"/>
  <c r="N538" i="29"/>
  <c r="N424" i="29"/>
  <c r="M533" i="29"/>
  <c r="N589" i="29"/>
  <c r="M308" i="29"/>
  <c r="N562" i="29"/>
  <c r="N559" i="29"/>
  <c r="N488" i="29"/>
  <c r="N279" i="29"/>
  <c r="N382" i="29"/>
  <c r="N499" i="29"/>
  <c r="M433" i="29"/>
  <c r="N537" i="29"/>
  <c r="N604" i="29"/>
  <c r="N544" i="29"/>
  <c r="N572" i="29"/>
  <c r="M123" i="29"/>
  <c r="M76" i="29"/>
  <c r="N284" i="29"/>
  <c r="M193" i="29"/>
  <c r="M387" i="29"/>
  <c r="N447" i="29"/>
  <c r="M460" i="29"/>
  <c r="M397" i="29"/>
  <c r="M313" i="29"/>
  <c r="M202" i="29"/>
  <c r="M155" i="29"/>
  <c r="M104" i="29"/>
  <c r="N312" i="29"/>
  <c r="M321" i="29"/>
  <c r="M399" i="29"/>
  <c r="N467" i="29"/>
  <c r="M476" i="29"/>
  <c r="M409" i="29"/>
  <c r="N357" i="29"/>
  <c r="N103" i="29"/>
  <c r="N352" i="29"/>
  <c r="N411" i="29"/>
  <c r="M373" i="29"/>
  <c r="N505" i="29"/>
  <c r="N536" i="29"/>
  <c r="N556" i="29"/>
  <c r="N565" i="29"/>
  <c r="N123" i="29"/>
  <c r="N464" i="29"/>
  <c r="N423" i="29"/>
  <c r="M381" i="29"/>
  <c r="N509" i="29"/>
  <c r="N568" i="29"/>
  <c r="M334" i="29"/>
  <c r="N236" i="29"/>
  <c r="M371" i="29"/>
  <c r="M452" i="29"/>
  <c r="M249" i="29"/>
  <c r="N456" i="29"/>
  <c r="M484" i="29"/>
  <c r="M423" i="29"/>
  <c r="N14" i="29"/>
  <c r="N260" i="29"/>
  <c r="M391" i="29"/>
  <c r="M464" i="29"/>
  <c r="M345" i="29"/>
  <c r="N480" i="29"/>
  <c r="M411" i="29"/>
  <c r="N366" i="29"/>
  <c r="M182" i="29"/>
  <c r="N108" i="29"/>
  <c r="N400" i="29"/>
  <c r="M388" i="29"/>
  <c r="M597" i="29"/>
  <c r="M241" i="29"/>
  <c r="N450" i="29"/>
  <c r="N567" i="29"/>
  <c r="M413" i="29"/>
  <c r="N161" i="29"/>
  <c r="M156" i="29"/>
  <c r="N478" i="29"/>
  <c r="N583" i="29"/>
  <c r="M497" i="29"/>
  <c r="N569" i="29"/>
  <c r="M190" i="29"/>
  <c r="N39" i="29"/>
  <c r="M207" i="29"/>
  <c r="M152" i="29"/>
  <c r="M61" i="29"/>
  <c r="N378" i="29"/>
  <c r="M431" i="29"/>
  <c r="N495" i="29"/>
  <c r="M504" i="29"/>
  <c r="M429" i="29"/>
  <c r="N377" i="29"/>
  <c r="M278" i="29"/>
  <c r="M235" i="29"/>
  <c r="M180" i="29"/>
  <c r="M157" i="29"/>
  <c r="N398" i="29"/>
  <c r="M451" i="29"/>
  <c r="N507" i="29"/>
  <c r="M520" i="29"/>
  <c r="M441" i="29"/>
  <c r="N389" i="29"/>
  <c r="N295" i="29"/>
  <c r="N394" i="29"/>
  <c r="N503" i="29"/>
  <c r="M437" i="29"/>
  <c r="N541" i="29"/>
  <c r="M143" i="29"/>
  <c r="M214" i="29"/>
  <c r="N588" i="29"/>
  <c r="N343" i="29"/>
  <c r="N402" i="29"/>
  <c r="N515" i="29"/>
  <c r="M445" i="29"/>
  <c r="N545" i="29"/>
  <c r="N317" i="29"/>
  <c r="N194" i="29"/>
  <c r="M358" i="29"/>
  <c r="M467" i="29"/>
  <c r="M532" i="29"/>
  <c r="N401" i="29"/>
  <c r="N548" i="29"/>
  <c r="M605" i="29"/>
  <c r="M141" i="29"/>
  <c r="N238" i="29"/>
  <c r="M374" i="29"/>
  <c r="M487" i="29"/>
  <c r="M544" i="29"/>
  <c r="N409" i="29"/>
  <c r="N580" i="29"/>
  <c r="M45" i="29"/>
  <c r="M519" i="29"/>
  <c r="N42" i="29"/>
  <c r="N296" i="29"/>
  <c r="M395" i="29"/>
  <c r="M472" i="29"/>
  <c r="N353" i="29"/>
  <c r="N512" i="29"/>
  <c r="N375" i="29"/>
  <c r="M421" i="29"/>
  <c r="N593" i="29"/>
  <c r="M30" i="29"/>
  <c r="M332" i="29"/>
  <c r="N578" i="29"/>
  <c r="M237" i="29"/>
  <c r="M561" i="29"/>
  <c r="N601" i="29"/>
  <c r="M92" i="29"/>
  <c r="N316" i="29"/>
  <c r="M283" i="29"/>
  <c r="M232" i="29"/>
  <c r="M366" i="29"/>
  <c r="N430" i="29"/>
  <c r="M483" i="29"/>
  <c r="N535" i="29"/>
  <c r="M540" i="29"/>
  <c r="M461" i="29"/>
  <c r="N73" i="29"/>
  <c r="N18" i="29"/>
  <c r="M311" i="29"/>
  <c r="M256" i="29"/>
  <c r="M386" i="29"/>
  <c r="N442" i="29"/>
  <c r="M499" i="29"/>
  <c r="N551" i="29"/>
  <c r="M552" i="29"/>
  <c r="M473" i="29"/>
  <c r="N205" i="29"/>
  <c r="M172" i="29"/>
  <c r="N490" i="29"/>
  <c r="N591" i="29"/>
  <c r="M501" i="29"/>
  <c r="N573" i="29"/>
  <c r="N304" i="29"/>
  <c r="N259" i="29"/>
  <c r="N221" i="29"/>
  <c r="M200" i="29"/>
  <c r="N502" i="29"/>
  <c r="N599" i="29"/>
  <c r="M509" i="29"/>
  <c r="N577" i="29"/>
  <c r="M490" i="29"/>
  <c r="M63" i="29"/>
  <c r="M454" i="29"/>
  <c r="M571" i="29"/>
  <c r="M596" i="29"/>
  <c r="N441" i="29"/>
  <c r="N532" i="29"/>
  <c r="N453" i="29"/>
  <c r="M357" i="29"/>
  <c r="M87" i="29"/>
  <c r="M474" i="29"/>
  <c r="M583" i="29"/>
  <c r="M608" i="29"/>
  <c r="N445" i="29"/>
  <c r="N492" i="29"/>
  <c r="M477" i="29"/>
  <c r="M408" i="29"/>
  <c r="N254" i="29"/>
  <c r="M382" i="29"/>
  <c r="M495" i="29"/>
  <c r="M548" i="29"/>
  <c r="N413" i="29"/>
  <c r="N612" i="29"/>
  <c r="M341" i="29"/>
  <c r="N457" i="29"/>
  <c r="M506" i="29"/>
  <c r="M266" i="29"/>
  <c r="N172" i="29"/>
  <c r="M261" i="29"/>
  <c r="M424" i="29"/>
  <c r="M89" i="29"/>
  <c r="N396" i="29"/>
  <c r="M586" i="29"/>
  <c r="N466" i="29"/>
  <c r="N23" i="29"/>
  <c r="M300" i="29"/>
  <c r="M418" i="29"/>
  <c r="N474" i="29"/>
  <c r="M531" i="29"/>
  <c r="N579" i="29"/>
  <c r="M572" i="29"/>
  <c r="M493" i="29"/>
  <c r="N145" i="29"/>
  <c r="N106" i="29"/>
  <c r="N43" i="29"/>
  <c r="M316" i="29"/>
  <c r="M438" i="29"/>
  <c r="N494" i="29"/>
  <c r="M547" i="29"/>
  <c r="N595" i="29"/>
  <c r="M584" i="29"/>
  <c r="M505" i="29"/>
  <c r="M58" i="29"/>
  <c r="N28" i="29"/>
  <c r="N586" i="29"/>
  <c r="M301" i="29"/>
  <c r="M565" i="29"/>
  <c r="N605" i="29"/>
  <c r="M69" i="29"/>
  <c r="M406" i="29"/>
  <c r="M94" i="29"/>
  <c r="N44" i="29"/>
  <c r="N598" i="29"/>
  <c r="M356" i="29"/>
  <c r="M573" i="29"/>
  <c r="N609" i="29"/>
  <c r="M556" i="29"/>
  <c r="M287" i="29"/>
  <c r="M550" i="29"/>
  <c r="M265" i="29"/>
  <c r="M149" i="29"/>
  <c r="N477" i="29"/>
  <c r="N560" i="29"/>
  <c r="N356" i="29"/>
  <c r="N421" i="29"/>
  <c r="M299" i="29"/>
  <c r="M570" i="29"/>
  <c r="N355" i="29"/>
  <c r="M245" i="29"/>
  <c r="N481" i="29"/>
  <c r="N592" i="29"/>
  <c r="N489" i="29"/>
  <c r="M485" i="29"/>
  <c r="M127" i="29"/>
  <c r="M478" i="29"/>
  <c r="M591" i="29"/>
  <c r="M612" i="29"/>
  <c r="N449" i="29"/>
  <c r="N524" i="29"/>
  <c r="N525" i="29"/>
  <c r="N576" i="29"/>
  <c r="M17" i="29"/>
  <c r="N110" i="29"/>
  <c r="M93" i="29"/>
  <c r="M435" i="29"/>
  <c r="M508" i="29"/>
  <c r="N381" i="29"/>
  <c r="N608" i="29"/>
  <c r="M507" i="29"/>
  <c r="N387" i="29"/>
  <c r="N99" i="29"/>
  <c r="N24" i="29"/>
  <c r="M470" i="29"/>
  <c r="N526" i="29"/>
  <c r="M579" i="29"/>
  <c r="N380" i="29"/>
  <c r="M604" i="29"/>
  <c r="M525" i="29"/>
  <c r="N225" i="29"/>
  <c r="N174" i="29"/>
  <c r="N131" i="29"/>
  <c r="N48" i="29"/>
  <c r="M482" i="29"/>
  <c r="N542" i="29"/>
  <c r="M595" i="29"/>
  <c r="N444" i="29"/>
  <c r="G628" i="29"/>
  <c r="M537" i="29"/>
  <c r="M270" i="29"/>
  <c r="N188" i="29"/>
  <c r="M350" i="29"/>
  <c r="M428" i="29"/>
  <c r="M121" i="29"/>
  <c r="N412" i="29"/>
  <c r="N471" i="29"/>
  <c r="M133" i="29"/>
  <c r="M286" i="29"/>
  <c r="N228" i="29"/>
  <c r="M359" i="29"/>
  <c r="M440" i="29"/>
  <c r="M185" i="29"/>
  <c r="N432" i="29"/>
  <c r="M209" i="29"/>
  <c r="N135" i="29"/>
  <c r="M97" i="29"/>
  <c r="N435" i="29"/>
  <c r="M389" i="29"/>
  <c r="N513" i="29"/>
  <c r="N600" i="29"/>
  <c r="N540" i="29"/>
  <c r="N372" i="29"/>
  <c r="N187" i="29"/>
  <c r="M225" i="29"/>
  <c r="N451" i="29"/>
  <c r="M401" i="29"/>
  <c r="N517" i="29"/>
  <c r="N476" i="29"/>
  <c r="N596" i="29"/>
  <c r="N529" i="29"/>
  <c r="M319" i="29"/>
  <c r="M578" i="29"/>
  <c r="N359" i="29"/>
  <c r="M277" i="29"/>
  <c r="N485" i="29"/>
  <c r="N500" i="29"/>
  <c r="M26" i="29"/>
  <c r="N82" i="29"/>
  <c r="M492" i="29"/>
  <c r="N330" i="29"/>
  <c r="M422" i="29"/>
  <c r="M539" i="29"/>
  <c r="M576" i="29"/>
  <c r="N425" i="29"/>
  <c r="N520" i="29"/>
  <c r="M396" i="29"/>
  <c r="M564" i="29"/>
  <c r="N183" i="29"/>
  <c r="N92" i="29"/>
  <c r="M514" i="29"/>
  <c r="N574" i="29"/>
  <c r="N416" i="29"/>
  <c r="M205" i="29"/>
  <c r="N420" i="29"/>
  <c r="M557" i="29"/>
  <c r="N305" i="29"/>
  <c r="N258" i="29"/>
  <c r="N199" i="29"/>
  <c r="N112" i="29"/>
  <c r="M534" i="29"/>
  <c r="N590" i="29"/>
  <c r="M105" i="29"/>
  <c r="M333" i="29"/>
  <c r="M53" i="29"/>
  <c r="M569" i="29"/>
  <c r="N162" i="29"/>
  <c r="M125" i="29"/>
  <c r="M447" i="29"/>
  <c r="M516" i="29"/>
  <c r="N385" i="29"/>
  <c r="N484" i="29"/>
  <c r="M113" i="29"/>
  <c r="N483" i="29"/>
  <c r="N170" i="29"/>
  <c r="M317" i="29"/>
  <c r="M459" i="29"/>
  <c r="M524" i="29"/>
  <c r="N393" i="29"/>
  <c r="N516" i="29"/>
  <c r="N49" i="29"/>
  <c r="M20" i="29"/>
  <c r="N414" i="29"/>
  <c r="N527" i="29"/>
  <c r="M453" i="29"/>
  <c r="N549" i="29"/>
  <c r="N215" i="29"/>
  <c r="N98" i="29"/>
  <c r="N65" i="29"/>
  <c r="M28" i="29"/>
  <c r="N434" i="29"/>
  <c r="N539" i="29"/>
  <c r="M465" i="29"/>
  <c r="N553" i="29"/>
  <c r="N129" i="29"/>
  <c r="N141" i="29"/>
  <c r="N472" i="29"/>
  <c r="N195" i="29"/>
  <c r="M289" i="29"/>
  <c r="N459" i="29"/>
  <c r="M405" i="29"/>
  <c r="N521" i="29"/>
  <c r="N508" i="29"/>
  <c r="M171" i="29"/>
  <c r="N124" i="29"/>
  <c r="M549" i="29"/>
  <c r="M215" i="29"/>
  <c r="M518" i="29"/>
  <c r="N460" i="29"/>
  <c r="N452" i="29"/>
  <c r="N461" i="29"/>
  <c r="N564" i="29"/>
  <c r="M541" i="29"/>
  <c r="M613" i="29"/>
  <c r="DJ110" i="25" l="1"/>
  <c r="DQ110" i="25" s="1"/>
  <c r="CZ216" i="25"/>
  <c r="DB216" i="25" s="1"/>
  <c r="T623" i="29"/>
  <c r="O623" i="29"/>
  <c r="K623" i="29"/>
  <c r="L623" i="29"/>
  <c r="P623" i="29"/>
  <c r="U623" i="29"/>
  <c r="S623" i="29"/>
  <c r="V623" i="29"/>
  <c r="Q623" i="29"/>
  <c r="R623" i="29"/>
  <c r="DQ212" i="25"/>
  <c r="DN212" i="25"/>
  <c r="DX216" i="24"/>
  <c r="EE216" i="24" s="1"/>
  <c r="DH216" i="25"/>
  <c r="DJ216" i="25" s="1"/>
  <c r="EB269" i="25"/>
  <c r="EA269" i="25"/>
  <c r="EB245" i="25"/>
  <c r="EA245" i="25"/>
  <c r="EB289" i="25"/>
  <c r="EA289" i="25"/>
  <c r="EB280" i="25"/>
  <c r="EA280" i="25"/>
  <c r="EB285" i="25"/>
  <c r="EA285" i="25"/>
  <c r="EB257" i="25"/>
  <c r="EA257" i="25"/>
  <c r="EB243" i="25"/>
  <c r="EA243" i="25"/>
  <c r="EB293" i="25"/>
  <c r="EA293" i="25"/>
  <c r="EB286" i="25"/>
  <c r="EA286" i="25"/>
  <c r="EB281" i="25"/>
  <c r="EA281" i="25"/>
  <c r="EB274" i="25"/>
  <c r="EA274" i="25"/>
  <c r="EB222" i="25"/>
  <c r="EA222" i="25"/>
  <c r="EB237" i="25"/>
  <c r="EA237" i="25"/>
  <c r="EB287" i="25"/>
  <c r="EA287" i="25"/>
  <c r="EB227" i="25"/>
  <c r="EA227" i="25"/>
  <c r="EB225" i="25"/>
  <c r="EA225" i="25"/>
  <c r="EB251" i="25"/>
  <c r="EA251" i="25"/>
  <c r="EB236" i="25"/>
  <c r="EA236" i="25"/>
  <c r="EB307" i="25"/>
  <c r="EA307" i="25"/>
  <c r="EB316" i="25"/>
  <c r="EA316" i="25"/>
  <c r="EB221" i="25"/>
  <c r="EA221" i="25"/>
  <c r="EB229" i="25"/>
  <c r="EA229" i="25"/>
  <c r="EB263" i="25"/>
  <c r="EA263" i="25"/>
  <c r="EB239" i="25"/>
  <c r="EA239" i="25"/>
  <c r="EB302" i="25"/>
  <c r="EA302" i="25"/>
  <c r="EB292" i="25"/>
  <c r="EA292" i="25"/>
  <c r="EB252" i="25"/>
  <c r="EA252" i="25"/>
  <c r="EB226" i="25"/>
  <c r="EA226" i="25"/>
  <c r="EB310" i="25"/>
  <c r="EA310" i="25"/>
  <c r="EB220" i="25"/>
  <c r="EA220" i="25"/>
  <c r="EB249" i="25"/>
  <c r="EA249" i="25"/>
  <c r="EB248" i="25"/>
  <c r="EA248" i="25"/>
  <c r="EB260" i="25"/>
  <c r="EA260" i="25"/>
  <c r="EB219" i="25"/>
  <c r="EA219" i="25"/>
  <c r="EB295" i="25"/>
  <c r="EA295" i="25"/>
  <c r="EB253" i="25"/>
  <c r="EA253" i="25"/>
  <c r="EB217" i="25"/>
  <c r="EA217" i="25"/>
  <c r="EB296" i="25"/>
  <c r="EA296" i="25"/>
  <c r="EB299" i="25"/>
  <c r="EA299" i="25"/>
  <c r="EB265" i="25"/>
  <c r="EA265" i="25"/>
  <c r="EB271" i="25"/>
  <c r="EA271" i="25"/>
  <c r="EB278" i="25"/>
  <c r="EA278" i="25"/>
  <c r="EB234" i="25"/>
  <c r="EA234" i="25"/>
  <c r="EB309" i="25"/>
  <c r="EA309" i="25"/>
  <c r="EB246" i="25"/>
  <c r="EA246" i="25"/>
  <c r="EB288" i="25"/>
  <c r="EA288" i="25"/>
  <c r="EA216" i="25"/>
  <c r="EB216" i="25"/>
  <c r="EB308" i="25"/>
  <c r="EA308" i="25"/>
  <c r="EB298" i="25"/>
  <c r="EA298" i="25"/>
  <c r="EB242" i="25"/>
  <c r="EA242" i="25"/>
  <c r="EB262" i="25"/>
  <c r="EA262" i="25"/>
  <c r="EB277" i="25"/>
  <c r="EA277" i="25"/>
  <c r="EB254" i="25"/>
  <c r="EA254" i="25"/>
  <c r="EB290" i="25"/>
  <c r="EA290" i="25"/>
  <c r="EB291" i="25"/>
  <c r="EA291" i="25"/>
  <c r="EB247" i="25"/>
  <c r="EA247" i="25"/>
  <c r="EB258" i="25"/>
  <c r="EA258" i="25"/>
  <c r="EB264" i="25"/>
  <c r="EA264" i="25"/>
  <c r="EB261" i="25"/>
  <c r="EA261" i="25"/>
  <c r="EB303" i="25"/>
  <c r="EA303" i="25"/>
  <c r="EB270" i="25"/>
  <c r="EA270" i="25"/>
  <c r="EB240" i="25"/>
  <c r="EA240" i="25"/>
  <c r="EB279" i="25"/>
  <c r="EA279" i="25"/>
  <c r="EB284" i="25"/>
  <c r="EA284" i="25"/>
  <c r="EB256" i="25"/>
  <c r="EA256" i="25"/>
  <c r="EB244" i="25"/>
  <c r="EA244" i="25"/>
  <c r="EB305" i="25"/>
  <c r="EA305" i="25"/>
  <c r="EB259" i="25"/>
  <c r="EA259" i="25"/>
  <c r="EB294" i="25"/>
  <c r="EA294" i="25"/>
  <c r="EB233" i="25"/>
  <c r="EA233" i="25"/>
  <c r="EB266" i="25"/>
  <c r="EA266" i="25"/>
  <c r="EB231" i="25"/>
  <c r="EA231" i="25"/>
  <c r="EB268" i="25"/>
  <c r="EA268" i="25"/>
  <c r="EB223" i="25"/>
  <c r="EA223" i="25"/>
  <c r="EB273" i="25"/>
  <c r="EA273" i="25"/>
  <c r="EB224" i="25"/>
  <c r="EA224" i="25"/>
  <c r="EB241" i="25"/>
  <c r="EA241" i="25"/>
  <c r="EB232" i="25"/>
  <c r="EA232" i="25"/>
  <c r="EB272" i="25"/>
  <c r="EA272" i="25"/>
  <c r="EB313" i="25"/>
  <c r="EA313" i="25"/>
  <c r="EB250" i="25"/>
  <c r="EA250" i="25"/>
  <c r="EB276" i="25"/>
  <c r="EA276" i="25"/>
  <c r="EB311" i="25"/>
  <c r="EA311" i="25"/>
  <c r="EB300" i="25"/>
  <c r="EA300" i="25"/>
  <c r="EB218" i="25"/>
  <c r="EA218" i="25"/>
  <c r="EB315" i="25"/>
  <c r="EA315" i="25"/>
  <c r="EB282" i="25"/>
  <c r="EA282" i="25"/>
  <c r="EB238" i="25"/>
  <c r="EA238" i="25"/>
  <c r="EB297" i="25"/>
  <c r="EA297" i="25"/>
  <c r="EB283" i="25"/>
  <c r="EA283" i="25"/>
  <c r="EB230" i="25"/>
  <c r="EA230" i="25"/>
  <c r="EB235" i="25"/>
  <c r="EA235" i="25"/>
  <c r="EB275" i="25"/>
  <c r="EA275" i="25"/>
  <c r="EB267" i="25"/>
  <c r="EA267" i="25"/>
  <c r="EB301" i="25"/>
  <c r="EA301" i="25"/>
  <c r="EB314" i="25"/>
  <c r="EA314" i="25"/>
  <c r="EB306" i="25"/>
  <c r="EA306" i="25"/>
  <c r="EB228" i="25"/>
  <c r="EA228" i="25"/>
  <c r="EB304" i="25"/>
  <c r="EA304" i="25"/>
  <c r="EB312" i="25"/>
  <c r="EA312" i="25"/>
  <c r="EB255" i="25"/>
  <c r="EA255" i="25"/>
  <c r="EA112" i="25"/>
  <c r="DQ112" i="25"/>
  <c r="DN112" i="25"/>
  <c r="DN183" i="25"/>
  <c r="DN206" i="25"/>
  <c r="DN203" i="24"/>
  <c r="DX203" i="24" s="1"/>
  <c r="DN146" i="24"/>
  <c r="DX146" i="24" s="1"/>
  <c r="DN86" i="24"/>
  <c r="DX86" i="24" s="1"/>
  <c r="DN66" i="24"/>
  <c r="DX66" i="24" s="1"/>
  <c r="DN137" i="24"/>
  <c r="DX137" i="24" s="1"/>
  <c r="DN127" i="25"/>
  <c r="DN187" i="24"/>
  <c r="DX187" i="24" s="1"/>
  <c r="DN207" i="24"/>
  <c r="DX207" i="24" s="1"/>
  <c r="DW110" i="24"/>
  <c r="EN110" i="24"/>
  <c r="EM110" i="24"/>
  <c r="EP110" i="24" s="1"/>
  <c r="DU110" i="24"/>
  <c r="FA110" i="24"/>
  <c r="EL110" i="24"/>
  <c r="EY110" i="24"/>
  <c r="EB110" i="24"/>
  <c r="DN79" i="24"/>
  <c r="DZ79" i="24" s="1"/>
  <c r="DW5" i="24"/>
  <c r="EN5" i="24"/>
  <c r="EM5" i="24"/>
  <c r="EP5" i="24" s="1"/>
  <c r="DU5" i="24"/>
  <c r="FA5" i="24"/>
  <c r="EB5" i="24"/>
  <c r="EL5" i="24"/>
  <c r="EY5" i="24"/>
  <c r="DN234" i="24"/>
  <c r="DO216" i="24"/>
  <c r="DR216" i="24"/>
  <c r="EY216" i="24" s="1"/>
  <c r="DN182" i="25"/>
  <c r="DN69" i="25"/>
  <c r="DN93" i="24"/>
  <c r="DZ93" i="24" s="1"/>
  <c r="DN73" i="25"/>
  <c r="DN139" i="24"/>
  <c r="DX139" i="24" s="1"/>
  <c r="DN248" i="24"/>
  <c r="DN78" i="24"/>
  <c r="DZ78" i="24" s="1"/>
  <c r="DN57" i="25"/>
  <c r="DN196" i="25"/>
  <c r="DN198" i="25"/>
  <c r="DN262" i="25"/>
  <c r="DN94" i="24"/>
  <c r="DZ94" i="24" s="1"/>
  <c r="DN181" i="24"/>
  <c r="DX181" i="24" s="1"/>
  <c r="DN75" i="24"/>
  <c r="DZ75" i="24" s="1"/>
  <c r="DN168" i="24"/>
  <c r="DX168" i="24" s="1"/>
  <c r="DN165" i="24"/>
  <c r="DX165" i="24" s="1"/>
  <c r="DN131" i="24"/>
  <c r="DX131" i="24" s="1"/>
  <c r="DN113" i="24"/>
  <c r="DX113" i="24" s="1"/>
  <c r="DN237" i="24"/>
  <c r="DN116" i="24"/>
  <c r="DX116" i="24" s="1"/>
  <c r="DN291" i="24"/>
  <c r="DN273" i="24"/>
  <c r="DN312" i="24"/>
  <c r="DN254" i="24"/>
  <c r="DN27" i="24"/>
  <c r="DZ27" i="24" s="1"/>
  <c r="DN275" i="24"/>
  <c r="DN284" i="24"/>
  <c r="DN143" i="25"/>
  <c r="DN221" i="24"/>
  <c r="DN16" i="24"/>
  <c r="DZ16" i="24" s="1"/>
  <c r="DN255" i="24"/>
  <c r="DN264" i="24"/>
  <c r="DN162" i="24"/>
  <c r="DX162" i="24" s="1"/>
  <c r="DN310" i="24"/>
  <c r="DN163" i="24"/>
  <c r="DX163" i="24" s="1"/>
  <c r="DN299" i="24"/>
  <c r="DN139" i="25"/>
  <c r="DQ183" i="25"/>
  <c r="DT183" i="25" s="1"/>
  <c r="DN138" i="25"/>
  <c r="DN181" i="25"/>
  <c r="DN179" i="25"/>
  <c r="DN299" i="25"/>
  <c r="DQ73" i="25"/>
  <c r="DQ143" i="25"/>
  <c r="DT143" i="25" s="1"/>
  <c r="DQ138" i="25"/>
  <c r="DV138" i="25" s="1"/>
  <c r="DQ181" i="25"/>
  <c r="EJ181" i="25" s="1"/>
  <c r="DQ182" i="25"/>
  <c r="DV182" i="25" s="1"/>
  <c r="DN178" i="25"/>
  <c r="DN85" i="24"/>
  <c r="DX85" i="24" s="1"/>
  <c r="DN219" i="24"/>
  <c r="DN206" i="24"/>
  <c r="DX206" i="24" s="1"/>
  <c r="DN179" i="24"/>
  <c r="DX179" i="24" s="1"/>
  <c r="DN254" i="25"/>
  <c r="DQ254" i="25"/>
  <c r="DQ137" i="25"/>
  <c r="FA137" i="25" s="1"/>
  <c r="DN137" i="25"/>
  <c r="DW97" i="25"/>
  <c r="EB68" i="25"/>
  <c r="EA68" i="25"/>
  <c r="DN227" i="25"/>
  <c r="DQ227" i="25"/>
  <c r="EB195" i="25"/>
  <c r="EA195" i="25"/>
  <c r="DN115" i="24"/>
  <c r="DX115" i="24" s="1"/>
  <c r="DN95" i="24"/>
  <c r="DZ95" i="24" s="1"/>
  <c r="DN301" i="24"/>
  <c r="DN69" i="24"/>
  <c r="DX69" i="24" s="1"/>
  <c r="DN78" i="25"/>
  <c r="DQ78" i="25"/>
  <c r="DW200" i="25"/>
  <c r="DN196" i="24"/>
  <c r="DX196" i="24" s="1"/>
  <c r="DN169" i="24"/>
  <c r="DX169" i="24" s="1"/>
  <c r="DN243" i="24"/>
  <c r="DN151" i="24"/>
  <c r="DX151" i="24" s="1"/>
  <c r="DN278" i="24"/>
  <c r="DN149" i="24"/>
  <c r="DX149" i="24" s="1"/>
  <c r="DN208" i="24"/>
  <c r="DX208" i="24" s="1"/>
  <c r="DN103" i="25"/>
  <c r="DQ103" i="25"/>
  <c r="DT103" i="25" s="1"/>
  <c r="DN34" i="25"/>
  <c r="DQ34" i="25"/>
  <c r="DN266" i="25"/>
  <c r="DQ266" i="25"/>
  <c r="DN296" i="25"/>
  <c r="DQ296" i="25"/>
  <c r="DQ263" i="25"/>
  <c r="DN263" i="25"/>
  <c r="DQ81" i="25"/>
  <c r="DN81" i="25"/>
  <c r="DN184" i="24"/>
  <c r="DX184" i="24" s="1"/>
  <c r="DN97" i="24"/>
  <c r="DZ97" i="24" s="1"/>
  <c r="DQ241" i="25"/>
  <c r="DN241" i="25"/>
  <c r="DN176" i="24"/>
  <c r="DX176" i="24" s="1"/>
  <c r="DN130" i="24"/>
  <c r="DX130" i="24" s="1"/>
  <c r="DN76" i="24"/>
  <c r="DZ76" i="24" s="1"/>
  <c r="DN117" i="24"/>
  <c r="DX117" i="24" s="1"/>
  <c r="DN191" i="24"/>
  <c r="DX191" i="24" s="1"/>
  <c r="DN198" i="24"/>
  <c r="DX198" i="24" s="1"/>
  <c r="DN306" i="24"/>
  <c r="DN74" i="24"/>
  <c r="DX74" i="24" s="1"/>
  <c r="DN217" i="24"/>
  <c r="DN84" i="24"/>
  <c r="DX84" i="24" s="1"/>
  <c r="DN256" i="24"/>
  <c r="DN135" i="24"/>
  <c r="DX135" i="24" s="1"/>
  <c r="DN205" i="24"/>
  <c r="DX205" i="24" s="1"/>
  <c r="DW174" i="25"/>
  <c r="DW131" i="25"/>
  <c r="EB118" i="25"/>
  <c r="EA118" i="25"/>
  <c r="DN156" i="24"/>
  <c r="DX156" i="24" s="1"/>
  <c r="DN257" i="25"/>
  <c r="DQ257" i="25"/>
  <c r="EB102" i="25"/>
  <c r="EA102" i="25"/>
  <c r="DQ43" i="25"/>
  <c r="DN43" i="25"/>
  <c r="DQ121" i="25"/>
  <c r="FA121" i="25" s="1"/>
  <c r="DN121" i="25"/>
  <c r="DN312" i="25"/>
  <c r="DQ312" i="25"/>
  <c r="DN272" i="25"/>
  <c r="DQ272" i="25"/>
  <c r="DN91" i="24"/>
  <c r="DZ91" i="24" s="1"/>
  <c r="DW180" i="25"/>
  <c r="DW95" i="25"/>
  <c r="DQ224" i="25"/>
  <c r="DN224" i="25"/>
  <c r="DQ119" i="25"/>
  <c r="EJ119" i="25" s="1"/>
  <c r="DN119" i="25"/>
  <c r="DQ193" i="25"/>
  <c r="EJ193" i="25" s="1"/>
  <c r="DN193" i="25"/>
  <c r="DN75" i="25"/>
  <c r="DQ75" i="25"/>
  <c r="DQ299" i="25"/>
  <c r="DQ244" i="25"/>
  <c r="DN244" i="25"/>
  <c r="DW103" i="25"/>
  <c r="DW178" i="25"/>
  <c r="DW51" i="25"/>
  <c r="DN13" i="25"/>
  <c r="DQ13" i="25"/>
  <c r="EB10" i="25"/>
  <c r="EA10" i="25"/>
  <c r="DW91" i="25"/>
  <c r="DN237" i="25"/>
  <c r="DQ237" i="25"/>
  <c r="DN242" i="25"/>
  <c r="DQ242" i="25"/>
  <c r="EB16" i="25"/>
  <c r="EA16" i="25"/>
  <c r="DQ315" i="25"/>
  <c r="DN315" i="25"/>
  <c r="DQ187" i="25"/>
  <c r="EY187" i="25" s="1"/>
  <c r="DN187" i="25"/>
  <c r="EB31" i="25"/>
  <c r="EA31" i="25"/>
  <c r="DW89" i="25"/>
  <c r="DN85" i="25"/>
  <c r="DQ85" i="25"/>
  <c r="DQ148" i="25"/>
  <c r="DN148" i="25"/>
  <c r="DQ35" i="25"/>
  <c r="DN35" i="25"/>
  <c r="DQ144" i="25"/>
  <c r="DN144" i="25"/>
  <c r="DN286" i="25"/>
  <c r="DQ286" i="25"/>
  <c r="DN282" i="25"/>
  <c r="DQ282" i="25"/>
  <c r="DN159" i="25"/>
  <c r="DQ159" i="25"/>
  <c r="DQ151" i="25"/>
  <c r="DN151" i="25"/>
  <c r="EB146" i="25"/>
  <c r="EA146" i="25"/>
  <c r="DQ206" i="25"/>
  <c r="DT206" i="25" s="1"/>
  <c r="DW9" i="25"/>
  <c r="DW143" i="25"/>
  <c r="DQ316" i="25"/>
  <c r="DN316" i="25"/>
  <c r="EB46" i="25"/>
  <c r="EA46" i="25"/>
  <c r="DN72" i="25"/>
  <c r="DQ72" i="25"/>
  <c r="DN171" i="25"/>
  <c r="DQ171" i="25"/>
  <c r="EY171" i="25" s="1"/>
  <c r="DQ116" i="25"/>
  <c r="DN116" i="25"/>
  <c r="EB142" i="25"/>
  <c r="EA142" i="25"/>
  <c r="DQ69" i="25"/>
  <c r="DQ21" i="25"/>
  <c r="DN21" i="25"/>
  <c r="DW56" i="25"/>
  <c r="DW45" i="25"/>
  <c r="DN268" i="25"/>
  <c r="DQ268" i="25"/>
  <c r="DQ139" i="25"/>
  <c r="EJ139" i="25" s="1"/>
  <c r="DW185" i="25"/>
  <c r="DW171" i="25"/>
  <c r="DN113" i="25"/>
  <c r="DQ113" i="25"/>
  <c r="DQ174" i="25"/>
  <c r="FA174" i="25" s="1"/>
  <c r="DN174" i="25"/>
  <c r="DN280" i="25"/>
  <c r="DQ280" i="25"/>
  <c r="DQ168" i="25"/>
  <c r="FA168" i="25" s="1"/>
  <c r="DN168" i="25"/>
  <c r="EB135" i="25"/>
  <c r="EA135" i="25"/>
  <c r="DQ198" i="25"/>
  <c r="DT198" i="25" s="1"/>
  <c r="DQ24" i="25"/>
  <c r="DN24" i="25"/>
  <c r="DN126" i="25"/>
  <c r="DQ126" i="25"/>
  <c r="EJ126" i="25" s="1"/>
  <c r="EB124" i="25"/>
  <c r="EA124" i="25"/>
  <c r="DQ186" i="25"/>
  <c r="DN186" i="25"/>
  <c r="DN210" i="24"/>
  <c r="DX210" i="24" s="1"/>
  <c r="EB7" i="25"/>
  <c r="EA7" i="25"/>
  <c r="DN59" i="25"/>
  <c r="DQ59" i="25"/>
  <c r="DN202" i="25"/>
  <c r="DQ202" i="25"/>
  <c r="DT202" i="25" s="1"/>
  <c r="EB183" i="25"/>
  <c r="EA183" i="25"/>
  <c r="DW59" i="25"/>
  <c r="DN95" i="25"/>
  <c r="DQ95" i="25"/>
  <c r="DT95" i="25" s="1"/>
  <c r="DW189" i="25"/>
  <c r="DQ140" i="25"/>
  <c r="DN140" i="25"/>
  <c r="DN265" i="25"/>
  <c r="DQ265" i="25"/>
  <c r="DQ16" i="25"/>
  <c r="DN16" i="25"/>
  <c r="EB69" i="25"/>
  <c r="EA69" i="25"/>
  <c r="DN20" i="25"/>
  <c r="DQ20" i="25"/>
  <c r="DN302" i="25"/>
  <c r="DQ302" i="25"/>
  <c r="DQ220" i="25"/>
  <c r="DN220" i="25"/>
  <c r="DN157" i="25"/>
  <c r="DQ157" i="25"/>
  <c r="EJ157" i="25" s="1"/>
  <c r="DN189" i="25"/>
  <c r="DQ189" i="25"/>
  <c r="FA189" i="25" s="1"/>
  <c r="DQ86" i="25"/>
  <c r="DN86" i="25"/>
  <c r="DN163" i="25"/>
  <c r="DQ163" i="25"/>
  <c r="DN48" i="25"/>
  <c r="DQ48" i="25"/>
  <c r="DQ230" i="25"/>
  <c r="DN230" i="25"/>
  <c r="DN259" i="25"/>
  <c r="DQ259" i="25"/>
  <c r="DN175" i="25"/>
  <c r="DQ175" i="25"/>
  <c r="EJ175" i="25" s="1"/>
  <c r="DN123" i="25"/>
  <c r="DQ123" i="25"/>
  <c r="DQ49" i="25"/>
  <c r="DN49" i="25"/>
  <c r="DN150" i="25"/>
  <c r="DQ150" i="25"/>
  <c r="DQ105" i="25"/>
  <c r="DT105" i="25" s="1"/>
  <c r="DN105" i="25"/>
  <c r="DQ46" i="25"/>
  <c r="DN46" i="25"/>
  <c r="DN247" i="25"/>
  <c r="DQ247" i="25"/>
  <c r="EB71" i="25"/>
  <c r="EA71" i="25"/>
  <c r="DW88" i="25"/>
  <c r="EB62" i="25"/>
  <c r="EA62" i="25"/>
  <c r="DW35" i="25"/>
  <c r="EB166" i="25"/>
  <c r="EA166" i="25"/>
  <c r="EB153" i="25"/>
  <c r="EA153" i="25"/>
  <c r="DW96" i="25"/>
  <c r="EB197" i="25"/>
  <c r="EA197" i="25"/>
  <c r="EB133" i="25"/>
  <c r="EA133" i="25"/>
  <c r="EB159" i="25"/>
  <c r="EA159" i="25"/>
  <c r="DN62" i="25"/>
  <c r="DQ62" i="25"/>
  <c r="DW80" i="25"/>
  <c r="DQ314" i="25"/>
  <c r="DN314" i="25"/>
  <c r="DW168" i="25"/>
  <c r="DW170" i="25"/>
  <c r="EB54" i="25"/>
  <c r="EA54" i="25"/>
  <c r="DN152" i="25"/>
  <c r="DQ152" i="25"/>
  <c r="DN221" i="25"/>
  <c r="DQ221" i="25"/>
  <c r="DQ246" i="25"/>
  <c r="DN246" i="25"/>
  <c r="DW164" i="25"/>
  <c r="DN131" i="25"/>
  <c r="DQ131" i="25"/>
  <c r="DN285" i="25"/>
  <c r="DQ285" i="25"/>
  <c r="DW77" i="25"/>
  <c r="EB39" i="25"/>
  <c r="EA39" i="25"/>
  <c r="DQ10" i="25"/>
  <c r="DN10" i="25"/>
  <c r="EB8" i="25"/>
  <c r="EA8" i="25"/>
  <c r="EB167" i="25"/>
  <c r="EA167" i="25"/>
  <c r="DW29" i="25"/>
  <c r="DW122" i="25"/>
  <c r="DW65" i="25"/>
  <c r="EB84" i="25"/>
  <c r="EA84" i="25"/>
  <c r="DW49" i="25"/>
  <c r="DW177" i="25"/>
  <c r="DW13" i="25"/>
  <c r="DQ243" i="25"/>
  <c r="DN243" i="25"/>
  <c r="DN261" i="25"/>
  <c r="DQ261" i="25"/>
  <c r="DN199" i="25"/>
  <c r="DQ199" i="25"/>
  <c r="DT199" i="25" s="1"/>
  <c r="DW23" i="25"/>
  <c r="DW12" i="25"/>
  <c r="EB154" i="25"/>
  <c r="EA154" i="25"/>
  <c r="EB160" i="25"/>
  <c r="EA160" i="25"/>
  <c r="DW48" i="25"/>
  <c r="DN274" i="25"/>
  <c r="DQ274" i="25"/>
  <c r="EB206" i="25"/>
  <c r="EA206" i="25"/>
  <c r="EB67" i="25"/>
  <c r="EA67" i="25"/>
  <c r="DQ99" i="25"/>
  <c r="DT99" i="25" s="1"/>
  <c r="DN99" i="25"/>
  <c r="DW175" i="25"/>
  <c r="DN38" i="25"/>
  <c r="DQ38" i="25"/>
  <c r="DN61" i="25"/>
  <c r="DQ61" i="25"/>
  <c r="EB73" i="25"/>
  <c r="EA73" i="25"/>
  <c r="EB207" i="25"/>
  <c r="EA207" i="25"/>
  <c r="DN162" i="25"/>
  <c r="DQ162" i="25"/>
  <c r="EB130" i="25"/>
  <c r="EA130" i="25"/>
  <c r="DW105" i="25"/>
  <c r="DN79" i="25"/>
  <c r="DQ79" i="25"/>
  <c r="DQ311" i="25"/>
  <c r="DN311" i="25"/>
  <c r="DW38" i="25"/>
  <c r="DN170" i="25"/>
  <c r="DQ170" i="25"/>
  <c r="FA170" i="25" s="1"/>
  <c r="DN201" i="25"/>
  <c r="DQ201" i="25"/>
  <c r="DT201" i="25" s="1"/>
  <c r="DW145" i="25"/>
  <c r="EB55" i="25"/>
  <c r="EA55" i="25"/>
  <c r="DN278" i="25"/>
  <c r="DQ278" i="25"/>
  <c r="DW139" i="25"/>
  <c r="DQ71" i="25"/>
  <c r="DN71" i="25"/>
  <c r="DQ117" i="25"/>
  <c r="DN117" i="25"/>
  <c r="DN210" i="25"/>
  <c r="DQ210" i="25"/>
  <c r="DT210" i="25" s="1"/>
  <c r="DN234" i="25"/>
  <c r="DQ234" i="25"/>
  <c r="DN295" i="25"/>
  <c r="DQ295" i="25"/>
  <c r="EB53" i="25"/>
  <c r="EA53" i="25"/>
  <c r="EB30" i="25"/>
  <c r="EA30" i="25"/>
  <c r="DQ96" i="25"/>
  <c r="DT96" i="25" s="1"/>
  <c r="DN96" i="25"/>
  <c r="DN273" i="25"/>
  <c r="DQ273" i="25"/>
  <c r="EB161" i="25"/>
  <c r="EA161" i="25"/>
  <c r="DQ57" i="25"/>
  <c r="EB50" i="25"/>
  <c r="EA50" i="25"/>
  <c r="EB165" i="25"/>
  <c r="EA165" i="25"/>
  <c r="DN233" i="25"/>
  <c r="DQ233" i="25"/>
  <c r="DW190" i="25"/>
  <c r="DW158" i="25"/>
  <c r="DQ283" i="25"/>
  <c r="DN283" i="25"/>
  <c r="DN200" i="25"/>
  <c r="DQ200" i="25"/>
  <c r="DT200" i="25" s="1"/>
  <c r="DN39" i="25"/>
  <c r="DQ39" i="25"/>
  <c r="DQ209" i="25"/>
  <c r="DT209" i="25" s="1"/>
  <c r="DN209" i="25"/>
  <c r="DN245" i="25"/>
  <c r="DQ245" i="25"/>
  <c r="DQ303" i="25"/>
  <c r="DN303" i="25"/>
  <c r="EB176" i="25"/>
  <c r="EA176" i="25"/>
  <c r="DQ14" i="25"/>
  <c r="DN14" i="25"/>
  <c r="DQ191" i="25"/>
  <c r="EJ191" i="25" s="1"/>
  <c r="DN191" i="25"/>
  <c r="DN120" i="25"/>
  <c r="DQ120" i="25"/>
  <c r="DW111" i="25"/>
  <c r="DW121" i="25"/>
  <c r="DN271" i="25"/>
  <c r="DQ271" i="25"/>
  <c r="DN68" i="25"/>
  <c r="DQ68" i="25"/>
  <c r="DN184" i="25"/>
  <c r="DQ184" i="25"/>
  <c r="DQ287" i="25"/>
  <c r="DN287" i="25"/>
  <c r="DQ195" i="25"/>
  <c r="DT195" i="25" s="1"/>
  <c r="DN195" i="25"/>
  <c r="DN309" i="25"/>
  <c r="DQ309" i="25"/>
  <c r="DW203" i="25"/>
  <c r="DN98" i="25"/>
  <c r="DQ98" i="25"/>
  <c r="DT98" i="25" s="1"/>
  <c r="DW187" i="25"/>
  <c r="DQ111" i="25"/>
  <c r="DN111" i="25"/>
  <c r="DN256" i="25"/>
  <c r="DQ256" i="25"/>
  <c r="DQ51" i="25"/>
  <c r="DN51" i="25"/>
  <c r="EB196" i="25"/>
  <c r="EA196" i="25"/>
  <c r="DN67" i="25"/>
  <c r="DQ67" i="25"/>
  <c r="DQ84" i="25"/>
  <c r="DN84" i="25"/>
  <c r="DW157" i="25"/>
  <c r="DN225" i="25"/>
  <c r="DQ225" i="25"/>
  <c r="DQ128" i="25"/>
  <c r="EJ128" i="25" s="1"/>
  <c r="DN128" i="25"/>
  <c r="DN298" i="25"/>
  <c r="DQ298" i="25"/>
  <c r="DN276" i="25"/>
  <c r="DQ276" i="25"/>
  <c r="DQ275" i="25"/>
  <c r="DN275" i="25"/>
  <c r="DN173" i="25"/>
  <c r="DQ173" i="25"/>
  <c r="EJ173" i="25" s="1"/>
  <c r="DN87" i="25"/>
  <c r="DQ87" i="25"/>
  <c r="DQ36" i="25"/>
  <c r="DN36" i="25"/>
  <c r="DQ55" i="25"/>
  <c r="DN55" i="25"/>
  <c r="EB148" i="25"/>
  <c r="EA148" i="25"/>
  <c r="DN142" i="25"/>
  <c r="DQ142" i="25"/>
  <c r="DW60" i="25"/>
  <c r="DW64" i="25"/>
  <c r="DW128" i="25"/>
  <c r="DQ300" i="25"/>
  <c r="DN300" i="25"/>
  <c r="DQ252" i="25"/>
  <c r="DN252" i="25"/>
  <c r="DN304" i="25"/>
  <c r="DQ304" i="25"/>
  <c r="DW66" i="25"/>
  <c r="DQ18" i="25"/>
  <c r="DN18" i="25"/>
  <c r="EB115" i="25"/>
  <c r="EA115" i="25"/>
  <c r="DN19" i="25"/>
  <c r="DQ19" i="25"/>
  <c r="EB21" i="25"/>
  <c r="EA21" i="25"/>
  <c r="DW78" i="25"/>
  <c r="DN53" i="25"/>
  <c r="DQ53" i="25"/>
  <c r="DN66" i="25"/>
  <c r="DQ66" i="25"/>
  <c r="EB101" i="25"/>
  <c r="EA101" i="25"/>
  <c r="EB120" i="25"/>
  <c r="EA120" i="25"/>
  <c r="DW179" i="25"/>
  <c r="DQ178" i="25"/>
  <c r="DQ29" i="25"/>
  <c r="DN29" i="25"/>
  <c r="DN11" i="25"/>
  <c r="DQ11" i="25"/>
  <c r="DN33" i="25"/>
  <c r="DQ33" i="25"/>
  <c r="DQ26" i="25"/>
  <c r="DN26" i="25"/>
  <c r="DN293" i="25"/>
  <c r="DQ293" i="25"/>
  <c r="DW126" i="25"/>
  <c r="DQ313" i="25"/>
  <c r="DN313" i="25"/>
  <c r="DQ58" i="25"/>
  <c r="DN58" i="25"/>
  <c r="DW43" i="25"/>
  <c r="DQ250" i="25"/>
  <c r="DN250" i="25"/>
  <c r="DW181" i="25"/>
  <c r="DW194" i="25"/>
  <c r="DW14" i="25"/>
  <c r="DW37" i="25"/>
  <c r="DN134" i="25"/>
  <c r="DQ134" i="25"/>
  <c r="DN12" i="25"/>
  <c r="DQ12" i="25"/>
  <c r="DN240" i="25"/>
  <c r="DQ240" i="25"/>
  <c r="DN236" i="25"/>
  <c r="DQ236" i="25"/>
  <c r="DQ122" i="25"/>
  <c r="EY122" i="25" s="1"/>
  <c r="DN122" i="25"/>
  <c r="DN41" i="25"/>
  <c r="DQ41" i="25"/>
  <c r="DN249" i="25"/>
  <c r="DQ249" i="25"/>
  <c r="DN70" i="25"/>
  <c r="DQ70" i="25"/>
  <c r="EB134" i="25"/>
  <c r="EA134" i="25"/>
  <c r="DQ149" i="25"/>
  <c r="DN149" i="25"/>
  <c r="DN235" i="25"/>
  <c r="DQ235" i="25"/>
  <c r="EB163" i="25"/>
  <c r="EA163" i="25"/>
  <c r="EB63" i="25"/>
  <c r="EA63" i="25"/>
  <c r="DN17" i="25"/>
  <c r="DQ17" i="25"/>
  <c r="DQ255" i="25"/>
  <c r="DN255" i="25"/>
  <c r="EB61" i="25"/>
  <c r="EA61" i="25"/>
  <c r="DQ88" i="25"/>
  <c r="DN88" i="25"/>
  <c r="DW127" i="25"/>
  <c r="DN83" i="25"/>
  <c r="DQ83" i="25"/>
  <c r="EB41" i="25"/>
  <c r="EA41" i="25"/>
  <c r="DN9" i="25"/>
  <c r="DQ9" i="25"/>
  <c r="DN31" i="25"/>
  <c r="DQ31" i="25"/>
  <c r="EB123" i="25"/>
  <c r="EA123" i="25"/>
  <c r="DQ179" i="25"/>
  <c r="EY179" i="25" s="1"/>
  <c r="EB188" i="25"/>
  <c r="EA188" i="25"/>
  <c r="DQ204" i="25"/>
  <c r="DT204" i="25" s="1"/>
  <c r="DN204" i="25"/>
  <c r="EB117" i="25"/>
  <c r="EA117" i="25"/>
  <c r="DQ155" i="25"/>
  <c r="DN155" i="25"/>
  <c r="DQ196" i="25"/>
  <c r="DT196" i="25" s="1"/>
  <c r="DW173" i="25"/>
  <c r="DN30" i="25"/>
  <c r="DQ30" i="25"/>
  <c r="DQ115" i="25"/>
  <c r="DN115" i="25"/>
  <c r="DQ50" i="25"/>
  <c r="DN50" i="25"/>
  <c r="DN60" i="25"/>
  <c r="DQ60" i="25"/>
  <c r="DN251" i="25"/>
  <c r="DQ251" i="25"/>
  <c r="DN64" i="25"/>
  <c r="DQ64" i="25"/>
  <c r="DW138" i="25"/>
  <c r="DN294" i="25"/>
  <c r="DQ294" i="25"/>
  <c r="DQ6" i="25"/>
  <c r="DN6" i="25"/>
  <c r="DN197" i="25"/>
  <c r="DQ197" i="25"/>
  <c r="DT197" i="25" s="1"/>
  <c r="DQ124" i="25"/>
  <c r="DN124" i="25"/>
  <c r="DN205" i="25"/>
  <c r="DQ205" i="25"/>
  <c r="DT205" i="25" s="1"/>
  <c r="DN176" i="25"/>
  <c r="DQ176" i="25"/>
  <c r="DN7" i="25"/>
  <c r="DQ7" i="25"/>
  <c r="DW15" i="25"/>
  <c r="DW141" i="25"/>
  <c r="DN185" i="25"/>
  <c r="DQ185" i="25"/>
  <c r="DQ218" i="25"/>
  <c r="DN218" i="25"/>
  <c r="DN222" i="25"/>
  <c r="DQ222" i="25"/>
  <c r="DQ238" i="25"/>
  <c r="DN238" i="25"/>
  <c r="EB205" i="25"/>
  <c r="EA205" i="25"/>
  <c r="DN167" i="25"/>
  <c r="DQ167" i="25"/>
  <c r="DN190" i="25"/>
  <c r="DQ190" i="25"/>
  <c r="FA190" i="25" s="1"/>
  <c r="DQ42" i="25"/>
  <c r="DN42" i="25"/>
  <c r="DW58" i="25"/>
  <c r="DQ284" i="25"/>
  <c r="DN284" i="25"/>
  <c r="EB44" i="25"/>
  <c r="EA44" i="25"/>
  <c r="DW24" i="25"/>
  <c r="DN180" i="25"/>
  <c r="DQ92" i="25"/>
  <c r="DT92" i="25" s="1"/>
  <c r="DN92" i="25"/>
  <c r="DW42" i="25"/>
  <c r="EB76" i="25"/>
  <c r="EA76" i="25"/>
  <c r="DN37" i="25"/>
  <c r="DQ37" i="25"/>
  <c r="DW119" i="25"/>
  <c r="DW137" i="25"/>
  <c r="DW92" i="25"/>
  <c r="DQ76" i="25"/>
  <c r="DN76" i="25"/>
  <c r="EA110" i="25"/>
  <c r="EB110" i="25"/>
  <c r="DW90" i="25"/>
  <c r="DQ305" i="25"/>
  <c r="DN305" i="25"/>
  <c r="EB140" i="25"/>
  <c r="EA140" i="25"/>
  <c r="EB20" i="25"/>
  <c r="EA20" i="25"/>
  <c r="EB32" i="25"/>
  <c r="EA32" i="25"/>
  <c r="DW156" i="25"/>
  <c r="DQ310" i="25"/>
  <c r="DN310" i="25"/>
  <c r="DW86" i="25"/>
  <c r="DQ125" i="25"/>
  <c r="DN125" i="25"/>
  <c r="EB182" i="25"/>
  <c r="EA182" i="25"/>
  <c r="EB204" i="25"/>
  <c r="EA204" i="25"/>
  <c r="DQ207" i="25"/>
  <c r="DT207" i="25" s="1"/>
  <c r="DN207" i="25"/>
  <c r="DN260" i="25"/>
  <c r="DQ260" i="25"/>
  <c r="DN239" i="25"/>
  <c r="DQ239" i="25"/>
  <c r="DQ47" i="25"/>
  <c r="DN47" i="25"/>
  <c r="DW79" i="25"/>
  <c r="DN40" i="25"/>
  <c r="DQ40" i="25"/>
  <c r="DQ208" i="25"/>
  <c r="DT208" i="25" s="1"/>
  <c r="DN208" i="25"/>
  <c r="EB201" i="25"/>
  <c r="EA201" i="25"/>
  <c r="EB149" i="25"/>
  <c r="EA149" i="25"/>
  <c r="EB150" i="25"/>
  <c r="EA150" i="25"/>
  <c r="DQ133" i="25"/>
  <c r="DN133" i="25"/>
  <c r="DN52" i="25"/>
  <c r="DQ52" i="25"/>
  <c r="DQ28" i="25"/>
  <c r="DN28" i="25"/>
  <c r="DN45" i="25"/>
  <c r="DQ45" i="25"/>
  <c r="DW47" i="25"/>
  <c r="EB144" i="25"/>
  <c r="EA144" i="25"/>
  <c r="DW27" i="25"/>
  <c r="DW40" i="25"/>
  <c r="EB6" i="25"/>
  <c r="EA6" i="25"/>
  <c r="EB57" i="25"/>
  <c r="EA57" i="25"/>
  <c r="EB28" i="25"/>
  <c r="EA28" i="25"/>
  <c r="DQ94" i="25"/>
  <c r="DT94" i="25" s="1"/>
  <c r="DN94" i="25"/>
  <c r="EB162" i="25"/>
  <c r="EA162" i="25"/>
  <c r="DN15" i="25"/>
  <c r="DQ15" i="25"/>
  <c r="DN158" i="25"/>
  <c r="DQ158" i="25"/>
  <c r="EJ158" i="25" s="1"/>
  <c r="DQ141" i="25"/>
  <c r="DN141" i="25"/>
  <c r="DN270" i="25"/>
  <c r="DQ270" i="25"/>
  <c r="DW129" i="25"/>
  <c r="EB186" i="25"/>
  <c r="EA186" i="25"/>
  <c r="EB116" i="25"/>
  <c r="EA116" i="25"/>
  <c r="DN172" i="25"/>
  <c r="DQ172" i="25"/>
  <c r="DN288" i="25"/>
  <c r="DQ288" i="25"/>
  <c r="DQ102" i="25"/>
  <c r="DT102" i="25" s="1"/>
  <c r="DN102" i="25"/>
  <c r="EB75" i="25"/>
  <c r="EA75" i="25"/>
  <c r="DN118" i="25"/>
  <c r="DQ118" i="25"/>
  <c r="EB113" i="25"/>
  <c r="EA113" i="25"/>
  <c r="EB209" i="25"/>
  <c r="EA209" i="25"/>
  <c r="DQ281" i="25"/>
  <c r="DN281" i="25"/>
  <c r="EB104" i="25"/>
  <c r="EA104" i="25"/>
  <c r="DN91" i="25"/>
  <c r="DQ91" i="25"/>
  <c r="DT91" i="25" s="1"/>
  <c r="DQ232" i="25"/>
  <c r="DN232" i="25"/>
  <c r="DW33" i="25"/>
  <c r="DQ82" i="25"/>
  <c r="DN82" i="25"/>
  <c r="DW147" i="25"/>
  <c r="DW199" i="25"/>
  <c r="DQ154" i="25"/>
  <c r="DN154" i="25"/>
  <c r="DN160" i="25"/>
  <c r="DQ160" i="25"/>
  <c r="DQ63" i="25"/>
  <c r="DN63" i="25"/>
  <c r="EB184" i="25"/>
  <c r="EA184" i="25"/>
  <c r="DQ192" i="25"/>
  <c r="DN192" i="25"/>
  <c r="DW169" i="25"/>
  <c r="DW25" i="25"/>
  <c r="EB82" i="25"/>
  <c r="EA82" i="25"/>
  <c r="DQ203" i="25"/>
  <c r="DT203" i="25" s="1"/>
  <c r="DN203" i="25"/>
  <c r="DQ65" i="25"/>
  <c r="DN65" i="25"/>
  <c r="DW87" i="25"/>
  <c r="DN100" i="25"/>
  <c r="DQ100" i="25"/>
  <c r="DT100" i="25" s="1"/>
  <c r="DQ248" i="25"/>
  <c r="DN248" i="25"/>
  <c r="DW208" i="25"/>
  <c r="DQ279" i="25"/>
  <c r="DN279" i="25"/>
  <c r="DN177" i="25"/>
  <c r="DQ177" i="25"/>
  <c r="EJ177" i="25" s="1"/>
  <c r="DQ188" i="25"/>
  <c r="DN188" i="25"/>
  <c r="DQ146" i="25"/>
  <c r="DN146" i="25"/>
  <c r="DN277" i="25"/>
  <c r="DQ277" i="25"/>
  <c r="DN292" i="25"/>
  <c r="DQ292" i="25"/>
  <c r="DN27" i="25"/>
  <c r="DQ27" i="25"/>
  <c r="DW70" i="25"/>
  <c r="DN253" i="25"/>
  <c r="DQ253" i="25"/>
  <c r="EB22" i="25"/>
  <c r="EA22" i="25"/>
  <c r="DQ145" i="25"/>
  <c r="EJ145" i="25" s="1"/>
  <c r="DN145" i="25"/>
  <c r="EB125" i="25"/>
  <c r="EA125" i="25"/>
  <c r="DW17" i="25"/>
  <c r="DQ56" i="25"/>
  <c r="DN56" i="25"/>
  <c r="DW99" i="25"/>
  <c r="DN54" i="25"/>
  <c r="DQ54" i="25"/>
  <c r="DQ93" i="25"/>
  <c r="DT93" i="25" s="1"/>
  <c r="DN93" i="25"/>
  <c r="DQ161" i="25"/>
  <c r="DN161" i="25"/>
  <c r="EB52" i="25"/>
  <c r="EA52" i="25"/>
  <c r="DN223" i="25"/>
  <c r="DQ223" i="25"/>
  <c r="EB151" i="25"/>
  <c r="EA151" i="25"/>
  <c r="DN165" i="25"/>
  <c r="DQ165" i="25"/>
  <c r="EB114" i="25"/>
  <c r="EA114" i="25"/>
  <c r="DQ164" i="25"/>
  <c r="DN164" i="25"/>
  <c r="DQ306" i="25"/>
  <c r="DN306" i="25"/>
  <c r="DQ228" i="25"/>
  <c r="DN228" i="25"/>
  <c r="DW72" i="25"/>
  <c r="DQ290" i="25"/>
  <c r="DN290" i="25"/>
  <c r="DQ136" i="25"/>
  <c r="DN136" i="25"/>
  <c r="EB94" i="25"/>
  <c r="EA94" i="25"/>
  <c r="DQ262" i="25"/>
  <c r="DN269" i="25"/>
  <c r="DQ269" i="25"/>
  <c r="DW193" i="25"/>
  <c r="DQ129" i="25"/>
  <c r="DN129" i="25"/>
  <c r="DW136" i="25"/>
  <c r="DQ104" i="25"/>
  <c r="DT104" i="25" s="1"/>
  <c r="DN104" i="25"/>
  <c r="EB19" i="25"/>
  <c r="EA19" i="25"/>
  <c r="DQ147" i="25"/>
  <c r="EJ147" i="25" s="1"/>
  <c r="DN147" i="25"/>
  <c r="DN97" i="25"/>
  <c r="DQ97" i="25"/>
  <c r="DT97" i="25" s="1"/>
  <c r="EB202" i="25"/>
  <c r="EA202" i="25"/>
  <c r="DW34" i="25"/>
  <c r="DQ308" i="25"/>
  <c r="DN308" i="25"/>
  <c r="DN90" i="25"/>
  <c r="DQ90" i="25"/>
  <c r="DQ258" i="25"/>
  <c r="DN258" i="25"/>
  <c r="EB26" i="25"/>
  <c r="EA26" i="25"/>
  <c r="EB192" i="25"/>
  <c r="EA192" i="25"/>
  <c r="DQ169" i="25"/>
  <c r="DN169" i="25"/>
  <c r="DW81" i="25"/>
  <c r="DQ25" i="25"/>
  <c r="DN25" i="25"/>
  <c r="DW191" i="25"/>
  <c r="DN267" i="25"/>
  <c r="DQ267" i="25"/>
  <c r="DN156" i="25"/>
  <c r="DQ156" i="25"/>
  <c r="DN23" i="25"/>
  <c r="DQ23" i="25"/>
  <c r="DN89" i="25"/>
  <c r="DQ89" i="25"/>
  <c r="DN130" i="25"/>
  <c r="DQ130" i="25"/>
  <c r="EB198" i="25"/>
  <c r="EA198" i="25"/>
  <c r="DQ194" i="25"/>
  <c r="DT194" i="25" s="1"/>
  <c r="DN194" i="25"/>
  <c r="DW98" i="25"/>
  <c r="DN289" i="25"/>
  <c r="DQ289" i="25"/>
  <c r="DN22" i="25"/>
  <c r="DQ22" i="25"/>
  <c r="DQ297" i="25"/>
  <c r="DN297" i="25"/>
  <c r="DN264" i="25"/>
  <c r="DQ264" i="25"/>
  <c r="DQ32" i="25"/>
  <c r="DN32" i="25"/>
  <c r="DN166" i="25"/>
  <c r="DQ166" i="25"/>
  <c r="DW100" i="25"/>
  <c r="DQ153" i="25"/>
  <c r="DN153" i="25"/>
  <c r="DN301" i="25"/>
  <c r="DQ301" i="25"/>
  <c r="EB85" i="25"/>
  <c r="EA85" i="25"/>
  <c r="DN291" i="25"/>
  <c r="DQ291" i="25"/>
  <c r="DW210" i="25"/>
  <c r="DW83" i="25"/>
  <c r="DN217" i="25"/>
  <c r="DQ217" i="25"/>
  <c r="DQ307" i="25"/>
  <c r="DN307" i="25"/>
  <c r="EB36" i="25"/>
  <c r="EA36" i="25"/>
  <c r="DN229" i="25"/>
  <c r="DQ229" i="25"/>
  <c r="DQ74" i="25"/>
  <c r="DN74" i="25"/>
  <c r="EB172" i="25"/>
  <c r="EA172" i="25"/>
  <c r="EB155" i="25"/>
  <c r="EA155" i="25"/>
  <c r="DQ226" i="25"/>
  <c r="DN226" i="25"/>
  <c r="DN231" i="25"/>
  <c r="DQ231" i="25"/>
  <c r="DQ132" i="25"/>
  <c r="DN132" i="25"/>
  <c r="DQ127" i="25"/>
  <c r="FA127" i="25" s="1"/>
  <c r="DQ135" i="25"/>
  <c r="DN135" i="25"/>
  <c r="DW93" i="25"/>
  <c r="DQ77" i="25"/>
  <c r="DN77" i="25"/>
  <c r="DQ101" i="25"/>
  <c r="DT101" i="25" s="1"/>
  <c r="DN101" i="25"/>
  <c r="DW74" i="25"/>
  <c r="DQ114" i="25"/>
  <c r="DN114" i="25"/>
  <c r="DN80" i="25"/>
  <c r="DQ80" i="25"/>
  <c r="EB132" i="25"/>
  <c r="EA132" i="25"/>
  <c r="DQ44" i="25"/>
  <c r="DN44" i="25"/>
  <c r="EB11" i="25"/>
  <c r="EA11" i="25"/>
  <c r="EB152" i="25"/>
  <c r="EA152" i="25"/>
  <c r="DQ180" i="25"/>
  <c r="EB18" i="25"/>
  <c r="EA18" i="25"/>
  <c r="DN8" i="25"/>
  <c r="DQ8" i="25"/>
  <c r="DQ219" i="25"/>
  <c r="DN219" i="25"/>
  <c r="DN72" i="24"/>
  <c r="DX72" i="24" s="1"/>
  <c r="DN64" i="24"/>
  <c r="DZ64" i="24" s="1"/>
  <c r="DN57" i="24"/>
  <c r="DZ57" i="24" s="1"/>
  <c r="DN46" i="24"/>
  <c r="DX46" i="24" s="1"/>
  <c r="DN9" i="24"/>
  <c r="DZ9" i="24" s="1"/>
  <c r="DN45" i="24"/>
  <c r="DZ45" i="24" s="1"/>
  <c r="DN7" i="24"/>
  <c r="DZ7" i="24" s="1"/>
  <c r="DN59" i="24"/>
  <c r="DX59" i="24" s="1"/>
  <c r="DN20" i="24"/>
  <c r="DX20" i="24" s="1"/>
  <c r="DN140" i="24"/>
  <c r="DX140" i="24" s="1"/>
  <c r="DN233" i="24"/>
  <c r="DN19" i="24"/>
  <c r="DX19" i="24" s="1"/>
  <c r="DN58" i="24"/>
  <c r="DX58" i="24" s="1"/>
  <c r="DN303" i="24"/>
  <c r="DN49" i="24"/>
  <c r="DX49" i="24" s="1"/>
  <c r="DN143" i="24"/>
  <c r="DX143" i="24" s="1"/>
  <c r="DN245" i="24"/>
  <c r="DN297" i="24"/>
  <c r="DN12" i="24"/>
  <c r="DX12" i="24" s="1"/>
  <c r="DN295" i="24"/>
  <c r="DN125" i="24"/>
  <c r="DX125" i="24" s="1"/>
  <c r="DN313" i="24"/>
  <c r="DN28" i="24"/>
  <c r="DX28" i="24" s="1"/>
  <c r="DN166" i="24"/>
  <c r="DX166" i="24" s="1"/>
  <c r="DN315" i="24"/>
  <c r="DN36" i="24"/>
  <c r="DZ36" i="24" s="1"/>
  <c r="DN286" i="24"/>
  <c r="DN31" i="24"/>
  <c r="DZ31" i="24" s="1"/>
  <c r="DN246" i="24"/>
  <c r="DN34" i="24"/>
  <c r="DX34" i="24" s="1"/>
  <c r="DN11" i="24"/>
  <c r="DZ11" i="24" s="1"/>
  <c r="DN311" i="24"/>
  <c r="DN282" i="24"/>
  <c r="DN38" i="24"/>
  <c r="DX38" i="24" s="1"/>
  <c r="DN178" i="24"/>
  <c r="DX178" i="24" s="1"/>
  <c r="DN144" i="24"/>
  <c r="DX144" i="24" s="1"/>
  <c r="DN266" i="24"/>
  <c r="DN200" i="24"/>
  <c r="DX200" i="24" s="1"/>
  <c r="DN105" i="24"/>
  <c r="DZ105" i="24" s="1"/>
  <c r="DN316" i="24"/>
  <c r="DN101" i="24"/>
  <c r="DZ101" i="24" s="1"/>
  <c r="DN153" i="24"/>
  <c r="DX153" i="24" s="1"/>
  <c r="DN18" i="24"/>
  <c r="DZ18" i="24" s="1"/>
  <c r="DN265" i="24"/>
  <c r="DN182" i="24"/>
  <c r="DX182" i="24" s="1"/>
  <c r="DN263" i="24"/>
  <c r="DN32" i="24"/>
  <c r="DX32" i="24" s="1"/>
  <c r="DN87" i="24"/>
  <c r="DZ87" i="24" s="1"/>
  <c r="DN232" i="24"/>
  <c r="DN118" i="24"/>
  <c r="DX118" i="24" s="1"/>
  <c r="DN247" i="24"/>
  <c r="DN141" i="24"/>
  <c r="DX141" i="24" s="1"/>
  <c r="DN251" i="24"/>
  <c r="DN82" i="24"/>
  <c r="DX82" i="24" s="1"/>
  <c r="DN285" i="24"/>
  <c r="DN17" i="24"/>
  <c r="DZ17" i="24" s="1"/>
  <c r="DN120" i="24"/>
  <c r="DX120" i="24" s="1"/>
  <c r="DN148" i="24"/>
  <c r="DX148" i="24" s="1"/>
  <c r="DN102" i="24"/>
  <c r="DX102" i="24" s="1"/>
  <c r="DN274" i="24"/>
  <c r="DN238" i="24"/>
  <c r="DN188" i="24"/>
  <c r="DX188" i="24" s="1"/>
  <c r="DN304" i="24"/>
  <c r="DN6" i="24"/>
  <c r="DX6" i="24" s="1"/>
  <c r="DN220" i="24"/>
  <c r="DN261" i="24"/>
  <c r="DN90" i="24"/>
  <c r="DX90" i="24" s="1"/>
  <c r="DN259" i="24"/>
  <c r="DN15" i="24"/>
  <c r="DX15" i="24" s="1"/>
  <c r="DN222" i="24"/>
  <c r="DN56" i="24"/>
  <c r="DZ56" i="24" s="1"/>
  <c r="DN294" i="24"/>
  <c r="DN287" i="24"/>
  <c r="DN280" i="24"/>
  <c r="DN229" i="24"/>
  <c r="DN252" i="24"/>
  <c r="DN236" i="24"/>
  <c r="DN195" i="24"/>
  <c r="DX195" i="24" s="1"/>
  <c r="DN293" i="24"/>
  <c r="DN92" i="24"/>
  <c r="DZ92" i="24" s="1"/>
  <c r="DN21" i="24"/>
  <c r="DZ21" i="24" s="1"/>
  <c r="DN194" i="24"/>
  <c r="DX194" i="24" s="1"/>
  <c r="DN276" i="24"/>
  <c r="DN88" i="24"/>
  <c r="DZ88" i="24" s="1"/>
  <c r="DN204" i="24"/>
  <c r="DX204" i="24" s="1"/>
  <c r="DN189" i="24"/>
  <c r="DX189" i="24" s="1"/>
  <c r="DN119" i="24"/>
  <c r="DX119" i="24" s="1"/>
  <c r="DN262" i="24"/>
  <c r="DN292" i="24"/>
  <c r="DN96" i="24"/>
  <c r="DX96" i="24" s="1"/>
  <c r="DN241" i="24"/>
  <c r="DN73" i="24"/>
  <c r="DX73" i="24" s="1"/>
  <c r="DN225" i="24"/>
  <c r="DN51" i="24"/>
  <c r="DX51" i="24" s="1"/>
  <c r="DN180" i="24"/>
  <c r="DX180" i="24" s="1"/>
  <c r="DN22" i="24"/>
  <c r="DX22" i="24" s="1"/>
  <c r="DN308" i="24"/>
  <c r="DN121" i="24"/>
  <c r="DX121" i="24" s="1"/>
  <c r="DN235" i="24"/>
  <c r="DN289" i="24"/>
  <c r="DK165" i="24"/>
  <c r="DJ165" i="24"/>
  <c r="DK33" i="24"/>
  <c r="DJ33" i="24"/>
  <c r="DK34" i="24"/>
  <c r="DJ34" i="24"/>
  <c r="DK303" i="24"/>
  <c r="DJ303" i="24"/>
  <c r="DK226" i="24"/>
  <c r="DJ226" i="24"/>
  <c r="DK186" i="24"/>
  <c r="DJ186" i="24"/>
  <c r="DK135" i="24"/>
  <c r="DJ135" i="24"/>
  <c r="DN81" i="24"/>
  <c r="DN150" i="24"/>
  <c r="DN193" i="24"/>
  <c r="DK247" i="24"/>
  <c r="DJ247" i="24"/>
  <c r="DK125" i="24"/>
  <c r="DJ125" i="24"/>
  <c r="DK305" i="24"/>
  <c r="DJ305" i="24"/>
  <c r="DN71" i="24"/>
  <c r="DN33" i="24"/>
  <c r="DK57" i="24"/>
  <c r="DJ57" i="24"/>
  <c r="DN35" i="24"/>
  <c r="DK169" i="24"/>
  <c r="DJ169" i="24"/>
  <c r="DK298" i="24"/>
  <c r="DJ298" i="24"/>
  <c r="DK45" i="24"/>
  <c r="DJ45" i="24"/>
  <c r="DN104" i="24"/>
  <c r="DN37" i="24"/>
  <c r="DN239" i="24"/>
  <c r="DK293" i="24"/>
  <c r="DJ293" i="24"/>
  <c r="DK131" i="24"/>
  <c r="DJ131" i="24"/>
  <c r="DK62" i="24"/>
  <c r="DJ62" i="24"/>
  <c r="DN52" i="24"/>
  <c r="DK221" i="24"/>
  <c r="DJ221" i="24"/>
  <c r="DK102" i="24"/>
  <c r="DJ102" i="24"/>
  <c r="DK130" i="24"/>
  <c r="DJ130" i="24"/>
  <c r="DK76" i="24"/>
  <c r="DJ76" i="24"/>
  <c r="DK117" i="24"/>
  <c r="DJ117" i="24"/>
  <c r="DK191" i="24"/>
  <c r="DJ191" i="24"/>
  <c r="DK266" i="24"/>
  <c r="DJ266" i="24"/>
  <c r="DN54" i="24"/>
  <c r="DN159" i="24"/>
  <c r="DK200" i="24"/>
  <c r="DJ200" i="24"/>
  <c r="DK177" i="24"/>
  <c r="DJ177" i="24"/>
  <c r="DK194" i="24"/>
  <c r="DJ194" i="24"/>
  <c r="DK74" i="24"/>
  <c r="DJ74" i="24"/>
  <c r="DK138" i="24"/>
  <c r="DJ138" i="24"/>
  <c r="DN147" i="24"/>
  <c r="DN127" i="24"/>
  <c r="DK170" i="24"/>
  <c r="DJ170" i="24"/>
  <c r="DN183" i="24"/>
  <c r="DN228" i="24"/>
  <c r="DK217" i="24"/>
  <c r="DJ217" i="24"/>
  <c r="DN269" i="24"/>
  <c r="DN152" i="24"/>
  <c r="DK16" i="24"/>
  <c r="DJ16" i="24"/>
  <c r="DK175" i="24"/>
  <c r="DJ175" i="24"/>
  <c r="DN63" i="24"/>
  <c r="DN128" i="24"/>
  <c r="DK96" i="24"/>
  <c r="DJ96" i="24"/>
  <c r="DN242" i="24"/>
  <c r="DK172" i="24"/>
  <c r="DJ172" i="24"/>
  <c r="DN83" i="24"/>
  <c r="DN281" i="24"/>
  <c r="DK160" i="24"/>
  <c r="DJ160" i="24"/>
  <c r="DK272" i="24"/>
  <c r="DJ272" i="24"/>
  <c r="DN279" i="24"/>
  <c r="DK31" i="24"/>
  <c r="DJ31" i="24"/>
  <c r="DN30" i="24"/>
  <c r="DN41" i="24"/>
  <c r="DN226" i="24"/>
  <c r="DK291" i="24"/>
  <c r="DJ291" i="24"/>
  <c r="DN40" i="24"/>
  <c r="DN186" i="24"/>
  <c r="DN99" i="24"/>
  <c r="DK61" i="24"/>
  <c r="DJ61" i="24"/>
  <c r="DK251" i="24"/>
  <c r="DJ251" i="24"/>
  <c r="DK82" i="24"/>
  <c r="DJ82" i="24"/>
  <c r="DN267" i="24"/>
  <c r="DN224" i="24"/>
  <c r="DK234" i="24"/>
  <c r="DJ234" i="24"/>
  <c r="DK89" i="24"/>
  <c r="DJ89" i="24"/>
  <c r="DN60" i="24"/>
  <c r="DK137" i="24"/>
  <c r="DJ137" i="24"/>
  <c r="DK79" i="24"/>
  <c r="DJ79" i="24"/>
  <c r="DK81" i="24"/>
  <c r="DJ81" i="24"/>
  <c r="DK248" i="24"/>
  <c r="DJ248" i="24"/>
  <c r="DK85" i="24"/>
  <c r="DJ85" i="24"/>
  <c r="DK148" i="24"/>
  <c r="DJ148" i="24"/>
  <c r="DK219" i="24"/>
  <c r="DJ219" i="24"/>
  <c r="DK183" i="24"/>
  <c r="DJ183" i="24"/>
  <c r="DK166" i="24"/>
  <c r="DJ166" i="24"/>
  <c r="DK150" i="24"/>
  <c r="DJ150" i="24"/>
  <c r="DN142" i="24"/>
  <c r="DN305" i="24"/>
  <c r="DK229" i="24"/>
  <c r="DJ229" i="24"/>
  <c r="DN55" i="24"/>
  <c r="DK71" i="24"/>
  <c r="DJ71" i="24"/>
  <c r="DK233" i="24"/>
  <c r="DJ233" i="24"/>
  <c r="DN298" i="24"/>
  <c r="DK86" i="24"/>
  <c r="DJ86" i="24"/>
  <c r="DK104" i="24"/>
  <c r="DJ104" i="24"/>
  <c r="DJ37" i="24"/>
  <c r="DK37" i="24"/>
  <c r="DK310" i="24"/>
  <c r="DJ310" i="24"/>
  <c r="DK178" i="24"/>
  <c r="DJ178" i="24"/>
  <c r="DK144" i="24"/>
  <c r="DJ144" i="24"/>
  <c r="DK239" i="24"/>
  <c r="DJ239" i="24"/>
  <c r="DN62" i="24"/>
  <c r="DK12" i="24"/>
  <c r="DJ12" i="24"/>
  <c r="DK159" i="24"/>
  <c r="DJ159" i="24"/>
  <c r="DK306" i="24"/>
  <c r="DJ306" i="24"/>
  <c r="DN177" i="24"/>
  <c r="DK78" i="24"/>
  <c r="DJ78" i="24"/>
  <c r="DN138" i="24"/>
  <c r="DK147" i="24"/>
  <c r="DJ147" i="24"/>
  <c r="DN170" i="24"/>
  <c r="DK228" i="24"/>
  <c r="DJ228" i="24"/>
  <c r="DK116" i="24"/>
  <c r="DJ116" i="24"/>
  <c r="DK263" i="24"/>
  <c r="DJ263" i="24"/>
  <c r="DK269" i="24"/>
  <c r="DJ269" i="24"/>
  <c r="DK152" i="24"/>
  <c r="DJ152" i="24"/>
  <c r="DN175" i="24"/>
  <c r="DK63" i="24"/>
  <c r="DJ63" i="24"/>
  <c r="DK128" i="24"/>
  <c r="DJ128" i="24"/>
  <c r="DK242" i="24"/>
  <c r="DJ242" i="24"/>
  <c r="DN172" i="24"/>
  <c r="DK83" i="24"/>
  <c r="DJ83" i="24"/>
  <c r="DK281" i="24"/>
  <c r="DJ281" i="24"/>
  <c r="DN160" i="24"/>
  <c r="DN272" i="24"/>
  <c r="DK30" i="24"/>
  <c r="DJ30" i="24"/>
  <c r="DK255" i="24"/>
  <c r="DJ255" i="24"/>
  <c r="DK41" i="24"/>
  <c r="DJ41" i="24"/>
  <c r="DK40" i="24"/>
  <c r="DJ40" i="24"/>
  <c r="DK99" i="24"/>
  <c r="DJ99" i="24"/>
  <c r="DN61" i="24"/>
  <c r="DJ224" i="24"/>
  <c r="DK224" i="24"/>
  <c r="DN89" i="24"/>
  <c r="DK60" i="24"/>
  <c r="DJ60" i="24"/>
  <c r="DK232" i="24"/>
  <c r="DJ232" i="24"/>
  <c r="DK59" i="24"/>
  <c r="DJ59" i="24"/>
  <c r="DK262" i="24"/>
  <c r="DJ262" i="24"/>
  <c r="DK286" i="24"/>
  <c r="DJ286" i="24"/>
  <c r="DK90" i="24"/>
  <c r="DJ90" i="24"/>
  <c r="DK203" i="24"/>
  <c r="DJ203" i="24"/>
  <c r="DK142" i="24"/>
  <c r="DJ142" i="24"/>
  <c r="DK55" i="24"/>
  <c r="DJ55" i="24"/>
  <c r="DK140" i="24"/>
  <c r="DJ140" i="24"/>
  <c r="DK7" i="24"/>
  <c r="DJ7" i="24"/>
  <c r="DK236" i="24"/>
  <c r="DJ236" i="24"/>
  <c r="DK243" i="24"/>
  <c r="DJ243" i="24"/>
  <c r="DK38" i="24"/>
  <c r="DJ38" i="24"/>
  <c r="DK225" i="24"/>
  <c r="DJ225" i="24"/>
  <c r="DK92" i="24"/>
  <c r="DJ92" i="24"/>
  <c r="DK143" i="24"/>
  <c r="DJ143" i="24"/>
  <c r="DK198" i="24"/>
  <c r="DJ198" i="24"/>
  <c r="DK206" i="24"/>
  <c r="DJ206" i="24"/>
  <c r="DK19" i="24"/>
  <c r="DJ19" i="24"/>
  <c r="DK127" i="24"/>
  <c r="DJ127" i="24"/>
  <c r="DK182" i="24"/>
  <c r="DJ182" i="24"/>
  <c r="DK179" i="24"/>
  <c r="DJ179" i="24"/>
  <c r="DK300" i="24"/>
  <c r="DJ300" i="24"/>
  <c r="DK258" i="24"/>
  <c r="DJ258" i="24"/>
  <c r="DK105" i="24"/>
  <c r="DJ105" i="24"/>
  <c r="DK245" i="24"/>
  <c r="DJ245" i="24"/>
  <c r="DK297" i="24"/>
  <c r="DJ297" i="24"/>
  <c r="DK184" i="24"/>
  <c r="DJ184" i="24"/>
  <c r="DK308" i="24"/>
  <c r="DJ308" i="24"/>
  <c r="DK121" i="24"/>
  <c r="DJ121" i="24"/>
  <c r="DK43" i="24"/>
  <c r="DJ43" i="24"/>
  <c r="DK10" i="24"/>
  <c r="DJ10" i="24"/>
  <c r="DK273" i="24"/>
  <c r="DJ273" i="24"/>
  <c r="DK235" i="24"/>
  <c r="DJ235" i="24"/>
  <c r="DK94" i="24"/>
  <c r="DJ94" i="24"/>
  <c r="DK289" i="24"/>
  <c r="DJ289" i="24"/>
  <c r="DK72" i="24"/>
  <c r="DJ72" i="24"/>
  <c r="DK207" i="24"/>
  <c r="DJ207" i="24"/>
  <c r="DK312" i="24"/>
  <c r="DJ312" i="24"/>
  <c r="DK254" i="24"/>
  <c r="DJ254" i="24"/>
  <c r="DK27" i="24"/>
  <c r="DJ27" i="24"/>
  <c r="DK181" i="24"/>
  <c r="DJ181" i="24"/>
  <c r="DK118" i="24"/>
  <c r="DJ118" i="24"/>
  <c r="DK193" i="24"/>
  <c r="DJ193" i="24"/>
  <c r="DK139" i="24"/>
  <c r="DJ139" i="24"/>
  <c r="DK120" i="24"/>
  <c r="DJ120" i="24"/>
  <c r="DK54" i="24"/>
  <c r="DJ54" i="24"/>
  <c r="DK149" i="24"/>
  <c r="DJ149" i="24"/>
  <c r="DK9" i="24"/>
  <c r="DJ9" i="24"/>
  <c r="DK64" i="24"/>
  <c r="DJ64" i="24"/>
  <c r="DK292" i="24"/>
  <c r="DJ292" i="24"/>
  <c r="DK315" i="24"/>
  <c r="DJ315" i="24"/>
  <c r="DN302" i="24"/>
  <c r="DK161" i="24"/>
  <c r="DJ161" i="24"/>
  <c r="DN253" i="24"/>
  <c r="DK167" i="24"/>
  <c r="DJ167" i="24"/>
  <c r="DN190" i="24"/>
  <c r="DK294" i="24"/>
  <c r="DJ294" i="24"/>
  <c r="DK287" i="24"/>
  <c r="DJ287" i="24"/>
  <c r="DK280" i="24"/>
  <c r="DJ280" i="24"/>
  <c r="DN154" i="24"/>
  <c r="DK252" i="24"/>
  <c r="DJ252" i="24"/>
  <c r="DK176" i="24"/>
  <c r="DJ176" i="24"/>
  <c r="DK285" i="24"/>
  <c r="DJ285" i="24"/>
  <c r="DK67" i="24"/>
  <c r="DJ67" i="24"/>
  <c r="DN25" i="24"/>
  <c r="DK124" i="24"/>
  <c r="DJ124" i="24"/>
  <c r="DN114" i="24"/>
  <c r="DN230" i="24"/>
  <c r="DK49" i="24"/>
  <c r="DJ49" i="24"/>
  <c r="DN132" i="24"/>
  <c r="DK187" i="24"/>
  <c r="DJ187" i="24"/>
  <c r="DN50" i="24"/>
  <c r="DN268" i="24"/>
  <c r="DK218" i="24"/>
  <c r="DJ218" i="24"/>
  <c r="DN270" i="24"/>
  <c r="DK156" i="24"/>
  <c r="DJ156" i="24"/>
  <c r="DN260" i="24"/>
  <c r="DK274" i="24"/>
  <c r="DJ274" i="24"/>
  <c r="DN296" i="24"/>
  <c r="DK314" i="24"/>
  <c r="DJ314" i="24"/>
  <c r="DK237" i="24"/>
  <c r="DJ237" i="24"/>
  <c r="DN77" i="24"/>
  <c r="DN111" i="24"/>
  <c r="DN185" i="24"/>
  <c r="DN164" i="24"/>
  <c r="DN202" i="24"/>
  <c r="DK95" i="24"/>
  <c r="DJ95" i="24"/>
  <c r="DK301" i="24"/>
  <c r="DJ301" i="24"/>
  <c r="DN13" i="24"/>
  <c r="DN300" i="24"/>
  <c r="DN258" i="24"/>
  <c r="DK32" i="24"/>
  <c r="DJ32" i="24"/>
  <c r="DK87" i="24"/>
  <c r="DJ87" i="24"/>
  <c r="DK316" i="24"/>
  <c r="DJ316" i="24"/>
  <c r="DK101" i="24"/>
  <c r="DJ101" i="24"/>
  <c r="DN65" i="24"/>
  <c r="DN174" i="24"/>
  <c r="DN249" i="24"/>
  <c r="DK192" i="24"/>
  <c r="DJ192" i="24"/>
  <c r="DK153" i="24"/>
  <c r="DJ153" i="24"/>
  <c r="DK18" i="24"/>
  <c r="DJ18" i="24"/>
  <c r="DN44" i="24"/>
  <c r="DK265" i="24"/>
  <c r="DJ265" i="24"/>
  <c r="DN8" i="24"/>
  <c r="DK97" i="24"/>
  <c r="DJ97" i="24"/>
  <c r="DN171" i="24"/>
  <c r="DK136" i="24"/>
  <c r="DJ136" i="24"/>
  <c r="DK264" i="24"/>
  <c r="DJ264" i="24"/>
  <c r="DN98" i="24"/>
  <c r="DJ162" i="24"/>
  <c r="DK162" i="24"/>
  <c r="DN43" i="24"/>
  <c r="DN10" i="24"/>
  <c r="DK129" i="24"/>
  <c r="DJ129" i="24"/>
  <c r="DK201" i="24"/>
  <c r="DJ201" i="24"/>
  <c r="DK241" i="24"/>
  <c r="DJ241" i="24"/>
  <c r="DK73" i="24"/>
  <c r="DJ73" i="24"/>
  <c r="DN29" i="24"/>
  <c r="DN112" i="24"/>
  <c r="DN197" i="24"/>
  <c r="DK75" i="24"/>
  <c r="DJ75" i="24"/>
  <c r="DK52" i="24"/>
  <c r="DJ52" i="24"/>
  <c r="DK69" i="24"/>
  <c r="DJ69" i="24"/>
  <c r="DK302" i="24"/>
  <c r="DJ302" i="24"/>
  <c r="DN161" i="24"/>
  <c r="DK253" i="24"/>
  <c r="DJ253" i="24"/>
  <c r="DN167" i="24"/>
  <c r="DK190" i="24"/>
  <c r="DJ190" i="24"/>
  <c r="DN209" i="24"/>
  <c r="DN68" i="24"/>
  <c r="DN24" i="24"/>
  <c r="DK154" i="24"/>
  <c r="DJ154" i="24"/>
  <c r="DN42" i="24"/>
  <c r="DN288" i="24"/>
  <c r="DK48" i="24"/>
  <c r="DJ48" i="24"/>
  <c r="DN240" i="24"/>
  <c r="DN244" i="24"/>
  <c r="DN67" i="24"/>
  <c r="DK25" i="24"/>
  <c r="DJ25" i="24"/>
  <c r="DN124" i="24"/>
  <c r="DN23" i="24"/>
  <c r="DN227" i="24"/>
  <c r="DK114" i="24"/>
  <c r="DJ114" i="24"/>
  <c r="DK230" i="24"/>
  <c r="DJ230" i="24"/>
  <c r="DK132" i="24"/>
  <c r="DJ132" i="24"/>
  <c r="DK14" i="24"/>
  <c r="DJ14" i="24"/>
  <c r="DK250" i="24"/>
  <c r="DJ250" i="24"/>
  <c r="DK50" i="24"/>
  <c r="DJ50" i="24"/>
  <c r="DK268" i="24"/>
  <c r="DJ268" i="24"/>
  <c r="DN218" i="24"/>
  <c r="DN134" i="24"/>
  <c r="DK270" i="24"/>
  <c r="DJ270" i="24"/>
  <c r="DK51" i="24"/>
  <c r="DJ51" i="24"/>
  <c r="DK223" i="24"/>
  <c r="DJ223" i="24"/>
  <c r="DK155" i="24"/>
  <c r="DJ155" i="24"/>
  <c r="DK199" i="24"/>
  <c r="DJ199" i="24"/>
  <c r="DK260" i="24"/>
  <c r="DJ260" i="24"/>
  <c r="DN26" i="24"/>
  <c r="DK296" i="24"/>
  <c r="DJ296" i="24"/>
  <c r="DN314" i="24"/>
  <c r="DK277" i="24"/>
  <c r="DJ277" i="24"/>
  <c r="DN257" i="24"/>
  <c r="DK77" i="24"/>
  <c r="DJ77" i="24"/>
  <c r="DK111" i="24"/>
  <c r="DJ111" i="24"/>
  <c r="DK185" i="24"/>
  <c r="DJ185" i="24"/>
  <c r="DK180" i="24"/>
  <c r="DJ180" i="24"/>
  <c r="DK22" i="24"/>
  <c r="DJ22" i="24"/>
  <c r="DK164" i="24"/>
  <c r="DJ164" i="24"/>
  <c r="DK202" i="24"/>
  <c r="DJ202" i="24"/>
  <c r="DJ88" i="24"/>
  <c r="DK88" i="24"/>
  <c r="DK13" i="24"/>
  <c r="DJ13" i="24"/>
  <c r="DN157" i="24"/>
  <c r="DN103" i="24"/>
  <c r="DN122" i="24"/>
  <c r="DK275" i="24"/>
  <c r="DJ275" i="24"/>
  <c r="DN231" i="24"/>
  <c r="DK65" i="24"/>
  <c r="DJ65" i="24"/>
  <c r="DK174" i="24"/>
  <c r="DJ174" i="24"/>
  <c r="DK249" i="24"/>
  <c r="DJ249" i="24"/>
  <c r="DN145" i="24"/>
  <c r="DN192" i="24"/>
  <c r="DN47" i="24"/>
  <c r="DK283" i="24"/>
  <c r="DJ283" i="24"/>
  <c r="DN307" i="24"/>
  <c r="DN70" i="24"/>
  <c r="DK44" i="24"/>
  <c r="DJ44" i="24"/>
  <c r="DK8" i="24"/>
  <c r="DJ8" i="24"/>
  <c r="DN53" i="24"/>
  <c r="DK133" i="24"/>
  <c r="DJ133" i="24"/>
  <c r="DK171" i="24"/>
  <c r="DJ171" i="24"/>
  <c r="DN136" i="24"/>
  <c r="DK98" i="24"/>
  <c r="DJ98" i="24"/>
  <c r="DN129" i="24"/>
  <c r="DN201" i="24"/>
  <c r="DN158" i="24"/>
  <c r="DK29" i="24"/>
  <c r="DJ29" i="24"/>
  <c r="DN309" i="24"/>
  <c r="DN123" i="24"/>
  <c r="DK290" i="24"/>
  <c r="DJ290" i="24"/>
  <c r="DN173" i="24"/>
  <c r="DN100" i="24"/>
  <c r="DK112" i="24"/>
  <c r="DJ112" i="24"/>
  <c r="DK80" i="24"/>
  <c r="DJ80" i="24"/>
  <c r="DK197" i="24"/>
  <c r="DJ197" i="24"/>
  <c r="DK113" i="24"/>
  <c r="DJ113" i="24"/>
  <c r="DK35" i="24"/>
  <c r="DJ35" i="24"/>
  <c r="DK311" i="24"/>
  <c r="DJ311" i="24"/>
  <c r="DK278" i="24"/>
  <c r="DJ278" i="24"/>
  <c r="DK36" i="24"/>
  <c r="DJ36" i="24"/>
  <c r="DK256" i="24"/>
  <c r="DJ256" i="24"/>
  <c r="DK267" i="24"/>
  <c r="DJ267" i="24"/>
  <c r="DK209" i="24"/>
  <c r="DJ209" i="24"/>
  <c r="DK68" i="24"/>
  <c r="DJ68" i="24"/>
  <c r="DK24" i="24"/>
  <c r="DJ24" i="24"/>
  <c r="DK42" i="24"/>
  <c r="DJ42" i="24"/>
  <c r="DK288" i="24"/>
  <c r="DJ288" i="24"/>
  <c r="DN48" i="24"/>
  <c r="DK11" i="24"/>
  <c r="DJ11" i="24"/>
  <c r="DK240" i="24"/>
  <c r="DJ240" i="24"/>
  <c r="DK244" i="24"/>
  <c r="DJ244" i="24"/>
  <c r="DK17" i="24"/>
  <c r="DJ17" i="24"/>
  <c r="DK39" i="24"/>
  <c r="DJ39" i="24"/>
  <c r="DK23" i="24"/>
  <c r="DJ23" i="24"/>
  <c r="DK227" i="24"/>
  <c r="DJ227" i="24"/>
  <c r="DN14" i="24"/>
  <c r="DN250" i="24"/>
  <c r="DK134" i="24"/>
  <c r="DJ134" i="24"/>
  <c r="DN223" i="24"/>
  <c r="DN155" i="24"/>
  <c r="DN199" i="24"/>
  <c r="DK26" i="24"/>
  <c r="DJ26" i="24"/>
  <c r="DN277" i="24"/>
  <c r="DK163" i="24"/>
  <c r="DJ163" i="24"/>
  <c r="DK257" i="24"/>
  <c r="DJ257" i="24"/>
  <c r="DK238" i="24"/>
  <c r="DJ238" i="24"/>
  <c r="DK157" i="24"/>
  <c r="DJ157" i="24"/>
  <c r="DK103" i="24"/>
  <c r="DJ103" i="24"/>
  <c r="DK122" i="24"/>
  <c r="DJ122" i="24"/>
  <c r="DK231" i="24"/>
  <c r="DJ231" i="24"/>
  <c r="DK145" i="24"/>
  <c r="DJ145" i="24"/>
  <c r="DK47" i="24"/>
  <c r="DJ47" i="24"/>
  <c r="DN283" i="24"/>
  <c r="DJ307" i="24"/>
  <c r="DK307" i="24"/>
  <c r="DK70" i="24"/>
  <c r="DJ70" i="24"/>
  <c r="DK284" i="24"/>
  <c r="DJ284" i="24"/>
  <c r="DK53" i="24"/>
  <c r="DJ53" i="24"/>
  <c r="DN133" i="24"/>
  <c r="DK93" i="24"/>
  <c r="DJ93" i="24"/>
  <c r="DN126" i="24"/>
  <c r="DK46" i="24"/>
  <c r="DJ46" i="24"/>
  <c r="DK84" i="24"/>
  <c r="DJ84" i="24"/>
  <c r="DK158" i="24"/>
  <c r="DJ158" i="24"/>
  <c r="DK20" i="24"/>
  <c r="DJ20" i="24"/>
  <c r="DK205" i="24"/>
  <c r="DJ205" i="24"/>
  <c r="DK309" i="24"/>
  <c r="DJ309" i="24"/>
  <c r="DK123" i="24"/>
  <c r="DJ123" i="24"/>
  <c r="DN290" i="24"/>
  <c r="DK173" i="24"/>
  <c r="DJ173" i="24"/>
  <c r="DK100" i="24"/>
  <c r="DJ100" i="24"/>
  <c r="DN80" i="24"/>
  <c r="DN271" i="24"/>
  <c r="DK210" i="24"/>
  <c r="DJ210" i="24"/>
  <c r="DK196" i="24"/>
  <c r="DJ196" i="24"/>
  <c r="DK141" i="24"/>
  <c r="DJ141" i="24"/>
  <c r="DK279" i="24"/>
  <c r="DJ279" i="24"/>
  <c r="DK259" i="24"/>
  <c r="DJ259" i="24"/>
  <c r="DK15" i="24"/>
  <c r="DJ15" i="24"/>
  <c r="DK222" i="24"/>
  <c r="DJ222" i="24"/>
  <c r="DK246" i="24"/>
  <c r="DJ246" i="24"/>
  <c r="DK282" i="24"/>
  <c r="DJ282" i="24"/>
  <c r="DK58" i="24"/>
  <c r="DJ58" i="24"/>
  <c r="DN39" i="24"/>
  <c r="DK195" i="24"/>
  <c r="DJ195" i="24"/>
  <c r="DK151" i="24"/>
  <c r="DJ151" i="24"/>
  <c r="DK115" i="24"/>
  <c r="DJ115" i="24"/>
  <c r="DK168" i="24"/>
  <c r="DJ168" i="24"/>
  <c r="DK21" i="24"/>
  <c r="DJ21" i="24"/>
  <c r="DK208" i="24"/>
  <c r="DJ208" i="24"/>
  <c r="DK299" i="24"/>
  <c r="DJ299" i="24"/>
  <c r="DK276" i="24"/>
  <c r="DJ276" i="24"/>
  <c r="DJ204" i="24"/>
  <c r="DK204" i="24"/>
  <c r="DK189" i="24"/>
  <c r="DJ189" i="24"/>
  <c r="DK119" i="24"/>
  <c r="DJ119" i="24"/>
  <c r="DK28" i="24"/>
  <c r="DJ28" i="24"/>
  <c r="DK188" i="24"/>
  <c r="DJ188" i="24"/>
  <c r="DK304" i="24"/>
  <c r="DJ304" i="24"/>
  <c r="DK6" i="24"/>
  <c r="DJ6" i="24"/>
  <c r="DK220" i="24"/>
  <c r="DJ220" i="24"/>
  <c r="DK261" i="24"/>
  <c r="DJ261" i="24"/>
  <c r="DK295" i="24"/>
  <c r="DJ295" i="24"/>
  <c r="DK146" i="24"/>
  <c r="DJ146" i="24"/>
  <c r="DK66" i="24"/>
  <c r="DJ66" i="24"/>
  <c r="DK313" i="24"/>
  <c r="DJ313" i="24"/>
  <c r="DK126" i="24"/>
  <c r="DJ126" i="24"/>
  <c r="DK56" i="24"/>
  <c r="DJ56" i="24"/>
  <c r="DK271" i="24"/>
  <c r="DJ271" i="24"/>
  <c r="DK91" i="24"/>
  <c r="DJ91" i="24"/>
  <c r="O628" i="29"/>
  <c r="R628" i="29"/>
  <c r="L628" i="29"/>
  <c r="Q628" i="29"/>
  <c r="S628" i="29"/>
  <c r="K628" i="29"/>
  <c r="T628" i="29"/>
  <c r="P628" i="29"/>
  <c r="BQ106" i="19"/>
  <c r="DN110" i="25" l="1"/>
  <c r="DX79" i="24"/>
  <c r="EE79" i="24" s="1"/>
  <c r="AE623" i="29"/>
  <c r="AD623" i="29"/>
  <c r="EJ212" i="25"/>
  <c r="EY212" i="25"/>
  <c r="EL212" i="25"/>
  <c r="DV212" i="25"/>
  <c r="EK212" i="25"/>
  <c r="EN212" i="25" s="1"/>
  <c r="DT212" i="25"/>
  <c r="FA212" i="25"/>
  <c r="EY199" i="25"/>
  <c r="FA200" i="25"/>
  <c r="EY208" i="25"/>
  <c r="EJ210" i="25"/>
  <c r="DZ6" i="24"/>
  <c r="DI216" i="25"/>
  <c r="DN216" i="25" s="1"/>
  <c r="EB216" i="24"/>
  <c r="EL216" i="24"/>
  <c r="EM216" i="24"/>
  <c r="EP216" i="24" s="1"/>
  <c r="EN216" i="24"/>
  <c r="FA216" i="24"/>
  <c r="DX94" i="24"/>
  <c r="EE94" i="24" s="1"/>
  <c r="DX91" i="24"/>
  <c r="EE91" i="24" s="1"/>
  <c r="DX290" i="24"/>
  <c r="EE290" i="24" s="1"/>
  <c r="DX258" i="24"/>
  <c r="EE258" i="24" s="1"/>
  <c r="DX296" i="24"/>
  <c r="EE296" i="24" s="1"/>
  <c r="DX230" i="24"/>
  <c r="DX298" i="24"/>
  <c r="EE298" i="24" s="1"/>
  <c r="DX305" i="24"/>
  <c r="EE305" i="24" s="1"/>
  <c r="DX279" i="24"/>
  <c r="EE279" i="24" s="1"/>
  <c r="DX222" i="24"/>
  <c r="EE222" i="24" s="1"/>
  <c r="DX263" i="24"/>
  <c r="EE263" i="24" s="1"/>
  <c r="DX313" i="24"/>
  <c r="EE313" i="24" s="1"/>
  <c r="DX303" i="24"/>
  <c r="EE303" i="24" s="1"/>
  <c r="DX278" i="24"/>
  <c r="EE278" i="24" s="1"/>
  <c r="DX284" i="24"/>
  <c r="EE284" i="24" s="1"/>
  <c r="DX237" i="24"/>
  <c r="EE237" i="24" s="1"/>
  <c r="DX300" i="24"/>
  <c r="EE300" i="24" s="1"/>
  <c r="DX268" i="24"/>
  <c r="EE268" i="24" s="1"/>
  <c r="DX242" i="24"/>
  <c r="EE242" i="24" s="1"/>
  <c r="DX225" i="24"/>
  <c r="EE225" i="24" s="1"/>
  <c r="DX236" i="24"/>
  <c r="EE236" i="24" s="1"/>
  <c r="DX238" i="24"/>
  <c r="EE238" i="24" s="1"/>
  <c r="DX251" i="24"/>
  <c r="EE251" i="24" s="1"/>
  <c r="DX266" i="24"/>
  <c r="EE266" i="24" s="1"/>
  <c r="DX246" i="24"/>
  <c r="EE246" i="24" s="1"/>
  <c r="DX301" i="24"/>
  <c r="EE301" i="24" s="1"/>
  <c r="DX219" i="24"/>
  <c r="EE219" i="24" s="1"/>
  <c r="DX310" i="24"/>
  <c r="EE310" i="24" s="1"/>
  <c r="DX275" i="24"/>
  <c r="EE275" i="24" s="1"/>
  <c r="DX271" i="24"/>
  <c r="EE271" i="24" s="1"/>
  <c r="DX231" i="24"/>
  <c r="EE231" i="24" s="1"/>
  <c r="DX257" i="24"/>
  <c r="EE257" i="24" s="1"/>
  <c r="DX302" i="24"/>
  <c r="EE302" i="24" s="1"/>
  <c r="DX289" i="24"/>
  <c r="EE289" i="24" s="1"/>
  <c r="DX252" i="24"/>
  <c r="EE252" i="24" s="1"/>
  <c r="DX259" i="24"/>
  <c r="EE259" i="24" s="1"/>
  <c r="DX274" i="24"/>
  <c r="EE274" i="24" s="1"/>
  <c r="DX265" i="24"/>
  <c r="EE265" i="24" s="1"/>
  <c r="DX295" i="24"/>
  <c r="EE295" i="24" s="1"/>
  <c r="DX243" i="24"/>
  <c r="EE243" i="24" s="1"/>
  <c r="DX283" i="24"/>
  <c r="EE283" i="24" s="1"/>
  <c r="DX309" i="24"/>
  <c r="EE309" i="24" s="1"/>
  <c r="DX244" i="24"/>
  <c r="EE244" i="24" s="1"/>
  <c r="DX260" i="24"/>
  <c r="EE260" i="24" s="1"/>
  <c r="DX226" i="24"/>
  <c r="EE226" i="24" s="1"/>
  <c r="DX269" i="24"/>
  <c r="EE269" i="24" s="1"/>
  <c r="DX235" i="24"/>
  <c r="EE235" i="24" s="1"/>
  <c r="DX241" i="24"/>
  <c r="EE241" i="24" s="1"/>
  <c r="DX276" i="24"/>
  <c r="EE276" i="24" s="1"/>
  <c r="DX229" i="24"/>
  <c r="EE229" i="24" s="1"/>
  <c r="DX247" i="24"/>
  <c r="EE247" i="24" s="1"/>
  <c r="DX286" i="24"/>
  <c r="EE286" i="24" s="1"/>
  <c r="DX233" i="24"/>
  <c r="EE233" i="24" s="1"/>
  <c r="DX256" i="24"/>
  <c r="EE256" i="24" s="1"/>
  <c r="DX264" i="24"/>
  <c r="EE264" i="24" s="1"/>
  <c r="DX254" i="24"/>
  <c r="EE254" i="24" s="1"/>
  <c r="DX223" i="24"/>
  <c r="EE223" i="24" s="1"/>
  <c r="DX240" i="24"/>
  <c r="EE240" i="24" s="1"/>
  <c r="DX272" i="24"/>
  <c r="EE272" i="24" s="1"/>
  <c r="DX280" i="24"/>
  <c r="EE280" i="24" s="1"/>
  <c r="DX261" i="24"/>
  <c r="EE261" i="24" s="1"/>
  <c r="DX297" i="24"/>
  <c r="EE297" i="24" s="1"/>
  <c r="DX255" i="24"/>
  <c r="EE255" i="24" s="1"/>
  <c r="DX312" i="24"/>
  <c r="EE312" i="24" s="1"/>
  <c r="DX314" i="24"/>
  <c r="EE314" i="24" s="1"/>
  <c r="DX227" i="24"/>
  <c r="EE227" i="24" s="1"/>
  <c r="DX249" i="24"/>
  <c r="EE249" i="24" s="1"/>
  <c r="DX281" i="24"/>
  <c r="EE281" i="24" s="1"/>
  <c r="DX239" i="24"/>
  <c r="EE239" i="24" s="1"/>
  <c r="DX308" i="24"/>
  <c r="EE308" i="24" s="1"/>
  <c r="DX292" i="24"/>
  <c r="EE292" i="24" s="1"/>
  <c r="DX287" i="24"/>
  <c r="EE287" i="24" s="1"/>
  <c r="DX220" i="24"/>
  <c r="EE220" i="24" s="1"/>
  <c r="DX232" i="24"/>
  <c r="EE232" i="24" s="1"/>
  <c r="DX282" i="24"/>
  <c r="EE282" i="24" s="1"/>
  <c r="DX315" i="24"/>
  <c r="EE315" i="24" s="1"/>
  <c r="DX245" i="24"/>
  <c r="EE245" i="24" s="1"/>
  <c r="DX217" i="24"/>
  <c r="EE217" i="24" s="1"/>
  <c r="DX273" i="24"/>
  <c r="EE273" i="24" s="1"/>
  <c r="DX248" i="24"/>
  <c r="EE248" i="24" s="1"/>
  <c r="DX234" i="24"/>
  <c r="EE234" i="24" s="1"/>
  <c r="DX307" i="24"/>
  <c r="EE307" i="24" s="1"/>
  <c r="DX218" i="24"/>
  <c r="EE218" i="24" s="1"/>
  <c r="DX270" i="24"/>
  <c r="EE270" i="24" s="1"/>
  <c r="DX224" i="24"/>
  <c r="EE224" i="24" s="1"/>
  <c r="DX228" i="24"/>
  <c r="EE228" i="24" s="1"/>
  <c r="DX262" i="24"/>
  <c r="EE262" i="24" s="1"/>
  <c r="DX294" i="24"/>
  <c r="EE294" i="24" s="1"/>
  <c r="DX316" i="24"/>
  <c r="EE316" i="24" s="1"/>
  <c r="DX311" i="24"/>
  <c r="EE311" i="24" s="1"/>
  <c r="DX221" i="24"/>
  <c r="EE221" i="24" s="1"/>
  <c r="DX291" i="24"/>
  <c r="EE291" i="24" s="1"/>
  <c r="DX277" i="24"/>
  <c r="EE277" i="24" s="1"/>
  <c r="DX250" i="24"/>
  <c r="EE250" i="24" s="1"/>
  <c r="DX288" i="24"/>
  <c r="EE288" i="24" s="1"/>
  <c r="DX253" i="24"/>
  <c r="EE253" i="24" s="1"/>
  <c r="DX267" i="24"/>
  <c r="EE267" i="24" s="1"/>
  <c r="DX293" i="24"/>
  <c r="EE293" i="24" s="1"/>
  <c r="DX304" i="24"/>
  <c r="EE304" i="24" s="1"/>
  <c r="DX285" i="24"/>
  <c r="EE285" i="24" s="1"/>
  <c r="DX306" i="24"/>
  <c r="EE306" i="24" s="1"/>
  <c r="DX299" i="24"/>
  <c r="EE299" i="24" s="1"/>
  <c r="EJ229" i="25"/>
  <c r="EK229" i="25"/>
  <c r="EN229" i="25" s="1"/>
  <c r="EY229" i="25"/>
  <c r="FA229" i="25"/>
  <c r="EL229" i="25"/>
  <c r="EJ228" i="25"/>
  <c r="EY228" i="25"/>
  <c r="EK228" i="25"/>
  <c r="EN228" i="25" s="1"/>
  <c r="FA228" i="25"/>
  <c r="EL228" i="25"/>
  <c r="EJ270" i="25"/>
  <c r="FA270" i="25"/>
  <c r="EK270" i="25"/>
  <c r="EN270" i="25" s="1"/>
  <c r="EY270" i="25"/>
  <c r="EL270" i="25"/>
  <c r="EJ284" i="25"/>
  <c r="EY284" i="25"/>
  <c r="EK284" i="25"/>
  <c r="EN284" i="25" s="1"/>
  <c r="FA284" i="25"/>
  <c r="EL284" i="25"/>
  <c r="EJ294" i="25"/>
  <c r="FA294" i="25"/>
  <c r="EY294" i="25"/>
  <c r="EK294" i="25"/>
  <c r="EN294" i="25" s="1"/>
  <c r="EL294" i="25"/>
  <c r="EJ276" i="25"/>
  <c r="EY276" i="25"/>
  <c r="EK276" i="25"/>
  <c r="EN276" i="25" s="1"/>
  <c r="FA276" i="25"/>
  <c r="EL276" i="25"/>
  <c r="EY303" i="25"/>
  <c r="EJ303" i="25"/>
  <c r="FA303" i="25"/>
  <c r="EK303" i="25"/>
  <c r="EN303" i="25" s="1"/>
  <c r="EL303" i="25"/>
  <c r="EJ234" i="25"/>
  <c r="EY234" i="25"/>
  <c r="EK234" i="25"/>
  <c r="EN234" i="25" s="1"/>
  <c r="FA234" i="25"/>
  <c r="EL234" i="25"/>
  <c r="EY247" i="25"/>
  <c r="EJ247" i="25"/>
  <c r="FA247" i="25"/>
  <c r="EK247" i="25"/>
  <c r="EN247" i="25" s="1"/>
  <c r="EL247" i="25"/>
  <c r="EK242" i="25"/>
  <c r="EN242" i="25" s="1"/>
  <c r="EY242" i="25"/>
  <c r="FA242" i="25"/>
  <c r="EJ242" i="25"/>
  <c r="EL242" i="25"/>
  <c r="EJ296" i="25"/>
  <c r="EK296" i="25"/>
  <c r="EN296" i="25" s="1"/>
  <c r="EY296" i="25"/>
  <c r="FA296" i="25"/>
  <c r="EL296" i="25"/>
  <c r="EJ227" i="25"/>
  <c r="EK227" i="25"/>
  <c r="EN227" i="25" s="1"/>
  <c r="EY227" i="25"/>
  <c r="FA227" i="25"/>
  <c r="EL227" i="25"/>
  <c r="EJ219" i="25"/>
  <c r="EK219" i="25"/>
  <c r="EN219" i="25" s="1"/>
  <c r="EY219" i="25"/>
  <c r="FA219" i="25"/>
  <c r="EL219" i="25"/>
  <c r="EJ226" i="25"/>
  <c r="EK226" i="25"/>
  <c r="EN226" i="25" s="1"/>
  <c r="EY226" i="25"/>
  <c r="FA226" i="25"/>
  <c r="EL226" i="25"/>
  <c r="EJ258" i="25"/>
  <c r="EY258" i="25"/>
  <c r="FA258" i="25"/>
  <c r="EK258" i="25"/>
  <c r="EN258" i="25" s="1"/>
  <c r="EL258" i="25"/>
  <c r="EJ235" i="25"/>
  <c r="EK235" i="25"/>
  <c r="EN235" i="25" s="1"/>
  <c r="EY235" i="25"/>
  <c r="FA235" i="25"/>
  <c r="EL235" i="25"/>
  <c r="EY249" i="25"/>
  <c r="EJ249" i="25"/>
  <c r="FA249" i="25"/>
  <c r="EK249" i="25"/>
  <c r="EN249" i="25" s="1"/>
  <c r="EL249" i="25"/>
  <c r="EJ240" i="25"/>
  <c r="EK240" i="25"/>
  <c r="EN240" i="25" s="1"/>
  <c r="EY240" i="25"/>
  <c r="FA240" i="25"/>
  <c r="EL240" i="25"/>
  <c r="EJ313" i="25"/>
  <c r="EY313" i="25"/>
  <c r="EK313" i="25"/>
  <c r="EN313" i="25" s="1"/>
  <c r="FA313" i="25"/>
  <c r="EL313" i="25"/>
  <c r="EJ304" i="25"/>
  <c r="EK304" i="25"/>
  <c r="EN304" i="25" s="1"/>
  <c r="EY304" i="25"/>
  <c r="FA304" i="25"/>
  <c r="EL304" i="25"/>
  <c r="EY256" i="25"/>
  <c r="FA256" i="25"/>
  <c r="EJ256" i="25"/>
  <c r="EK256" i="25"/>
  <c r="EN256" i="25" s="1"/>
  <c r="EL256" i="25"/>
  <c r="EY309" i="25"/>
  <c r="EJ309" i="25"/>
  <c r="FA309" i="25"/>
  <c r="EK309" i="25"/>
  <c r="EN309" i="25" s="1"/>
  <c r="EL309" i="25"/>
  <c r="EJ245" i="25"/>
  <c r="EY245" i="25"/>
  <c r="EK245" i="25"/>
  <c r="EN245" i="25" s="1"/>
  <c r="FA245" i="25"/>
  <c r="EL245" i="25"/>
  <c r="EK278" i="25"/>
  <c r="EN278" i="25" s="1"/>
  <c r="FA278" i="25"/>
  <c r="EY278" i="25"/>
  <c r="EJ278" i="25"/>
  <c r="EL278" i="25"/>
  <c r="EJ243" i="25"/>
  <c r="EK243" i="25"/>
  <c r="EN243" i="25" s="1"/>
  <c r="EY243" i="25"/>
  <c r="FA243" i="25"/>
  <c r="EL243" i="25"/>
  <c r="EY246" i="25"/>
  <c r="EJ246" i="25"/>
  <c r="FA246" i="25"/>
  <c r="EK246" i="25"/>
  <c r="EN246" i="25" s="1"/>
  <c r="EL246" i="25"/>
  <c r="EK230" i="25"/>
  <c r="EN230" i="25" s="1"/>
  <c r="FA230" i="25"/>
  <c r="EJ230" i="25"/>
  <c r="EY230" i="25"/>
  <c r="EL230" i="25"/>
  <c r="EY316" i="25"/>
  <c r="EJ316" i="25"/>
  <c r="FA316" i="25"/>
  <c r="EK316" i="25"/>
  <c r="EN316" i="25" s="1"/>
  <c r="EL316" i="25"/>
  <c r="EJ241" i="25"/>
  <c r="EY241" i="25"/>
  <c r="EK241" i="25"/>
  <c r="EN241" i="25" s="1"/>
  <c r="FA241" i="25"/>
  <c r="EL241" i="25"/>
  <c r="EJ291" i="25"/>
  <c r="EY291" i="25"/>
  <c r="EK291" i="25"/>
  <c r="EN291" i="25" s="1"/>
  <c r="FA291" i="25"/>
  <c r="EL291" i="25"/>
  <c r="FA297" i="25"/>
  <c r="EJ297" i="25"/>
  <c r="EK297" i="25"/>
  <c r="EN297" i="25" s="1"/>
  <c r="EY297" i="25"/>
  <c r="EL297" i="25"/>
  <c r="EJ306" i="25"/>
  <c r="EY306" i="25"/>
  <c r="EK306" i="25"/>
  <c r="EN306" i="25" s="1"/>
  <c r="FA306" i="25"/>
  <c r="EL306" i="25"/>
  <c r="EK248" i="25"/>
  <c r="EN248" i="25" s="1"/>
  <c r="EY248" i="25"/>
  <c r="FA248" i="25"/>
  <c r="EJ248" i="25"/>
  <c r="EL248" i="25"/>
  <c r="EJ310" i="25"/>
  <c r="EK310" i="25"/>
  <c r="EN310" i="25" s="1"/>
  <c r="EY310" i="25"/>
  <c r="FA310" i="25"/>
  <c r="EL310" i="25"/>
  <c r="EY255" i="25"/>
  <c r="EJ255" i="25"/>
  <c r="FA255" i="25"/>
  <c r="EK255" i="25"/>
  <c r="EN255" i="25" s="1"/>
  <c r="EL255" i="25"/>
  <c r="EJ298" i="25"/>
  <c r="EY298" i="25"/>
  <c r="EK298" i="25"/>
  <c r="EN298" i="25" s="1"/>
  <c r="FA298" i="25"/>
  <c r="EL298" i="25"/>
  <c r="EK283" i="25"/>
  <c r="EN283" i="25" s="1"/>
  <c r="FA283" i="25"/>
  <c r="EY283" i="25"/>
  <c r="EJ283" i="25"/>
  <c r="EL283" i="25"/>
  <c r="EJ221" i="25"/>
  <c r="EK221" i="25"/>
  <c r="EN221" i="25" s="1"/>
  <c r="EY221" i="25"/>
  <c r="FA221" i="25"/>
  <c r="EL221" i="25"/>
  <c r="EJ237" i="25"/>
  <c r="EY237" i="25"/>
  <c r="EK237" i="25"/>
  <c r="EN237" i="25" s="1"/>
  <c r="FA237" i="25"/>
  <c r="EL237" i="25"/>
  <c r="EJ272" i="25"/>
  <c r="EK272" i="25"/>
  <c r="EN272" i="25" s="1"/>
  <c r="EY272" i="25"/>
  <c r="FA272" i="25"/>
  <c r="EL272" i="25"/>
  <c r="EJ266" i="25"/>
  <c r="EY266" i="25"/>
  <c r="EK266" i="25"/>
  <c r="EN266" i="25" s="1"/>
  <c r="FA266" i="25"/>
  <c r="EL266" i="25"/>
  <c r="EJ223" i="25"/>
  <c r="FA223" i="25"/>
  <c r="EK223" i="25"/>
  <c r="EN223" i="25" s="1"/>
  <c r="EY223" i="25"/>
  <c r="EL223" i="25"/>
  <c r="EJ305" i="25"/>
  <c r="EY305" i="25"/>
  <c r="EK305" i="25"/>
  <c r="EN305" i="25" s="1"/>
  <c r="FA305" i="25"/>
  <c r="EL305" i="25"/>
  <c r="EY238" i="25"/>
  <c r="EJ238" i="25"/>
  <c r="FA238" i="25"/>
  <c r="EK238" i="25"/>
  <c r="EN238" i="25" s="1"/>
  <c r="EL238" i="25"/>
  <c r="EJ293" i="25"/>
  <c r="EY293" i="25"/>
  <c r="EK293" i="25"/>
  <c r="EN293" i="25" s="1"/>
  <c r="FA293" i="25"/>
  <c r="EL293" i="25"/>
  <c r="EK271" i="25"/>
  <c r="EN271" i="25" s="1"/>
  <c r="EY271" i="25"/>
  <c r="EJ271" i="25"/>
  <c r="FA271" i="25"/>
  <c r="EL271" i="25"/>
  <c r="EK274" i="25"/>
  <c r="EN274" i="25" s="1"/>
  <c r="FA274" i="25"/>
  <c r="EJ274" i="25"/>
  <c r="EY274" i="25"/>
  <c r="EL274" i="25"/>
  <c r="EJ285" i="25"/>
  <c r="EY285" i="25"/>
  <c r="EK285" i="25"/>
  <c r="EN285" i="25" s="1"/>
  <c r="FA285" i="25"/>
  <c r="EL285" i="25"/>
  <c r="EJ314" i="25"/>
  <c r="EY314" i="25"/>
  <c r="EK314" i="25"/>
  <c r="EN314" i="25" s="1"/>
  <c r="FA314" i="25"/>
  <c r="EL314" i="25"/>
  <c r="EY282" i="25"/>
  <c r="EJ282" i="25"/>
  <c r="FA282" i="25"/>
  <c r="EK282" i="25"/>
  <c r="EN282" i="25" s="1"/>
  <c r="EL282" i="25"/>
  <c r="FA267" i="25"/>
  <c r="EJ267" i="25"/>
  <c r="EK267" i="25"/>
  <c r="EN267" i="25" s="1"/>
  <c r="EY267" i="25"/>
  <c r="EL267" i="25"/>
  <c r="EK292" i="25"/>
  <c r="EN292" i="25" s="1"/>
  <c r="FA292" i="25"/>
  <c r="EJ292" i="25"/>
  <c r="EY292" i="25"/>
  <c r="EL292" i="25"/>
  <c r="EK281" i="25"/>
  <c r="EN281" i="25" s="1"/>
  <c r="EY281" i="25"/>
  <c r="FA281" i="25"/>
  <c r="EJ281" i="25"/>
  <c r="EL281" i="25"/>
  <c r="EY239" i="25"/>
  <c r="EJ239" i="25"/>
  <c r="FA239" i="25"/>
  <c r="EK239" i="25"/>
  <c r="EN239" i="25" s="1"/>
  <c r="EL239" i="25"/>
  <c r="EJ222" i="25"/>
  <c r="EK222" i="25"/>
  <c r="EN222" i="25" s="1"/>
  <c r="EY222" i="25"/>
  <c r="FA222" i="25"/>
  <c r="EL222" i="25"/>
  <c r="EJ250" i="25"/>
  <c r="EY250" i="25"/>
  <c r="EK250" i="25"/>
  <c r="EN250" i="25" s="1"/>
  <c r="FA250" i="25"/>
  <c r="EL250" i="25"/>
  <c r="EJ252" i="25"/>
  <c r="EY252" i="25"/>
  <c r="EK252" i="25"/>
  <c r="EN252" i="25" s="1"/>
  <c r="FA252" i="25"/>
  <c r="EL252" i="25"/>
  <c r="EK311" i="25"/>
  <c r="EN311" i="25" s="1"/>
  <c r="FA311" i="25"/>
  <c r="EJ311" i="25"/>
  <c r="EY311" i="25"/>
  <c r="EL311" i="25"/>
  <c r="EJ312" i="25"/>
  <c r="EK312" i="25"/>
  <c r="EN312" i="25" s="1"/>
  <c r="EY312" i="25"/>
  <c r="FA312" i="25"/>
  <c r="EL312" i="25"/>
  <c r="EY257" i="25"/>
  <c r="EJ257" i="25"/>
  <c r="FA257" i="25"/>
  <c r="EK257" i="25"/>
  <c r="EN257" i="25" s="1"/>
  <c r="EL257" i="25"/>
  <c r="EJ307" i="25"/>
  <c r="EY307" i="25"/>
  <c r="EK307" i="25"/>
  <c r="EN307" i="25" s="1"/>
  <c r="FA307" i="25"/>
  <c r="EL307" i="25"/>
  <c r="FA289" i="25"/>
  <c r="EJ289" i="25"/>
  <c r="EK289" i="25"/>
  <c r="EN289" i="25" s="1"/>
  <c r="EY289" i="25"/>
  <c r="EL289" i="25"/>
  <c r="EY308" i="25"/>
  <c r="EJ308" i="25"/>
  <c r="FA308" i="25"/>
  <c r="EK308" i="25"/>
  <c r="EN308" i="25" s="1"/>
  <c r="EL308" i="25"/>
  <c r="EJ269" i="25"/>
  <c r="EY269" i="25"/>
  <c r="EK269" i="25"/>
  <c r="EN269" i="25" s="1"/>
  <c r="FA269" i="25"/>
  <c r="EL269" i="25"/>
  <c r="EJ290" i="25"/>
  <c r="EY290" i="25"/>
  <c r="EK290" i="25"/>
  <c r="EN290" i="25" s="1"/>
  <c r="FA290" i="25"/>
  <c r="EL290" i="25"/>
  <c r="EJ251" i="25"/>
  <c r="EK251" i="25"/>
  <c r="EN251" i="25" s="1"/>
  <c r="EY251" i="25"/>
  <c r="FA251" i="25"/>
  <c r="EL251" i="25"/>
  <c r="EK233" i="25"/>
  <c r="EN233" i="25" s="1"/>
  <c r="EY233" i="25"/>
  <c r="EJ233" i="25"/>
  <c r="FA233" i="25"/>
  <c r="EL233" i="25"/>
  <c r="EY220" i="25"/>
  <c r="EJ220" i="25"/>
  <c r="FA220" i="25"/>
  <c r="EK220" i="25"/>
  <c r="EN220" i="25" s="1"/>
  <c r="EL220" i="25"/>
  <c r="EK286" i="25"/>
  <c r="EN286" i="25" s="1"/>
  <c r="EY286" i="25"/>
  <c r="FA286" i="25"/>
  <c r="EJ286" i="25"/>
  <c r="EL286" i="25"/>
  <c r="EJ315" i="25"/>
  <c r="EY315" i="25"/>
  <c r="EK315" i="25"/>
  <c r="EN315" i="25" s="1"/>
  <c r="FA315" i="25"/>
  <c r="EL315" i="25"/>
  <c r="EK244" i="25"/>
  <c r="EN244" i="25" s="1"/>
  <c r="FA244" i="25"/>
  <c r="EJ244" i="25"/>
  <c r="EY244" i="25"/>
  <c r="EL244" i="25"/>
  <c r="EY231" i="25"/>
  <c r="EJ231" i="25"/>
  <c r="FA231" i="25"/>
  <c r="EK231" i="25"/>
  <c r="EN231" i="25" s="1"/>
  <c r="EL231" i="25"/>
  <c r="EJ217" i="25"/>
  <c r="EY217" i="25"/>
  <c r="EK217" i="25"/>
  <c r="EN217" i="25" s="1"/>
  <c r="FA217" i="25"/>
  <c r="EL217" i="25"/>
  <c r="EJ301" i="25"/>
  <c r="EY301" i="25"/>
  <c r="EK301" i="25"/>
  <c r="EN301" i="25" s="1"/>
  <c r="FA301" i="25"/>
  <c r="EL301" i="25"/>
  <c r="EJ277" i="25"/>
  <c r="EK277" i="25"/>
  <c r="EN277" i="25" s="1"/>
  <c r="EY277" i="25"/>
  <c r="FA277" i="25"/>
  <c r="EL277" i="25"/>
  <c r="EJ232" i="25"/>
  <c r="EK232" i="25"/>
  <c r="EN232" i="25" s="1"/>
  <c r="EY232" i="25"/>
  <c r="FA232" i="25"/>
  <c r="EL232" i="25"/>
  <c r="EY260" i="25"/>
  <c r="EJ260" i="25"/>
  <c r="FA260" i="25"/>
  <c r="EK260" i="25"/>
  <c r="EN260" i="25" s="1"/>
  <c r="EL260" i="25"/>
  <c r="EJ300" i="25"/>
  <c r="EY300" i="25"/>
  <c r="EK300" i="25"/>
  <c r="EN300" i="25" s="1"/>
  <c r="FA300" i="25"/>
  <c r="EL300" i="25"/>
  <c r="EJ225" i="25"/>
  <c r="EK225" i="25"/>
  <c r="EN225" i="25" s="1"/>
  <c r="EY225" i="25"/>
  <c r="FA225" i="25"/>
  <c r="EL225" i="25"/>
  <c r="EJ287" i="25"/>
  <c r="EY287" i="25"/>
  <c r="EK287" i="25"/>
  <c r="EN287" i="25" s="1"/>
  <c r="FA287" i="25"/>
  <c r="EL287" i="25"/>
  <c r="EK273" i="25"/>
  <c r="EN273" i="25" s="1"/>
  <c r="FA273" i="25"/>
  <c r="EY273" i="25"/>
  <c r="EJ273" i="25"/>
  <c r="EL273" i="25"/>
  <c r="EK295" i="25"/>
  <c r="EN295" i="25" s="1"/>
  <c r="EY295" i="25"/>
  <c r="FA295" i="25"/>
  <c r="EJ295" i="25"/>
  <c r="EL295" i="25"/>
  <c r="EK261" i="25"/>
  <c r="EN261" i="25" s="1"/>
  <c r="EY261" i="25"/>
  <c r="FA261" i="25"/>
  <c r="EJ261" i="25"/>
  <c r="EL261" i="25"/>
  <c r="EK259" i="25"/>
  <c r="EN259" i="25" s="1"/>
  <c r="EY259" i="25"/>
  <c r="FA259" i="25"/>
  <c r="EJ259" i="25"/>
  <c r="EL259" i="25"/>
  <c r="EK302" i="25"/>
  <c r="EN302" i="25" s="1"/>
  <c r="EY302" i="25"/>
  <c r="FA302" i="25"/>
  <c r="EJ302" i="25"/>
  <c r="EL302" i="25"/>
  <c r="EY265" i="25"/>
  <c r="EJ265" i="25"/>
  <c r="FA265" i="25"/>
  <c r="EK265" i="25"/>
  <c r="EN265" i="25" s="1"/>
  <c r="EL265" i="25"/>
  <c r="EJ280" i="25"/>
  <c r="FA280" i="25"/>
  <c r="EY280" i="25"/>
  <c r="EK280" i="25"/>
  <c r="EN280" i="25" s="1"/>
  <c r="EL280" i="25"/>
  <c r="EK299" i="25"/>
  <c r="EN299" i="25" s="1"/>
  <c r="EY299" i="25"/>
  <c r="FA299" i="25"/>
  <c r="EJ299" i="25"/>
  <c r="EL299" i="25"/>
  <c r="EJ224" i="25"/>
  <c r="EK224" i="25"/>
  <c r="EN224" i="25" s="1"/>
  <c r="EY224" i="25"/>
  <c r="FA224" i="25"/>
  <c r="EL224" i="25"/>
  <c r="EK264" i="25"/>
  <c r="EN264" i="25" s="1"/>
  <c r="EY264" i="25"/>
  <c r="FA264" i="25"/>
  <c r="EJ264" i="25"/>
  <c r="EL264" i="25"/>
  <c r="EJ262" i="25"/>
  <c r="EY262" i="25"/>
  <c r="EK262" i="25"/>
  <c r="EN262" i="25" s="1"/>
  <c r="FA262" i="25"/>
  <c r="EL262" i="25"/>
  <c r="FA253" i="25"/>
  <c r="EJ253" i="25"/>
  <c r="EK253" i="25"/>
  <c r="EN253" i="25" s="1"/>
  <c r="EY253" i="25"/>
  <c r="EL253" i="25"/>
  <c r="EJ279" i="25"/>
  <c r="EK279" i="25"/>
  <c r="EN279" i="25" s="1"/>
  <c r="EY279" i="25"/>
  <c r="FA279" i="25"/>
  <c r="EL279" i="25"/>
  <c r="EJ288" i="25"/>
  <c r="EK288" i="25"/>
  <c r="EN288" i="25" s="1"/>
  <c r="EY288" i="25"/>
  <c r="FA288" i="25"/>
  <c r="EL288" i="25"/>
  <c r="EJ218" i="25"/>
  <c r="EY218" i="25"/>
  <c r="EK218" i="25"/>
  <c r="EN218" i="25" s="1"/>
  <c r="FA218" i="25"/>
  <c r="EL218" i="25"/>
  <c r="EJ236" i="25"/>
  <c r="EY236" i="25"/>
  <c r="EK236" i="25"/>
  <c r="EN236" i="25" s="1"/>
  <c r="FA236" i="25"/>
  <c r="EL236" i="25"/>
  <c r="EJ275" i="25"/>
  <c r="EK275" i="25"/>
  <c r="EN275" i="25" s="1"/>
  <c r="EY275" i="25"/>
  <c r="FA275" i="25"/>
  <c r="EL275" i="25"/>
  <c r="EY268" i="25"/>
  <c r="EJ268" i="25"/>
  <c r="FA268" i="25"/>
  <c r="EK268" i="25"/>
  <c r="EN268" i="25" s="1"/>
  <c r="EL268" i="25"/>
  <c r="EY263" i="25"/>
  <c r="EJ263" i="25"/>
  <c r="FA263" i="25"/>
  <c r="EK263" i="25"/>
  <c r="EN263" i="25" s="1"/>
  <c r="EL263" i="25"/>
  <c r="EY254" i="25"/>
  <c r="EJ254" i="25"/>
  <c r="FA254" i="25"/>
  <c r="EK254" i="25"/>
  <c r="EN254" i="25" s="1"/>
  <c r="EL254" i="25"/>
  <c r="EL112" i="25"/>
  <c r="DT112" i="25"/>
  <c r="EY112" i="25"/>
  <c r="EJ112" i="25"/>
  <c r="DV112" i="25"/>
  <c r="FA112" i="25"/>
  <c r="EK112" i="25"/>
  <c r="EN112" i="25" s="1"/>
  <c r="FA15" i="25"/>
  <c r="EY65" i="25"/>
  <c r="FA91" i="25"/>
  <c r="EY40" i="25"/>
  <c r="EY60" i="25"/>
  <c r="EY70" i="25"/>
  <c r="EY58" i="25"/>
  <c r="EY33" i="25"/>
  <c r="EJ81" i="25"/>
  <c r="EJ25" i="25"/>
  <c r="EY93" i="25"/>
  <c r="FA27" i="25"/>
  <c r="EY51" i="25"/>
  <c r="FA49" i="25"/>
  <c r="EJ86" i="25"/>
  <c r="EJ13" i="25"/>
  <c r="FA98" i="25"/>
  <c r="EJ99" i="25"/>
  <c r="FA59" i="25"/>
  <c r="FA72" i="25"/>
  <c r="EJ34" i="25"/>
  <c r="EJ92" i="25"/>
  <c r="EJ83" i="25"/>
  <c r="EJ87" i="25"/>
  <c r="EY38" i="25"/>
  <c r="EJ48" i="25"/>
  <c r="EY24" i="25"/>
  <c r="EJ78" i="25"/>
  <c r="EJ47" i="25"/>
  <c r="EY42" i="25"/>
  <c r="EJ17" i="25"/>
  <c r="EJ12" i="25"/>
  <c r="EY66" i="25"/>
  <c r="FA43" i="25"/>
  <c r="EY89" i="25"/>
  <c r="FA37" i="25"/>
  <c r="FA29" i="25"/>
  <c r="FA14" i="25"/>
  <c r="FA35" i="25"/>
  <c r="EJ73" i="25"/>
  <c r="EJ88" i="25"/>
  <c r="EJ80" i="25"/>
  <c r="EJ74" i="25"/>
  <c r="EY79" i="25"/>
  <c r="DX76" i="24"/>
  <c r="EE76" i="24" s="1"/>
  <c r="DX16" i="24"/>
  <c r="EE16" i="24" s="1"/>
  <c r="DZ66" i="24"/>
  <c r="DX78" i="24"/>
  <c r="EE78" i="24" s="1"/>
  <c r="DX75" i="24"/>
  <c r="EE75" i="24" s="1"/>
  <c r="DZ84" i="24"/>
  <c r="DZ86" i="24"/>
  <c r="DZ59" i="24"/>
  <c r="DZ22" i="24"/>
  <c r="EL183" i="25"/>
  <c r="DX18" i="24"/>
  <c r="EE18" i="24" s="1"/>
  <c r="DZ85" i="24"/>
  <c r="DX92" i="24"/>
  <c r="EE92" i="24" s="1"/>
  <c r="DX87" i="24"/>
  <c r="EE87" i="24" s="1"/>
  <c r="DX17" i="24"/>
  <c r="EE17" i="24" s="1"/>
  <c r="DZ82" i="24"/>
  <c r="DZ34" i="24"/>
  <c r="DZ51" i="24"/>
  <c r="DX45" i="24"/>
  <c r="EE45" i="24" s="1"/>
  <c r="FA81" i="25"/>
  <c r="EY81" i="25"/>
  <c r="DZ46" i="24"/>
  <c r="EK143" i="25"/>
  <c r="EN143" i="25" s="1"/>
  <c r="EJ72" i="25"/>
  <c r="EJ100" i="25"/>
  <c r="EY103" i="25"/>
  <c r="EY105" i="25"/>
  <c r="DZ38" i="24"/>
  <c r="EK183" i="25"/>
  <c r="EN183" i="25" s="1"/>
  <c r="DZ20" i="24"/>
  <c r="DR74" i="24"/>
  <c r="DR169" i="24"/>
  <c r="DU169" i="24" s="1"/>
  <c r="DZ32" i="24"/>
  <c r="DV183" i="25"/>
  <c r="DX183" i="25" s="1"/>
  <c r="EC183" i="25" s="1"/>
  <c r="EJ14" i="25"/>
  <c r="DX88" i="24"/>
  <c r="EE88" i="24" s="1"/>
  <c r="EY181" i="25"/>
  <c r="EJ168" i="25"/>
  <c r="DZ73" i="24"/>
  <c r="DX21" i="24"/>
  <c r="EE21" i="24" s="1"/>
  <c r="DX101" i="24"/>
  <c r="EE101" i="24" s="1"/>
  <c r="DZ72" i="24"/>
  <c r="FA193" i="25"/>
  <c r="EJ79" i="25"/>
  <c r="DX97" i="24"/>
  <c r="EE97" i="24" s="1"/>
  <c r="DX93" i="24"/>
  <c r="EE93" i="24" s="1"/>
  <c r="DZ90" i="24"/>
  <c r="DX57" i="24"/>
  <c r="EE57" i="24" s="1"/>
  <c r="EJ98" i="25"/>
  <c r="DZ19" i="24"/>
  <c r="DX95" i="24"/>
  <c r="EE95" i="24" s="1"/>
  <c r="DZ12" i="24"/>
  <c r="DX27" i="24"/>
  <c r="EE27" i="24" s="1"/>
  <c r="FA208" i="25"/>
  <c r="EY72" i="25"/>
  <c r="FA119" i="25"/>
  <c r="FA24" i="25"/>
  <c r="EJ24" i="25"/>
  <c r="EJ70" i="25"/>
  <c r="DY5" i="24"/>
  <c r="EF5" i="24" s="1"/>
  <c r="EA5" i="24"/>
  <c r="DR96" i="24"/>
  <c r="DY110" i="24"/>
  <c r="EF110" i="24" s="1"/>
  <c r="EA110" i="24"/>
  <c r="DR190" i="24"/>
  <c r="EY190" i="24" s="1"/>
  <c r="DR39" i="24"/>
  <c r="DR242" i="24"/>
  <c r="DR243" i="24"/>
  <c r="DW216" i="24"/>
  <c r="DU216" i="24"/>
  <c r="DR92" i="24"/>
  <c r="DT182" i="25"/>
  <c r="EY128" i="25"/>
  <c r="EY49" i="25"/>
  <c r="EJ137" i="25"/>
  <c r="DZ28" i="24"/>
  <c r="DZ74" i="24"/>
  <c r="DX105" i="24"/>
  <c r="EE105" i="24" s="1"/>
  <c r="DX7" i="24"/>
  <c r="EE7" i="24" s="1"/>
  <c r="EY98" i="25"/>
  <c r="EY35" i="25"/>
  <c r="EJ43" i="25"/>
  <c r="DZ49" i="24"/>
  <c r="FA70" i="25"/>
  <c r="DT138" i="25"/>
  <c r="DX56" i="24"/>
  <c r="EE56" i="24" s="1"/>
  <c r="EY138" i="25"/>
  <c r="DX11" i="24"/>
  <c r="EE11" i="24" s="1"/>
  <c r="EY78" i="25"/>
  <c r="DZ69" i="24"/>
  <c r="EJ33" i="25"/>
  <c r="EY119" i="25"/>
  <c r="FA173" i="25"/>
  <c r="DX9" i="24"/>
  <c r="EE9" i="24" s="1"/>
  <c r="EY173" i="25"/>
  <c r="EJ187" i="25"/>
  <c r="DO128" i="24"/>
  <c r="DR78" i="24"/>
  <c r="EY210" i="25"/>
  <c r="EJ105" i="25"/>
  <c r="EJ93" i="25"/>
  <c r="EJ121" i="25"/>
  <c r="FA79" i="25"/>
  <c r="EY121" i="25"/>
  <c r="EY48" i="25"/>
  <c r="EK182" i="25"/>
  <c r="EN182" i="25" s="1"/>
  <c r="EY14" i="25"/>
  <c r="FA38" i="25"/>
  <c r="DZ102" i="24"/>
  <c r="EY175" i="25"/>
  <c r="FA175" i="25"/>
  <c r="DX36" i="24"/>
  <c r="EE36" i="24" s="1"/>
  <c r="DZ96" i="24"/>
  <c r="DX64" i="24"/>
  <c r="EE64" i="24" s="1"/>
  <c r="DR90" i="24"/>
  <c r="EY92" i="25"/>
  <c r="FA210" i="25"/>
  <c r="EY86" i="25"/>
  <c r="DV143" i="25"/>
  <c r="DY143" i="25" s="1"/>
  <c r="CH143" i="25" s="1"/>
  <c r="DT73" i="25"/>
  <c r="FA86" i="25"/>
  <c r="EY191" i="25"/>
  <c r="EL73" i="25"/>
  <c r="EJ143" i="25"/>
  <c r="EY83" i="25"/>
  <c r="FA191" i="25"/>
  <c r="EK73" i="25"/>
  <c r="EN73" i="25" s="1"/>
  <c r="EY143" i="25"/>
  <c r="EL143" i="25"/>
  <c r="FA83" i="25"/>
  <c r="DV73" i="25"/>
  <c r="DX73" i="25" s="1"/>
  <c r="EC73" i="25" s="1"/>
  <c r="FA187" i="25"/>
  <c r="FA143" i="25"/>
  <c r="FA42" i="25"/>
  <c r="FA138" i="25"/>
  <c r="FA78" i="25"/>
  <c r="EL138" i="25"/>
  <c r="FA128" i="25"/>
  <c r="EJ199" i="25"/>
  <c r="EJ138" i="25"/>
  <c r="EK138" i="25"/>
  <c r="EN138" i="25" s="1"/>
  <c r="FA199" i="25"/>
  <c r="EY139" i="25"/>
  <c r="FA139" i="25"/>
  <c r="EY193" i="25"/>
  <c r="EJ40" i="25"/>
  <c r="EJ38" i="25"/>
  <c r="EY183" i="25"/>
  <c r="EJ183" i="25"/>
  <c r="FA183" i="25"/>
  <c r="DX182" i="25"/>
  <c r="EC182" i="25" s="1"/>
  <c r="DY182" i="25"/>
  <c r="FA58" i="25"/>
  <c r="FA181" i="25"/>
  <c r="EY182" i="25"/>
  <c r="EY99" i="25"/>
  <c r="EY47" i="25"/>
  <c r="EJ58" i="25"/>
  <c r="FA103" i="25"/>
  <c r="EJ182" i="25"/>
  <c r="FA99" i="25"/>
  <c r="FA47" i="25"/>
  <c r="DT181" i="25"/>
  <c r="FA105" i="25"/>
  <c r="EJ103" i="25"/>
  <c r="FA182" i="25"/>
  <c r="EK181" i="25"/>
  <c r="EN181" i="25" s="1"/>
  <c r="EL182" i="25"/>
  <c r="EY127" i="25"/>
  <c r="EL181" i="25"/>
  <c r="EJ208" i="25"/>
  <c r="DV181" i="25"/>
  <c r="DY181" i="25" s="1"/>
  <c r="EY168" i="25"/>
  <c r="FA171" i="25"/>
  <c r="FA100" i="25"/>
  <c r="FA34" i="25"/>
  <c r="EY25" i="25"/>
  <c r="FA33" i="25"/>
  <c r="FA40" i="25"/>
  <c r="EJ190" i="25"/>
  <c r="FA48" i="25"/>
  <c r="EY12" i="25"/>
  <c r="EJ59" i="25"/>
  <c r="EY100" i="25"/>
  <c r="EY34" i="25"/>
  <c r="FA25" i="25"/>
  <c r="EY59" i="25"/>
  <c r="FA17" i="25"/>
  <c r="EY147" i="25"/>
  <c r="EY17" i="25"/>
  <c r="FA147" i="25"/>
  <c r="EJ27" i="25"/>
  <c r="EY27" i="25"/>
  <c r="EJ15" i="25"/>
  <c r="EY158" i="25"/>
  <c r="EY73" i="25"/>
  <c r="FA73" i="25"/>
  <c r="EY15" i="25"/>
  <c r="EJ127" i="25"/>
  <c r="FA158" i="25"/>
  <c r="DV180" i="25"/>
  <c r="DX180" i="25" s="1"/>
  <c r="EC180" i="25" s="1"/>
  <c r="EK180" i="25"/>
  <c r="EN180" i="25" s="1"/>
  <c r="EL180" i="25"/>
  <c r="DT180" i="25"/>
  <c r="EJ180" i="25"/>
  <c r="FA180" i="25"/>
  <c r="EY180" i="25"/>
  <c r="DV223" i="25"/>
  <c r="DT223" i="25"/>
  <c r="DV141" i="25"/>
  <c r="DX141" i="25" s="1"/>
  <c r="EC141" i="25" s="1"/>
  <c r="EK141" i="25"/>
  <c r="EN141" i="25" s="1"/>
  <c r="EL141" i="25"/>
  <c r="DT141" i="25"/>
  <c r="FA141" i="25"/>
  <c r="EY141" i="25"/>
  <c r="EJ141" i="25"/>
  <c r="DV258" i="25"/>
  <c r="DT258" i="25"/>
  <c r="DV129" i="25"/>
  <c r="DX129" i="25" s="1"/>
  <c r="EC129" i="25" s="1"/>
  <c r="EL129" i="25"/>
  <c r="EK129" i="25"/>
  <c r="EN129" i="25" s="1"/>
  <c r="DT129" i="25"/>
  <c r="FA129" i="25"/>
  <c r="EY129" i="25"/>
  <c r="EJ129" i="25"/>
  <c r="DV164" i="25"/>
  <c r="DX164" i="25" s="1"/>
  <c r="EC164" i="25" s="1"/>
  <c r="EL164" i="25"/>
  <c r="EK164" i="25"/>
  <c r="EN164" i="25" s="1"/>
  <c r="DT164" i="25"/>
  <c r="FA164" i="25"/>
  <c r="EY164" i="25"/>
  <c r="EJ164" i="25"/>
  <c r="DV101" i="25"/>
  <c r="EL101" i="25"/>
  <c r="EK101" i="25"/>
  <c r="EN101" i="25" s="1"/>
  <c r="EJ101" i="25"/>
  <c r="FA101" i="25"/>
  <c r="EY101" i="25"/>
  <c r="EB17" i="25"/>
  <c r="EA17" i="25"/>
  <c r="DV169" i="25"/>
  <c r="DX169" i="25" s="1"/>
  <c r="EC169" i="25" s="1"/>
  <c r="EK169" i="25"/>
  <c r="EN169" i="25" s="1"/>
  <c r="EL169" i="25"/>
  <c r="DT169" i="25"/>
  <c r="EJ169" i="25"/>
  <c r="DV301" i="25"/>
  <c r="DT301" i="25"/>
  <c r="EY169" i="25"/>
  <c r="DV63" i="25"/>
  <c r="EK63" i="25"/>
  <c r="EN63" i="25" s="1"/>
  <c r="EL63" i="25"/>
  <c r="DT63" i="25"/>
  <c r="EY63" i="25"/>
  <c r="EJ63" i="25"/>
  <c r="FA63" i="25"/>
  <c r="DV231" i="25"/>
  <c r="DT231" i="25"/>
  <c r="DV104" i="25"/>
  <c r="EK104" i="25"/>
  <c r="EN104" i="25" s="1"/>
  <c r="EL104" i="25"/>
  <c r="FA104" i="25"/>
  <c r="EJ104" i="25"/>
  <c r="EY104" i="25"/>
  <c r="EB193" i="25"/>
  <c r="EA193" i="25"/>
  <c r="DV136" i="25"/>
  <c r="DX136" i="25" s="1"/>
  <c r="EC136" i="25" s="1"/>
  <c r="EL136" i="25"/>
  <c r="EK136" i="25"/>
  <c r="EN136" i="25" s="1"/>
  <c r="DT136" i="25"/>
  <c r="EY136" i="25"/>
  <c r="EJ136" i="25"/>
  <c r="FA136" i="25"/>
  <c r="FA169" i="25"/>
  <c r="DV44" i="25"/>
  <c r="EL44" i="25"/>
  <c r="EK44" i="25"/>
  <c r="EN44" i="25" s="1"/>
  <c r="DT44" i="25"/>
  <c r="EY44" i="25"/>
  <c r="EJ44" i="25"/>
  <c r="FA44" i="25"/>
  <c r="DV23" i="25"/>
  <c r="DX23" i="25" s="1"/>
  <c r="EC23" i="25" s="1"/>
  <c r="EK23" i="25"/>
  <c r="EN23" i="25" s="1"/>
  <c r="EL23" i="25"/>
  <c r="DT23" i="25"/>
  <c r="EY23" i="25"/>
  <c r="EJ23" i="25"/>
  <c r="FA23" i="25"/>
  <c r="DV97" i="25"/>
  <c r="DX97" i="25" s="1"/>
  <c r="EC97" i="25" s="1"/>
  <c r="EL97" i="25"/>
  <c r="EK97" i="25"/>
  <c r="EN97" i="25" s="1"/>
  <c r="EJ97" i="25"/>
  <c r="FA97" i="25"/>
  <c r="EY97" i="25"/>
  <c r="DV203" i="25"/>
  <c r="DX203" i="25" s="1"/>
  <c r="EC203" i="25" s="1"/>
  <c r="EK203" i="25"/>
  <c r="EN203" i="25" s="1"/>
  <c r="EL203" i="25"/>
  <c r="EJ203" i="25"/>
  <c r="FA203" i="25"/>
  <c r="EY203" i="25"/>
  <c r="DV194" i="25"/>
  <c r="DX194" i="25" s="1"/>
  <c r="EC194" i="25" s="1"/>
  <c r="EK194" i="25"/>
  <c r="EN194" i="25" s="1"/>
  <c r="EL194" i="25"/>
  <c r="FA194" i="25"/>
  <c r="EY194" i="25"/>
  <c r="EJ194" i="25"/>
  <c r="DV93" i="25"/>
  <c r="DX93" i="25" s="1"/>
  <c r="EC93" i="25" s="1"/>
  <c r="EL93" i="25"/>
  <c r="EK93" i="25"/>
  <c r="EN93" i="25" s="1"/>
  <c r="FA93" i="25"/>
  <c r="DV219" i="25"/>
  <c r="DT219" i="25"/>
  <c r="DV77" i="25"/>
  <c r="DX77" i="25" s="1"/>
  <c r="EC77" i="25" s="1"/>
  <c r="EL77" i="25"/>
  <c r="EK77" i="25"/>
  <c r="EN77" i="25" s="1"/>
  <c r="DT77" i="25"/>
  <c r="EB93" i="25"/>
  <c r="EA93" i="25"/>
  <c r="DV307" i="25"/>
  <c r="DT307" i="25"/>
  <c r="EB210" i="25"/>
  <c r="EA210" i="25"/>
  <c r="EB100" i="25"/>
  <c r="EA100" i="25"/>
  <c r="DV297" i="25"/>
  <c r="DT297" i="25"/>
  <c r="DV90" i="25"/>
  <c r="DX90" i="25" s="1"/>
  <c r="EC90" i="25" s="1"/>
  <c r="EK90" i="25"/>
  <c r="EN90" i="25" s="1"/>
  <c r="EL90" i="25"/>
  <c r="DT90" i="25"/>
  <c r="DV269" i="25"/>
  <c r="DT269" i="25"/>
  <c r="EB72" i="25"/>
  <c r="EA72" i="25"/>
  <c r="DV56" i="25"/>
  <c r="DX56" i="25" s="1"/>
  <c r="EC56" i="25" s="1"/>
  <c r="EK56" i="25"/>
  <c r="EN56" i="25" s="1"/>
  <c r="EL56" i="25"/>
  <c r="DT56" i="25"/>
  <c r="DV253" i="25"/>
  <c r="DT253" i="25"/>
  <c r="EB70" i="25"/>
  <c r="EA70" i="25"/>
  <c r="DV146" i="25"/>
  <c r="EK146" i="25"/>
  <c r="EN146" i="25" s="1"/>
  <c r="EL146" i="25"/>
  <c r="DT146" i="25"/>
  <c r="EY146" i="25"/>
  <c r="EJ146" i="25"/>
  <c r="FA146" i="25"/>
  <c r="EB208" i="25"/>
  <c r="EA208" i="25"/>
  <c r="FA87" i="25"/>
  <c r="EB169" i="25"/>
  <c r="EA169" i="25"/>
  <c r="DV160" i="25"/>
  <c r="EK160" i="25"/>
  <c r="EN160" i="25" s="1"/>
  <c r="EL160" i="25"/>
  <c r="DT160" i="25"/>
  <c r="EJ160" i="25"/>
  <c r="FA160" i="25"/>
  <c r="EY160" i="25"/>
  <c r="DV102" i="25"/>
  <c r="EK102" i="25"/>
  <c r="EN102" i="25" s="1"/>
  <c r="EL102" i="25"/>
  <c r="EJ102" i="25"/>
  <c r="FA102" i="25"/>
  <c r="EY102" i="25"/>
  <c r="DV52" i="25"/>
  <c r="EK52" i="25"/>
  <c r="EN52" i="25" s="1"/>
  <c r="EL52" i="25"/>
  <c r="DT52" i="25"/>
  <c r="EY52" i="25"/>
  <c r="EJ52" i="25"/>
  <c r="FA52" i="25"/>
  <c r="DV40" i="25"/>
  <c r="DX40" i="25" s="1"/>
  <c r="EC40" i="25" s="1"/>
  <c r="EK40" i="25"/>
  <c r="EN40" i="25" s="1"/>
  <c r="EL40" i="25"/>
  <c r="DT40" i="25"/>
  <c r="EB79" i="25"/>
  <c r="EA79" i="25"/>
  <c r="DV207" i="25"/>
  <c r="EL207" i="25"/>
  <c r="EK207" i="25"/>
  <c r="EN207" i="25" s="1"/>
  <c r="EY207" i="25"/>
  <c r="EJ207" i="25"/>
  <c r="FA207" i="25"/>
  <c r="FA92" i="25"/>
  <c r="EB119" i="25"/>
  <c r="EA119" i="25"/>
  <c r="EB141" i="25"/>
  <c r="EA141" i="25"/>
  <c r="DV64" i="25"/>
  <c r="DX64" i="25" s="1"/>
  <c r="EC64" i="25" s="1"/>
  <c r="EK64" i="25"/>
  <c r="EN64" i="25" s="1"/>
  <c r="EL64" i="25"/>
  <c r="DT64" i="25"/>
  <c r="DV255" i="25"/>
  <c r="DT255" i="25"/>
  <c r="DV70" i="25"/>
  <c r="DX70" i="25" s="1"/>
  <c r="EC70" i="25" s="1"/>
  <c r="EL70" i="25"/>
  <c r="EK70" i="25"/>
  <c r="EN70" i="25" s="1"/>
  <c r="DT70" i="25"/>
  <c r="DV236" i="25"/>
  <c r="DT236" i="25"/>
  <c r="DV58" i="25"/>
  <c r="DX58" i="25" s="1"/>
  <c r="EC58" i="25" s="1"/>
  <c r="EK58" i="25"/>
  <c r="EN58" i="25" s="1"/>
  <c r="EL58" i="25"/>
  <c r="DT58" i="25"/>
  <c r="EJ178" i="25"/>
  <c r="DV178" i="25"/>
  <c r="DX178" i="25" s="1"/>
  <c r="EC178" i="25" s="1"/>
  <c r="EK178" i="25"/>
  <c r="EN178" i="25" s="1"/>
  <c r="EL178" i="25"/>
  <c r="DT178" i="25"/>
  <c r="FA53" i="25"/>
  <c r="DV53" i="25"/>
  <c r="EK53" i="25"/>
  <c r="EN53" i="25" s="1"/>
  <c r="EL53" i="25"/>
  <c r="DT53" i="25"/>
  <c r="EY53" i="25"/>
  <c r="EJ53" i="25"/>
  <c r="EB66" i="25"/>
  <c r="EA66" i="25"/>
  <c r="DV173" i="25"/>
  <c r="DX173" i="25" s="1"/>
  <c r="EC173" i="25" s="1"/>
  <c r="EK173" i="25"/>
  <c r="EN173" i="25" s="1"/>
  <c r="EL173" i="25"/>
  <c r="DT173" i="25"/>
  <c r="DV298" i="25"/>
  <c r="DT298" i="25"/>
  <c r="DV303" i="25"/>
  <c r="DT303" i="25"/>
  <c r="EB190" i="25"/>
  <c r="EA190" i="25"/>
  <c r="DV96" i="25"/>
  <c r="DX96" i="25" s="1"/>
  <c r="EC96" i="25" s="1"/>
  <c r="EL96" i="25"/>
  <c r="EK96" i="25"/>
  <c r="EN96" i="25" s="1"/>
  <c r="DV295" i="25"/>
  <c r="DT295" i="25"/>
  <c r="DV117" i="25"/>
  <c r="EK117" i="25"/>
  <c r="EN117" i="25" s="1"/>
  <c r="EL117" i="25"/>
  <c r="DT117" i="25"/>
  <c r="EY117" i="25"/>
  <c r="FA117" i="25"/>
  <c r="EJ117" i="25"/>
  <c r="EB139" i="25"/>
  <c r="EA139" i="25"/>
  <c r="DV170" i="25"/>
  <c r="DX170" i="25" s="1"/>
  <c r="EC170" i="25" s="1"/>
  <c r="EL170" i="25"/>
  <c r="EK170" i="25"/>
  <c r="EN170" i="25" s="1"/>
  <c r="DT170" i="25"/>
  <c r="EB38" i="25"/>
  <c r="EA38" i="25"/>
  <c r="DV162" i="25"/>
  <c r="EL162" i="25"/>
  <c r="EK162" i="25"/>
  <c r="EN162" i="25" s="1"/>
  <c r="DT162" i="25"/>
  <c r="EY162" i="25"/>
  <c r="EJ162" i="25"/>
  <c r="FA162" i="25"/>
  <c r="DV61" i="25"/>
  <c r="EL61" i="25"/>
  <c r="EK61" i="25"/>
  <c r="EN61" i="25" s="1"/>
  <c r="DT61" i="25"/>
  <c r="EJ61" i="25"/>
  <c r="FA61" i="25"/>
  <c r="EY61" i="25"/>
  <c r="EB12" i="25"/>
  <c r="EA12" i="25"/>
  <c r="DV199" i="25"/>
  <c r="DX199" i="25" s="1"/>
  <c r="EC199" i="25" s="1"/>
  <c r="EL199" i="25"/>
  <c r="EK199" i="25"/>
  <c r="EN199" i="25" s="1"/>
  <c r="EY170" i="25"/>
  <c r="EY80" i="25"/>
  <c r="FA88" i="25"/>
  <c r="DV95" i="25"/>
  <c r="DX95" i="25" s="1"/>
  <c r="EC95" i="25" s="1"/>
  <c r="EK95" i="25"/>
  <c r="EN95" i="25" s="1"/>
  <c r="EL95" i="25"/>
  <c r="DV202" i="25"/>
  <c r="EL202" i="25"/>
  <c r="EK202" i="25"/>
  <c r="EN202" i="25" s="1"/>
  <c r="EY202" i="25"/>
  <c r="EJ202" i="25"/>
  <c r="FA202" i="25"/>
  <c r="EB45" i="25"/>
  <c r="EA45" i="25"/>
  <c r="DV171" i="25"/>
  <c r="DX171" i="25" s="1"/>
  <c r="EC171" i="25" s="1"/>
  <c r="EL171" i="25"/>
  <c r="EK171" i="25"/>
  <c r="EN171" i="25" s="1"/>
  <c r="DT171" i="25"/>
  <c r="DV316" i="25"/>
  <c r="DT316" i="25"/>
  <c r="EB143" i="25"/>
  <c r="EA143" i="25"/>
  <c r="DV159" i="25"/>
  <c r="EK159" i="25"/>
  <c r="EN159" i="25" s="1"/>
  <c r="EL159" i="25"/>
  <c r="DT159" i="25"/>
  <c r="EJ159" i="25"/>
  <c r="FA159" i="25"/>
  <c r="EY159" i="25"/>
  <c r="DV144" i="25"/>
  <c r="EL144" i="25"/>
  <c r="EK144" i="25"/>
  <c r="EN144" i="25" s="1"/>
  <c r="DT144" i="25"/>
  <c r="EY144" i="25"/>
  <c r="EJ144" i="25"/>
  <c r="FA144" i="25"/>
  <c r="DV242" i="25"/>
  <c r="DT242" i="25"/>
  <c r="EY91" i="25"/>
  <c r="DV81" i="25"/>
  <c r="DX81" i="25" s="1"/>
  <c r="EC81" i="25" s="1"/>
  <c r="EL81" i="25"/>
  <c r="EK81" i="25"/>
  <c r="EN81" i="25" s="1"/>
  <c r="DT81" i="25"/>
  <c r="DV34" i="25"/>
  <c r="DX34" i="25" s="1"/>
  <c r="EC34" i="25" s="1"/>
  <c r="EK34" i="25"/>
  <c r="EN34" i="25" s="1"/>
  <c r="EL34" i="25"/>
  <c r="DT34" i="25"/>
  <c r="EJ200" i="25"/>
  <c r="EY137" i="25"/>
  <c r="DV137" i="25"/>
  <c r="DX137" i="25" s="1"/>
  <c r="EC137" i="25" s="1"/>
  <c r="EK137" i="25"/>
  <c r="EN137" i="25" s="1"/>
  <c r="EL137" i="25"/>
  <c r="DT137" i="25"/>
  <c r="DV8" i="25"/>
  <c r="EK8" i="25"/>
  <c r="EN8" i="25" s="1"/>
  <c r="EL8" i="25"/>
  <c r="DT8" i="25"/>
  <c r="FA8" i="25"/>
  <c r="EY8" i="25"/>
  <c r="EJ8" i="25"/>
  <c r="DV226" i="25"/>
  <c r="DT226" i="25"/>
  <c r="DV74" i="25"/>
  <c r="DX74" i="25" s="1"/>
  <c r="EC74" i="25" s="1"/>
  <c r="EL74" i="25"/>
  <c r="EK74" i="25"/>
  <c r="EN74" i="25" s="1"/>
  <c r="DT74" i="25"/>
  <c r="DV217" i="25"/>
  <c r="DT217" i="25"/>
  <c r="EB83" i="25"/>
  <c r="EA83" i="25"/>
  <c r="DV291" i="25"/>
  <c r="DT291" i="25"/>
  <c r="DV153" i="25"/>
  <c r="EL153" i="25"/>
  <c r="EK153" i="25"/>
  <c r="EN153" i="25" s="1"/>
  <c r="DT153" i="25"/>
  <c r="EJ153" i="25"/>
  <c r="FA153" i="25"/>
  <c r="EY153" i="25"/>
  <c r="DV166" i="25"/>
  <c r="EL166" i="25"/>
  <c r="EK166" i="25"/>
  <c r="EN166" i="25" s="1"/>
  <c r="DT166" i="25"/>
  <c r="EJ166" i="25"/>
  <c r="EY166" i="25"/>
  <c r="FA166" i="25"/>
  <c r="DV22" i="25"/>
  <c r="EL22" i="25"/>
  <c r="EK22" i="25"/>
  <c r="EN22" i="25" s="1"/>
  <c r="DT22" i="25"/>
  <c r="EJ22" i="25"/>
  <c r="FA22" i="25"/>
  <c r="EY22" i="25"/>
  <c r="DV156" i="25"/>
  <c r="DX156" i="25" s="1"/>
  <c r="EC156" i="25" s="1"/>
  <c r="EK156" i="25"/>
  <c r="EN156" i="25" s="1"/>
  <c r="EL156" i="25"/>
  <c r="DT156" i="25"/>
  <c r="DV147" i="25"/>
  <c r="DX147" i="25" s="1"/>
  <c r="EC147" i="25" s="1"/>
  <c r="EL147" i="25"/>
  <c r="EK147" i="25"/>
  <c r="EN147" i="25" s="1"/>
  <c r="DT147" i="25"/>
  <c r="DV290" i="25"/>
  <c r="DT290" i="25"/>
  <c r="DV27" i="25"/>
  <c r="DX27" i="25" s="1"/>
  <c r="EC27" i="25" s="1"/>
  <c r="EL27" i="25"/>
  <c r="EK27" i="25"/>
  <c r="EN27" i="25" s="1"/>
  <c r="DT27" i="25"/>
  <c r="DV279" i="25"/>
  <c r="DT279" i="25"/>
  <c r="EY87" i="25"/>
  <c r="EB25" i="25"/>
  <c r="EA25" i="25"/>
  <c r="EB147" i="25"/>
  <c r="EA147" i="25"/>
  <c r="DV158" i="25"/>
  <c r="DX158" i="25" s="1"/>
  <c r="EC158" i="25" s="1"/>
  <c r="EL158" i="25"/>
  <c r="EK158" i="25"/>
  <c r="EN158" i="25" s="1"/>
  <c r="DT158" i="25"/>
  <c r="DV94" i="25"/>
  <c r="EK94" i="25"/>
  <c r="EN94" i="25" s="1"/>
  <c r="EL94" i="25"/>
  <c r="EJ94" i="25"/>
  <c r="EY94" i="25"/>
  <c r="FA94" i="25"/>
  <c r="EB27" i="25"/>
  <c r="EA27" i="25"/>
  <c r="EB137" i="25"/>
  <c r="EA137" i="25"/>
  <c r="DV37" i="25"/>
  <c r="DX37" i="25" s="1"/>
  <c r="EC37" i="25" s="1"/>
  <c r="EL37" i="25"/>
  <c r="EK37" i="25"/>
  <c r="EN37" i="25" s="1"/>
  <c r="DT37" i="25"/>
  <c r="DV218" i="25"/>
  <c r="DT218" i="25"/>
  <c r="DV115" i="25"/>
  <c r="EL115" i="25"/>
  <c r="EK115" i="25"/>
  <c r="EN115" i="25" s="1"/>
  <c r="DT115" i="25"/>
  <c r="EY115" i="25"/>
  <c r="FA115" i="25"/>
  <c r="EJ115" i="25"/>
  <c r="DV83" i="25"/>
  <c r="DX83" i="25" s="1"/>
  <c r="EC83" i="25" s="1"/>
  <c r="EK83" i="25"/>
  <c r="EN83" i="25" s="1"/>
  <c r="EL83" i="25"/>
  <c r="DT83" i="25"/>
  <c r="EB127" i="25"/>
  <c r="EA127" i="25"/>
  <c r="DV17" i="25"/>
  <c r="DX17" i="25" s="1"/>
  <c r="EC17" i="25" s="1"/>
  <c r="EL17" i="25"/>
  <c r="EK17" i="25"/>
  <c r="EN17" i="25" s="1"/>
  <c r="DT17" i="25"/>
  <c r="DV235" i="25"/>
  <c r="DT235" i="25"/>
  <c r="DV26" i="25"/>
  <c r="EL26" i="25"/>
  <c r="EK26" i="25"/>
  <c r="EN26" i="25" s="1"/>
  <c r="DT26" i="25"/>
  <c r="EJ26" i="25"/>
  <c r="EY26" i="25"/>
  <c r="FA26" i="25"/>
  <c r="DV18" i="25"/>
  <c r="EK18" i="25"/>
  <c r="EN18" i="25" s="1"/>
  <c r="EL18" i="25"/>
  <c r="DT18" i="25"/>
  <c r="EY18" i="25"/>
  <c r="EJ18" i="25"/>
  <c r="FA18" i="25"/>
  <c r="EJ60" i="25"/>
  <c r="FA157" i="25"/>
  <c r="DV111" i="25"/>
  <c r="DX111" i="25" s="1"/>
  <c r="EC111" i="25" s="1"/>
  <c r="EK111" i="25"/>
  <c r="EN111" i="25" s="1"/>
  <c r="EL111" i="25"/>
  <c r="DT111" i="25"/>
  <c r="EB187" i="25"/>
  <c r="EA187" i="25"/>
  <c r="DV287" i="25"/>
  <c r="DT287" i="25"/>
  <c r="DV191" i="25"/>
  <c r="DX191" i="25" s="1"/>
  <c r="EC191" i="25" s="1"/>
  <c r="EL191" i="25"/>
  <c r="EK191" i="25"/>
  <c r="EN191" i="25" s="1"/>
  <c r="DT191" i="25"/>
  <c r="DV245" i="25"/>
  <c r="DT245" i="25"/>
  <c r="EB158" i="25"/>
  <c r="EA158" i="25"/>
  <c r="DV233" i="25"/>
  <c r="DT233" i="25"/>
  <c r="DV57" i="25"/>
  <c r="EL57" i="25"/>
  <c r="EK57" i="25"/>
  <c r="EN57" i="25" s="1"/>
  <c r="DT57" i="25"/>
  <c r="EJ57" i="25"/>
  <c r="EY57" i="25"/>
  <c r="FA57" i="25"/>
  <c r="FA177" i="25"/>
  <c r="FA122" i="25"/>
  <c r="EJ29" i="25"/>
  <c r="DT131" i="25"/>
  <c r="DV131" i="25"/>
  <c r="DX131" i="25" s="1"/>
  <c r="EC131" i="25" s="1"/>
  <c r="EL131" i="25"/>
  <c r="EK131" i="25"/>
  <c r="EN131" i="25" s="1"/>
  <c r="EJ170" i="25"/>
  <c r="EB168" i="25"/>
  <c r="EA168" i="25"/>
  <c r="EY96" i="25"/>
  <c r="EB35" i="25"/>
  <c r="EA35" i="25"/>
  <c r="EY88" i="25"/>
  <c r="DV49" i="25"/>
  <c r="DX49" i="25" s="1"/>
  <c r="EC49" i="25" s="1"/>
  <c r="EK49" i="25"/>
  <c r="EN49" i="25" s="1"/>
  <c r="EL49" i="25"/>
  <c r="DT49" i="25"/>
  <c r="DV220" i="25"/>
  <c r="DT220" i="25"/>
  <c r="DV24" i="25"/>
  <c r="DX24" i="25" s="1"/>
  <c r="EC24" i="25" s="1"/>
  <c r="EK24" i="25"/>
  <c r="EN24" i="25" s="1"/>
  <c r="EL24" i="25"/>
  <c r="DT24" i="25"/>
  <c r="DV168" i="25"/>
  <c r="DX168" i="25" s="1"/>
  <c r="EC168" i="25" s="1"/>
  <c r="EK168" i="25"/>
  <c r="EN168" i="25" s="1"/>
  <c r="EL168" i="25"/>
  <c r="DT168" i="25"/>
  <c r="DV21" i="25"/>
  <c r="EK21" i="25"/>
  <c r="EN21" i="25" s="1"/>
  <c r="EL21" i="25"/>
  <c r="DT21" i="25"/>
  <c r="FA21" i="25"/>
  <c r="EY21" i="25"/>
  <c r="EJ21" i="25"/>
  <c r="FA206" i="25"/>
  <c r="DV206" i="25"/>
  <c r="EK206" i="25"/>
  <c r="EN206" i="25" s="1"/>
  <c r="EL206" i="25"/>
  <c r="EY206" i="25"/>
  <c r="EJ206" i="25"/>
  <c r="DV312" i="25"/>
  <c r="DT312" i="25"/>
  <c r="EJ174" i="25"/>
  <c r="EB200" i="25"/>
  <c r="EA200" i="25"/>
  <c r="DV254" i="25"/>
  <c r="DT254" i="25"/>
  <c r="DV80" i="25"/>
  <c r="DX80" i="25" s="1"/>
  <c r="EC80" i="25" s="1"/>
  <c r="EK80" i="25"/>
  <c r="EN80" i="25" s="1"/>
  <c r="EL80" i="25"/>
  <c r="DT80" i="25"/>
  <c r="EY74" i="25"/>
  <c r="DV135" i="25"/>
  <c r="EL135" i="25"/>
  <c r="EK135" i="25"/>
  <c r="EN135" i="25" s="1"/>
  <c r="DT135" i="25"/>
  <c r="FA135" i="25"/>
  <c r="EJ135" i="25"/>
  <c r="EY135" i="25"/>
  <c r="DV229" i="25"/>
  <c r="DT229" i="25"/>
  <c r="EB34" i="25"/>
  <c r="EA34" i="25"/>
  <c r="DV262" i="25"/>
  <c r="DT262" i="25"/>
  <c r="DV228" i="25"/>
  <c r="DT228" i="25"/>
  <c r="DV165" i="25"/>
  <c r="EK165" i="25"/>
  <c r="EN165" i="25" s="1"/>
  <c r="EL165" i="25"/>
  <c r="DT165" i="25"/>
  <c r="EJ165" i="25"/>
  <c r="EY165" i="25"/>
  <c r="FA165" i="25"/>
  <c r="DV188" i="25"/>
  <c r="EK188" i="25"/>
  <c r="EN188" i="25" s="1"/>
  <c r="EL188" i="25"/>
  <c r="DT188" i="25"/>
  <c r="EY188" i="25"/>
  <c r="EJ188" i="25"/>
  <c r="FA188" i="25"/>
  <c r="DV248" i="25"/>
  <c r="DT248" i="25"/>
  <c r="DV192" i="25"/>
  <c r="EL192" i="25"/>
  <c r="EK192" i="25"/>
  <c r="EN192" i="25" s="1"/>
  <c r="DT192" i="25"/>
  <c r="EJ192" i="25"/>
  <c r="FA192" i="25"/>
  <c r="EY192" i="25"/>
  <c r="EB199" i="25"/>
  <c r="EA199" i="25"/>
  <c r="EB33" i="25"/>
  <c r="EA33" i="25"/>
  <c r="DV118" i="25"/>
  <c r="EL118" i="25"/>
  <c r="EK118" i="25"/>
  <c r="EN118" i="25" s="1"/>
  <c r="DT118" i="25"/>
  <c r="EJ118" i="25"/>
  <c r="EY118" i="25"/>
  <c r="FA118" i="25"/>
  <c r="EB40" i="25"/>
  <c r="EA40" i="25"/>
  <c r="DV47" i="25"/>
  <c r="DX47" i="25" s="1"/>
  <c r="EC47" i="25" s="1"/>
  <c r="EK47" i="25"/>
  <c r="EN47" i="25" s="1"/>
  <c r="EL47" i="25"/>
  <c r="DT47" i="25"/>
  <c r="FA156" i="25"/>
  <c r="FA90" i="25"/>
  <c r="EB92" i="25"/>
  <c r="EA92" i="25"/>
  <c r="EJ42" i="25"/>
  <c r="EB58" i="25"/>
  <c r="EA58" i="25"/>
  <c r="DV185" i="25"/>
  <c r="DX185" i="25" s="1"/>
  <c r="EC185" i="25" s="1"/>
  <c r="EL185" i="25"/>
  <c r="EK185" i="25"/>
  <c r="EN185" i="25" s="1"/>
  <c r="DT185" i="25"/>
  <c r="EB15" i="25"/>
  <c r="EA15" i="25"/>
  <c r="DV124" i="25"/>
  <c r="EL124" i="25"/>
  <c r="EK124" i="25"/>
  <c r="EN124" i="25" s="1"/>
  <c r="DT124" i="25"/>
  <c r="FA124" i="25"/>
  <c r="EY124" i="25"/>
  <c r="EJ124" i="25"/>
  <c r="DV251" i="25"/>
  <c r="DT251" i="25"/>
  <c r="DV30" i="25"/>
  <c r="EK30" i="25"/>
  <c r="EN30" i="25" s="1"/>
  <c r="EL30" i="25"/>
  <c r="DT30" i="25"/>
  <c r="FA30" i="25"/>
  <c r="EY30" i="25"/>
  <c r="EJ30" i="25"/>
  <c r="EB173" i="25"/>
  <c r="EA173" i="25"/>
  <c r="DV204" i="25"/>
  <c r="EL204" i="25"/>
  <c r="EK204" i="25"/>
  <c r="EN204" i="25" s="1"/>
  <c r="EY204" i="25"/>
  <c r="FA204" i="25"/>
  <c r="EJ204" i="25"/>
  <c r="DV31" i="25"/>
  <c r="EL31" i="25"/>
  <c r="EK31" i="25"/>
  <c r="EN31" i="25" s="1"/>
  <c r="DT31" i="25"/>
  <c r="EY31" i="25"/>
  <c r="FA31" i="25"/>
  <c r="EJ31" i="25"/>
  <c r="DV249" i="25"/>
  <c r="DT249" i="25"/>
  <c r="DV313" i="25"/>
  <c r="DT313" i="25"/>
  <c r="EY126" i="25"/>
  <c r="DV33" i="25"/>
  <c r="DX33" i="25" s="1"/>
  <c r="EC33" i="25" s="1"/>
  <c r="EL33" i="25"/>
  <c r="EK33" i="25"/>
  <c r="EN33" i="25" s="1"/>
  <c r="DT33" i="25"/>
  <c r="EB78" i="25"/>
  <c r="EA78" i="25"/>
  <c r="DV304" i="25"/>
  <c r="DT304" i="25"/>
  <c r="EJ64" i="25"/>
  <c r="EY157" i="25"/>
  <c r="DV98" i="25"/>
  <c r="DX98" i="25" s="1"/>
  <c r="EC98" i="25" s="1"/>
  <c r="EK98" i="25"/>
  <c r="EN98" i="25" s="1"/>
  <c r="EL98" i="25"/>
  <c r="EB203" i="25"/>
  <c r="EA203" i="25"/>
  <c r="DV184" i="25"/>
  <c r="EL184" i="25"/>
  <c r="EK184" i="25"/>
  <c r="EN184" i="25" s="1"/>
  <c r="DT184" i="25"/>
  <c r="FA184" i="25"/>
  <c r="EJ184" i="25"/>
  <c r="EY184" i="25"/>
  <c r="EJ111" i="25"/>
  <c r="DV283" i="25"/>
  <c r="DT283" i="25"/>
  <c r="DV234" i="25"/>
  <c r="DT234" i="25"/>
  <c r="DV71" i="25"/>
  <c r="EL71" i="25"/>
  <c r="EK71" i="25"/>
  <c r="EN71" i="25" s="1"/>
  <c r="DT71" i="25"/>
  <c r="EJ71" i="25"/>
  <c r="EY71" i="25"/>
  <c r="FA71" i="25"/>
  <c r="DV278" i="25"/>
  <c r="DT278" i="25"/>
  <c r="EY145" i="25"/>
  <c r="DV311" i="25"/>
  <c r="DT311" i="25"/>
  <c r="DV38" i="25"/>
  <c r="DX38" i="25" s="1"/>
  <c r="EC38" i="25" s="1"/>
  <c r="EL38" i="25"/>
  <c r="EK38" i="25"/>
  <c r="EN38" i="25" s="1"/>
  <c r="DT38" i="25"/>
  <c r="EB175" i="25"/>
  <c r="EA175" i="25"/>
  <c r="EY13" i="25"/>
  <c r="EJ49" i="25"/>
  <c r="EJ65" i="25"/>
  <c r="EJ122" i="25"/>
  <c r="EB164" i="25"/>
  <c r="EA164" i="25"/>
  <c r="EB170" i="25"/>
  <c r="EA170" i="25"/>
  <c r="EB80" i="25"/>
  <c r="EA80" i="25"/>
  <c r="EJ96" i="25"/>
  <c r="DV46" i="25"/>
  <c r="EL46" i="25"/>
  <c r="EK46" i="25"/>
  <c r="EN46" i="25" s="1"/>
  <c r="DT46" i="25"/>
  <c r="FA46" i="25"/>
  <c r="EY46" i="25"/>
  <c r="EJ46" i="25"/>
  <c r="DV123" i="25"/>
  <c r="EK123" i="25"/>
  <c r="EN123" i="25" s="1"/>
  <c r="EL123" i="25"/>
  <c r="DT123" i="25"/>
  <c r="EY123" i="25"/>
  <c r="EJ123" i="25"/>
  <c r="FA123" i="25"/>
  <c r="DV230" i="25"/>
  <c r="DT230" i="25"/>
  <c r="DV86" i="25"/>
  <c r="DX86" i="25" s="1"/>
  <c r="EC86" i="25" s="1"/>
  <c r="EK86" i="25"/>
  <c r="EN86" i="25" s="1"/>
  <c r="EL86" i="25"/>
  <c r="DT86" i="25"/>
  <c r="EB59" i="25"/>
  <c r="EA59" i="25"/>
  <c r="DV59" i="25"/>
  <c r="DX59" i="25" s="1"/>
  <c r="EC59" i="25" s="1"/>
  <c r="EL59" i="25"/>
  <c r="EK59" i="25"/>
  <c r="EN59" i="25" s="1"/>
  <c r="DT59" i="25"/>
  <c r="DV186" i="25"/>
  <c r="EK186" i="25"/>
  <c r="EN186" i="25" s="1"/>
  <c r="EL186" i="25"/>
  <c r="DT186" i="25"/>
  <c r="EY186" i="25"/>
  <c r="EJ186" i="25"/>
  <c r="FA186" i="25"/>
  <c r="DV198" i="25"/>
  <c r="EK198" i="25"/>
  <c r="EN198" i="25" s="1"/>
  <c r="EL198" i="25"/>
  <c r="FA198" i="25"/>
  <c r="EJ198" i="25"/>
  <c r="EY198" i="25"/>
  <c r="DV280" i="25"/>
  <c r="DT280" i="25"/>
  <c r="FA185" i="25"/>
  <c r="EJ69" i="25"/>
  <c r="DV69" i="25"/>
  <c r="EL69" i="25"/>
  <c r="EK69" i="25"/>
  <c r="EN69" i="25" s="1"/>
  <c r="DT69" i="25"/>
  <c r="FA69" i="25"/>
  <c r="EY69" i="25"/>
  <c r="DV72" i="25"/>
  <c r="DX72" i="25" s="1"/>
  <c r="EC72" i="25" s="1"/>
  <c r="EK72" i="25"/>
  <c r="EN72" i="25" s="1"/>
  <c r="EL72" i="25"/>
  <c r="DT72" i="25"/>
  <c r="DV282" i="25"/>
  <c r="DT282" i="25"/>
  <c r="EJ35" i="25"/>
  <c r="DV35" i="25"/>
  <c r="DX35" i="25" s="1"/>
  <c r="EC35" i="25" s="1"/>
  <c r="EK35" i="25"/>
  <c r="EN35" i="25" s="1"/>
  <c r="EL35" i="25"/>
  <c r="DT35" i="25"/>
  <c r="FA89" i="25"/>
  <c r="DV187" i="25"/>
  <c r="DX187" i="25" s="1"/>
  <c r="EC187" i="25" s="1"/>
  <c r="EK187" i="25"/>
  <c r="EN187" i="25" s="1"/>
  <c r="EL187" i="25"/>
  <c r="DT187" i="25"/>
  <c r="DV237" i="25"/>
  <c r="DT237" i="25"/>
  <c r="EB91" i="25"/>
  <c r="EA91" i="25"/>
  <c r="EY178" i="25"/>
  <c r="DV193" i="25"/>
  <c r="DX193" i="25" s="1"/>
  <c r="EC193" i="25" s="1"/>
  <c r="EL193" i="25"/>
  <c r="EK193" i="25"/>
  <c r="EN193" i="25" s="1"/>
  <c r="DT193" i="25"/>
  <c r="EY95" i="25"/>
  <c r="DV257" i="25"/>
  <c r="DT257" i="25"/>
  <c r="EJ131" i="25"/>
  <c r="EY174" i="25"/>
  <c r="DV103" i="25"/>
  <c r="DX103" i="25" s="1"/>
  <c r="EC103" i="25" s="1"/>
  <c r="EL103" i="25"/>
  <c r="EK103" i="25"/>
  <c r="EN103" i="25" s="1"/>
  <c r="DV78" i="25"/>
  <c r="DX78" i="25" s="1"/>
  <c r="EC78" i="25" s="1"/>
  <c r="EL78" i="25"/>
  <c r="EK78" i="25"/>
  <c r="EN78" i="25" s="1"/>
  <c r="DT78" i="25"/>
  <c r="FA74" i="25"/>
  <c r="DV127" i="25"/>
  <c r="DX127" i="25" s="1"/>
  <c r="EC127" i="25" s="1"/>
  <c r="EL127" i="25"/>
  <c r="EK127" i="25"/>
  <c r="EN127" i="25" s="1"/>
  <c r="DT127" i="25"/>
  <c r="FA130" i="25"/>
  <c r="DV130" i="25"/>
  <c r="EL130" i="25"/>
  <c r="EK130" i="25"/>
  <c r="EN130" i="25" s="1"/>
  <c r="DT130" i="25"/>
  <c r="EY130" i="25"/>
  <c r="EJ130" i="25"/>
  <c r="DV267" i="25"/>
  <c r="DT267" i="25"/>
  <c r="EB191" i="25"/>
  <c r="EA191" i="25"/>
  <c r="DV308" i="25"/>
  <c r="DT308" i="25"/>
  <c r="DV292" i="25"/>
  <c r="DT292" i="25"/>
  <c r="DV177" i="25"/>
  <c r="DX177" i="25" s="1"/>
  <c r="EC177" i="25" s="1"/>
  <c r="EK177" i="25"/>
  <c r="EN177" i="25" s="1"/>
  <c r="EL177" i="25"/>
  <c r="DT177" i="25"/>
  <c r="DV100" i="25"/>
  <c r="DX100" i="25" s="1"/>
  <c r="EC100" i="25" s="1"/>
  <c r="EK100" i="25"/>
  <c r="EN100" i="25" s="1"/>
  <c r="EL100" i="25"/>
  <c r="EB87" i="25"/>
  <c r="EA87" i="25"/>
  <c r="DV154" i="25"/>
  <c r="EL154" i="25"/>
  <c r="EK154" i="25"/>
  <c r="EN154" i="25" s="1"/>
  <c r="DT154" i="25"/>
  <c r="EY154" i="25"/>
  <c r="EJ154" i="25"/>
  <c r="FA154" i="25"/>
  <c r="DV82" i="25"/>
  <c r="EL82" i="25"/>
  <c r="EK82" i="25"/>
  <c r="EN82" i="25" s="1"/>
  <c r="DT82" i="25"/>
  <c r="FA82" i="25"/>
  <c r="EY82" i="25"/>
  <c r="EJ82" i="25"/>
  <c r="DV281" i="25"/>
  <c r="DT281" i="25"/>
  <c r="DV288" i="25"/>
  <c r="DT288" i="25"/>
  <c r="EB129" i="25"/>
  <c r="EA129" i="25"/>
  <c r="DV15" i="25"/>
  <c r="DX15" i="25" s="1"/>
  <c r="EC15" i="25" s="1"/>
  <c r="EK15" i="25"/>
  <c r="EN15" i="25" s="1"/>
  <c r="EL15" i="25"/>
  <c r="DT15" i="25"/>
  <c r="EB47" i="25"/>
  <c r="EA47" i="25"/>
  <c r="DV133" i="25"/>
  <c r="EK133" i="25"/>
  <c r="EN133" i="25" s="1"/>
  <c r="EL133" i="25"/>
  <c r="DT133" i="25"/>
  <c r="EJ133" i="25"/>
  <c r="EY133" i="25"/>
  <c r="FA133" i="25"/>
  <c r="DV239" i="25"/>
  <c r="DT239" i="25"/>
  <c r="EJ156" i="25"/>
  <c r="EJ90" i="25"/>
  <c r="DV76" i="25"/>
  <c r="EK76" i="25"/>
  <c r="EN76" i="25" s="1"/>
  <c r="EL76" i="25"/>
  <c r="DT76" i="25"/>
  <c r="FA76" i="25"/>
  <c r="EJ76" i="25"/>
  <c r="EY76" i="25"/>
  <c r="DV284" i="25"/>
  <c r="DT284" i="25"/>
  <c r="DV7" i="25"/>
  <c r="EK7" i="25"/>
  <c r="EN7" i="25" s="1"/>
  <c r="EL7" i="25"/>
  <c r="DT7" i="25"/>
  <c r="EJ7" i="25"/>
  <c r="EY7" i="25"/>
  <c r="FA7" i="25"/>
  <c r="DV197" i="25"/>
  <c r="EL197" i="25"/>
  <c r="EK197" i="25"/>
  <c r="EN197" i="25" s="1"/>
  <c r="FA197" i="25"/>
  <c r="EY197" i="25"/>
  <c r="EJ197" i="25"/>
  <c r="DV196" i="25"/>
  <c r="EL196" i="25"/>
  <c r="EK196" i="25"/>
  <c r="EN196" i="25" s="1"/>
  <c r="EY196" i="25"/>
  <c r="FA196" i="25"/>
  <c r="EJ196" i="25"/>
  <c r="DV88" i="25"/>
  <c r="DX88" i="25" s="1"/>
  <c r="EC88" i="25" s="1"/>
  <c r="EK88" i="25"/>
  <c r="EN88" i="25" s="1"/>
  <c r="EL88" i="25"/>
  <c r="DT88" i="25"/>
  <c r="DV240" i="25"/>
  <c r="DT240" i="25"/>
  <c r="EY43" i="25"/>
  <c r="FA126" i="25"/>
  <c r="DX138" i="25"/>
  <c r="EC138" i="25" s="1"/>
  <c r="FA64" i="25"/>
  <c r="EB60" i="25"/>
  <c r="EA60" i="25"/>
  <c r="DV55" i="25"/>
  <c r="EL55" i="25"/>
  <c r="EK55" i="25"/>
  <c r="EN55" i="25" s="1"/>
  <c r="DT55" i="25"/>
  <c r="EY55" i="25"/>
  <c r="EJ55" i="25"/>
  <c r="FA55" i="25"/>
  <c r="DV275" i="25"/>
  <c r="DT275" i="25"/>
  <c r="DV128" i="25"/>
  <c r="DX128" i="25" s="1"/>
  <c r="EC128" i="25" s="1"/>
  <c r="EL128" i="25"/>
  <c r="EK128" i="25"/>
  <c r="EN128" i="25" s="1"/>
  <c r="DT128" i="25"/>
  <c r="DV309" i="25"/>
  <c r="DT309" i="25"/>
  <c r="FA111" i="25"/>
  <c r="DV14" i="25"/>
  <c r="DX14" i="25" s="1"/>
  <c r="EC14" i="25" s="1"/>
  <c r="EK14" i="25"/>
  <c r="EN14" i="25" s="1"/>
  <c r="EL14" i="25"/>
  <c r="DT14" i="25"/>
  <c r="DV79" i="25"/>
  <c r="DX79" i="25" s="1"/>
  <c r="EC79" i="25" s="1"/>
  <c r="EK79" i="25"/>
  <c r="EN79" i="25" s="1"/>
  <c r="EL79" i="25"/>
  <c r="DT79" i="25"/>
  <c r="EB105" i="25"/>
  <c r="EA105" i="25"/>
  <c r="DV274" i="25"/>
  <c r="DT274" i="25"/>
  <c r="EB48" i="25"/>
  <c r="EA48" i="25"/>
  <c r="DV261" i="25"/>
  <c r="DT261" i="25"/>
  <c r="FA13" i="25"/>
  <c r="EY177" i="25"/>
  <c r="EB49" i="25"/>
  <c r="EA49" i="25"/>
  <c r="FA65" i="25"/>
  <c r="EB29" i="25"/>
  <c r="EA29" i="25"/>
  <c r="FA77" i="25"/>
  <c r="DV314" i="25"/>
  <c r="DT314" i="25"/>
  <c r="DV62" i="25"/>
  <c r="EK62" i="25"/>
  <c r="EN62" i="25" s="1"/>
  <c r="EL62" i="25"/>
  <c r="DT62" i="25"/>
  <c r="FA62" i="25"/>
  <c r="EY62" i="25"/>
  <c r="EJ62" i="25"/>
  <c r="FA96" i="25"/>
  <c r="EB88" i="25"/>
  <c r="EA88" i="25"/>
  <c r="DV48" i="25"/>
  <c r="DX48" i="25" s="1"/>
  <c r="EC48" i="25" s="1"/>
  <c r="EK48" i="25"/>
  <c r="EN48" i="25" s="1"/>
  <c r="EL48" i="25"/>
  <c r="DT48" i="25"/>
  <c r="DV302" i="25"/>
  <c r="DT302" i="25"/>
  <c r="DV16" i="25"/>
  <c r="EL16" i="25"/>
  <c r="EK16" i="25"/>
  <c r="EN16" i="25" s="1"/>
  <c r="DT16" i="25"/>
  <c r="FA16" i="25"/>
  <c r="EY16" i="25"/>
  <c r="EJ16" i="25"/>
  <c r="DV110" i="25"/>
  <c r="EL110" i="25"/>
  <c r="EK110" i="25"/>
  <c r="EN110" i="25" s="1"/>
  <c r="DT110" i="25"/>
  <c r="FA110" i="25"/>
  <c r="EY110" i="25"/>
  <c r="EJ110" i="25"/>
  <c r="EJ171" i="25"/>
  <c r="EJ185" i="25"/>
  <c r="EJ89" i="25"/>
  <c r="EJ51" i="25"/>
  <c r="FA178" i="25"/>
  <c r="EB103" i="25"/>
  <c r="EA103" i="25"/>
  <c r="FA95" i="25"/>
  <c r="EY131" i="25"/>
  <c r="DV241" i="25"/>
  <c r="DT241" i="25"/>
  <c r="DV263" i="25"/>
  <c r="DT263" i="25"/>
  <c r="DV227" i="25"/>
  <c r="DT227" i="25"/>
  <c r="EB74" i="25"/>
  <c r="EA74" i="25"/>
  <c r="DV32" i="25"/>
  <c r="EL32" i="25"/>
  <c r="EK32" i="25"/>
  <c r="EN32" i="25" s="1"/>
  <c r="DT32" i="25"/>
  <c r="EY32" i="25"/>
  <c r="FA32" i="25"/>
  <c r="EJ32" i="25"/>
  <c r="DV289" i="25"/>
  <c r="DT289" i="25"/>
  <c r="EB98" i="25"/>
  <c r="EA98" i="25"/>
  <c r="EB81" i="25"/>
  <c r="EA81" i="25"/>
  <c r="DV306" i="25"/>
  <c r="DT306" i="25"/>
  <c r="DV54" i="25"/>
  <c r="EK54" i="25"/>
  <c r="EN54" i="25" s="1"/>
  <c r="EL54" i="25"/>
  <c r="DT54" i="25"/>
  <c r="EY54" i="25"/>
  <c r="EJ54" i="25"/>
  <c r="FA54" i="25"/>
  <c r="DV145" i="25"/>
  <c r="DX145" i="25" s="1"/>
  <c r="EC145" i="25" s="1"/>
  <c r="EL145" i="25"/>
  <c r="EK145" i="25"/>
  <c r="EN145" i="25" s="1"/>
  <c r="DT145" i="25"/>
  <c r="DV232" i="25"/>
  <c r="DT232" i="25"/>
  <c r="DV270" i="25"/>
  <c r="DT270" i="25"/>
  <c r="DV45" i="25"/>
  <c r="DX45" i="25" s="1"/>
  <c r="EC45" i="25" s="1"/>
  <c r="EL45" i="25"/>
  <c r="EK45" i="25"/>
  <c r="EN45" i="25" s="1"/>
  <c r="DT45" i="25"/>
  <c r="EB86" i="25"/>
  <c r="EA86" i="25"/>
  <c r="EY156" i="25"/>
  <c r="EY90" i="25"/>
  <c r="EB42" i="25"/>
  <c r="EA42" i="25"/>
  <c r="DV42" i="25"/>
  <c r="DX42" i="25" s="1"/>
  <c r="EC42" i="25" s="1"/>
  <c r="EL42" i="25"/>
  <c r="EK42" i="25"/>
  <c r="EN42" i="25" s="1"/>
  <c r="DT42" i="25"/>
  <c r="DV60" i="25"/>
  <c r="DX60" i="25" s="1"/>
  <c r="EC60" i="25" s="1"/>
  <c r="EK60" i="25"/>
  <c r="EN60" i="25" s="1"/>
  <c r="EL60" i="25"/>
  <c r="DT60" i="25"/>
  <c r="DV9" i="25"/>
  <c r="DX9" i="25" s="1"/>
  <c r="EC9" i="25" s="1"/>
  <c r="EK9" i="25"/>
  <c r="EN9" i="25" s="1"/>
  <c r="EL9" i="25"/>
  <c r="DT9" i="25"/>
  <c r="DV149" i="25"/>
  <c r="EL149" i="25"/>
  <c r="EK149" i="25"/>
  <c r="EN149" i="25" s="1"/>
  <c r="DT149" i="25"/>
  <c r="FA149" i="25"/>
  <c r="EY149" i="25"/>
  <c r="EJ149" i="25"/>
  <c r="DV41" i="25"/>
  <c r="EL41" i="25"/>
  <c r="EK41" i="25"/>
  <c r="EN41" i="25" s="1"/>
  <c r="DT41" i="25"/>
  <c r="FA41" i="25"/>
  <c r="EJ41" i="25"/>
  <c r="EY41" i="25"/>
  <c r="EJ37" i="25"/>
  <c r="DV11" i="25"/>
  <c r="EK11" i="25"/>
  <c r="EN11" i="25" s="1"/>
  <c r="EL11" i="25"/>
  <c r="DT11" i="25"/>
  <c r="EY11" i="25"/>
  <c r="FA11" i="25"/>
  <c r="EJ11" i="25"/>
  <c r="EJ179" i="25"/>
  <c r="EY64" i="25"/>
  <c r="FA60" i="25"/>
  <c r="DV276" i="25"/>
  <c r="DT276" i="25"/>
  <c r="DV225" i="25"/>
  <c r="DT225" i="25"/>
  <c r="EB157" i="25"/>
  <c r="EA157" i="25"/>
  <c r="DV68" i="25"/>
  <c r="EK68" i="25"/>
  <c r="EN68" i="25" s="1"/>
  <c r="EL68" i="25"/>
  <c r="DT68" i="25"/>
  <c r="EJ68" i="25"/>
  <c r="FA68" i="25"/>
  <c r="EY68" i="25"/>
  <c r="EY111" i="25"/>
  <c r="DV209" i="25"/>
  <c r="EK209" i="25"/>
  <c r="EN209" i="25" s="1"/>
  <c r="EL209" i="25"/>
  <c r="EJ209" i="25"/>
  <c r="EY209" i="25"/>
  <c r="FA209" i="25"/>
  <c r="DV210" i="25"/>
  <c r="DX210" i="25" s="1"/>
  <c r="EC210" i="25" s="1"/>
  <c r="EK210" i="25"/>
  <c r="EN210" i="25" s="1"/>
  <c r="EL210" i="25"/>
  <c r="FA145" i="25"/>
  <c r="DV99" i="25"/>
  <c r="DX99" i="25" s="1"/>
  <c r="EC99" i="25" s="1"/>
  <c r="EL99" i="25"/>
  <c r="EK99" i="25"/>
  <c r="EN99" i="25" s="1"/>
  <c r="EB13" i="25"/>
  <c r="EA13" i="25"/>
  <c r="EB177" i="25"/>
  <c r="EA177" i="25"/>
  <c r="EB122" i="25"/>
  <c r="EA122" i="25"/>
  <c r="DV10" i="25"/>
  <c r="EK10" i="25"/>
  <c r="EN10" i="25" s="1"/>
  <c r="EL10" i="25"/>
  <c r="DT10" i="25"/>
  <c r="FA10" i="25"/>
  <c r="EY10" i="25"/>
  <c r="EJ10" i="25"/>
  <c r="EJ77" i="25"/>
  <c r="DV246" i="25"/>
  <c r="DT246" i="25"/>
  <c r="EB96" i="25"/>
  <c r="EA96" i="25"/>
  <c r="DV175" i="25"/>
  <c r="DX175" i="25" s="1"/>
  <c r="EC175" i="25" s="1"/>
  <c r="EK175" i="25"/>
  <c r="EN175" i="25" s="1"/>
  <c r="EL175" i="25"/>
  <c r="DT175" i="25"/>
  <c r="DV189" i="25"/>
  <c r="DX189" i="25" s="1"/>
  <c r="EC189" i="25" s="1"/>
  <c r="EK189" i="25"/>
  <c r="EN189" i="25" s="1"/>
  <c r="EL189" i="25"/>
  <c r="DT189" i="25"/>
  <c r="DV265" i="25"/>
  <c r="DT265" i="25"/>
  <c r="EY189" i="25"/>
  <c r="EY185" i="25"/>
  <c r="FA56" i="25"/>
  <c r="FA9" i="25"/>
  <c r="DV148" i="25"/>
  <c r="EL148" i="25"/>
  <c r="EK148" i="25"/>
  <c r="EN148" i="25" s="1"/>
  <c r="DT148" i="25"/>
  <c r="FA148" i="25"/>
  <c r="EY148" i="25"/>
  <c r="EJ148" i="25"/>
  <c r="DV315" i="25"/>
  <c r="DT315" i="25"/>
  <c r="EB178" i="25"/>
  <c r="EA178" i="25"/>
  <c r="DV119" i="25"/>
  <c r="DX119" i="25" s="1"/>
  <c r="EC119" i="25" s="1"/>
  <c r="EL119" i="25"/>
  <c r="EK119" i="25"/>
  <c r="EN119" i="25" s="1"/>
  <c r="DT119" i="25"/>
  <c r="EJ95" i="25"/>
  <c r="DV121" i="25"/>
  <c r="DX121" i="25" s="1"/>
  <c r="EC121" i="25" s="1"/>
  <c r="EL121" i="25"/>
  <c r="EK121" i="25"/>
  <c r="EN121" i="25" s="1"/>
  <c r="DT121" i="25"/>
  <c r="FA131" i="25"/>
  <c r="EB174" i="25"/>
  <c r="EA174" i="25"/>
  <c r="DV296" i="25"/>
  <c r="DT296" i="25"/>
  <c r="DV114" i="25"/>
  <c r="EK114" i="25"/>
  <c r="EN114" i="25" s="1"/>
  <c r="EL114" i="25"/>
  <c r="DT114" i="25"/>
  <c r="FA114" i="25"/>
  <c r="EY114" i="25"/>
  <c r="EJ114" i="25"/>
  <c r="EY132" i="25"/>
  <c r="DV132" i="25"/>
  <c r="EL132" i="25"/>
  <c r="EK132" i="25"/>
  <c r="EN132" i="25" s="1"/>
  <c r="DT132" i="25"/>
  <c r="EJ132" i="25"/>
  <c r="FA132" i="25"/>
  <c r="DV264" i="25"/>
  <c r="DT264" i="25"/>
  <c r="DV89" i="25"/>
  <c r="DX89" i="25" s="1"/>
  <c r="EC89" i="25" s="1"/>
  <c r="EL89" i="25"/>
  <c r="EK89" i="25"/>
  <c r="EN89" i="25" s="1"/>
  <c r="DT89" i="25"/>
  <c r="DV25" i="25"/>
  <c r="DX25" i="25" s="1"/>
  <c r="EC25" i="25" s="1"/>
  <c r="EK25" i="25"/>
  <c r="EN25" i="25" s="1"/>
  <c r="EL25" i="25"/>
  <c r="DT25" i="25"/>
  <c r="EB136" i="25"/>
  <c r="EA136" i="25"/>
  <c r="DV161" i="25"/>
  <c r="EK161" i="25"/>
  <c r="EN161" i="25" s="1"/>
  <c r="EL161" i="25"/>
  <c r="DT161" i="25"/>
  <c r="EJ161" i="25"/>
  <c r="FA161" i="25"/>
  <c r="EY161" i="25"/>
  <c r="EB99" i="25"/>
  <c r="EA99" i="25"/>
  <c r="DV277" i="25"/>
  <c r="DT277" i="25"/>
  <c r="DV65" i="25"/>
  <c r="DX65" i="25" s="1"/>
  <c r="EC65" i="25" s="1"/>
  <c r="EK65" i="25"/>
  <c r="EN65" i="25" s="1"/>
  <c r="EL65" i="25"/>
  <c r="DT65" i="25"/>
  <c r="DV91" i="25"/>
  <c r="DX91" i="25" s="1"/>
  <c r="EC91" i="25" s="1"/>
  <c r="EK91" i="25"/>
  <c r="EN91" i="25" s="1"/>
  <c r="EL91" i="25"/>
  <c r="DV172" i="25"/>
  <c r="EL172" i="25"/>
  <c r="EK172" i="25"/>
  <c r="EN172" i="25" s="1"/>
  <c r="DT172" i="25"/>
  <c r="EJ172" i="25"/>
  <c r="FA172" i="25"/>
  <c r="EY172" i="25"/>
  <c r="DV260" i="25"/>
  <c r="DT260" i="25"/>
  <c r="DV125" i="25"/>
  <c r="EL125" i="25"/>
  <c r="EK125" i="25"/>
  <c r="EN125" i="25" s="1"/>
  <c r="DT125" i="25"/>
  <c r="FA125" i="25"/>
  <c r="EY125" i="25"/>
  <c r="EJ125" i="25"/>
  <c r="EB156" i="25"/>
  <c r="EA156" i="25"/>
  <c r="EB90" i="25"/>
  <c r="EA90" i="25"/>
  <c r="DV190" i="25"/>
  <c r="DX190" i="25" s="1"/>
  <c r="EC190" i="25" s="1"/>
  <c r="EL190" i="25"/>
  <c r="EK190" i="25"/>
  <c r="EN190" i="25" s="1"/>
  <c r="DT190" i="25"/>
  <c r="DV238" i="25"/>
  <c r="DT238" i="25"/>
  <c r="DV176" i="25"/>
  <c r="EK176" i="25"/>
  <c r="EN176" i="25" s="1"/>
  <c r="EL176" i="25"/>
  <c r="DT176" i="25"/>
  <c r="EY176" i="25"/>
  <c r="EJ176" i="25"/>
  <c r="FA176" i="25"/>
  <c r="DV155" i="25"/>
  <c r="EK155" i="25"/>
  <c r="EN155" i="25" s="1"/>
  <c r="EL155" i="25"/>
  <c r="DT155" i="25"/>
  <c r="FA155" i="25"/>
  <c r="EY155" i="25"/>
  <c r="EJ155" i="25"/>
  <c r="DV12" i="25"/>
  <c r="DX12" i="25" s="1"/>
  <c r="EC12" i="25" s="1"/>
  <c r="EL12" i="25"/>
  <c r="EK12" i="25"/>
  <c r="EN12" i="25" s="1"/>
  <c r="DT12" i="25"/>
  <c r="EY37" i="25"/>
  <c r="EB194" i="25"/>
  <c r="EA194" i="25"/>
  <c r="EB181" i="25"/>
  <c r="EA181" i="25"/>
  <c r="EB126" i="25"/>
  <c r="EA126" i="25"/>
  <c r="DV252" i="25"/>
  <c r="DT252" i="25"/>
  <c r="EB64" i="25"/>
  <c r="EA64" i="25"/>
  <c r="FA142" i="25"/>
  <c r="DV142" i="25"/>
  <c r="EK142" i="25"/>
  <c r="EN142" i="25" s="1"/>
  <c r="EL142" i="25"/>
  <c r="DT142" i="25"/>
  <c r="EJ142" i="25"/>
  <c r="EY142" i="25"/>
  <c r="DV36" i="25"/>
  <c r="EK36" i="25"/>
  <c r="EN36" i="25" s="1"/>
  <c r="EL36" i="25"/>
  <c r="DT36" i="25"/>
  <c r="EY36" i="25"/>
  <c r="EJ36" i="25"/>
  <c r="FA36" i="25"/>
  <c r="DV51" i="25"/>
  <c r="DX51" i="25" s="1"/>
  <c r="EC51" i="25" s="1"/>
  <c r="EL51" i="25"/>
  <c r="EK51" i="25"/>
  <c r="EN51" i="25" s="1"/>
  <c r="DT51" i="25"/>
  <c r="EB111" i="25"/>
  <c r="EA111" i="25"/>
  <c r="DV39" i="25"/>
  <c r="EK39" i="25"/>
  <c r="EN39" i="25" s="1"/>
  <c r="EL39" i="25"/>
  <c r="DT39" i="25"/>
  <c r="FA39" i="25"/>
  <c r="EY39" i="25"/>
  <c r="EJ39" i="25"/>
  <c r="EY190" i="25"/>
  <c r="DV273" i="25"/>
  <c r="DT273" i="25"/>
  <c r="EB145" i="25"/>
  <c r="EA145" i="25"/>
  <c r="FA12" i="25"/>
  <c r="EB65" i="25"/>
  <c r="EA65" i="25"/>
  <c r="EY77" i="25"/>
  <c r="DV221" i="25"/>
  <c r="DT221" i="25"/>
  <c r="DV105" i="25"/>
  <c r="DX105" i="25" s="1"/>
  <c r="EC105" i="25" s="1"/>
  <c r="EK105" i="25"/>
  <c r="EN105" i="25" s="1"/>
  <c r="EL105" i="25"/>
  <c r="DV163" i="25"/>
  <c r="EL163" i="25"/>
  <c r="EK163" i="25"/>
  <c r="EN163" i="25" s="1"/>
  <c r="DT163" i="25"/>
  <c r="FA163" i="25"/>
  <c r="EY163" i="25"/>
  <c r="EJ163" i="25"/>
  <c r="DV20" i="25"/>
  <c r="EL20" i="25"/>
  <c r="EK20" i="25"/>
  <c r="EN20" i="25" s="1"/>
  <c r="DT20" i="25"/>
  <c r="EY20" i="25"/>
  <c r="EJ20" i="25"/>
  <c r="FA20" i="25"/>
  <c r="EJ189" i="25"/>
  <c r="DV174" i="25"/>
  <c r="DX174" i="25" s="1"/>
  <c r="EC174" i="25" s="1"/>
  <c r="EL174" i="25"/>
  <c r="EK174" i="25"/>
  <c r="EN174" i="25" s="1"/>
  <c r="DT174" i="25"/>
  <c r="EB185" i="25"/>
  <c r="EA185" i="25"/>
  <c r="EJ45" i="25"/>
  <c r="EJ56" i="25"/>
  <c r="EJ9" i="25"/>
  <c r="DV286" i="25"/>
  <c r="DT286" i="25"/>
  <c r="DV85" i="25"/>
  <c r="EK85" i="25"/>
  <c r="EN85" i="25" s="1"/>
  <c r="EL85" i="25"/>
  <c r="DT85" i="25"/>
  <c r="EJ85" i="25"/>
  <c r="FA85" i="25"/>
  <c r="EY85" i="25"/>
  <c r="EB89" i="25"/>
  <c r="EA89" i="25"/>
  <c r="FA51" i="25"/>
  <c r="DV244" i="25"/>
  <c r="DT244" i="25"/>
  <c r="EB95" i="25"/>
  <c r="EA95" i="25"/>
  <c r="EB180" i="25"/>
  <c r="EA180" i="25"/>
  <c r="EB131" i="25"/>
  <c r="EA131" i="25"/>
  <c r="DV310" i="25"/>
  <c r="DT310" i="25"/>
  <c r="DV305" i="25"/>
  <c r="DT305" i="25"/>
  <c r="DV92" i="25"/>
  <c r="DX92" i="25" s="1"/>
  <c r="EC92" i="25" s="1"/>
  <c r="EK92" i="25"/>
  <c r="EN92" i="25" s="1"/>
  <c r="EL92" i="25"/>
  <c r="EB24" i="25"/>
  <c r="EA24" i="25"/>
  <c r="DV222" i="25"/>
  <c r="DT222" i="25"/>
  <c r="DV6" i="25"/>
  <c r="EK6" i="25"/>
  <c r="EN6" i="25" s="1"/>
  <c r="EL6" i="25"/>
  <c r="DT6" i="25"/>
  <c r="EY6" i="25"/>
  <c r="EJ6" i="25"/>
  <c r="FA6" i="25"/>
  <c r="DV179" i="25"/>
  <c r="DX179" i="25" s="1"/>
  <c r="EC179" i="25" s="1"/>
  <c r="EK179" i="25"/>
  <c r="EN179" i="25" s="1"/>
  <c r="EL179" i="25"/>
  <c r="DT179" i="25"/>
  <c r="EB14" i="25"/>
  <c r="EA14" i="25"/>
  <c r="EB43" i="25"/>
  <c r="EA43" i="25"/>
  <c r="DV293" i="25"/>
  <c r="DT293" i="25"/>
  <c r="FA179" i="25"/>
  <c r="DV66" i="25"/>
  <c r="DX66" i="25" s="1"/>
  <c r="EC66" i="25" s="1"/>
  <c r="EL66" i="25"/>
  <c r="EK66" i="25"/>
  <c r="EN66" i="25" s="1"/>
  <c r="DT66" i="25"/>
  <c r="DV19" i="25"/>
  <c r="EK19" i="25"/>
  <c r="EN19" i="25" s="1"/>
  <c r="EL19" i="25"/>
  <c r="DT19" i="25"/>
  <c r="EJ19" i="25"/>
  <c r="FA19" i="25"/>
  <c r="EY19" i="25"/>
  <c r="FA66" i="25"/>
  <c r="EB128" i="25"/>
  <c r="EA128" i="25"/>
  <c r="DV87" i="25"/>
  <c r="DX87" i="25" s="1"/>
  <c r="EC87" i="25" s="1"/>
  <c r="EL87" i="25"/>
  <c r="EK87" i="25"/>
  <c r="EN87" i="25" s="1"/>
  <c r="DT87" i="25"/>
  <c r="DV84" i="25"/>
  <c r="EK84" i="25"/>
  <c r="EN84" i="25" s="1"/>
  <c r="EL84" i="25"/>
  <c r="DT84" i="25"/>
  <c r="FA84" i="25"/>
  <c r="EJ84" i="25"/>
  <c r="EY84" i="25"/>
  <c r="DV256" i="25"/>
  <c r="DT256" i="25"/>
  <c r="DV271" i="25"/>
  <c r="DT271" i="25"/>
  <c r="EB121" i="25"/>
  <c r="EA121" i="25"/>
  <c r="DV120" i="25"/>
  <c r="EL120" i="25"/>
  <c r="EK120" i="25"/>
  <c r="EN120" i="25" s="1"/>
  <c r="DT120" i="25"/>
  <c r="EY120" i="25"/>
  <c r="FA120" i="25"/>
  <c r="EJ120" i="25"/>
  <c r="DV201" i="25"/>
  <c r="EL201" i="25"/>
  <c r="EK201" i="25"/>
  <c r="EN201" i="25" s="1"/>
  <c r="EY201" i="25"/>
  <c r="EJ201" i="25"/>
  <c r="FA201" i="25"/>
  <c r="DV243" i="25"/>
  <c r="DT243" i="25"/>
  <c r="EB77" i="25"/>
  <c r="EA77" i="25"/>
  <c r="DV150" i="25"/>
  <c r="EK150" i="25"/>
  <c r="EN150" i="25" s="1"/>
  <c r="EL150" i="25"/>
  <c r="DT150" i="25"/>
  <c r="FA150" i="25"/>
  <c r="EY150" i="25"/>
  <c r="EJ150" i="25"/>
  <c r="DV259" i="25"/>
  <c r="DT259" i="25"/>
  <c r="DV157" i="25"/>
  <c r="DX157" i="25" s="1"/>
  <c r="EC157" i="25" s="1"/>
  <c r="EK157" i="25"/>
  <c r="EN157" i="25" s="1"/>
  <c r="EL157" i="25"/>
  <c r="DT157" i="25"/>
  <c r="DV126" i="25"/>
  <c r="DX126" i="25" s="1"/>
  <c r="EC126" i="25" s="1"/>
  <c r="EK126" i="25"/>
  <c r="EN126" i="25" s="1"/>
  <c r="EL126" i="25"/>
  <c r="DT126" i="25"/>
  <c r="EJ113" i="25"/>
  <c r="DV113" i="25"/>
  <c r="EK113" i="25"/>
  <c r="EN113" i="25" s="1"/>
  <c r="EL113" i="25"/>
  <c r="DT113" i="25"/>
  <c r="FA113" i="25"/>
  <c r="EY113" i="25"/>
  <c r="EB171" i="25"/>
  <c r="EA171" i="25"/>
  <c r="DV139" i="25"/>
  <c r="DX139" i="25" s="1"/>
  <c r="EC139" i="25" s="1"/>
  <c r="EL139" i="25"/>
  <c r="EK139" i="25"/>
  <c r="EN139" i="25" s="1"/>
  <c r="DT139" i="25"/>
  <c r="FA45" i="25"/>
  <c r="EY56" i="25"/>
  <c r="EY9" i="25"/>
  <c r="DV13" i="25"/>
  <c r="DX13" i="25" s="1"/>
  <c r="EC13" i="25" s="1"/>
  <c r="EK13" i="25"/>
  <c r="EN13" i="25" s="1"/>
  <c r="EL13" i="25"/>
  <c r="DT13" i="25"/>
  <c r="EB51" i="25"/>
  <c r="EA51" i="25"/>
  <c r="DV299" i="25"/>
  <c r="DT299" i="25"/>
  <c r="DV224" i="25"/>
  <c r="DT224" i="25"/>
  <c r="DV43" i="25"/>
  <c r="DX43" i="25" s="1"/>
  <c r="EC43" i="25" s="1"/>
  <c r="EK43" i="25"/>
  <c r="EN43" i="25" s="1"/>
  <c r="EL43" i="25"/>
  <c r="DT43" i="25"/>
  <c r="DV266" i="25"/>
  <c r="DT266" i="25"/>
  <c r="EB97" i="25"/>
  <c r="EA97" i="25"/>
  <c r="DV28" i="25"/>
  <c r="EL28" i="25"/>
  <c r="EK28" i="25"/>
  <c r="EN28" i="25" s="1"/>
  <c r="DT28" i="25"/>
  <c r="EY28" i="25"/>
  <c r="EJ28" i="25"/>
  <c r="FA28" i="25"/>
  <c r="DV208" i="25"/>
  <c r="DX208" i="25" s="1"/>
  <c r="EC208" i="25" s="1"/>
  <c r="EL208" i="25"/>
  <c r="EK208" i="25"/>
  <c r="EN208" i="25" s="1"/>
  <c r="DV167" i="25"/>
  <c r="EK167" i="25"/>
  <c r="EN167" i="25" s="1"/>
  <c r="EL167" i="25"/>
  <c r="DT167" i="25"/>
  <c r="FA167" i="25"/>
  <c r="EY167" i="25"/>
  <c r="EJ167" i="25"/>
  <c r="DV205" i="25"/>
  <c r="EL205" i="25"/>
  <c r="EK205" i="25"/>
  <c r="EN205" i="25" s="1"/>
  <c r="EJ205" i="25"/>
  <c r="FA205" i="25"/>
  <c r="EY205" i="25"/>
  <c r="DV294" i="25"/>
  <c r="DT294" i="25"/>
  <c r="DY138" i="25"/>
  <c r="EB138" i="25"/>
  <c r="EA138" i="25"/>
  <c r="DV50" i="25"/>
  <c r="EL50" i="25"/>
  <c r="EK50" i="25"/>
  <c r="EN50" i="25" s="1"/>
  <c r="DT50" i="25"/>
  <c r="EJ50" i="25"/>
  <c r="FA50" i="25"/>
  <c r="EY50" i="25"/>
  <c r="DV122" i="25"/>
  <c r="DX122" i="25" s="1"/>
  <c r="EC122" i="25" s="1"/>
  <c r="EL122" i="25"/>
  <c r="EK122" i="25"/>
  <c r="EN122" i="25" s="1"/>
  <c r="DT122" i="25"/>
  <c r="DV134" i="25"/>
  <c r="EL134" i="25"/>
  <c r="EK134" i="25"/>
  <c r="EN134" i="25" s="1"/>
  <c r="DT134" i="25"/>
  <c r="FA134" i="25"/>
  <c r="EY134" i="25"/>
  <c r="EJ134" i="25"/>
  <c r="EB37" i="25"/>
  <c r="EA37" i="25"/>
  <c r="DV250" i="25"/>
  <c r="DT250" i="25"/>
  <c r="EY29" i="25"/>
  <c r="DV29" i="25"/>
  <c r="DX29" i="25" s="1"/>
  <c r="EC29" i="25" s="1"/>
  <c r="EK29" i="25"/>
  <c r="EN29" i="25" s="1"/>
  <c r="EL29" i="25"/>
  <c r="DT29" i="25"/>
  <c r="EB179" i="25"/>
  <c r="EA179" i="25"/>
  <c r="EJ66" i="25"/>
  <c r="DV300" i="25"/>
  <c r="DT300" i="25"/>
  <c r="DV67" i="25"/>
  <c r="EK67" i="25"/>
  <c r="EN67" i="25" s="1"/>
  <c r="EL67" i="25"/>
  <c r="DT67" i="25"/>
  <c r="FA67" i="25"/>
  <c r="EY67" i="25"/>
  <c r="EJ67" i="25"/>
  <c r="DV195" i="25"/>
  <c r="EK195" i="25"/>
  <c r="EN195" i="25" s="1"/>
  <c r="EL195" i="25"/>
  <c r="EY195" i="25"/>
  <c r="FA195" i="25"/>
  <c r="EJ195" i="25"/>
  <c r="DV200" i="25"/>
  <c r="DX200" i="25" s="1"/>
  <c r="EC200" i="25" s="1"/>
  <c r="EK200" i="25"/>
  <c r="EN200" i="25" s="1"/>
  <c r="EL200" i="25"/>
  <c r="EB23" i="25"/>
  <c r="EA23" i="25"/>
  <c r="DV285" i="25"/>
  <c r="DT285" i="25"/>
  <c r="DV152" i="25"/>
  <c r="EL152" i="25"/>
  <c r="EK152" i="25"/>
  <c r="EN152" i="25" s="1"/>
  <c r="DT152" i="25"/>
  <c r="EJ152" i="25"/>
  <c r="FA152" i="25"/>
  <c r="EY152" i="25"/>
  <c r="FA80" i="25"/>
  <c r="DV247" i="25"/>
  <c r="DT247" i="25"/>
  <c r="DV140" i="25"/>
  <c r="EK140" i="25"/>
  <c r="EN140" i="25" s="1"/>
  <c r="EL140" i="25"/>
  <c r="DT140" i="25"/>
  <c r="EJ140" i="25"/>
  <c r="EY140" i="25"/>
  <c r="FA140" i="25"/>
  <c r="EB189" i="25"/>
  <c r="EA189" i="25"/>
  <c r="DV268" i="25"/>
  <c r="DT268" i="25"/>
  <c r="EY45" i="25"/>
  <c r="EB56" i="25"/>
  <c r="EA56" i="25"/>
  <c r="DV116" i="25"/>
  <c r="EL116" i="25"/>
  <c r="EK116" i="25"/>
  <c r="EN116" i="25" s="1"/>
  <c r="DT116" i="25"/>
  <c r="EY116" i="25"/>
  <c r="EJ116" i="25"/>
  <c r="FA116" i="25"/>
  <c r="EB9" i="25"/>
  <c r="EA9" i="25"/>
  <c r="DV151" i="25"/>
  <c r="EL151" i="25"/>
  <c r="EK151" i="25"/>
  <c r="EN151" i="25" s="1"/>
  <c r="DT151" i="25"/>
  <c r="EJ151" i="25"/>
  <c r="FA151" i="25"/>
  <c r="EY151" i="25"/>
  <c r="EJ91" i="25"/>
  <c r="DV75" i="25"/>
  <c r="EK75" i="25"/>
  <c r="EN75" i="25" s="1"/>
  <c r="EL75" i="25"/>
  <c r="DT75" i="25"/>
  <c r="EJ75" i="25"/>
  <c r="EY75" i="25"/>
  <c r="FA75" i="25"/>
  <c r="DV272" i="25"/>
  <c r="DT272" i="25"/>
  <c r="EY200" i="25"/>
  <c r="DZ15" i="24"/>
  <c r="DZ58" i="24"/>
  <c r="DX31" i="24"/>
  <c r="EE31" i="24" s="1"/>
  <c r="DR285" i="24"/>
  <c r="EB285" i="24" s="1"/>
  <c r="DO169" i="24"/>
  <c r="DO88" i="24"/>
  <c r="DO295" i="24"/>
  <c r="DR295" i="24"/>
  <c r="DO204" i="24"/>
  <c r="DR204" i="24"/>
  <c r="DU204" i="24" s="1"/>
  <c r="DO115" i="24"/>
  <c r="DR115" i="24"/>
  <c r="DU115" i="24" s="1"/>
  <c r="DO141" i="24"/>
  <c r="DR141" i="24"/>
  <c r="DU141" i="24" s="1"/>
  <c r="DR100" i="24"/>
  <c r="DO100" i="24"/>
  <c r="DO145" i="24"/>
  <c r="DR145" i="24"/>
  <c r="DU145" i="24" s="1"/>
  <c r="EE188" i="24"/>
  <c r="DO257" i="24"/>
  <c r="DR257" i="24"/>
  <c r="DO39" i="24"/>
  <c r="DR288" i="24"/>
  <c r="FA288" i="24" s="1"/>
  <c r="DO288" i="24"/>
  <c r="DR44" i="24"/>
  <c r="DO44" i="24"/>
  <c r="DO275" i="24"/>
  <c r="DR275" i="24"/>
  <c r="DR56" i="24"/>
  <c r="DO56" i="24"/>
  <c r="EE205" i="24"/>
  <c r="DO126" i="24"/>
  <c r="DR126" i="24"/>
  <c r="DU126" i="24" s="1"/>
  <c r="DO28" i="24"/>
  <c r="DR28" i="24"/>
  <c r="EE163" i="24"/>
  <c r="DZ39" i="24"/>
  <c r="DX39" i="24"/>
  <c r="EE130" i="24"/>
  <c r="EE131" i="24"/>
  <c r="DR70" i="24"/>
  <c r="DO70" i="24"/>
  <c r="EE119" i="24"/>
  <c r="EE189" i="24"/>
  <c r="DO244" i="24"/>
  <c r="DR244" i="24"/>
  <c r="DO35" i="24"/>
  <c r="DR35" i="24"/>
  <c r="DR112" i="24"/>
  <c r="DU112" i="24" s="1"/>
  <c r="DO112" i="24"/>
  <c r="DO313" i="24"/>
  <c r="DR313" i="24"/>
  <c r="EE69" i="24"/>
  <c r="DR6" i="24"/>
  <c r="DO6" i="24"/>
  <c r="DO173" i="24"/>
  <c r="DR173" i="24"/>
  <c r="DU173" i="24" s="1"/>
  <c r="DX126" i="24"/>
  <c r="DO231" i="24"/>
  <c r="DR231" i="24"/>
  <c r="EE210" i="24"/>
  <c r="DO66" i="24"/>
  <c r="DR66" i="24"/>
  <c r="DR304" i="24"/>
  <c r="EB304" i="24" s="1"/>
  <c r="DO304" i="24"/>
  <c r="DR276" i="24"/>
  <c r="DO276" i="24"/>
  <c r="EE141" i="24"/>
  <c r="DR208" i="24"/>
  <c r="DU208" i="24" s="1"/>
  <c r="DO208" i="24"/>
  <c r="DR168" i="24"/>
  <c r="DU168" i="24" s="1"/>
  <c r="DO168" i="24"/>
  <c r="EE148" i="24"/>
  <c r="DO20" i="24"/>
  <c r="DR20" i="24"/>
  <c r="EE146" i="24"/>
  <c r="EE74" i="24"/>
  <c r="DR220" i="24"/>
  <c r="DO220" i="24"/>
  <c r="EE59" i="24"/>
  <c r="DR259" i="24"/>
  <c r="FA259" i="24" s="1"/>
  <c r="DO259" i="24"/>
  <c r="DX133" i="24"/>
  <c r="EE115" i="24"/>
  <c r="DR227" i="24"/>
  <c r="DO227" i="24"/>
  <c r="DO24" i="24"/>
  <c r="DR24" i="24"/>
  <c r="DO267" i="24"/>
  <c r="DR267" i="24"/>
  <c r="FA267" i="24" s="1"/>
  <c r="EE82" i="24"/>
  <c r="DX129" i="24"/>
  <c r="DX53" i="24"/>
  <c r="DZ53" i="24"/>
  <c r="DR283" i="24"/>
  <c r="EY283" i="24" s="1"/>
  <c r="DO283" i="24"/>
  <c r="DO91" i="24"/>
  <c r="DR91" i="24"/>
  <c r="DR146" i="24"/>
  <c r="DU146" i="24" s="1"/>
  <c r="DO146" i="24"/>
  <c r="EE166" i="24"/>
  <c r="DO119" i="24"/>
  <c r="DR119" i="24"/>
  <c r="DU119" i="24" s="1"/>
  <c r="DR299" i="24"/>
  <c r="EY299" i="24" s="1"/>
  <c r="DO299" i="24"/>
  <c r="DR21" i="24"/>
  <c r="DO21" i="24"/>
  <c r="EE196" i="24"/>
  <c r="DO210" i="24"/>
  <c r="DR210" i="24"/>
  <c r="DU210" i="24" s="1"/>
  <c r="EE66" i="24"/>
  <c r="DO238" i="24"/>
  <c r="DR238" i="24"/>
  <c r="FA238" i="24" s="1"/>
  <c r="EE204" i="24"/>
  <c r="DX199" i="24"/>
  <c r="DO11" i="24"/>
  <c r="DR11" i="24"/>
  <c r="DO197" i="24"/>
  <c r="DR197" i="24"/>
  <c r="DU197" i="24" s="1"/>
  <c r="DO290" i="24"/>
  <c r="DR290" i="24"/>
  <c r="DR151" i="24"/>
  <c r="DU151" i="24" s="1"/>
  <c r="DO151" i="24"/>
  <c r="EE194" i="24"/>
  <c r="DZ80" i="24"/>
  <c r="DX80" i="24"/>
  <c r="EE6" i="24"/>
  <c r="DO103" i="24"/>
  <c r="DR103" i="24"/>
  <c r="DX155" i="24"/>
  <c r="DO271" i="24"/>
  <c r="DR271" i="24"/>
  <c r="EE84" i="24"/>
  <c r="DO188" i="24"/>
  <c r="DR188" i="24"/>
  <c r="DU188" i="24" s="1"/>
  <c r="DR189" i="24"/>
  <c r="DU189" i="24" s="1"/>
  <c r="DO189" i="24"/>
  <c r="DO282" i="24"/>
  <c r="DR282" i="24"/>
  <c r="EE34" i="24"/>
  <c r="DR309" i="24"/>
  <c r="FA309" i="24" s="1"/>
  <c r="DO309" i="24"/>
  <c r="DR84" i="24"/>
  <c r="DO84" i="24"/>
  <c r="DO284" i="24"/>
  <c r="DR284" i="24"/>
  <c r="DR134" i="24"/>
  <c r="DU134" i="24" s="1"/>
  <c r="DO134" i="24"/>
  <c r="DO68" i="24"/>
  <c r="DR68" i="24"/>
  <c r="EE20" i="24"/>
  <c r="EE135" i="24"/>
  <c r="EE15" i="24"/>
  <c r="EE90" i="24"/>
  <c r="EE149" i="24"/>
  <c r="EE120" i="24"/>
  <c r="DO222" i="24"/>
  <c r="DR222" i="24"/>
  <c r="DR279" i="24"/>
  <c r="DO279" i="24"/>
  <c r="DO123" i="24"/>
  <c r="DR123" i="24"/>
  <c r="DU123" i="24" s="1"/>
  <c r="DO158" i="24"/>
  <c r="DR158" i="24"/>
  <c r="DU158" i="24" s="1"/>
  <c r="DR93" i="24"/>
  <c r="DO93" i="24"/>
  <c r="DO307" i="24"/>
  <c r="DR307" i="24"/>
  <c r="DR122" i="24"/>
  <c r="DU122" i="24" s="1"/>
  <c r="DO122" i="24"/>
  <c r="EE22" i="24"/>
  <c r="EE180" i="24"/>
  <c r="DR26" i="24"/>
  <c r="DO26" i="24"/>
  <c r="DZ14" i="24"/>
  <c r="DX14" i="24"/>
  <c r="EE151" i="24"/>
  <c r="DO17" i="24"/>
  <c r="DR17" i="24"/>
  <c r="EE58" i="24"/>
  <c r="DR256" i="24"/>
  <c r="DO256" i="24"/>
  <c r="DO113" i="24"/>
  <c r="DR113" i="24"/>
  <c r="DU113" i="24" s="1"/>
  <c r="DX173" i="24"/>
  <c r="DX201" i="24"/>
  <c r="DO133" i="24"/>
  <c r="DR133" i="24"/>
  <c r="DU133" i="24" s="1"/>
  <c r="DR174" i="24"/>
  <c r="DU174" i="24" s="1"/>
  <c r="DO174" i="24"/>
  <c r="DX157" i="24"/>
  <c r="DR164" i="24"/>
  <c r="DU164" i="24" s="1"/>
  <c r="DO164" i="24"/>
  <c r="DO111" i="24"/>
  <c r="DR111" i="24"/>
  <c r="DU111" i="24" s="1"/>
  <c r="DO296" i="24"/>
  <c r="DR296" i="24"/>
  <c r="DO14" i="24"/>
  <c r="DR14" i="24"/>
  <c r="DZ23" i="24"/>
  <c r="DX23" i="24"/>
  <c r="DR48" i="24"/>
  <c r="DO48" i="24"/>
  <c r="DX209" i="24"/>
  <c r="DO302" i="24"/>
  <c r="DR302" i="24"/>
  <c r="EL302" i="24" s="1"/>
  <c r="EE137" i="24"/>
  <c r="DR73" i="24"/>
  <c r="DO73" i="24"/>
  <c r="DR129" i="24"/>
  <c r="DU129" i="24" s="1"/>
  <c r="DO129" i="24"/>
  <c r="DZ44" i="24"/>
  <c r="DX44" i="24"/>
  <c r="DX174" i="24"/>
  <c r="DR301" i="24"/>
  <c r="FA301" i="24" s="1"/>
  <c r="DO301" i="24"/>
  <c r="DX114" i="24"/>
  <c r="DO285" i="24"/>
  <c r="DR167" i="24"/>
  <c r="DU167" i="24" s="1"/>
  <c r="DO167" i="24"/>
  <c r="DR235" i="24"/>
  <c r="DO235" i="24"/>
  <c r="DR43" i="24"/>
  <c r="DO43" i="24"/>
  <c r="EE153" i="24"/>
  <c r="EE32" i="24"/>
  <c r="DO127" i="24"/>
  <c r="DR142" i="24"/>
  <c r="DU142" i="24" s="1"/>
  <c r="DO142" i="24"/>
  <c r="DO90" i="24"/>
  <c r="DO59" i="24"/>
  <c r="DR59" i="24"/>
  <c r="DO224" i="24"/>
  <c r="DR224" i="24"/>
  <c r="EE184" i="24"/>
  <c r="DO263" i="24"/>
  <c r="DR263" i="24"/>
  <c r="EE179" i="24"/>
  <c r="DO147" i="24"/>
  <c r="DR147" i="24"/>
  <c r="DU147" i="24" s="1"/>
  <c r="DR159" i="24"/>
  <c r="DU159" i="24" s="1"/>
  <c r="DO159" i="24"/>
  <c r="DR178" i="24"/>
  <c r="DU178" i="24" s="1"/>
  <c r="DO178" i="24"/>
  <c r="EE38" i="24"/>
  <c r="DR71" i="24"/>
  <c r="DO71" i="24"/>
  <c r="DO150" i="24"/>
  <c r="DR150" i="24"/>
  <c r="DU150" i="24" s="1"/>
  <c r="DR183" i="24"/>
  <c r="DU183" i="24" s="1"/>
  <c r="DO183" i="24"/>
  <c r="DR85" i="24"/>
  <c r="DO85" i="24"/>
  <c r="DR234" i="24"/>
  <c r="EL234" i="24" s="1"/>
  <c r="DO234" i="24"/>
  <c r="DO61" i="24"/>
  <c r="DR61" i="24"/>
  <c r="DZ30" i="24"/>
  <c r="DX30" i="24"/>
  <c r="DZ63" i="24"/>
  <c r="DX63" i="24"/>
  <c r="DR217" i="24"/>
  <c r="FA217" i="24" s="1"/>
  <c r="DO217" i="24"/>
  <c r="DO138" i="24"/>
  <c r="DR138" i="24"/>
  <c r="DU138" i="24" s="1"/>
  <c r="DR200" i="24"/>
  <c r="DU200" i="24" s="1"/>
  <c r="DO200" i="24"/>
  <c r="DR117" i="24"/>
  <c r="DU117" i="24" s="1"/>
  <c r="DO117" i="24"/>
  <c r="DO221" i="24"/>
  <c r="DR221" i="24"/>
  <c r="EL221" i="24" s="1"/>
  <c r="DR293" i="24"/>
  <c r="EL293" i="24" s="1"/>
  <c r="DO293" i="24"/>
  <c r="DZ81" i="24"/>
  <c r="DX81" i="24"/>
  <c r="DO33" i="24"/>
  <c r="DR33" i="24"/>
  <c r="DZ26" i="24"/>
  <c r="DX26" i="24"/>
  <c r="DO223" i="24"/>
  <c r="DR223" i="24"/>
  <c r="DX124" i="24"/>
  <c r="DO75" i="24"/>
  <c r="DR75" i="24"/>
  <c r="EE181" i="24"/>
  <c r="DZ10" i="24"/>
  <c r="DX10" i="24"/>
  <c r="DO136" i="24"/>
  <c r="DR136" i="24"/>
  <c r="DU136" i="24" s="1"/>
  <c r="DX65" i="24"/>
  <c r="DZ65" i="24"/>
  <c r="DO32" i="24"/>
  <c r="DR32" i="24"/>
  <c r="DR237" i="24"/>
  <c r="DO237" i="24"/>
  <c r="DO156" i="24"/>
  <c r="DR156" i="24"/>
  <c r="DU156" i="24" s="1"/>
  <c r="DX50" i="24"/>
  <c r="DZ50" i="24"/>
  <c r="DO280" i="24"/>
  <c r="DR280" i="24"/>
  <c r="DR9" i="24"/>
  <c r="DO9" i="24"/>
  <c r="DO139" i="24"/>
  <c r="DR139" i="24"/>
  <c r="DU139" i="24" s="1"/>
  <c r="EE169" i="24"/>
  <c r="DR27" i="24"/>
  <c r="DO27" i="24"/>
  <c r="DO72" i="24"/>
  <c r="DR72" i="24"/>
  <c r="DR179" i="24"/>
  <c r="DU179" i="24" s="1"/>
  <c r="DO179" i="24"/>
  <c r="EE116" i="24"/>
  <c r="DO206" i="24"/>
  <c r="DR206" i="24"/>
  <c r="DU206" i="24" s="1"/>
  <c r="DO40" i="24"/>
  <c r="DR40" i="24"/>
  <c r="DX172" i="24"/>
  <c r="DO63" i="24"/>
  <c r="DR63" i="24"/>
  <c r="DX138" i="24"/>
  <c r="DR12" i="24"/>
  <c r="DO12" i="24"/>
  <c r="DR104" i="24"/>
  <c r="DO104" i="24"/>
  <c r="DX55" i="24"/>
  <c r="DZ55" i="24"/>
  <c r="DR79" i="24"/>
  <c r="DO79" i="24"/>
  <c r="DZ99" i="24"/>
  <c r="DX99" i="24"/>
  <c r="DX83" i="24"/>
  <c r="DZ83" i="24"/>
  <c r="DX159" i="24"/>
  <c r="DR305" i="24"/>
  <c r="DO305" i="24"/>
  <c r="EE168" i="24"/>
  <c r="EE102" i="24"/>
  <c r="DX47" i="24"/>
  <c r="DZ47" i="24"/>
  <c r="DO65" i="24"/>
  <c r="DR65" i="24"/>
  <c r="DR13" i="24"/>
  <c r="DO13" i="24"/>
  <c r="DR22" i="24"/>
  <c r="DO22" i="24"/>
  <c r="DO77" i="24"/>
  <c r="DR77" i="24"/>
  <c r="DR268" i="24"/>
  <c r="DO268" i="24"/>
  <c r="DR132" i="24"/>
  <c r="DU132" i="24" s="1"/>
  <c r="DO132" i="24"/>
  <c r="DX42" i="24"/>
  <c r="DZ42" i="24"/>
  <c r="DR69" i="24"/>
  <c r="DO69" i="24"/>
  <c r="DX197" i="24"/>
  <c r="DZ43" i="24"/>
  <c r="DX43" i="24"/>
  <c r="DX171" i="24"/>
  <c r="DO18" i="24"/>
  <c r="DR18" i="24"/>
  <c r="DR95" i="24"/>
  <c r="DO95" i="24"/>
  <c r="DR184" i="24"/>
  <c r="DU184" i="24" s="1"/>
  <c r="DO184" i="24"/>
  <c r="DR245" i="24"/>
  <c r="DO245" i="24"/>
  <c r="DR19" i="24"/>
  <c r="DO19" i="24"/>
  <c r="DO92" i="24"/>
  <c r="DO236" i="24"/>
  <c r="DR236" i="24"/>
  <c r="EE176" i="24"/>
  <c r="DR55" i="24"/>
  <c r="DO55" i="24"/>
  <c r="DR286" i="24"/>
  <c r="DO286" i="24"/>
  <c r="DX160" i="24"/>
  <c r="DX175" i="24"/>
  <c r="DR116" i="24"/>
  <c r="DU116" i="24" s="1"/>
  <c r="DO116" i="24"/>
  <c r="DX62" i="24"/>
  <c r="DZ62" i="24"/>
  <c r="DR128" i="24"/>
  <c r="DU128" i="24" s="1"/>
  <c r="DR248" i="24"/>
  <c r="FA248" i="24" s="1"/>
  <c r="DO248" i="24"/>
  <c r="DX186" i="24"/>
  <c r="DO31" i="24"/>
  <c r="DR31" i="24"/>
  <c r="DR175" i="24"/>
  <c r="DU175" i="24" s="1"/>
  <c r="DO175" i="24"/>
  <c r="DX183" i="24"/>
  <c r="DO74" i="24"/>
  <c r="DZ54" i="24"/>
  <c r="DX54" i="24"/>
  <c r="DR76" i="24"/>
  <c r="DO76" i="24"/>
  <c r="DZ52" i="24"/>
  <c r="DX52" i="24"/>
  <c r="DX37" i="24"/>
  <c r="DZ37" i="24"/>
  <c r="DX35" i="24"/>
  <c r="DZ35" i="24"/>
  <c r="DO135" i="24"/>
  <c r="DR135" i="24"/>
  <c r="DU135" i="24" s="1"/>
  <c r="DR165" i="24"/>
  <c r="DU165" i="24" s="1"/>
  <c r="DO165" i="24"/>
  <c r="DO157" i="24"/>
  <c r="DR157" i="24"/>
  <c r="DU157" i="24" s="1"/>
  <c r="DR42" i="24"/>
  <c r="DO42" i="24"/>
  <c r="DR209" i="24"/>
  <c r="DU209" i="24" s="1"/>
  <c r="DO209" i="24"/>
  <c r="DR36" i="24"/>
  <c r="DO36" i="24"/>
  <c r="DX123" i="24"/>
  <c r="DO98" i="24"/>
  <c r="DR98" i="24"/>
  <c r="DR8" i="24"/>
  <c r="DO8" i="24"/>
  <c r="DX192" i="24"/>
  <c r="DR260" i="24"/>
  <c r="EL260" i="24" s="1"/>
  <c r="DO260" i="24"/>
  <c r="DO51" i="24"/>
  <c r="DR51" i="24"/>
  <c r="DO25" i="24"/>
  <c r="DR25" i="24"/>
  <c r="DX167" i="24"/>
  <c r="EE96" i="24"/>
  <c r="DX112" i="24"/>
  <c r="DR162" i="24"/>
  <c r="DU162" i="24" s="1"/>
  <c r="DO162" i="24"/>
  <c r="DR101" i="24"/>
  <c r="DO101" i="24"/>
  <c r="DX202" i="24"/>
  <c r="DO314" i="24"/>
  <c r="DR314" i="24"/>
  <c r="FA314" i="24" s="1"/>
  <c r="DR187" i="24"/>
  <c r="DU187" i="24" s="1"/>
  <c r="DO187" i="24"/>
  <c r="DR124" i="24"/>
  <c r="DU124" i="24" s="1"/>
  <c r="DO124" i="24"/>
  <c r="DO287" i="24"/>
  <c r="DR287" i="24"/>
  <c r="FA287" i="24" s="1"/>
  <c r="DO161" i="24"/>
  <c r="DR161" i="24"/>
  <c r="DU161" i="24" s="1"/>
  <c r="DR315" i="24"/>
  <c r="FA315" i="24" s="1"/>
  <c r="DO315" i="24"/>
  <c r="DR149" i="24"/>
  <c r="DU149" i="24" s="1"/>
  <c r="DO149" i="24"/>
  <c r="DO193" i="24"/>
  <c r="DR193" i="24"/>
  <c r="DU193" i="24" s="1"/>
  <c r="DO254" i="24"/>
  <c r="DR254" i="24"/>
  <c r="DR289" i="24"/>
  <c r="EY289" i="24" s="1"/>
  <c r="DO289" i="24"/>
  <c r="DR198" i="24"/>
  <c r="DU198" i="24" s="1"/>
  <c r="DO198" i="24"/>
  <c r="DO243" i="24"/>
  <c r="EE207" i="24"/>
  <c r="DZ61" i="24"/>
  <c r="DX61" i="24"/>
  <c r="DO41" i="24"/>
  <c r="DR41" i="24"/>
  <c r="DO242" i="24"/>
  <c r="DO78" i="24"/>
  <c r="DO310" i="24"/>
  <c r="DR310" i="24"/>
  <c r="FA310" i="24" s="1"/>
  <c r="DR86" i="24"/>
  <c r="DO86" i="24"/>
  <c r="DO229" i="24"/>
  <c r="DR229" i="24"/>
  <c r="FA229" i="24" s="1"/>
  <c r="DO137" i="24"/>
  <c r="DR137" i="24"/>
  <c r="DU137" i="24" s="1"/>
  <c r="DX40" i="24"/>
  <c r="DZ40" i="24"/>
  <c r="DO172" i="24"/>
  <c r="DR172" i="24"/>
  <c r="DU172" i="24" s="1"/>
  <c r="DX104" i="24"/>
  <c r="DZ104" i="24"/>
  <c r="DR125" i="24"/>
  <c r="DU125" i="24" s="1"/>
  <c r="DO125" i="24"/>
  <c r="EE46" i="24"/>
  <c r="DR261" i="24"/>
  <c r="FA261" i="24" s="1"/>
  <c r="DO261" i="24"/>
  <c r="DO195" i="24"/>
  <c r="DR195" i="24"/>
  <c r="DU195" i="24" s="1"/>
  <c r="EE85" i="24"/>
  <c r="DR58" i="24"/>
  <c r="DO58" i="24"/>
  <c r="EE139" i="24"/>
  <c r="DO246" i="24"/>
  <c r="DR246" i="24"/>
  <c r="FA246" i="24" s="1"/>
  <c r="EE165" i="24"/>
  <c r="EE113" i="24"/>
  <c r="EE118" i="24"/>
  <c r="DR15" i="24"/>
  <c r="DO15" i="24"/>
  <c r="DR196" i="24"/>
  <c r="DU196" i="24" s="1"/>
  <c r="DO196" i="24"/>
  <c r="EE125" i="24"/>
  <c r="DR205" i="24"/>
  <c r="DU205" i="24" s="1"/>
  <c r="DO205" i="24"/>
  <c r="DO46" i="24"/>
  <c r="DR46" i="24"/>
  <c r="DO53" i="24"/>
  <c r="DR53" i="24"/>
  <c r="DO47" i="24"/>
  <c r="DR47" i="24"/>
  <c r="EE28" i="24"/>
  <c r="DO163" i="24"/>
  <c r="DR163" i="24"/>
  <c r="DU163" i="24" s="1"/>
  <c r="EE51" i="24"/>
  <c r="DR23" i="24"/>
  <c r="DO23" i="24"/>
  <c r="DO240" i="24"/>
  <c r="DR240" i="24"/>
  <c r="FA240" i="24" s="1"/>
  <c r="DO311" i="24"/>
  <c r="DR311" i="24"/>
  <c r="EB311" i="24" s="1"/>
  <c r="DO80" i="24"/>
  <c r="DR80" i="24"/>
  <c r="DX136" i="24"/>
  <c r="DX145" i="24"/>
  <c r="DO180" i="24"/>
  <c r="DR180" i="24"/>
  <c r="DU180" i="24" s="1"/>
  <c r="DO50" i="24"/>
  <c r="DR50" i="24"/>
  <c r="DO230" i="24"/>
  <c r="DR230" i="24"/>
  <c r="FA230" i="24" s="1"/>
  <c r="DZ67" i="24"/>
  <c r="DX67" i="24"/>
  <c r="EE200" i="24"/>
  <c r="EE117" i="24"/>
  <c r="DR241" i="24"/>
  <c r="DO241" i="24"/>
  <c r="DO97" i="24"/>
  <c r="DR97" i="24"/>
  <c r="DO153" i="24"/>
  <c r="DR153" i="24"/>
  <c r="DU153" i="24" s="1"/>
  <c r="DX164" i="24"/>
  <c r="EE206" i="24"/>
  <c r="DX132" i="24"/>
  <c r="DZ25" i="24"/>
  <c r="DX25" i="24"/>
  <c r="DR176" i="24"/>
  <c r="DU176" i="24" s="1"/>
  <c r="DO176" i="24"/>
  <c r="EE73" i="24"/>
  <c r="DO273" i="24"/>
  <c r="DR273" i="24"/>
  <c r="EL273" i="24" s="1"/>
  <c r="DO225" i="24"/>
  <c r="DR225" i="24"/>
  <c r="EE187" i="24"/>
  <c r="DR7" i="24"/>
  <c r="DO7" i="24"/>
  <c r="DO262" i="24"/>
  <c r="DR262" i="24"/>
  <c r="EL262" i="24" s="1"/>
  <c r="EE208" i="24"/>
  <c r="DR281" i="24"/>
  <c r="DO281" i="24"/>
  <c r="DR152" i="24"/>
  <c r="DU152" i="24" s="1"/>
  <c r="DO152" i="24"/>
  <c r="DO228" i="24"/>
  <c r="DR228" i="24"/>
  <c r="EL228" i="24" s="1"/>
  <c r="EE182" i="24"/>
  <c r="DX177" i="24"/>
  <c r="DR239" i="24"/>
  <c r="DO239" i="24"/>
  <c r="DR219" i="24"/>
  <c r="DO219" i="24"/>
  <c r="DZ60" i="24"/>
  <c r="DX60" i="24"/>
  <c r="DR82" i="24"/>
  <c r="DO82" i="24"/>
  <c r="DR16" i="24"/>
  <c r="DO16" i="24"/>
  <c r="DR170" i="24"/>
  <c r="DU170" i="24" s="1"/>
  <c r="DO170" i="24"/>
  <c r="DR194" i="24"/>
  <c r="DU194" i="24" s="1"/>
  <c r="DO194" i="24"/>
  <c r="DO266" i="24"/>
  <c r="DR266" i="24"/>
  <c r="DO130" i="24"/>
  <c r="DR130" i="24"/>
  <c r="DU130" i="24" s="1"/>
  <c r="DR62" i="24"/>
  <c r="DO62" i="24"/>
  <c r="DO57" i="24"/>
  <c r="DR57" i="24"/>
  <c r="DR186" i="24"/>
  <c r="DU186" i="24" s="1"/>
  <c r="DO186" i="24"/>
  <c r="DR303" i="24"/>
  <c r="FA303" i="24" s="1"/>
  <c r="DO303" i="24"/>
  <c r="DR277" i="24"/>
  <c r="FA277" i="24" s="1"/>
  <c r="DO277" i="24"/>
  <c r="DO199" i="24"/>
  <c r="DR199" i="24"/>
  <c r="DU199" i="24" s="1"/>
  <c r="DO270" i="24"/>
  <c r="DR270" i="24"/>
  <c r="EL270" i="24" s="1"/>
  <c r="DO154" i="24"/>
  <c r="DR154" i="24"/>
  <c r="DU154" i="24" s="1"/>
  <c r="DO253" i="24"/>
  <c r="DR253" i="24"/>
  <c r="EB253" i="24" s="1"/>
  <c r="DZ98" i="24"/>
  <c r="DX98" i="24"/>
  <c r="DZ8" i="24"/>
  <c r="DX8" i="24"/>
  <c r="DR316" i="24"/>
  <c r="EY316" i="24" s="1"/>
  <c r="DO316" i="24"/>
  <c r="DX185" i="24"/>
  <c r="DR218" i="24"/>
  <c r="EL218" i="24" s="1"/>
  <c r="DO218" i="24"/>
  <c r="DR294" i="24"/>
  <c r="DO294" i="24"/>
  <c r="DR292" i="24"/>
  <c r="DO292" i="24"/>
  <c r="DR54" i="24"/>
  <c r="DO54" i="24"/>
  <c r="EE191" i="24"/>
  <c r="DO118" i="24"/>
  <c r="DR118" i="24"/>
  <c r="DU118" i="24" s="1"/>
  <c r="DR312" i="24"/>
  <c r="FA312" i="24" s="1"/>
  <c r="DO312" i="24"/>
  <c r="DR121" i="24"/>
  <c r="DU121" i="24" s="1"/>
  <c r="DO121" i="24"/>
  <c r="DO258" i="24"/>
  <c r="DR258" i="24"/>
  <c r="DO182" i="24"/>
  <c r="DR182" i="24"/>
  <c r="DU182" i="24" s="1"/>
  <c r="EE49" i="24"/>
  <c r="EE144" i="24"/>
  <c r="EE178" i="24"/>
  <c r="DO232" i="24"/>
  <c r="DR232" i="24"/>
  <c r="DR60" i="24"/>
  <c r="DO60" i="24"/>
  <c r="DR255" i="24"/>
  <c r="DO255" i="24"/>
  <c r="EE121" i="24"/>
  <c r="DX170" i="24"/>
  <c r="EE19" i="24"/>
  <c r="EE140" i="24"/>
  <c r="DX142" i="24"/>
  <c r="DO291" i="24"/>
  <c r="DR291" i="24"/>
  <c r="EB291" i="24" s="1"/>
  <c r="DO272" i="24"/>
  <c r="DR272" i="24"/>
  <c r="DX152" i="24"/>
  <c r="DX127" i="24"/>
  <c r="DR45" i="24"/>
  <c r="DO45" i="24"/>
  <c r="DX33" i="24"/>
  <c r="DZ33" i="24"/>
  <c r="DO247" i="24"/>
  <c r="DR247" i="24"/>
  <c r="DO29" i="24"/>
  <c r="DR29" i="24"/>
  <c r="DR171" i="24"/>
  <c r="DU171" i="24" s="1"/>
  <c r="DO171" i="24"/>
  <c r="DX70" i="24"/>
  <c r="DZ70" i="24"/>
  <c r="DR249" i="24"/>
  <c r="DO249" i="24"/>
  <c r="DX122" i="24"/>
  <c r="DR202" i="24"/>
  <c r="DU202" i="24" s="1"/>
  <c r="DO202" i="24"/>
  <c r="DR185" i="24"/>
  <c r="DU185" i="24" s="1"/>
  <c r="DO185" i="24"/>
  <c r="DX134" i="24"/>
  <c r="DO250" i="24"/>
  <c r="DR250" i="24"/>
  <c r="EL250" i="24" s="1"/>
  <c r="DR114" i="24"/>
  <c r="DU114" i="24" s="1"/>
  <c r="DO114" i="24"/>
  <c r="DZ24" i="24"/>
  <c r="DX24" i="24"/>
  <c r="DX161" i="24"/>
  <c r="DR52" i="24"/>
  <c r="DO52" i="24"/>
  <c r="EE195" i="24"/>
  <c r="DZ29" i="24"/>
  <c r="DX29" i="24"/>
  <c r="DO201" i="24"/>
  <c r="DR201" i="24"/>
  <c r="DU201" i="24" s="1"/>
  <c r="DO192" i="24"/>
  <c r="DR192" i="24"/>
  <c r="DU192" i="24" s="1"/>
  <c r="DZ13" i="24"/>
  <c r="DX13" i="24"/>
  <c r="DX111" i="24"/>
  <c r="DR274" i="24"/>
  <c r="DO274" i="24"/>
  <c r="DO49" i="24"/>
  <c r="DR49" i="24"/>
  <c r="DR67" i="24"/>
  <c r="DO67" i="24"/>
  <c r="DO252" i="24"/>
  <c r="DR252" i="24"/>
  <c r="DO190" i="24"/>
  <c r="DX190" i="24"/>
  <c r="DR94" i="24"/>
  <c r="DO94" i="24"/>
  <c r="DR10" i="24"/>
  <c r="DO10" i="24"/>
  <c r="EE162" i="24"/>
  <c r="DO297" i="24"/>
  <c r="DR297" i="24"/>
  <c r="EE86" i="24"/>
  <c r="DO140" i="24"/>
  <c r="DR140" i="24"/>
  <c r="DU140" i="24" s="1"/>
  <c r="DO203" i="24"/>
  <c r="DR203" i="24"/>
  <c r="DU203" i="24" s="1"/>
  <c r="EE72" i="24"/>
  <c r="DR83" i="24"/>
  <c r="DO83" i="24"/>
  <c r="DO269" i="24"/>
  <c r="DR269" i="24"/>
  <c r="DO306" i="24"/>
  <c r="DR306" i="24"/>
  <c r="EY306" i="24" s="1"/>
  <c r="EE198" i="24"/>
  <c r="DR144" i="24"/>
  <c r="DU144" i="24" s="1"/>
  <c r="DO144" i="24"/>
  <c r="DR37" i="24"/>
  <c r="DO37" i="24"/>
  <c r="DR233" i="24"/>
  <c r="FA233" i="24" s="1"/>
  <c r="DO233" i="24"/>
  <c r="EE203" i="24"/>
  <c r="DR166" i="24"/>
  <c r="DU166" i="24" s="1"/>
  <c r="DO166" i="24"/>
  <c r="DO148" i="24"/>
  <c r="DR148" i="24"/>
  <c r="DU148" i="24" s="1"/>
  <c r="DR81" i="24"/>
  <c r="DO81" i="24"/>
  <c r="DR89" i="24"/>
  <c r="DO89" i="24"/>
  <c r="DR251" i="24"/>
  <c r="DO251" i="24"/>
  <c r="DO96" i="24"/>
  <c r="DX147" i="24"/>
  <c r="DO177" i="24"/>
  <c r="DR177" i="24"/>
  <c r="DU177" i="24" s="1"/>
  <c r="DO191" i="24"/>
  <c r="DR191" i="24"/>
  <c r="DU191" i="24" s="1"/>
  <c r="DO102" i="24"/>
  <c r="DR102" i="24"/>
  <c r="DO131" i="24"/>
  <c r="DR131" i="24"/>
  <c r="DU131" i="24" s="1"/>
  <c r="DZ71" i="24"/>
  <c r="DX71" i="24"/>
  <c r="DX193" i="24"/>
  <c r="DR226" i="24"/>
  <c r="DO226" i="24"/>
  <c r="DO34" i="24"/>
  <c r="DR34" i="24"/>
  <c r="DZ48" i="24"/>
  <c r="DX48" i="24"/>
  <c r="DR278" i="24"/>
  <c r="EL278" i="24" s="1"/>
  <c r="DO278" i="24"/>
  <c r="DZ100" i="24"/>
  <c r="DX100" i="24"/>
  <c r="DX158" i="24"/>
  <c r="DX103" i="24"/>
  <c r="DZ103" i="24"/>
  <c r="DO155" i="24"/>
  <c r="DR155" i="24"/>
  <c r="DU155" i="24" s="1"/>
  <c r="DZ68" i="24"/>
  <c r="DX68" i="24"/>
  <c r="DR264" i="24"/>
  <c r="DO264" i="24"/>
  <c r="DR265" i="24"/>
  <c r="DO265" i="24"/>
  <c r="DO87" i="24"/>
  <c r="DR87" i="24"/>
  <c r="DX77" i="24"/>
  <c r="DZ77" i="24"/>
  <c r="EE230" i="24"/>
  <c r="DX154" i="24"/>
  <c r="DR64" i="24"/>
  <c r="DO64" i="24"/>
  <c r="DR120" i="24"/>
  <c r="DU120" i="24" s="1"/>
  <c r="DO120" i="24"/>
  <c r="DO181" i="24"/>
  <c r="DR181" i="24"/>
  <c r="DU181" i="24" s="1"/>
  <c r="DR207" i="24"/>
  <c r="DU207" i="24" s="1"/>
  <c r="DO207" i="24"/>
  <c r="DR308" i="24"/>
  <c r="FA308" i="24" s="1"/>
  <c r="DO308" i="24"/>
  <c r="DR105" i="24"/>
  <c r="DO105" i="24"/>
  <c r="DO300" i="24"/>
  <c r="DR300" i="24"/>
  <c r="FA300" i="24" s="1"/>
  <c r="DR143" i="24"/>
  <c r="DU143" i="24" s="1"/>
  <c r="DO143" i="24"/>
  <c r="EE156" i="24"/>
  <c r="EE12" i="24"/>
  <c r="DO38" i="24"/>
  <c r="DR38" i="24"/>
  <c r="DZ89" i="24"/>
  <c r="DX89" i="24"/>
  <c r="DO99" i="24"/>
  <c r="DR99" i="24"/>
  <c r="DR30" i="24"/>
  <c r="DO30" i="24"/>
  <c r="EE143" i="24"/>
  <c r="DZ41" i="24"/>
  <c r="DX41" i="24"/>
  <c r="DR160" i="24"/>
  <c r="DU160" i="24" s="1"/>
  <c r="DO160" i="24"/>
  <c r="DX128" i="24"/>
  <c r="DR298" i="24"/>
  <c r="DO298" i="24"/>
  <c r="DR127" i="24"/>
  <c r="DU127" i="24" s="1"/>
  <c r="DX150" i="24"/>
  <c r="DR88" i="24"/>
  <c r="DQ216" i="25" l="1"/>
  <c r="DV216" i="25" s="1"/>
  <c r="DX216" i="25" s="1"/>
  <c r="EC216" i="25" s="1"/>
  <c r="DX143" i="25"/>
  <c r="EC143" i="25" s="1"/>
  <c r="DX212" i="25"/>
  <c r="EC212" i="25" s="1"/>
  <c r="DY212" i="25"/>
  <c r="EM190" i="24"/>
  <c r="EP190" i="24" s="1"/>
  <c r="DU190" i="24"/>
  <c r="EM255" i="24"/>
  <c r="EP255" i="24" s="1"/>
  <c r="EN255" i="24"/>
  <c r="EY255" i="24"/>
  <c r="FA255" i="24"/>
  <c r="EL255" i="24"/>
  <c r="EB255" i="24"/>
  <c r="EM297" i="24"/>
  <c r="EP297" i="24" s="1"/>
  <c r="EN297" i="24"/>
  <c r="EY297" i="24"/>
  <c r="EL297" i="24"/>
  <c r="EB297" i="24"/>
  <c r="EM239" i="24"/>
  <c r="EP239" i="24" s="1"/>
  <c r="EN239" i="24"/>
  <c r="EL239" i="24"/>
  <c r="EY239" i="24"/>
  <c r="EB239" i="24"/>
  <c r="FA239" i="24"/>
  <c r="EM281" i="24"/>
  <c r="EP281" i="24" s="1"/>
  <c r="EN281" i="24"/>
  <c r="FA281" i="24"/>
  <c r="EY281" i="24"/>
  <c r="EB281" i="24"/>
  <c r="EM286" i="24"/>
  <c r="EP286" i="24" s="1"/>
  <c r="EN286" i="24"/>
  <c r="EL286" i="24"/>
  <c r="EY286" i="24"/>
  <c r="EB286" i="24"/>
  <c r="EM296" i="24"/>
  <c r="EP296" i="24" s="1"/>
  <c r="EN296" i="24"/>
  <c r="EL296" i="24"/>
  <c r="EY296" i="24"/>
  <c r="FA296" i="24"/>
  <c r="EB296" i="24"/>
  <c r="EM256" i="24"/>
  <c r="EP256" i="24" s="1"/>
  <c r="EN256" i="24"/>
  <c r="FA256" i="24"/>
  <c r="EL256" i="24"/>
  <c r="EB256" i="24"/>
  <c r="EM222" i="24"/>
  <c r="EP222" i="24" s="1"/>
  <c r="EN222" i="24"/>
  <c r="EL222" i="24"/>
  <c r="EY222" i="24"/>
  <c r="FA222" i="24"/>
  <c r="EM276" i="24"/>
  <c r="EP276" i="24" s="1"/>
  <c r="EN276" i="24"/>
  <c r="EL276" i="24"/>
  <c r="EB276" i="24"/>
  <c r="EY276" i="24"/>
  <c r="EB299" i="24"/>
  <c r="FA306" i="24"/>
  <c r="EY304" i="24"/>
  <c r="EB267" i="24"/>
  <c r="EB250" i="24"/>
  <c r="EB316" i="24"/>
  <c r="FA262" i="24"/>
  <c r="EB248" i="24"/>
  <c r="EB315" i="24"/>
  <c r="FA297" i="24"/>
  <c r="EY256" i="24"/>
  <c r="EB222" i="24"/>
  <c r="EM291" i="24"/>
  <c r="EP291" i="24" s="1"/>
  <c r="EN291" i="24"/>
  <c r="EM294" i="24"/>
  <c r="EP294" i="24" s="1"/>
  <c r="EN294" i="24"/>
  <c r="EL294" i="24"/>
  <c r="EM274" i="24"/>
  <c r="EP274" i="24" s="1"/>
  <c r="EN274" i="24"/>
  <c r="EY274" i="24"/>
  <c r="EL274" i="24"/>
  <c r="EB274" i="24"/>
  <c r="EM258" i="24"/>
  <c r="EP258" i="24" s="1"/>
  <c r="EN258" i="24"/>
  <c r="EY258" i="24"/>
  <c r="EL258" i="24"/>
  <c r="EB258" i="24"/>
  <c r="EM218" i="24"/>
  <c r="EP218" i="24" s="1"/>
  <c r="EN218" i="24"/>
  <c r="EY218" i="24"/>
  <c r="EM253" i="24"/>
  <c r="EP253" i="24" s="1"/>
  <c r="EN253" i="24"/>
  <c r="EM273" i="24"/>
  <c r="EP273" i="24" s="1"/>
  <c r="EN273" i="24"/>
  <c r="FA273" i="24"/>
  <c r="EM223" i="24"/>
  <c r="EP223" i="24" s="1"/>
  <c r="EN223" i="24"/>
  <c r="EY223" i="24"/>
  <c r="FA223" i="24"/>
  <c r="EL223" i="24"/>
  <c r="EB223" i="24"/>
  <c r="EM224" i="24"/>
  <c r="EP224" i="24" s="1"/>
  <c r="EN224" i="24"/>
  <c r="EY224" i="24"/>
  <c r="EM309" i="24"/>
  <c r="EP309" i="24" s="1"/>
  <c r="EN309" i="24"/>
  <c r="EY309" i="24"/>
  <c r="EL309" i="24"/>
  <c r="EB309" i="24"/>
  <c r="EM227" i="24"/>
  <c r="EP227" i="24" s="1"/>
  <c r="EN227" i="24"/>
  <c r="EY227" i="24"/>
  <c r="FA227" i="24"/>
  <c r="EL227" i="24"/>
  <c r="EB227" i="24"/>
  <c r="EM220" i="24"/>
  <c r="EP220" i="24" s="1"/>
  <c r="EN220" i="24"/>
  <c r="EY220" i="24"/>
  <c r="EL220" i="24"/>
  <c r="EL299" i="24"/>
  <c r="EB306" i="24"/>
  <c r="FA285" i="24"/>
  <c r="EL267" i="24"/>
  <c r="EY253" i="24"/>
  <c r="EB288" i="24"/>
  <c r="EY250" i="24"/>
  <c r="EB277" i="24"/>
  <c r="EL291" i="24"/>
  <c r="EL316" i="24"/>
  <c r="EB294" i="24"/>
  <c r="EB270" i="24"/>
  <c r="FA218" i="24"/>
  <c r="EB220" i="24"/>
  <c r="EM225" i="24"/>
  <c r="EP225" i="24" s="1"/>
  <c r="EN225" i="24"/>
  <c r="EL225" i="24"/>
  <c r="EY225" i="24"/>
  <c r="EB225" i="24"/>
  <c r="FA225" i="24"/>
  <c r="EM298" i="24"/>
  <c r="EP298" i="24" s="1"/>
  <c r="EN298" i="24"/>
  <c r="EY298" i="24"/>
  <c r="EL298" i="24"/>
  <c r="EB298" i="24"/>
  <c r="EM308" i="24"/>
  <c r="EP308" i="24" s="1"/>
  <c r="EN308" i="24"/>
  <c r="EY308" i="24"/>
  <c r="EL308" i="24"/>
  <c r="EB308" i="24"/>
  <c r="EM226" i="24"/>
  <c r="EP226" i="24" s="1"/>
  <c r="EN226" i="24"/>
  <c r="EY226" i="24"/>
  <c r="EL226" i="24"/>
  <c r="EB226" i="24"/>
  <c r="EM252" i="24"/>
  <c r="EP252" i="24" s="1"/>
  <c r="EN252" i="24"/>
  <c r="EL252" i="24"/>
  <c r="EY252" i="24"/>
  <c r="EB252" i="24"/>
  <c r="EM232" i="24"/>
  <c r="EP232" i="24" s="1"/>
  <c r="EN232" i="24"/>
  <c r="EY232" i="24"/>
  <c r="EL232" i="24"/>
  <c r="EM262" i="24"/>
  <c r="EP262" i="24" s="1"/>
  <c r="EN262" i="24"/>
  <c r="EY262" i="24"/>
  <c r="EM241" i="24"/>
  <c r="EP241" i="24" s="1"/>
  <c r="EN241" i="24"/>
  <c r="EY241" i="24"/>
  <c r="EL241" i="24"/>
  <c r="EB241" i="24"/>
  <c r="EM311" i="24"/>
  <c r="EP311" i="24" s="1"/>
  <c r="EN311" i="24"/>
  <c r="EM229" i="24"/>
  <c r="EP229" i="24" s="1"/>
  <c r="EN229" i="24"/>
  <c r="EY229" i="24"/>
  <c r="EL229" i="24"/>
  <c r="EB229" i="24"/>
  <c r="EM245" i="24"/>
  <c r="EP245" i="24" s="1"/>
  <c r="EN245" i="24"/>
  <c r="EY245" i="24"/>
  <c r="FA245" i="24"/>
  <c r="EM293" i="24"/>
  <c r="EP293" i="24" s="1"/>
  <c r="EN293" i="24"/>
  <c r="EM271" i="24"/>
  <c r="EP271" i="24" s="1"/>
  <c r="EN271" i="24"/>
  <c r="EY271" i="24"/>
  <c r="FA271" i="24"/>
  <c r="EL271" i="24"/>
  <c r="EB271" i="24"/>
  <c r="EM304" i="24"/>
  <c r="EP304" i="24" s="1"/>
  <c r="EN304" i="24"/>
  <c r="EM295" i="24"/>
  <c r="EP295" i="24" s="1"/>
  <c r="EN295" i="24"/>
  <c r="EY295" i="24"/>
  <c r="EL295" i="24"/>
  <c r="EB295" i="24"/>
  <c r="FA299" i="24"/>
  <c r="FA293" i="24"/>
  <c r="EL253" i="24"/>
  <c r="FA316" i="24"/>
  <c r="FA270" i="24"/>
  <c r="EL248" i="24"/>
  <c r="EB217" i="24"/>
  <c r="FA220" i="24"/>
  <c r="FA276" i="24"/>
  <c r="FA226" i="24"/>
  <c r="FA274" i="24"/>
  <c r="EM277" i="24"/>
  <c r="EP277" i="24" s="1"/>
  <c r="EN277" i="24"/>
  <c r="EM289" i="24"/>
  <c r="EP289" i="24" s="1"/>
  <c r="EN289" i="24"/>
  <c r="EL289" i="24"/>
  <c r="FA289" i="24"/>
  <c r="EB289" i="24"/>
  <c r="EM315" i="24"/>
  <c r="EP315" i="24" s="1"/>
  <c r="EN315" i="24"/>
  <c r="EY315" i="24"/>
  <c r="EL315" i="24"/>
  <c r="EM305" i="24"/>
  <c r="EP305" i="24" s="1"/>
  <c r="EN305" i="24"/>
  <c r="EY305" i="24"/>
  <c r="EL305" i="24"/>
  <c r="EB305" i="24"/>
  <c r="EM237" i="24"/>
  <c r="EP237" i="24" s="1"/>
  <c r="EN237" i="24"/>
  <c r="EY237" i="24"/>
  <c r="EL237" i="24"/>
  <c r="EB237" i="24"/>
  <c r="EM221" i="24"/>
  <c r="EP221" i="24" s="1"/>
  <c r="EN221" i="24"/>
  <c r="EM282" i="24"/>
  <c r="EP282" i="24" s="1"/>
  <c r="EN282" i="24"/>
  <c r="EB282" i="24"/>
  <c r="EY282" i="24"/>
  <c r="FA282" i="24"/>
  <c r="EM288" i="24"/>
  <c r="EP288" i="24" s="1"/>
  <c r="EN288" i="24"/>
  <c r="EY285" i="24"/>
  <c r="EY293" i="24"/>
  <c r="EY288" i="24"/>
  <c r="FA291" i="24"/>
  <c r="FA221" i="24"/>
  <c r="EL311" i="24"/>
  <c r="EB224" i="24"/>
  <c r="EB234" i="24"/>
  <c r="EL282" i="24"/>
  <c r="EM278" i="24"/>
  <c r="EP278" i="24" s="1"/>
  <c r="EN278" i="24"/>
  <c r="EY278" i="24"/>
  <c r="FA278" i="24"/>
  <c r="EB278" i="24"/>
  <c r="EM228" i="24"/>
  <c r="EP228" i="24" s="1"/>
  <c r="EN228" i="24"/>
  <c r="EY228" i="24"/>
  <c r="EM265" i="24"/>
  <c r="EP265" i="24" s="1"/>
  <c r="EN265" i="24"/>
  <c r="EY265" i="24"/>
  <c r="FA265" i="24"/>
  <c r="EL265" i="24"/>
  <c r="EB265" i="24"/>
  <c r="EM306" i="24"/>
  <c r="EP306" i="24" s="1"/>
  <c r="EN306" i="24"/>
  <c r="EM250" i="24"/>
  <c r="EP250" i="24" s="1"/>
  <c r="EN250" i="24"/>
  <c r="EM316" i="24"/>
  <c r="EP316" i="24" s="1"/>
  <c r="EN316" i="24"/>
  <c r="EM219" i="24"/>
  <c r="EP219" i="24" s="1"/>
  <c r="EN219" i="24"/>
  <c r="EL219" i="24"/>
  <c r="EY219" i="24"/>
  <c r="EB219" i="24"/>
  <c r="FA219" i="24"/>
  <c r="EM240" i="24"/>
  <c r="EP240" i="24" s="1"/>
  <c r="EN240" i="24"/>
  <c r="EY240" i="24"/>
  <c r="EL240" i="24"/>
  <c r="EB240" i="24"/>
  <c r="EM246" i="24"/>
  <c r="EP246" i="24" s="1"/>
  <c r="EN246" i="24"/>
  <c r="EY246" i="24"/>
  <c r="EL246" i="24"/>
  <c r="EB246" i="24"/>
  <c r="EM254" i="24"/>
  <c r="EP254" i="24" s="1"/>
  <c r="EN254" i="24"/>
  <c r="EY254" i="24"/>
  <c r="EL254" i="24"/>
  <c r="EB254" i="24"/>
  <c r="EM236" i="24"/>
  <c r="EP236" i="24" s="1"/>
  <c r="EN236" i="24"/>
  <c r="EL236" i="24"/>
  <c r="EY236" i="24"/>
  <c r="EB236" i="24"/>
  <c r="FA236" i="24"/>
  <c r="EM280" i="24"/>
  <c r="EP280" i="24" s="1"/>
  <c r="EN280" i="24"/>
  <c r="EY280" i="24"/>
  <c r="EL280" i="24"/>
  <c r="EB280" i="24"/>
  <c r="EM217" i="24"/>
  <c r="EP217" i="24" s="1"/>
  <c r="EN217" i="24"/>
  <c r="EY217" i="24"/>
  <c r="EL217" i="24"/>
  <c r="EM284" i="24"/>
  <c r="EP284" i="24" s="1"/>
  <c r="EN284" i="24"/>
  <c r="EY284" i="24"/>
  <c r="EL284" i="24"/>
  <c r="EB284" i="24"/>
  <c r="EM267" i="24"/>
  <c r="EP267" i="24" s="1"/>
  <c r="EN267" i="24"/>
  <c r="EM244" i="24"/>
  <c r="EP244" i="24" s="1"/>
  <c r="EN244" i="24"/>
  <c r="EY244" i="24"/>
  <c r="EL244" i="24"/>
  <c r="EB244" i="24"/>
  <c r="EM243" i="24"/>
  <c r="EP243" i="24" s="1"/>
  <c r="EN243" i="24"/>
  <c r="EY243" i="24"/>
  <c r="FA243" i="24"/>
  <c r="EL243" i="24"/>
  <c r="EB243" i="24"/>
  <c r="EL304" i="24"/>
  <c r="FA253" i="24"/>
  <c r="FA250" i="24"/>
  <c r="EY277" i="24"/>
  <c r="FA311" i="24"/>
  <c r="FA294" i="24"/>
  <c r="EL224" i="24"/>
  <c r="EL281" i="24"/>
  <c r="FA280" i="24"/>
  <c r="FA254" i="24"/>
  <c r="FA286" i="24"/>
  <c r="FA241" i="24"/>
  <c r="FA237" i="24"/>
  <c r="FA305" i="24"/>
  <c r="FA258" i="24"/>
  <c r="EM251" i="24"/>
  <c r="EP251" i="24" s="1"/>
  <c r="EN251" i="24"/>
  <c r="EY251" i="24"/>
  <c r="EL251" i="24"/>
  <c r="EB251" i="24"/>
  <c r="EM300" i="24"/>
  <c r="EP300" i="24" s="1"/>
  <c r="EN300" i="24"/>
  <c r="EY300" i="24"/>
  <c r="EL300" i="24"/>
  <c r="EB300" i="24"/>
  <c r="EM247" i="24"/>
  <c r="EP247" i="24" s="1"/>
  <c r="EN247" i="24"/>
  <c r="EY247" i="24"/>
  <c r="EL247" i="24"/>
  <c r="EB247" i="24"/>
  <c r="EM272" i="24"/>
  <c r="EP272" i="24" s="1"/>
  <c r="EN272" i="24"/>
  <c r="EY272" i="24"/>
  <c r="EL272" i="24"/>
  <c r="EB272" i="24"/>
  <c r="EM292" i="24"/>
  <c r="EP292" i="24" s="1"/>
  <c r="EN292" i="24"/>
  <c r="FA292" i="24"/>
  <c r="EL292" i="24"/>
  <c r="EY292" i="24"/>
  <c r="EM303" i="24"/>
  <c r="EP303" i="24" s="1"/>
  <c r="EN303" i="24"/>
  <c r="EY303" i="24"/>
  <c r="EL303" i="24"/>
  <c r="EB303" i="24"/>
  <c r="EM261" i="24"/>
  <c r="EP261" i="24" s="1"/>
  <c r="EN261" i="24"/>
  <c r="EL261" i="24"/>
  <c r="EY261" i="24"/>
  <c r="EB261" i="24"/>
  <c r="EM314" i="24"/>
  <c r="EP314" i="24" s="1"/>
  <c r="EN314" i="24"/>
  <c r="EY314" i="24"/>
  <c r="EL314" i="24"/>
  <c r="EB314" i="24"/>
  <c r="EM260" i="24"/>
  <c r="EP260" i="24" s="1"/>
  <c r="EN260" i="24"/>
  <c r="EY260" i="24"/>
  <c r="FA260" i="24"/>
  <c r="EB260" i="24"/>
  <c r="EM268" i="24"/>
  <c r="EP268" i="24" s="1"/>
  <c r="EN268" i="24"/>
  <c r="EL268" i="24"/>
  <c r="FA268" i="24"/>
  <c r="EY268" i="24"/>
  <c r="EB268" i="24"/>
  <c r="EM234" i="24"/>
  <c r="EP234" i="24" s="1"/>
  <c r="EN234" i="24"/>
  <c r="EY234" i="24"/>
  <c r="EM301" i="24"/>
  <c r="EP301" i="24" s="1"/>
  <c r="EN301" i="24"/>
  <c r="EY301" i="24"/>
  <c r="EL301" i="24"/>
  <c r="EB301" i="24"/>
  <c r="EM307" i="24"/>
  <c r="EP307" i="24" s="1"/>
  <c r="EN307" i="24"/>
  <c r="EY307" i="24"/>
  <c r="EM290" i="24"/>
  <c r="EP290" i="24" s="1"/>
  <c r="EN290" i="24"/>
  <c r="EY290" i="24"/>
  <c r="EL290" i="24"/>
  <c r="EB290" i="24"/>
  <c r="EM238" i="24"/>
  <c r="EP238" i="24" s="1"/>
  <c r="EN238" i="24"/>
  <c r="EY238" i="24"/>
  <c r="EL238" i="24"/>
  <c r="EB238" i="24"/>
  <c r="EM257" i="24"/>
  <c r="EP257" i="24" s="1"/>
  <c r="EN257" i="24"/>
  <c r="EY257" i="24"/>
  <c r="FA257" i="24"/>
  <c r="EL257" i="24"/>
  <c r="EB257" i="24"/>
  <c r="EM242" i="24"/>
  <c r="EP242" i="24" s="1"/>
  <c r="EN242" i="24"/>
  <c r="FA242" i="24"/>
  <c r="EL242" i="24"/>
  <c r="EB242" i="24"/>
  <c r="EY242" i="24"/>
  <c r="EL306" i="24"/>
  <c r="FA304" i="24"/>
  <c r="EY267" i="24"/>
  <c r="EL277" i="24"/>
  <c r="EY291" i="24"/>
  <c r="EY221" i="24"/>
  <c r="FA224" i="24"/>
  <c r="EB307" i="24"/>
  <c r="FA234" i="24"/>
  <c r="EB245" i="24"/>
  <c r="EM264" i="24"/>
  <c r="EP264" i="24" s="1"/>
  <c r="EN264" i="24"/>
  <c r="EY264" i="24"/>
  <c r="EL264" i="24"/>
  <c r="EB264" i="24"/>
  <c r="EM233" i="24"/>
  <c r="EP233" i="24" s="1"/>
  <c r="EN233" i="24"/>
  <c r="EY233" i="24"/>
  <c r="EL233" i="24"/>
  <c r="EB233" i="24"/>
  <c r="EM269" i="24"/>
  <c r="EP269" i="24" s="1"/>
  <c r="EN269" i="24"/>
  <c r="EY269" i="24"/>
  <c r="FA269" i="24"/>
  <c r="EL269" i="24"/>
  <c r="EB269" i="24"/>
  <c r="EM249" i="24"/>
  <c r="EP249" i="24" s="1"/>
  <c r="EN249" i="24"/>
  <c r="EL249" i="24"/>
  <c r="EY249" i="24"/>
  <c r="EB249" i="24"/>
  <c r="EM312" i="24"/>
  <c r="EP312" i="24" s="1"/>
  <c r="EN312" i="24"/>
  <c r="EY312" i="24"/>
  <c r="EL312" i="24"/>
  <c r="EB312" i="24"/>
  <c r="EM270" i="24"/>
  <c r="EP270" i="24" s="1"/>
  <c r="EN270" i="24"/>
  <c r="EY270" i="24"/>
  <c r="EM266" i="24"/>
  <c r="EP266" i="24" s="1"/>
  <c r="EN266" i="24"/>
  <c r="EY266" i="24"/>
  <c r="EL266" i="24"/>
  <c r="FA266" i="24"/>
  <c r="EB266" i="24"/>
  <c r="EM310" i="24"/>
  <c r="EP310" i="24" s="1"/>
  <c r="EN310" i="24"/>
  <c r="EY310" i="24"/>
  <c r="EL310" i="24"/>
  <c r="EB310" i="24"/>
  <c r="EM287" i="24"/>
  <c r="EP287" i="24" s="1"/>
  <c r="EN287" i="24"/>
  <c r="EY287" i="24"/>
  <c r="EL287" i="24"/>
  <c r="EB287" i="24"/>
  <c r="EM263" i="24"/>
  <c r="EP263" i="24" s="1"/>
  <c r="EN263" i="24"/>
  <c r="EY263" i="24"/>
  <c r="FA263" i="24"/>
  <c r="EL263" i="24"/>
  <c r="EB263" i="24"/>
  <c r="EM235" i="24"/>
  <c r="EP235" i="24" s="1"/>
  <c r="EN235" i="24"/>
  <c r="EY235" i="24"/>
  <c r="EL235" i="24"/>
  <c r="EB235" i="24"/>
  <c r="EM302" i="24"/>
  <c r="EP302" i="24" s="1"/>
  <c r="EN302" i="24"/>
  <c r="EY302" i="24"/>
  <c r="FA302" i="24"/>
  <c r="EB302" i="24"/>
  <c r="EM299" i="24"/>
  <c r="EP299" i="24" s="1"/>
  <c r="EN299" i="24"/>
  <c r="EM259" i="24"/>
  <c r="EP259" i="24" s="1"/>
  <c r="EN259" i="24"/>
  <c r="EL259" i="24"/>
  <c r="EY259" i="24"/>
  <c r="EB259" i="24"/>
  <c r="EM231" i="24"/>
  <c r="EP231" i="24" s="1"/>
  <c r="EN231" i="24"/>
  <c r="FA231" i="24"/>
  <c r="EL231" i="24"/>
  <c r="EB231" i="24"/>
  <c r="EM313" i="24"/>
  <c r="EP313" i="24" s="1"/>
  <c r="EN313" i="24"/>
  <c r="EL313" i="24"/>
  <c r="EY313" i="24"/>
  <c r="FA313" i="24"/>
  <c r="EB313" i="24"/>
  <c r="EM275" i="24"/>
  <c r="EP275" i="24" s="1"/>
  <c r="EN275" i="24"/>
  <c r="EL275" i="24"/>
  <c r="EY275" i="24"/>
  <c r="EB275" i="24"/>
  <c r="FA275" i="24"/>
  <c r="EM285" i="24"/>
  <c r="EP285" i="24" s="1"/>
  <c r="EN285" i="24"/>
  <c r="EB262" i="24"/>
  <c r="FA228" i="24"/>
  <c r="EL307" i="24"/>
  <c r="EY273" i="24"/>
  <c r="EL245" i="24"/>
  <c r="EB232" i="24"/>
  <c r="EB292" i="24"/>
  <c r="FA249" i="24"/>
  <c r="FA272" i="24"/>
  <c r="FA264" i="24"/>
  <c r="FA247" i="24"/>
  <c r="FA235" i="24"/>
  <c r="FA244" i="24"/>
  <c r="FA295" i="24"/>
  <c r="FA252" i="24"/>
  <c r="EY231" i="24"/>
  <c r="FA251" i="24"/>
  <c r="FA284" i="24"/>
  <c r="FA298" i="24"/>
  <c r="FA290" i="24"/>
  <c r="EM230" i="24"/>
  <c r="EP230" i="24" s="1"/>
  <c r="EN230" i="24"/>
  <c r="EY230" i="24"/>
  <c r="EL230" i="24"/>
  <c r="EB230" i="24"/>
  <c r="EM248" i="24"/>
  <c r="EP248" i="24" s="1"/>
  <c r="EN248" i="24"/>
  <c r="EY248" i="24"/>
  <c r="EM279" i="24"/>
  <c r="EP279" i="24" s="1"/>
  <c r="EN279" i="24"/>
  <c r="EY279" i="24"/>
  <c r="FA279" i="24"/>
  <c r="EB279" i="24"/>
  <c r="EL279" i="24"/>
  <c r="EM283" i="24"/>
  <c r="EP283" i="24" s="1"/>
  <c r="EN283" i="24"/>
  <c r="EL283" i="24"/>
  <c r="EB283" i="24"/>
  <c r="FA283" i="24"/>
  <c r="EL285" i="24"/>
  <c r="EB293" i="24"/>
  <c r="EL288" i="24"/>
  <c r="EB221" i="24"/>
  <c r="EY311" i="24"/>
  <c r="EY294" i="24"/>
  <c r="EB228" i="24"/>
  <c r="EB218" i="24"/>
  <c r="FA307" i="24"/>
  <c r="EB273" i="24"/>
  <c r="FA232" i="24"/>
  <c r="DX112" i="25"/>
  <c r="EC112" i="25" s="1"/>
  <c r="DY112" i="25"/>
  <c r="CG182" i="25"/>
  <c r="CH182" i="25"/>
  <c r="CG138" i="25"/>
  <c r="CH138" i="25"/>
  <c r="CG143" i="25"/>
  <c r="CH181" i="25"/>
  <c r="CG181" i="25"/>
  <c r="EY89" i="24"/>
  <c r="FA67" i="24"/>
  <c r="EB52" i="24"/>
  <c r="FA47" i="24"/>
  <c r="EL161" i="24"/>
  <c r="EL42" i="24"/>
  <c r="EB65" i="24"/>
  <c r="FA43" i="24"/>
  <c r="EL122" i="24"/>
  <c r="EB100" i="24"/>
  <c r="DW243" i="24"/>
  <c r="DY243" i="24" s="1"/>
  <c r="EF243" i="24" s="1"/>
  <c r="EB152" i="24"/>
  <c r="EB33" i="24"/>
  <c r="FA71" i="24"/>
  <c r="FA14" i="24"/>
  <c r="EY164" i="24"/>
  <c r="EB103" i="24"/>
  <c r="EL90" i="24"/>
  <c r="DW242" i="24"/>
  <c r="DY242" i="24" s="1"/>
  <c r="EF242" i="24" s="1"/>
  <c r="FA160" i="24"/>
  <c r="EB127" i="24"/>
  <c r="FA201" i="24"/>
  <c r="EB186" i="24"/>
  <c r="EB53" i="24"/>
  <c r="EY193" i="24"/>
  <c r="EY157" i="24"/>
  <c r="EB77" i="24"/>
  <c r="EL63" i="24"/>
  <c r="EB78" i="24"/>
  <c r="FA39" i="24"/>
  <c r="EL37" i="24"/>
  <c r="FA199" i="24"/>
  <c r="EB23" i="24"/>
  <c r="EB142" i="24"/>
  <c r="EY24" i="24"/>
  <c r="DW285" i="24"/>
  <c r="DY285" i="24" s="1"/>
  <c r="EF285" i="24" s="1"/>
  <c r="EL190" i="24"/>
  <c r="EY30" i="24"/>
  <c r="FA155" i="24"/>
  <c r="EL83" i="24"/>
  <c r="FA185" i="24"/>
  <c r="EY60" i="24"/>
  <c r="EL25" i="24"/>
  <c r="EL128" i="24"/>
  <c r="FA136" i="24"/>
  <c r="FA167" i="24"/>
  <c r="EB174" i="24"/>
  <c r="EY26" i="24"/>
  <c r="EB68" i="24"/>
  <c r="EY197" i="24"/>
  <c r="CG110" i="24"/>
  <c r="FL110" i="24"/>
  <c r="EM169" i="24"/>
  <c r="EP169" i="24" s="1"/>
  <c r="FA171" i="24"/>
  <c r="EL50" i="24"/>
  <c r="FA124" i="24"/>
  <c r="EY175" i="24"/>
  <c r="FA138" i="24"/>
  <c r="EY183" i="24"/>
  <c r="EL133" i="24"/>
  <c r="EY158" i="24"/>
  <c r="EL145" i="24"/>
  <c r="DU92" i="24"/>
  <c r="FA74" i="24"/>
  <c r="FA202" i="24"/>
  <c r="EY29" i="24"/>
  <c r="EB54" i="24"/>
  <c r="EL154" i="24"/>
  <c r="FA62" i="24"/>
  <c r="EL170" i="24"/>
  <c r="EY41" i="24"/>
  <c r="EB8" i="24"/>
  <c r="EL55" i="24"/>
  <c r="EB104" i="24"/>
  <c r="EY40" i="24"/>
  <c r="FA61" i="24"/>
  <c r="EL150" i="24"/>
  <c r="FA159" i="24"/>
  <c r="EL129" i="24"/>
  <c r="EY48" i="24"/>
  <c r="EY111" i="24"/>
  <c r="EL173" i="24"/>
  <c r="EL112" i="24"/>
  <c r="FA70" i="24"/>
  <c r="EY126" i="24"/>
  <c r="FA44" i="24"/>
  <c r="DU96" i="24"/>
  <c r="EY177" i="24"/>
  <c r="FA10" i="24"/>
  <c r="EL172" i="24"/>
  <c r="EL98" i="24"/>
  <c r="FA132" i="24"/>
  <c r="EB13" i="24"/>
  <c r="EY147" i="24"/>
  <c r="EL123" i="24"/>
  <c r="EL134" i="24"/>
  <c r="EL35" i="24"/>
  <c r="CG5" i="24"/>
  <c r="K5" i="24" s="1"/>
  <c r="FL5" i="24"/>
  <c r="EL209" i="24"/>
  <c r="EM92" i="24"/>
  <c r="EP92" i="24" s="1"/>
  <c r="EB74" i="24"/>
  <c r="EN92" i="24"/>
  <c r="DW92" i="24"/>
  <c r="DY92" i="24" s="1"/>
  <c r="EF92" i="24" s="1"/>
  <c r="EL92" i="24"/>
  <c r="DU74" i="24"/>
  <c r="EB92" i="24"/>
  <c r="EM74" i="24"/>
  <c r="EP74" i="24" s="1"/>
  <c r="FA92" i="24"/>
  <c r="EL74" i="24"/>
  <c r="DW74" i="24"/>
  <c r="DY74" i="24" s="1"/>
  <c r="EF74" i="24" s="1"/>
  <c r="EY92" i="24"/>
  <c r="EY74" i="24"/>
  <c r="EN74" i="24"/>
  <c r="FA169" i="24"/>
  <c r="DW169" i="24"/>
  <c r="DY169" i="24" s="1"/>
  <c r="EF169" i="24" s="1"/>
  <c r="EN169" i="24"/>
  <c r="EB169" i="24"/>
  <c r="EL169" i="24"/>
  <c r="EY169" i="24"/>
  <c r="EB190" i="24"/>
  <c r="EN190" i="24"/>
  <c r="FA190" i="24"/>
  <c r="DW190" i="24"/>
  <c r="EA190" i="24" s="1"/>
  <c r="FL190" i="24" s="1"/>
  <c r="DX181" i="25"/>
  <c r="EC181" i="25" s="1"/>
  <c r="DU243" i="24"/>
  <c r="EL24" i="24"/>
  <c r="FA150" i="24"/>
  <c r="DY64" i="25"/>
  <c r="FL64" i="25" s="1"/>
  <c r="DY96" i="25"/>
  <c r="FL96" i="25" s="1"/>
  <c r="FA100" i="24"/>
  <c r="FA90" i="24"/>
  <c r="EL39" i="24"/>
  <c r="EL78" i="24"/>
  <c r="DY183" i="25"/>
  <c r="DY97" i="25"/>
  <c r="FL97" i="25" s="1"/>
  <c r="EM96" i="24"/>
  <c r="EP96" i="24" s="1"/>
  <c r="EB193" i="24"/>
  <c r="DW96" i="24"/>
  <c r="DY96" i="24" s="1"/>
  <c r="EF96" i="24" s="1"/>
  <c r="EB96" i="24"/>
  <c r="FA68" i="24"/>
  <c r="DU90" i="24"/>
  <c r="EL40" i="24"/>
  <c r="EM90" i="24"/>
  <c r="EP90" i="24" s="1"/>
  <c r="DU242" i="24"/>
  <c r="EN90" i="24"/>
  <c r="FA104" i="24"/>
  <c r="DW90" i="24"/>
  <c r="DY90" i="24" s="1"/>
  <c r="EF90" i="24" s="1"/>
  <c r="EB90" i="24"/>
  <c r="DY185" i="25"/>
  <c r="CG185" i="25" s="1"/>
  <c r="DY131" i="25"/>
  <c r="CG131" i="25" s="1"/>
  <c r="EY90" i="24"/>
  <c r="EB123" i="24"/>
  <c r="EY123" i="24"/>
  <c r="FA78" i="24"/>
  <c r="DU39" i="24"/>
  <c r="EY39" i="24"/>
  <c r="DU78" i="24"/>
  <c r="EB70" i="24"/>
  <c r="EY145" i="24"/>
  <c r="EM39" i="24"/>
  <c r="EP39" i="24" s="1"/>
  <c r="EB39" i="24"/>
  <c r="EN39" i="24"/>
  <c r="EN78" i="24"/>
  <c r="EL70" i="24"/>
  <c r="EB145" i="24"/>
  <c r="EY112" i="24"/>
  <c r="DW39" i="24"/>
  <c r="DY39" i="24" s="1"/>
  <c r="EF39" i="24" s="1"/>
  <c r="EM78" i="24"/>
  <c r="EP78" i="24" s="1"/>
  <c r="FA145" i="24"/>
  <c r="DW78" i="24"/>
  <c r="DY78" i="24" s="1"/>
  <c r="EF78" i="24" s="1"/>
  <c r="EY78" i="24"/>
  <c r="EY70" i="24"/>
  <c r="FA112" i="24"/>
  <c r="EL142" i="24"/>
  <c r="EL43" i="24"/>
  <c r="FA134" i="24"/>
  <c r="FA122" i="24"/>
  <c r="EB134" i="24"/>
  <c r="EB122" i="24"/>
  <c r="DY103" i="25"/>
  <c r="CH103" i="25" s="1"/>
  <c r="EY122" i="24"/>
  <c r="EY142" i="24"/>
  <c r="DY74" i="25"/>
  <c r="FL74" i="25" s="1"/>
  <c r="EL13" i="24"/>
  <c r="EB24" i="24"/>
  <c r="EB128" i="24"/>
  <c r="EL48" i="24"/>
  <c r="EB147" i="24"/>
  <c r="FA111" i="24"/>
  <c r="EN96" i="24"/>
  <c r="EL147" i="24"/>
  <c r="FA128" i="24"/>
  <c r="EY68" i="24"/>
  <c r="EB48" i="24"/>
  <c r="EL111" i="24"/>
  <c r="EY161" i="24"/>
  <c r="DY58" i="25"/>
  <c r="CH58" i="25" s="1"/>
  <c r="EL68" i="24"/>
  <c r="EB111" i="24"/>
  <c r="EY96" i="24"/>
  <c r="DY37" i="25"/>
  <c r="CH37" i="25" s="1"/>
  <c r="EY128" i="24"/>
  <c r="FA147" i="24"/>
  <c r="EY167" i="24"/>
  <c r="FA96" i="24"/>
  <c r="EL96" i="24"/>
  <c r="DY95" i="25"/>
  <c r="FL95" i="25" s="1"/>
  <c r="EL100" i="24"/>
  <c r="EY100" i="24"/>
  <c r="FA40" i="24"/>
  <c r="FA123" i="24"/>
  <c r="EC110" i="24"/>
  <c r="ED110" i="24" s="1"/>
  <c r="EH110" i="24"/>
  <c r="EI110" i="24"/>
  <c r="EX110" i="24" s="1"/>
  <c r="EL104" i="24"/>
  <c r="FA158" i="24"/>
  <c r="EH5" i="24"/>
  <c r="EC5" i="24"/>
  <c r="ED5" i="24" s="1"/>
  <c r="EI5" i="24"/>
  <c r="EX5" i="24" s="1"/>
  <c r="EB158" i="24"/>
  <c r="EG182" i="25"/>
  <c r="EX182" i="25" s="1"/>
  <c r="DY216" i="24"/>
  <c r="EF216" i="24" s="1"/>
  <c r="EA216" i="24"/>
  <c r="DY145" i="25"/>
  <c r="CH145" i="25" s="1"/>
  <c r="FA193" i="24"/>
  <c r="EY159" i="24"/>
  <c r="FA173" i="24"/>
  <c r="DY89" i="25"/>
  <c r="CH89" i="25" s="1"/>
  <c r="DY199" i="25"/>
  <c r="EF199" i="25" s="1"/>
  <c r="EW199" i="25" s="1"/>
  <c r="DY56" i="25"/>
  <c r="CH56" i="25" s="1"/>
  <c r="DY90" i="25"/>
  <c r="FL90" i="25" s="1"/>
  <c r="DY136" i="25"/>
  <c r="CH136" i="25" s="1"/>
  <c r="EL103" i="24"/>
  <c r="EB164" i="24"/>
  <c r="EL26" i="24"/>
  <c r="DY77" i="25"/>
  <c r="CH77" i="25" s="1"/>
  <c r="EY103" i="24"/>
  <c r="FA164" i="24"/>
  <c r="FA77" i="24"/>
  <c r="DY158" i="25"/>
  <c r="CG158" i="25" s="1"/>
  <c r="EY77" i="24"/>
  <c r="FA26" i="24"/>
  <c r="EL77" i="24"/>
  <c r="FA103" i="24"/>
  <c r="EY98" i="24"/>
  <c r="EB26" i="24"/>
  <c r="EY150" i="24"/>
  <c r="EY104" i="24"/>
  <c r="EB40" i="24"/>
  <c r="EB61" i="24"/>
  <c r="EL159" i="24"/>
  <c r="EB150" i="24"/>
  <c r="EY61" i="24"/>
  <c r="FA152" i="24"/>
  <c r="EY152" i="24"/>
  <c r="DU285" i="24"/>
  <c r="EL41" i="24"/>
  <c r="EY8" i="24"/>
  <c r="FA41" i="24"/>
  <c r="EB197" i="24"/>
  <c r="DY156" i="25"/>
  <c r="CG156" i="25" s="1"/>
  <c r="DY194" i="25"/>
  <c r="CG194" i="25" s="1"/>
  <c r="DY73" i="25"/>
  <c r="CH73" i="25" s="1"/>
  <c r="DY99" i="25"/>
  <c r="FL99" i="25" s="1"/>
  <c r="EY25" i="24"/>
  <c r="FA170" i="24"/>
  <c r="DY137" i="25"/>
  <c r="EF137" i="25" s="1"/>
  <c r="EW137" i="25" s="1"/>
  <c r="EB161" i="24"/>
  <c r="FA161" i="24"/>
  <c r="EY170" i="24"/>
  <c r="FA154" i="24"/>
  <c r="EL136" i="24"/>
  <c r="EL152" i="24"/>
  <c r="EB170" i="24"/>
  <c r="EY136" i="24"/>
  <c r="EB136" i="24"/>
  <c r="EY132" i="24"/>
  <c r="EB132" i="24"/>
  <c r="EL167" i="24"/>
  <c r="EB25" i="24"/>
  <c r="DY164" i="25"/>
  <c r="EG164" i="25" s="1"/>
  <c r="EX164" i="25" s="1"/>
  <c r="DY173" i="25"/>
  <c r="EG173" i="25" s="1"/>
  <c r="EX173" i="25" s="1"/>
  <c r="EE182" i="25"/>
  <c r="EI182" i="25" s="1"/>
  <c r="DY128" i="25"/>
  <c r="EG128" i="25" s="1"/>
  <c r="EX128" i="25" s="1"/>
  <c r="EF182" i="25"/>
  <c r="EW182" i="25" s="1"/>
  <c r="DY81" i="25"/>
  <c r="CH81" i="25" s="1"/>
  <c r="DY93" i="25"/>
  <c r="FL93" i="25" s="1"/>
  <c r="DY83" i="25"/>
  <c r="FL83" i="25" s="1"/>
  <c r="DY47" i="25"/>
  <c r="CH47" i="25" s="1"/>
  <c r="DY141" i="25"/>
  <c r="CH141" i="25" s="1"/>
  <c r="DY169" i="25"/>
  <c r="CH169" i="25" s="1"/>
  <c r="DY180" i="25"/>
  <c r="CH180" i="25" s="1"/>
  <c r="DY9" i="25"/>
  <c r="FL9" i="25" s="1"/>
  <c r="DY178" i="25"/>
  <c r="CH178" i="25" s="1"/>
  <c r="DY42" i="25"/>
  <c r="FL42" i="25" s="1"/>
  <c r="DY129" i="25"/>
  <c r="CH129" i="25" s="1"/>
  <c r="DY34" i="25"/>
  <c r="FL34" i="25" s="1"/>
  <c r="DY23" i="25"/>
  <c r="FL23" i="25" s="1"/>
  <c r="DY171" i="25"/>
  <c r="EG171" i="25" s="1"/>
  <c r="EX171" i="25" s="1"/>
  <c r="DY111" i="25"/>
  <c r="CH111" i="25" s="1"/>
  <c r="DY49" i="25"/>
  <c r="FL49" i="25" s="1"/>
  <c r="DY17" i="25"/>
  <c r="FL17" i="25" s="1"/>
  <c r="DY33" i="25"/>
  <c r="CG33" i="25" s="1"/>
  <c r="DY25" i="25"/>
  <c r="CH25" i="25" s="1"/>
  <c r="DY87" i="25"/>
  <c r="FL87" i="25" s="1"/>
  <c r="EY134" i="24"/>
  <c r="EL132" i="24"/>
  <c r="EB167" i="24"/>
  <c r="EY43" i="24"/>
  <c r="EB159" i="24"/>
  <c r="EB126" i="24"/>
  <c r="DX300" i="25"/>
  <c r="EC300" i="25" s="1"/>
  <c r="DY300" i="25"/>
  <c r="DX50" i="25"/>
  <c r="EC50" i="25" s="1"/>
  <c r="DY50" i="25"/>
  <c r="FL50" i="25" s="1"/>
  <c r="DX271" i="25"/>
  <c r="EC271" i="25" s="1"/>
  <c r="DY271" i="25"/>
  <c r="DX19" i="25"/>
  <c r="EC19" i="25" s="1"/>
  <c r="DY19" i="25"/>
  <c r="FL19" i="25" s="1"/>
  <c r="DX6" i="25"/>
  <c r="EC6" i="25" s="1"/>
  <c r="DY6" i="25"/>
  <c r="FL6" i="25" s="1"/>
  <c r="DX20" i="25"/>
  <c r="EC20" i="25" s="1"/>
  <c r="DY20" i="25"/>
  <c r="FL20" i="25" s="1"/>
  <c r="DY65" i="25"/>
  <c r="FL65" i="25" s="1"/>
  <c r="DX125" i="25"/>
  <c r="EC125" i="25" s="1"/>
  <c r="DY125" i="25"/>
  <c r="CH125" i="25" s="1"/>
  <c r="DX132" i="25"/>
  <c r="EC132" i="25" s="1"/>
  <c r="DY132" i="25"/>
  <c r="CH132" i="25" s="1"/>
  <c r="DX114" i="25"/>
  <c r="EC114" i="25" s="1"/>
  <c r="DY114" i="25"/>
  <c r="CG114" i="25" s="1"/>
  <c r="DY13" i="25"/>
  <c r="FL13" i="25" s="1"/>
  <c r="DX209" i="25"/>
  <c r="EC209" i="25" s="1"/>
  <c r="DY209" i="25"/>
  <c r="CH209" i="25" s="1"/>
  <c r="DX68" i="25"/>
  <c r="EC68" i="25" s="1"/>
  <c r="DY68" i="25"/>
  <c r="FL68" i="25" s="1"/>
  <c r="DY98" i="25"/>
  <c r="FL98" i="25" s="1"/>
  <c r="DX133" i="25"/>
  <c r="EC133" i="25" s="1"/>
  <c r="DY133" i="25"/>
  <c r="CH133" i="25" s="1"/>
  <c r="DX267" i="25"/>
  <c r="EC267" i="25" s="1"/>
  <c r="DY267" i="25"/>
  <c r="DX257" i="25"/>
  <c r="EC257" i="25" s="1"/>
  <c r="DY257" i="25"/>
  <c r="DY91" i="25"/>
  <c r="FL91" i="25" s="1"/>
  <c r="DX230" i="25"/>
  <c r="EC230" i="25" s="1"/>
  <c r="DY230" i="25"/>
  <c r="DX278" i="25"/>
  <c r="EC278" i="25" s="1"/>
  <c r="DY278" i="25"/>
  <c r="DY78" i="25"/>
  <c r="FL78" i="25" s="1"/>
  <c r="DX313" i="25"/>
  <c r="EC313" i="25" s="1"/>
  <c r="DY313" i="25"/>
  <c r="DX204" i="25"/>
  <c r="EC204" i="25" s="1"/>
  <c r="DY204" i="25"/>
  <c r="CH204" i="25" s="1"/>
  <c r="DY92" i="25"/>
  <c r="FL92" i="25" s="1"/>
  <c r="DX220" i="25"/>
  <c r="EC220" i="25" s="1"/>
  <c r="DY220" i="25"/>
  <c r="DY35" i="25"/>
  <c r="FL35" i="25" s="1"/>
  <c r="DX287" i="25"/>
  <c r="EC287" i="25" s="1"/>
  <c r="DY287" i="25"/>
  <c r="DX18" i="25"/>
  <c r="EC18" i="25" s="1"/>
  <c r="DY18" i="25"/>
  <c r="FL18" i="25" s="1"/>
  <c r="DY127" i="25"/>
  <c r="CG127" i="25" s="1"/>
  <c r="DX22" i="25"/>
  <c r="EC22" i="25" s="1"/>
  <c r="DY22" i="25"/>
  <c r="FL22" i="25" s="1"/>
  <c r="DX291" i="25"/>
  <c r="EC291" i="25" s="1"/>
  <c r="DY291" i="25"/>
  <c r="DX162" i="25"/>
  <c r="EC162" i="25" s="1"/>
  <c r="DY162" i="25"/>
  <c r="CH162" i="25" s="1"/>
  <c r="DX44" i="25"/>
  <c r="EC44" i="25" s="1"/>
  <c r="DY44" i="25"/>
  <c r="FL44" i="25" s="1"/>
  <c r="DX223" i="25"/>
  <c r="EC223" i="25" s="1"/>
  <c r="DY223" i="25"/>
  <c r="FA142" i="24"/>
  <c r="FA8" i="24"/>
  <c r="EB112" i="24"/>
  <c r="EB43" i="24"/>
  <c r="EY174" i="24"/>
  <c r="FA126" i="24"/>
  <c r="DX224" i="25"/>
  <c r="EC224" i="25" s="1"/>
  <c r="DY224" i="25"/>
  <c r="DX243" i="25"/>
  <c r="EC243" i="25" s="1"/>
  <c r="DY243" i="25"/>
  <c r="DX84" i="25"/>
  <c r="EC84" i="25" s="1"/>
  <c r="DY84" i="25"/>
  <c r="FL84" i="25" s="1"/>
  <c r="DY43" i="25"/>
  <c r="FL43" i="25" s="1"/>
  <c r="DX244" i="25"/>
  <c r="EC244" i="25" s="1"/>
  <c r="DY244" i="25"/>
  <c r="DX252" i="25"/>
  <c r="EC252" i="25" s="1"/>
  <c r="DY252" i="25"/>
  <c r="DX172" i="25"/>
  <c r="EC172" i="25" s="1"/>
  <c r="DY172" i="25"/>
  <c r="CH172" i="25" s="1"/>
  <c r="DY122" i="25"/>
  <c r="CG122" i="25" s="1"/>
  <c r="DX11" i="25"/>
  <c r="EC11" i="25" s="1"/>
  <c r="DY11" i="25"/>
  <c r="FL11" i="25" s="1"/>
  <c r="DX149" i="25"/>
  <c r="EC149" i="25" s="1"/>
  <c r="DY149" i="25"/>
  <c r="CH149" i="25" s="1"/>
  <c r="DX54" i="25"/>
  <c r="EC54" i="25" s="1"/>
  <c r="DY54" i="25"/>
  <c r="FL54" i="25" s="1"/>
  <c r="DX263" i="25"/>
  <c r="EC263" i="25" s="1"/>
  <c r="DY263" i="25"/>
  <c r="DY29" i="25"/>
  <c r="FL29" i="25" s="1"/>
  <c r="DY105" i="25"/>
  <c r="FL105" i="25" s="1"/>
  <c r="DX239" i="25"/>
  <c r="EC239" i="25" s="1"/>
  <c r="DY239" i="25"/>
  <c r="DX292" i="25"/>
  <c r="EC292" i="25" s="1"/>
  <c r="DY292" i="25"/>
  <c r="DX69" i="25"/>
  <c r="EC69" i="25" s="1"/>
  <c r="DY69" i="25"/>
  <c r="FL69" i="25" s="1"/>
  <c r="DY59" i="25"/>
  <c r="FL59" i="25" s="1"/>
  <c r="DY80" i="25"/>
  <c r="FL80" i="25" s="1"/>
  <c r="DX234" i="25"/>
  <c r="EC234" i="25" s="1"/>
  <c r="DY234" i="25"/>
  <c r="DX31" i="25"/>
  <c r="EC31" i="25" s="1"/>
  <c r="DY31" i="25"/>
  <c r="FL31" i="25" s="1"/>
  <c r="DX254" i="25"/>
  <c r="EC254" i="25" s="1"/>
  <c r="DY254" i="25"/>
  <c r="DX235" i="25"/>
  <c r="EC235" i="25" s="1"/>
  <c r="DY235" i="25"/>
  <c r="DX290" i="25"/>
  <c r="EC290" i="25" s="1"/>
  <c r="DY290" i="25"/>
  <c r="DX159" i="25"/>
  <c r="EC159" i="25" s="1"/>
  <c r="DY159" i="25"/>
  <c r="CH159" i="25" s="1"/>
  <c r="DY12" i="25"/>
  <c r="FL12" i="25" s="1"/>
  <c r="DX61" i="25"/>
  <c r="EC61" i="25" s="1"/>
  <c r="DY61" i="25"/>
  <c r="FL61" i="25" s="1"/>
  <c r="DX117" i="25"/>
  <c r="EC117" i="25" s="1"/>
  <c r="DY117" i="25"/>
  <c r="CH117" i="25" s="1"/>
  <c r="DY190" i="25"/>
  <c r="CH190" i="25" s="1"/>
  <c r="DY79" i="25"/>
  <c r="FL79" i="25" s="1"/>
  <c r="DY208" i="25"/>
  <c r="CH208" i="25" s="1"/>
  <c r="DX146" i="25"/>
  <c r="EC146" i="25" s="1"/>
  <c r="DY146" i="25"/>
  <c r="CH146" i="25" s="1"/>
  <c r="EL174" i="24"/>
  <c r="EL126" i="24"/>
  <c r="DX75" i="25"/>
  <c r="EC75" i="25" s="1"/>
  <c r="DY75" i="25"/>
  <c r="FL75" i="25" s="1"/>
  <c r="DX151" i="25"/>
  <c r="EC151" i="25" s="1"/>
  <c r="DY151" i="25"/>
  <c r="CH151" i="25" s="1"/>
  <c r="DX268" i="25"/>
  <c r="EC268" i="25" s="1"/>
  <c r="DY268" i="25"/>
  <c r="DX113" i="25"/>
  <c r="EC113" i="25" s="1"/>
  <c r="DY113" i="25"/>
  <c r="CH113" i="25" s="1"/>
  <c r="DX256" i="25"/>
  <c r="EC256" i="25" s="1"/>
  <c r="DY256" i="25"/>
  <c r="DX222" i="25"/>
  <c r="EC222" i="25" s="1"/>
  <c r="DY222" i="25"/>
  <c r="DX260" i="25"/>
  <c r="EC260" i="25" s="1"/>
  <c r="DY260" i="25"/>
  <c r="DX264" i="25"/>
  <c r="EC264" i="25" s="1"/>
  <c r="DY264" i="25"/>
  <c r="DX296" i="25"/>
  <c r="EC296" i="25" s="1"/>
  <c r="DY296" i="25"/>
  <c r="DX265" i="25"/>
  <c r="EC265" i="25" s="1"/>
  <c r="DY265" i="25"/>
  <c r="DY157" i="25"/>
  <c r="CH157" i="25" s="1"/>
  <c r="DX41" i="25"/>
  <c r="EC41" i="25" s="1"/>
  <c r="DY41" i="25"/>
  <c r="FL41" i="25" s="1"/>
  <c r="DX32" i="25"/>
  <c r="EC32" i="25" s="1"/>
  <c r="DY32" i="25"/>
  <c r="FL32" i="25" s="1"/>
  <c r="DX261" i="25"/>
  <c r="EC261" i="25" s="1"/>
  <c r="DY261" i="25"/>
  <c r="DX55" i="25"/>
  <c r="EC55" i="25" s="1"/>
  <c r="DY55" i="25"/>
  <c r="FL55" i="25" s="1"/>
  <c r="DX249" i="25"/>
  <c r="EC249" i="25" s="1"/>
  <c r="DY249" i="25"/>
  <c r="DX30" i="25"/>
  <c r="EC30" i="25" s="1"/>
  <c r="DY30" i="25"/>
  <c r="FL30" i="25" s="1"/>
  <c r="DX192" i="25"/>
  <c r="EC192" i="25" s="1"/>
  <c r="DY192" i="25"/>
  <c r="CG192" i="25" s="1"/>
  <c r="DX165" i="25"/>
  <c r="EC165" i="25" s="1"/>
  <c r="DY165" i="25"/>
  <c r="CH165" i="25" s="1"/>
  <c r="DX135" i="25"/>
  <c r="EC135" i="25" s="1"/>
  <c r="DY135" i="25"/>
  <c r="CH135" i="25" s="1"/>
  <c r="DX245" i="25"/>
  <c r="EC245" i="25" s="1"/>
  <c r="DY245" i="25"/>
  <c r="DY187" i="25"/>
  <c r="CG187" i="25" s="1"/>
  <c r="DX8" i="25"/>
  <c r="EC8" i="25" s="1"/>
  <c r="DY8" i="25"/>
  <c r="FL8" i="25" s="1"/>
  <c r="DX144" i="25"/>
  <c r="EC144" i="25" s="1"/>
  <c r="DY144" i="25"/>
  <c r="CH144" i="25" s="1"/>
  <c r="DY38" i="25"/>
  <c r="FL38" i="25" s="1"/>
  <c r="DY139" i="25"/>
  <c r="CH139" i="25" s="1"/>
  <c r="DY210" i="25"/>
  <c r="CH210" i="25" s="1"/>
  <c r="DY193" i="25"/>
  <c r="CH193" i="25" s="1"/>
  <c r="DX104" i="25"/>
  <c r="EC104" i="25" s="1"/>
  <c r="DY104" i="25"/>
  <c r="FL104" i="25" s="1"/>
  <c r="FA174" i="24"/>
  <c r="DX272" i="25"/>
  <c r="EC272" i="25" s="1"/>
  <c r="DY272" i="25"/>
  <c r="DX250" i="25"/>
  <c r="EC250" i="25" s="1"/>
  <c r="DY250" i="25"/>
  <c r="EE138" i="25"/>
  <c r="EG138" i="25"/>
  <c r="EX138" i="25" s="1"/>
  <c r="EF138" i="25"/>
  <c r="EW138" i="25" s="1"/>
  <c r="DX167" i="25"/>
  <c r="EC167" i="25" s="1"/>
  <c r="DY167" i="25"/>
  <c r="CH167" i="25" s="1"/>
  <c r="DX266" i="25"/>
  <c r="EC266" i="25" s="1"/>
  <c r="DY266" i="25"/>
  <c r="DX299" i="25"/>
  <c r="EC299" i="25" s="1"/>
  <c r="DY299" i="25"/>
  <c r="DX120" i="25"/>
  <c r="EC120" i="25" s="1"/>
  <c r="DY120" i="25"/>
  <c r="CH120" i="25" s="1"/>
  <c r="DX305" i="25"/>
  <c r="EC305" i="25" s="1"/>
  <c r="DY305" i="25"/>
  <c r="DX142" i="25"/>
  <c r="EC142" i="25" s="1"/>
  <c r="DY142" i="25"/>
  <c r="CH142" i="25" s="1"/>
  <c r="DY126" i="25"/>
  <c r="CH126" i="25" s="1"/>
  <c r="DX277" i="25"/>
  <c r="EC277" i="25" s="1"/>
  <c r="DY277" i="25"/>
  <c r="DX148" i="25"/>
  <c r="EC148" i="25" s="1"/>
  <c r="DY148" i="25"/>
  <c r="CG148" i="25" s="1"/>
  <c r="DX270" i="25"/>
  <c r="EC270" i="25" s="1"/>
  <c r="DY270" i="25"/>
  <c r="DX306" i="25"/>
  <c r="EC306" i="25" s="1"/>
  <c r="DY306" i="25"/>
  <c r="DX289" i="25"/>
  <c r="EC289" i="25" s="1"/>
  <c r="DY289" i="25"/>
  <c r="DX241" i="25"/>
  <c r="EC241" i="25" s="1"/>
  <c r="DY241" i="25"/>
  <c r="DX16" i="25"/>
  <c r="EC16" i="25" s="1"/>
  <c r="DY16" i="25"/>
  <c r="FL16" i="25" s="1"/>
  <c r="DY88" i="25"/>
  <c r="FL88" i="25" s="1"/>
  <c r="DX275" i="25"/>
  <c r="EC275" i="25" s="1"/>
  <c r="DY275" i="25"/>
  <c r="DX240" i="25"/>
  <c r="EC240" i="25" s="1"/>
  <c r="DY240" i="25"/>
  <c r="DX308" i="25"/>
  <c r="EC308" i="25" s="1"/>
  <c r="DY308" i="25"/>
  <c r="DX237" i="25"/>
  <c r="EC237" i="25" s="1"/>
  <c r="DY237" i="25"/>
  <c r="DX186" i="25"/>
  <c r="EC186" i="25" s="1"/>
  <c r="DY186" i="25"/>
  <c r="CH186" i="25" s="1"/>
  <c r="DX283" i="25"/>
  <c r="EC283" i="25" s="1"/>
  <c r="DY283" i="25"/>
  <c r="DX184" i="25"/>
  <c r="EC184" i="25" s="1"/>
  <c r="DY184" i="25"/>
  <c r="CG184" i="25" s="1"/>
  <c r="DX124" i="25"/>
  <c r="EC124" i="25" s="1"/>
  <c r="DY124" i="25"/>
  <c r="CH124" i="25" s="1"/>
  <c r="DX188" i="25"/>
  <c r="EC188" i="25" s="1"/>
  <c r="DY188" i="25"/>
  <c r="CH188" i="25" s="1"/>
  <c r="DX229" i="25"/>
  <c r="EC229" i="25" s="1"/>
  <c r="DY229" i="25"/>
  <c r="DY200" i="25"/>
  <c r="CG200" i="25" s="1"/>
  <c r="DY168" i="25"/>
  <c r="CH168" i="25" s="1"/>
  <c r="DX57" i="25"/>
  <c r="EC57" i="25" s="1"/>
  <c r="DY57" i="25"/>
  <c r="FL57" i="25" s="1"/>
  <c r="DX115" i="25"/>
  <c r="EC115" i="25" s="1"/>
  <c r="DY115" i="25"/>
  <c r="CG115" i="25" s="1"/>
  <c r="DX279" i="25"/>
  <c r="EC279" i="25" s="1"/>
  <c r="DY279" i="25"/>
  <c r="DX226" i="25"/>
  <c r="EC226" i="25" s="1"/>
  <c r="DY226" i="25"/>
  <c r="DX242" i="25"/>
  <c r="EC242" i="25" s="1"/>
  <c r="DY242" i="25"/>
  <c r="EG143" i="25"/>
  <c r="EX143" i="25" s="1"/>
  <c r="EE143" i="25"/>
  <c r="EF143" i="25"/>
  <c r="EW143" i="25" s="1"/>
  <c r="DX295" i="25"/>
  <c r="EC295" i="25" s="1"/>
  <c r="DY295" i="25"/>
  <c r="DX53" i="25"/>
  <c r="EC53" i="25" s="1"/>
  <c r="DY53" i="25"/>
  <c r="FL53" i="25" s="1"/>
  <c r="DX160" i="25"/>
  <c r="EC160" i="25" s="1"/>
  <c r="DY160" i="25"/>
  <c r="CH160" i="25" s="1"/>
  <c r="DY70" i="25"/>
  <c r="FL70" i="25" s="1"/>
  <c r="EB41" i="24"/>
  <c r="EL193" i="24"/>
  <c r="EL183" i="24"/>
  <c r="EY173" i="24"/>
  <c r="DX116" i="25"/>
  <c r="EC116" i="25" s="1"/>
  <c r="DY116" i="25"/>
  <c r="CH116" i="25" s="1"/>
  <c r="DY189" i="25"/>
  <c r="CH189" i="25" s="1"/>
  <c r="DX140" i="25"/>
  <c r="EC140" i="25" s="1"/>
  <c r="DY140" i="25"/>
  <c r="CH140" i="25" s="1"/>
  <c r="DX67" i="25"/>
  <c r="EC67" i="25" s="1"/>
  <c r="DY67" i="25"/>
  <c r="FL67" i="25" s="1"/>
  <c r="DY179" i="25"/>
  <c r="CH179" i="25" s="1"/>
  <c r="DX205" i="25"/>
  <c r="EC205" i="25" s="1"/>
  <c r="DY205" i="25"/>
  <c r="CG205" i="25" s="1"/>
  <c r="DX150" i="25"/>
  <c r="EC150" i="25" s="1"/>
  <c r="DY150" i="25"/>
  <c r="CH150" i="25" s="1"/>
  <c r="DX201" i="25"/>
  <c r="EC201" i="25" s="1"/>
  <c r="DY201" i="25"/>
  <c r="CH201" i="25" s="1"/>
  <c r="DY14" i="25"/>
  <c r="FL14" i="25" s="1"/>
  <c r="DY24" i="25"/>
  <c r="FL24" i="25" s="1"/>
  <c r="DX85" i="25"/>
  <c r="EC85" i="25" s="1"/>
  <c r="DY85" i="25"/>
  <c r="FL85" i="25" s="1"/>
  <c r="DY174" i="25"/>
  <c r="CG174" i="25" s="1"/>
  <c r="DX315" i="25"/>
  <c r="EC315" i="25" s="1"/>
  <c r="DY315" i="25"/>
  <c r="DY177" i="25"/>
  <c r="CH177" i="25" s="1"/>
  <c r="DY86" i="25"/>
  <c r="FL86" i="25" s="1"/>
  <c r="DX110" i="25"/>
  <c r="EC110" i="25" s="1"/>
  <c r="DY110" i="25"/>
  <c r="CH110" i="25" s="1"/>
  <c r="DX62" i="25"/>
  <c r="EC62" i="25" s="1"/>
  <c r="DY62" i="25"/>
  <c r="FL62" i="25" s="1"/>
  <c r="DY48" i="25"/>
  <c r="FL48" i="25" s="1"/>
  <c r="DY60" i="25"/>
  <c r="FL60" i="25" s="1"/>
  <c r="DX7" i="25"/>
  <c r="EC7" i="25" s="1"/>
  <c r="DY7" i="25"/>
  <c r="FL7" i="25" s="1"/>
  <c r="DX288" i="25"/>
  <c r="EC288" i="25" s="1"/>
  <c r="DY288" i="25"/>
  <c r="DX154" i="25"/>
  <c r="EC154" i="25" s="1"/>
  <c r="DY154" i="25"/>
  <c r="CH154" i="25" s="1"/>
  <c r="DX198" i="25"/>
  <c r="EC198" i="25" s="1"/>
  <c r="DY198" i="25"/>
  <c r="CG198" i="25" s="1"/>
  <c r="DY170" i="25"/>
  <c r="CG170" i="25" s="1"/>
  <c r="DX251" i="25"/>
  <c r="EC251" i="25" s="1"/>
  <c r="DY251" i="25"/>
  <c r="DX248" i="25"/>
  <c r="EC248" i="25" s="1"/>
  <c r="DY248" i="25"/>
  <c r="DX228" i="25"/>
  <c r="EC228" i="25" s="1"/>
  <c r="DY228" i="25"/>
  <c r="DY147" i="25"/>
  <c r="CG147" i="25" s="1"/>
  <c r="DY45" i="25"/>
  <c r="FL45" i="25" s="1"/>
  <c r="DX202" i="25"/>
  <c r="EC202" i="25" s="1"/>
  <c r="DY202" i="25"/>
  <c r="CH202" i="25" s="1"/>
  <c r="DX303" i="25"/>
  <c r="EC303" i="25" s="1"/>
  <c r="DY303" i="25"/>
  <c r="DY66" i="25"/>
  <c r="FL66" i="25" s="1"/>
  <c r="DX102" i="25"/>
  <c r="EC102" i="25" s="1"/>
  <c r="DY102" i="25"/>
  <c r="FL102" i="25" s="1"/>
  <c r="DY72" i="25"/>
  <c r="FL72" i="25" s="1"/>
  <c r="DX231" i="25"/>
  <c r="EC231" i="25" s="1"/>
  <c r="DY231" i="25"/>
  <c r="DX63" i="25"/>
  <c r="EC63" i="25" s="1"/>
  <c r="DY63" i="25"/>
  <c r="FL63" i="25" s="1"/>
  <c r="FA98" i="24"/>
  <c r="DX247" i="25"/>
  <c r="EC247" i="25" s="1"/>
  <c r="DY247" i="25"/>
  <c r="DX152" i="25"/>
  <c r="EC152" i="25" s="1"/>
  <c r="DY152" i="25"/>
  <c r="CH152" i="25" s="1"/>
  <c r="DX195" i="25"/>
  <c r="EC195" i="25" s="1"/>
  <c r="DY195" i="25"/>
  <c r="CH195" i="25" s="1"/>
  <c r="DX134" i="25"/>
  <c r="EC134" i="25" s="1"/>
  <c r="DY134" i="25"/>
  <c r="CH134" i="25" s="1"/>
  <c r="DX294" i="25"/>
  <c r="EC294" i="25" s="1"/>
  <c r="DY294" i="25"/>
  <c r="DY51" i="25"/>
  <c r="FL51" i="25" s="1"/>
  <c r="DX259" i="25"/>
  <c r="EC259" i="25" s="1"/>
  <c r="DY259" i="25"/>
  <c r="DY121" i="25"/>
  <c r="CH121" i="25" s="1"/>
  <c r="DX310" i="25"/>
  <c r="EC310" i="25" s="1"/>
  <c r="DY310" i="25"/>
  <c r="DX221" i="25"/>
  <c r="EC221" i="25" s="1"/>
  <c r="DY221" i="25"/>
  <c r="DX36" i="25"/>
  <c r="EC36" i="25" s="1"/>
  <c r="DY36" i="25"/>
  <c r="FL36" i="25" s="1"/>
  <c r="DX176" i="25"/>
  <c r="EC176" i="25" s="1"/>
  <c r="DY176" i="25"/>
  <c r="CH176" i="25" s="1"/>
  <c r="DX161" i="25"/>
  <c r="EC161" i="25" s="1"/>
  <c r="DY161" i="25"/>
  <c r="CH161" i="25" s="1"/>
  <c r="DX225" i="25"/>
  <c r="EC225" i="25" s="1"/>
  <c r="DY225" i="25"/>
  <c r="DX232" i="25"/>
  <c r="EC232" i="25" s="1"/>
  <c r="DY232" i="25"/>
  <c r="DX302" i="25"/>
  <c r="EC302" i="25" s="1"/>
  <c r="DY302" i="25"/>
  <c r="DX309" i="25"/>
  <c r="EC309" i="25" s="1"/>
  <c r="DY309" i="25"/>
  <c r="DX197" i="25"/>
  <c r="EC197" i="25" s="1"/>
  <c r="DY197" i="25"/>
  <c r="CH197" i="25" s="1"/>
  <c r="DX76" i="25"/>
  <c r="EC76" i="25" s="1"/>
  <c r="DY76" i="25"/>
  <c r="FL76" i="25" s="1"/>
  <c r="DX82" i="25"/>
  <c r="EC82" i="25" s="1"/>
  <c r="DY82" i="25"/>
  <c r="FL82" i="25" s="1"/>
  <c r="DY191" i="25"/>
  <c r="CH191" i="25" s="1"/>
  <c r="DX280" i="25"/>
  <c r="EC280" i="25" s="1"/>
  <c r="DY280" i="25"/>
  <c r="DX311" i="25"/>
  <c r="EC311" i="25" s="1"/>
  <c r="DY311" i="25"/>
  <c r="DY203" i="25"/>
  <c r="CH203" i="25" s="1"/>
  <c r="DY15" i="25"/>
  <c r="FL15" i="25" s="1"/>
  <c r="DY40" i="25"/>
  <c r="FL40" i="25" s="1"/>
  <c r="DX118" i="25"/>
  <c r="EC118" i="25" s="1"/>
  <c r="DY118" i="25"/>
  <c r="CG118" i="25" s="1"/>
  <c r="DX233" i="25"/>
  <c r="EC233" i="25" s="1"/>
  <c r="DY233" i="25"/>
  <c r="DX218" i="25"/>
  <c r="EC218" i="25" s="1"/>
  <c r="DY218" i="25"/>
  <c r="DX217" i="25"/>
  <c r="EC217" i="25" s="1"/>
  <c r="DY217" i="25"/>
  <c r="DX255" i="25"/>
  <c r="EC255" i="25" s="1"/>
  <c r="DY255" i="25"/>
  <c r="DX52" i="25"/>
  <c r="EC52" i="25" s="1"/>
  <c r="DY52" i="25"/>
  <c r="FL52" i="25" s="1"/>
  <c r="DX297" i="25"/>
  <c r="EC297" i="25" s="1"/>
  <c r="DY297" i="25"/>
  <c r="DX307" i="25"/>
  <c r="EC307" i="25" s="1"/>
  <c r="DY307" i="25"/>
  <c r="DX28" i="25"/>
  <c r="EC28" i="25" s="1"/>
  <c r="DY28" i="25"/>
  <c r="FL28" i="25" s="1"/>
  <c r="DX286" i="25"/>
  <c r="EC286" i="25" s="1"/>
  <c r="DY286" i="25"/>
  <c r="DX155" i="25"/>
  <c r="EC155" i="25" s="1"/>
  <c r="DY155" i="25"/>
  <c r="CG155" i="25" s="1"/>
  <c r="DX314" i="25"/>
  <c r="EC314" i="25" s="1"/>
  <c r="DY314" i="25"/>
  <c r="DX196" i="25"/>
  <c r="EC196" i="25" s="1"/>
  <c r="DY196" i="25"/>
  <c r="CH196" i="25" s="1"/>
  <c r="DX284" i="25"/>
  <c r="EC284" i="25" s="1"/>
  <c r="DY284" i="25"/>
  <c r="DX281" i="25"/>
  <c r="EC281" i="25" s="1"/>
  <c r="DY281" i="25"/>
  <c r="DX130" i="25"/>
  <c r="EC130" i="25" s="1"/>
  <c r="DY130" i="25"/>
  <c r="CG130" i="25" s="1"/>
  <c r="DX46" i="25"/>
  <c r="EC46" i="25" s="1"/>
  <c r="DY46" i="25"/>
  <c r="FL46" i="25" s="1"/>
  <c r="DY175" i="25"/>
  <c r="CH175" i="25" s="1"/>
  <c r="DX304" i="25"/>
  <c r="EC304" i="25" s="1"/>
  <c r="DY304" i="25"/>
  <c r="DX262" i="25"/>
  <c r="EC262" i="25" s="1"/>
  <c r="DY262" i="25"/>
  <c r="DX206" i="25"/>
  <c r="EC206" i="25" s="1"/>
  <c r="DY206" i="25"/>
  <c r="CH206" i="25" s="1"/>
  <c r="DX21" i="25"/>
  <c r="EC21" i="25" s="1"/>
  <c r="DY21" i="25"/>
  <c r="FL21" i="25" s="1"/>
  <c r="DY27" i="25"/>
  <c r="FL27" i="25" s="1"/>
  <c r="DX94" i="25"/>
  <c r="EC94" i="25" s="1"/>
  <c r="DY94" i="25"/>
  <c r="FL94" i="25" s="1"/>
  <c r="DX153" i="25"/>
  <c r="EC153" i="25" s="1"/>
  <c r="DY153" i="25"/>
  <c r="CH153" i="25" s="1"/>
  <c r="DX316" i="25"/>
  <c r="EC316" i="25" s="1"/>
  <c r="DY316" i="25"/>
  <c r="DX298" i="25"/>
  <c r="EC298" i="25" s="1"/>
  <c r="DY298" i="25"/>
  <c r="DY119" i="25"/>
  <c r="CG119" i="25" s="1"/>
  <c r="DX253" i="25"/>
  <c r="EC253" i="25" s="1"/>
  <c r="DY253" i="25"/>
  <c r="DX219" i="25"/>
  <c r="EC219" i="25" s="1"/>
  <c r="DY219" i="25"/>
  <c r="DX101" i="25"/>
  <c r="EC101" i="25" s="1"/>
  <c r="DY101" i="25"/>
  <c r="FL101" i="25" s="1"/>
  <c r="DX258" i="25"/>
  <c r="EC258" i="25" s="1"/>
  <c r="DY258" i="25"/>
  <c r="DX285" i="25"/>
  <c r="EC285" i="25" s="1"/>
  <c r="DY285" i="25"/>
  <c r="DX293" i="25"/>
  <c r="EC293" i="25" s="1"/>
  <c r="DY293" i="25"/>
  <c r="DX163" i="25"/>
  <c r="EC163" i="25" s="1"/>
  <c r="DY163" i="25"/>
  <c r="CH163" i="25" s="1"/>
  <c r="DX273" i="25"/>
  <c r="EC273" i="25" s="1"/>
  <c r="DY273" i="25"/>
  <c r="DX39" i="25"/>
  <c r="EC39" i="25" s="1"/>
  <c r="DY39" i="25"/>
  <c r="FL39" i="25" s="1"/>
  <c r="EF181" i="25"/>
  <c r="EW181" i="25" s="1"/>
  <c r="EG181" i="25"/>
  <c r="EX181" i="25" s="1"/>
  <c r="EE181" i="25"/>
  <c r="DX238" i="25"/>
  <c r="EC238" i="25" s="1"/>
  <c r="DY238" i="25"/>
  <c r="DX246" i="25"/>
  <c r="EC246" i="25" s="1"/>
  <c r="DY246" i="25"/>
  <c r="DX10" i="25"/>
  <c r="EC10" i="25" s="1"/>
  <c r="DY10" i="25"/>
  <c r="FL10" i="25" s="1"/>
  <c r="DX276" i="25"/>
  <c r="EC276" i="25" s="1"/>
  <c r="DY276" i="25"/>
  <c r="DX227" i="25"/>
  <c r="EC227" i="25" s="1"/>
  <c r="DY227" i="25"/>
  <c r="DX274" i="25"/>
  <c r="EC274" i="25" s="1"/>
  <c r="DY274" i="25"/>
  <c r="DX282" i="25"/>
  <c r="EC282" i="25" s="1"/>
  <c r="DY282" i="25"/>
  <c r="DX123" i="25"/>
  <c r="EC123" i="25" s="1"/>
  <c r="DY123" i="25"/>
  <c r="CH123" i="25" s="1"/>
  <c r="DX71" i="25"/>
  <c r="EC71" i="25" s="1"/>
  <c r="DY71" i="25"/>
  <c r="FL71" i="25" s="1"/>
  <c r="DX312" i="25"/>
  <c r="EC312" i="25" s="1"/>
  <c r="DY312" i="25"/>
  <c r="DX26" i="25"/>
  <c r="EC26" i="25" s="1"/>
  <c r="DY26" i="25"/>
  <c r="FL26" i="25" s="1"/>
  <c r="DX166" i="25"/>
  <c r="EC166" i="25" s="1"/>
  <c r="DY166" i="25"/>
  <c r="CH166" i="25" s="1"/>
  <c r="DX236" i="25"/>
  <c r="EC236" i="25" s="1"/>
  <c r="DY236" i="25"/>
  <c r="DX207" i="25"/>
  <c r="EC207" i="25" s="1"/>
  <c r="DY207" i="25"/>
  <c r="CH207" i="25" s="1"/>
  <c r="DX269" i="25"/>
  <c r="EC269" i="25" s="1"/>
  <c r="DY269" i="25"/>
  <c r="DY100" i="25"/>
  <c r="FL100" i="25" s="1"/>
  <c r="DX301" i="25"/>
  <c r="EC301" i="25" s="1"/>
  <c r="DY301" i="25"/>
  <c r="EY33" i="24"/>
  <c r="EB71" i="24"/>
  <c r="FA33" i="24"/>
  <c r="EY71" i="24"/>
  <c r="EL71" i="24"/>
  <c r="FA13" i="24"/>
  <c r="EL33" i="24"/>
  <c r="EB35" i="24"/>
  <c r="FA35" i="24"/>
  <c r="EL44" i="24"/>
  <c r="EY35" i="24"/>
  <c r="EY44" i="24"/>
  <c r="EB44" i="24"/>
  <c r="EL62" i="24"/>
  <c r="EL171" i="24"/>
  <c r="EB55" i="24"/>
  <c r="EB62" i="24"/>
  <c r="EY55" i="24"/>
  <c r="EY14" i="24"/>
  <c r="EB133" i="24"/>
  <c r="EY124" i="24"/>
  <c r="FA133" i="24"/>
  <c r="EB60" i="24"/>
  <c r="EB172" i="24"/>
  <c r="EY65" i="24"/>
  <c r="EL60" i="24"/>
  <c r="FA54" i="24"/>
  <c r="EB42" i="24"/>
  <c r="EL65" i="24"/>
  <c r="FA129" i="24"/>
  <c r="EY127" i="24"/>
  <c r="FA60" i="24"/>
  <c r="EY67" i="24"/>
  <c r="EL54" i="24"/>
  <c r="FA65" i="24"/>
  <c r="EB129" i="24"/>
  <c r="EL67" i="24"/>
  <c r="EB88" i="24"/>
  <c r="EN88" i="24"/>
  <c r="DW88" i="24"/>
  <c r="EM88" i="24"/>
  <c r="EP88" i="24" s="1"/>
  <c r="DU88" i="24"/>
  <c r="EL88" i="24"/>
  <c r="FA88" i="24"/>
  <c r="EY88" i="24"/>
  <c r="EL89" i="24"/>
  <c r="DW38" i="24"/>
  <c r="EN38" i="24"/>
  <c r="EM38" i="24"/>
  <c r="EP38" i="24" s="1"/>
  <c r="DU38" i="24"/>
  <c r="EY38" i="24"/>
  <c r="EL38" i="24"/>
  <c r="EB38" i="24"/>
  <c r="FA38" i="24"/>
  <c r="DW308" i="24"/>
  <c r="DU308" i="24"/>
  <c r="DW278" i="24"/>
  <c r="DU278" i="24"/>
  <c r="EN81" i="24"/>
  <c r="DW81" i="24"/>
  <c r="DY81" i="24" s="1"/>
  <c r="EF81" i="24" s="1"/>
  <c r="EM81" i="24"/>
  <c r="EP81" i="24" s="1"/>
  <c r="DU81" i="24"/>
  <c r="DW233" i="24"/>
  <c r="DU233" i="24"/>
  <c r="DW192" i="24"/>
  <c r="DY192" i="24" s="1"/>
  <c r="EF192" i="24" s="1"/>
  <c r="EN192" i="24"/>
  <c r="EM192" i="24"/>
  <c r="EP192" i="24" s="1"/>
  <c r="FA29" i="24"/>
  <c r="FA52" i="24"/>
  <c r="EN52" i="24"/>
  <c r="DW52" i="24"/>
  <c r="DY52" i="24" s="1"/>
  <c r="EF52" i="24" s="1"/>
  <c r="EM52" i="24"/>
  <c r="EP52" i="24" s="1"/>
  <c r="DU52" i="24"/>
  <c r="EE161" i="24"/>
  <c r="EE70" i="24"/>
  <c r="EE33" i="24"/>
  <c r="DW255" i="24"/>
  <c r="DU255" i="24"/>
  <c r="EL121" i="24"/>
  <c r="DW121" i="24"/>
  <c r="EN121" i="24"/>
  <c r="EM121" i="24"/>
  <c r="EP121" i="24" s="1"/>
  <c r="EY121" i="24"/>
  <c r="EB121" i="24"/>
  <c r="FA121" i="24"/>
  <c r="EL185" i="24"/>
  <c r="DW277" i="24"/>
  <c r="DU277" i="24"/>
  <c r="DW194" i="24"/>
  <c r="EN194" i="24"/>
  <c r="EM194" i="24"/>
  <c r="EP194" i="24" s="1"/>
  <c r="EB194" i="24"/>
  <c r="FA194" i="24"/>
  <c r="EL194" i="24"/>
  <c r="EY194" i="24"/>
  <c r="DW82" i="24"/>
  <c r="EN82" i="24"/>
  <c r="EM82" i="24"/>
  <c r="EP82" i="24" s="1"/>
  <c r="DU82" i="24"/>
  <c r="EB82" i="24"/>
  <c r="FA82" i="24"/>
  <c r="EL82" i="24"/>
  <c r="EY82" i="24"/>
  <c r="DW241" i="24"/>
  <c r="DU241" i="24"/>
  <c r="EE202" i="24"/>
  <c r="EL162" i="24"/>
  <c r="DW162" i="24"/>
  <c r="EN162" i="24"/>
  <c r="EM162" i="24"/>
  <c r="EP162" i="24" s="1"/>
  <c r="EY162" i="24"/>
  <c r="FA162" i="24"/>
  <c r="EB162" i="24"/>
  <c r="EE112" i="24"/>
  <c r="EL192" i="24"/>
  <c r="DW76" i="24"/>
  <c r="EN76" i="24"/>
  <c r="EM76" i="24"/>
  <c r="EP76" i="24" s="1"/>
  <c r="DU76" i="24"/>
  <c r="FA76" i="24"/>
  <c r="EY76" i="24"/>
  <c r="EL76" i="24"/>
  <c r="EB76" i="24"/>
  <c r="EE54" i="24"/>
  <c r="EB183" i="24"/>
  <c r="EL175" i="24"/>
  <c r="DW286" i="24"/>
  <c r="DU286" i="24"/>
  <c r="DW18" i="24"/>
  <c r="EN18" i="24"/>
  <c r="EM18" i="24"/>
  <c r="EP18" i="24" s="1"/>
  <c r="DU18" i="24"/>
  <c r="EL18" i="24"/>
  <c r="EB18" i="24"/>
  <c r="EY18" i="24"/>
  <c r="FA18" i="24"/>
  <c r="EL197" i="24"/>
  <c r="EY42" i="24"/>
  <c r="DW132" i="24"/>
  <c r="DY132" i="24" s="1"/>
  <c r="EF132" i="24" s="1"/>
  <c r="EN132" i="24"/>
  <c r="EM132" i="24"/>
  <c r="EP132" i="24" s="1"/>
  <c r="EB47" i="24"/>
  <c r="EE159" i="24"/>
  <c r="FA83" i="24"/>
  <c r="EN104" i="24"/>
  <c r="DW104" i="24"/>
  <c r="DY104" i="24" s="1"/>
  <c r="EF104" i="24" s="1"/>
  <c r="EM104" i="24"/>
  <c r="EP104" i="24" s="1"/>
  <c r="DU104" i="24"/>
  <c r="EB138" i="24"/>
  <c r="EN40" i="24"/>
  <c r="DW40" i="24"/>
  <c r="DY40" i="24" s="1"/>
  <c r="EF40" i="24" s="1"/>
  <c r="EM40" i="24"/>
  <c r="EP40" i="24" s="1"/>
  <c r="DU40" i="24"/>
  <c r="DW9" i="24"/>
  <c r="EN9" i="24"/>
  <c r="EM9" i="24"/>
  <c r="EP9" i="24" s="1"/>
  <c r="DU9" i="24"/>
  <c r="FA9" i="24"/>
  <c r="EB9" i="24"/>
  <c r="EY9" i="24"/>
  <c r="EL9" i="24"/>
  <c r="EE50" i="24"/>
  <c r="EE65" i="24"/>
  <c r="EL10" i="24"/>
  <c r="EL124" i="24"/>
  <c r="EY81" i="24"/>
  <c r="DW217" i="24"/>
  <c r="DU217" i="24"/>
  <c r="DW71" i="24"/>
  <c r="DY71" i="24" s="1"/>
  <c r="EF71" i="24" s="1"/>
  <c r="EN71" i="24"/>
  <c r="EM71" i="24"/>
  <c r="EP71" i="24" s="1"/>
  <c r="DU71" i="24"/>
  <c r="DW159" i="24"/>
  <c r="DY159" i="24" s="1"/>
  <c r="EF159" i="24" s="1"/>
  <c r="EN159" i="24"/>
  <c r="EM159" i="24"/>
  <c r="EP159" i="24" s="1"/>
  <c r="EE114" i="24"/>
  <c r="DW302" i="24"/>
  <c r="DU302" i="24"/>
  <c r="EL23" i="24"/>
  <c r="DW296" i="24"/>
  <c r="DU296" i="24"/>
  <c r="EN133" i="24"/>
  <c r="DW133" i="24"/>
  <c r="DY133" i="24" s="1"/>
  <c r="EF133" i="24" s="1"/>
  <c r="EM133" i="24"/>
  <c r="EP133" i="24" s="1"/>
  <c r="EL14" i="24"/>
  <c r="EB155" i="24"/>
  <c r="EE80" i="24"/>
  <c r="EB199" i="24"/>
  <c r="EE53" i="24"/>
  <c r="EE129" i="24"/>
  <c r="DW313" i="24"/>
  <c r="DU313" i="24"/>
  <c r="DW126" i="24"/>
  <c r="DY126" i="24" s="1"/>
  <c r="EF126" i="24" s="1"/>
  <c r="EN126" i="24"/>
  <c r="EM126" i="24"/>
  <c r="EP126" i="24" s="1"/>
  <c r="DW115" i="24"/>
  <c r="EN115" i="24"/>
  <c r="EM115" i="24"/>
  <c r="EP115" i="24" s="1"/>
  <c r="EY115" i="24"/>
  <c r="EL115" i="24"/>
  <c r="FA115" i="24"/>
  <c r="EB115" i="24"/>
  <c r="EE150" i="24"/>
  <c r="DW160" i="24"/>
  <c r="DY160" i="24" s="1"/>
  <c r="EF160" i="24" s="1"/>
  <c r="EN160" i="24"/>
  <c r="EM160" i="24"/>
  <c r="EP160" i="24" s="1"/>
  <c r="EE41" i="24"/>
  <c r="EN30" i="24"/>
  <c r="DW30" i="24"/>
  <c r="DY30" i="24" s="1"/>
  <c r="EF30" i="24" s="1"/>
  <c r="EM30" i="24"/>
  <c r="EP30" i="24" s="1"/>
  <c r="DU30" i="24"/>
  <c r="EB89" i="24"/>
  <c r="DW300" i="24"/>
  <c r="DU300" i="24"/>
  <c r="DW64" i="24"/>
  <c r="EN64" i="24"/>
  <c r="EM64" i="24"/>
  <c r="EP64" i="24" s="1"/>
  <c r="DU64" i="24"/>
  <c r="EB64" i="24"/>
  <c r="EL64" i="24"/>
  <c r="FA64" i="24"/>
  <c r="EY64" i="24"/>
  <c r="EE154" i="24"/>
  <c r="EE68" i="24"/>
  <c r="EE158" i="24"/>
  <c r="EN191" i="24"/>
  <c r="DW191" i="24"/>
  <c r="EM191" i="24"/>
  <c r="EP191" i="24" s="1"/>
  <c r="FA191" i="24"/>
  <c r="EL191" i="24"/>
  <c r="EB191" i="24"/>
  <c r="EY191" i="24"/>
  <c r="DW148" i="24"/>
  <c r="EN148" i="24"/>
  <c r="EM148" i="24"/>
  <c r="EP148" i="24" s="1"/>
  <c r="EL148" i="24"/>
  <c r="EY148" i="24"/>
  <c r="FA148" i="24"/>
  <c r="EB148" i="24"/>
  <c r="DW269" i="24"/>
  <c r="DU269" i="24"/>
  <c r="EN203" i="24"/>
  <c r="DW203" i="24"/>
  <c r="EM203" i="24"/>
  <c r="EP203" i="24" s="1"/>
  <c r="EY203" i="24"/>
  <c r="FA203" i="24"/>
  <c r="EB203" i="24"/>
  <c r="EL203" i="24"/>
  <c r="DW94" i="24"/>
  <c r="EN94" i="24"/>
  <c r="EM94" i="24"/>
  <c r="EP94" i="24" s="1"/>
  <c r="DU94" i="24"/>
  <c r="EY94" i="24"/>
  <c r="EB94" i="24"/>
  <c r="EL94" i="24"/>
  <c r="FA94" i="24"/>
  <c r="EB29" i="24"/>
  <c r="DW291" i="24"/>
  <c r="DU291" i="24"/>
  <c r="EL8" i="24"/>
  <c r="DW239" i="24"/>
  <c r="DU239" i="24"/>
  <c r="EE177" i="24"/>
  <c r="DW7" i="24"/>
  <c r="EN7" i="24"/>
  <c r="EM7" i="24"/>
  <c r="EP7" i="24" s="1"/>
  <c r="DU7" i="24"/>
  <c r="EL7" i="24"/>
  <c r="FA7" i="24"/>
  <c r="EY7" i="24"/>
  <c r="EB7" i="24"/>
  <c r="EE164" i="24"/>
  <c r="EY50" i="24"/>
  <c r="DW50" i="24"/>
  <c r="DY50" i="24" s="1"/>
  <c r="EF50" i="24" s="1"/>
  <c r="EN50" i="24"/>
  <c r="EM50" i="24"/>
  <c r="EP50" i="24" s="1"/>
  <c r="DU50" i="24"/>
  <c r="DW240" i="24"/>
  <c r="DU240" i="24"/>
  <c r="DW46" i="24"/>
  <c r="EN46" i="24"/>
  <c r="EM46" i="24"/>
  <c r="EP46" i="24" s="1"/>
  <c r="DU46" i="24"/>
  <c r="EY46" i="24"/>
  <c r="EB46" i="24"/>
  <c r="FA46" i="24"/>
  <c r="EL46" i="24"/>
  <c r="DW196" i="24"/>
  <c r="EN196" i="24"/>
  <c r="EM196" i="24"/>
  <c r="EP196" i="24" s="1"/>
  <c r="FA196" i="24"/>
  <c r="EL196" i="24"/>
  <c r="EY196" i="24"/>
  <c r="EB196" i="24"/>
  <c r="EN125" i="24"/>
  <c r="DW125" i="24"/>
  <c r="EM125" i="24"/>
  <c r="EP125" i="24" s="1"/>
  <c r="EB125" i="24"/>
  <c r="EL125" i="24"/>
  <c r="EY125" i="24"/>
  <c r="FA125" i="24"/>
  <c r="EN172" i="24"/>
  <c r="DW172" i="24"/>
  <c r="DY172" i="24" s="1"/>
  <c r="EF172" i="24" s="1"/>
  <c r="EM172" i="24"/>
  <c r="EP172" i="24" s="1"/>
  <c r="DW229" i="24"/>
  <c r="DU229" i="24"/>
  <c r="DW198" i="24"/>
  <c r="EN198" i="24"/>
  <c r="EM198" i="24"/>
  <c r="EP198" i="24" s="1"/>
  <c r="FA198" i="24"/>
  <c r="EL198" i="24"/>
  <c r="EY198" i="24"/>
  <c r="EB198" i="24"/>
  <c r="EL149" i="24"/>
  <c r="EN149" i="24"/>
  <c r="DW149" i="24"/>
  <c r="EM149" i="24"/>
  <c r="EP149" i="24" s="1"/>
  <c r="EB149" i="24"/>
  <c r="FA149" i="24"/>
  <c r="EY149" i="24"/>
  <c r="EB192" i="24"/>
  <c r="EN165" i="24"/>
  <c r="DW165" i="24"/>
  <c r="EM165" i="24"/>
  <c r="EP165" i="24" s="1"/>
  <c r="FA165" i="24"/>
  <c r="EB165" i="24"/>
  <c r="EY165" i="24"/>
  <c r="EL165" i="24"/>
  <c r="DW116" i="24"/>
  <c r="EN116" i="24"/>
  <c r="EM116" i="24"/>
  <c r="EP116" i="24" s="1"/>
  <c r="EL116" i="24"/>
  <c r="FA116" i="24"/>
  <c r="EB116" i="24"/>
  <c r="EY116" i="24"/>
  <c r="FA175" i="24"/>
  <c r="EL160" i="24"/>
  <c r="DW184" i="24"/>
  <c r="EN184" i="24"/>
  <c r="EM184" i="24"/>
  <c r="EP184" i="24" s="1"/>
  <c r="FA184" i="24"/>
  <c r="EY184" i="24"/>
  <c r="EL184" i="24"/>
  <c r="EB184" i="24"/>
  <c r="EE171" i="24"/>
  <c r="FA42" i="24"/>
  <c r="EY13" i="24"/>
  <c r="DW13" i="24"/>
  <c r="DY13" i="24" s="1"/>
  <c r="EF13" i="24" s="1"/>
  <c r="EN13" i="24"/>
  <c r="EM13" i="24"/>
  <c r="EP13" i="24" s="1"/>
  <c r="DU13" i="24"/>
  <c r="EY47" i="24"/>
  <c r="EB83" i="24"/>
  <c r="EY172" i="24"/>
  <c r="DW156" i="24"/>
  <c r="EN156" i="24"/>
  <c r="EM156" i="24"/>
  <c r="EP156" i="24" s="1"/>
  <c r="EB156" i="24"/>
  <c r="FA156" i="24"/>
  <c r="EY156" i="24"/>
  <c r="EL156" i="24"/>
  <c r="EY10" i="24"/>
  <c r="DW33" i="24"/>
  <c r="DY33" i="24" s="1"/>
  <c r="EF33" i="24" s="1"/>
  <c r="EN33" i="24"/>
  <c r="EM33" i="24"/>
  <c r="EP33" i="24" s="1"/>
  <c r="DU33" i="24"/>
  <c r="FA81" i="24"/>
  <c r="EL30" i="24"/>
  <c r="DW147" i="24"/>
  <c r="DY147" i="24" s="1"/>
  <c r="EF147" i="24" s="1"/>
  <c r="EN147" i="24"/>
  <c r="EM147" i="24"/>
  <c r="EP147" i="24" s="1"/>
  <c r="DW142" i="24"/>
  <c r="DY142" i="24" s="1"/>
  <c r="EF142" i="24" s="1"/>
  <c r="EN142" i="24"/>
  <c r="EM142" i="24"/>
  <c r="EP142" i="24" s="1"/>
  <c r="DW235" i="24"/>
  <c r="DU235" i="24"/>
  <c r="EE209" i="24"/>
  <c r="FA157" i="24"/>
  <c r="EE201" i="24"/>
  <c r="EE173" i="24"/>
  <c r="EY17" i="24"/>
  <c r="EN17" i="24"/>
  <c r="DW17" i="24"/>
  <c r="EM17" i="24"/>
  <c r="EP17" i="24" s="1"/>
  <c r="DU17" i="24"/>
  <c r="FA17" i="24"/>
  <c r="EB17" i="24"/>
  <c r="EL17" i="24"/>
  <c r="EB14" i="24"/>
  <c r="DW93" i="24"/>
  <c r="EN93" i="24"/>
  <c r="EM93" i="24"/>
  <c r="EP93" i="24" s="1"/>
  <c r="DU93" i="24"/>
  <c r="EL93" i="24"/>
  <c r="FA93" i="24"/>
  <c r="EB93" i="24"/>
  <c r="EY93" i="24"/>
  <c r="DW279" i="24"/>
  <c r="DU279" i="24"/>
  <c r="DW309" i="24"/>
  <c r="DU309" i="24"/>
  <c r="DW271" i="24"/>
  <c r="DU271" i="24"/>
  <c r="DW11" i="24"/>
  <c r="EN11" i="24"/>
  <c r="EM11" i="24"/>
  <c r="EP11" i="24" s="1"/>
  <c r="DU11" i="24"/>
  <c r="EL11" i="24"/>
  <c r="EB11" i="24"/>
  <c r="FA11" i="24"/>
  <c r="EY11" i="24"/>
  <c r="EL199" i="24"/>
  <c r="EN20" i="24"/>
  <c r="DW20" i="24"/>
  <c r="EM20" i="24"/>
  <c r="EP20" i="24" s="1"/>
  <c r="DU20" i="24"/>
  <c r="EB20" i="24"/>
  <c r="FA20" i="24"/>
  <c r="EL20" i="24"/>
  <c r="EY20" i="24"/>
  <c r="DW276" i="24"/>
  <c r="DU276" i="24"/>
  <c r="DW288" i="24"/>
  <c r="DU288" i="24"/>
  <c r="FA127" i="24"/>
  <c r="DW127" i="24"/>
  <c r="DY127" i="24" s="1"/>
  <c r="EF127" i="24" s="1"/>
  <c r="EN127" i="24"/>
  <c r="EM127" i="24"/>
  <c r="EP127" i="24" s="1"/>
  <c r="DW99" i="24"/>
  <c r="DY99" i="24" s="1"/>
  <c r="EF99" i="24" s="1"/>
  <c r="EN99" i="24"/>
  <c r="EM99" i="24"/>
  <c r="EP99" i="24" s="1"/>
  <c r="DU99" i="24"/>
  <c r="EE100" i="24"/>
  <c r="EN37" i="24"/>
  <c r="DW37" i="24"/>
  <c r="DY37" i="24" s="1"/>
  <c r="EF37" i="24" s="1"/>
  <c r="EM37" i="24"/>
  <c r="EP37" i="24" s="1"/>
  <c r="DU37" i="24"/>
  <c r="DW297" i="24"/>
  <c r="DU297" i="24"/>
  <c r="EE190" i="24"/>
  <c r="DW67" i="24"/>
  <c r="DY67" i="24" s="1"/>
  <c r="EF67" i="24" s="1"/>
  <c r="EN67" i="24"/>
  <c r="EM67" i="24"/>
  <c r="EP67" i="24" s="1"/>
  <c r="DU67" i="24"/>
  <c r="DW201" i="24"/>
  <c r="DY201" i="24" s="1"/>
  <c r="EF201" i="24" s="1"/>
  <c r="EN201" i="24"/>
  <c r="EM201" i="24"/>
  <c r="EP201" i="24" s="1"/>
  <c r="DW171" i="24"/>
  <c r="DY171" i="24" s="1"/>
  <c r="EF171" i="24" s="1"/>
  <c r="EN171" i="24"/>
  <c r="EM171" i="24"/>
  <c r="EP171" i="24" s="1"/>
  <c r="DW45" i="24"/>
  <c r="EN45" i="24"/>
  <c r="EM45" i="24"/>
  <c r="EP45" i="24" s="1"/>
  <c r="DU45" i="24"/>
  <c r="EL45" i="24"/>
  <c r="EB45" i="24"/>
  <c r="FA45" i="24"/>
  <c r="EY45" i="24"/>
  <c r="EL127" i="24"/>
  <c r="DW60" i="24"/>
  <c r="DY60" i="24" s="1"/>
  <c r="EF60" i="24" s="1"/>
  <c r="EN60" i="24"/>
  <c r="EM60" i="24"/>
  <c r="EP60" i="24" s="1"/>
  <c r="DU60" i="24"/>
  <c r="DW54" i="24"/>
  <c r="DY54" i="24" s="1"/>
  <c r="EF54" i="24" s="1"/>
  <c r="EN54" i="24"/>
  <c r="EM54" i="24"/>
  <c r="EP54" i="24" s="1"/>
  <c r="DU54" i="24"/>
  <c r="DW218" i="24"/>
  <c r="DU218" i="24"/>
  <c r="EE185" i="24"/>
  <c r="EB98" i="24"/>
  <c r="EY62" i="24"/>
  <c r="EN62" i="24"/>
  <c r="DW62" i="24"/>
  <c r="DY62" i="24" s="1"/>
  <c r="EF62" i="24" s="1"/>
  <c r="EM62" i="24"/>
  <c r="EP62" i="24" s="1"/>
  <c r="DU62" i="24"/>
  <c r="DW170" i="24"/>
  <c r="DY170" i="24" s="1"/>
  <c r="EF170" i="24" s="1"/>
  <c r="EN170" i="24"/>
  <c r="EM170" i="24"/>
  <c r="EP170" i="24" s="1"/>
  <c r="DW281" i="24"/>
  <c r="DU281" i="24"/>
  <c r="DW273" i="24"/>
  <c r="DU273" i="24"/>
  <c r="EE132" i="24"/>
  <c r="DW153" i="24"/>
  <c r="EN153" i="24"/>
  <c r="EM153" i="24"/>
  <c r="EP153" i="24" s="1"/>
  <c r="FA153" i="24"/>
  <c r="EY153" i="24"/>
  <c r="EB153" i="24"/>
  <c r="EL153" i="24"/>
  <c r="EB67" i="24"/>
  <c r="EN80" i="24"/>
  <c r="DW80" i="24"/>
  <c r="DY80" i="24" s="1"/>
  <c r="EF80" i="24" s="1"/>
  <c r="EM80" i="24"/>
  <c r="EP80" i="24" s="1"/>
  <c r="DU80" i="24"/>
  <c r="DW246" i="24"/>
  <c r="DU246" i="24"/>
  <c r="DW195" i="24"/>
  <c r="EN195" i="24"/>
  <c r="EM195" i="24"/>
  <c r="EP195" i="24" s="1"/>
  <c r="EB195" i="24"/>
  <c r="EL195" i="24"/>
  <c r="EY195" i="24"/>
  <c r="FA195" i="24"/>
  <c r="DW261" i="24"/>
  <c r="DU261" i="24"/>
  <c r="DW41" i="24"/>
  <c r="DY41" i="24" s="1"/>
  <c r="EF41" i="24" s="1"/>
  <c r="EN41" i="24"/>
  <c r="EM41" i="24"/>
  <c r="EP41" i="24" s="1"/>
  <c r="DU41" i="24"/>
  <c r="EE61" i="24"/>
  <c r="EB124" i="24"/>
  <c r="DW124" i="24"/>
  <c r="DY124" i="24" s="1"/>
  <c r="EF124" i="24" s="1"/>
  <c r="EN124" i="24"/>
  <c r="EM124" i="24"/>
  <c r="EP124" i="24" s="1"/>
  <c r="EE167" i="24"/>
  <c r="DW51" i="24"/>
  <c r="EN51" i="24"/>
  <c r="EM51" i="24"/>
  <c r="EP51" i="24" s="1"/>
  <c r="DU51" i="24"/>
  <c r="EL51" i="24"/>
  <c r="EY51" i="24"/>
  <c r="FA51" i="24"/>
  <c r="EB51" i="24"/>
  <c r="EE192" i="24"/>
  <c r="DW135" i="24"/>
  <c r="EN135" i="24"/>
  <c r="EM135" i="24"/>
  <c r="EP135" i="24" s="1"/>
  <c r="EL135" i="24"/>
  <c r="EB135" i="24"/>
  <c r="FA135" i="24"/>
  <c r="EY135" i="24"/>
  <c r="EB37" i="24"/>
  <c r="EL52" i="24"/>
  <c r="EE183" i="24"/>
  <c r="EB160" i="24"/>
  <c r="DW55" i="24"/>
  <c r="DY55" i="24" s="1"/>
  <c r="EF55" i="24" s="1"/>
  <c r="EN55" i="24"/>
  <c r="EM55" i="24"/>
  <c r="EP55" i="24" s="1"/>
  <c r="DU55" i="24"/>
  <c r="EE197" i="24"/>
  <c r="DW268" i="24"/>
  <c r="DU268" i="24"/>
  <c r="DW65" i="24"/>
  <c r="DY65" i="24" s="1"/>
  <c r="EF65" i="24" s="1"/>
  <c r="EN65" i="24"/>
  <c r="EM65" i="24"/>
  <c r="EP65" i="24" s="1"/>
  <c r="DU65" i="24"/>
  <c r="EY83" i="24"/>
  <c r="EL99" i="24"/>
  <c r="FA55" i="24"/>
  <c r="DW12" i="24"/>
  <c r="EN12" i="24"/>
  <c r="EM12" i="24"/>
  <c r="EP12" i="24" s="1"/>
  <c r="DU12" i="24"/>
  <c r="EL12" i="24"/>
  <c r="EB12" i="24"/>
  <c r="EY12" i="24"/>
  <c r="FA12" i="24"/>
  <c r="EE138" i="24"/>
  <c r="FA172" i="24"/>
  <c r="DW27" i="24"/>
  <c r="EN27" i="24"/>
  <c r="EM27" i="24"/>
  <c r="EP27" i="24" s="1"/>
  <c r="DU27" i="24"/>
  <c r="FA27" i="24"/>
  <c r="EL27" i="24"/>
  <c r="EB27" i="24"/>
  <c r="EY27" i="24"/>
  <c r="EN136" i="24"/>
  <c r="DW136" i="24"/>
  <c r="DY136" i="24" s="1"/>
  <c r="EF136" i="24" s="1"/>
  <c r="EM136" i="24"/>
  <c r="EP136" i="24" s="1"/>
  <c r="EE124" i="24"/>
  <c r="EE81" i="24"/>
  <c r="DW117" i="24"/>
  <c r="EN117" i="24"/>
  <c r="EM117" i="24"/>
  <c r="EP117" i="24" s="1"/>
  <c r="EL117" i="24"/>
  <c r="FA117" i="24"/>
  <c r="EY117" i="24"/>
  <c r="EB117" i="24"/>
  <c r="EE30" i="24"/>
  <c r="EN85" i="24"/>
  <c r="DW85" i="24"/>
  <c r="EM85" i="24"/>
  <c r="EP85" i="24" s="1"/>
  <c r="DU85" i="24"/>
  <c r="EL85" i="24"/>
  <c r="EB85" i="24"/>
  <c r="EY85" i="24"/>
  <c r="FA85" i="24"/>
  <c r="DW129" i="24"/>
  <c r="DY129" i="24" s="1"/>
  <c r="EF129" i="24" s="1"/>
  <c r="EN129" i="24"/>
  <c r="EM129" i="24"/>
  <c r="EP129" i="24" s="1"/>
  <c r="EE23" i="24"/>
  <c r="DW111" i="24"/>
  <c r="DY111" i="24" s="1"/>
  <c r="EF111" i="24" s="1"/>
  <c r="EN111" i="24"/>
  <c r="EM111" i="24"/>
  <c r="EP111" i="24" s="1"/>
  <c r="EB157" i="24"/>
  <c r="EN113" i="24"/>
  <c r="DW113" i="24"/>
  <c r="EM113" i="24"/>
  <c r="EP113" i="24" s="1"/>
  <c r="EY113" i="24"/>
  <c r="EB113" i="24"/>
  <c r="EL113" i="24"/>
  <c r="FA113" i="24"/>
  <c r="EL158" i="24"/>
  <c r="DW158" i="24"/>
  <c r="DY158" i="24" s="1"/>
  <c r="EF158" i="24" s="1"/>
  <c r="EN158" i="24"/>
  <c r="EM158" i="24"/>
  <c r="EP158" i="24" s="1"/>
  <c r="DW222" i="24"/>
  <c r="DU222" i="24"/>
  <c r="DW134" i="24"/>
  <c r="DY134" i="24" s="1"/>
  <c r="EF134" i="24" s="1"/>
  <c r="EN134" i="24"/>
  <c r="EM134" i="24"/>
  <c r="EP134" i="24" s="1"/>
  <c r="DW189" i="24"/>
  <c r="EN189" i="24"/>
  <c r="EM189" i="24"/>
  <c r="EP189" i="24" s="1"/>
  <c r="EB189" i="24"/>
  <c r="EL189" i="24"/>
  <c r="FA189" i="24"/>
  <c r="EY189" i="24"/>
  <c r="EE155" i="24"/>
  <c r="DW227" i="24"/>
  <c r="DU227" i="24"/>
  <c r="EY133" i="24"/>
  <c r="DW220" i="24"/>
  <c r="DU220" i="24"/>
  <c r="DW44" i="24"/>
  <c r="DY44" i="24" s="1"/>
  <c r="EF44" i="24" s="1"/>
  <c r="EN44" i="24"/>
  <c r="EM44" i="24"/>
  <c r="EP44" i="24" s="1"/>
  <c r="DU44" i="24"/>
  <c r="DW204" i="24"/>
  <c r="EN204" i="24"/>
  <c r="EM204" i="24"/>
  <c r="EP204" i="24" s="1"/>
  <c r="FA204" i="24"/>
  <c r="EL204" i="24"/>
  <c r="EB204" i="24"/>
  <c r="EY204" i="24"/>
  <c r="EE89" i="24"/>
  <c r="DW207" i="24"/>
  <c r="EN207" i="24"/>
  <c r="EM207" i="24"/>
  <c r="EP207" i="24" s="1"/>
  <c r="FA207" i="24"/>
  <c r="EB207" i="24"/>
  <c r="EL207" i="24"/>
  <c r="EY207" i="24"/>
  <c r="EN155" i="24"/>
  <c r="DW155" i="24"/>
  <c r="DY155" i="24" s="1"/>
  <c r="EF155" i="24" s="1"/>
  <c r="EM155" i="24"/>
  <c r="EP155" i="24" s="1"/>
  <c r="DW226" i="24"/>
  <c r="DU226" i="24"/>
  <c r="EE193" i="24"/>
  <c r="EE71" i="24"/>
  <c r="EN177" i="24"/>
  <c r="DW177" i="24"/>
  <c r="DY177" i="24" s="1"/>
  <c r="EF177" i="24" s="1"/>
  <c r="EM177" i="24"/>
  <c r="EP177" i="24" s="1"/>
  <c r="EL140" i="24"/>
  <c r="DW140" i="24"/>
  <c r="EN140" i="24"/>
  <c r="EM140" i="24"/>
  <c r="EP140" i="24" s="1"/>
  <c r="EB140" i="24"/>
  <c r="FA140" i="24"/>
  <c r="EY140" i="24"/>
  <c r="EB49" i="24"/>
  <c r="DW49" i="24"/>
  <c r="EN49" i="24"/>
  <c r="EM49" i="24"/>
  <c r="EP49" i="24" s="1"/>
  <c r="DU49" i="24"/>
  <c r="EY49" i="24"/>
  <c r="FA49" i="24"/>
  <c r="EL49" i="24"/>
  <c r="EE29" i="24"/>
  <c r="DW185" i="24"/>
  <c r="DY185" i="24" s="1"/>
  <c r="EF185" i="24" s="1"/>
  <c r="EN185" i="24"/>
  <c r="EM185" i="24"/>
  <c r="EP185" i="24" s="1"/>
  <c r="EN29" i="24"/>
  <c r="DW29" i="24"/>
  <c r="DY29" i="24" s="1"/>
  <c r="EF29" i="24" s="1"/>
  <c r="EM29" i="24"/>
  <c r="EP29" i="24" s="1"/>
  <c r="DU29" i="24"/>
  <c r="EE170" i="24"/>
  <c r="EN182" i="24"/>
  <c r="DW182" i="24"/>
  <c r="EM182" i="24"/>
  <c r="EP182" i="24" s="1"/>
  <c r="EL182" i="24"/>
  <c r="EB182" i="24"/>
  <c r="EY182" i="24"/>
  <c r="FA182" i="24"/>
  <c r="DW270" i="24"/>
  <c r="DU270" i="24"/>
  <c r="DW303" i="24"/>
  <c r="DU303" i="24"/>
  <c r="DW130" i="24"/>
  <c r="EN130" i="24"/>
  <c r="EM130" i="24"/>
  <c r="EP130" i="24" s="1"/>
  <c r="EB130" i="24"/>
  <c r="EY130" i="24"/>
  <c r="FA130" i="24"/>
  <c r="EL130" i="24"/>
  <c r="DW219" i="24"/>
  <c r="DU219" i="24"/>
  <c r="FA15" i="24"/>
  <c r="DW15" i="24"/>
  <c r="EN15" i="24"/>
  <c r="EM15" i="24"/>
  <c r="EP15" i="24" s="1"/>
  <c r="DU15" i="24"/>
  <c r="EL15" i="24"/>
  <c r="EB15" i="24"/>
  <c r="EY15" i="24"/>
  <c r="EE104" i="24"/>
  <c r="DW289" i="24"/>
  <c r="DU289" i="24"/>
  <c r="DW315" i="24"/>
  <c r="DU315" i="24"/>
  <c r="EY36" i="24"/>
  <c r="DW36" i="24"/>
  <c r="EN36" i="24"/>
  <c r="EM36" i="24"/>
  <c r="EP36" i="24" s="1"/>
  <c r="DU36" i="24"/>
  <c r="EB36" i="24"/>
  <c r="FA36" i="24"/>
  <c r="EL36" i="24"/>
  <c r="EY186" i="24"/>
  <c r="EE175" i="24"/>
  <c r="EE160" i="24"/>
  <c r="DW19" i="24"/>
  <c r="EN19" i="24"/>
  <c r="EM19" i="24"/>
  <c r="EP19" i="24" s="1"/>
  <c r="DU19" i="24"/>
  <c r="EL19" i="24"/>
  <c r="EB19" i="24"/>
  <c r="FA19" i="24"/>
  <c r="EY19" i="24"/>
  <c r="EY99" i="24"/>
  <c r="DW79" i="24"/>
  <c r="EN79" i="24"/>
  <c r="EM79" i="24"/>
  <c r="EP79" i="24" s="1"/>
  <c r="DU79" i="24"/>
  <c r="EY79" i="24"/>
  <c r="EB79" i="24"/>
  <c r="EL79" i="24"/>
  <c r="FA79" i="24"/>
  <c r="DW280" i="24"/>
  <c r="DU280" i="24"/>
  <c r="EE10" i="24"/>
  <c r="DW224" i="24"/>
  <c r="DU224" i="24"/>
  <c r="FA48" i="24"/>
  <c r="DW48" i="24"/>
  <c r="DY48" i="24" s="1"/>
  <c r="EF48" i="24" s="1"/>
  <c r="EN48" i="24"/>
  <c r="EM48" i="24"/>
  <c r="EP48" i="24" s="1"/>
  <c r="DU48" i="24"/>
  <c r="EL157" i="24"/>
  <c r="DW188" i="24"/>
  <c r="EN188" i="24"/>
  <c r="EM188" i="24"/>
  <c r="EP188" i="24" s="1"/>
  <c r="EY188" i="24"/>
  <c r="FA188" i="24"/>
  <c r="EL188" i="24"/>
  <c r="EB188" i="24"/>
  <c r="EL155" i="24"/>
  <c r="DW21" i="24"/>
  <c r="EN21" i="24"/>
  <c r="EM21" i="24"/>
  <c r="EP21" i="24" s="1"/>
  <c r="DU21" i="24"/>
  <c r="EY21" i="24"/>
  <c r="EB21" i="24"/>
  <c r="EL21" i="24"/>
  <c r="FA21" i="24"/>
  <c r="EN146" i="24"/>
  <c r="DW146" i="24"/>
  <c r="EM146" i="24"/>
  <c r="EP146" i="24" s="1"/>
  <c r="EB146" i="24"/>
  <c r="EL146" i="24"/>
  <c r="FA146" i="24"/>
  <c r="EY146" i="24"/>
  <c r="EL53" i="24"/>
  <c r="DW168" i="24"/>
  <c r="EN168" i="24"/>
  <c r="EM168" i="24"/>
  <c r="EP168" i="24" s="1"/>
  <c r="EY168" i="24"/>
  <c r="EL168" i="24"/>
  <c r="FA168" i="24"/>
  <c r="EB168" i="24"/>
  <c r="DW304" i="24"/>
  <c r="DU304" i="24"/>
  <c r="DW231" i="24"/>
  <c r="DU231" i="24"/>
  <c r="DW112" i="24"/>
  <c r="DY112" i="24" s="1"/>
  <c r="EF112" i="24" s="1"/>
  <c r="EN112" i="24"/>
  <c r="EM112" i="24"/>
  <c r="EP112" i="24" s="1"/>
  <c r="DW257" i="24"/>
  <c r="DU257" i="24"/>
  <c r="DW298" i="24"/>
  <c r="DU298" i="24"/>
  <c r="DW181" i="24"/>
  <c r="EN181" i="24"/>
  <c r="EM181" i="24"/>
  <c r="EP181" i="24" s="1"/>
  <c r="EB181" i="24"/>
  <c r="FA181" i="24"/>
  <c r="EY181" i="24"/>
  <c r="EL181" i="24"/>
  <c r="DW265" i="24"/>
  <c r="DU265" i="24"/>
  <c r="EE147" i="24"/>
  <c r="DW251" i="24"/>
  <c r="DU251" i="24"/>
  <c r="DW166" i="24"/>
  <c r="EN166" i="24"/>
  <c r="EM166" i="24"/>
  <c r="EP166" i="24" s="1"/>
  <c r="EB166" i="24"/>
  <c r="EL166" i="24"/>
  <c r="EY166" i="24"/>
  <c r="FA166" i="24"/>
  <c r="DW144" i="24"/>
  <c r="EN144" i="24"/>
  <c r="EM144" i="24"/>
  <c r="EP144" i="24" s="1"/>
  <c r="FA144" i="24"/>
  <c r="EB144" i="24"/>
  <c r="EL144" i="24"/>
  <c r="EY144" i="24"/>
  <c r="DW83" i="24"/>
  <c r="DY83" i="24" s="1"/>
  <c r="EF83" i="24" s="1"/>
  <c r="EN83" i="24"/>
  <c r="EM83" i="24"/>
  <c r="EP83" i="24" s="1"/>
  <c r="DU83" i="24"/>
  <c r="EE13" i="24"/>
  <c r="EN114" i="24"/>
  <c r="DW114" i="24"/>
  <c r="DY114" i="24" s="1"/>
  <c r="EF114" i="24" s="1"/>
  <c r="EM114" i="24"/>
  <c r="EP114" i="24" s="1"/>
  <c r="DW312" i="24"/>
  <c r="DU312" i="24"/>
  <c r="DW292" i="24"/>
  <c r="DU292" i="24"/>
  <c r="DW316" i="24"/>
  <c r="DU316" i="24"/>
  <c r="EE8" i="24"/>
  <c r="DW253" i="24"/>
  <c r="DU253" i="24"/>
  <c r="EN16" i="24"/>
  <c r="DW16" i="24"/>
  <c r="EM16" i="24"/>
  <c r="EP16" i="24" s="1"/>
  <c r="DU16" i="24"/>
  <c r="EL16" i="24"/>
  <c r="EY16" i="24"/>
  <c r="EB16" i="24"/>
  <c r="FA16" i="24"/>
  <c r="DW228" i="24"/>
  <c r="DU228" i="24"/>
  <c r="DW225" i="24"/>
  <c r="DU225" i="24"/>
  <c r="EE25" i="24"/>
  <c r="EN97" i="24"/>
  <c r="DW97" i="24"/>
  <c r="EM97" i="24"/>
  <c r="EP97" i="24" s="1"/>
  <c r="DU97" i="24"/>
  <c r="FA97" i="24"/>
  <c r="EY97" i="24"/>
  <c r="EB97" i="24"/>
  <c r="EL97" i="24"/>
  <c r="DW180" i="24"/>
  <c r="EN180" i="24"/>
  <c r="EM180" i="24"/>
  <c r="EP180" i="24" s="1"/>
  <c r="FA180" i="24"/>
  <c r="EY180" i="24"/>
  <c r="EB180" i="24"/>
  <c r="EL180" i="24"/>
  <c r="DW311" i="24"/>
  <c r="DU311" i="24"/>
  <c r="FA23" i="24"/>
  <c r="DW23" i="24"/>
  <c r="DY23" i="24" s="1"/>
  <c r="EF23" i="24" s="1"/>
  <c r="EN23" i="24"/>
  <c r="EM23" i="24"/>
  <c r="EP23" i="24" s="1"/>
  <c r="DU23" i="24"/>
  <c r="DW205" i="24"/>
  <c r="EN205" i="24"/>
  <c r="EM205" i="24"/>
  <c r="EP205" i="24" s="1"/>
  <c r="EL205" i="24"/>
  <c r="EB205" i="24"/>
  <c r="FA205" i="24"/>
  <c r="EY205" i="24"/>
  <c r="DW86" i="24"/>
  <c r="EN86" i="24"/>
  <c r="EM86" i="24"/>
  <c r="EP86" i="24" s="1"/>
  <c r="DU86" i="24"/>
  <c r="FA86" i="24"/>
  <c r="EL86" i="24"/>
  <c r="EB86" i="24"/>
  <c r="EY86" i="24"/>
  <c r="DW254" i="24"/>
  <c r="DU254" i="24"/>
  <c r="DW161" i="24"/>
  <c r="DY161" i="24" s="1"/>
  <c r="EF161" i="24" s="1"/>
  <c r="EN161" i="24"/>
  <c r="EM161" i="24"/>
  <c r="EP161" i="24" s="1"/>
  <c r="DW187" i="24"/>
  <c r="EN187" i="24"/>
  <c r="EM187" i="24"/>
  <c r="EP187" i="24" s="1"/>
  <c r="EY187" i="24"/>
  <c r="EL187" i="24"/>
  <c r="FA187" i="24"/>
  <c r="EB187" i="24"/>
  <c r="DW101" i="24"/>
  <c r="EN101" i="24"/>
  <c r="EM101" i="24"/>
  <c r="EP101" i="24" s="1"/>
  <c r="DU101" i="24"/>
  <c r="EB101" i="24"/>
  <c r="EL101" i="24"/>
  <c r="FA101" i="24"/>
  <c r="EY101" i="24"/>
  <c r="DW8" i="24"/>
  <c r="DY8" i="24" s="1"/>
  <c r="EF8" i="24" s="1"/>
  <c r="EN8" i="24"/>
  <c r="EM8" i="24"/>
  <c r="EP8" i="24" s="1"/>
  <c r="DU8" i="24"/>
  <c r="EY37" i="24"/>
  <c r="EE52" i="24"/>
  <c r="EN175" i="24"/>
  <c r="DW175" i="24"/>
  <c r="DY175" i="24" s="1"/>
  <c r="EF175" i="24" s="1"/>
  <c r="EM175" i="24"/>
  <c r="EP175" i="24" s="1"/>
  <c r="DW248" i="24"/>
  <c r="DU248" i="24"/>
  <c r="EE62" i="24"/>
  <c r="DW95" i="24"/>
  <c r="EN95" i="24"/>
  <c r="EM95" i="24"/>
  <c r="EP95" i="24" s="1"/>
  <c r="DU95" i="24"/>
  <c r="EY95" i="24"/>
  <c r="EB95" i="24"/>
  <c r="EL95" i="24"/>
  <c r="FA95" i="24"/>
  <c r="DW69" i="24"/>
  <c r="EN69" i="24"/>
  <c r="EM69" i="24"/>
  <c r="EP69" i="24" s="1"/>
  <c r="DU69" i="24"/>
  <c r="EL69" i="24"/>
  <c r="FA69" i="24"/>
  <c r="EB69" i="24"/>
  <c r="EY69" i="24"/>
  <c r="EN77" i="24"/>
  <c r="DW77" i="24"/>
  <c r="DY77" i="24" s="1"/>
  <c r="EF77" i="24" s="1"/>
  <c r="EM77" i="24"/>
  <c r="EP77" i="24" s="1"/>
  <c r="DU77" i="24"/>
  <c r="EE47" i="24"/>
  <c r="FA99" i="24"/>
  <c r="FA63" i="24"/>
  <c r="DW63" i="24"/>
  <c r="DY63" i="24" s="1"/>
  <c r="EF63" i="24" s="1"/>
  <c r="EN63" i="24"/>
  <c r="EM63" i="24"/>
  <c r="EP63" i="24" s="1"/>
  <c r="DU63" i="24"/>
  <c r="EB50" i="24"/>
  <c r="DW237" i="24"/>
  <c r="DU237" i="24"/>
  <c r="DW200" i="24"/>
  <c r="EN200" i="24"/>
  <c r="EM200" i="24"/>
  <c r="EP200" i="24" s="1"/>
  <c r="EY200" i="24"/>
  <c r="EB200" i="24"/>
  <c r="FA200" i="24"/>
  <c r="EL200" i="24"/>
  <c r="EB63" i="24"/>
  <c r="EL61" i="24"/>
  <c r="DW61" i="24"/>
  <c r="DY61" i="24" s="1"/>
  <c r="EF61" i="24" s="1"/>
  <c r="EN61" i="24"/>
  <c r="EM61" i="24"/>
  <c r="EP61" i="24" s="1"/>
  <c r="DU61" i="24"/>
  <c r="EN183" i="24"/>
  <c r="DW183" i="24"/>
  <c r="DY183" i="24" s="1"/>
  <c r="EF183" i="24" s="1"/>
  <c r="EM183" i="24"/>
  <c r="EP183" i="24" s="1"/>
  <c r="EB114" i="24"/>
  <c r="DW73" i="24"/>
  <c r="EN73" i="24"/>
  <c r="EM73" i="24"/>
  <c r="EP73" i="24" s="1"/>
  <c r="DU73" i="24"/>
  <c r="EY73" i="24"/>
  <c r="EL73" i="24"/>
  <c r="FA73" i="24"/>
  <c r="EB73" i="24"/>
  <c r="DW14" i="24"/>
  <c r="DY14" i="24" s="1"/>
  <c r="EF14" i="24" s="1"/>
  <c r="EN14" i="24"/>
  <c r="EM14" i="24"/>
  <c r="EP14" i="24" s="1"/>
  <c r="DU14" i="24"/>
  <c r="EE14" i="24"/>
  <c r="DW123" i="24"/>
  <c r="DY123" i="24" s="1"/>
  <c r="EF123" i="24" s="1"/>
  <c r="EN123" i="24"/>
  <c r="EM123" i="24"/>
  <c r="EP123" i="24" s="1"/>
  <c r="DW284" i="24"/>
  <c r="DU284" i="24"/>
  <c r="DW103" i="24"/>
  <c r="DY103" i="24" s="1"/>
  <c r="EF103" i="24" s="1"/>
  <c r="EN103" i="24"/>
  <c r="EM103" i="24"/>
  <c r="EP103" i="24" s="1"/>
  <c r="DU103" i="24"/>
  <c r="FA80" i="24"/>
  <c r="DW290" i="24"/>
  <c r="DU290" i="24"/>
  <c r="EN210" i="24"/>
  <c r="DW210" i="24"/>
  <c r="EM210" i="24"/>
  <c r="EP210" i="24" s="1"/>
  <c r="EY210" i="24"/>
  <c r="EB210" i="24"/>
  <c r="EL210" i="24"/>
  <c r="FA210" i="24"/>
  <c r="DW91" i="24"/>
  <c r="EN91" i="24"/>
  <c r="EM91" i="24"/>
  <c r="EP91" i="24" s="1"/>
  <c r="DU91" i="24"/>
  <c r="FA91" i="24"/>
  <c r="EB91" i="24"/>
  <c r="EL91" i="24"/>
  <c r="EY91" i="24"/>
  <c r="EY53" i="24"/>
  <c r="DW267" i="24"/>
  <c r="DU267" i="24"/>
  <c r="DW259" i="24"/>
  <c r="DU259" i="24"/>
  <c r="DW66" i="24"/>
  <c r="EN66" i="24"/>
  <c r="EM66" i="24"/>
  <c r="EP66" i="24" s="1"/>
  <c r="DU66" i="24"/>
  <c r="EY66" i="24"/>
  <c r="EL66" i="24"/>
  <c r="EB66" i="24"/>
  <c r="FA66" i="24"/>
  <c r="EE126" i="24"/>
  <c r="DW6" i="24"/>
  <c r="EN6" i="24"/>
  <c r="EM6" i="24"/>
  <c r="EP6" i="24" s="1"/>
  <c r="DU6" i="24"/>
  <c r="EY6" i="24"/>
  <c r="EB6" i="24"/>
  <c r="EL6" i="24"/>
  <c r="FA6" i="24"/>
  <c r="DW35" i="24"/>
  <c r="DY35" i="24" s="1"/>
  <c r="EF35" i="24" s="1"/>
  <c r="EN35" i="24"/>
  <c r="EM35" i="24"/>
  <c r="EP35" i="24" s="1"/>
  <c r="DU35" i="24"/>
  <c r="DW131" i="24"/>
  <c r="EN131" i="24"/>
  <c r="EM131" i="24"/>
  <c r="EP131" i="24" s="1"/>
  <c r="EL131" i="24"/>
  <c r="EY131" i="24"/>
  <c r="EB131" i="24"/>
  <c r="FA131" i="24"/>
  <c r="DW250" i="24"/>
  <c r="DU250" i="24"/>
  <c r="DW202" i="24"/>
  <c r="DY202" i="24" s="1"/>
  <c r="EF202" i="24" s="1"/>
  <c r="EN202" i="24"/>
  <c r="EM202" i="24"/>
  <c r="EP202" i="24" s="1"/>
  <c r="EE122" i="24"/>
  <c r="EE127" i="24"/>
  <c r="EE152" i="24"/>
  <c r="DW232" i="24"/>
  <c r="DU232" i="24"/>
  <c r="DW258" i="24"/>
  <c r="DU258" i="24"/>
  <c r="DW118" i="24"/>
  <c r="EN118" i="24"/>
  <c r="EM118" i="24"/>
  <c r="EP118" i="24" s="1"/>
  <c r="FA118" i="24"/>
  <c r="EL118" i="24"/>
  <c r="EY118" i="24"/>
  <c r="EB118" i="24"/>
  <c r="EN199" i="24"/>
  <c r="DW199" i="24"/>
  <c r="DY199" i="24" s="1"/>
  <c r="EF199" i="24" s="1"/>
  <c r="EM199" i="24"/>
  <c r="EP199" i="24" s="1"/>
  <c r="EN186" i="24"/>
  <c r="DW186" i="24"/>
  <c r="DY186" i="24" s="1"/>
  <c r="EF186" i="24" s="1"/>
  <c r="EM186" i="24"/>
  <c r="EP186" i="24" s="1"/>
  <c r="DW266" i="24"/>
  <c r="DU266" i="24"/>
  <c r="FA177" i="24"/>
  <c r="DW176" i="24"/>
  <c r="EN176" i="24"/>
  <c r="EM176" i="24"/>
  <c r="EP176" i="24" s="1"/>
  <c r="EL176" i="24"/>
  <c r="EB176" i="24"/>
  <c r="FA176" i="24"/>
  <c r="EY176" i="24"/>
  <c r="EE67" i="24"/>
  <c r="DW47" i="24"/>
  <c r="DY47" i="24" s="1"/>
  <c r="EF47" i="24" s="1"/>
  <c r="EN47" i="24"/>
  <c r="EM47" i="24"/>
  <c r="EP47" i="24" s="1"/>
  <c r="DU47" i="24"/>
  <c r="EE40" i="24"/>
  <c r="DW310" i="24"/>
  <c r="DU310" i="24"/>
  <c r="EY202" i="24"/>
  <c r="DW260" i="24"/>
  <c r="DU260" i="24"/>
  <c r="DW98" i="24"/>
  <c r="DY98" i="24" s="1"/>
  <c r="EF98" i="24" s="1"/>
  <c r="EN98" i="24"/>
  <c r="EM98" i="24"/>
  <c r="EP98" i="24" s="1"/>
  <c r="DU98" i="24"/>
  <c r="DW209" i="24"/>
  <c r="DY209" i="24" s="1"/>
  <c r="EF209" i="24" s="1"/>
  <c r="EN209" i="24"/>
  <c r="EM209" i="24"/>
  <c r="EP209" i="24" s="1"/>
  <c r="EE35" i="24"/>
  <c r="EE37" i="24"/>
  <c r="FA186" i="24"/>
  <c r="EN128" i="24"/>
  <c r="DW128" i="24"/>
  <c r="DY128" i="24" s="1"/>
  <c r="EF128" i="24" s="1"/>
  <c r="EM128" i="24"/>
  <c r="EP128" i="24" s="1"/>
  <c r="DW236" i="24"/>
  <c r="DU236" i="24"/>
  <c r="EE42" i="24"/>
  <c r="DW305" i="24"/>
  <c r="DU305" i="24"/>
  <c r="EE83" i="24"/>
  <c r="EB99" i="24"/>
  <c r="EE172" i="24"/>
  <c r="DW179" i="24"/>
  <c r="EN179" i="24"/>
  <c r="EM179" i="24"/>
  <c r="EP179" i="24" s="1"/>
  <c r="EY179" i="24"/>
  <c r="EB179" i="24"/>
  <c r="FA179" i="24"/>
  <c r="EL179" i="24"/>
  <c r="DW139" i="24"/>
  <c r="EN139" i="24"/>
  <c r="EM139" i="24"/>
  <c r="EP139" i="24" s="1"/>
  <c r="EY139" i="24"/>
  <c r="EL139" i="24"/>
  <c r="EB139" i="24"/>
  <c r="FA139" i="24"/>
  <c r="DW223" i="24"/>
  <c r="DU223" i="24"/>
  <c r="DW138" i="24"/>
  <c r="DY138" i="24" s="1"/>
  <c r="EF138" i="24" s="1"/>
  <c r="EN138" i="24"/>
  <c r="EM138" i="24"/>
  <c r="EP138" i="24" s="1"/>
  <c r="EN150" i="24"/>
  <c r="DW150" i="24"/>
  <c r="DY150" i="24" s="1"/>
  <c r="EF150" i="24" s="1"/>
  <c r="EM150" i="24"/>
  <c r="EP150" i="24" s="1"/>
  <c r="DW178" i="24"/>
  <c r="EN178" i="24"/>
  <c r="EM178" i="24"/>
  <c r="EP178" i="24" s="1"/>
  <c r="EL178" i="24"/>
  <c r="EB178" i="24"/>
  <c r="FA178" i="24"/>
  <c r="EY178" i="24"/>
  <c r="DW263" i="24"/>
  <c r="DU263" i="24"/>
  <c r="EN59" i="24"/>
  <c r="DW59" i="24"/>
  <c r="EM59" i="24"/>
  <c r="EP59" i="24" s="1"/>
  <c r="DU59" i="24"/>
  <c r="EL59" i="24"/>
  <c r="EB59" i="24"/>
  <c r="FA59" i="24"/>
  <c r="EY59" i="24"/>
  <c r="FA114" i="24"/>
  <c r="DW301" i="24"/>
  <c r="DU301" i="24"/>
  <c r="EY209" i="24"/>
  <c r="DW164" i="24"/>
  <c r="DY164" i="24" s="1"/>
  <c r="EF164" i="24" s="1"/>
  <c r="EN164" i="24"/>
  <c r="EM164" i="24"/>
  <c r="EP164" i="24" s="1"/>
  <c r="EE157" i="24"/>
  <c r="EB201" i="24"/>
  <c r="DW256" i="24"/>
  <c r="DU256" i="24"/>
  <c r="DW122" i="24"/>
  <c r="DY122" i="24" s="1"/>
  <c r="EF122" i="24" s="1"/>
  <c r="EN122" i="24"/>
  <c r="EM122" i="24"/>
  <c r="EP122" i="24" s="1"/>
  <c r="EL80" i="24"/>
  <c r="DW151" i="24"/>
  <c r="EN151" i="24"/>
  <c r="EM151" i="24"/>
  <c r="EP151" i="24" s="1"/>
  <c r="FA151" i="24"/>
  <c r="EY151" i="24"/>
  <c r="EL151" i="24"/>
  <c r="EB151" i="24"/>
  <c r="DW238" i="24"/>
  <c r="DU238" i="24"/>
  <c r="DW299" i="24"/>
  <c r="DU299" i="24"/>
  <c r="FA53" i="24"/>
  <c r="DW208" i="24"/>
  <c r="EN208" i="24"/>
  <c r="EM208" i="24"/>
  <c r="EP208" i="24" s="1"/>
  <c r="EL208" i="24"/>
  <c r="EY208" i="24"/>
  <c r="FA208" i="24"/>
  <c r="EB208" i="24"/>
  <c r="DW56" i="24"/>
  <c r="EN56" i="24"/>
  <c r="EM56" i="24"/>
  <c r="EP56" i="24" s="1"/>
  <c r="DU56" i="24"/>
  <c r="FA56" i="24"/>
  <c r="EB56" i="24"/>
  <c r="EL56" i="24"/>
  <c r="EY56" i="24"/>
  <c r="EN100" i="24"/>
  <c r="DW100" i="24"/>
  <c r="DY100" i="24" s="1"/>
  <c r="EF100" i="24" s="1"/>
  <c r="EM100" i="24"/>
  <c r="EP100" i="24" s="1"/>
  <c r="DU100" i="24"/>
  <c r="DW295" i="24"/>
  <c r="DU295" i="24"/>
  <c r="EY105" i="24"/>
  <c r="DW105" i="24"/>
  <c r="EN105" i="24"/>
  <c r="EM105" i="24"/>
  <c r="EP105" i="24" s="1"/>
  <c r="DU105" i="24"/>
  <c r="EL105" i="24"/>
  <c r="EB105" i="24"/>
  <c r="FA105" i="24"/>
  <c r="EE77" i="24"/>
  <c r="DW264" i="24"/>
  <c r="DU264" i="24"/>
  <c r="EE48" i="24"/>
  <c r="DW34" i="24"/>
  <c r="EN34" i="24"/>
  <c r="EM34" i="24"/>
  <c r="EP34" i="24" s="1"/>
  <c r="DU34" i="24"/>
  <c r="FA34" i="24"/>
  <c r="EL34" i="24"/>
  <c r="EY34" i="24"/>
  <c r="EB34" i="24"/>
  <c r="EN89" i="24"/>
  <c r="DW89" i="24"/>
  <c r="DY89" i="24" s="1"/>
  <c r="EF89" i="24" s="1"/>
  <c r="EM89" i="24"/>
  <c r="EP89" i="24" s="1"/>
  <c r="DU89" i="24"/>
  <c r="DW274" i="24"/>
  <c r="DU274" i="24"/>
  <c r="EE111" i="24"/>
  <c r="EE24" i="24"/>
  <c r="EE134" i="24"/>
  <c r="DW247" i="24"/>
  <c r="DU247" i="24"/>
  <c r="EE142" i="24"/>
  <c r="DW294" i="24"/>
  <c r="DU294" i="24"/>
  <c r="EY185" i="24"/>
  <c r="EE98" i="24"/>
  <c r="EY154" i="24"/>
  <c r="DW154" i="24"/>
  <c r="DY154" i="24" s="1"/>
  <c r="EF154" i="24" s="1"/>
  <c r="EN154" i="24"/>
  <c r="EM154" i="24"/>
  <c r="EP154" i="24" s="1"/>
  <c r="EN57" i="24"/>
  <c r="DW57" i="24"/>
  <c r="EM57" i="24"/>
  <c r="EP57" i="24" s="1"/>
  <c r="DU57" i="24"/>
  <c r="EL57" i="24"/>
  <c r="EY57" i="24"/>
  <c r="EB57" i="24"/>
  <c r="FA57" i="24"/>
  <c r="EL177" i="24"/>
  <c r="DW262" i="24"/>
  <c r="DU262" i="24"/>
  <c r="EE145" i="24"/>
  <c r="DW193" i="24"/>
  <c r="DY193" i="24" s="1"/>
  <c r="EF193" i="24" s="1"/>
  <c r="EN193" i="24"/>
  <c r="EM193" i="24"/>
  <c r="EP193" i="24" s="1"/>
  <c r="DW287" i="24"/>
  <c r="DU287" i="24"/>
  <c r="EL202" i="24"/>
  <c r="FA192" i="24"/>
  <c r="EE123" i="24"/>
  <c r="DW157" i="24"/>
  <c r="DY157" i="24" s="1"/>
  <c r="EF157" i="24" s="1"/>
  <c r="EN157" i="24"/>
  <c r="EM157" i="24"/>
  <c r="EP157" i="24" s="1"/>
  <c r="FA37" i="24"/>
  <c r="EY52" i="24"/>
  <c r="DW31" i="24"/>
  <c r="EN31" i="24"/>
  <c r="EM31" i="24"/>
  <c r="EP31" i="24" s="1"/>
  <c r="DU31" i="24"/>
  <c r="FA31" i="24"/>
  <c r="EY31" i="24"/>
  <c r="EB31" i="24"/>
  <c r="EL31" i="24"/>
  <c r="EL186" i="24"/>
  <c r="EB171" i="24"/>
  <c r="EE99" i="24"/>
  <c r="EE55" i="24"/>
  <c r="EY138" i="24"/>
  <c r="DW206" i="24"/>
  <c r="EN206" i="24"/>
  <c r="EM206" i="24"/>
  <c r="EP206" i="24" s="1"/>
  <c r="EB206" i="24"/>
  <c r="FA206" i="24"/>
  <c r="EY206" i="24"/>
  <c r="EL206" i="24"/>
  <c r="FA50" i="24"/>
  <c r="DW32" i="24"/>
  <c r="EN32" i="24"/>
  <c r="EM32" i="24"/>
  <c r="EP32" i="24" s="1"/>
  <c r="DU32" i="24"/>
  <c r="EY32" i="24"/>
  <c r="EL32" i="24"/>
  <c r="FA32" i="24"/>
  <c r="EB32" i="24"/>
  <c r="EE26" i="24"/>
  <c r="EB81" i="24"/>
  <c r="DW293" i="24"/>
  <c r="DU293" i="24"/>
  <c r="EY63" i="24"/>
  <c r="EB30" i="24"/>
  <c r="EL114" i="24"/>
  <c r="EE174" i="24"/>
  <c r="EE44" i="24"/>
  <c r="FA209" i="24"/>
  <c r="EL201" i="24"/>
  <c r="DW307" i="24"/>
  <c r="DU307" i="24"/>
  <c r="DW68" i="24"/>
  <c r="DY68" i="24" s="1"/>
  <c r="EF68" i="24" s="1"/>
  <c r="EN68" i="24"/>
  <c r="EM68" i="24"/>
  <c r="EP68" i="24" s="1"/>
  <c r="DU68" i="24"/>
  <c r="DW282" i="24"/>
  <c r="DU282" i="24"/>
  <c r="EY80" i="24"/>
  <c r="DW197" i="24"/>
  <c r="DY197" i="24" s="1"/>
  <c r="EF197" i="24" s="1"/>
  <c r="EN197" i="24"/>
  <c r="EM197" i="24"/>
  <c r="EP197" i="24" s="1"/>
  <c r="EY199" i="24"/>
  <c r="EL119" i="24"/>
  <c r="EN119" i="24"/>
  <c r="DW119" i="24"/>
  <c r="EM119" i="24"/>
  <c r="EP119" i="24" s="1"/>
  <c r="FA119" i="24"/>
  <c r="EY119" i="24"/>
  <c r="EB119" i="24"/>
  <c r="FA24" i="24"/>
  <c r="DW24" i="24"/>
  <c r="DY24" i="24" s="1"/>
  <c r="EF24" i="24" s="1"/>
  <c r="EN24" i="24"/>
  <c r="EM24" i="24"/>
  <c r="EP24" i="24" s="1"/>
  <c r="DU24" i="24"/>
  <c r="EE133" i="24"/>
  <c r="DW173" i="24"/>
  <c r="DY173" i="24" s="1"/>
  <c r="EF173" i="24" s="1"/>
  <c r="EN173" i="24"/>
  <c r="EM173" i="24"/>
  <c r="EP173" i="24" s="1"/>
  <c r="DW70" i="24"/>
  <c r="DY70" i="24" s="1"/>
  <c r="EF70" i="24" s="1"/>
  <c r="EN70" i="24"/>
  <c r="EM70" i="24"/>
  <c r="EP70" i="24" s="1"/>
  <c r="DU70" i="24"/>
  <c r="DW28" i="24"/>
  <c r="EN28" i="24"/>
  <c r="EM28" i="24"/>
  <c r="EP28" i="24" s="1"/>
  <c r="DU28" i="24"/>
  <c r="EY28" i="24"/>
  <c r="FA28" i="24"/>
  <c r="EB28" i="24"/>
  <c r="EL28" i="24"/>
  <c r="DW141" i="24"/>
  <c r="EN141" i="24"/>
  <c r="EM141" i="24"/>
  <c r="EP141" i="24" s="1"/>
  <c r="EL141" i="24"/>
  <c r="EY141" i="24"/>
  <c r="FA141" i="24"/>
  <c r="EB141" i="24"/>
  <c r="EE128" i="24"/>
  <c r="FA89" i="24"/>
  <c r="EB143" i="24"/>
  <c r="DW143" i="24"/>
  <c r="EN143" i="24"/>
  <c r="EM143" i="24"/>
  <c r="EP143" i="24" s="1"/>
  <c r="EL143" i="24"/>
  <c r="EY143" i="24"/>
  <c r="FA143" i="24"/>
  <c r="EY120" i="24"/>
  <c r="DW120" i="24"/>
  <c r="EN120" i="24"/>
  <c r="EM120" i="24"/>
  <c r="EP120" i="24" s="1"/>
  <c r="FA120" i="24"/>
  <c r="EL120" i="24"/>
  <c r="EB120" i="24"/>
  <c r="EB154" i="24"/>
  <c r="DW87" i="24"/>
  <c r="EN87" i="24"/>
  <c r="EM87" i="24"/>
  <c r="EP87" i="24" s="1"/>
  <c r="DU87" i="24"/>
  <c r="FA87" i="24"/>
  <c r="EY87" i="24"/>
  <c r="EL87" i="24"/>
  <c r="EB87" i="24"/>
  <c r="EE103" i="24"/>
  <c r="DW102" i="24"/>
  <c r="EN102" i="24"/>
  <c r="EM102" i="24"/>
  <c r="EP102" i="24" s="1"/>
  <c r="DU102" i="24"/>
  <c r="FA102" i="24"/>
  <c r="EY102" i="24"/>
  <c r="EL102" i="24"/>
  <c r="EB102" i="24"/>
  <c r="DW306" i="24"/>
  <c r="DU306" i="24"/>
  <c r="DW10" i="24"/>
  <c r="DY10" i="24" s="1"/>
  <c r="EF10" i="24" s="1"/>
  <c r="EN10" i="24"/>
  <c r="EM10" i="24"/>
  <c r="EP10" i="24" s="1"/>
  <c r="DU10" i="24"/>
  <c r="DW252" i="24"/>
  <c r="DU252" i="24"/>
  <c r="EL29" i="24"/>
  <c r="DW249" i="24"/>
  <c r="DU249" i="24"/>
  <c r="DW272" i="24"/>
  <c r="DU272" i="24"/>
  <c r="EB185" i="24"/>
  <c r="EE60" i="24"/>
  <c r="EB177" i="24"/>
  <c r="DW152" i="24"/>
  <c r="DY152" i="24" s="1"/>
  <c r="EF152" i="24" s="1"/>
  <c r="EN152" i="24"/>
  <c r="EM152" i="24"/>
  <c r="EP152" i="24" s="1"/>
  <c r="EL164" i="24"/>
  <c r="DW230" i="24"/>
  <c r="DU230" i="24"/>
  <c r="EE136" i="24"/>
  <c r="DW163" i="24"/>
  <c r="EN163" i="24"/>
  <c r="EM163" i="24"/>
  <c r="EP163" i="24" s="1"/>
  <c r="FA163" i="24"/>
  <c r="EB163" i="24"/>
  <c r="EL163" i="24"/>
  <c r="EY163" i="24"/>
  <c r="DW53" i="24"/>
  <c r="DY53" i="24" s="1"/>
  <c r="EF53" i="24" s="1"/>
  <c r="EN53" i="24"/>
  <c r="EM53" i="24"/>
  <c r="EP53" i="24" s="1"/>
  <c r="DU53" i="24"/>
  <c r="EB58" i="24"/>
  <c r="DW58" i="24"/>
  <c r="EN58" i="24"/>
  <c r="EM58" i="24"/>
  <c r="EP58" i="24" s="1"/>
  <c r="DU58" i="24"/>
  <c r="FA58" i="24"/>
  <c r="EL58" i="24"/>
  <c r="EY58" i="24"/>
  <c r="DW137" i="24"/>
  <c r="EN137" i="24"/>
  <c r="EM137" i="24"/>
  <c r="EP137" i="24" s="1"/>
  <c r="EY137" i="24"/>
  <c r="EB137" i="24"/>
  <c r="EL137" i="24"/>
  <c r="FA137" i="24"/>
  <c r="DW314" i="24"/>
  <c r="DU314" i="24"/>
  <c r="EB202" i="24"/>
  <c r="FA25" i="24"/>
  <c r="EN25" i="24"/>
  <c r="DW25" i="24"/>
  <c r="DY25" i="24" s="1"/>
  <c r="EF25" i="24" s="1"/>
  <c r="EM25" i="24"/>
  <c r="EP25" i="24" s="1"/>
  <c r="DU25" i="24"/>
  <c r="EY192" i="24"/>
  <c r="EN42" i="24"/>
  <c r="DW42" i="24"/>
  <c r="DY42" i="24" s="1"/>
  <c r="EF42" i="24" s="1"/>
  <c r="EM42" i="24"/>
  <c r="EP42" i="24" s="1"/>
  <c r="DU42" i="24"/>
  <c r="EY54" i="24"/>
  <c r="FA183" i="24"/>
  <c r="EE186" i="24"/>
  <c r="EB175" i="24"/>
  <c r="EY160" i="24"/>
  <c r="DW245" i="24"/>
  <c r="DU245" i="24"/>
  <c r="EY171" i="24"/>
  <c r="EE43" i="24"/>
  <c r="FA197" i="24"/>
  <c r="DW22" i="24"/>
  <c r="EN22" i="24"/>
  <c r="EM22" i="24"/>
  <c r="EP22" i="24" s="1"/>
  <c r="DU22" i="24"/>
  <c r="FA22" i="24"/>
  <c r="EB22" i="24"/>
  <c r="EL22" i="24"/>
  <c r="EY22" i="24"/>
  <c r="EL47" i="24"/>
  <c r="EL138" i="24"/>
  <c r="EN72" i="24"/>
  <c r="DW72" i="24"/>
  <c r="EM72" i="24"/>
  <c r="EP72" i="24" s="1"/>
  <c r="DU72" i="24"/>
  <c r="EY72" i="24"/>
  <c r="EL72" i="24"/>
  <c r="FA72" i="24"/>
  <c r="EB72" i="24"/>
  <c r="EB10" i="24"/>
  <c r="EL75" i="24"/>
  <c r="DW75" i="24"/>
  <c r="EN75" i="24"/>
  <c r="EM75" i="24"/>
  <c r="EP75" i="24" s="1"/>
  <c r="DU75" i="24"/>
  <c r="FA75" i="24"/>
  <c r="EB75" i="24"/>
  <c r="EY75" i="24"/>
  <c r="EL81" i="24"/>
  <c r="DW221" i="24"/>
  <c r="DU221" i="24"/>
  <c r="EE63" i="24"/>
  <c r="FA30" i="24"/>
  <c r="DW234" i="24"/>
  <c r="DU234" i="24"/>
  <c r="DW43" i="24"/>
  <c r="DY43" i="24" s="1"/>
  <c r="EF43" i="24" s="1"/>
  <c r="EN43" i="24"/>
  <c r="EM43" i="24"/>
  <c r="EP43" i="24" s="1"/>
  <c r="DU43" i="24"/>
  <c r="DW167" i="24"/>
  <c r="DY167" i="24" s="1"/>
  <c r="EF167" i="24" s="1"/>
  <c r="EN167" i="24"/>
  <c r="EM167" i="24"/>
  <c r="EP167" i="24" s="1"/>
  <c r="EY114" i="24"/>
  <c r="EB209" i="24"/>
  <c r="EY23" i="24"/>
  <c r="DW174" i="24"/>
  <c r="DY174" i="24" s="1"/>
  <c r="EF174" i="24" s="1"/>
  <c r="EN174" i="24"/>
  <c r="EM174" i="24"/>
  <c r="EP174" i="24" s="1"/>
  <c r="EY201" i="24"/>
  <c r="EB173" i="24"/>
  <c r="DW26" i="24"/>
  <c r="DY26" i="24" s="1"/>
  <c r="EF26" i="24" s="1"/>
  <c r="EN26" i="24"/>
  <c r="EM26" i="24"/>
  <c r="EP26" i="24" s="1"/>
  <c r="DU26" i="24"/>
  <c r="DW84" i="24"/>
  <c r="EN84" i="24"/>
  <c r="EM84" i="24"/>
  <c r="EP84" i="24" s="1"/>
  <c r="DU84" i="24"/>
  <c r="EB84" i="24"/>
  <c r="EY84" i="24"/>
  <c r="FA84" i="24"/>
  <c r="EL84" i="24"/>
  <c r="EY155" i="24"/>
  <c r="EB80" i="24"/>
  <c r="EE199" i="24"/>
  <c r="DW283" i="24"/>
  <c r="DU283" i="24"/>
  <c r="EY129" i="24"/>
  <c r="DW244" i="24"/>
  <c r="DU244" i="24"/>
  <c r="EE39" i="24"/>
  <c r="DW275" i="24"/>
  <c r="DU275" i="24"/>
  <c r="DW145" i="24"/>
  <c r="DY145" i="24" s="1"/>
  <c r="EF145" i="24" s="1"/>
  <c r="EN145" i="24"/>
  <c r="EM145" i="24"/>
  <c r="EP145" i="24" s="1"/>
  <c r="BV106" i="19"/>
  <c r="CB106" i="19" s="1"/>
  <c r="BW106" i="19"/>
  <c r="CC106" i="19" s="1"/>
  <c r="EY216" i="25" l="1"/>
  <c r="EL216" i="25"/>
  <c r="EK216" i="25"/>
  <c r="EN216" i="25" s="1"/>
  <c r="FA216" i="25"/>
  <c r="DY216" i="25"/>
  <c r="EG216" i="25" s="1"/>
  <c r="EX216" i="25" s="1"/>
  <c r="DT216" i="25"/>
  <c r="EJ216" i="25"/>
  <c r="CG212" i="25"/>
  <c r="EE212" i="25"/>
  <c r="EG212" i="25"/>
  <c r="EX212" i="25" s="1"/>
  <c r="EF212" i="25"/>
  <c r="EW212" i="25" s="1"/>
  <c r="CH212" i="25"/>
  <c r="DY190" i="24"/>
  <c r="EF190" i="24" s="1"/>
  <c r="EA243" i="24"/>
  <c r="FL243" i="24" s="1"/>
  <c r="EA96" i="24"/>
  <c r="CG96" i="24" s="1"/>
  <c r="EA242" i="24"/>
  <c r="EH242" i="24" s="1"/>
  <c r="EA285" i="24"/>
  <c r="EC285" i="24" s="1"/>
  <c r="ED285" i="24" s="1"/>
  <c r="FL216" i="24"/>
  <c r="EI216" i="24"/>
  <c r="EX216" i="24" s="1"/>
  <c r="EC216" i="24"/>
  <c r="ED216" i="24" s="1"/>
  <c r="EH216" i="24"/>
  <c r="I5" i="24"/>
  <c r="M5" i="24" s="1"/>
  <c r="U5" i="24" s="1"/>
  <c r="CH285" i="25"/>
  <c r="EF285" i="25"/>
  <c r="EW285" i="25" s="1"/>
  <c r="EG285" i="25"/>
  <c r="EX285" i="25" s="1"/>
  <c r="EE285" i="25"/>
  <c r="CH253" i="25"/>
  <c r="EE253" i="25"/>
  <c r="EF253" i="25"/>
  <c r="EW253" i="25" s="1"/>
  <c r="EG253" i="25"/>
  <c r="EX253" i="25" s="1"/>
  <c r="CG262" i="25"/>
  <c r="EF262" i="25"/>
  <c r="EW262" i="25" s="1"/>
  <c r="EG262" i="25"/>
  <c r="EX262" i="25" s="1"/>
  <c r="EE262" i="25"/>
  <c r="CH303" i="25"/>
  <c r="EF303" i="25"/>
  <c r="EW303" i="25" s="1"/>
  <c r="EG303" i="25"/>
  <c r="EX303" i="25" s="1"/>
  <c r="EE303" i="25"/>
  <c r="CH248" i="25"/>
  <c r="EE248" i="25"/>
  <c r="EF248" i="25"/>
  <c r="EW248" i="25" s="1"/>
  <c r="EG248" i="25"/>
  <c r="EX248" i="25" s="1"/>
  <c r="CG242" i="25"/>
  <c r="EE242" i="25"/>
  <c r="EF242" i="25"/>
  <c r="EW242" i="25" s="1"/>
  <c r="EG242" i="25"/>
  <c r="EX242" i="25" s="1"/>
  <c r="CH237" i="25"/>
  <c r="EF237" i="25"/>
  <c r="EW237" i="25" s="1"/>
  <c r="EG237" i="25"/>
  <c r="EX237" i="25" s="1"/>
  <c r="EE237" i="25"/>
  <c r="CG266" i="25"/>
  <c r="EE266" i="25"/>
  <c r="EF266" i="25"/>
  <c r="EW266" i="25" s="1"/>
  <c r="EG266" i="25"/>
  <c r="EX266" i="25" s="1"/>
  <c r="CH264" i="25"/>
  <c r="EE264" i="25"/>
  <c r="EF264" i="25"/>
  <c r="EW264" i="25" s="1"/>
  <c r="EG264" i="25"/>
  <c r="EX264" i="25" s="1"/>
  <c r="CH235" i="25"/>
  <c r="EF235" i="25"/>
  <c r="EW235" i="25" s="1"/>
  <c r="EG235" i="25"/>
  <c r="EX235" i="25" s="1"/>
  <c r="EE235" i="25"/>
  <c r="CG230" i="25"/>
  <c r="EE230" i="25"/>
  <c r="EF230" i="25"/>
  <c r="EW230" i="25" s="1"/>
  <c r="EG230" i="25"/>
  <c r="EX230" i="25" s="1"/>
  <c r="CH300" i="25"/>
  <c r="EE300" i="25"/>
  <c r="EF300" i="25"/>
  <c r="EW300" i="25" s="1"/>
  <c r="EG300" i="25"/>
  <c r="EX300" i="25" s="1"/>
  <c r="CH312" i="25"/>
  <c r="EG312" i="25"/>
  <c r="EX312" i="25" s="1"/>
  <c r="EE312" i="25"/>
  <c r="EF312" i="25"/>
  <c r="EW312" i="25" s="1"/>
  <c r="CG274" i="25"/>
  <c r="EE274" i="25"/>
  <c r="EG274" i="25"/>
  <c r="EX274" i="25" s="1"/>
  <c r="EF274" i="25"/>
  <c r="EW274" i="25" s="1"/>
  <c r="CG246" i="25"/>
  <c r="EE246" i="25"/>
  <c r="EF246" i="25"/>
  <c r="EW246" i="25" s="1"/>
  <c r="EG246" i="25"/>
  <c r="EX246" i="25" s="1"/>
  <c r="CH281" i="25"/>
  <c r="EE281" i="25"/>
  <c r="EG281" i="25"/>
  <c r="EX281" i="25" s="1"/>
  <c r="EF281" i="25"/>
  <c r="EW281" i="25" s="1"/>
  <c r="CH307" i="25"/>
  <c r="EE307" i="25"/>
  <c r="EF307" i="25"/>
  <c r="EW307" i="25" s="1"/>
  <c r="EG307" i="25"/>
  <c r="EX307" i="25" s="1"/>
  <c r="CH217" i="25"/>
  <c r="EE217" i="25"/>
  <c r="EF217" i="25"/>
  <c r="EW217" i="25" s="1"/>
  <c r="EG217" i="25"/>
  <c r="EX217" i="25" s="1"/>
  <c r="CG302" i="25"/>
  <c r="EE302" i="25"/>
  <c r="EF302" i="25"/>
  <c r="EW302" i="25" s="1"/>
  <c r="EG302" i="25"/>
  <c r="EX302" i="25" s="1"/>
  <c r="CH288" i="25"/>
  <c r="EF288" i="25"/>
  <c r="EW288" i="25" s="1"/>
  <c r="EG288" i="25"/>
  <c r="EX288" i="25" s="1"/>
  <c r="EE288" i="25"/>
  <c r="CG270" i="25"/>
  <c r="EE270" i="25"/>
  <c r="EF270" i="25"/>
  <c r="EW270" i="25" s="1"/>
  <c r="EG270" i="25"/>
  <c r="EX270" i="25" s="1"/>
  <c r="CH272" i="25"/>
  <c r="EF272" i="25"/>
  <c r="EW272" i="25" s="1"/>
  <c r="EG272" i="25"/>
  <c r="EX272" i="25" s="1"/>
  <c r="EE272" i="25"/>
  <c r="CH249" i="25"/>
  <c r="EE249" i="25"/>
  <c r="EF249" i="25"/>
  <c r="EW249" i="25" s="1"/>
  <c r="EG249" i="25"/>
  <c r="EX249" i="25" s="1"/>
  <c r="CG273" i="25"/>
  <c r="EE273" i="25"/>
  <c r="EF273" i="25"/>
  <c r="EW273" i="25" s="1"/>
  <c r="EG273" i="25"/>
  <c r="EX273" i="25" s="1"/>
  <c r="CG258" i="25"/>
  <c r="EE258" i="25"/>
  <c r="EF258" i="25"/>
  <c r="EW258" i="25" s="1"/>
  <c r="EG258" i="25"/>
  <c r="EX258" i="25" s="1"/>
  <c r="CH304" i="25"/>
  <c r="EE304" i="25"/>
  <c r="EF304" i="25"/>
  <c r="EW304" i="25" s="1"/>
  <c r="EG304" i="25"/>
  <c r="EX304" i="25" s="1"/>
  <c r="CH259" i="25"/>
  <c r="EE259" i="25"/>
  <c r="EF259" i="25"/>
  <c r="EW259" i="25" s="1"/>
  <c r="EG259" i="25"/>
  <c r="EX259" i="25" s="1"/>
  <c r="CH231" i="25"/>
  <c r="EG231" i="25"/>
  <c r="EX231" i="25" s="1"/>
  <c r="EE231" i="25"/>
  <c r="EF231" i="25"/>
  <c r="EW231" i="25" s="1"/>
  <c r="CH251" i="25"/>
  <c r="EE251" i="25"/>
  <c r="EF251" i="25"/>
  <c r="EW251" i="25" s="1"/>
  <c r="EG251" i="25"/>
  <c r="EX251" i="25" s="1"/>
  <c r="CG226" i="25"/>
  <c r="EE226" i="25"/>
  <c r="EF226" i="25"/>
  <c r="EW226" i="25" s="1"/>
  <c r="EG226" i="25"/>
  <c r="EX226" i="25" s="1"/>
  <c r="CH308" i="25"/>
  <c r="EE308" i="25"/>
  <c r="EF308" i="25"/>
  <c r="EW308" i="25" s="1"/>
  <c r="EG308" i="25"/>
  <c r="EX308" i="25" s="1"/>
  <c r="CH305" i="25"/>
  <c r="EE305" i="25"/>
  <c r="EF305" i="25"/>
  <c r="EW305" i="25" s="1"/>
  <c r="EG305" i="25"/>
  <c r="EX305" i="25" s="1"/>
  <c r="CH260" i="25"/>
  <c r="EF260" i="25"/>
  <c r="EW260" i="25" s="1"/>
  <c r="EG260" i="25"/>
  <c r="EX260" i="25" s="1"/>
  <c r="EE260" i="25"/>
  <c r="CG268" i="25"/>
  <c r="EG268" i="25"/>
  <c r="EX268" i="25" s="1"/>
  <c r="EE268" i="25"/>
  <c r="EF268" i="25"/>
  <c r="EW268" i="25" s="1"/>
  <c r="CG254" i="25"/>
  <c r="EG254" i="25"/>
  <c r="EX254" i="25" s="1"/>
  <c r="EE254" i="25"/>
  <c r="EF254" i="25"/>
  <c r="EW254" i="25" s="1"/>
  <c r="CH263" i="25"/>
  <c r="EE263" i="25"/>
  <c r="EF263" i="25"/>
  <c r="EW263" i="25" s="1"/>
  <c r="EG263" i="25"/>
  <c r="EX263" i="25" s="1"/>
  <c r="CH236" i="25"/>
  <c r="EE236" i="25"/>
  <c r="EF236" i="25"/>
  <c r="EW236" i="25" s="1"/>
  <c r="EG236" i="25"/>
  <c r="EX236" i="25" s="1"/>
  <c r="CH227" i="25"/>
  <c r="EE227" i="25"/>
  <c r="EF227" i="25"/>
  <c r="EW227" i="25" s="1"/>
  <c r="EG227" i="25"/>
  <c r="EX227" i="25" s="1"/>
  <c r="CG238" i="25"/>
  <c r="EE238" i="25"/>
  <c r="EF238" i="25"/>
  <c r="EW238" i="25" s="1"/>
  <c r="EG238" i="25"/>
  <c r="EX238" i="25" s="1"/>
  <c r="CG298" i="25"/>
  <c r="EG298" i="25"/>
  <c r="EX298" i="25" s="1"/>
  <c r="EE298" i="25"/>
  <c r="EF298" i="25"/>
  <c r="EW298" i="25" s="1"/>
  <c r="CH284" i="25"/>
  <c r="EE284" i="25"/>
  <c r="EG284" i="25"/>
  <c r="EX284" i="25" s="1"/>
  <c r="EF284" i="25"/>
  <c r="EW284" i="25" s="1"/>
  <c r="CH286" i="25"/>
  <c r="EE286" i="25"/>
  <c r="EF286" i="25"/>
  <c r="EW286" i="25" s="1"/>
  <c r="EG286" i="25"/>
  <c r="EX286" i="25" s="1"/>
  <c r="CH297" i="25"/>
  <c r="EE297" i="25"/>
  <c r="EF297" i="25"/>
  <c r="EW297" i="25" s="1"/>
  <c r="EG297" i="25"/>
  <c r="EX297" i="25" s="1"/>
  <c r="CG218" i="25"/>
  <c r="EE218" i="25"/>
  <c r="EF218" i="25"/>
  <c r="EW218" i="25" s="1"/>
  <c r="EG218" i="25"/>
  <c r="EX218" i="25" s="1"/>
  <c r="CH232" i="25"/>
  <c r="EF232" i="25"/>
  <c r="EW232" i="25" s="1"/>
  <c r="EG232" i="25"/>
  <c r="EX232" i="25" s="1"/>
  <c r="EE232" i="25"/>
  <c r="CH295" i="25"/>
  <c r="EE295" i="25"/>
  <c r="EG295" i="25"/>
  <c r="EX295" i="25" s="1"/>
  <c r="EF295" i="25"/>
  <c r="EW295" i="25" s="1"/>
  <c r="CH241" i="25"/>
  <c r="EE241" i="25"/>
  <c r="EF241" i="25"/>
  <c r="EW241" i="25" s="1"/>
  <c r="EG241" i="25"/>
  <c r="EX241" i="25" s="1"/>
  <c r="CH287" i="25"/>
  <c r="EF287" i="25"/>
  <c r="EW287" i="25" s="1"/>
  <c r="EG287" i="25"/>
  <c r="EX287" i="25" s="1"/>
  <c r="EE287" i="25"/>
  <c r="CG313" i="25"/>
  <c r="EE313" i="25"/>
  <c r="EF313" i="25"/>
  <c r="EW313" i="25" s="1"/>
  <c r="EG313" i="25"/>
  <c r="EX313" i="25" s="1"/>
  <c r="CH257" i="25"/>
  <c r="EF257" i="25"/>
  <c r="EW257" i="25" s="1"/>
  <c r="EG257" i="25"/>
  <c r="EX257" i="25" s="1"/>
  <c r="EE257" i="25"/>
  <c r="CH301" i="25"/>
  <c r="EE301" i="25"/>
  <c r="EF301" i="25"/>
  <c r="EW301" i="25" s="1"/>
  <c r="EG301" i="25"/>
  <c r="EX301" i="25" s="1"/>
  <c r="CH311" i="25"/>
  <c r="EE311" i="25"/>
  <c r="EF311" i="25"/>
  <c r="EW311" i="25" s="1"/>
  <c r="EG311" i="25"/>
  <c r="EX311" i="25" s="1"/>
  <c r="CH279" i="25"/>
  <c r="EE279" i="25"/>
  <c r="EG279" i="25"/>
  <c r="EX279" i="25" s="1"/>
  <c r="EF279" i="25"/>
  <c r="EW279" i="25" s="1"/>
  <c r="CG229" i="25"/>
  <c r="EE229" i="25"/>
  <c r="EF229" i="25"/>
  <c r="EW229" i="25" s="1"/>
  <c r="EG229" i="25"/>
  <c r="EX229" i="25" s="1"/>
  <c r="CH283" i="25"/>
  <c r="EE283" i="25"/>
  <c r="EF283" i="25"/>
  <c r="EW283" i="25" s="1"/>
  <c r="EG283" i="25"/>
  <c r="EX283" i="25" s="1"/>
  <c r="CG240" i="25"/>
  <c r="EE240" i="25"/>
  <c r="EF240" i="25"/>
  <c r="EW240" i="25" s="1"/>
  <c r="EG240" i="25"/>
  <c r="EX240" i="25" s="1"/>
  <c r="CH265" i="25"/>
  <c r="EF265" i="25"/>
  <c r="EW265" i="25" s="1"/>
  <c r="EG265" i="25"/>
  <c r="EX265" i="25" s="1"/>
  <c r="EE265" i="25"/>
  <c r="CG222" i="25"/>
  <c r="EE222" i="25"/>
  <c r="EF222" i="25"/>
  <c r="EW222" i="25" s="1"/>
  <c r="EG222" i="25"/>
  <c r="EX222" i="25" s="1"/>
  <c r="CH292" i="25"/>
  <c r="EE292" i="25"/>
  <c r="EF292" i="25"/>
  <c r="EW292" i="25" s="1"/>
  <c r="EG292" i="25"/>
  <c r="EX292" i="25" s="1"/>
  <c r="CH243" i="25"/>
  <c r="EF243" i="25"/>
  <c r="EW243" i="25" s="1"/>
  <c r="EG243" i="25"/>
  <c r="EX243" i="25" s="1"/>
  <c r="EE243" i="25"/>
  <c r="CH291" i="25"/>
  <c r="EE291" i="25"/>
  <c r="EF291" i="25"/>
  <c r="EW291" i="25" s="1"/>
  <c r="EG291" i="25"/>
  <c r="EX291" i="25" s="1"/>
  <c r="CH271" i="25"/>
  <c r="EE271" i="25"/>
  <c r="EG271" i="25"/>
  <c r="EX271" i="25" s="1"/>
  <c r="EF271" i="25"/>
  <c r="EW271" i="25" s="1"/>
  <c r="CH276" i="25"/>
  <c r="EE276" i="25"/>
  <c r="EF276" i="25"/>
  <c r="EW276" i="25" s="1"/>
  <c r="EG276" i="25"/>
  <c r="EX276" i="25" s="1"/>
  <c r="CH316" i="25"/>
  <c r="EE316" i="25"/>
  <c r="EF316" i="25"/>
  <c r="EW316" i="25" s="1"/>
  <c r="EG316" i="25"/>
  <c r="EX316" i="25" s="1"/>
  <c r="CH233" i="25"/>
  <c r="EE233" i="25"/>
  <c r="EF233" i="25"/>
  <c r="EW233" i="25" s="1"/>
  <c r="EG233" i="25"/>
  <c r="EX233" i="25" s="1"/>
  <c r="CG225" i="25"/>
  <c r="EE225" i="25"/>
  <c r="EF225" i="25"/>
  <c r="EW225" i="25" s="1"/>
  <c r="EG225" i="25"/>
  <c r="EX225" i="25" s="1"/>
  <c r="CH221" i="25"/>
  <c r="EG221" i="25"/>
  <c r="EX221" i="25" s="1"/>
  <c r="EE221" i="25"/>
  <c r="EF221" i="25"/>
  <c r="EW221" i="25" s="1"/>
  <c r="CG294" i="25"/>
  <c r="EE294" i="25"/>
  <c r="EF294" i="25"/>
  <c r="EW294" i="25" s="1"/>
  <c r="EG294" i="25"/>
  <c r="EX294" i="25" s="1"/>
  <c r="CH247" i="25"/>
  <c r="EE247" i="25"/>
  <c r="EF247" i="25"/>
  <c r="EW247" i="25" s="1"/>
  <c r="EG247" i="25"/>
  <c r="EX247" i="25" s="1"/>
  <c r="CH315" i="25"/>
  <c r="EE315" i="25"/>
  <c r="EF315" i="25"/>
  <c r="EW315" i="25" s="1"/>
  <c r="EG315" i="25"/>
  <c r="EX315" i="25" s="1"/>
  <c r="CH289" i="25"/>
  <c r="EE289" i="25"/>
  <c r="EF289" i="25"/>
  <c r="EW289" i="25" s="1"/>
  <c r="EG289" i="25"/>
  <c r="EX289" i="25" s="1"/>
  <c r="CH277" i="25"/>
  <c r="EF277" i="25"/>
  <c r="EW277" i="25" s="1"/>
  <c r="EG277" i="25"/>
  <c r="EX277" i="25" s="1"/>
  <c r="EE277" i="25"/>
  <c r="CH261" i="25"/>
  <c r="EE261" i="25"/>
  <c r="EF261" i="25"/>
  <c r="EW261" i="25" s="1"/>
  <c r="EG261" i="25"/>
  <c r="EX261" i="25" s="1"/>
  <c r="CG252" i="25"/>
  <c r="EE252" i="25"/>
  <c r="EF252" i="25"/>
  <c r="EW252" i="25" s="1"/>
  <c r="EG252" i="25"/>
  <c r="EX252" i="25" s="1"/>
  <c r="CG267" i="25"/>
  <c r="EE267" i="25"/>
  <c r="EF267" i="25"/>
  <c r="EW267" i="25" s="1"/>
  <c r="EG267" i="25"/>
  <c r="EX267" i="25" s="1"/>
  <c r="CH293" i="25"/>
  <c r="EG293" i="25"/>
  <c r="EX293" i="25" s="1"/>
  <c r="EE293" i="25"/>
  <c r="EF293" i="25"/>
  <c r="EW293" i="25" s="1"/>
  <c r="CH219" i="25"/>
  <c r="EE219" i="25"/>
  <c r="EF219" i="25"/>
  <c r="EW219" i="25" s="1"/>
  <c r="EG219" i="25"/>
  <c r="EX219" i="25" s="1"/>
  <c r="CH280" i="25"/>
  <c r="EE280" i="25"/>
  <c r="EF280" i="25"/>
  <c r="EW280" i="25" s="1"/>
  <c r="EG280" i="25"/>
  <c r="EX280" i="25" s="1"/>
  <c r="CH228" i="25"/>
  <c r="EE228" i="25"/>
  <c r="EF228" i="25"/>
  <c r="EW228" i="25" s="1"/>
  <c r="EG228" i="25"/>
  <c r="EX228" i="25" s="1"/>
  <c r="CG275" i="25"/>
  <c r="EG275" i="25"/>
  <c r="EX275" i="25" s="1"/>
  <c r="EE275" i="25"/>
  <c r="EF275" i="25"/>
  <c r="EW275" i="25" s="1"/>
  <c r="CH299" i="25"/>
  <c r="EE299" i="25"/>
  <c r="EF299" i="25"/>
  <c r="EW299" i="25" s="1"/>
  <c r="EG299" i="25"/>
  <c r="EX299" i="25" s="1"/>
  <c r="CH296" i="25"/>
  <c r="EF296" i="25"/>
  <c r="EW296" i="25" s="1"/>
  <c r="EG296" i="25"/>
  <c r="EX296" i="25" s="1"/>
  <c r="EE296" i="25"/>
  <c r="CH256" i="25"/>
  <c r="EE256" i="25"/>
  <c r="EF256" i="25"/>
  <c r="EW256" i="25" s="1"/>
  <c r="EG256" i="25"/>
  <c r="EX256" i="25" s="1"/>
  <c r="CG290" i="25"/>
  <c r="EG290" i="25"/>
  <c r="EX290" i="25" s="1"/>
  <c r="EE290" i="25"/>
  <c r="EF290" i="25"/>
  <c r="EW290" i="25" s="1"/>
  <c r="CG234" i="25"/>
  <c r="EE234" i="25"/>
  <c r="EF234" i="25"/>
  <c r="EW234" i="25" s="1"/>
  <c r="EG234" i="25"/>
  <c r="EX234" i="25" s="1"/>
  <c r="CH239" i="25"/>
  <c r="EE239" i="25"/>
  <c r="EF239" i="25"/>
  <c r="EW239" i="25" s="1"/>
  <c r="EG239" i="25"/>
  <c r="EX239" i="25" s="1"/>
  <c r="CH224" i="25"/>
  <c r="EG224" i="25"/>
  <c r="EX224" i="25" s="1"/>
  <c r="EE224" i="25"/>
  <c r="EF224" i="25"/>
  <c r="EW224" i="25" s="1"/>
  <c r="CH223" i="25"/>
  <c r="EE223" i="25"/>
  <c r="EF223" i="25"/>
  <c r="EW223" i="25" s="1"/>
  <c r="EG223" i="25"/>
  <c r="EX223" i="25" s="1"/>
  <c r="CH220" i="25"/>
  <c r="EE220" i="25"/>
  <c r="EF220" i="25"/>
  <c r="EW220" i="25" s="1"/>
  <c r="EG220" i="25"/>
  <c r="EX220" i="25" s="1"/>
  <c r="CG278" i="25"/>
  <c r="EE278" i="25"/>
  <c r="EF278" i="25"/>
  <c r="EW278" i="25" s="1"/>
  <c r="EG278" i="25"/>
  <c r="EX278" i="25" s="1"/>
  <c r="CH269" i="25"/>
  <c r="EE269" i="25"/>
  <c r="EF269" i="25"/>
  <c r="EW269" i="25" s="1"/>
  <c r="EG269" i="25"/>
  <c r="EX269" i="25" s="1"/>
  <c r="CH282" i="25"/>
  <c r="EE282" i="25"/>
  <c r="EF282" i="25"/>
  <c r="EW282" i="25" s="1"/>
  <c r="EG282" i="25"/>
  <c r="EX282" i="25" s="1"/>
  <c r="CG314" i="25"/>
  <c r="EE314" i="25"/>
  <c r="EF314" i="25"/>
  <c r="EW314" i="25" s="1"/>
  <c r="EG314" i="25"/>
  <c r="EX314" i="25" s="1"/>
  <c r="CH255" i="25"/>
  <c r="EE255" i="25"/>
  <c r="EF255" i="25"/>
  <c r="EW255" i="25" s="1"/>
  <c r="EG255" i="25"/>
  <c r="EX255" i="25" s="1"/>
  <c r="CH309" i="25"/>
  <c r="EF309" i="25"/>
  <c r="EW309" i="25" s="1"/>
  <c r="EG309" i="25"/>
  <c r="EX309" i="25" s="1"/>
  <c r="EE309" i="25"/>
  <c r="CG310" i="25"/>
  <c r="EE310" i="25"/>
  <c r="EF310" i="25"/>
  <c r="EW310" i="25" s="1"/>
  <c r="EG310" i="25"/>
  <c r="EX310" i="25" s="1"/>
  <c r="CG306" i="25"/>
  <c r="EF306" i="25"/>
  <c r="EW306" i="25" s="1"/>
  <c r="EG306" i="25"/>
  <c r="EX306" i="25" s="1"/>
  <c r="EE306" i="25"/>
  <c r="CG250" i="25"/>
  <c r="EE250" i="25"/>
  <c r="EF250" i="25"/>
  <c r="EW250" i="25" s="1"/>
  <c r="EG250" i="25"/>
  <c r="EX250" i="25" s="1"/>
  <c r="CH245" i="25"/>
  <c r="EG245" i="25"/>
  <c r="EX245" i="25" s="1"/>
  <c r="EE245" i="25"/>
  <c r="EF245" i="25"/>
  <c r="EW245" i="25" s="1"/>
  <c r="CH244" i="25"/>
  <c r="EE244" i="25"/>
  <c r="EF244" i="25"/>
  <c r="EW244" i="25" s="1"/>
  <c r="EG244" i="25"/>
  <c r="EX244" i="25" s="1"/>
  <c r="EG112" i="25"/>
  <c r="EX112" i="25" s="1"/>
  <c r="EE112" i="25"/>
  <c r="CG112" i="25"/>
  <c r="CH112" i="25"/>
  <c r="EF112" i="25"/>
  <c r="EW112" i="25" s="1"/>
  <c r="CH65" i="25"/>
  <c r="CG136" i="25"/>
  <c r="CH115" i="25"/>
  <c r="CG190" i="25"/>
  <c r="CH82" i="25"/>
  <c r="CH51" i="25"/>
  <c r="CH170" i="25"/>
  <c r="CH194" i="25"/>
  <c r="CH192" i="25"/>
  <c r="CH55" i="25"/>
  <c r="CH198" i="25"/>
  <c r="CH185" i="25"/>
  <c r="CH205" i="25"/>
  <c r="CH70" i="25"/>
  <c r="CH200" i="25"/>
  <c r="CG110" i="25"/>
  <c r="CG207" i="25"/>
  <c r="CG169" i="25"/>
  <c r="CH131" i="25"/>
  <c r="CH174" i="25"/>
  <c r="CH147" i="25"/>
  <c r="CH158" i="25"/>
  <c r="CH114" i="25"/>
  <c r="CH171" i="25"/>
  <c r="CH187" i="25"/>
  <c r="CH79" i="25"/>
  <c r="CH122" i="25"/>
  <c r="CH64" i="25"/>
  <c r="CH155" i="25"/>
  <c r="CH148" i="25"/>
  <c r="CG159" i="25"/>
  <c r="CH156" i="25"/>
  <c r="CH119" i="25"/>
  <c r="CG160" i="25"/>
  <c r="CH24" i="25"/>
  <c r="CG204" i="25"/>
  <c r="CG179" i="25"/>
  <c r="CH83" i="25"/>
  <c r="CG203" i="25"/>
  <c r="CH130" i="25"/>
  <c r="CG172" i="25"/>
  <c r="CH6" i="25"/>
  <c r="CG145" i="25"/>
  <c r="CG133" i="25"/>
  <c r="CG120" i="25"/>
  <c r="CH19" i="25"/>
  <c r="CH184" i="25"/>
  <c r="CH48" i="25"/>
  <c r="CG121" i="25"/>
  <c r="CG208" i="25"/>
  <c r="CH99" i="25"/>
  <c r="CH53" i="25"/>
  <c r="CG168" i="25"/>
  <c r="CH15" i="25"/>
  <c r="CG132" i="25"/>
  <c r="CH29" i="25"/>
  <c r="CH35" i="25"/>
  <c r="CG152" i="25"/>
  <c r="CG161" i="25"/>
  <c r="CH96" i="25"/>
  <c r="CG124" i="25"/>
  <c r="CH21" i="25"/>
  <c r="CH32" i="25"/>
  <c r="CH54" i="25"/>
  <c r="CH87" i="25"/>
  <c r="CH18" i="25"/>
  <c r="CH28" i="25"/>
  <c r="CH63" i="25"/>
  <c r="CH26" i="25"/>
  <c r="CH38" i="25"/>
  <c r="CH41" i="25"/>
  <c r="CH36" i="25"/>
  <c r="CH44" i="25"/>
  <c r="CG173" i="25"/>
  <c r="CG196" i="25"/>
  <c r="CG116" i="25"/>
  <c r="CH14" i="25"/>
  <c r="CH17" i="25"/>
  <c r="CH76" i="25"/>
  <c r="CH84" i="25"/>
  <c r="CG202" i="25"/>
  <c r="CH127" i="25"/>
  <c r="CG206" i="25"/>
  <c r="CH69" i="25"/>
  <c r="CH42" i="25"/>
  <c r="CG134" i="25"/>
  <c r="CH43" i="25"/>
  <c r="CG153" i="25"/>
  <c r="CH62" i="25"/>
  <c r="CH12" i="25"/>
  <c r="CG201" i="25"/>
  <c r="CG139" i="25"/>
  <c r="CH61" i="25"/>
  <c r="CH49" i="25"/>
  <c r="CG210" i="25"/>
  <c r="CG167" i="25"/>
  <c r="CH23" i="25"/>
  <c r="CG111" i="25"/>
  <c r="CG123" i="25"/>
  <c r="CH11" i="25"/>
  <c r="CG176" i="25"/>
  <c r="CG195" i="25"/>
  <c r="CH104" i="25"/>
  <c r="CH90" i="25"/>
  <c r="CH173" i="25"/>
  <c r="CH118" i="25"/>
  <c r="CH67" i="25"/>
  <c r="CH57" i="25"/>
  <c r="CG197" i="25"/>
  <c r="CG157" i="25"/>
  <c r="CG151" i="25"/>
  <c r="CH30" i="25"/>
  <c r="CG186" i="25"/>
  <c r="CG166" i="25"/>
  <c r="CG154" i="25"/>
  <c r="CH9" i="25"/>
  <c r="CH16" i="25"/>
  <c r="CG142" i="25"/>
  <c r="CH95" i="25"/>
  <c r="CG135" i="25"/>
  <c r="CG162" i="25"/>
  <c r="CH68" i="25"/>
  <c r="CG141" i="25"/>
  <c r="CG117" i="25"/>
  <c r="CH60" i="25"/>
  <c r="CH39" i="25"/>
  <c r="CG140" i="25"/>
  <c r="CH100" i="25"/>
  <c r="CH80" i="25"/>
  <c r="CG144" i="25"/>
  <c r="CH92" i="25"/>
  <c r="CG188" i="25"/>
  <c r="CG113" i="25"/>
  <c r="CH101" i="25"/>
  <c r="CG165" i="25"/>
  <c r="CH10" i="25"/>
  <c r="CG126" i="25"/>
  <c r="CH93" i="25"/>
  <c r="CG137" i="25"/>
  <c r="CG125" i="25"/>
  <c r="CG191" i="25"/>
  <c r="CG193" i="25"/>
  <c r="CG209" i="25"/>
  <c r="CH85" i="25"/>
  <c r="CH94" i="25"/>
  <c r="CG146" i="25"/>
  <c r="CH46" i="25"/>
  <c r="CG149" i="25"/>
  <c r="CG150" i="25"/>
  <c r="CG129" i="25"/>
  <c r="CG175" i="25"/>
  <c r="CH13" i="25"/>
  <c r="CH75" i="25"/>
  <c r="CH72" i="25"/>
  <c r="EA78" i="24"/>
  <c r="FL78" i="24" s="1"/>
  <c r="CH183" i="25"/>
  <c r="CG183" i="25"/>
  <c r="CH102" i="25"/>
  <c r="CH27" i="25"/>
  <c r="CG128" i="25"/>
  <c r="CH20" i="25"/>
  <c r="CH105" i="25"/>
  <c r="CG189" i="25"/>
  <c r="CG163" i="25"/>
  <c r="CH78" i="25"/>
  <c r="CH137" i="25"/>
  <c r="CH59" i="25"/>
  <c r="CH22" i="25"/>
  <c r="CG180" i="25"/>
  <c r="CG199" i="25"/>
  <c r="CH66" i="25"/>
  <c r="CG177" i="25"/>
  <c r="CG164" i="25"/>
  <c r="CH34" i="25"/>
  <c r="CH86" i="25"/>
  <c r="CG178" i="25"/>
  <c r="CH98" i="25"/>
  <c r="CH50" i="25"/>
  <c r="CH7" i="25"/>
  <c r="CH8" i="25"/>
  <c r="CH74" i="25"/>
  <c r="CH128" i="25"/>
  <c r="CG171" i="25"/>
  <c r="CH97" i="25"/>
  <c r="CH71" i="25"/>
  <c r="CH199" i="25"/>
  <c r="CH33" i="25"/>
  <c r="CH88" i="25"/>
  <c r="CH45" i="25"/>
  <c r="CH164" i="25"/>
  <c r="CH40" i="25"/>
  <c r="CH52" i="25"/>
  <c r="CH91" i="25"/>
  <c r="CH31" i="25"/>
  <c r="CG103" i="25"/>
  <c r="CG86" i="25"/>
  <c r="I110" i="24"/>
  <c r="M110" i="24" s="1"/>
  <c r="CG6" i="25"/>
  <c r="CG39" i="25"/>
  <c r="CG49" i="25"/>
  <c r="CG78" i="25"/>
  <c r="CG24" i="25"/>
  <c r="CG63" i="25"/>
  <c r="CG42" i="25"/>
  <c r="CG38" i="25"/>
  <c r="CG14" i="25"/>
  <c r="CG41" i="25"/>
  <c r="CG10" i="25"/>
  <c r="CG96" i="25"/>
  <c r="EF58" i="25"/>
  <c r="EW58" i="25" s="1"/>
  <c r="FL58" i="25"/>
  <c r="CG101" i="25"/>
  <c r="CG61" i="25"/>
  <c r="CG66" i="25"/>
  <c r="CG44" i="25"/>
  <c r="CG98" i="25"/>
  <c r="CG84" i="25"/>
  <c r="CG45" i="25"/>
  <c r="EF81" i="25"/>
  <c r="EW81" i="25" s="1"/>
  <c r="FL81" i="25"/>
  <c r="EG56" i="25"/>
  <c r="EX56" i="25" s="1"/>
  <c r="FL56" i="25"/>
  <c r="CG17" i="25"/>
  <c r="EF77" i="25"/>
  <c r="EW77" i="25" s="1"/>
  <c r="FL77" i="25"/>
  <c r="EE89" i="25"/>
  <c r="EV89" i="25" s="1"/>
  <c r="FL89" i="25"/>
  <c r="EE103" i="25"/>
  <c r="EV103" i="25" s="1"/>
  <c r="FL103" i="25"/>
  <c r="CG102" i="25"/>
  <c r="CG9" i="25"/>
  <c r="CG105" i="25"/>
  <c r="CG65" i="25"/>
  <c r="CG87" i="25"/>
  <c r="CG95" i="25"/>
  <c r="CG23" i="25"/>
  <c r="CG88" i="25"/>
  <c r="CG55" i="25"/>
  <c r="CG90" i="25"/>
  <c r="CG15" i="25"/>
  <c r="CG82" i="25"/>
  <c r="CG57" i="25"/>
  <c r="CG73" i="25"/>
  <c r="CG8" i="25"/>
  <c r="CG104" i="25"/>
  <c r="CG31" i="25"/>
  <c r="CG21" i="25"/>
  <c r="CG99" i="25"/>
  <c r="CG36" i="25"/>
  <c r="CG59" i="25"/>
  <c r="CG11" i="25"/>
  <c r="CG53" i="25"/>
  <c r="CG29" i="25"/>
  <c r="CG35" i="25"/>
  <c r="CG13" i="25"/>
  <c r="CG51" i="25"/>
  <c r="CG70" i="25"/>
  <c r="CG81" i="25"/>
  <c r="CG25" i="25"/>
  <c r="CG62" i="25"/>
  <c r="CG22" i="25"/>
  <c r="CG97" i="25"/>
  <c r="CG30" i="25"/>
  <c r="CG26" i="25"/>
  <c r="CG79" i="25"/>
  <c r="CG56" i="25"/>
  <c r="CG80" i="25"/>
  <c r="CG50" i="25"/>
  <c r="CG72" i="25"/>
  <c r="CG74" i="25"/>
  <c r="EG47" i="25"/>
  <c r="EX47" i="25" s="1"/>
  <c r="FL47" i="25"/>
  <c r="EG37" i="25"/>
  <c r="EX37" i="25" s="1"/>
  <c r="FL37" i="25"/>
  <c r="CG69" i="25"/>
  <c r="CG19" i="25"/>
  <c r="CG12" i="25"/>
  <c r="CG37" i="25"/>
  <c r="CG68" i="25"/>
  <c r="CG28" i="25"/>
  <c r="CG34" i="25"/>
  <c r="CG60" i="25"/>
  <c r="CG93" i="25"/>
  <c r="CG100" i="25"/>
  <c r="CG76" i="25"/>
  <c r="CG77" i="25"/>
  <c r="EF25" i="25"/>
  <c r="EW25" i="25" s="1"/>
  <c r="FL25" i="25"/>
  <c r="CG32" i="25"/>
  <c r="CG16" i="25"/>
  <c r="CG94" i="25"/>
  <c r="CG58" i="25"/>
  <c r="CG18" i="25"/>
  <c r="CG71" i="25"/>
  <c r="CG48" i="25"/>
  <c r="CG40" i="25"/>
  <c r="CG46" i="25"/>
  <c r="CG89" i="25"/>
  <c r="CG47" i="25"/>
  <c r="CG64" i="25"/>
  <c r="CG7" i="25"/>
  <c r="CG54" i="25"/>
  <c r="EF33" i="25"/>
  <c r="EW33" i="25" s="1"/>
  <c r="FL33" i="25"/>
  <c r="EF73" i="25"/>
  <c r="EW73" i="25" s="1"/>
  <c r="FL73" i="25"/>
  <c r="CG27" i="25"/>
  <c r="CG20" i="25"/>
  <c r="CG43" i="25"/>
  <c r="CG92" i="25"/>
  <c r="CG85" i="25"/>
  <c r="CG67" i="25"/>
  <c r="CG83" i="25"/>
  <c r="CG52" i="25"/>
  <c r="CG91" i="25"/>
  <c r="CG75" i="25"/>
  <c r="EF47" i="25"/>
  <c r="EW47" i="25" s="1"/>
  <c r="EA92" i="24"/>
  <c r="FL92" i="24" s="1"/>
  <c r="EA74" i="24"/>
  <c r="FL74" i="24" s="1"/>
  <c r="EA60" i="24"/>
  <c r="EC60" i="24" s="1"/>
  <c r="ED60" i="24" s="1"/>
  <c r="EE64" i="25"/>
  <c r="EV64" i="25" s="1"/>
  <c r="EA39" i="24"/>
  <c r="CG190" i="24"/>
  <c r="EA169" i="24"/>
  <c r="EA44" i="24"/>
  <c r="EE164" i="25"/>
  <c r="EI164" i="25" s="1"/>
  <c r="EG103" i="25"/>
  <c r="EX103" i="25" s="1"/>
  <c r="EF103" i="25"/>
  <c r="EW103" i="25" s="1"/>
  <c r="EF64" i="25"/>
  <c r="EW64" i="25" s="1"/>
  <c r="EG64" i="25"/>
  <c r="EX64" i="25" s="1"/>
  <c r="EF96" i="25"/>
  <c r="EW96" i="25" s="1"/>
  <c r="EG96" i="25"/>
  <c r="EX96" i="25" s="1"/>
  <c r="EG89" i="25"/>
  <c r="EX89" i="25" s="1"/>
  <c r="EE96" i="25"/>
  <c r="EV96" i="25" s="1"/>
  <c r="EF89" i="25"/>
  <c r="EW89" i="25" s="1"/>
  <c r="EF128" i="25"/>
  <c r="EW128" i="25" s="1"/>
  <c r="EE128" i="25"/>
  <c r="EV128" i="25" s="1"/>
  <c r="EE77" i="25"/>
  <c r="EV77" i="25" s="1"/>
  <c r="EA127" i="24"/>
  <c r="FL127" i="24" s="1"/>
  <c r="EG183" i="25"/>
  <c r="EX183" i="25" s="1"/>
  <c r="EE183" i="25"/>
  <c r="EV183" i="25" s="1"/>
  <c r="EF183" i="25"/>
  <c r="EW183" i="25" s="1"/>
  <c r="EF95" i="25"/>
  <c r="EW95" i="25" s="1"/>
  <c r="EE185" i="25"/>
  <c r="EI185" i="25" s="1"/>
  <c r="EF185" i="25"/>
  <c r="EW185" i="25" s="1"/>
  <c r="EG97" i="25"/>
  <c r="EX97" i="25" s="1"/>
  <c r="EG158" i="25"/>
  <c r="EX158" i="25" s="1"/>
  <c r="EG145" i="25"/>
  <c r="EX145" i="25" s="1"/>
  <c r="EF158" i="25"/>
  <c r="EW158" i="25" s="1"/>
  <c r="EE145" i="25"/>
  <c r="EI145" i="25" s="1"/>
  <c r="EE158" i="25"/>
  <c r="EV158" i="25" s="1"/>
  <c r="EF145" i="25"/>
  <c r="EW145" i="25" s="1"/>
  <c r="EE136" i="25"/>
  <c r="EI136" i="25" s="1"/>
  <c r="EF99" i="25"/>
  <c r="EW99" i="25" s="1"/>
  <c r="EG136" i="25"/>
  <c r="EX136" i="25" s="1"/>
  <c r="EG99" i="25"/>
  <c r="EX99" i="25" s="1"/>
  <c r="EF136" i="25"/>
  <c r="EW136" i="25" s="1"/>
  <c r="EE99" i="25"/>
  <c r="EV99" i="25" s="1"/>
  <c r="EE97" i="25"/>
  <c r="EV97" i="25" s="1"/>
  <c r="EF97" i="25"/>
  <c r="EW97" i="25" s="1"/>
  <c r="EG95" i="25"/>
  <c r="EX95" i="25" s="1"/>
  <c r="EE131" i="25"/>
  <c r="EV131" i="25" s="1"/>
  <c r="EF74" i="25"/>
  <c r="EW74" i="25" s="1"/>
  <c r="EF83" i="25"/>
  <c r="EW83" i="25" s="1"/>
  <c r="EF93" i="25"/>
  <c r="EW93" i="25" s="1"/>
  <c r="EA126" i="24"/>
  <c r="EE95" i="25"/>
  <c r="EV95" i="25" s="1"/>
  <c r="EG185" i="25"/>
  <c r="EX185" i="25" s="1"/>
  <c r="EE17" i="25"/>
  <c r="EI17" i="25" s="1"/>
  <c r="EO17" i="25" s="1"/>
  <c r="EF17" i="25"/>
  <c r="EW17" i="25" s="1"/>
  <c r="EG17" i="25"/>
  <c r="EX17" i="25" s="1"/>
  <c r="EG74" i="25"/>
  <c r="EX74" i="25" s="1"/>
  <c r="EF131" i="25"/>
  <c r="EW131" i="25" s="1"/>
  <c r="EE74" i="25"/>
  <c r="EV74" i="25" s="1"/>
  <c r="EG131" i="25"/>
  <c r="EX131" i="25" s="1"/>
  <c r="EA37" i="24"/>
  <c r="EA52" i="24"/>
  <c r="EA172" i="24"/>
  <c r="FL172" i="24" s="1"/>
  <c r="EG33" i="25"/>
  <c r="EX33" i="25" s="1"/>
  <c r="EF90" i="25"/>
  <c r="EW90" i="25" s="1"/>
  <c r="EE33" i="25"/>
  <c r="EV33" i="25" s="1"/>
  <c r="EG90" i="25"/>
  <c r="EX90" i="25" s="1"/>
  <c r="EE90" i="25"/>
  <c r="EI90" i="25" s="1"/>
  <c r="EO90" i="25" s="1"/>
  <c r="CG216" i="24"/>
  <c r="EG93" i="25"/>
  <c r="EX93" i="25" s="1"/>
  <c r="EE93" i="25"/>
  <c r="EV93" i="25" s="1"/>
  <c r="EA90" i="24"/>
  <c r="EG73" i="25"/>
  <c r="EX73" i="25" s="1"/>
  <c r="EE73" i="25"/>
  <c r="EV73" i="25" s="1"/>
  <c r="EG58" i="25"/>
  <c r="EX58" i="25" s="1"/>
  <c r="EE58" i="25"/>
  <c r="EV58" i="25" s="1"/>
  <c r="CH275" i="25"/>
  <c r="CG287" i="25"/>
  <c r="CH313" i="25"/>
  <c r="CH267" i="25"/>
  <c r="CG231" i="25"/>
  <c r="CG236" i="25"/>
  <c r="CH229" i="25"/>
  <c r="CH240" i="25"/>
  <c r="CH225" i="25"/>
  <c r="CH252" i="25"/>
  <c r="CG286" i="25"/>
  <c r="CH268" i="25"/>
  <c r="CG282" i="25"/>
  <c r="CH273" i="25"/>
  <c r="CG316" i="25"/>
  <c r="CH254" i="25"/>
  <c r="CH274" i="25"/>
  <c r="CG277" i="25"/>
  <c r="CH266" i="25"/>
  <c r="CG279" i="25"/>
  <c r="CG260" i="25"/>
  <c r="CG299" i="25"/>
  <c r="CG251" i="25"/>
  <c r="CG244" i="25"/>
  <c r="CG300" i="25"/>
  <c r="CG220" i="25"/>
  <c r="CG249" i="25"/>
  <c r="CG237" i="25"/>
  <c r="CH270" i="25"/>
  <c r="CG296" i="25"/>
  <c r="CG276" i="25"/>
  <c r="CG297" i="25"/>
  <c r="CG311" i="25"/>
  <c r="CH314" i="25"/>
  <c r="CG293" i="25"/>
  <c r="CG255" i="25"/>
  <c r="CG241" i="25"/>
  <c r="CG221" i="25"/>
  <c r="CH298" i="25"/>
  <c r="CG281" i="25"/>
  <c r="CG217" i="25"/>
  <c r="CG239" i="25"/>
  <c r="CH250" i="25"/>
  <c r="CG308" i="25"/>
  <c r="CG263" i="25"/>
  <c r="CH242" i="25"/>
  <c r="CG256" i="25"/>
  <c r="CG285" i="25"/>
  <c r="CH290" i="25"/>
  <c r="CH278" i="25"/>
  <c r="CG284" i="25"/>
  <c r="CG264" i="25"/>
  <c r="CH310" i="25"/>
  <c r="CG272" i="25"/>
  <c r="CG269" i="25"/>
  <c r="CG291" i="25"/>
  <c r="CH306" i="25"/>
  <c r="CG235" i="25"/>
  <c r="CH302" i="25"/>
  <c r="CG243" i="25"/>
  <c r="CG303" i="25"/>
  <c r="CH230" i="25"/>
  <c r="CH294" i="25"/>
  <c r="CG305" i="25"/>
  <c r="CG219" i="25"/>
  <c r="CG280" i="25"/>
  <c r="CG259" i="25"/>
  <c r="CH226" i="25"/>
  <c r="CH238" i="25"/>
  <c r="CG301" i="25"/>
  <c r="CH218" i="25"/>
  <c r="CG312" i="25"/>
  <c r="CG292" i="25"/>
  <c r="CG309" i="25"/>
  <c r="CG253" i="25"/>
  <c r="CG228" i="25"/>
  <c r="CG247" i="25"/>
  <c r="CG304" i="25"/>
  <c r="CG289" i="25"/>
  <c r="CG295" i="25"/>
  <c r="CG288" i="25"/>
  <c r="CH258" i="25"/>
  <c r="CG257" i="25"/>
  <c r="CG265" i="25"/>
  <c r="CH222" i="25"/>
  <c r="CG307" i="25"/>
  <c r="CG233" i="25"/>
  <c r="CG283" i="25"/>
  <c r="CH246" i="25"/>
  <c r="CG232" i="25"/>
  <c r="CH262" i="25"/>
  <c r="CH234" i="25"/>
  <c r="CG227" i="25"/>
  <c r="CG315" i="25"/>
  <c r="CG224" i="25"/>
  <c r="CG223" i="25"/>
  <c r="CG245" i="25"/>
  <c r="CG248" i="25"/>
  <c r="CG261" i="25"/>
  <c r="CG271" i="25"/>
  <c r="EA63" i="24"/>
  <c r="EA133" i="24"/>
  <c r="EF56" i="25"/>
  <c r="EW56" i="25" s="1"/>
  <c r="EE56" i="25"/>
  <c r="EI56" i="25" s="1"/>
  <c r="EO56" i="25" s="1"/>
  <c r="EE37" i="25"/>
  <c r="EV37" i="25" s="1"/>
  <c r="EF37" i="25"/>
  <c r="EW37" i="25" s="1"/>
  <c r="EF171" i="25"/>
  <c r="EW171" i="25" s="1"/>
  <c r="EV182" i="25"/>
  <c r="FB182" i="25" s="1"/>
  <c r="EG77" i="25"/>
  <c r="EX77" i="25" s="1"/>
  <c r="EF164" i="25"/>
  <c r="EW164" i="25" s="1"/>
  <c r="EG199" i="25"/>
  <c r="EX199" i="25" s="1"/>
  <c r="EE199" i="25"/>
  <c r="EV199" i="25" s="1"/>
  <c r="EE25" i="25"/>
  <c r="EV25" i="25" s="1"/>
  <c r="EK110" i="24"/>
  <c r="EW110" i="24"/>
  <c r="FB110" i="24" s="1"/>
  <c r="EK5" i="24"/>
  <c r="EQ5" i="24" s="1"/>
  <c r="EW5" i="24"/>
  <c r="EZ5" i="24" s="1"/>
  <c r="FB5" i="24" s="1"/>
  <c r="EF194" i="25"/>
  <c r="EW194" i="25" s="1"/>
  <c r="EG23" i="25"/>
  <c r="EX23" i="25" s="1"/>
  <c r="EG87" i="25"/>
  <c r="EX87" i="25" s="1"/>
  <c r="EE34" i="25"/>
  <c r="EV34" i="25" s="1"/>
  <c r="EE47" i="25"/>
  <c r="EV47" i="25" s="1"/>
  <c r="EE42" i="25"/>
  <c r="EI42" i="25" s="1"/>
  <c r="EO42" i="25" s="1"/>
  <c r="EE83" i="25"/>
  <c r="EV83" i="25" s="1"/>
  <c r="EE129" i="25"/>
  <c r="EV129" i="25" s="1"/>
  <c r="EA71" i="24"/>
  <c r="EE156" i="25"/>
  <c r="EI156" i="25" s="1"/>
  <c r="EG156" i="25"/>
  <c r="EX156" i="25" s="1"/>
  <c r="EA55" i="24"/>
  <c r="EG178" i="25"/>
  <c r="EX178" i="25" s="1"/>
  <c r="EA186" i="24"/>
  <c r="EG83" i="25"/>
  <c r="EX83" i="25" s="1"/>
  <c r="EG137" i="25"/>
  <c r="EX137" i="25" s="1"/>
  <c r="EE137" i="25"/>
  <c r="EV137" i="25" s="1"/>
  <c r="EA142" i="24"/>
  <c r="EE141" i="25"/>
  <c r="EV141" i="25" s="1"/>
  <c r="EE81" i="25"/>
  <c r="EV81" i="25" s="1"/>
  <c r="EF156" i="25"/>
  <c r="EW156" i="25" s="1"/>
  <c r="EG81" i="25"/>
  <c r="EX81" i="25" s="1"/>
  <c r="EG194" i="25"/>
  <c r="EX194" i="25" s="1"/>
  <c r="EG141" i="25"/>
  <c r="EX141" i="25" s="1"/>
  <c r="EA199" i="24"/>
  <c r="EA136" i="24"/>
  <c r="EF141" i="25"/>
  <c r="EW141" i="25" s="1"/>
  <c r="EE194" i="25"/>
  <c r="EI194" i="25" s="1"/>
  <c r="EG42" i="25"/>
  <c r="EX42" i="25" s="1"/>
  <c r="EE173" i="25"/>
  <c r="EV173" i="25" s="1"/>
  <c r="EF173" i="25"/>
  <c r="EW173" i="25" s="1"/>
  <c r="EF42" i="25"/>
  <c r="EW42" i="25" s="1"/>
  <c r="EE171" i="25"/>
  <c r="EI171" i="25" s="1"/>
  <c r="EF178" i="25"/>
  <c r="EW178" i="25" s="1"/>
  <c r="EA111" i="24"/>
  <c r="EA48" i="24"/>
  <c r="EA67" i="24"/>
  <c r="EA160" i="24"/>
  <c r="EA30" i="24"/>
  <c r="EA104" i="24"/>
  <c r="EA170" i="24"/>
  <c r="EF111" i="25"/>
  <c r="EW111" i="25" s="1"/>
  <c r="EA83" i="24"/>
  <c r="FL83" i="24" s="1"/>
  <c r="EA14" i="24"/>
  <c r="FL14" i="24" s="1"/>
  <c r="EA147" i="24"/>
  <c r="EA132" i="24"/>
  <c r="EA192" i="24"/>
  <c r="EE178" i="25"/>
  <c r="EV178" i="25" s="1"/>
  <c r="EA124" i="24"/>
  <c r="EF169" i="25"/>
  <c r="EW169" i="25" s="1"/>
  <c r="EG180" i="25"/>
  <c r="EX180" i="25" s="1"/>
  <c r="EG169" i="25"/>
  <c r="EX169" i="25" s="1"/>
  <c r="EE180" i="25"/>
  <c r="EV180" i="25" s="1"/>
  <c r="EE169" i="25"/>
  <c r="EI169" i="25" s="1"/>
  <c r="EF180" i="25"/>
  <c r="EW180" i="25" s="1"/>
  <c r="EG129" i="25"/>
  <c r="EX129" i="25" s="1"/>
  <c r="EF9" i="25"/>
  <c r="EW9" i="25" s="1"/>
  <c r="EG9" i="25"/>
  <c r="EX9" i="25" s="1"/>
  <c r="EF34" i="25"/>
  <c r="EW34" i="25" s="1"/>
  <c r="EG111" i="25"/>
  <c r="EX111" i="25" s="1"/>
  <c r="EG25" i="25"/>
  <c r="EX25" i="25" s="1"/>
  <c r="EF129" i="25"/>
  <c r="EW129" i="25" s="1"/>
  <c r="EE111" i="25"/>
  <c r="EV111" i="25" s="1"/>
  <c r="EF87" i="25"/>
  <c r="EW87" i="25" s="1"/>
  <c r="EE23" i="25"/>
  <c r="EV23" i="25" s="1"/>
  <c r="EF23" i="25"/>
  <c r="EW23" i="25" s="1"/>
  <c r="EF49" i="25"/>
  <c r="EW49" i="25" s="1"/>
  <c r="EE9" i="25"/>
  <c r="EV9" i="25" s="1"/>
  <c r="EG49" i="25"/>
  <c r="EX49" i="25" s="1"/>
  <c r="EE49" i="25"/>
  <c r="EV49" i="25" s="1"/>
  <c r="EG34" i="25"/>
  <c r="EX34" i="25" s="1"/>
  <c r="EE87" i="25"/>
  <c r="EV87" i="25" s="1"/>
  <c r="EG94" i="25"/>
  <c r="EX94" i="25" s="1"/>
  <c r="EF94" i="25"/>
  <c r="EW94" i="25" s="1"/>
  <c r="EE94" i="25"/>
  <c r="EG196" i="25"/>
  <c r="EX196" i="25" s="1"/>
  <c r="EF196" i="25"/>
  <c r="EW196" i="25" s="1"/>
  <c r="EE196" i="25"/>
  <c r="EG118" i="25"/>
  <c r="EX118" i="25" s="1"/>
  <c r="EF118" i="25"/>
  <c r="EW118" i="25" s="1"/>
  <c r="EE118" i="25"/>
  <c r="EE147" i="25"/>
  <c r="EF147" i="25"/>
  <c r="EW147" i="25" s="1"/>
  <c r="EG147" i="25"/>
  <c r="EX147" i="25" s="1"/>
  <c r="EE154" i="25"/>
  <c r="EG154" i="25"/>
  <c r="EX154" i="25" s="1"/>
  <c r="EF154" i="25"/>
  <c r="EW154" i="25" s="1"/>
  <c r="EE62" i="25"/>
  <c r="EG62" i="25"/>
  <c r="EX62" i="25" s="1"/>
  <c r="EF62" i="25"/>
  <c r="EW62" i="25" s="1"/>
  <c r="EF86" i="25"/>
  <c r="EW86" i="25" s="1"/>
  <c r="EE86" i="25"/>
  <c r="EG86" i="25"/>
  <c r="EX86" i="25" s="1"/>
  <c r="EG174" i="25"/>
  <c r="EX174" i="25" s="1"/>
  <c r="EF174" i="25"/>
  <c r="EW174" i="25" s="1"/>
  <c r="EE174" i="25"/>
  <c r="EG160" i="25"/>
  <c r="EX160" i="25" s="1"/>
  <c r="EF160" i="25"/>
  <c r="EW160" i="25" s="1"/>
  <c r="EE160" i="25"/>
  <c r="EE115" i="25"/>
  <c r="EG115" i="25"/>
  <c r="EX115" i="25" s="1"/>
  <c r="EF115" i="25"/>
  <c r="EW115" i="25" s="1"/>
  <c r="EG144" i="25"/>
  <c r="EX144" i="25" s="1"/>
  <c r="EF144" i="25"/>
  <c r="EW144" i="25" s="1"/>
  <c r="EE144" i="25"/>
  <c r="EG187" i="25"/>
  <c r="EX187" i="25" s="1"/>
  <c r="EF187" i="25"/>
  <c r="EW187" i="25" s="1"/>
  <c r="EE187" i="25"/>
  <c r="EE146" i="25"/>
  <c r="EF146" i="25"/>
  <c r="EW146" i="25" s="1"/>
  <c r="EG146" i="25"/>
  <c r="EX146" i="25" s="1"/>
  <c r="EF59" i="25"/>
  <c r="EW59" i="25" s="1"/>
  <c r="EE59" i="25"/>
  <c r="EG59" i="25"/>
  <c r="EX59" i="25" s="1"/>
  <c r="EG18" i="25"/>
  <c r="EX18" i="25" s="1"/>
  <c r="EE18" i="25"/>
  <c r="EF18" i="25"/>
  <c r="EW18" i="25" s="1"/>
  <c r="EE209" i="25"/>
  <c r="EG209" i="25"/>
  <c r="EX209" i="25" s="1"/>
  <c r="EF209" i="25"/>
  <c r="EW209" i="25" s="1"/>
  <c r="EF125" i="25"/>
  <c r="EW125" i="25" s="1"/>
  <c r="EE125" i="25"/>
  <c r="EG125" i="25"/>
  <c r="EX125" i="25" s="1"/>
  <c r="EF207" i="25"/>
  <c r="EW207" i="25" s="1"/>
  <c r="EE207" i="25"/>
  <c r="EG207" i="25"/>
  <c r="EX207" i="25" s="1"/>
  <c r="EG119" i="25"/>
  <c r="EX119" i="25" s="1"/>
  <c r="EF119" i="25"/>
  <c r="EW119" i="25" s="1"/>
  <c r="EE119" i="25"/>
  <c r="EF161" i="25"/>
  <c r="EW161" i="25" s="1"/>
  <c r="EE161" i="25"/>
  <c r="EG161" i="25"/>
  <c r="EX161" i="25" s="1"/>
  <c r="EE66" i="25"/>
  <c r="EG66" i="25"/>
  <c r="EX66" i="25" s="1"/>
  <c r="EF66" i="25"/>
  <c r="EW66" i="25" s="1"/>
  <c r="EE177" i="25"/>
  <c r="EG177" i="25"/>
  <c r="EX177" i="25" s="1"/>
  <c r="EF177" i="25"/>
  <c r="EW177" i="25" s="1"/>
  <c r="EF140" i="25"/>
  <c r="EW140" i="25" s="1"/>
  <c r="EE140" i="25"/>
  <c r="EG140" i="25"/>
  <c r="EX140" i="25" s="1"/>
  <c r="EG188" i="25"/>
  <c r="EX188" i="25" s="1"/>
  <c r="EF188" i="25"/>
  <c r="EW188" i="25" s="1"/>
  <c r="EE188" i="25"/>
  <c r="EV138" i="25"/>
  <c r="FB138" i="25" s="1"/>
  <c r="EI138" i="25"/>
  <c r="EE12" i="25"/>
  <c r="EF12" i="25"/>
  <c r="EW12" i="25" s="1"/>
  <c r="EG12" i="25"/>
  <c r="EX12" i="25" s="1"/>
  <c r="EG69" i="25"/>
  <c r="EX69" i="25" s="1"/>
  <c r="EE69" i="25"/>
  <c r="EF69" i="25"/>
  <c r="EW69" i="25" s="1"/>
  <c r="EE149" i="25"/>
  <c r="EF149" i="25"/>
  <c r="EW149" i="25" s="1"/>
  <c r="EG149" i="25"/>
  <c r="EX149" i="25" s="1"/>
  <c r="EE162" i="25"/>
  <c r="EG162" i="25"/>
  <c r="EX162" i="25" s="1"/>
  <c r="EF162" i="25"/>
  <c r="EW162" i="25" s="1"/>
  <c r="EE78" i="25"/>
  <c r="EG78" i="25"/>
  <c r="EX78" i="25" s="1"/>
  <c r="EF78" i="25"/>
  <c r="EW78" i="25" s="1"/>
  <c r="EG6" i="25"/>
  <c r="EX6" i="25" s="1"/>
  <c r="EF6" i="25"/>
  <c r="EW6" i="25" s="1"/>
  <c r="EE6" i="25"/>
  <c r="EG123" i="25"/>
  <c r="EX123" i="25" s="1"/>
  <c r="EF123" i="25"/>
  <c r="EW123" i="25" s="1"/>
  <c r="EE123" i="25"/>
  <c r="EV181" i="25"/>
  <c r="FB181" i="25" s="1"/>
  <c r="EI181" i="25"/>
  <c r="EG163" i="25"/>
  <c r="EX163" i="25" s="1"/>
  <c r="EF163" i="25"/>
  <c r="EW163" i="25" s="1"/>
  <c r="EE163" i="25"/>
  <c r="EG27" i="25"/>
  <c r="EX27" i="25" s="1"/>
  <c r="EF27" i="25"/>
  <c r="EW27" i="25" s="1"/>
  <c r="EE27" i="25"/>
  <c r="EF40" i="25"/>
  <c r="EW40" i="25" s="1"/>
  <c r="EE40" i="25"/>
  <c r="EG40" i="25"/>
  <c r="EX40" i="25" s="1"/>
  <c r="EF191" i="25"/>
  <c r="EW191" i="25" s="1"/>
  <c r="EG191" i="25"/>
  <c r="EX191" i="25" s="1"/>
  <c r="EE191" i="25"/>
  <c r="EG51" i="25"/>
  <c r="EX51" i="25" s="1"/>
  <c r="EE51" i="25"/>
  <c r="EF51" i="25"/>
  <c r="EW51" i="25" s="1"/>
  <c r="EF63" i="25"/>
  <c r="EW63" i="25" s="1"/>
  <c r="EE63" i="25"/>
  <c r="EG63" i="25"/>
  <c r="EX63" i="25" s="1"/>
  <c r="EE110" i="25"/>
  <c r="EG110" i="25"/>
  <c r="EX110" i="25" s="1"/>
  <c r="EF110" i="25"/>
  <c r="EW110" i="25" s="1"/>
  <c r="EE150" i="25"/>
  <c r="EG150" i="25"/>
  <c r="EX150" i="25" s="1"/>
  <c r="EF150" i="25"/>
  <c r="EW150" i="25" s="1"/>
  <c r="EE186" i="25"/>
  <c r="EG186" i="25"/>
  <c r="EX186" i="25" s="1"/>
  <c r="EF186" i="25"/>
  <c r="EW186" i="25" s="1"/>
  <c r="EF120" i="25"/>
  <c r="EW120" i="25" s="1"/>
  <c r="EE120" i="25"/>
  <c r="EG120" i="25"/>
  <c r="EX120" i="25" s="1"/>
  <c r="EE104" i="25"/>
  <c r="EG104" i="25"/>
  <c r="EX104" i="25" s="1"/>
  <c r="EF104" i="25"/>
  <c r="EW104" i="25" s="1"/>
  <c r="EF8" i="25"/>
  <c r="EW8" i="25" s="1"/>
  <c r="EG8" i="25"/>
  <c r="EX8" i="25" s="1"/>
  <c r="EE8" i="25"/>
  <c r="EE55" i="25"/>
  <c r="EG55" i="25"/>
  <c r="EX55" i="25" s="1"/>
  <c r="EF55" i="25"/>
  <c r="EW55" i="25" s="1"/>
  <c r="EE41" i="25"/>
  <c r="EG41" i="25"/>
  <c r="EX41" i="25" s="1"/>
  <c r="EF41" i="25"/>
  <c r="EW41" i="25" s="1"/>
  <c r="EG151" i="25"/>
  <c r="EX151" i="25" s="1"/>
  <c r="EF151" i="25"/>
  <c r="EW151" i="25" s="1"/>
  <c r="EE151" i="25"/>
  <c r="EG208" i="25"/>
  <c r="EX208" i="25" s="1"/>
  <c r="EF208" i="25"/>
  <c r="EW208" i="25" s="1"/>
  <c r="EE208" i="25"/>
  <c r="EE159" i="25"/>
  <c r="EG159" i="25"/>
  <c r="EX159" i="25" s="1"/>
  <c r="EF159" i="25"/>
  <c r="EW159" i="25" s="1"/>
  <c r="EF43" i="25"/>
  <c r="EW43" i="25" s="1"/>
  <c r="EE43" i="25"/>
  <c r="EG43" i="25"/>
  <c r="EX43" i="25" s="1"/>
  <c r="EE13" i="25"/>
  <c r="EG13" i="25"/>
  <c r="EX13" i="25" s="1"/>
  <c r="EF13" i="25"/>
  <c r="EW13" i="25" s="1"/>
  <c r="EF26" i="25"/>
  <c r="EW26" i="25" s="1"/>
  <c r="EE26" i="25"/>
  <c r="EG26" i="25"/>
  <c r="EX26" i="25" s="1"/>
  <c r="EE21" i="25"/>
  <c r="EG21" i="25"/>
  <c r="EX21" i="25" s="1"/>
  <c r="EF21" i="25"/>
  <c r="EW21" i="25" s="1"/>
  <c r="EE175" i="25"/>
  <c r="EG175" i="25"/>
  <c r="EX175" i="25" s="1"/>
  <c r="EF175" i="25"/>
  <c r="EW175" i="25" s="1"/>
  <c r="EE82" i="25"/>
  <c r="EG82" i="25"/>
  <c r="EX82" i="25" s="1"/>
  <c r="EF82" i="25"/>
  <c r="EW82" i="25" s="1"/>
  <c r="EF176" i="25"/>
  <c r="EW176" i="25" s="1"/>
  <c r="EE176" i="25"/>
  <c r="EG176" i="25"/>
  <c r="EX176" i="25" s="1"/>
  <c r="EF121" i="25"/>
  <c r="EW121" i="25" s="1"/>
  <c r="EE121" i="25"/>
  <c r="EG121" i="25"/>
  <c r="EX121" i="25" s="1"/>
  <c r="EE195" i="25"/>
  <c r="EG195" i="25"/>
  <c r="EX195" i="25" s="1"/>
  <c r="EF195" i="25"/>
  <c r="EW195" i="25" s="1"/>
  <c r="EF24" i="25"/>
  <c r="EW24" i="25" s="1"/>
  <c r="EE24" i="25"/>
  <c r="EG24" i="25"/>
  <c r="EX24" i="25" s="1"/>
  <c r="EG189" i="25"/>
  <c r="EX189" i="25" s="1"/>
  <c r="EF189" i="25"/>
  <c r="EW189" i="25" s="1"/>
  <c r="EE189" i="25"/>
  <c r="EV143" i="25"/>
  <c r="FB143" i="25" s="1"/>
  <c r="EI143" i="25"/>
  <c r="EF57" i="25"/>
  <c r="EW57" i="25" s="1"/>
  <c r="EG57" i="25"/>
  <c r="EX57" i="25" s="1"/>
  <c r="EE57" i="25"/>
  <c r="EE124" i="25"/>
  <c r="EG124" i="25"/>
  <c r="EX124" i="25" s="1"/>
  <c r="EF124" i="25"/>
  <c r="EW124" i="25" s="1"/>
  <c r="EF126" i="25"/>
  <c r="EW126" i="25" s="1"/>
  <c r="EG126" i="25"/>
  <c r="EX126" i="25" s="1"/>
  <c r="EE126" i="25"/>
  <c r="EG135" i="25"/>
  <c r="EX135" i="25" s="1"/>
  <c r="EF135" i="25"/>
  <c r="EW135" i="25" s="1"/>
  <c r="EE135" i="25"/>
  <c r="EF79" i="25"/>
  <c r="EW79" i="25" s="1"/>
  <c r="EG79" i="25"/>
  <c r="EX79" i="25" s="1"/>
  <c r="EE79" i="25"/>
  <c r="EE31" i="25"/>
  <c r="EG31" i="25"/>
  <c r="EX31" i="25" s="1"/>
  <c r="EF31" i="25"/>
  <c r="EW31" i="25" s="1"/>
  <c r="EE105" i="25"/>
  <c r="EG105" i="25"/>
  <c r="EX105" i="25" s="1"/>
  <c r="EF105" i="25"/>
  <c r="EW105" i="25" s="1"/>
  <c r="EF11" i="25"/>
  <c r="EW11" i="25" s="1"/>
  <c r="EE11" i="25"/>
  <c r="EG11" i="25"/>
  <c r="EX11" i="25" s="1"/>
  <c r="EG84" i="25"/>
  <c r="EX84" i="25" s="1"/>
  <c r="EF84" i="25"/>
  <c r="EW84" i="25" s="1"/>
  <c r="EE84" i="25"/>
  <c r="EG133" i="25"/>
  <c r="EX133" i="25" s="1"/>
  <c r="EF133" i="25"/>
  <c r="EW133" i="25" s="1"/>
  <c r="EE133" i="25"/>
  <c r="EG19" i="25"/>
  <c r="EX19" i="25" s="1"/>
  <c r="EF19" i="25"/>
  <c r="EW19" i="25" s="1"/>
  <c r="EE19" i="25"/>
  <c r="EE50" i="25"/>
  <c r="EG50" i="25"/>
  <c r="EX50" i="25" s="1"/>
  <c r="EF50" i="25"/>
  <c r="EW50" i="25" s="1"/>
  <c r="EF71" i="25"/>
  <c r="EW71" i="25" s="1"/>
  <c r="EE71" i="25"/>
  <c r="EG71" i="25"/>
  <c r="EX71" i="25" s="1"/>
  <c r="EF10" i="25"/>
  <c r="EW10" i="25" s="1"/>
  <c r="EE10" i="25"/>
  <c r="EG10" i="25"/>
  <c r="EX10" i="25" s="1"/>
  <c r="EF46" i="25"/>
  <c r="EW46" i="25" s="1"/>
  <c r="EE46" i="25"/>
  <c r="EG46" i="25"/>
  <c r="EX46" i="25" s="1"/>
  <c r="EF155" i="25"/>
  <c r="EW155" i="25" s="1"/>
  <c r="EE155" i="25"/>
  <c r="EG155" i="25"/>
  <c r="EX155" i="25" s="1"/>
  <c r="EG28" i="25"/>
  <c r="EX28" i="25" s="1"/>
  <c r="EF28" i="25"/>
  <c r="EW28" i="25" s="1"/>
  <c r="EE28" i="25"/>
  <c r="EG15" i="25"/>
  <c r="EX15" i="25" s="1"/>
  <c r="EF15" i="25"/>
  <c r="EW15" i="25" s="1"/>
  <c r="EE15" i="25"/>
  <c r="EE202" i="25"/>
  <c r="EG202" i="25"/>
  <c r="EX202" i="25" s="1"/>
  <c r="EF202" i="25"/>
  <c r="EW202" i="25" s="1"/>
  <c r="EF7" i="25"/>
  <c r="EW7" i="25" s="1"/>
  <c r="EE7" i="25"/>
  <c r="EG7" i="25"/>
  <c r="EX7" i="25" s="1"/>
  <c r="EE14" i="25"/>
  <c r="EG14" i="25"/>
  <c r="EX14" i="25" s="1"/>
  <c r="EF14" i="25"/>
  <c r="EW14" i="25" s="1"/>
  <c r="EE205" i="25"/>
  <c r="EG205" i="25"/>
  <c r="EX205" i="25" s="1"/>
  <c r="EF205" i="25"/>
  <c r="EW205" i="25" s="1"/>
  <c r="EE116" i="25"/>
  <c r="EG116" i="25"/>
  <c r="EX116" i="25" s="1"/>
  <c r="EF116" i="25"/>
  <c r="EW116" i="25" s="1"/>
  <c r="EE88" i="25"/>
  <c r="EG88" i="25"/>
  <c r="EX88" i="25" s="1"/>
  <c r="EF88" i="25"/>
  <c r="EW88" i="25" s="1"/>
  <c r="EG142" i="25"/>
  <c r="EX142" i="25" s="1"/>
  <c r="EF142" i="25"/>
  <c r="EW142" i="25" s="1"/>
  <c r="EE142" i="25"/>
  <c r="EE193" i="25"/>
  <c r="EG193" i="25"/>
  <c r="EX193" i="25" s="1"/>
  <c r="EF193" i="25"/>
  <c r="EW193" i="25" s="1"/>
  <c r="EG75" i="25"/>
  <c r="EX75" i="25" s="1"/>
  <c r="EE75" i="25"/>
  <c r="EF75" i="25"/>
  <c r="EW75" i="25" s="1"/>
  <c r="EF190" i="25"/>
  <c r="EW190" i="25" s="1"/>
  <c r="EG190" i="25"/>
  <c r="EX190" i="25" s="1"/>
  <c r="EE190" i="25"/>
  <c r="EF29" i="25"/>
  <c r="EW29" i="25" s="1"/>
  <c r="EE29" i="25"/>
  <c r="EG29" i="25"/>
  <c r="EX29" i="25" s="1"/>
  <c r="EF35" i="25"/>
  <c r="EW35" i="25" s="1"/>
  <c r="EE35" i="25"/>
  <c r="EG35" i="25"/>
  <c r="EX35" i="25" s="1"/>
  <c r="EF92" i="25"/>
  <c r="EW92" i="25" s="1"/>
  <c r="EE92" i="25"/>
  <c r="EG92" i="25"/>
  <c r="EX92" i="25" s="1"/>
  <c r="EF114" i="25"/>
  <c r="EW114" i="25" s="1"/>
  <c r="EE114" i="25"/>
  <c r="EG114" i="25"/>
  <c r="EX114" i="25" s="1"/>
  <c r="EG166" i="25"/>
  <c r="EX166" i="25" s="1"/>
  <c r="EF166" i="25"/>
  <c r="EW166" i="25" s="1"/>
  <c r="EE166" i="25"/>
  <c r="EF206" i="25"/>
  <c r="EW206" i="25" s="1"/>
  <c r="EG206" i="25"/>
  <c r="EX206" i="25" s="1"/>
  <c r="EE206" i="25"/>
  <c r="EF203" i="25"/>
  <c r="EW203" i="25" s="1"/>
  <c r="EE203" i="25"/>
  <c r="EG203" i="25"/>
  <c r="EX203" i="25" s="1"/>
  <c r="EF76" i="25"/>
  <c r="EW76" i="25" s="1"/>
  <c r="EE76" i="25"/>
  <c r="EG76" i="25"/>
  <c r="EX76" i="25" s="1"/>
  <c r="EF36" i="25"/>
  <c r="EW36" i="25" s="1"/>
  <c r="EE36" i="25"/>
  <c r="EG36" i="25"/>
  <c r="EX36" i="25" s="1"/>
  <c r="EG134" i="25"/>
  <c r="EX134" i="25" s="1"/>
  <c r="EE134" i="25"/>
  <c r="EF134" i="25"/>
  <c r="EW134" i="25" s="1"/>
  <c r="EG152" i="25"/>
  <c r="EX152" i="25" s="1"/>
  <c r="EF152" i="25"/>
  <c r="EW152" i="25" s="1"/>
  <c r="EE152" i="25"/>
  <c r="EP182" i="25"/>
  <c r="EE170" i="25"/>
  <c r="EG170" i="25"/>
  <c r="EX170" i="25" s="1"/>
  <c r="EF170" i="25"/>
  <c r="EW170" i="25" s="1"/>
  <c r="EG85" i="25"/>
  <c r="EX85" i="25" s="1"/>
  <c r="EE85" i="25"/>
  <c r="EF85" i="25"/>
  <c r="EW85" i="25" s="1"/>
  <c r="EE168" i="25"/>
  <c r="EG168" i="25"/>
  <c r="EX168" i="25" s="1"/>
  <c r="EF168" i="25"/>
  <c r="EW168" i="25" s="1"/>
  <c r="EE184" i="25"/>
  <c r="EF184" i="25"/>
  <c r="EW184" i="25" s="1"/>
  <c r="EG184" i="25"/>
  <c r="EX184" i="25" s="1"/>
  <c r="EE16" i="25"/>
  <c r="EF16" i="25"/>
  <c r="EW16" i="25" s="1"/>
  <c r="EG16" i="25"/>
  <c r="EX16" i="25" s="1"/>
  <c r="EE167" i="25"/>
  <c r="EG167" i="25"/>
  <c r="EX167" i="25" s="1"/>
  <c r="EF167" i="25"/>
  <c r="EW167" i="25" s="1"/>
  <c r="EG210" i="25"/>
  <c r="EX210" i="25" s="1"/>
  <c r="EF210" i="25"/>
  <c r="EW210" i="25" s="1"/>
  <c r="EE210" i="25"/>
  <c r="EG165" i="25"/>
  <c r="EX165" i="25" s="1"/>
  <c r="EF165" i="25"/>
  <c r="EW165" i="25" s="1"/>
  <c r="EE165" i="25"/>
  <c r="EF30" i="25"/>
  <c r="EW30" i="25" s="1"/>
  <c r="EE30" i="25"/>
  <c r="EG30" i="25"/>
  <c r="EX30" i="25" s="1"/>
  <c r="EG157" i="25"/>
  <c r="EX157" i="25" s="1"/>
  <c r="EF157" i="25"/>
  <c r="EW157" i="25" s="1"/>
  <c r="EE157" i="25"/>
  <c r="EG117" i="25"/>
  <c r="EX117" i="25" s="1"/>
  <c r="EF117" i="25"/>
  <c r="EW117" i="25" s="1"/>
  <c r="EE117" i="25"/>
  <c r="EG122" i="25"/>
  <c r="EX122" i="25" s="1"/>
  <c r="EE122" i="25"/>
  <c r="EF122" i="25"/>
  <c r="EW122" i="25" s="1"/>
  <c r="EF22" i="25"/>
  <c r="EW22" i="25" s="1"/>
  <c r="EE22" i="25"/>
  <c r="EG22" i="25"/>
  <c r="EX22" i="25" s="1"/>
  <c r="EF204" i="25"/>
  <c r="EW204" i="25" s="1"/>
  <c r="EE204" i="25"/>
  <c r="EG204" i="25"/>
  <c r="EX204" i="25" s="1"/>
  <c r="EF98" i="25"/>
  <c r="EW98" i="25" s="1"/>
  <c r="EG98" i="25"/>
  <c r="EX98" i="25" s="1"/>
  <c r="EE98" i="25"/>
  <c r="EF100" i="25"/>
  <c r="EW100" i="25" s="1"/>
  <c r="EE100" i="25"/>
  <c r="EG100" i="25"/>
  <c r="EX100" i="25" s="1"/>
  <c r="EG39" i="25"/>
  <c r="EX39" i="25" s="1"/>
  <c r="EE39" i="25"/>
  <c r="EF39" i="25"/>
  <c r="EW39" i="25" s="1"/>
  <c r="EF153" i="25"/>
  <c r="EW153" i="25" s="1"/>
  <c r="EE153" i="25"/>
  <c r="EG153" i="25"/>
  <c r="EX153" i="25" s="1"/>
  <c r="EE130" i="25"/>
  <c r="EG130" i="25"/>
  <c r="EX130" i="25" s="1"/>
  <c r="EF130" i="25"/>
  <c r="EW130" i="25" s="1"/>
  <c r="EF52" i="25"/>
  <c r="EW52" i="25" s="1"/>
  <c r="EE52" i="25"/>
  <c r="EG52" i="25"/>
  <c r="EX52" i="25" s="1"/>
  <c r="EE72" i="25"/>
  <c r="EF72" i="25"/>
  <c r="EW72" i="25" s="1"/>
  <c r="EG72" i="25"/>
  <c r="EX72" i="25" s="1"/>
  <c r="EF45" i="25"/>
  <c r="EW45" i="25" s="1"/>
  <c r="EE45" i="25"/>
  <c r="EG45" i="25"/>
  <c r="EX45" i="25" s="1"/>
  <c r="EE198" i="25"/>
  <c r="EF198" i="25"/>
  <c r="EW198" i="25" s="1"/>
  <c r="EG198" i="25"/>
  <c r="EX198" i="25" s="1"/>
  <c r="EE60" i="25"/>
  <c r="EG60" i="25"/>
  <c r="EX60" i="25" s="1"/>
  <c r="EF60" i="25"/>
  <c r="EW60" i="25" s="1"/>
  <c r="EF201" i="25"/>
  <c r="EW201" i="25" s="1"/>
  <c r="EE201" i="25"/>
  <c r="EG201" i="25"/>
  <c r="EX201" i="25" s="1"/>
  <c r="EG179" i="25"/>
  <c r="EX179" i="25" s="1"/>
  <c r="EE179" i="25"/>
  <c r="EF179" i="25"/>
  <c r="EW179" i="25" s="1"/>
  <c r="EG53" i="25"/>
  <c r="EX53" i="25" s="1"/>
  <c r="EF53" i="25"/>
  <c r="EW53" i="25" s="1"/>
  <c r="EE53" i="25"/>
  <c r="EF200" i="25"/>
  <c r="EW200" i="25" s="1"/>
  <c r="EE200" i="25"/>
  <c r="EG200" i="25"/>
  <c r="EX200" i="25" s="1"/>
  <c r="EF139" i="25"/>
  <c r="EW139" i="25" s="1"/>
  <c r="EE139" i="25"/>
  <c r="EG139" i="25"/>
  <c r="EX139" i="25" s="1"/>
  <c r="EG113" i="25"/>
  <c r="EX113" i="25" s="1"/>
  <c r="EF113" i="25"/>
  <c r="EW113" i="25" s="1"/>
  <c r="EE113" i="25"/>
  <c r="EE172" i="25"/>
  <c r="EG172" i="25"/>
  <c r="EX172" i="25" s="1"/>
  <c r="EF172" i="25"/>
  <c r="EW172" i="25" s="1"/>
  <c r="EF91" i="25"/>
  <c r="EW91" i="25" s="1"/>
  <c r="EE91" i="25"/>
  <c r="EG91" i="25"/>
  <c r="EX91" i="25" s="1"/>
  <c r="EE68" i="25"/>
  <c r="EF68" i="25"/>
  <c r="EW68" i="25" s="1"/>
  <c r="EG68" i="25"/>
  <c r="EX68" i="25" s="1"/>
  <c r="EG132" i="25"/>
  <c r="EX132" i="25" s="1"/>
  <c r="EE132" i="25"/>
  <c r="EF132" i="25"/>
  <c r="EW132" i="25" s="1"/>
  <c r="EF65" i="25"/>
  <c r="EW65" i="25" s="1"/>
  <c r="EE65" i="25"/>
  <c r="EG65" i="25"/>
  <c r="EX65" i="25" s="1"/>
  <c r="EE101" i="25"/>
  <c r="EG101" i="25"/>
  <c r="EX101" i="25" s="1"/>
  <c r="EF101" i="25"/>
  <c r="EW101" i="25" s="1"/>
  <c r="EG197" i="25"/>
  <c r="EX197" i="25" s="1"/>
  <c r="EE197" i="25"/>
  <c r="EF197" i="25"/>
  <c r="EW197" i="25" s="1"/>
  <c r="EG102" i="25"/>
  <c r="EX102" i="25" s="1"/>
  <c r="EE102" i="25"/>
  <c r="EF102" i="25"/>
  <c r="EW102" i="25" s="1"/>
  <c r="EE48" i="25"/>
  <c r="EG48" i="25"/>
  <c r="EX48" i="25" s="1"/>
  <c r="EF48" i="25"/>
  <c r="EW48" i="25" s="1"/>
  <c r="EF67" i="25"/>
  <c r="EW67" i="25" s="1"/>
  <c r="EE67" i="25"/>
  <c r="EG67" i="25"/>
  <c r="EX67" i="25" s="1"/>
  <c r="EG70" i="25"/>
  <c r="EX70" i="25" s="1"/>
  <c r="EE70" i="25"/>
  <c r="EF70" i="25"/>
  <c r="EW70" i="25" s="1"/>
  <c r="EF148" i="25"/>
  <c r="EW148" i="25" s="1"/>
  <c r="EG148" i="25"/>
  <c r="EX148" i="25" s="1"/>
  <c r="EE148" i="25"/>
  <c r="EF38" i="25"/>
  <c r="EW38" i="25" s="1"/>
  <c r="EE38" i="25"/>
  <c r="EG38" i="25"/>
  <c r="EX38" i="25" s="1"/>
  <c r="EF192" i="25"/>
  <c r="EW192" i="25" s="1"/>
  <c r="EE192" i="25"/>
  <c r="EG192" i="25"/>
  <c r="EX192" i="25" s="1"/>
  <c r="EF32" i="25"/>
  <c r="EW32" i="25" s="1"/>
  <c r="EE32" i="25"/>
  <c r="EG32" i="25"/>
  <c r="EX32" i="25" s="1"/>
  <c r="EF61" i="25"/>
  <c r="EW61" i="25" s="1"/>
  <c r="EG61" i="25"/>
  <c r="EX61" i="25" s="1"/>
  <c r="EE61" i="25"/>
  <c r="EF80" i="25"/>
  <c r="EW80" i="25" s="1"/>
  <c r="EE80" i="25"/>
  <c r="EG80" i="25"/>
  <c r="EX80" i="25" s="1"/>
  <c r="EE54" i="25"/>
  <c r="EG54" i="25"/>
  <c r="EX54" i="25" s="1"/>
  <c r="EF54" i="25"/>
  <c r="EW54" i="25" s="1"/>
  <c r="EF44" i="25"/>
  <c r="EW44" i="25" s="1"/>
  <c r="EE44" i="25"/>
  <c r="EG44" i="25"/>
  <c r="EX44" i="25" s="1"/>
  <c r="EG127" i="25"/>
  <c r="EX127" i="25" s="1"/>
  <c r="EF127" i="25"/>
  <c r="EW127" i="25" s="1"/>
  <c r="EE127" i="25"/>
  <c r="EG20" i="25"/>
  <c r="EX20" i="25" s="1"/>
  <c r="EF20" i="25"/>
  <c r="EW20" i="25" s="1"/>
  <c r="EE20" i="25"/>
  <c r="EA40" i="24"/>
  <c r="EA152" i="24"/>
  <c r="EA13" i="24"/>
  <c r="EA99" i="24"/>
  <c r="EA29" i="24"/>
  <c r="EA62" i="24"/>
  <c r="EA10" i="24"/>
  <c r="EA77" i="24"/>
  <c r="EA43" i="24"/>
  <c r="EA134" i="24"/>
  <c r="FL134" i="24" s="1"/>
  <c r="EA23" i="24"/>
  <c r="EA81" i="24"/>
  <c r="FL81" i="24" s="1"/>
  <c r="EA201" i="24"/>
  <c r="EA159" i="24"/>
  <c r="DY6" i="24"/>
  <c r="EF6" i="24" s="1"/>
  <c r="EA6" i="24"/>
  <c r="DY245" i="24"/>
  <c r="EF245" i="24" s="1"/>
  <c r="EA245" i="24"/>
  <c r="EA128" i="24"/>
  <c r="DY141" i="24"/>
  <c r="EF141" i="24" s="1"/>
  <c r="EA141" i="24"/>
  <c r="DY28" i="24"/>
  <c r="EF28" i="24" s="1"/>
  <c r="EA28" i="24"/>
  <c r="DY282" i="24"/>
  <c r="EF282" i="24" s="1"/>
  <c r="EA282" i="24"/>
  <c r="EA174" i="24"/>
  <c r="EA26" i="24"/>
  <c r="DY32" i="24"/>
  <c r="EF32" i="24" s="1"/>
  <c r="EA32" i="24"/>
  <c r="DY31" i="24"/>
  <c r="EF31" i="24" s="1"/>
  <c r="EA31" i="24"/>
  <c r="EA123" i="24"/>
  <c r="DY299" i="24"/>
  <c r="EF299" i="24" s="1"/>
  <c r="EA299" i="24"/>
  <c r="DY290" i="24"/>
  <c r="EF290" i="24" s="1"/>
  <c r="EA290" i="24"/>
  <c r="DY69" i="24"/>
  <c r="EF69" i="24" s="1"/>
  <c r="EA69" i="24"/>
  <c r="DY95" i="24"/>
  <c r="EF95" i="24" s="1"/>
  <c r="EA95" i="24"/>
  <c r="DY225" i="24"/>
  <c r="EF225" i="24" s="1"/>
  <c r="EA225" i="24"/>
  <c r="DY316" i="24"/>
  <c r="EF316" i="24" s="1"/>
  <c r="EA316" i="24"/>
  <c r="DY251" i="24"/>
  <c r="EF251" i="24" s="1"/>
  <c r="EA251" i="24"/>
  <c r="DY257" i="24"/>
  <c r="EF257" i="24" s="1"/>
  <c r="EA257" i="24"/>
  <c r="DY304" i="24"/>
  <c r="EF304" i="24" s="1"/>
  <c r="EA304" i="24"/>
  <c r="DY168" i="24"/>
  <c r="EF168" i="24" s="1"/>
  <c r="EA168" i="24"/>
  <c r="DY146" i="24"/>
  <c r="EF146" i="24" s="1"/>
  <c r="EA146" i="24"/>
  <c r="DY19" i="24"/>
  <c r="EF19" i="24" s="1"/>
  <c r="EA19" i="24"/>
  <c r="DY182" i="24"/>
  <c r="EF182" i="24" s="1"/>
  <c r="EA182" i="24"/>
  <c r="DY226" i="24"/>
  <c r="EF226" i="24" s="1"/>
  <c r="EA226" i="24"/>
  <c r="DY227" i="24"/>
  <c r="EF227" i="24" s="1"/>
  <c r="EA227" i="24"/>
  <c r="DY85" i="24"/>
  <c r="EF85" i="24" s="1"/>
  <c r="EA85" i="24"/>
  <c r="DY51" i="24"/>
  <c r="EF51" i="24" s="1"/>
  <c r="EA51" i="24"/>
  <c r="DY261" i="24"/>
  <c r="EF261" i="24" s="1"/>
  <c r="EA261" i="24"/>
  <c r="DY195" i="24"/>
  <c r="EF195" i="24" s="1"/>
  <c r="EA195" i="24"/>
  <c r="DY20" i="24"/>
  <c r="EF20" i="24" s="1"/>
  <c r="EA20" i="24"/>
  <c r="DY279" i="24"/>
  <c r="EF279" i="24" s="1"/>
  <c r="EA279" i="24"/>
  <c r="DY93" i="24"/>
  <c r="EF93" i="24" s="1"/>
  <c r="EA93" i="24"/>
  <c r="EA209" i="24"/>
  <c r="EA177" i="24"/>
  <c r="DY269" i="24"/>
  <c r="EF269" i="24" s="1"/>
  <c r="EA269" i="24"/>
  <c r="DY148" i="24"/>
  <c r="EF148" i="24" s="1"/>
  <c r="EA148" i="24"/>
  <c r="EA41" i="24"/>
  <c r="EA53" i="24"/>
  <c r="EA114" i="24"/>
  <c r="EA202" i="24"/>
  <c r="EA161" i="24"/>
  <c r="DY137" i="24"/>
  <c r="EF137" i="24" s="1"/>
  <c r="EA137" i="24"/>
  <c r="DY234" i="24"/>
  <c r="EF234" i="24" s="1"/>
  <c r="EA234" i="24"/>
  <c r="DY249" i="24"/>
  <c r="EF249" i="24" s="1"/>
  <c r="EA249" i="24"/>
  <c r="DY206" i="24"/>
  <c r="EF206" i="24" s="1"/>
  <c r="EA206" i="24"/>
  <c r="DY295" i="24"/>
  <c r="EF295" i="24" s="1"/>
  <c r="EA295" i="24"/>
  <c r="DY256" i="24"/>
  <c r="EF256" i="24" s="1"/>
  <c r="EA256" i="24"/>
  <c r="DY223" i="24"/>
  <c r="EF223" i="24" s="1"/>
  <c r="EA223" i="24"/>
  <c r="DY139" i="24"/>
  <c r="EF139" i="24" s="1"/>
  <c r="EA139" i="24"/>
  <c r="DY179" i="24"/>
  <c r="EF179" i="24" s="1"/>
  <c r="EA179" i="24"/>
  <c r="DY260" i="24"/>
  <c r="EF260" i="24" s="1"/>
  <c r="EA260" i="24"/>
  <c r="DY258" i="24"/>
  <c r="EF258" i="24" s="1"/>
  <c r="EA258" i="24"/>
  <c r="EA122" i="24"/>
  <c r="DY73" i="24"/>
  <c r="EF73" i="24" s="1"/>
  <c r="EA73" i="24"/>
  <c r="DY16" i="24"/>
  <c r="EF16" i="24" s="1"/>
  <c r="EA16" i="24"/>
  <c r="DY21" i="24"/>
  <c r="EF21" i="24" s="1"/>
  <c r="EA21" i="24"/>
  <c r="DY289" i="24"/>
  <c r="EF289" i="24" s="1"/>
  <c r="EA289" i="24"/>
  <c r="DY270" i="24"/>
  <c r="EF270" i="24" s="1"/>
  <c r="EA270" i="24"/>
  <c r="DY222" i="24"/>
  <c r="EF222" i="24" s="1"/>
  <c r="EA222" i="24"/>
  <c r="EA197" i="24"/>
  <c r="EA185" i="24"/>
  <c r="DY276" i="24"/>
  <c r="EF276" i="24" s="1"/>
  <c r="EA276" i="24"/>
  <c r="DY156" i="24"/>
  <c r="EF156" i="24" s="1"/>
  <c r="EA156" i="24"/>
  <c r="DY229" i="24"/>
  <c r="EF229" i="24" s="1"/>
  <c r="EA229" i="24"/>
  <c r="DY300" i="24"/>
  <c r="EF300" i="24" s="1"/>
  <c r="EA300" i="24"/>
  <c r="EA50" i="24"/>
  <c r="DY9" i="24"/>
  <c r="EF9" i="24" s="1"/>
  <c r="EA9" i="24"/>
  <c r="DY84" i="24"/>
  <c r="EF84" i="24" s="1"/>
  <c r="EA84" i="24"/>
  <c r="DY22" i="24"/>
  <c r="EF22" i="24" s="1"/>
  <c r="EA22" i="24"/>
  <c r="DY58" i="24"/>
  <c r="EF58" i="24" s="1"/>
  <c r="EA58" i="24"/>
  <c r="DY306" i="24"/>
  <c r="EF306" i="24" s="1"/>
  <c r="EA306" i="24"/>
  <c r="DY102" i="24"/>
  <c r="EF102" i="24" s="1"/>
  <c r="EA102" i="24"/>
  <c r="DY307" i="24"/>
  <c r="EF307" i="24" s="1"/>
  <c r="EA307" i="24"/>
  <c r="EA145" i="24"/>
  <c r="DY238" i="24"/>
  <c r="EF238" i="24" s="1"/>
  <c r="EA238" i="24"/>
  <c r="DY151" i="24"/>
  <c r="EF151" i="24" s="1"/>
  <c r="EA151" i="24"/>
  <c r="DY305" i="24"/>
  <c r="EF305" i="24" s="1"/>
  <c r="EA305" i="24"/>
  <c r="DY228" i="24"/>
  <c r="EF228" i="24" s="1"/>
  <c r="EA228" i="24"/>
  <c r="DY292" i="24"/>
  <c r="EF292" i="24" s="1"/>
  <c r="EA292" i="24"/>
  <c r="DY188" i="24"/>
  <c r="EF188" i="24" s="1"/>
  <c r="EA188" i="24"/>
  <c r="DY15" i="24"/>
  <c r="EF15" i="24" s="1"/>
  <c r="EA15" i="24"/>
  <c r="EA167" i="24"/>
  <c r="EA61" i="24"/>
  <c r="DY246" i="24"/>
  <c r="EF246" i="24" s="1"/>
  <c r="EA246" i="24"/>
  <c r="EH190" i="24"/>
  <c r="EC190" i="24"/>
  <c r="ED190" i="24" s="1"/>
  <c r="EI190" i="24"/>
  <c r="EX190" i="24" s="1"/>
  <c r="EA100" i="24"/>
  <c r="DY11" i="24"/>
  <c r="EF11" i="24" s="1"/>
  <c r="EA11" i="24"/>
  <c r="DY235" i="24"/>
  <c r="EF235" i="24" s="1"/>
  <c r="EA235" i="24"/>
  <c r="DY239" i="24"/>
  <c r="EF239" i="24" s="1"/>
  <c r="EA239" i="24"/>
  <c r="EA158" i="24"/>
  <c r="DY217" i="24"/>
  <c r="EF217" i="24" s="1"/>
  <c r="EA217" i="24"/>
  <c r="EA54" i="24"/>
  <c r="DY76" i="24"/>
  <c r="EF76" i="24" s="1"/>
  <c r="EA76" i="24"/>
  <c r="DY255" i="24"/>
  <c r="EF255" i="24" s="1"/>
  <c r="EA255" i="24"/>
  <c r="DY278" i="24"/>
  <c r="EF278" i="24" s="1"/>
  <c r="EA278" i="24"/>
  <c r="DY247" i="24"/>
  <c r="EF247" i="24" s="1"/>
  <c r="EA247" i="24"/>
  <c r="DY232" i="24"/>
  <c r="EF232" i="24" s="1"/>
  <c r="EA232" i="24"/>
  <c r="DY259" i="24"/>
  <c r="EF259" i="24" s="1"/>
  <c r="EA259" i="24"/>
  <c r="DY97" i="24"/>
  <c r="EF97" i="24" s="1"/>
  <c r="EA97" i="24"/>
  <c r="DY224" i="24"/>
  <c r="EF224" i="24" s="1"/>
  <c r="EA224" i="24"/>
  <c r="EA155" i="24"/>
  <c r="DY189" i="24"/>
  <c r="EF189" i="24" s="1"/>
  <c r="EA189" i="24"/>
  <c r="DY117" i="24"/>
  <c r="EF117" i="24" s="1"/>
  <c r="EA117" i="24"/>
  <c r="DY27" i="24"/>
  <c r="EF27" i="24" s="1"/>
  <c r="EA27" i="24"/>
  <c r="DY273" i="24"/>
  <c r="EF273" i="24" s="1"/>
  <c r="EA273" i="24"/>
  <c r="DY218" i="24"/>
  <c r="EF218" i="24" s="1"/>
  <c r="EA218" i="24"/>
  <c r="EA173" i="24"/>
  <c r="EA80" i="24"/>
  <c r="DY296" i="24"/>
  <c r="EF296" i="24" s="1"/>
  <c r="EA296" i="24"/>
  <c r="DY241" i="24"/>
  <c r="EF241" i="24" s="1"/>
  <c r="EA241" i="24"/>
  <c r="DY82" i="24"/>
  <c r="EF82" i="24" s="1"/>
  <c r="EA82" i="24"/>
  <c r="DY194" i="24"/>
  <c r="EF194" i="24" s="1"/>
  <c r="EA194" i="24"/>
  <c r="DY88" i="24"/>
  <c r="EF88" i="24" s="1"/>
  <c r="EA88" i="24"/>
  <c r="DY264" i="24"/>
  <c r="EF264" i="24" s="1"/>
  <c r="EA264" i="24"/>
  <c r="DY301" i="24"/>
  <c r="EF301" i="24" s="1"/>
  <c r="EA301" i="24"/>
  <c r="DY252" i="24"/>
  <c r="EF252" i="24" s="1"/>
  <c r="EA252" i="24"/>
  <c r="EA103" i="24"/>
  <c r="DY87" i="24"/>
  <c r="EF87" i="24" s="1"/>
  <c r="EA87" i="24"/>
  <c r="DY120" i="24"/>
  <c r="EF120" i="24" s="1"/>
  <c r="EA120" i="24"/>
  <c r="DY143" i="24"/>
  <c r="EF143" i="24" s="1"/>
  <c r="EA143" i="24"/>
  <c r="DY287" i="24"/>
  <c r="EF287" i="24" s="1"/>
  <c r="EA287" i="24"/>
  <c r="DY262" i="24"/>
  <c r="EF262" i="24" s="1"/>
  <c r="EA262" i="24"/>
  <c r="DY57" i="24"/>
  <c r="EF57" i="24" s="1"/>
  <c r="EA57" i="24"/>
  <c r="EA98" i="24"/>
  <c r="DY105" i="24"/>
  <c r="EF105" i="24" s="1"/>
  <c r="EA105" i="24"/>
  <c r="EA157" i="24"/>
  <c r="EA42" i="24"/>
  <c r="DY310" i="24"/>
  <c r="EF310" i="24" s="1"/>
  <c r="EA310" i="24"/>
  <c r="DY176" i="24"/>
  <c r="EF176" i="24" s="1"/>
  <c r="EA176" i="24"/>
  <c r="DY200" i="24"/>
  <c r="EF200" i="24" s="1"/>
  <c r="EA200" i="24"/>
  <c r="EA47" i="24"/>
  <c r="DY248" i="24"/>
  <c r="EF248" i="24" s="1"/>
  <c r="EA248" i="24"/>
  <c r="DY311" i="24"/>
  <c r="EF311" i="24" s="1"/>
  <c r="EA311" i="24"/>
  <c r="DY180" i="24"/>
  <c r="EF180" i="24" s="1"/>
  <c r="EA180" i="24"/>
  <c r="DY253" i="24"/>
  <c r="EF253" i="24" s="1"/>
  <c r="EA253" i="24"/>
  <c r="DY312" i="24"/>
  <c r="EF312" i="24" s="1"/>
  <c r="EA312" i="24"/>
  <c r="DY265" i="24"/>
  <c r="EF265" i="24" s="1"/>
  <c r="EA265" i="24"/>
  <c r="DY181" i="24"/>
  <c r="EF181" i="24" s="1"/>
  <c r="EA181" i="24"/>
  <c r="EA175" i="24"/>
  <c r="DY36" i="24"/>
  <c r="EF36" i="24" s="1"/>
  <c r="EA36" i="24"/>
  <c r="DY207" i="24"/>
  <c r="EF207" i="24" s="1"/>
  <c r="EA207" i="24"/>
  <c r="EA183" i="24"/>
  <c r="DY45" i="24"/>
  <c r="EF45" i="24" s="1"/>
  <c r="EA45" i="24"/>
  <c r="DY297" i="24"/>
  <c r="EF297" i="24" s="1"/>
  <c r="EA297" i="24"/>
  <c r="DY271" i="24"/>
  <c r="EF271" i="24" s="1"/>
  <c r="EA271" i="24"/>
  <c r="EA171" i="24"/>
  <c r="DY184" i="24"/>
  <c r="EF184" i="24" s="1"/>
  <c r="EA184" i="24"/>
  <c r="DY125" i="24"/>
  <c r="EF125" i="24" s="1"/>
  <c r="EA125" i="24"/>
  <c r="EA68" i="24"/>
  <c r="DY313" i="24"/>
  <c r="EF313" i="24" s="1"/>
  <c r="EA313" i="24"/>
  <c r="DY18" i="24"/>
  <c r="EF18" i="24" s="1"/>
  <c r="EA18" i="24"/>
  <c r="EA33" i="24"/>
  <c r="DY233" i="24"/>
  <c r="EF233" i="24" s="1"/>
  <c r="EA233" i="24"/>
  <c r="DY308" i="24"/>
  <c r="EF308" i="24" s="1"/>
  <c r="EA308" i="24"/>
  <c r="DY38" i="24"/>
  <c r="EF38" i="24" s="1"/>
  <c r="EA38" i="24"/>
  <c r="DY293" i="24"/>
  <c r="EF293" i="24" s="1"/>
  <c r="EA293" i="24"/>
  <c r="DY56" i="24"/>
  <c r="EF56" i="24" s="1"/>
  <c r="EA56" i="24"/>
  <c r="DY208" i="24"/>
  <c r="EF208" i="24" s="1"/>
  <c r="EA208" i="24"/>
  <c r="DY66" i="24"/>
  <c r="EF66" i="24" s="1"/>
  <c r="EA66" i="24"/>
  <c r="DY267" i="24"/>
  <c r="EF267" i="24" s="1"/>
  <c r="EA267" i="24"/>
  <c r="DY210" i="24"/>
  <c r="EF210" i="24" s="1"/>
  <c r="EA210" i="24"/>
  <c r="DY254" i="24"/>
  <c r="EF254" i="24" s="1"/>
  <c r="EA254" i="24"/>
  <c r="DY86" i="24"/>
  <c r="EF86" i="24" s="1"/>
  <c r="EA86" i="24"/>
  <c r="DY205" i="24"/>
  <c r="EF205" i="24" s="1"/>
  <c r="EA205" i="24"/>
  <c r="DY219" i="24"/>
  <c r="EF219" i="24" s="1"/>
  <c r="EA219" i="24"/>
  <c r="DY130" i="24"/>
  <c r="EF130" i="24" s="1"/>
  <c r="EA130" i="24"/>
  <c r="DY49" i="24"/>
  <c r="EF49" i="24" s="1"/>
  <c r="EA49" i="24"/>
  <c r="DY140" i="24"/>
  <c r="EF140" i="24" s="1"/>
  <c r="EA140" i="24"/>
  <c r="DY220" i="24"/>
  <c r="EF220" i="24" s="1"/>
  <c r="EA220" i="24"/>
  <c r="DY113" i="24"/>
  <c r="EF113" i="24" s="1"/>
  <c r="EA113" i="24"/>
  <c r="DY281" i="24"/>
  <c r="EF281" i="24" s="1"/>
  <c r="EA281" i="24"/>
  <c r="DY288" i="24"/>
  <c r="EF288" i="24" s="1"/>
  <c r="EA288" i="24"/>
  <c r="DY165" i="24"/>
  <c r="EF165" i="24" s="1"/>
  <c r="EA165" i="24"/>
  <c r="DY149" i="24"/>
  <c r="EF149" i="24" s="1"/>
  <c r="EA149" i="24"/>
  <c r="DY196" i="24"/>
  <c r="EF196" i="24" s="1"/>
  <c r="EA196" i="24"/>
  <c r="DY46" i="24"/>
  <c r="EF46" i="24" s="1"/>
  <c r="EA46" i="24"/>
  <c r="DY291" i="24"/>
  <c r="EF291" i="24" s="1"/>
  <c r="EA291" i="24"/>
  <c r="DY203" i="24"/>
  <c r="EF203" i="24" s="1"/>
  <c r="EA203" i="24"/>
  <c r="DY162" i="24"/>
  <c r="EF162" i="24" s="1"/>
  <c r="EA162" i="24"/>
  <c r="DY277" i="24"/>
  <c r="EF277" i="24" s="1"/>
  <c r="EA277" i="24"/>
  <c r="DY121" i="24"/>
  <c r="EF121" i="24" s="1"/>
  <c r="EA121" i="24"/>
  <c r="DY244" i="24"/>
  <c r="EF244" i="24" s="1"/>
  <c r="EA244" i="24"/>
  <c r="DY230" i="24"/>
  <c r="EF230" i="24" s="1"/>
  <c r="EA230" i="24"/>
  <c r="DY59" i="24"/>
  <c r="EF59" i="24" s="1"/>
  <c r="EA59" i="24"/>
  <c r="DY283" i="24"/>
  <c r="EF283" i="24" s="1"/>
  <c r="EA283" i="24"/>
  <c r="DY221" i="24"/>
  <c r="EF221" i="24" s="1"/>
  <c r="EA221" i="24"/>
  <c r="DY75" i="24"/>
  <c r="EF75" i="24" s="1"/>
  <c r="EA75" i="24"/>
  <c r="DY119" i="24"/>
  <c r="EF119" i="24" s="1"/>
  <c r="EA119" i="24"/>
  <c r="DY263" i="24"/>
  <c r="EF263" i="24" s="1"/>
  <c r="EA263" i="24"/>
  <c r="DY178" i="24"/>
  <c r="EF178" i="24" s="1"/>
  <c r="EA178" i="24"/>
  <c r="DY236" i="24"/>
  <c r="EF236" i="24" s="1"/>
  <c r="EA236" i="24"/>
  <c r="DY91" i="24"/>
  <c r="EF91" i="24" s="1"/>
  <c r="EA91" i="24"/>
  <c r="EA25" i="24"/>
  <c r="EA8" i="24"/>
  <c r="DY144" i="24"/>
  <c r="EF144" i="24" s="1"/>
  <c r="EA144" i="24"/>
  <c r="DY166" i="24"/>
  <c r="EF166" i="24" s="1"/>
  <c r="EA166" i="24"/>
  <c r="DY298" i="24"/>
  <c r="EF298" i="24" s="1"/>
  <c r="EA298" i="24"/>
  <c r="DY231" i="24"/>
  <c r="EF231" i="24" s="1"/>
  <c r="EA231" i="24"/>
  <c r="EA193" i="24"/>
  <c r="EA89" i="24"/>
  <c r="DY204" i="24"/>
  <c r="EF204" i="24" s="1"/>
  <c r="EA204" i="24"/>
  <c r="EA138" i="24"/>
  <c r="DY12" i="24"/>
  <c r="EF12" i="24" s="1"/>
  <c r="EA12" i="24"/>
  <c r="DY135" i="24"/>
  <c r="EF135" i="24" s="1"/>
  <c r="EA135" i="24"/>
  <c r="DY309" i="24"/>
  <c r="EF309" i="24" s="1"/>
  <c r="EA309" i="24"/>
  <c r="DY116" i="24"/>
  <c r="EF116" i="24" s="1"/>
  <c r="EA116" i="24"/>
  <c r="EA164" i="24"/>
  <c r="DY7" i="24"/>
  <c r="EF7" i="24" s="1"/>
  <c r="EA7" i="24"/>
  <c r="DY94" i="24"/>
  <c r="EF94" i="24" s="1"/>
  <c r="EA94" i="24"/>
  <c r="EA150" i="24"/>
  <c r="DY115" i="24"/>
  <c r="EF115" i="24" s="1"/>
  <c r="EA115" i="24"/>
  <c r="EA129" i="24"/>
  <c r="DY302" i="24"/>
  <c r="EF302" i="24" s="1"/>
  <c r="EA302" i="24"/>
  <c r="DY286" i="24"/>
  <c r="EF286" i="24" s="1"/>
  <c r="EA286" i="24"/>
  <c r="EA112" i="24"/>
  <c r="EA70" i="24"/>
  <c r="DY314" i="24"/>
  <c r="EF314" i="24" s="1"/>
  <c r="EA314" i="24"/>
  <c r="DY274" i="24"/>
  <c r="EF274" i="24" s="1"/>
  <c r="EA274" i="24"/>
  <c r="DY275" i="24"/>
  <c r="EF275" i="24" s="1"/>
  <c r="EA275" i="24"/>
  <c r="DY72" i="24"/>
  <c r="EF72" i="24" s="1"/>
  <c r="EA72" i="24"/>
  <c r="DY163" i="24"/>
  <c r="EF163" i="24" s="1"/>
  <c r="EA163" i="24"/>
  <c r="DY272" i="24"/>
  <c r="EF272" i="24" s="1"/>
  <c r="EA272" i="24"/>
  <c r="DY294" i="24"/>
  <c r="EF294" i="24" s="1"/>
  <c r="EA294" i="24"/>
  <c r="EA24" i="24"/>
  <c r="DY34" i="24"/>
  <c r="EF34" i="24" s="1"/>
  <c r="EA34" i="24"/>
  <c r="EA35" i="24"/>
  <c r="DY266" i="24"/>
  <c r="EF266" i="24" s="1"/>
  <c r="EA266" i="24"/>
  <c r="DY118" i="24"/>
  <c r="EF118" i="24" s="1"/>
  <c r="EA118" i="24"/>
  <c r="DY250" i="24"/>
  <c r="EF250" i="24" s="1"/>
  <c r="EA250" i="24"/>
  <c r="DY131" i="24"/>
  <c r="EF131" i="24" s="1"/>
  <c r="EA131" i="24"/>
  <c r="DY284" i="24"/>
  <c r="EF284" i="24" s="1"/>
  <c r="EA284" i="24"/>
  <c r="DY237" i="24"/>
  <c r="EF237" i="24" s="1"/>
  <c r="EA237" i="24"/>
  <c r="DY101" i="24"/>
  <c r="EF101" i="24" s="1"/>
  <c r="EA101" i="24"/>
  <c r="DY187" i="24"/>
  <c r="EF187" i="24" s="1"/>
  <c r="EA187" i="24"/>
  <c r="DY280" i="24"/>
  <c r="EF280" i="24" s="1"/>
  <c r="EA280" i="24"/>
  <c r="DY79" i="24"/>
  <c r="EF79" i="24" s="1"/>
  <c r="EA79" i="24"/>
  <c r="DY315" i="24"/>
  <c r="EF315" i="24" s="1"/>
  <c r="EA315" i="24"/>
  <c r="DY303" i="24"/>
  <c r="EF303" i="24" s="1"/>
  <c r="EA303" i="24"/>
  <c r="DY268" i="24"/>
  <c r="EF268" i="24" s="1"/>
  <c r="EA268" i="24"/>
  <c r="DY153" i="24"/>
  <c r="EF153" i="24" s="1"/>
  <c r="EA153" i="24"/>
  <c r="DY17" i="24"/>
  <c r="EF17" i="24" s="1"/>
  <c r="EA17" i="24"/>
  <c r="DY198" i="24"/>
  <c r="EF198" i="24" s="1"/>
  <c r="EA198" i="24"/>
  <c r="DY240" i="24"/>
  <c r="EF240" i="24" s="1"/>
  <c r="EA240" i="24"/>
  <c r="DY191" i="24"/>
  <c r="EF191" i="24" s="1"/>
  <c r="EA191" i="24"/>
  <c r="EA154" i="24"/>
  <c r="DY64" i="24"/>
  <c r="EF64" i="24" s="1"/>
  <c r="EA64" i="24"/>
  <c r="EA65" i="24"/>
  <c r="F64" i="19"/>
  <c r="F65" i="19"/>
  <c r="EE216" i="25" l="1"/>
  <c r="EV216" i="25" s="1"/>
  <c r="EF216" i="25"/>
  <c r="EW216" i="25" s="1"/>
  <c r="CG216" i="25"/>
  <c r="CH216" i="25"/>
  <c r="CG242" i="24"/>
  <c r="CG243" i="24"/>
  <c r="EV212" i="25"/>
  <c r="FB212" i="25" s="1"/>
  <c r="EI212" i="25"/>
  <c r="EC96" i="24"/>
  <c r="ED96" i="24" s="1"/>
  <c r="EH96" i="24"/>
  <c r="EW96" i="24" s="1"/>
  <c r="EI96" i="24"/>
  <c r="EX96" i="24" s="1"/>
  <c r="FL96" i="24"/>
  <c r="CG285" i="24"/>
  <c r="EI243" i="24"/>
  <c r="EX243" i="24" s="1"/>
  <c r="EC243" i="24"/>
  <c r="ED243" i="24" s="1"/>
  <c r="EH243" i="24"/>
  <c r="EK243" i="24" s="1"/>
  <c r="EC78" i="24"/>
  <c r="ED78" i="24" s="1"/>
  <c r="EH78" i="24"/>
  <c r="EW78" i="24" s="1"/>
  <c r="EI78" i="24"/>
  <c r="EX78" i="24" s="1"/>
  <c r="EH60" i="24"/>
  <c r="EW60" i="24" s="1"/>
  <c r="EV136" i="25"/>
  <c r="FC136" i="25" s="1"/>
  <c r="FE136" i="25" s="1"/>
  <c r="FF136" i="25" s="1"/>
  <c r="EH285" i="24"/>
  <c r="EK285" i="24" s="1"/>
  <c r="EI60" i="24"/>
  <c r="EX60" i="24" s="1"/>
  <c r="EC242" i="24"/>
  <c r="ED242" i="24" s="1"/>
  <c r="EI242" i="24"/>
  <c r="EX242" i="24" s="1"/>
  <c r="FL242" i="24"/>
  <c r="FL285" i="24"/>
  <c r="EI285" i="24"/>
  <c r="EX285" i="24" s="1"/>
  <c r="EW216" i="24"/>
  <c r="FB216" i="24" s="1"/>
  <c r="EK216" i="24"/>
  <c r="EI89" i="25"/>
  <c r="EO89" i="25" s="1"/>
  <c r="EP89" i="25" s="1"/>
  <c r="S110" i="24"/>
  <c r="T110" i="24" s="1"/>
  <c r="J110" i="24" s="1"/>
  <c r="K110" i="24"/>
  <c r="EC92" i="24"/>
  <c r="ED92" i="24" s="1"/>
  <c r="CG92" i="24"/>
  <c r="EH92" i="24"/>
  <c r="EW92" i="24" s="1"/>
  <c r="FL237" i="24"/>
  <c r="EH237" i="24"/>
  <c r="EI237" i="24"/>
  <c r="EX237" i="24" s="1"/>
  <c r="EC237" i="24"/>
  <c r="ED237" i="24" s="1"/>
  <c r="FL275" i="24"/>
  <c r="EI275" i="24"/>
  <c r="EX275" i="24" s="1"/>
  <c r="EC275" i="24"/>
  <c r="ED275" i="24" s="1"/>
  <c r="EH275" i="24"/>
  <c r="FL221" i="24"/>
  <c r="EH221" i="24"/>
  <c r="EI221" i="24"/>
  <c r="EX221" i="24" s="1"/>
  <c r="EC221" i="24"/>
  <c r="ED221" i="24" s="1"/>
  <c r="FL244" i="24"/>
  <c r="EH244" i="24"/>
  <c r="EI244" i="24"/>
  <c r="EX244" i="24" s="1"/>
  <c r="EC244" i="24"/>
  <c r="ED244" i="24" s="1"/>
  <c r="FL254" i="24"/>
  <c r="EH254" i="24"/>
  <c r="EI254" i="24"/>
  <c r="EX254" i="24" s="1"/>
  <c r="EC254" i="24"/>
  <c r="ED254" i="24" s="1"/>
  <c r="FL265" i="24"/>
  <c r="EH265" i="24"/>
  <c r="EC265" i="24"/>
  <c r="ED265" i="24" s="1"/>
  <c r="EI265" i="24"/>
  <c r="EX265" i="24" s="1"/>
  <c r="FL311" i="24"/>
  <c r="EI311" i="24"/>
  <c r="EX311" i="24" s="1"/>
  <c r="EH311" i="24"/>
  <c r="EC311" i="24"/>
  <c r="ED311" i="24" s="1"/>
  <c r="FL224" i="24"/>
  <c r="EI224" i="24"/>
  <c r="EX224" i="24" s="1"/>
  <c r="EH224" i="24"/>
  <c r="EC224" i="24"/>
  <c r="ED224" i="24" s="1"/>
  <c r="FL247" i="24"/>
  <c r="EH247" i="24"/>
  <c r="EI247" i="24"/>
  <c r="EX247" i="24" s="1"/>
  <c r="EC247" i="24"/>
  <c r="ED247" i="24" s="1"/>
  <c r="FL228" i="24"/>
  <c r="EH228" i="24"/>
  <c r="EC228" i="24"/>
  <c r="ED228" i="24" s="1"/>
  <c r="EI228" i="24"/>
  <c r="EX228" i="24" s="1"/>
  <c r="FL300" i="24"/>
  <c r="EI300" i="24"/>
  <c r="EX300" i="24" s="1"/>
  <c r="EC300" i="24"/>
  <c r="ED300" i="24" s="1"/>
  <c r="EH300" i="24"/>
  <c r="FL261" i="24"/>
  <c r="EH261" i="24"/>
  <c r="EI261" i="24"/>
  <c r="EX261" i="24" s="1"/>
  <c r="EC261" i="24"/>
  <c r="ED261" i="24" s="1"/>
  <c r="FL226" i="24"/>
  <c r="EH226" i="24"/>
  <c r="EI226" i="24"/>
  <c r="EX226" i="24" s="1"/>
  <c r="EC226" i="24"/>
  <c r="ED226" i="24" s="1"/>
  <c r="FL316" i="24"/>
  <c r="EC316" i="24"/>
  <c r="ED316" i="24" s="1"/>
  <c r="EH316" i="24"/>
  <c r="EI316" i="24"/>
  <c r="EX316" i="24" s="1"/>
  <c r="FL290" i="24"/>
  <c r="EH290" i="24"/>
  <c r="EI290" i="24"/>
  <c r="EX290" i="24" s="1"/>
  <c r="EC290" i="24"/>
  <c r="ED290" i="24" s="1"/>
  <c r="FL294" i="24"/>
  <c r="EH294" i="24"/>
  <c r="EI294" i="24"/>
  <c r="EX294" i="24" s="1"/>
  <c r="EC294" i="24"/>
  <c r="ED294" i="24" s="1"/>
  <c r="FL217" i="24"/>
  <c r="EH217" i="24"/>
  <c r="EI217" i="24"/>
  <c r="EX217" i="24" s="1"/>
  <c r="EC217" i="24"/>
  <c r="ED217" i="24" s="1"/>
  <c r="FL307" i="24"/>
  <c r="EI307" i="24"/>
  <c r="EX307" i="24" s="1"/>
  <c r="EC307" i="24"/>
  <c r="ED307" i="24" s="1"/>
  <c r="EH307" i="24"/>
  <c r="FL260" i="24"/>
  <c r="EH260" i="24"/>
  <c r="EI260" i="24"/>
  <c r="EX260" i="24" s="1"/>
  <c r="EC260" i="24"/>
  <c r="ED260" i="24" s="1"/>
  <c r="FL256" i="24"/>
  <c r="EI256" i="24"/>
  <c r="EX256" i="24" s="1"/>
  <c r="EC256" i="24"/>
  <c r="ED256" i="24" s="1"/>
  <c r="EH256" i="24"/>
  <c r="FL234" i="24"/>
  <c r="EI234" i="24"/>
  <c r="EX234" i="24" s="1"/>
  <c r="EH234" i="24"/>
  <c r="EC234" i="24"/>
  <c r="ED234" i="24" s="1"/>
  <c r="FL250" i="24"/>
  <c r="EC250" i="24"/>
  <c r="ED250" i="24" s="1"/>
  <c r="EH250" i="24"/>
  <c r="EI250" i="24"/>
  <c r="EX250" i="24" s="1"/>
  <c r="FL286" i="24"/>
  <c r="EH286" i="24"/>
  <c r="EC286" i="24"/>
  <c r="ED286" i="24" s="1"/>
  <c r="EI286" i="24"/>
  <c r="EX286" i="24" s="1"/>
  <c r="FL310" i="24"/>
  <c r="EH310" i="24"/>
  <c r="EI310" i="24"/>
  <c r="EX310" i="24" s="1"/>
  <c r="EC310" i="24"/>
  <c r="ED310" i="24" s="1"/>
  <c r="FL240" i="24"/>
  <c r="EH240" i="24"/>
  <c r="EI240" i="24"/>
  <c r="EX240" i="24" s="1"/>
  <c r="EC240" i="24"/>
  <c r="ED240" i="24" s="1"/>
  <c r="FL268" i="24"/>
  <c r="EH268" i="24"/>
  <c r="EC268" i="24"/>
  <c r="ED268" i="24" s="1"/>
  <c r="EI268" i="24"/>
  <c r="EX268" i="24" s="1"/>
  <c r="FL280" i="24"/>
  <c r="EI280" i="24"/>
  <c r="EX280" i="24" s="1"/>
  <c r="EH280" i="24"/>
  <c r="EC280" i="24"/>
  <c r="ED280" i="24" s="1"/>
  <c r="FL284" i="24"/>
  <c r="EH284" i="24"/>
  <c r="EI284" i="24"/>
  <c r="EX284" i="24" s="1"/>
  <c r="EC284" i="24"/>
  <c r="ED284" i="24" s="1"/>
  <c r="FL266" i="24"/>
  <c r="EC266" i="24"/>
  <c r="ED266" i="24" s="1"/>
  <c r="EI266" i="24"/>
  <c r="EX266" i="24" s="1"/>
  <c r="EH266" i="24"/>
  <c r="FL272" i="24"/>
  <c r="EI272" i="24"/>
  <c r="EX272" i="24" s="1"/>
  <c r="EC272" i="24"/>
  <c r="ED272" i="24" s="1"/>
  <c r="EH272" i="24"/>
  <c r="FL274" i="24"/>
  <c r="EH274" i="24"/>
  <c r="EI274" i="24"/>
  <c r="EX274" i="24" s="1"/>
  <c r="EC274" i="24"/>
  <c r="ED274" i="24" s="1"/>
  <c r="FL302" i="24"/>
  <c r="EI302" i="24"/>
  <c r="EX302" i="24" s="1"/>
  <c r="EH302" i="24"/>
  <c r="EC302" i="24"/>
  <c r="ED302" i="24" s="1"/>
  <c r="FL231" i="24"/>
  <c r="EI231" i="24"/>
  <c r="EX231" i="24" s="1"/>
  <c r="EH231" i="24"/>
  <c r="EC231" i="24"/>
  <c r="ED231" i="24" s="1"/>
  <c r="FL263" i="24"/>
  <c r="EH263" i="24"/>
  <c r="EC263" i="24"/>
  <c r="ED263" i="24" s="1"/>
  <c r="EI263" i="24"/>
  <c r="EX263" i="24" s="1"/>
  <c r="FL283" i="24"/>
  <c r="EC283" i="24"/>
  <c r="ED283" i="24" s="1"/>
  <c r="EH283" i="24"/>
  <c r="EI283" i="24"/>
  <c r="EX283" i="24" s="1"/>
  <c r="FL291" i="24"/>
  <c r="EC291" i="24"/>
  <c r="ED291" i="24" s="1"/>
  <c r="EH291" i="24"/>
  <c r="EI291" i="24"/>
  <c r="EX291" i="24" s="1"/>
  <c r="FL220" i="24"/>
  <c r="EH220" i="24"/>
  <c r="EI220" i="24"/>
  <c r="EX220" i="24" s="1"/>
  <c r="EC220" i="24"/>
  <c r="ED220" i="24" s="1"/>
  <c r="FL219" i="24"/>
  <c r="EH219" i="24"/>
  <c r="EC219" i="24"/>
  <c r="ED219" i="24" s="1"/>
  <c r="EI219" i="24"/>
  <c r="EX219" i="24" s="1"/>
  <c r="FL313" i="24"/>
  <c r="EH313" i="24"/>
  <c r="EI313" i="24"/>
  <c r="EX313" i="24" s="1"/>
  <c r="EC313" i="24"/>
  <c r="ED313" i="24" s="1"/>
  <c r="FL271" i="24"/>
  <c r="EH271" i="24"/>
  <c r="EC271" i="24"/>
  <c r="ED271" i="24" s="1"/>
  <c r="EI271" i="24"/>
  <c r="EX271" i="24" s="1"/>
  <c r="FL312" i="24"/>
  <c r="EH312" i="24"/>
  <c r="EI312" i="24"/>
  <c r="EX312" i="24" s="1"/>
  <c r="EC312" i="24"/>
  <c r="ED312" i="24" s="1"/>
  <c r="FL248" i="24"/>
  <c r="EH248" i="24"/>
  <c r="EI248" i="24"/>
  <c r="EX248" i="24" s="1"/>
  <c r="EC248" i="24"/>
  <c r="ED248" i="24" s="1"/>
  <c r="FL262" i="24"/>
  <c r="EI262" i="24"/>
  <c r="EX262" i="24" s="1"/>
  <c r="EC262" i="24"/>
  <c r="ED262" i="24" s="1"/>
  <c r="EH262" i="24"/>
  <c r="FL301" i="24"/>
  <c r="EH301" i="24"/>
  <c r="EI301" i="24"/>
  <c r="EX301" i="24" s="1"/>
  <c r="EC301" i="24"/>
  <c r="ED301" i="24" s="1"/>
  <c r="FL218" i="24"/>
  <c r="EI218" i="24"/>
  <c r="EX218" i="24" s="1"/>
  <c r="EC218" i="24"/>
  <c r="ED218" i="24" s="1"/>
  <c r="EH218" i="24"/>
  <c r="FL278" i="24"/>
  <c r="EH278" i="24"/>
  <c r="EI278" i="24"/>
  <c r="EX278" i="24" s="1"/>
  <c r="EC278" i="24"/>
  <c r="ED278" i="24" s="1"/>
  <c r="FL305" i="24"/>
  <c r="EH305" i="24"/>
  <c r="EI305" i="24"/>
  <c r="EX305" i="24" s="1"/>
  <c r="EC305" i="24"/>
  <c r="ED305" i="24" s="1"/>
  <c r="FL229" i="24"/>
  <c r="EH229" i="24"/>
  <c r="EI229" i="24"/>
  <c r="EX229" i="24" s="1"/>
  <c r="EC229" i="24"/>
  <c r="ED229" i="24" s="1"/>
  <c r="FL222" i="24"/>
  <c r="EH222" i="24"/>
  <c r="EI222" i="24"/>
  <c r="EX222" i="24" s="1"/>
  <c r="EC222" i="24"/>
  <c r="ED222" i="24" s="1"/>
  <c r="FL279" i="24"/>
  <c r="EH279" i="24"/>
  <c r="EC279" i="24"/>
  <c r="ED279" i="24" s="1"/>
  <c r="EI279" i="24"/>
  <c r="EX279" i="24" s="1"/>
  <c r="FL304" i="24"/>
  <c r="EC304" i="24"/>
  <c r="ED304" i="24" s="1"/>
  <c r="EH304" i="24"/>
  <c r="EI304" i="24"/>
  <c r="EX304" i="24" s="1"/>
  <c r="FL225" i="24"/>
  <c r="EH225" i="24"/>
  <c r="EC225" i="24"/>
  <c r="ED225" i="24" s="1"/>
  <c r="EI225" i="24"/>
  <c r="EX225" i="24" s="1"/>
  <c r="FL299" i="24"/>
  <c r="EC299" i="24"/>
  <c r="ED299" i="24" s="1"/>
  <c r="EH299" i="24"/>
  <c r="EI299" i="24"/>
  <c r="EX299" i="24" s="1"/>
  <c r="FL245" i="24"/>
  <c r="EH245" i="24"/>
  <c r="EI245" i="24"/>
  <c r="EX245" i="24" s="1"/>
  <c r="EC245" i="24"/>
  <c r="ED245" i="24" s="1"/>
  <c r="FL308" i="24"/>
  <c r="EH308" i="24"/>
  <c r="EI308" i="24"/>
  <c r="EX308" i="24" s="1"/>
  <c r="EC308" i="24"/>
  <c r="ED308" i="24" s="1"/>
  <c r="FL303" i="24"/>
  <c r="EH303" i="24"/>
  <c r="EI303" i="24"/>
  <c r="EX303" i="24" s="1"/>
  <c r="EC303" i="24"/>
  <c r="ED303" i="24" s="1"/>
  <c r="FL267" i="24"/>
  <c r="EC267" i="24"/>
  <c r="ED267" i="24" s="1"/>
  <c r="EH267" i="24"/>
  <c r="EI267" i="24"/>
  <c r="EX267" i="24" s="1"/>
  <c r="FL297" i="24"/>
  <c r="EH297" i="24"/>
  <c r="EI297" i="24"/>
  <c r="EX297" i="24" s="1"/>
  <c r="EC297" i="24"/>
  <c r="ED297" i="24" s="1"/>
  <c r="FL253" i="24"/>
  <c r="EC253" i="24"/>
  <c r="ED253" i="24" s="1"/>
  <c r="EH253" i="24"/>
  <c r="EI253" i="24"/>
  <c r="EX253" i="24" s="1"/>
  <c r="FL287" i="24"/>
  <c r="EH287" i="24"/>
  <c r="EI287" i="24"/>
  <c r="EX287" i="24" s="1"/>
  <c r="EC287" i="24"/>
  <c r="ED287" i="24" s="1"/>
  <c r="FL264" i="24"/>
  <c r="EI264" i="24"/>
  <c r="EX264" i="24" s="1"/>
  <c r="EH264" i="24"/>
  <c r="EC264" i="24"/>
  <c r="ED264" i="24" s="1"/>
  <c r="FL241" i="24"/>
  <c r="EH241" i="24"/>
  <c r="EI241" i="24"/>
  <c r="EX241" i="24" s="1"/>
  <c r="EC241" i="24"/>
  <c r="ED241" i="24" s="1"/>
  <c r="FL273" i="24"/>
  <c r="EH273" i="24"/>
  <c r="EI273" i="24"/>
  <c r="EX273" i="24" s="1"/>
  <c r="EC273" i="24"/>
  <c r="ED273" i="24" s="1"/>
  <c r="FL259" i="24"/>
  <c r="EI259" i="24"/>
  <c r="EX259" i="24" s="1"/>
  <c r="EC259" i="24"/>
  <c r="ED259" i="24" s="1"/>
  <c r="EH259" i="24"/>
  <c r="FL255" i="24"/>
  <c r="EH255" i="24"/>
  <c r="EC255" i="24"/>
  <c r="ED255" i="24" s="1"/>
  <c r="EI255" i="24"/>
  <c r="EX255" i="24" s="1"/>
  <c r="FL239" i="24"/>
  <c r="EI239" i="24"/>
  <c r="EX239" i="24" s="1"/>
  <c r="EC239" i="24"/>
  <c r="ED239" i="24" s="1"/>
  <c r="EH239" i="24"/>
  <c r="FL270" i="24"/>
  <c r="EI270" i="24"/>
  <c r="EX270" i="24" s="1"/>
  <c r="EH270" i="24"/>
  <c r="EC270" i="24"/>
  <c r="ED270" i="24" s="1"/>
  <c r="FL269" i="24"/>
  <c r="EH269" i="24"/>
  <c r="EC269" i="24"/>
  <c r="ED269" i="24" s="1"/>
  <c r="EI269" i="24"/>
  <c r="EX269" i="24" s="1"/>
  <c r="FL257" i="24"/>
  <c r="EH257" i="24"/>
  <c r="EC257" i="24"/>
  <c r="ED257" i="24" s="1"/>
  <c r="EI257" i="24"/>
  <c r="EX257" i="24" s="1"/>
  <c r="FL295" i="24"/>
  <c r="EH295" i="24"/>
  <c r="EI295" i="24"/>
  <c r="EX295" i="24" s="1"/>
  <c r="EC295" i="24"/>
  <c r="ED295" i="24" s="1"/>
  <c r="FL282" i="24"/>
  <c r="EC282" i="24"/>
  <c r="ED282" i="24" s="1"/>
  <c r="EH282" i="24"/>
  <c r="EI282" i="24"/>
  <c r="EX282" i="24" s="1"/>
  <c r="FL314" i="24"/>
  <c r="EH314" i="24"/>
  <c r="EI314" i="24"/>
  <c r="EX314" i="24" s="1"/>
  <c r="EC314" i="24"/>
  <c r="ED314" i="24" s="1"/>
  <c r="FL298" i="24"/>
  <c r="EI298" i="24"/>
  <c r="EX298" i="24" s="1"/>
  <c r="EH298" i="24"/>
  <c r="EC298" i="24"/>
  <c r="ED298" i="24" s="1"/>
  <c r="FL277" i="24"/>
  <c r="EI277" i="24"/>
  <c r="EX277" i="24" s="1"/>
  <c r="EH277" i="24"/>
  <c r="EC277" i="24"/>
  <c r="ED277" i="24" s="1"/>
  <c r="FL288" i="24"/>
  <c r="EH288" i="24"/>
  <c r="EI288" i="24"/>
  <c r="EX288" i="24" s="1"/>
  <c r="EC288" i="24"/>
  <c r="ED288" i="24" s="1"/>
  <c r="FL293" i="24"/>
  <c r="EH293" i="24"/>
  <c r="EI293" i="24"/>
  <c r="EX293" i="24" s="1"/>
  <c r="EC293" i="24"/>
  <c r="ED293" i="24" s="1"/>
  <c r="FL233" i="24"/>
  <c r="EH233" i="24"/>
  <c r="EI233" i="24"/>
  <c r="EX233" i="24" s="1"/>
  <c r="EC233" i="24"/>
  <c r="ED233" i="24" s="1"/>
  <c r="FL252" i="24"/>
  <c r="EH252" i="24"/>
  <c r="EC252" i="24"/>
  <c r="ED252" i="24" s="1"/>
  <c r="EI252" i="24"/>
  <c r="EX252" i="24" s="1"/>
  <c r="FL306" i="24"/>
  <c r="EC306" i="24"/>
  <c r="ED306" i="24" s="1"/>
  <c r="EH306" i="24"/>
  <c r="EI306" i="24"/>
  <c r="EX306" i="24" s="1"/>
  <c r="FL315" i="24"/>
  <c r="EH315" i="24"/>
  <c r="EI315" i="24"/>
  <c r="EX315" i="24" s="1"/>
  <c r="EC315" i="24"/>
  <c r="ED315" i="24" s="1"/>
  <c r="FL281" i="24"/>
  <c r="EH281" i="24"/>
  <c r="EI281" i="24"/>
  <c r="EX281" i="24" s="1"/>
  <c r="EC281" i="24"/>
  <c r="ED281" i="24" s="1"/>
  <c r="FL296" i="24"/>
  <c r="EI296" i="24"/>
  <c r="EX296" i="24" s="1"/>
  <c r="EC296" i="24"/>
  <c r="ED296" i="24" s="1"/>
  <c r="EH296" i="24"/>
  <c r="FL232" i="24"/>
  <c r="EH232" i="24"/>
  <c r="EI232" i="24"/>
  <c r="EX232" i="24" s="1"/>
  <c r="EC232" i="24"/>
  <c r="ED232" i="24" s="1"/>
  <c r="FL235" i="24"/>
  <c r="EH235" i="24"/>
  <c r="EI235" i="24"/>
  <c r="EX235" i="24" s="1"/>
  <c r="EC235" i="24"/>
  <c r="ED235" i="24" s="1"/>
  <c r="FL246" i="24"/>
  <c r="EH246" i="24"/>
  <c r="EI246" i="24"/>
  <c r="EX246" i="24" s="1"/>
  <c r="EC246" i="24"/>
  <c r="ED246" i="24" s="1"/>
  <c r="FL292" i="24"/>
  <c r="EH292" i="24"/>
  <c r="EI292" i="24"/>
  <c r="EX292" i="24" s="1"/>
  <c r="EC292" i="24"/>
  <c r="ED292" i="24" s="1"/>
  <c r="FL238" i="24"/>
  <c r="EH238" i="24"/>
  <c r="EI238" i="24"/>
  <c r="EX238" i="24" s="1"/>
  <c r="EC238" i="24"/>
  <c r="ED238" i="24" s="1"/>
  <c r="FL276" i="24"/>
  <c r="EH276" i="24"/>
  <c r="EI276" i="24"/>
  <c r="EX276" i="24" s="1"/>
  <c r="EC276" i="24"/>
  <c r="ED276" i="24" s="1"/>
  <c r="FL289" i="24"/>
  <c r="EH289" i="24"/>
  <c r="EI289" i="24"/>
  <c r="EX289" i="24" s="1"/>
  <c r="EC289" i="24"/>
  <c r="ED289" i="24" s="1"/>
  <c r="FL227" i="24"/>
  <c r="EH227" i="24"/>
  <c r="EC227" i="24"/>
  <c r="ED227" i="24" s="1"/>
  <c r="EI227" i="24"/>
  <c r="EX227" i="24" s="1"/>
  <c r="FL251" i="24"/>
  <c r="EH251" i="24"/>
  <c r="EI251" i="24"/>
  <c r="EX251" i="24" s="1"/>
  <c r="EC251" i="24"/>
  <c r="ED251" i="24" s="1"/>
  <c r="FL236" i="24"/>
  <c r="EI236" i="24"/>
  <c r="EX236" i="24" s="1"/>
  <c r="EC236" i="24"/>
  <c r="ED236" i="24" s="1"/>
  <c r="EH236" i="24"/>
  <c r="FL230" i="24"/>
  <c r="EH230" i="24"/>
  <c r="EI230" i="24"/>
  <c r="EX230" i="24" s="1"/>
  <c r="EC230" i="24"/>
  <c r="ED230" i="24" s="1"/>
  <c r="FL309" i="24"/>
  <c r="EH309" i="24"/>
  <c r="EI309" i="24"/>
  <c r="EX309" i="24" s="1"/>
  <c r="EC309" i="24"/>
  <c r="ED309" i="24" s="1"/>
  <c r="FL258" i="24"/>
  <c r="EH258" i="24"/>
  <c r="EI258" i="24"/>
  <c r="EX258" i="24" s="1"/>
  <c r="EC258" i="24"/>
  <c r="ED258" i="24" s="1"/>
  <c r="FL223" i="24"/>
  <c r="EH223" i="24"/>
  <c r="EC223" i="24"/>
  <c r="ED223" i="24" s="1"/>
  <c r="EI223" i="24"/>
  <c r="EX223" i="24" s="1"/>
  <c r="FL249" i="24"/>
  <c r="EH249" i="24"/>
  <c r="EI249" i="24"/>
  <c r="EX249" i="24" s="1"/>
  <c r="EC249" i="24"/>
  <c r="ED249" i="24" s="1"/>
  <c r="EK242" i="24"/>
  <c r="EW242" i="24"/>
  <c r="EV299" i="25"/>
  <c r="FB299" i="25" s="1"/>
  <c r="EI299" i="25"/>
  <c r="EV252" i="25"/>
  <c r="FB252" i="25" s="1"/>
  <c r="EI252" i="25"/>
  <c r="EI308" i="25"/>
  <c r="EV308" i="25"/>
  <c r="FB308" i="25" s="1"/>
  <c r="EI281" i="25"/>
  <c r="EV281" i="25"/>
  <c r="FB281" i="25" s="1"/>
  <c r="EI274" i="25"/>
  <c r="EV274" i="25"/>
  <c r="FB274" i="25" s="1"/>
  <c r="EI300" i="25"/>
  <c r="EV300" i="25"/>
  <c r="FB300" i="25" s="1"/>
  <c r="EV303" i="25"/>
  <c r="FB303" i="25" s="1"/>
  <c r="EI303" i="25"/>
  <c r="EI296" i="25"/>
  <c r="EV296" i="25"/>
  <c r="FB296" i="25" s="1"/>
  <c r="EV228" i="25"/>
  <c r="FB228" i="25" s="1"/>
  <c r="EI228" i="25"/>
  <c r="EI219" i="25"/>
  <c r="EV219" i="25"/>
  <c r="FB219" i="25" s="1"/>
  <c r="EI315" i="25"/>
  <c r="EV315" i="25"/>
  <c r="FB315" i="25" s="1"/>
  <c r="EI291" i="25"/>
  <c r="EV291" i="25"/>
  <c r="FB291" i="25" s="1"/>
  <c r="EI292" i="25"/>
  <c r="EV292" i="25"/>
  <c r="FB292" i="25" s="1"/>
  <c r="EI283" i="25"/>
  <c r="EV283" i="25"/>
  <c r="FB283" i="25" s="1"/>
  <c r="EI279" i="25"/>
  <c r="EV279" i="25"/>
  <c r="FB279" i="25" s="1"/>
  <c r="EV298" i="25"/>
  <c r="FB298" i="25" s="1"/>
  <c r="EI298" i="25"/>
  <c r="EI251" i="25"/>
  <c r="EV251" i="25"/>
  <c r="FB251" i="25" s="1"/>
  <c r="EI259" i="25"/>
  <c r="EV259" i="25"/>
  <c r="FB259" i="25" s="1"/>
  <c r="EV266" i="25"/>
  <c r="FB266" i="25" s="1"/>
  <c r="EI266" i="25"/>
  <c r="EI242" i="25"/>
  <c r="EV242" i="25"/>
  <c r="FB242" i="25" s="1"/>
  <c r="EV290" i="25"/>
  <c r="FB290" i="25" s="1"/>
  <c r="EI290" i="25"/>
  <c r="EI301" i="25"/>
  <c r="EV301" i="25"/>
  <c r="FB301" i="25" s="1"/>
  <c r="EV295" i="25"/>
  <c r="FB295" i="25" s="1"/>
  <c r="EI295" i="25"/>
  <c r="EI218" i="25"/>
  <c r="EV218" i="25"/>
  <c r="FB218" i="25" s="1"/>
  <c r="EI286" i="25"/>
  <c r="EV286" i="25"/>
  <c r="FB286" i="25" s="1"/>
  <c r="EI227" i="25"/>
  <c r="EV227" i="25"/>
  <c r="FB227" i="25" s="1"/>
  <c r="EI258" i="25"/>
  <c r="EV258" i="25"/>
  <c r="FB258" i="25" s="1"/>
  <c r="EI253" i="25"/>
  <c r="EV253" i="25"/>
  <c r="FB253" i="25" s="1"/>
  <c r="EV282" i="25"/>
  <c r="FB282" i="25" s="1"/>
  <c r="EI282" i="25"/>
  <c r="EI278" i="25"/>
  <c r="EV278" i="25"/>
  <c r="FB278" i="25" s="1"/>
  <c r="EV223" i="25"/>
  <c r="FB223" i="25" s="1"/>
  <c r="EI223" i="25"/>
  <c r="EV239" i="25"/>
  <c r="FB239" i="25" s="1"/>
  <c r="EI239" i="25"/>
  <c r="EI275" i="25"/>
  <c r="EV275" i="25"/>
  <c r="FB275" i="25" s="1"/>
  <c r="EI294" i="25"/>
  <c r="EV294" i="25"/>
  <c r="FB294" i="25" s="1"/>
  <c r="EI225" i="25"/>
  <c r="EV225" i="25"/>
  <c r="FB225" i="25" s="1"/>
  <c r="EV316" i="25"/>
  <c r="FB316" i="25" s="1"/>
  <c r="EI316" i="25"/>
  <c r="EI243" i="25"/>
  <c r="EV243" i="25"/>
  <c r="FB243" i="25" s="1"/>
  <c r="EV268" i="25"/>
  <c r="FB268" i="25" s="1"/>
  <c r="EI268" i="25"/>
  <c r="EV249" i="25"/>
  <c r="FB249" i="25" s="1"/>
  <c r="EI249" i="25"/>
  <c r="EV270" i="25"/>
  <c r="FB270" i="25" s="1"/>
  <c r="EI270" i="25"/>
  <c r="EI302" i="25"/>
  <c r="EV302" i="25"/>
  <c r="FB302" i="25" s="1"/>
  <c r="EI307" i="25"/>
  <c r="EV307" i="25"/>
  <c r="FB307" i="25" s="1"/>
  <c r="EI312" i="25"/>
  <c r="EV312" i="25"/>
  <c r="FB312" i="25" s="1"/>
  <c r="EI237" i="25"/>
  <c r="EV237" i="25"/>
  <c r="FB237" i="25" s="1"/>
  <c r="EV244" i="25"/>
  <c r="FB244" i="25" s="1"/>
  <c r="EI244" i="25"/>
  <c r="EI250" i="25"/>
  <c r="EV250" i="25"/>
  <c r="FB250" i="25" s="1"/>
  <c r="EI293" i="25"/>
  <c r="EV293" i="25"/>
  <c r="FB293" i="25" s="1"/>
  <c r="EV267" i="25"/>
  <c r="FB267" i="25" s="1"/>
  <c r="EI267" i="25"/>
  <c r="EI261" i="25"/>
  <c r="EV261" i="25"/>
  <c r="FB261" i="25" s="1"/>
  <c r="EV313" i="25"/>
  <c r="FB313" i="25" s="1"/>
  <c r="EI313" i="25"/>
  <c r="EI232" i="25"/>
  <c r="EV232" i="25"/>
  <c r="FB232" i="25" s="1"/>
  <c r="EV263" i="25"/>
  <c r="FB263" i="25" s="1"/>
  <c r="EI263" i="25"/>
  <c r="EV305" i="25"/>
  <c r="FB305" i="25" s="1"/>
  <c r="EI305" i="25"/>
  <c r="EI231" i="25"/>
  <c r="EV231" i="25"/>
  <c r="FB231" i="25" s="1"/>
  <c r="EV246" i="25"/>
  <c r="FB246" i="25" s="1"/>
  <c r="EI246" i="25"/>
  <c r="EV230" i="25"/>
  <c r="FB230" i="25" s="1"/>
  <c r="EI230" i="25"/>
  <c r="EI262" i="25"/>
  <c r="EV262" i="25"/>
  <c r="FB262" i="25" s="1"/>
  <c r="EI285" i="25"/>
  <c r="EV285" i="25"/>
  <c r="FB285" i="25" s="1"/>
  <c r="EI310" i="25"/>
  <c r="EV310" i="25"/>
  <c r="FB310" i="25" s="1"/>
  <c r="EI280" i="25"/>
  <c r="EV280" i="25"/>
  <c r="FB280" i="25" s="1"/>
  <c r="EI289" i="25"/>
  <c r="EV289" i="25"/>
  <c r="FB289" i="25" s="1"/>
  <c r="EV271" i="25"/>
  <c r="FB271" i="25" s="1"/>
  <c r="EI271" i="25"/>
  <c r="EI222" i="25"/>
  <c r="EV222" i="25"/>
  <c r="FB222" i="25" s="1"/>
  <c r="EI240" i="25"/>
  <c r="EV240" i="25"/>
  <c r="FB240" i="25" s="1"/>
  <c r="EI229" i="25"/>
  <c r="EV229" i="25"/>
  <c r="FB229" i="25" s="1"/>
  <c r="EI241" i="25"/>
  <c r="EV241" i="25"/>
  <c r="FB241" i="25" s="1"/>
  <c r="EI226" i="25"/>
  <c r="EV226" i="25"/>
  <c r="FB226" i="25" s="1"/>
  <c r="EI304" i="25"/>
  <c r="EV304" i="25"/>
  <c r="FB304" i="25" s="1"/>
  <c r="EI272" i="25"/>
  <c r="EV272" i="25"/>
  <c r="FB272" i="25" s="1"/>
  <c r="EI288" i="25"/>
  <c r="EV288" i="25"/>
  <c r="FB288" i="25" s="1"/>
  <c r="EV264" i="25"/>
  <c r="FB264" i="25" s="1"/>
  <c r="EI264" i="25"/>
  <c r="EV306" i="25"/>
  <c r="FB306" i="25" s="1"/>
  <c r="EI306" i="25"/>
  <c r="EI255" i="25"/>
  <c r="EV255" i="25"/>
  <c r="FB255" i="25" s="1"/>
  <c r="EV314" i="25"/>
  <c r="FB314" i="25" s="1"/>
  <c r="EI314" i="25"/>
  <c r="EI224" i="25"/>
  <c r="EV224" i="25"/>
  <c r="FB224" i="25" s="1"/>
  <c r="EV221" i="25"/>
  <c r="FB221" i="25" s="1"/>
  <c r="EI221" i="25"/>
  <c r="EV311" i="25"/>
  <c r="FB311" i="25" s="1"/>
  <c r="EI311" i="25"/>
  <c r="EV257" i="25"/>
  <c r="FB257" i="25" s="1"/>
  <c r="EI257" i="25"/>
  <c r="EV287" i="25"/>
  <c r="FB287" i="25" s="1"/>
  <c r="EI287" i="25"/>
  <c r="EI297" i="25"/>
  <c r="EV297" i="25"/>
  <c r="FB297" i="25" s="1"/>
  <c r="EV284" i="25"/>
  <c r="FB284" i="25" s="1"/>
  <c r="EI284" i="25"/>
  <c r="EV238" i="25"/>
  <c r="FB238" i="25" s="1"/>
  <c r="EI238" i="25"/>
  <c r="EV236" i="25"/>
  <c r="FB236" i="25" s="1"/>
  <c r="EI236" i="25"/>
  <c r="EV260" i="25"/>
  <c r="FB260" i="25" s="1"/>
  <c r="EI260" i="25"/>
  <c r="EV273" i="25"/>
  <c r="FB273" i="25" s="1"/>
  <c r="EI273" i="25"/>
  <c r="EI248" i="25"/>
  <c r="EV248" i="25"/>
  <c r="FB248" i="25" s="1"/>
  <c r="EV245" i="25"/>
  <c r="FB245" i="25" s="1"/>
  <c r="EI245" i="25"/>
  <c r="EI309" i="25"/>
  <c r="EV309" i="25"/>
  <c r="FB309" i="25" s="1"/>
  <c r="EV269" i="25"/>
  <c r="FB269" i="25" s="1"/>
  <c r="EI269" i="25"/>
  <c r="EV220" i="25"/>
  <c r="FB220" i="25" s="1"/>
  <c r="EI220" i="25"/>
  <c r="EV234" i="25"/>
  <c r="FB234" i="25" s="1"/>
  <c r="EI234" i="25"/>
  <c r="EV256" i="25"/>
  <c r="FB256" i="25" s="1"/>
  <c r="EI256" i="25"/>
  <c r="EV277" i="25"/>
  <c r="FB277" i="25" s="1"/>
  <c r="EI277" i="25"/>
  <c r="EI247" i="25"/>
  <c r="EV247" i="25"/>
  <c r="FB247" i="25" s="1"/>
  <c r="EV233" i="25"/>
  <c r="FB233" i="25" s="1"/>
  <c r="EI233" i="25"/>
  <c r="EV276" i="25"/>
  <c r="FB276" i="25" s="1"/>
  <c r="EI276" i="25"/>
  <c r="EV265" i="25"/>
  <c r="FB265" i="25" s="1"/>
  <c r="EI265" i="25"/>
  <c r="EV254" i="25"/>
  <c r="FB254" i="25" s="1"/>
  <c r="EI254" i="25"/>
  <c r="EI217" i="25"/>
  <c r="EV217" i="25"/>
  <c r="FB217" i="25" s="1"/>
  <c r="EI235" i="25"/>
  <c r="EV235" i="25"/>
  <c r="FB235" i="25" s="1"/>
  <c r="CG78" i="24"/>
  <c r="EC74" i="24"/>
  <c r="ED74" i="24" s="1"/>
  <c r="EI112" i="25"/>
  <c r="EV112" i="25"/>
  <c r="FB112" i="25" s="1"/>
  <c r="EI103" i="25"/>
  <c r="EO103" i="25" s="1"/>
  <c r="EP103" i="25" s="1"/>
  <c r="EH74" i="24"/>
  <c r="EW74" i="24" s="1"/>
  <c r="BK110" i="24"/>
  <c r="EI74" i="24"/>
  <c r="EX74" i="24" s="1"/>
  <c r="EI64" i="25"/>
  <c r="EO64" i="25" s="1"/>
  <c r="EP64" i="25" s="1"/>
  <c r="CG89" i="24"/>
  <c r="FL89" i="24"/>
  <c r="CG149" i="24"/>
  <c r="FL149" i="24"/>
  <c r="CG120" i="24"/>
  <c r="FL120" i="24"/>
  <c r="CG93" i="24"/>
  <c r="FL93" i="24"/>
  <c r="CG135" i="24"/>
  <c r="FL135" i="24"/>
  <c r="CG193" i="24"/>
  <c r="FL193" i="24"/>
  <c r="CG38" i="24"/>
  <c r="FL38" i="24"/>
  <c r="CG171" i="24"/>
  <c r="FL171" i="24"/>
  <c r="CG207" i="24"/>
  <c r="FL207" i="24"/>
  <c r="CG173" i="24"/>
  <c r="FL173" i="24"/>
  <c r="CG27" i="24"/>
  <c r="FL27" i="24"/>
  <c r="CG167" i="24"/>
  <c r="FL167" i="24"/>
  <c r="CG22" i="24"/>
  <c r="FL22" i="24"/>
  <c r="CG197" i="24"/>
  <c r="FL197" i="24"/>
  <c r="CG41" i="24"/>
  <c r="FL41" i="24"/>
  <c r="CG26" i="24"/>
  <c r="FL26" i="24"/>
  <c r="CG128" i="24"/>
  <c r="FL128" i="24"/>
  <c r="EC23" i="24"/>
  <c r="ED23" i="24" s="1"/>
  <c r="FL23" i="24"/>
  <c r="CG13" i="24"/>
  <c r="FL13" i="24"/>
  <c r="CG132" i="24"/>
  <c r="FL132" i="24"/>
  <c r="CG160" i="24"/>
  <c r="FL160" i="24"/>
  <c r="CG186" i="24"/>
  <c r="FL186" i="24"/>
  <c r="CG52" i="24"/>
  <c r="FL52" i="24"/>
  <c r="CG144" i="24"/>
  <c r="FL144" i="24"/>
  <c r="CG208" i="24"/>
  <c r="FL208" i="24"/>
  <c r="CG145" i="24"/>
  <c r="FL145" i="24"/>
  <c r="CG53" i="24"/>
  <c r="FL53" i="24"/>
  <c r="CG168" i="24"/>
  <c r="FL168" i="24"/>
  <c r="CG87" i="24"/>
  <c r="FL87" i="24"/>
  <c r="CG100" i="24"/>
  <c r="FL100" i="24"/>
  <c r="CG15" i="24"/>
  <c r="FL15" i="24"/>
  <c r="CG16" i="24"/>
  <c r="FL16" i="24"/>
  <c r="CG148" i="24"/>
  <c r="FL148" i="24"/>
  <c r="CG51" i="24"/>
  <c r="FL51" i="24"/>
  <c r="CG182" i="24"/>
  <c r="FL182" i="24"/>
  <c r="CG174" i="24"/>
  <c r="FL174" i="24"/>
  <c r="CG152" i="24"/>
  <c r="FL152" i="24"/>
  <c r="CG147" i="24"/>
  <c r="FL147" i="24"/>
  <c r="EH67" i="24"/>
  <c r="EW67" i="24" s="1"/>
  <c r="FL67" i="24"/>
  <c r="EZ47" i="25"/>
  <c r="FB47" i="25" s="1"/>
  <c r="CG37" i="24"/>
  <c r="FL37" i="24"/>
  <c r="CG60" i="24"/>
  <c r="FL60" i="24"/>
  <c r="CG191" i="24"/>
  <c r="FL191" i="24"/>
  <c r="CG118" i="24"/>
  <c r="FL118" i="24"/>
  <c r="CG18" i="24"/>
  <c r="FL18" i="24"/>
  <c r="CG61" i="24"/>
  <c r="FL61" i="24"/>
  <c r="CG21" i="24"/>
  <c r="FL21" i="24"/>
  <c r="CG7" i="24"/>
  <c r="FL7" i="24"/>
  <c r="CG36" i="24"/>
  <c r="FL36" i="24"/>
  <c r="CG42" i="24"/>
  <c r="FL42" i="24"/>
  <c r="CG117" i="24"/>
  <c r="FL117" i="24"/>
  <c r="CG158" i="24"/>
  <c r="FL158" i="24"/>
  <c r="CG102" i="24"/>
  <c r="FL102" i="24"/>
  <c r="CG84" i="24"/>
  <c r="FL84" i="24"/>
  <c r="CG179" i="24"/>
  <c r="FL179" i="24"/>
  <c r="CG137" i="24"/>
  <c r="FL137" i="24"/>
  <c r="EI43" i="24"/>
  <c r="EX43" i="24" s="1"/>
  <c r="FL43" i="24"/>
  <c r="EC40" i="24"/>
  <c r="ED40" i="24" s="1"/>
  <c r="FL40" i="24"/>
  <c r="CG124" i="24"/>
  <c r="FL124" i="24"/>
  <c r="CG48" i="24"/>
  <c r="FL48" i="24"/>
  <c r="CG55" i="24"/>
  <c r="FL55" i="24"/>
  <c r="CG94" i="24"/>
  <c r="FL94" i="24"/>
  <c r="CG178" i="24"/>
  <c r="FL178" i="24"/>
  <c r="CG194" i="24"/>
  <c r="FL194" i="24"/>
  <c r="CG121" i="24"/>
  <c r="FL121" i="24"/>
  <c r="CG165" i="24"/>
  <c r="FL165" i="24"/>
  <c r="CG82" i="24"/>
  <c r="FL82" i="24"/>
  <c r="CG164" i="24"/>
  <c r="FL164" i="24"/>
  <c r="CG46" i="24"/>
  <c r="FL46" i="24"/>
  <c r="CG140" i="24"/>
  <c r="FL140" i="24"/>
  <c r="CG205" i="24"/>
  <c r="FL205" i="24"/>
  <c r="CG47" i="24"/>
  <c r="FL47" i="24"/>
  <c r="CG157" i="24"/>
  <c r="FL157" i="24"/>
  <c r="CG103" i="24"/>
  <c r="FL103" i="24"/>
  <c r="CG188" i="24"/>
  <c r="FL188" i="24"/>
  <c r="CG151" i="24"/>
  <c r="FL151" i="24"/>
  <c r="CG156" i="24"/>
  <c r="FL156" i="24"/>
  <c r="CG73" i="24"/>
  <c r="FL73" i="24"/>
  <c r="CG20" i="24"/>
  <c r="FL20" i="24"/>
  <c r="CG85" i="24"/>
  <c r="FL85" i="24"/>
  <c r="CG19" i="24"/>
  <c r="FL19" i="24"/>
  <c r="CG95" i="24"/>
  <c r="FL95" i="24"/>
  <c r="CG123" i="24"/>
  <c r="FL123" i="24"/>
  <c r="CG6" i="24"/>
  <c r="FL6" i="24"/>
  <c r="EH77" i="24"/>
  <c r="EW77" i="24" s="1"/>
  <c r="FL77" i="24"/>
  <c r="CG111" i="24"/>
  <c r="FL111" i="24"/>
  <c r="CG133" i="24"/>
  <c r="FL133" i="24"/>
  <c r="CG44" i="24"/>
  <c r="FL44" i="24"/>
  <c r="CG79" i="24"/>
  <c r="FL79" i="24"/>
  <c r="CG203" i="24"/>
  <c r="FL203" i="24"/>
  <c r="CG130" i="24"/>
  <c r="FL130" i="24"/>
  <c r="CG183" i="24"/>
  <c r="FL183" i="24"/>
  <c r="CG57" i="24"/>
  <c r="FL57" i="24"/>
  <c r="CG80" i="24"/>
  <c r="FL80" i="24"/>
  <c r="CG54" i="24"/>
  <c r="FL54" i="24"/>
  <c r="CG97" i="24"/>
  <c r="FL97" i="24"/>
  <c r="CG65" i="24"/>
  <c r="FL65" i="24"/>
  <c r="CG198" i="24"/>
  <c r="FL198" i="24"/>
  <c r="CG187" i="24"/>
  <c r="FL187" i="24"/>
  <c r="CG131" i="24"/>
  <c r="FL131" i="24"/>
  <c r="CG163" i="24"/>
  <c r="FL163" i="24"/>
  <c r="CG129" i="24"/>
  <c r="FL129" i="24"/>
  <c r="CG68" i="24"/>
  <c r="FL68" i="24"/>
  <c r="CG64" i="24"/>
  <c r="FL64" i="24"/>
  <c r="CG34" i="24"/>
  <c r="FL34" i="24"/>
  <c r="CG115" i="24"/>
  <c r="FL115" i="24"/>
  <c r="CG116" i="24"/>
  <c r="FL116" i="24"/>
  <c r="CG138" i="24"/>
  <c r="FL138" i="24"/>
  <c r="CG125" i="24"/>
  <c r="FL125" i="24"/>
  <c r="CG175" i="24"/>
  <c r="FL175" i="24"/>
  <c r="CG200" i="24"/>
  <c r="FL200" i="24"/>
  <c r="CG105" i="24"/>
  <c r="FL105" i="24"/>
  <c r="CG189" i="24"/>
  <c r="FL189" i="24"/>
  <c r="CG9" i="24"/>
  <c r="FL9" i="24"/>
  <c r="CG139" i="24"/>
  <c r="FL139" i="24"/>
  <c r="CG206" i="24"/>
  <c r="FL206" i="24"/>
  <c r="CG161" i="24"/>
  <c r="FL161" i="24"/>
  <c r="CG31" i="24"/>
  <c r="FL31" i="24"/>
  <c r="CG28" i="24"/>
  <c r="FL28" i="24"/>
  <c r="CG10" i="24"/>
  <c r="FL10" i="24"/>
  <c r="EI136" i="24"/>
  <c r="EX136" i="24" s="1"/>
  <c r="FL136" i="24"/>
  <c r="EH142" i="24"/>
  <c r="EW142" i="24" s="1"/>
  <c r="FL142" i="24"/>
  <c r="CG63" i="24"/>
  <c r="FL63" i="24"/>
  <c r="CG90" i="24"/>
  <c r="FL90" i="24"/>
  <c r="CG39" i="24"/>
  <c r="FL39" i="24"/>
  <c r="CG8" i="24"/>
  <c r="FL8" i="24"/>
  <c r="CG210" i="24"/>
  <c r="FL210" i="24"/>
  <c r="CG56" i="24"/>
  <c r="FL56" i="24"/>
  <c r="CG12" i="24"/>
  <c r="FL12" i="24"/>
  <c r="CG25" i="24"/>
  <c r="FL25" i="24"/>
  <c r="CG35" i="24"/>
  <c r="FL35" i="24"/>
  <c r="CG91" i="24"/>
  <c r="FL91" i="24"/>
  <c r="CG119" i="24"/>
  <c r="FL119" i="24"/>
  <c r="CG59" i="24"/>
  <c r="FL59" i="24"/>
  <c r="CG17" i="24"/>
  <c r="FL17" i="24"/>
  <c r="CG101" i="24"/>
  <c r="FL101" i="24"/>
  <c r="CG72" i="24"/>
  <c r="FL72" i="24"/>
  <c r="CG70" i="24"/>
  <c r="FL70" i="24"/>
  <c r="CG204" i="24"/>
  <c r="FL204" i="24"/>
  <c r="CG166" i="24"/>
  <c r="FL166" i="24"/>
  <c r="CG75" i="24"/>
  <c r="FL75" i="24"/>
  <c r="CG162" i="24"/>
  <c r="FL162" i="24"/>
  <c r="CG196" i="24"/>
  <c r="FL196" i="24"/>
  <c r="CG49" i="24"/>
  <c r="FL49" i="24"/>
  <c r="CG86" i="24"/>
  <c r="FL86" i="24"/>
  <c r="CG66" i="24"/>
  <c r="FL66" i="24"/>
  <c r="CG45" i="24"/>
  <c r="FL45" i="24"/>
  <c r="CG181" i="24"/>
  <c r="FL181" i="24"/>
  <c r="CG180" i="24"/>
  <c r="FL180" i="24"/>
  <c r="CG143" i="24"/>
  <c r="FL143" i="24"/>
  <c r="CG88" i="24"/>
  <c r="FL88" i="24"/>
  <c r="CG76" i="24"/>
  <c r="FL76" i="24"/>
  <c r="CG122" i="24"/>
  <c r="FL122" i="24"/>
  <c r="CG202" i="24"/>
  <c r="FL202" i="24"/>
  <c r="CG177" i="24"/>
  <c r="FL177" i="24"/>
  <c r="CG195" i="24"/>
  <c r="FL195" i="24"/>
  <c r="CG146" i="24"/>
  <c r="FL146" i="24"/>
  <c r="CG69" i="24"/>
  <c r="FL69" i="24"/>
  <c r="EH159" i="24"/>
  <c r="EW159" i="24" s="1"/>
  <c r="FL159" i="24"/>
  <c r="EC62" i="24"/>
  <c r="ED62" i="24" s="1"/>
  <c r="FL62" i="24"/>
  <c r="CG170" i="24"/>
  <c r="FL170" i="24"/>
  <c r="CG199" i="24"/>
  <c r="FL199" i="24"/>
  <c r="CG71" i="24"/>
  <c r="FL71" i="24"/>
  <c r="CG126" i="24"/>
  <c r="FL126" i="24"/>
  <c r="EC169" i="24"/>
  <c r="ED169" i="24" s="1"/>
  <c r="FL169" i="24"/>
  <c r="CG153" i="24"/>
  <c r="FL153" i="24"/>
  <c r="CG113" i="24"/>
  <c r="FL113" i="24"/>
  <c r="CG11" i="24"/>
  <c r="FL11" i="24"/>
  <c r="CG185" i="24"/>
  <c r="FL185" i="24"/>
  <c r="CG99" i="24"/>
  <c r="FL99" i="24"/>
  <c r="CG30" i="24"/>
  <c r="FL30" i="24"/>
  <c r="CG154" i="24"/>
  <c r="FL154" i="24"/>
  <c r="CG24" i="24"/>
  <c r="FL24" i="24"/>
  <c r="CG112" i="24"/>
  <c r="FL112" i="24"/>
  <c r="CG150" i="24"/>
  <c r="FL150" i="24"/>
  <c r="CG33" i="24"/>
  <c r="FL33" i="24"/>
  <c r="CG184" i="24"/>
  <c r="FL184" i="24"/>
  <c r="CG176" i="24"/>
  <c r="FL176" i="24"/>
  <c r="CG98" i="24"/>
  <c r="FL98" i="24"/>
  <c r="CG155" i="24"/>
  <c r="FL155" i="24"/>
  <c r="CG58" i="24"/>
  <c r="FL58" i="24"/>
  <c r="CG50" i="24"/>
  <c r="FL50" i="24"/>
  <c r="CG114" i="24"/>
  <c r="FL114" i="24"/>
  <c r="CG209" i="24"/>
  <c r="FL209" i="24"/>
  <c r="CG32" i="24"/>
  <c r="FL32" i="24"/>
  <c r="CG141" i="24"/>
  <c r="FL141" i="24"/>
  <c r="CG201" i="24"/>
  <c r="FL201" i="24"/>
  <c r="EI29" i="24"/>
  <c r="EX29" i="24" s="1"/>
  <c r="FL29" i="24"/>
  <c r="CG192" i="24"/>
  <c r="FL192" i="24"/>
  <c r="CG104" i="24"/>
  <c r="FL104" i="24"/>
  <c r="EI39" i="24"/>
  <c r="EX39" i="24" s="1"/>
  <c r="EH39" i="24"/>
  <c r="EW39" i="24" s="1"/>
  <c r="EC39" i="24"/>
  <c r="ED39" i="24" s="1"/>
  <c r="EI92" i="24"/>
  <c r="EX92" i="24" s="1"/>
  <c r="CG74" i="24"/>
  <c r="EH132" i="24"/>
  <c r="EK132" i="24" s="1"/>
  <c r="EH44" i="24"/>
  <c r="EW44" i="24" s="1"/>
  <c r="EC44" i="24"/>
  <c r="ED44" i="24" s="1"/>
  <c r="EI44" i="24"/>
  <c r="EX44" i="24" s="1"/>
  <c r="EV17" i="25"/>
  <c r="EZ17" i="25" s="1"/>
  <c r="FB17" i="25" s="1"/>
  <c r="EI33" i="25"/>
  <c r="EO33" i="25" s="1"/>
  <c r="EP33" i="25" s="1"/>
  <c r="EI169" i="24"/>
  <c r="EX169" i="24" s="1"/>
  <c r="EH169" i="24"/>
  <c r="CG169" i="24"/>
  <c r="EI132" i="24"/>
  <c r="EX132" i="24" s="1"/>
  <c r="EH160" i="24"/>
  <c r="EK160" i="24" s="1"/>
  <c r="EI160" i="24"/>
  <c r="EX160" i="24" s="1"/>
  <c r="EI127" i="24"/>
  <c r="EX127" i="24" s="1"/>
  <c r="EC160" i="24"/>
  <c r="ED160" i="24" s="1"/>
  <c r="EC132" i="24"/>
  <c r="ED132" i="24" s="1"/>
  <c r="EV164" i="25"/>
  <c r="FB164" i="25" s="1"/>
  <c r="EC52" i="24"/>
  <c r="ED52" i="24" s="1"/>
  <c r="EI52" i="24"/>
  <c r="EX52" i="24" s="1"/>
  <c r="EH52" i="24"/>
  <c r="EW52" i="24" s="1"/>
  <c r="EI133" i="24"/>
  <c r="EX133" i="24" s="1"/>
  <c r="EC133" i="24"/>
  <c r="ED133" i="24" s="1"/>
  <c r="EH133" i="24"/>
  <c r="EW133" i="24" s="1"/>
  <c r="EC104" i="24"/>
  <c r="ED104" i="24" s="1"/>
  <c r="EC37" i="24"/>
  <c r="ED37" i="24" s="1"/>
  <c r="EZ103" i="25"/>
  <c r="FB103" i="25" s="1"/>
  <c r="EC127" i="24"/>
  <c r="ED127" i="24" s="1"/>
  <c r="EI58" i="25"/>
  <c r="EO58" i="25" s="1"/>
  <c r="EP58" i="25" s="1"/>
  <c r="EH152" i="24"/>
  <c r="EK152" i="24" s="1"/>
  <c r="EZ64" i="25"/>
  <c r="FB64" i="25" s="1"/>
  <c r="EI77" i="25"/>
  <c r="EO77" i="25" s="1"/>
  <c r="EP77" i="25" s="1"/>
  <c r="EH127" i="24"/>
  <c r="EK127" i="24" s="1"/>
  <c r="CG127" i="24"/>
  <c r="EI55" i="24"/>
  <c r="EX55" i="24" s="1"/>
  <c r="EH83" i="24"/>
  <c r="EK83" i="24" s="1"/>
  <c r="EQ83" i="24" s="1"/>
  <c r="EZ89" i="25"/>
  <c r="FB89" i="25" s="1"/>
  <c r="EH48" i="24"/>
  <c r="EK48" i="24" s="1"/>
  <c r="EQ48" i="24" s="1"/>
  <c r="EZ96" i="25"/>
  <c r="FB96" i="25" s="1"/>
  <c r="EH37" i="24"/>
  <c r="EK37" i="24" s="1"/>
  <c r="EQ37" i="24" s="1"/>
  <c r="EI37" i="24"/>
  <c r="EX37" i="24" s="1"/>
  <c r="EV90" i="25"/>
  <c r="EZ90" i="25" s="1"/>
  <c r="FB90" i="25" s="1"/>
  <c r="EI172" i="24"/>
  <c r="EX172" i="24" s="1"/>
  <c r="EI96" i="25"/>
  <c r="EO96" i="25" s="1"/>
  <c r="EI183" i="25"/>
  <c r="EP183" i="25" s="1"/>
  <c r="EH29" i="24"/>
  <c r="EK29" i="24" s="1"/>
  <c r="EQ29" i="24" s="1"/>
  <c r="EI201" i="24"/>
  <c r="EX201" i="24" s="1"/>
  <c r="EI128" i="25"/>
  <c r="EP128" i="25" s="1"/>
  <c r="EV145" i="25"/>
  <c r="FB145" i="25" s="1"/>
  <c r="EH126" i="24"/>
  <c r="EK126" i="24" s="1"/>
  <c r="FB183" i="25"/>
  <c r="EI99" i="25"/>
  <c r="EO99" i="25" s="1"/>
  <c r="EP99" i="25" s="1"/>
  <c r="EI126" i="24"/>
  <c r="EX126" i="24" s="1"/>
  <c r="EC126" i="24"/>
  <c r="ED126" i="24" s="1"/>
  <c r="FB128" i="25"/>
  <c r="EH63" i="24"/>
  <c r="EW63" i="24" s="1"/>
  <c r="EV185" i="25"/>
  <c r="FB185" i="25" s="1"/>
  <c r="EC111" i="24"/>
  <c r="ED111" i="24" s="1"/>
  <c r="EC63" i="24"/>
  <c r="ED63" i="24" s="1"/>
  <c r="EH30" i="24"/>
  <c r="EK30" i="24" s="1"/>
  <c r="EQ30" i="24" s="1"/>
  <c r="EI63" i="24"/>
  <c r="EX63" i="24" s="1"/>
  <c r="EI30" i="24"/>
  <c r="EX30" i="24" s="1"/>
  <c r="EC30" i="24"/>
  <c r="ED30" i="24" s="1"/>
  <c r="EI83" i="24"/>
  <c r="EX83" i="24" s="1"/>
  <c r="EH111" i="24"/>
  <c r="EW111" i="24" s="1"/>
  <c r="EI111" i="24"/>
  <c r="EX111" i="24" s="1"/>
  <c r="EI47" i="25"/>
  <c r="EO47" i="25" s="1"/>
  <c r="EI37" i="25"/>
  <c r="EO37" i="25" s="1"/>
  <c r="EP37" i="25" s="1"/>
  <c r="EZ33" i="25"/>
  <c r="FB33" i="25" s="1"/>
  <c r="EZ95" i="25"/>
  <c r="FB95" i="25" s="1"/>
  <c r="EZ97" i="25"/>
  <c r="FB97" i="25" s="1"/>
  <c r="FB158" i="25"/>
  <c r="EI81" i="24"/>
  <c r="EX81" i="24" s="1"/>
  <c r="EH71" i="24"/>
  <c r="EK71" i="24" s="1"/>
  <c r="EQ71" i="24" s="1"/>
  <c r="EI95" i="25"/>
  <c r="EO95" i="25" s="1"/>
  <c r="EI74" i="25"/>
  <c r="EO74" i="25" s="1"/>
  <c r="EP74" i="25" s="1"/>
  <c r="EI97" i="25"/>
  <c r="EO97" i="25" s="1"/>
  <c r="EP97" i="25" s="1"/>
  <c r="EI158" i="25"/>
  <c r="FC158" i="25" s="1"/>
  <c r="FE158" i="25" s="1"/>
  <c r="FF158" i="25" s="1"/>
  <c r="EI93" i="25"/>
  <c r="EO93" i="25" s="1"/>
  <c r="EP93" i="25" s="1"/>
  <c r="FB131" i="25"/>
  <c r="EI131" i="25"/>
  <c r="EP131" i="25" s="1"/>
  <c r="EZ99" i="25"/>
  <c r="FB99" i="25" s="1"/>
  <c r="FC182" i="25"/>
  <c r="FE182" i="25" s="1"/>
  <c r="FF182" i="25" s="1"/>
  <c r="EC172" i="24"/>
  <c r="ED172" i="24" s="1"/>
  <c r="CG172" i="24"/>
  <c r="EZ58" i="25"/>
  <c r="FB58" i="25" s="1"/>
  <c r="EH172" i="24"/>
  <c r="EW172" i="24" s="1"/>
  <c r="EI71" i="24"/>
  <c r="EX71" i="24" s="1"/>
  <c r="EZ74" i="25"/>
  <c r="FB74" i="25" s="1"/>
  <c r="EC71" i="24"/>
  <c r="ED71" i="24" s="1"/>
  <c r="EZ93" i="25"/>
  <c r="FB93" i="25" s="1"/>
  <c r="EI173" i="25"/>
  <c r="EP173" i="25" s="1"/>
  <c r="EI137" i="25"/>
  <c r="FC137" i="25" s="1"/>
  <c r="FE137" i="25" s="1"/>
  <c r="FF137" i="25" s="1"/>
  <c r="EV42" i="25"/>
  <c r="EZ42" i="25" s="1"/>
  <c r="FB42" i="25" s="1"/>
  <c r="EI192" i="24"/>
  <c r="EX192" i="24" s="1"/>
  <c r="CG275" i="24"/>
  <c r="CG265" i="24"/>
  <c r="I216" i="24"/>
  <c r="EC192" i="24"/>
  <c r="ED192" i="24" s="1"/>
  <c r="CG240" i="24"/>
  <c r="CG14" i="24"/>
  <c r="CG29" i="24"/>
  <c r="CG252" i="24"/>
  <c r="EI104" i="24"/>
  <c r="EX104" i="24" s="1"/>
  <c r="EH192" i="24"/>
  <c r="EW192" i="24" s="1"/>
  <c r="EV56" i="25"/>
  <c r="EZ56" i="25" s="1"/>
  <c r="FB56" i="25" s="1"/>
  <c r="CG277" i="24"/>
  <c r="CG239" i="24"/>
  <c r="CG293" i="24"/>
  <c r="CG278" i="24"/>
  <c r="CG249" i="24"/>
  <c r="EH104" i="24"/>
  <c r="EK104" i="24" s="1"/>
  <c r="EQ104" i="24" s="1"/>
  <c r="CG297" i="24"/>
  <c r="EZ73" i="25"/>
  <c r="FB73" i="25" s="1"/>
  <c r="EH90" i="24"/>
  <c r="EC90" i="24"/>
  <c r="ED90" i="24" s="1"/>
  <c r="EI90" i="24"/>
  <c r="EX90" i="24" s="1"/>
  <c r="CG251" i="24"/>
  <c r="CG290" i="24"/>
  <c r="CG232" i="24"/>
  <c r="CG222" i="24"/>
  <c r="CG272" i="24"/>
  <c r="CG40" i="24"/>
  <c r="CG62" i="24"/>
  <c r="CG254" i="24"/>
  <c r="CG260" i="24"/>
  <c r="CG219" i="24"/>
  <c r="CG269" i="24"/>
  <c r="CG231" i="24"/>
  <c r="CG223" i="24"/>
  <c r="CG314" i="24"/>
  <c r="CG83" i="24"/>
  <c r="CG264" i="24"/>
  <c r="CG292" i="24"/>
  <c r="CG263" i="24"/>
  <c r="CG281" i="24"/>
  <c r="CG77" i="24"/>
  <c r="CG273" i="24"/>
  <c r="CG271" i="24"/>
  <c r="CG230" i="24"/>
  <c r="CG258" i="24"/>
  <c r="CG234" i="24"/>
  <c r="CG298" i="24"/>
  <c r="CG283" i="24"/>
  <c r="CG142" i="24"/>
  <c r="CG227" i="24"/>
  <c r="CG228" i="24"/>
  <c r="CG287" i="24"/>
  <c r="CG279" i="24"/>
  <c r="CG303" i="24"/>
  <c r="CG315" i="24"/>
  <c r="CG246" i="24"/>
  <c r="CG244" i="24"/>
  <c r="CG304" i="24"/>
  <c r="CG256" i="24"/>
  <c r="CG81" i="24"/>
  <c r="CG253" i="24"/>
  <c r="CG312" i="24"/>
  <c r="CG274" i="24"/>
  <c r="CG309" i="24"/>
  <c r="CG276" i="24"/>
  <c r="CG313" i="24"/>
  <c r="CG316" i="24"/>
  <c r="CG302" i="24"/>
  <c r="EI142" i="24"/>
  <c r="EX142" i="24" s="1"/>
  <c r="EC136" i="24"/>
  <c r="ED136" i="24" s="1"/>
  <c r="CG301" i="24"/>
  <c r="CG307" i="24"/>
  <c r="CG218" i="24"/>
  <c r="CG257" i="24"/>
  <c r="CG295" i="24"/>
  <c r="CG268" i="24"/>
  <c r="CG294" i="24"/>
  <c r="CG220" i="24"/>
  <c r="CG308" i="24"/>
  <c r="CG289" i="24"/>
  <c r="CG267" i="24"/>
  <c r="CG224" i="24"/>
  <c r="CG262" i="24"/>
  <c r="CG235" i="24"/>
  <c r="CG259" i="24"/>
  <c r="CG221" i="24"/>
  <c r="EH40" i="24"/>
  <c r="EW40" i="24" s="1"/>
  <c r="EC142" i="24"/>
  <c r="ED142" i="24" s="1"/>
  <c r="EV156" i="25"/>
  <c r="FB156" i="25" s="1"/>
  <c r="CG229" i="24"/>
  <c r="CG136" i="24"/>
  <c r="CG238" i="24"/>
  <c r="CG241" i="24"/>
  <c r="CG261" i="24"/>
  <c r="CG236" i="24"/>
  <c r="CG255" i="24"/>
  <c r="CG226" i="24"/>
  <c r="CG282" i="24"/>
  <c r="CG233" i="24"/>
  <c r="CG280" i="24"/>
  <c r="CG310" i="24"/>
  <c r="CG306" i="24"/>
  <c r="CG300" i="24"/>
  <c r="CG225" i="24"/>
  <c r="CG250" i="24"/>
  <c r="CG43" i="24"/>
  <c r="EH136" i="24"/>
  <c r="EK136" i="24" s="1"/>
  <c r="EI73" i="25"/>
  <c r="EO73" i="25" s="1"/>
  <c r="EP73" i="25" s="1"/>
  <c r="CG134" i="24"/>
  <c r="CG247" i="24"/>
  <c r="CG296" i="24"/>
  <c r="CG311" i="24"/>
  <c r="CG286" i="24"/>
  <c r="CG217" i="24"/>
  <c r="CG237" i="24"/>
  <c r="CG270" i="24"/>
  <c r="CG305" i="24"/>
  <c r="CG291" i="24"/>
  <c r="CG23" i="24"/>
  <c r="CG288" i="24"/>
  <c r="CG248" i="24"/>
  <c r="CG284" i="24"/>
  <c r="CG299" i="24"/>
  <c r="CG159" i="24"/>
  <c r="CG266" i="24"/>
  <c r="CG245" i="24"/>
  <c r="CG67" i="24"/>
  <c r="EZ77" i="25"/>
  <c r="FB77" i="25" s="1"/>
  <c r="EI25" i="25"/>
  <c r="EO25" i="25" s="1"/>
  <c r="EP25" i="25" s="1"/>
  <c r="EZ37" i="25"/>
  <c r="FB37" i="25" s="1"/>
  <c r="EI40" i="24"/>
  <c r="EX40" i="24" s="1"/>
  <c r="EI48" i="24"/>
  <c r="EX48" i="24" s="1"/>
  <c r="EC83" i="24"/>
  <c r="ED83" i="24" s="1"/>
  <c r="EI129" i="25"/>
  <c r="EP129" i="25" s="1"/>
  <c r="EI186" i="24"/>
  <c r="EX186" i="24" s="1"/>
  <c r="EC48" i="24"/>
  <c r="ED48" i="24" s="1"/>
  <c r="EI34" i="25"/>
  <c r="EO34" i="25" s="1"/>
  <c r="EP34" i="25" s="1"/>
  <c r="EC43" i="24"/>
  <c r="ED43" i="24" s="1"/>
  <c r="EH186" i="24"/>
  <c r="EK186" i="24" s="1"/>
  <c r="EH43" i="24"/>
  <c r="EW43" i="24" s="1"/>
  <c r="EC186" i="24"/>
  <c r="ED186" i="24" s="1"/>
  <c r="EI9" i="25"/>
  <c r="EO9" i="25" s="1"/>
  <c r="EP9" i="25" s="1"/>
  <c r="EH170" i="24"/>
  <c r="EW170" i="24" s="1"/>
  <c r="EH99" i="24"/>
  <c r="EW99" i="24" s="1"/>
  <c r="EH55" i="24"/>
  <c r="EW55" i="24" s="1"/>
  <c r="EI170" i="24"/>
  <c r="EX170" i="24" s="1"/>
  <c r="EC55" i="24"/>
  <c r="ED55" i="24" s="1"/>
  <c r="EC170" i="24"/>
  <c r="ED170" i="24" s="1"/>
  <c r="EZ83" i="25"/>
  <c r="FB83" i="25" s="1"/>
  <c r="EH23" i="24"/>
  <c r="EW23" i="24" s="1"/>
  <c r="EH124" i="24"/>
  <c r="EK124" i="24" s="1"/>
  <c r="EI14" i="24"/>
  <c r="EX14" i="24" s="1"/>
  <c r="EC67" i="24"/>
  <c r="ED67" i="24" s="1"/>
  <c r="EI83" i="25"/>
  <c r="EO83" i="25" s="1"/>
  <c r="EP83" i="25" s="1"/>
  <c r="EC99" i="24"/>
  <c r="ED99" i="24" s="1"/>
  <c r="EH14" i="24"/>
  <c r="EW14" i="24" s="1"/>
  <c r="EI67" i="24"/>
  <c r="EX67" i="24" s="1"/>
  <c r="EC124" i="24"/>
  <c r="ED124" i="24" s="1"/>
  <c r="EI99" i="24"/>
  <c r="EX99" i="24" s="1"/>
  <c r="EI23" i="24"/>
  <c r="EX23" i="24" s="1"/>
  <c r="EC14" i="24"/>
  <c r="ED14" i="24" s="1"/>
  <c r="EI124" i="24"/>
  <c r="EX124" i="24" s="1"/>
  <c r="EI81" i="25"/>
  <c r="EO81" i="25" s="1"/>
  <c r="EP81" i="25" s="1"/>
  <c r="EV169" i="25"/>
  <c r="FC169" i="25" s="1"/>
  <c r="FE169" i="25" s="1"/>
  <c r="FF169" i="25" s="1"/>
  <c r="EI199" i="25"/>
  <c r="FC199" i="25" s="1"/>
  <c r="FE199" i="25" s="1"/>
  <c r="FF199" i="25" s="1"/>
  <c r="EI178" i="25"/>
  <c r="EP178" i="25" s="1"/>
  <c r="FB199" i="25"/>
  <c r="EV194" i="25"/>
  <c r="FB194" i="25" s="1"/>
  <c r="EI141" i="25"/>
  <c r="FC141" i="25" s="1"/>
  <c r="FE141" i="25" s="1"/>
  <c r="FF141" i="25" s="1"/>
  <c r="EV171" i="25"/>
  <c r="FB171" i="25" s="1"/>
  <c r="ER5" i="24"/>
  <c r="FC5" i="24"/>
  <c r="FE5" i="24" s="1"/>
  <c r="FF5" i="24" s="1"/>
  <c r="U110" i="24"/>
  <c r="N110" i="24"/>
  <c r="ER110" i="24"/>
  <c r="FC110" i="24"/>
  <c r="FE110" i="24" s="1"/>
  <c r="FF110" i="24" s="1"/>
  <c r="FB178" i="25"/>
  <c r="FB141" i="25"/>
  <c r="FB137" i="25"/>
  <c r="EC159" i="24"/>
  <c r="ED159" i="24" s="1"/>
  <c r="EI159" i="24"/>
  <c r="EX159" i="24" s="1"/>
  <c r="EI152" i="24"/>
  <c r="EX152" i="24" s="1"/>
  <c r="EC81" i="24"/>
  <c r="ED81" i="24" s="1"/>
  <c r="EC29" i="24"/>
  <c r="ED29" i="24" s="1"/>
  <c r="EC152" i="24"/>
  <c r="ED152" i="24" s="1"/>
  <c r="EZ81" i="25"/>
  <c r="FB81" i="25" s="1"/>
  <c r="EC199" i="24"/>
  <c r="ED199" i="24" s="1"/>
  <c r="EH199" i="24"/>
  <c r="EK199" i="24" s="1"/>
  <c r="EH147" i="24"/>
  <c r="EK147" i="24" s="1"/>
  <c r="EH81" i="24"/>
  <c r="EW81" i="24" s="1"/>
  <c r="EI147" i="24"/>
  <c r="EX147" i="24" s="1"/>
  <c r="EI199" i="24"/>
  <c r="EX199" i="24" s="1"/>
  <c r="EC147" i="24"/>
  <c r="ED147" i="24" s="1"/>
  <c r="FB173" i="25"/>
  <c r="FB129" i="25"/>
  <c r="EC201" i="24"/>
  <c r="ED201" i="24" s="1"/>
  <c r="FB180" i="25"/>
  <c r="EH134" i="24"/>
  <c r="EK134" i="24" s="1"/>
  <c r="EI49" i="25"/>
  <c r="EO49" i="25" s="1"/>
  <c r="EP49" i="25" s="1"/>
  <c r="EI180" i="25"/>
  <c r="FC180" i="25" s="1"/>
  <c r="FE180" i="25" s="1"/>
  <c r="FF180" i="25" s="1"/>
  <c r="EI87" i="25"/>
  <c r="EO87" i="25" s="1"/>
  <c r="EP87" i="25" s="1"/>
  <c r="EI77" i="24"/>
  <c r="EX77" i="24" s="1"/>
  <c r="EZ9" i="25"/>
  <c r="FB9" i="25" s="1"/>
  <c r="EC77" i="24"/>
  <c r="ED77" i="24" s="1"/>
  <c r="EH13" i="24"/>
  <c r="EK13" i="24" s="1"/>
  <c r="EQ13" i="24" s="1"/>
  <c r="EC13" i="24"/>
  <c r="ED13" i="24" s="1"/>
  <c r="EI13" i="24"/>
  <c r="EX13" i="24" s="1"/>
  <c r="EZ49" i="25"/>
  <c r="FB49" i="25" s="1"/>
  <c r="EZ23" i="25"/>
  <c r="FB23" i="25" s="1"/>
  <c r="EZ25" i="25"/>
  <c r="FB25" i="25" s="1"/>
  <c r="FB111" i="25"/>
  <c r="EI23" i="25"/>
  <c r="EO23" i="25" s="1"/>
  <c r="EP23" i="25" s="1"/>
  <c r="EI111" i="25"/>
  <c r="EP111" i="25" s="1"/>
  <c r="EZ87" i="25"/>
  <c r="FB87" i="25" s="1"/>
  <c r="EZ34" i="25"/>
  <c r="FB34" i="25" s="1"/>
  <c r="EH201" i="24"/>
  <c r="EK201" i="24" s="1"/>
  <c r="EH62" i="24"/>
  <c r="EW62" i="24" s="1"/>
  <c r="EP185" i="25"/>
  <c r="EV70" i="25"/>
  <c r="EZ70" i="25" s="1"/>
  <c r="FB70" i="25" s="1"/>
  <c r="EI70" i="25"/>
  <c r="EO70" i="25" s="1"/>
  <c r="EV48" i="25"/>
  <c r="EZ48" i="25" s="1"/>
  <c r="FB48" i="25" s="1"/>
  <c r="EI48" i="25"/>
  <c r="EO48" i="25" s="1"/>
  <c r="EV200" i="25"/>
  <c r="FB200" i="25" s="1"/>
  <c r="EI200" i="25"/>
  <c r="EV53" i="25"/>
  <c r="EZ53" i="25" s="1"/>
  <c r="FB53" i="25" s="1"/>
  <c r="EI53" i="25"/>
  <c r="EO53" i="25" s="1"/>
  <c r="EV204" i="25"/>
  <c r="FB204" i="25" s="1"/>
  <c r="EI204" i="25"/>
  <c r="EV22" i="25"/>
  <c r="EZ22" i="25" s="1"/>
  <c r="FB22" i="25" s="1"/>
  <c r="EI22" i="25"/>
  <c r="EO22" i="25" s="1"/>
  <c r="EV157" i="25"/>
  <c r="FB157" i="25" s="1"/>
  <c r="EI157" i="25"/>
  <c r="EV165" i="25"/>
  <c r="FB165" i="25" s="1"/>
  <c r="EI165" i="25"/>
  <c r="EV190" i="25"/>
  <c r="FB190" i="25" s="1"/>
  <c r="EI190" i="25"/>
  <c r="EV142" i="25"/>
  <c r="FB142" i="25" s="1"/>
  <c r="EI142" i="25"/>
  <c r="EV116" i="25"/>
  <c r="FB116" i="25" s="1"/>
  <c r="EI116" i="25"/>
  <c r="EV14" i="25"/>
  <c r="EZ14" i="25" s="1"/>
  <c r="FB14" i="25" s="1"/>
  <c r="EI14" i="25"/>
  <c r="EO14" i="25" s="1"/>
  <c r="EV28" i="25"/>
  <c r="EZ28" i="25" s="1"/>
  <c r="FB28" i="25" s="1"/>
  <c r="EI28" i="25"/>
  <c r="EO28" i="25" s="1"/>
  <c r="EV79" i="25"/>
  <c r="EZ79" i="25" s="1"/>
  <c r="FB79" i="25" s="1"/>
  <c r="EI79" i="25"/>
  <c r="EO79" i="25" s="1"/>
  <c r="EP156" i="25"/>
  <c r="EV159" i="25"/>
  <c r="FB159" i="25" s="1"/>
  <c r="EI159" i="25"/>
  <c r="EV149" i="25"/>
  <c r="FB149" i="25" s="1"/>
  <c r="EI149" i="25"/>
  <c r="EV12" i="25"/>
  <c r="EZ12" i="25" s="1"/>
  <c r="FB12" i="25" s="1"/>
  <c r="EI12" i="25"/>
  <c r="EO12" i="25" s="1"/>
  <c r="EV146" i="25"/>
  <c r="FB146" i="25" s="1"/>
  <c r="EI146" i="25"/>
  <c r="EI62" i="24"/>
  <c r="EX62" i="24" s="1"/>
  <c r="EV65" i="25"/>
  <c r="EZ65" i="25" s="1"/>
  <c r="FB65" i="25" s="1"/>
  <c r="EI65" i="25"/>
  <c r="EO65" i="25" s="1"/>
  <c r="EV139" i="25"/>
  <c r="FB139" i="25" s="1"/>
  <c r="EI139" i="25"/>
  <c r="EV201" i="25"/>
  <c r="FB201" i="25" s="1"/>
  <c r="EI201" i="25"/>
  <c r="EV153" i="25"/>
  <c r="FB153" i="25" s="1"/>
  <c r="EI153" i="25"/>
  <c r="EV122" i="25"/>
  <c r="FB122" i="25" s="1"/>
  <c r="EI122" i="25"/>
  <c r="EV206" i="25"/>
  <c r="FB206" i="25" s="1"/>
  <c r="EI206" i="25"/>
  <c r="EV114" i="25"/>
  <c r="FB114" i="25" s="1"/>
  <c r="EI114" i="25"/>
  <c r="EV92" i="25"/>
  <c r="EZ92" i="25" s="1"/>
  <c r="FB92" i="25" s="1"/>
  <c r="EI92" i="25"/>
  <c r="EO92" i="25" s="1"/>
  <c r="EV29" i="25"/>
  <c r="EZ29" i="25" s="1"/>
  <c r="FB29" i="25" s="1"/>
  <c r="EI29" i="25"/>
  <c r="EO29" i="25" s="1"/>
  <c r="EV7" i="25"/>
  <c r="EZ7" i="25" s="1"/>
  <c r="FB7" i="25" s="1"/>
  <c r="EI7" i="25"/>
  <c r="EO7" i="25" s="1"/>
  <c r="EV15" i="25"/>
  <c r="EZ15" i="25" s="1"/>
  <c r="FB15" i="25" s="1"/>
  <c r="EI15" i="25"/>
  <c r="EO15" i="25" s="1"/>
  <c r="EP169" i="25"/>
  <c r="EV133" i="25"/>
  <c r="FB133" i="25" s="1"/>
  <c r="EI133" i="25"/>
  <c r="EV11" i="25"/>
  <c r="EZ11" i="25" s="1"/>
  <c r="FB11" i="25" s="1"/>
  <c r="EI11" i="25"/>
  <c r="EO11" i="25" s="1"/>
  <c r="EV186" i="25"/>
  <c r="FB186" i="25" s="1"/>
  <c r="EI186" i="25"/>
  <c r="EP145" i="25"/>
  <c r="FC181" i="25"/>
  <c r="FE181" i="25" s="1"/>
  <c r="FF181" i="25" s="1"/>
  <c r="EP181" i="25"/>
  <c r="EV123" i="25"/>
  <c r="FB123" i="25" s="1"/>
  <c r="EI123" i="25"/>
  <c r="EV162" i="25"/>
  <c r="FB162" i="25" s="1"/>
  <c r="EI162" i="25"/>
  <c r="EV209" i="25"/>
  <c r="FB209" i="25" s="1"/>
  <c r="EI209" i="25"/>
  <c r="EV144" i="25"/>
  <c r="FB144" i="25" s="1"/>
  <c r="EI144" i="25"/>
  <c r="EV115" i="25"/>
  <c r="FB115" i="25" s="1"/>
  <c r="EI115" i="25"/>
  <c r="EV86" i="25"/>
  <c r="EZ86" i="25" s="1"/>
  <c r="FB86" i="25" s="1"/>
  <c r="EI86" i="25"/>
  <c r="EO86" i="25" s="1"/>
  <c r="EV118" i="25"/>
  <c r="FB118" i="25" s="1"/>
  <c r="EI118" i="25"/>
  <c r="EV20" i="25"/>
  <c r="EZ20" i="25" s="1"/>
  <c r="FB20" i="25" s="1"/>
  <c r="EI20" i="25"/>
  <c r="EO20" i="25" s="1"/>
  <c r="EV80" i="25"/>
  <c r="EZ80" i="25" s="1"/>
  <c r="FB80" i="25" s="1"/>
  <c r="EI80" i="25"/>
  <c r="EO80" i="25" s="1"/>
  <c r="EV32" i="25"/>
  <c r="EZ32" i="25" s="1"/>
  <c r="FB32" i="25" s="1"/>
  <c r="EI32" i="25"/>
  <c r="EO32" i="25" s="1"/>
  <c r="EV192" i="25"/>
  <c r="FB192" i="25" s="1"/>
  <c r="EI192" i="25"/>
  <c r="EV148" i="25"/>
  <c r="FB148" i="25" s="1"/>
  <c r="EI148" i="25"/>
  <c r="EV68" i="25"/>
  <c r="EZ68" i="25" s="1"/>
  <c r="FB68" i="25" s="1"/>
  <c r="EI68" i="25"/>
  <c r="EO68" i="25" s="1"/>
  <c r="EV113" i="25"/>
  <c r="FB113" i="25" s="1"/>
  <c r="EI113" i="25"/>
  <c r="EV45" i="25"/>
  <c r="EZ45" i="25" s="1"/>
  <c r="FB45" i="25" s="1"/>
  <c r="EI45" i="25"/>
  <c r="EO45" i="25" s="1"/>
  <c r="EP164" i="25"/>
  <c r="EV170" i="25"/>
  <c r="FB170" i="25" s="1"/>
  <c r="EI170" i="25"/>
  <c r="EV71" i="25"/>
  <c r="EZ71" i="25" s="1"/>
  <c r="FB71" i="25" s="1"/>
  <c r="EI71" i="25"/>
  <c r="EO71" i="25" s="1"/>
  <c r="EV50" i="25"/>
  <c r="EZ50" i="25" s="1"/>
  <c r="FB50" i="25" s="1"/>
  <c r="EI50" i="25"/>
  <c r="EO50" i="25" s="1"/>
  <c r="EV121" i="25"/>
  <c r="FB121" i="25" s="1"/>
  <c r="EI121" i="25"/>
  <c r="EV26" i="25"/>
  <c r="EZ26" i="25" s="1"/>
  <c r="FB26" i="25" s="1"/>
  <c r="EI26" i="25"/>
  <c r="EO26" i="25" s="1"/>
  <c r="EV208" i="25"/>
  <c r="FB208" i="25" s="1"/>
  <c r="EI208" i="25"/>
  <c r="EV41" i="25"/>
  <c r="EZ41" i="25" s="1"/>
  <c r="FB41" i="25" s="1"/>
  <c r="EI41" i="25"/>
  <c r="EO41" i="25" s="1"/>
  <c r="EV150" i="25"/>
  <c r="FB150" i="25" s="1"/>
  <c r="EI150" i="25"/>
  <c r="EV6" i="25"/>
  <c r="EZ6" i="25" s="1"/>
  <c r="FB6" i="25" s="1"/>
  <c r="EI6" i="25"/>
  <c r="EO6" i="25" s="1"/>
  <c r="EV188" i="25"/>
  <c r="FB188" i="25" s="1"/>
  <c r="EI188" i="25"/>
  <c r="EV177" i="25"/>
  <c r="FB177" i="25" s="1"/>
  <c r="EI177" i="25"/>
  <c r="EP90" i="25"/>
  <c r="EV154" i="25"/>
  <c r="FB154" i="25" s="1"/>
  <c r="EI154" i="25"/>
  <c r="EV44" i="25"/>
  <c r="EZ44" i="25" s="1"/>
  <c r="FB44" i="25" s="1"/>
  <c r="EI44" i="25"/>
  <c r="EO44" i="25" s="1"/>
  <c r="EV38" i="25"/>
  <c r="EZ38" i="25" s="1"/>
  <c r="FB38" i="25" s="1"/>
  <c r="EI38" i="25"/>
  <c r="EO38" i="25" s="1"/>
  <c r="EV172" i="25"/>
  <c r="FB172" i="25" s="1"/>
  <c r="EI172" i="25"/>
  <c r="EV60" i="25"/>
  <c r="EZ60" i="25" s="1"/>
  <c r="FB60" i="25" s="1"/>
  <c r="EI60" i="25"/>
  <c r="EO60" i="25" s="1"/>
  <c r="EV100" i="25"/>
  <c r="EZ100" i="25" s="1"/>
  <c r="FB100" i="25" s="1"/>
  <c r="EI100" i="25"/>
  <c r="EO100" i="25" s="1"/>
  <c r="EV98" i="25"/>
  <c r="EZ98" i="25" s="1"/>
  <c r="FB98" i="25" s="1"/>
  <c r="EI98" i="25"/>
  <c r="EO98" i="25" s="1"/>
  <c r="EV184" i="25"/>
  <c r="FB184" i="25" s="1"/>
  <c r="EI184" i="25"/>
  <c r="EV134" i="25"/>
  <c r="FB134" i="25" s="1"/>
  <c r="EI134" i="25"/>
  <c r="EV76" i="25"/>
  <c r="EZ76" i="25" s="1"/>
  <c r="FB76" i="25" s="1"/>
  <c r="EI76" i="25"/>
  <c r="EO76" i="25" s="1"/>
  <c r="EP136" i="25"/>
  <c r="EV126" i="25"/>
  <c r="FB126" i="25" s="1"/>
  <c r="EI126" i="25"/>
  <c r="FC143" i="25"/>
  <c r="FE143" i="25" s="1"/>
  <c r="FF143" i="25" s="1"/>
  <c r="EP143" i="25"/>
  <c r="EV24" i="25"/>
  <c r="EZ24" i="25" s="1"/>
  <c r="FB24" i="25" s="1"/>
  <c r="EI24" i="25"/>
  <c r="EO24" i="25" s="1"/>
  <c r="EV195" i="25"/>
  <c r="FB195" i="25" s="1"/>
  <c r="EI195" i="25"/>
  <c r="EV175" i="25"/>
  <c r="FB175" i="25" s="1"/>
  <c r="EI175" i="25"/>
  <c r="EV43" i="25"/>
  <c r="EZ43" i="25" s="1"/>
  <c r="FB43" i="25" s="1"/>
  <c r="EI43" i="25"/>
  <c r="EO43" i="25" s="1"/>
  <c r="EV104" i="25"/>
  <c r="EZ104" i="25" s="1"/>
  <c r="FB104" i="25" s="1"/>
  <c r="EI104" i="25"/>
  <c r="EO104" i="25" s="1"/>
  <c r="EV120" i="25"/>
  <c r="FB120" i="25" s="1"/>
  <c r="EI120" i="25"/>
  <c r="EV119" i="25"/>
  <c r="FB119" i="25" s="1"/>
  <c r="EI119" i="25"/>
  <c r="EP194" i="25"/>
  <c r="EV59" i="25"/>
  <c r="EZ59" i="25" s="1"/>
  <c r="FB59" i="25" s="1"/>
  <c r="EI59" i="25"/>
  <c r="EO59" i="25" s="1"/>
  <c r="EV160" i="25"/>
  <c r="FB160" i="25" s="1"/>
  <c r="EI160" i="25"/>
  <c r="EV102" i="25"/>
  <c r="EZ102" i="25" s="1"/>
  <c r="FB102" i="25" s="1"/>
  <c r="EI102" i="25"/>
  <c r="EO102" i="25" s="1"/>
  <c r="EP171" i="25"/>
  <c r="EV52" i="25"/>
  <c r="EZ52" i="25" s="1"/>
  <c r="FB52" i="25" s="1"/>
  <c r="EI52" i="25"/>
  <c r="EO52" i="25" s="1"/>
  <c r="EV117" i="25"/>
  <c r="FB117" i="25" s="1"/>
  <c r="EI117" i="25"/>
  <c r="EV210" i="25"/>
  <c r="FB210" i="25" s="1"/>
  <c r="EI210" i="25"/>
  <c r="EV193" i="25"/>
  <c r="FB193" i="25" s="1"/>
  <c r="EI193" i="25"/>
  <c r="EV205" i="25"/>
  <c r="FB205" i="25" s="1"/>
  <c r="EI205" i="25"/>
  <c r="EV19" i="25"/>
  <c r="EZ19" i="25" s="1"/>
  <c r="FB19" i="25" s="1"/>
  <c r="EI19" i="25"/>
  <c r="EO19" i="25" s="1"/>
  <c r="EV13" i="25"/>
  <c r="EZ13" i="25" s="1"/>
  <c r="FB13" i="25" s="1"/>
  <c r="EI13" i="25"/>
  <c r="EO13" i="25" s="1"/>
  <c r="EV40" i="25"/>
  <c r="EZ40" i="25" s="1"/>
  <c r="FB40" i="25" s="1"/>
  <c r="EI40" i="25"/>
  <c r="EO40" i="25" s="1"/>
  <c r="EP56" i="25"/>
  <c r="EV78" i="25"/>
  <c r="EZ78" i="25" s="1"/>
  <c r="FB78" i="25" s="1"/>
  <c r="EI78" i="25"/>
  <c r="EO78" i="25" s="1"/>
  <c r="EP138" i="25"/>
  <c r="FC138" i="25"/>
  <c r="FE138" i="25" s="1"/>
  <c r="FF138" i="25" s="1"/>
  <c r="EV140" i="25"/>
  <c r="FB140" i="25" s="1"/>
  <c r="EI140" i="25"/>
  <c r="EV66" i="25"/>
  <c r="EZ66" i="25" s="1"/>
  <c r="FB66" i="25" s="1"/>
  <c r="EI66" i="25"/>
  <c r="EO66" i="25" s="1"/>
  <c r="EV125" i="25"/>
  <c r="FB125" i="25" s="1"/>
  <c r="EI125" i="25"/>
  <c r="EV18" i="25"/>
  <c r="EZ18" i="25" s="1"/>
  <c r="FB18" i="25" s="1"/>
  <c r="EI18" i="25"/>
  <c r="EO18" i="25" s="1"/>
  <c r="EV174" i="25"/>
  <c r="FB174" i="25" s="1"/>
  <c r="EI174" i="25"/>
  <c r="EV54" i="25"/>
  <c r="EZ54" i="25" s="1"/>
  <c r="FB54" i="25" s="1"/>
  <c r="EI54" i="25"/>
  <c r="EO54" i="25" s="1"/>
  <c r="EV61" i="25"/>
  <c r="EZ61" i="25" s="1"/>
  <c r="FB61" i="25" s="1"/>
  <c r="EI61" i="25"/>
  <c r="EO61" i="25" s="1"/>
  <c r="EV197" i="25"/>
  <c r="FB197" i="25" s="1"/>
  <c r="EI197" i="25"/>
  <c r="EV132" i="25"/>
  <c r="FB132" i="25" s="1"/>
  <c r="EI132" i="25"/>
  <c r="EV91" i="25"/>
  <c r="EZ91" i="25" s="1"/>
  <c r="FB91" i="25" s="1"/>
  <c r="EI91" i="25"/>
  <c r="EO91" i="25" s="1"/>
  <c r="EV179" i="25"/>
  <c r="FB179" i="25" s="1"/>
  <c r="EI179" i="25"/>
  <c r="EV39" i="25"/>
  <c r="EZ39" i="25" s="1"/>
  <c r="FB39" i="25" s="1"/>
  <c r="EI39" i="25"/>
  <c r="EO39" i="25" s="1"/>
  <c r="EV30" i="25"/>
  <c r="EZ30" i="25" s="1"/>
  <c r="FB30" i="25" s="1"/>
  <c r="EI30" i="25"/>
  <c r="EO30" i="25" s="1"/>
  <c r="EV35" i="25"/>
  <c r="EZ35" i="25" s="1"/>
  <c r="FB35" i="25" s="1"/>
  <c r="EI35" i="25"/>
  <c r="EO35" i="25" s="1"/>
  <c r="EV75" i="25"/>
  <c r="EZ75" i="25" s="1"/>
  <c r="FB75" i="25" s="1"/>
  <c r="EI75" i="25"/>
  <c r="EO75" i="25" s="1"/>
  <c r="EV124" i="25"/>
  <c r="FB124" i="25" s="1"/>
  <c r="EI124" i="25"/>
  <c r="EV82" i="25"/>
  <c r="EZ82" i="25" s="1"/>
  <c r="FB82" i="25" s="1"/>
  <c r="EI82" i="25"/>
  <c r="EO82" i="25" s="1"/>
  <c r="EV8" i="25"/>
  <c r="EZ8" i="25" s="1"/>
  <c r="FB8" i="25" s="1"/>
  <c r="EI8" i="25"/>
  <c r="EO8" i="25" s="1"/>
  <c r="EV110" i="25"/>
  <c r="FB110" i="25" s="1"/>
  <c r="EI110" i="25"/>
  <c r="EV63" i="25"/>
  <c r="EZ63" i="25" s="1"/>
  <c r="FB63" i="25" s="1"/>
  <c r="EI63" i="25"/>
  <c r="EO63" i="25" s="1"/>
  <c r="EV163" i="25"/>
  <c r="FB163" i="25" s="1"/>
  <c r="EI163" i="25"/>
  <c r="EV161" i="25"/>
  <c r="FB161" i="25" s="1"/>
  <c r="EI161" i="25"/>
  <c r="EV187" i="25"/>
  <c r="FB187" i="25" s="1"/>
  <c r="EI187" i="25"/>
  <c r="EV94" i="25"/>
  <c r="EZ94" i="25" s="1"/>
  <c r="FB94" i="25" s="1"/>
  <c r="EI94" i="25"/>
  <c r="EO94" i="25" s="1"/>
  <c r="EV127" i="25"/>
  <c r="FB127" i="25" s="1"/>
  <c r="EI127" i="25"/>
  <c r="EV67" i="25"/>
  <c r="EZ67" i="25" s="1"/>
  <c r="FB67" i="25" s="1"/>
  <c r="EI67" i="25"/>
  <c r="EO67" i="25" s="1"/>
  <c r="EV130" i="25"/>
  <c r="FB130" i="25" s="1"/>
  <c r="EI130" i="25"/>
  <c r="EV167" i="25"/>
  <c r="FB167" i="25" s="1"/>
  <c r="EI167" i="25"/>
  <c r="EV85" i="25"/>
  <c r="EZ85" i="25" s="1"/>
  <c r="FB85" i="25" s="1"/>
  <c r="EI85" i="25"/>
  <c r="EO85" i="25" s="1"/>
  <c r="EV152" i="25"/>
  <c r="FB152" i="25" s="1"/>
  <c r="EI152" i="25"/>
  <c r="EV88" i="25"/>
  <c r="EZ88" i="25" s="1"/>
  <c r="FB88" i="25" s="1"/>
  <c r="EI88" i="25"/>
  <c r="EO88" i="25" s="1"/>
  <c r="EV202" i="25"/>
  <c r="FB202" i="25" s="1"/>
  <c r="EI202" i="25"/>
  <c r="EV155" i="25"/>
  <c r="FB155" i="25" s="1"/>
  <c r="EI155" i="25"/>
  <c r="EV46" i="25"/>
  <c r="EZ46" i="25" s="1"/>
  <c r="FB46" i="25" s="1"/>
  <c r="EI46" i="25"/>
  <c r="EO46" i="25" s="1"/>
  <c r="EV10" i="25"/>
  <c r="EZ10" i="25" s="1"/>
  <c r="FB10" i="25" s="1"/>
  <c r="EI10" i="25"/>
  <c r="EO10" i="25" s="1"/>
  <c r="EV105" i="25"/>
  <c r="EZ105" i="25" s="1"/>
  <c r="FB105" i="25" s="1"/>
  <c r="EI105" i="25"/>
  <c r="EO105" i="25" s="1"/>
  <c r="EV31" i="25"/>
  <c r="EZ31" i="25" s="1"/>
  <c r="FB31" i="25" s="1"/>
  <c r="EI31" i="25"/>
  <c r="EO31" i="25" s="1"/>
  <c r="EV189" i="25"/>
  <c r="FB189" i="25" s="1"/>
  <c r="EI189" i="25"/>
  <c r="EV176" i="25"/>
  <c r="FB176" i="25" s="1"/>
  <c r="EI176" i="25"/>
  <c r="EV151" i="25"/>
  <c r="FB151" i="25" s="1"/>
  <c r="EI151" i="25"/>
  <c r="EV55" i="25"/>
  <c r="EZ55" i="25" s="1"/>
  <c r="FB55" i="25" s="1"/>
  <c r="EI55" i="25"/>
  <c r="EO55" i="25" s="1"/>
  <c r="EV51" i="25"/>
  <c r="EZ51" i="25" s="1"/>
  <c r="FB51" i="25" s="1"/>
  <c r="EI51" i="25"/>
  <c r="EO51" i="25" s="1"/>
  <c r="EV62" i="25"/>
  <c r="EZ62" i="25" s="1"/>
  <c r="FB62" i="25" s="1"/>
  <c r="EI62" i="25"/>
  <c r="EO62" i="25" s="1"/>
  <c r="EV147" i="25"/>
  <c r="FB147" i="25" s="1"/>
  <c r="EI147" i="25"/>
  <c r="EV101" i="25"/>
  <c r="EZ101" i="25" s="1"/>
  <c r="FB101" i="25" s="1"/>
  <c r="EI101" i="25"/>
  <c r="EO101" i="25" s="1"/>
  <c r="EP42" i="25"/>
  <c r="EV198" i="25"/>
  <c r="FB198" i="25" s="1"/>
  <c r="EI198" i="25"/>
  <c r="EV72" i="25"/>
  <c r="EZ72" i="25" s="1"/>
  <c r="FB72" i="25" s="1"/>
  <c r="EI72" i="25"/>
  <c r="EO72" i="25" s="1"/>
  <c r="EV16" i="25"/>
  <c r="EZ16" i="25" s="1"/>
  <c r="FB16" i="25" s="1"/>
  <c r="EI16" i="25"/>
  <c r="EO16" i="25" s="1"/>
  <c r="EV168" i="25"/>
  <c r="FB168" i="25" s="1"/>
  <c r="EI168" i="25"/>
  <c r="EV36" i="25"/>
  <c r="EZ36" i="25" s="1"/>
  <c r="FB36" i="25" s="1"/>
  <c r="EI36" i="25"/>
  <c r="EO36" i="25" s="1"/>
  <c r="EV203" i="25"/>
  <c r="FB203" i="25" s="1"/>
  <c r="EI203" i="25"/>
  <c r="EV166" i="25"/>
  <c r="FB166" i="25" s="1"/>
  <c r="EI166" i="25"/>
  <c r="EV84" i="25"/>
  <c r="EZ84" i="25" s="1"/>
  <c r="FB84" i="25" s="1"/>
  <c r="EI84" i="25"/>
  <c r="EO84" i="25" s="1"/>
  <c r="EV135" i="25"/>
  <c r="FB135" i="25" s="1"/>
  <c r="EI135" i="25"/>
  <c r="EV57" i="25"/>
  <c r="EZ57" i="25" s="1"/>
  <c r="FB57" i="25" s="1"/>
  <c r="EI57" i="25"/>
  <c r="EO57" i="25" s="1"/>
  <c r="EV21" i="25"/>
  <c r="EZ21" i="25" s="1"/>
  <c r="FB21" i="25" s="1"/>
  <c r="EI21" i="25"/>
  <c r="EO21" i="25" s="1"/>
  <c r="EV191" i="25"/>
  <c r="FB191" i="25" s="1"/>
  <c r="EI191" i="25"/>
  <c r="EV27" i="25"/>
  <c r="EZ27" i="25" s="1"/>
  <c r="FB27" i="25" s="1"/>
  <c r="EI27" i="25"/>
  <c r="EO27" i="25" s="1"/>
  <c r="EV69" i="25"/>
  <c r="EZ69" i="25" s="1"/>
  <c r="FB69" i="25" s="1"/>
  <c r="EI69" i="25"/>
  <c r="EO69" i="25" s="1"/>
  <c r="EP17" i="25"/>
  <c r="EV207" i="25"/>
  <c r="FB207" i="25" s="1"/>
  <c r="EI207" i="25"/>
  <c r="EV196" i="25"/>
  <c r="FB196" i="25" s="1"/>
  <c r="EI196" i="25"/>
  <c r="EH10" i="24"/>
  <c r="EK10" i="24" s="1"/>
  <c r="EQ10" i="24" s="1"/>
  <c r="EI10" i="24"/>
  <c r="EX10" i="24" s="1"/>
  <c r="EC10" i="24"/>
  <c r="ED10" i="24" s="1"/>
  <c r="EI134" i="24"/>
  <c r="EX134" i="24" s="1"/>
  <c r="EC134" i="24"/>
  <c r="ED134" i="24" s="1"/>
  <c r="EH79" i="24"/>
  <c r="EC79" i="24"/>
  <c r="ED79" i="24" s="1"/>
  <c r="EI79" i="24"/>
  <c r="EX79" i="24" s="1"/>
  <c r="EI72" i="24"/>
  <c r="EX72" i="24" s="1"/>
  <c r="EH72" i="24"/>
  <c r="EC72" i="24"/>
  <c r="ED72" i="24" s="1"/>
  <c r="EH115" i="24"/>
  <c r="EC115" i="24"/>
  <c r="ED115" i="24" s="1"/>
  <c r="EI115" i="24"/>
  <c r="EX115" i="24" s="1"/>
  <c r="EC116" i="24"/>
  <c r="ED116" i="24" s="1"/>
  <c r="EH116" i="24"/>
  <c r="EI116" i="24"/>
  <c r="EX116" i="24" s="1"/>
  <c r="EC91" i="24"/>
  <c r="ED91" i="24" s="1"/>
  <c r="EI91" i="24"/>
  <c r="EX91" i="24" s="1"/>
  <c r="EH91" i="24"/>
  <c r="EC121" i="24"/>
  <c r="ED121" i="24" s="1"/>
  <c r="EI121" i="24"/>
  <c r="EX121" i="24" s="1"/>
  <c r="EH121" i="24"/>
  <c r="EH46" i="24"/>
  <c r="EC46" i="24"/>
  <c r="ED46" i="24" s="1"/>
  <c r="EI46" i="24"/>
  <c r="EX46" i="24" s="1"/>
  <c r="EI113" i="24"/>
  <c r="EX113" i="24" s="1"/>
  <c r="EH113" i="24"/>
  <c r="EC113" i="24"/>
  <c r="ED113" i="24" s="1"/>
  <c r="EI86" i="24"/>
  <c r="EX86" i="24" s="1"/>
  <c r="EC86" i="24"/>
  <c r="ED86" i="24" s="1"/>
  <c r="EH86" i="24"/>
  <c r="EC33" i="24"/>
  <c r="ED33" i="24" s="1"/>
  <c r="EI33" i="24"/>
  <c r="EX33" i="24" s="1"/>
  <c r="EH33" i="24"/>
  <c r="EI45" i="24"/>
  <c r="EX45" i="24" s="1"/>
  <c r="EH45" i="24"/>
  <c r="EC45" i="24"/>
  <c r="ED45" i="24" s="1"/>
  <c r="EH105" i="24"/>
  <c r="EI105" i="24"/>
  <c r="EX105" i="24" s="1"/>
  <c r="EC105" i="24"/>
  <c r="ED105" i="24" s="1"/>
  <c r="EH120" i="24"/>
  <c r="EI120" i="24"/>
  <c r="EX120" i="24" s="1"/>
  <c r="EC120" i="24"/>
  <c r="ED120" i="24" s="1"/>
  <c r="EI27" i="24"/>
  <c r="EX27" i="24" s="1"/>
  <c r="EC27" i="24"/>
  <c r="ED27" i="24" s="1"/>
  <c r="EH27" i="24"/>
  <c r="EH97" i="24"/>
  <c r="EI97" i="24"/>
  <c r="EX97" i="24" s="1"/>
  <c r="EC97" i="24"/>
  <c r="ED97" i="24" s="1"/>
  <c r="EH100" i="24"/>
  <c r="EC100" i="24"/>
  <c r="ED100" i="24" s="1"/>
  <c r="EI100" i="24"/>
  <c r="EX100" i="24" s="1"/>
  <c r="EH61" i="24"/>
  <c r="EC61" i="24"/>
  <c r="ED61" i="24" s="1"/>
  <c r="EI61" i="24"/>
  <c r="EX61" i="24" s="1"/>
  <c r="EH84" i="24"/>
  <c r="EC84" i="24"/>
  <c r="ED84" i="24" s="1"/>
  <c r="EI84" i="24"/>
  <c r="EX84" i="24" s="1"/>
  <c r="EC197" i="24"/>
  <c r="ED197" i="24" s="1"/>
  <c r="EI197" i="24"/>
  <c r="EX197" i="24" s="1"/>
  <c r="EH197" i="24"/>
  <c r="EC21" i="24"/>
  <c r="ED21" i="24" s="1"/>
  <c r="EH21" i="24"/>
  <c r="EI21" i="24"/>
  <c r="EX21" i="24" s="1"/>
  <c r="EI139" i="24"/>
  <c r="EX139" i="24" s="1"/>
  <c r="EC139" i="24"/>
  <c r="ED139" i="24" s="1"/>
  <c r="EH139" i="24"/>
  <c r="EC20" i="24"/>
  <c r="ED20" i="24" s="1"/>
  <c r="EI20" i="24"/>
  <c r="EX20" i="24" s="1"/>
  <c r="EH20" i="24"/>
  <c r="EH26" i="24"/>
  <c r="EC26" i="24"/>
  <c r="ED26" i="24" s="1"/>
  <c r="EI26" i="24"/>
  <c r="EX26" i="24" s="1"/>
  <c r="EI154" i="24"/>
  <c r="EX154" i="24" s="1"/>
  <c r="EH154" i="24"/>
  <c r="EC154" i="24"/>
  <c r="ED154" i="24" s="1"/>
  <c r="EC17" i="24"/>
  <c r="ED17" i="24" s="1"/>
  <c r="EI17" i="24"/>
  <c r="EX17" i="24" s="1"/>
  <c r="EH17" i="24"/>
  <c r="EI35" i="24"/>
  <c r="EX35" i="24" s="1"/>
  <c r="EH35" i="24"/>
  <c r="EC35" i="24"/>
  <c r="ED35" i="24" s="1"/>
  <c r="EI70" i="24"/>
  <c r="EX70" i="24" s="1"/>
  <c r="EH70" i="24"/>
  <c r="EC70" i="24"/>
  <c r="ED70" i="24" s="1"/>
  <c r="EH138" i="24"/>
  <c r="EI138" i="24"/>
  <c r="EX138" i="24" s="1"/>
  <c r="EC138" i="24"/>
  <c r="ED138" i="24" s="1"/>
  <c r="EI119" i="24"/>
  <c r="EX119" i="24" s="1"/>
  <c r="EC119" i="24"/>
  <c r="ED119" i="24" s="1"/>
  <c r="EH119" i="24"/>
  <c r="EI18" i="24"/>
  <c r="EX18" i="24" s="1"/>
  <c r="EH18" i="24"/>
  <c r="EC18" i="24"/>
  <c r="ED18" i="24" s="1"/>
  <c r="EC184" i="24"/>
  <c r="ED184" i="24" s="1"/>
  <c r="EI184" i="24"/>
  <c r="EX184" i="24" s="1"/>
  <c r="EH184" i="24"/>
  <c r="EC189" i="24"/>
  <c r="ED189" i="24" s="1"/>
  <c r="EH189" i="24"/>
  <c r="EI189" i="24"/>
  <c r="EX189" i="24" s="1"/>
  <c r="EH158" i="24"/>
  <c r="EI158" i="24"/>
  <c r="EX158" i="24" s="1"/>
  <c r="EC158" i="24"/>
  <c r="ED158" i="24" s="1"/>
  <c r="EI167" i="24"/>
  <c r="EX167" i="24" s="1"/>
  <c r="EH167" i="24"/>
  <c r="EC167" i="24"/>
  <c r="ED167" i="24" s="1"/>
  <c r="EH188" i="24"/>
  <c r="EC188" i="24"/>
  <c r="ED188" i="24" s="1"/>
  <c r="EI188" i="24"/>
  <c r="EX188" i="24" s="1"/>
  <c r="EH50" i="24"/>
  <c r="EC50" i="24"/>
  <c r="ED50" i="24" s="1"/>
  <c r="EI50" i="24"/>
  <c r="EX50" i="24" s="1"/>
  <c r="EH122" i="24"/>
  <c r="EI122" i="24"/>
  <c r="EX122" i="24" s="1"/>
  <c r="EC122" i="24"/>
  <c r="ED122" i="24" s="1"/>
  <c r="EI161" i="24"/>
  <c r="EX161" i="24" s="1"/>
  <c r="EH161" i="24"/>
  <c r="EC161" i="24"/>
  <c r="ED161" i="24" s="1"/>
  <c r="EC168" i="24"/>
  <c r="ED168" i="24" s="1"/>
  <c r="EH168" i="24"/>
  <c r="EI168" i="24"/>
  <c r="EX168" i="24" s="1"/>
  <c r="EC174" i="24"/>
  <c r="ED174" i="24" s="1"/>
  <c r="EH174" i="24"/>
  <c r="EI174" i="24"/>
  <c r="EX174" i="24" s="1"/>
  <c r="EC141" i="24"/>
  <c r="ED141" i="24" s="1"/>
  <c r="EH141" i="24"/>
  <c r="EI141" i="24"/>
  <c r="EX141" i="24" s="1"/>
  <c r="EH191" i="24"/>
  <c r="EI191" i="24"/>
  <c r="EX191" i="24" s="1"/>
  <c r="EC191" i="24"/>
  <c r="ED191" i="24" s="1"/>
  <c r="EC112" i="24"/>
  <c r="ED112" i="24" s="1"/>
  <c r="EI112" i="24"/>
  <c r="EX112" i="24" s="1"/>
  <c r="EH112" i="24"/>
  <c r="EI150" i="24"/>
  <c r="EX150" i="24" s="1"/>
  <c r="EH150" i="24"/>
  <c r="EC150" i="24"/>
  <c r="ED150" i="24" s="1"/>
  <c r="EC204" i="24"/>
  <c r="ED204" i="24" s="1"/>
  <c r="EH204" i="24"/>
  <c r="EI204" i="24"/>
  <c r="EX204" i="24" s="1"/>
  <c r="EH166" i="24"/>
  <c r="EC166" i="24"/>
  <c r="ED166" i="24" s="1"/>
  <c r="EI166" i="24"/>
  <c r="EX166" i="24" s="1"/>
  <c r="EH59" i="24"/>
  <c r="EC59" i="24"/>
  <c r="ED59" i="24" s="1"/>
  <c r="EI59" i="24"/>
  <c r="EX59" i="24" s="1"/>
  <c r="EH196" i="24"/>
  <c r="EI196" i="24"/>
  <c r="EX196" i="24" s="1"/>
  <c r="EC196" i="24"/>
  <c r="ED196" i="24" s="1"/>
  <c r="EH38" i="24"/>
  <c r="EI38" i="24"/>
  <c r="EX38" i="24" s="1"/>
  <c r="EC38" i="24"/>
  <c r="ED38" i="24" s="1"/>
  <c r="EI183" i="24"/>
  <c r="EX183" i="24" s="1"/>
  <c r="EC183" i="24"/>
  <c r="ED183" i="24" s="1"/>
  <c r="EH183" i="24"/>
  <c r="EH200" i="24"/>
  <c r="EC200" i="24"/>
  <c r="ED200" i="24" s="1"/>
  <c r="EI200" i="24"/>
  <c r="EX200" i="24" s="1"/>
  <c r="EI98" i="24"/>
  <c r="EX98" i="24" s="1"/>
  <c r="EC98" i="24"/>
  <c r="ED98" i="24" s="1"/>
  <c r="EH98" i="24"/>
  <c r="EH87" i="24"/>
  <c r="EI87" i="24"/>
  <c r="EX87" i="24" s="1"/>
  <c r="EC87" i="24"/>
  <c r="ED87" i="24" s="1"/>
  <c r="EH117" i="24"/>
  <c r="EI117" i="24"/>
  <c r="EX117" i="24" s="1"/>
  <c r="EC117" i="24"/>
  <c r="ED117" i="24" s="1"/>
  <c r="EI15" i="24"/>
  <c r="EX15" i="24" s="1"/>
  <c r="EH15" i="24"/>
  <c r="EC15" i="24"/>
  <c r="ED15" i="24" s="1"/>
  <c r="EH185" i="24"/>
  <c r="EI185" i="24"/>
  <c r="EX185" i="24" s="1"/>
  <c r="EC185" i="24"/>
  <c r="ED185" i="24" s="1"/>
  <c r="EI16" i="24"/>
  <c r="EX16" i="24" s="1"/>
  <c r="EC16" i="24"/>
  <c r="ED16" i="24" s="1"/>
  <c r="EH16" i="24"/>
  <c r="EH202" i="24"/>
  <c r="EC202" i="24"/>
  <c r="ED202" i="24" s="1"/>
  <c r="EI202" i="24"/>
  <c r="EX202" i="24" s="1"/>
  <c r="EI177" i="24"/>
  <c r="EX177" i="24" s="1"/>
  <c r="EH177" i="24"/>
  <c r="EC177" i="24"/>
  <c r="ED177" i="24" s="1"/>
  <c r="EH195" i="24"/>
  <c r="EC195" i="24"/>
  <c r="ED195" i="24" s="1"/>
  <c r="EI195" i="24"/>
  <c r="EX195" i="24" s="1"/>
  <c r="EI153" i="24"/>
  <c r="EX153" i="24" s="1"/>
  <c r="EH153" i="24"/>
  <c r="EC153" i="24"/>
  <c r="ED153" i="24" s="1"/>
  <c r="EH94" i="24"/>
  <c r="EC94" i="24"/>
  <c r="ED94" i="24" s="1"/>
  <c r="EI94" i="24"/>
  <c r="EX94" i="24" s="1"/>
  <c r="EC178" i="24"/>
  <c r="ED178" i="24" s="1"/>
  <c r="EI178" i="24"/>
  <c r="EX178" i="24" s="1"/>
  <c r="EH178" i="24"/>
  <c r="EC210" i="24"/>
  <c r="ED210" i="24" s="1"/>
  <c r="EI210" i="24"/>
  <c r="EX210" i="24" s="1"/>
  <c r="EH210" i="24"/>
  <c r="EC171" i="24"/>
  <c r="ED171" i="24" s="1"/>
  <c r="EI171" i="24"/>
  <c r="EX171" i="24" s="1"/>
  <c r="EH171" i="24"/>
  <c r="EC57" i="24"/>
  <c r="ED57" i="24" s="1"/>
  <c r="EH57" i="24"/>
  <c r="EI57" i="24"/>
  <c r="EX57" i="24" s="1"/>
  <c r="EC88" i="24"/>
  <c r="ED88" i="24" s="1"/>
  <c r="EH88" i="24"/>
  <c r="EI88" i="24"/>
  <c r="EX88" i="24" s="1"/>
  <c r="EH155" i="24"/>
  <c r="EI155" i="24"/>
  <c r="EX155" i="24" s="1"/>
  <c r="EC155" i="24"/>
  <c r="ED155" i="24" s="1"/>
  <c r="EH145" i="24"/>
  <c r="EC145" i="24"/>
  <c r="ED145" i="24" s="1"/>
  <c r="EI145" i="24"/>
  <c r="EX145" i="24" s="1"/>
  <c r="EH58" i="24"/>
  <c r="EI58" i="24"/>
  <c r="EX58" i="24" s="1"/>
  <c r="EC58" i="24"/>
  <c r="ED58" i="24" s="1"/>
  <c r="EH114" i="24"/>
  <c r="EC114" i="24"/>
  <c r="ED114" i="24" s="1"/>
  <c r="EI114" i="24"/>
  <c r="EX114" i="24" s="1"/>
  <c r="EH209" i="24"/>
  <c r="EC209" i="24"/>
  <c r="ED209" i="24" s="1"/>
  <c r="EI209" i="24"/>
  <c r="EX209" i="24" s="1"/>
  <c r="EC182" i="24"/>
  <c r="ED182" i="24" s="1"/>
  <c r="EI182" i="24"/>
  <c r="EX182" i="24" s="1"/>
  <c r="EH182" i="24"/>
  <c r="EH123" i="24"/>
  <c r="EC123" i="24"/>
  <c r="ED123" i="24" s="1"/>
  <c r="EI123" i="24"/>
  <c r="EX123" i="24" s="1"/>
  <c r="EC128" i="24"/>
  <c r="ED128" i="24" s="1"/>
  <c r="EI128" i="24"/>
  <c r="EX128" i="24" s="1"/>
  <c r="EH128" i="24"/>
  <c r="EC187" i="24"/>
  <c r="ED187" i="24" s="1"/>
  <c r="EI187" i="24"/>
  <c r="EX187" i="24" s="1"/>
  <c r="EH187" i="24"/>
  <c r="EC131" i="24"/>
  <c r="ED131" i="24" s="1"/>
  <c r="EI131" i="24"/>
  <c r="EX131" i="24" s="1"/>
  <c r="EH131" i="24"/>
  <c r="EH89" i="24"/>
  <c r="EC89" i="24"/>
  <c r="ED89" i="24" s="1"/>
  <c r="EI89" i="24"/>
  <c r="EX89" i="24" s="1"/>
  <c r="EH144" i="24"/>
  <c r="EC144" i="24"/>
  <c r="ED144" i="24" s="1"/>
  <c r="EI144" i="24"/>
  <c r="EX144" i="24" s="1"/>
  <c r="EC75" i="24"/>
  <c r="ED75" i="24" s="1"/>
  <c r="EH75" i="24"/>
  <c r="EI75" i="24"/>
  <c r="EX75" i="24" s="1"/>
  <c r="EC162" i="24"/>
  <c r="ED162" i="24" s="1"/>
  <c r="EI162" i="24"/>
  <c r="EX162" i="24" s="1"/>
  <c r="EH162" i="24"/>
  <c r="EH203" i="24"/>
  <c r="EC203" i="24"/>
  <c r="ED203" i="24" s="1"/>
  <c r="EI203" i="24"/>
  <c r="EX203" i="24" s="1"/>
  <c r="EC149" i="24"/>
  <c r="ED149" i="24" s="1"/>
  <c r="EI149" i="24"/>
  <c r="EX149" i="24" s="1"/>
  <c r="EH149" i="24"/>
  <c r="EC140" i="24"/>
  <c r="ED140" i="24" s="1"/>
  <c r="EI140" i="24"/>
  <c r="EX140" i="24" s="1"/>
  <c r="EH140" i="24"/>
  <c r="EI36" i="24"/>
  <c r="EX36" i="24" s="1"/>
  <c r="EH36" i="24"/>
  <c r="EC36" i="24"/>
  <c r="ED36" i="24" s="1"/>
  <c r="EC103" i="24"/>
  <c r="ED103" i="24" s="1"/>
  <c r="EH103" i="24"/>
  <c r="EI103" i="24"/>
  <c r="EX103" i="24" s="1"/>
  <c r="EH76" i="24"/>
  <c r="EC76" i="24"/>
  <c r="ED76" i="24" s="1"/>
  <c r="EI76" i="24"/>
  <c r="EX76" i="24" s="1"/>
  <c r="EW190" i="24"/>
  <c r="FB190" i="24" s="1"/>
  <c r="EK190" i="24"/>
  <c r="EI73" i="24"/>
  <c r="EX73" i="24" s="1"/>
  <c r="EC73" i="24"/>
  <c r="ED73" i="24" s="1"/>
  <c r="EH73" i="24"/>
  <c r="EI53" i="24"/>
  <c r="EX53" i="24" s="1"/>
  <c r="EC53" i="24"/>
  <c r="ED53" i="24" s="1"/>
  <c r="EH53" i="24"/>
  <c r="EC93" i="24"/>
  <c r="ED93" i="24" s="1"/>
  <c r="EI93" i="24"/>
  <c r="EX93" i="24" s="1"/>
  <c r="EH93" i="24"/>
  <c r="EH31" i="24"/>
  <c r="EI31" i="24"/>
  <c r="EX31" i="24" s="1"/>
  <c r="EC31" i="24"/>
  <c r="ED31" i="24" s="1"/>
  <c r="EH6" i="24"/>
  <c r="EI6" i="24"/>
  <c r="EX6" i="24" s="1"/>
  <c r="EC6" i="24"/>
  <c r="ED6" i="24" s="1"/>
  <c r="EI118" i="24"/>
  <c r="EX118" i="24" s="1"/>
  <c r="EH118" i="24"/>
  <c r="EC118" i="24"/>
  <c r="ED118" i="24" s="1"/>
  <c r="EI34" i="24"/>
  <c r="EX34" i="24" s="1"/>
  <c r="EH34" i="24"/>
  <c r="EC34" i="24"/>
  <c r="ED34" i="24" s="1"/>
  <c r="EH7" i="24"/>
  <c r="EC7" i="24"/>
  <c r="ED7" i="24" s="1"/>
  <c r="EI7" i="24"/>
  <c r="EX7" i="24" s="1"/>
  <c r="EI135" i="24"/>
  <c r="EX135" i="24" s="1"/>
  <c r="EH135" i="24"/>
  <c r="EC135" i="24"/>
  <c r="ED135" i="24" s="1"/>
  <c r="EC193" i="24"/>
  <c r="ED193" i="24" s="1"/>
  <c r="EI193" i="24"/>
  <c r="EX193" i="24" s="1"/>
  <c r="EH193" i="24"/>
  <c r="EI130" i="24"/>
  <c r="EX130" i="24" s="1"/>
  <c r="EC130" i="24"/>
  <c r="ED130" i="24" s="1"/>
  <c r="EH130" i="24"/>
  <c r="EC208" i="24"/>
  <c r="ED208" i="24" s="1"/>
  <c r="EI208" i="24"/>
  <c r="EX208" i="24" s="1"/>
  <c r="EH208" i="24"/>
  <c r="EC207" i="24"/>
  <c r="ED207" i="24" s="1"/>
  <c r="EI207" i="24"/>
  <c r="EX207" i="24" s="1"/>
  <c r="EH207" i="24"/>
  <c r="EI47" i="24"/>
  <c r="EX47" i="24" s="1"/>
  <c r="EH47" i="24"/>
  <c r="EC47" i="24"/>
  <c r="ED47" i="24" s="1"/>
  <c r="EH176" i="24"/>
  <c r="EC176" i="24"/>
  <c r="ED176" i="24" s="1"/>
  <c r="EI176" i="24"/>
  <c r="EX176" i="24" s="1"/>
  <c r="EC194" i="24"/>
  <c r="ED194" i="24" s="1"/>
  <c r="EH194" i="24"/>
  <c r="EI194" i="24"/>
  <c r="EX194" i="24" s="1"/>
  <c r="EH80" i="24"/>
  <c r="EI80" i="24"/>
  <c r="EX80" i="24" s="1"/>
  <c r="EC80" i="24"/>
  <c r="ED80" i="24" s="1"/>
  <c r="EC22" i="24"/>
  <c r="ED22" i="24" s="1"/>
  <c r="EI22" i="24"/>
  <c r="EX22" i="24" s="1"/>
  <c r="EH22" i="24"/>
  <c r="EI41" i="24"/>
  <c r="EX41" i="24" s="1"/>
  <c r="EC41" i="24"/>
  <c r="ED41" i="24" s="1"/>
  <c r="EH41" i="24"/>
  <c r="EI85" i="24"/>
  <c r="EX85" i="24" s="1"/>
  <c r="EC85" i="24"/>
  <c r="ED85" i="24" s="1"/>
  <c r="EH85" i="24"/>
  <c r="EI19" i="24"/>
  <c r="EX19" i="24" s="1"/>
  <c r="EC19" i="24"/>
  <c r="ED19" i="24" s="1"/>
  <c r="EH19" i="24"/>
  <c r="EC95" i="24"/>
  <c r="ED95" i="24" s="1"/>
  <c r="EH95" i="24"/>
  <c r="EI95" i="24"/>
  <c r="EX95" i="24" s="1"/>
  <c r="EI65" i="24"/>
  <c r="EX65" i="24" s="1"/>
  <c r="EC65" i="24"/>
  <c r="ED65" i="24" s="1"/>
  <c r="EH65" i="24"/>
  <c r="EC101" i="24"/>
  <c r="ED101" i="24" s="1"/>
  <c r="EH101" i="24"/>
  <c r="EI101" i="24"/>
  <c r="EX101" i="24" s="1"/>
  <c r="EC163" i="24"/>
  <c r="ED163" i="24" s="1"/>
  <c r="EH163" i="24"/>
  <c r="EI163" i="24"/>
  <c r="EX163" i="24" s="1"/>
  <c r="EH8" i="24"/>
  <c r="EC8" i="24"/>
  <c r="ED8" i="24" s="1"/>
  <c r="EI8" i="24"/>
  <c r="EX8" i="24" s="1"/>
  <c r="EC165" i="24"/>
  <c r="ED165" i="24" s="1"/>
  <c r="EI165" i="24"/>
  <c r="EX165" i="24" s="1"/>
  <c r="EH165" i="24"/>
  <c r="EI49" i="24"/>
  <c r="EX49" i="24" s="1"/>
  <c r="EC49" i="24"/>
  <c r="ED49" i="24" s="1"/>
  <c r="EH49" i="24"/>
  <c r="EC205" i="24"/>
  <c r="ED205" i="24" s="1"/>
  <c r="EI205" i="24"/>
  <c r="EX205" i="24" s="1"/>
  <c r="EH205" i="24"/>
  <c r="EH68" i="24"/>
  <c r="EI68" i="24"/>
  <c r="EX68" i="24" s="1"/>
  <c r="EC68" i="24"/>
  <c r="ED68" i="24" s="1"/>
  <c r="EH175" i="24"/>
  <c r="EC175" i="24"/>
  <c r="ED175" i="24" s="1"/>
  <c r="EI175" i="24"/>
  <c r="EX175" i="24" s="1"/>
  <c r="EI42" i="24"/>
  <c r="EX42" i="24" s="1"/>
  <c r="EH42" i="24"/>
  <c r="EC42" i="24"/>
  <c r="ED42" i="24" s="1"/>
  <c r="EC143" i="24"/>
  <c r="ED143" i="24" s="1"/>
  <c r="EI143" i="24"/>
  <c r="EX143" i="24" s="1"/>
  <c r="EH143" i="24"/>
  <c r="EI173" i="24"/>
  <c r="EX173" i="24" s="1"/>
  <c r="EH173" i="24"/>
  <c r="EC173" i="24"/>
  <c r="ED173" i="24" s="1"/>
  <c r="EC54" i="24"/>
  <c r="ED54" i="24" s="1"/>
  <c r="EI54" i="24"/>
  <c r="EX54" i="24" s="1"/>
  <c r="EH54" i="24"/>
  <c r="EI11" i="24"/>
  <c r="EX11" i="24" s="1"/>
  <c r="EC11" i="24"/>
  <c r="ED11" i="24" s="1"/>
  <c r="EH11" i="24"/>
  <c r="EC102" i="24"/>
  <c r="ED102" i="24" s="1"/>
  <c r="EI102" i="24"/>
  <c r="EX102" i="24" s="1"/>
  <c r="EH102" i="24"/>
  <c r="EH156" i="24"/>
  <c r="EC156" i="24"/>
  <c r="ED156" i="24" s="1"/>
  <c r="EI156" i="24"/>
  <c r="EX156" i="24" s="1"/>
  <c r="EC179" i="24"/>
  <c r="ED179" i="24" s="1"/>
  <c r="EI179" i="24"/>
  <c r="EX179" i="24" s="1"/>
  <c r="EH179" i="24"/>
  <c r="EC148" i="24"/>
  <c r="ED148" i="24" s="1"/>
  <c r="EH148" i="24"/>
  <c r="EI148" i="24"/>
  <c r="EX148" i="24" s="1"/>
  <c r="EI51" i="24"/>
  <c r="EX51" i="24" s="1"/>
  <c r="EC51" i="24"/>
  <c r="ED51" i="24" s="1"/>
  <c r="EH51" i="24"/>
  <c r="EH32" i="24"/>
  <c r="EI32" i="24"/>
  <c r="EX32" i="24" s="1"/>
  <c r="EC32" i="24"/>
  <c r="ED32" i="24" s="1"/>
  <c r="EI64" i="24"/>
  <c r="EX64" i="24" s="1"/>
  <c r="EH64" i="24"/>
  <c r="EC64" i="24"/>
  <c r="ED64" i="24" s="1"/>
  <c r="EH198" i="24"/>
  <c r="EC198" i="24"/>
  <c r="ED198" i="24" s="1"/>
  <c r="EI198" i="24"/>
  <c r="EX198" i="24" s="1"/>
  <c r="EC24" i="24"/>
  <c r="ED24" i="24" s="1"/>
  <c r="EH24" i="24"/>
  <c r="EI24" i="24"/>
  <c r="EX24" i="24" s="1"/>
  <c r="EI129" i="24"/>
  <c r="EX129" i="24" s="1"/>
  <c r="EH129" i="24"/>
  <c r="EC129" i="24"/>
  <c r="ED129" i="24" s="1"/>
  <c r="EC164" i="24"/>
  <c r="ED164" i="24" s="1"/>
  <c r="EI164" i="24"/>
  <c r="EX164" i="24" s="1"/>
  <c r="EH164" i="24"/>
  <c r="EI12" i="24"/>
  <c r="EX12" i="24" s="1"/>
  <c r="EH12" i="24"/>
  <c r="EC12" i="24"/>
  <c r="ED12" i="24" s="1"/>
  <c r="EC25" i="24"/>
  <c r="ED25" i="24" s="1"/>
  <c r="EH25" i="24"/>
  <c r="EI25" i="24"/>
  <c r="EX25" i="24" s="1"/>
  <c r="EC66" i="24"/>
  <c r="ED66" i="24" s="1"/>
  <c r="EI66" i="24"/>
  <c r="EX66" i="24" s="1"/>
  <c r="EH66" i="24"/>
  <c r="EC56" i="24"/>
  <c r="ED56" i="24" s="1"/>
  <c r="EH56" i="24"/>
  <c r="EI56" i="24"/>
  <c r="EX56" i="24" s="1"/>
  <c r="EH125" i="24"/>
  <c r="EC125" i="24"/>
  <c r="ED125" i="24" s="1"/>
  <c r="EI125" i="24"/>
  <c r="EX125" i="24" s="1"/>
  <c r="EH181" i="24"/>
  <c r="EI181" i="24"/>
  <c r="EX181" i="24" s="1"/>
  <c r="EC181" i="24"/>
  <c r="ED181" i="24" s="1"/>
  <c r="EI180" i="24"/>
  <c r="EX180" i="24" s="1"/>
  <c r="EH180" i="24"/>
  <c r="EC180" i="24"/>
  <c r="ED180" i="24" s="1"/>
  <c r="EI157" i="24"/>
  <c r="EX157" i="24" s="1"/>
  <c r="EH157" i="24"/>
  <c r="EC157" i="24"/>
  <c r="ED157" i="24" s="1"/>
  <c r="EI82" i="24"/>
  <c r="EX82" i="24" s="1"/>
  <c r="EH82" i="24"/>
  <c r="EC82" i="24"/>
  <c r="ED82" i="24" s="1"/>
  <c r="EC151" i="24"/>
  <c r="ED151" i="24" s="1"/>
  <c r="EH151" i="24"/>
  <c r="EI151" i="24"/>
  <c r="EX151" i="24" s="1"/>
  <c r="EI9" i="24"/>
  <c r="EX9" i="24" s="1"/>
  <c r="EC9" i="24"/>
  <c r="ED9" i="24" s="1"/>
  <c r="EH9" i="24"/>
  <c r="EC206" i="24"/>
  <c r="ED206" i="24" s="1"/>
  <c r="EH206" i="24"/>
  <c r="EI206" i="24"/>
  <c r="EX206" i="24" s="1"/>
  <c r="EI137" i="24"/>
  <c r="EX137" i="24" s="1"/>
  <c r="EH137" i="24"/>
  <c r="EC137" i="24"/>
  <c r="ED137" i="24" s="1"/>
  <c r="EC146" i="24"/>
  <c r="ED146" i="24" s="1"/>
  <c r="EI146" i="24"/>
  <c r="EX146" i="24" s="1"/>
  <c r="EH146" i="24"/>
  <c r="EI69" i="24"/>
  <c r="EX69" i="24" s="1"/>
  <c r="EH69" i="24"/>
  <c r="EC69" i="24"/>
  <c r="ED69" i="24" s="1"/>
  <c r="EH28" i="24"/>
  <c r="EC28" i="24"/>
  <c r="ED28" i="24" s="1"/>
  <c r="EI28" i="24"/>
  <c r="EX28" i="24" s="1"/>
  <c r="AZ106" i="19"/>
  <c r="BL106" i="19" s="1"/>
  <c r="BM106" i="19" s="1"/>
  <c r="BZ106" i="19" s="1"/>
  <c r="BK106" i="19"/>
  <c r="B289" i="2"/>
  <c r="BI106" i="19"/>
  <c r="BJ106" i="19"/>
  <c r="BC106" i="19"/>
  <c r="BB106" i="19"/>
  <c r="BD106" i="19"/>
  <c r="BG106" i="19"/>
  <c r="BU106" i="19"/>
  <c r="CA106" i="19" s="1"/>
  <c r="BH106" i="19"/>
  <c r="BA106" i="19"/>
  <c r="BF106" i="19"/>
  <c r="BS106" i="19"/>
  <c r="BE106" i="19"/>
  <c r="EI216" i="25" l="1"/>
  <c r="EP216" i="25" s="1"/>
  <c r="FB216" i="25"/>
  <c r="EK96" i="24"/>
  <c r="EQ96" i="24" s="1"/>
  <c r="ER96" i="24" s="1"/>
  <c r="EK92" i="24"/>
  <c r="EQ92" i="24" s="1"/>
  <c r="ER92" i="24" s="1"/>
  <c r="EZ96" i="24"/>
  <c r="FB96" i="24" s="1"/>
  <c r="EP212" i="25"/>
  <c r="FC212" i="25"/>
  <c r="FE212" i="25" s="1"/>
  <c r="FF212" i="25" s="1"/>
  <c r="EW243" i="24"/>
  <c r="FB243" i="24" s="1"/>
  <c r="EK67" i="24"/>
  <c r="EQ67" i="24" s="1"/>
  <c r="ER67" i="24" s="1"/>
  <c r="EK159" i="24"/>
  <c r="ER159" i="24" s="1"/>
  <c r="EW132" i="24"/>
  <c r="FB132" i="24" s="1"/>
  <c r="O110" i="24"/>
  <c r="BZ110" i="24" s="1"/>
  <c r="EW285" i="24"/>
  <c r="FB285" i="24" s="1"/>
  <c r="EZ92" i="24"/>
  <c r="FB92" i="24" s="1"/>
  <c r="EZ78" i="24"/>
  <c r="FB78" i="24" s="1"/>
  <c r="EK78" i="24"/>
  <c r="EQ78" i="24" s="1"/>
  <c r="ER78" i="24" s="1"/>
  <c r="FB242" i="24"/>
  <c r="EK60" i="24"/>
  <c r="EQ60" i="24" s="1"/>
  <c r="EZ60" i="24"/>
  <c r="FB60" i="24" s="1"/>
  <c r="FB136" i="25"/>
  <c r="EK77" i="24"/>
  <c r="EQ77" i="24" s="1"/>
  <c r="ER77" i="24" s="1"/>
  <c r="EK74" i="24"/>
  <c r="EQ74" i="24" s="1"/>
  <c r="ER74" i="24" s="1"/>
  <c r="FC216" i="24"/>
  <c r="FE216" i="24" s="1"/>
  <c r="FF216" i="24" s="1"/>
  <c r="ER216" i="24"/>
  <c r="BK216" i="24"/>
  <c r="K216" i="24"/>
  <c r="ER285" i="24"/>
  <c r="EW245" i="24"/>
  <c r="FB245" i="24" s="1"/>
  <c r="EK245" i="24"/>
  <c r="EW225" i="24"/>
  <c r="FB225" i="24" s="1"/>
  <c r="EK225" i="24"/>
  <c r="EW279" i="24"/>
  <c r="FB279" i="24" s="1"/>
  <c r="EK279" i="24"/>
  <c r="EK229" i="24"/>
  <c r="EW229" i="24"/>
  <c r="FB229" i="24" s="1"/>
  <c r="EW278" i="24"/>
  <c r="FB278" i="24" s="1"/>
  <c r="EK278" i="24"/>
  <c r="EK301" i="24"/>
  <c r="EW301" i="24"/>
  <c r="FB301" i="24" s="1"/>
  <c r="EK248" i="24"/>
  <c r="EW248" i="24"/>
  <c r="FB248" i="24" s="1"/>
  <c r="EK271" i="24"/>
  <c r="EW271" i="24"/>
  <c r="FB271" i="24" s="1"/>
  <c r="EK219" i="24"/>
  <c r="EW219" i="24"/>
  <c r="FB219" i="24" s="1"/>
  <c r="EK263" i="24"/>
  <c r="EW263" i="24"/>
  <c r="FB263" i="24" s="1"/>
  <c r="EK284" i="24"/>
  <c r="EW284" i="24"/>
  <c r="FB284" i="24" s="1"/>
  <c r="EW268" i="24"/>
  <c r="FB268" i="24" s="1"/>
  <c r="EK268" i="24"/>
  <c r="EW310" i="24"/>
  <c r="FB310" i="24" s="1"/>
  <c r="EK310" i="24"/>
  <c r="EK294" i="24"/>
  <c r="EW294" i="24"/>
  <c r="FB294" i="24" s="1"/>
  <c r="EK275" i="24"/>
  <c r="EW275" i="24"/>
  <c r="FB275" i="24" s="1"/>
  <c r="EW249" i="24"/>
  <c r="FB249" i="24" s="1"/>
  <c r="EK249" i="24"/>
  <c r="EK258" i="24"/>
  <c r="EW258" i="24"/>
  <c r="FB258" i="24" s="1"/>
  <c r="EK230" i="24"/>
  <c r="EW230" i="24"/>
  <c r="FB230" i="24" s="1"/>
  <c r="EW306" i="24"/>
  <c r="FB306" i="24" s="1"/>
  <c r="EK306" i="24"/>
  <c r="EW298" i="24"/>
  <c r="FB298" i="24" s="1"/>
  <c r="EK298" i="24"/>
  <c r="EK282" i="24"/>
  <c r="EW282" i="24"/>
  <c r="FB282" i="24" s="1"/>
  <c r="EW270" i="24"/>
  <c r="FB270" i="24" s="1"/>
  <c r="EK270" i="24"/>
  <c r="EK264" i="24"/>
  <c r="EW264" i="24"/>
  <c r="FB264" i="24" s="1"/>
  <c r="EW253" i="24"/>
  <c r="FB253" i="24" s="1"/>
  <c r="EK253" i="24"/>
  <c r="EK267" i="24"/>
  <c r="EW267" i="24"/>
  <c r="FB267" i="24" s="1"/>
  <c r="EW316" i="24"/>
  <c r="FB316" i="24" s="1"/>
  <c r="EK316" i="24"/>
  <c r="EK224" i="24"/>
  <c r="EW224" i="24"/>
  <c r="FB224" i="24" s="1"/>
  <c r="EW251" i="24"/>
  <c r="FB251" i="24" s="1"/>
  <c r="EK251" i="24"/>
  <c r="EW289" i="24"/>
  <c r="FB289" i="24" s="1"/>
  <c r="EK289" i="24"/>
  <c r="EK238" i="24"/>
  <c r="EW238" i="24"/>
  <c r="FB238" i="24" s="1"/>
  <c r="EK246" i="24"/>
  <c r="EW246" i="24"/>
  <c r="FB246" i="24" s="1"/>
  <c r="EK232" i="24"/>
  <c r="EW232" i="24"/>
  <c r="FB232" i="24" s="1"/>
  <c r="EK281" i="24"/>
  <c r="EW281" i="24"/>
  <c r="FB281" i="24" s="1"/>
  <c r="EK233" i="24"/>
  <c r="EW233" i="24"/>
  <c r="FB233" i="24" s="1"/>
  <c r="EW288" i="24"/>
  <c r="FB288" i="24" s="1"/>
  <c r="EK288" i="24"/>
  <c r="EW257" i="24"/>
  <c r="FB257" i="24" s="1"/>
  <c r="EK257" i="24"/>
  <c r="EW255" i="24"/>
  <c r="FB255" i="24" s="1"/>
  <c r="EK255" i="24"/>
  <c r="EK273" i="24"/>
  <c r="EW273" i="24"/>
  <c r="FB273" i="24" s="1"/>
  <c r="EK218" i="24"/>
  <c r="EW218" i="24"/>
  <c r="FB218" i="24" s="1"/>
  <c r="EW262" i="24"/>
  <c r="FB262" i="24" s="1"/>
  <c r="EK262" i="24"/>
  <c r="EK266" i="24"/>
  <c r="EW266" i="24"/>
  <c r="FB266" i="24" s="1"/>
  <c r="ER243" i="24"/>
  <c r="EK261" i="24"/>
  <c r="EW261" i="24"/>
  <c r="FB261" i="24" s="1"/>
  <c r="EK228" i="24"/>
  <c r="EW228" i="24"/>
  <c r="FB228" i="24" s="1"/>
  <c r="EK265" i="24"/>
  <c r="EW265" i="24"/>
  <c r="FB265" i="24" s="1"/>
  <c r="EK244" i="24"/>
  <c r="EW244" i="24"/>
  <c r="FB244" i="24" s="1"/>
  <c r="EK236" i="24"/>
  <c r="EW236" i="24"/>
  <c r="FB236" i="24" s="1"/>
  <c r="EK299" i="24"/>
  <c r="EW299" i="24"/>
  <c r="FB299" i="24" s="1"/>
  <c r="EW304" i="24"/>
  <c r="FB304" i="24" s="1"/>
  <c r="EK304" i="24"/>
  <c r="EK283" i="24"/>
  <c r="EW283" i="24"/>
  <c r="FB283" i="24" s="1"/>
  <c r="EW231" i="24"/>
  <c r="FB231" i="24" s="1"/>
  <c r="EK231" i="24"/>
  <c r="EK280" i="24"/>
  <c r="EW280" i="24"/>
  <c r="FB280" i="24" s="1"/>
  <c r="EK234" i="24"/>
  <c r="EW234" i="24"/>
  <c r="FB234" i="24" s="1"/>
  <c r="EK296" i="24"/>
  <c r="EW296" i="24"/>
  <c r="FB296" i="24" s="1"/>
  <c r="EK239" i="24"/>
  <c r="EW239" i="24"/>
  <c r="FB239" i="24" s="1"/>
  <c r="EW259" i="24"/>
  <c r="FB259" i="24" s="1"/>
  <c r="EK259" i="24"/>
  <c r="EW308" i="24"/>
  <c r="FB308" i="24" s="1"/>
  <c r="EK308" i="24"/>
  <c r="EK222" i="24"/>
  <c r="EW222" i="24"/>
  <c r="FB222" i="24" s="1"/>
  <c r="EK305" i="24"/>
  <c r="EW305" i="24"/>
  <c r="FB305" i="24" s="1"/>
  <c r="EW312" i="24"/>
  <c r="FB312" i="24" s="1"/>
  <c r="EK312" i="24"/>
  <c r="EK313" i="24"/>
  <c r="EW313" i="24"/>
  <c r="FB313" i="24" s="1"/>
  <c r="EK220" i="24"/>
  <c r="EW220" i="24"/>
  <c r="FB220" i="24" s="1"/>
  <c r="EW274" i="24"/>
  <c r="FB274" i="24" s="1"/>
  <c r="EK274" i="24"/>
  <c r="EK240" i="24"/>
  <c r="EW240" i="24"/>
  <c r="FB240" i="24" s="1"/>
  <c r="EK286" i="24"/>
  <c r="EW286" i="24"/>
  <c r="FB286" i="24" s="1"/>
  <c r="EK260" i="24"/>
  <c r="EW260" i="24"/>
  <c r="FB260" i="24" s="1"/>
  <c r="EK217" i="24"/>
  <c r="EW217" i="24"/>
  <c r="FB217" i="24" s="1"/>
  <c r="EW300" i="24"/>
  <c r="FB300" i="24" s="1"/>
  <c r="EK300" i="24"/>
  <c r="EK223" i="24"/>
  <c r="EW223" i="24"/>
  <c r="FB223" i="24" s="1"/>
  <c r="EK309" i="24"/>
  <c r="EW309" i="24"/>
  <c r="FB309" i="24" s="1"/>
  <c r="EK277" i="24"/>
  <c r="EW277" i="24"/>
  <c r="FB277" i="24" s="1"/>
  <c r="EK311" i="24"/>
  <c r="EW311" i="24"/>
  <c r="FB311" i="24" s="1"/>
  <c r="ER242" i="24"/>
  <c r="FC242" i="24"/>
  <c r="FE242" i="24" s="1"/>
  <c r="FF242" i="24" s="1"/>
  <c r="EK227" i="24"/>
  <c r="EW227" i="24"/>
  <c r="FB227" i="24" s="1"/>
  <c r="EW276" i="24"/>
  <c r="FB276" i="24" s="1"/>
  <c r="EK276" i="24"/>
  <c r="EK292" i="24"/>
  <c r="EW292" i="24"/>
  <c r="FB292" i="24" s="1"/>
  <c r="EW235" i="24"/>
  <c r="FB235" i="24" s="1"/>
  <c r="EK235" i="24"/>
  <c r="EK315" i="24"/>
  <c r="EW315" i="24"/>
  <c r="FB315" i="24" s="1"/>
  <c r="EK252" i="24"/>
  <c r="EW252" i="24"/>
  <c r="FB252" i="24" s="1"/>
  <c r="EW293" i="24"/>
  <c r="FB293" i="24" s="1"/>
  <c r="EK293" i="24"/>
  <c r="EW314" i="24"/>
  <c r="FB314" i="24" s="1"/>
  <c r="EK314" i="24"/>
  <c r="EW295" i="24"/>
  <c r="FB295" i="24" s="1"/>
  <c r="EK295" i="24"/>
  <c r="EK269" i="24"/>
  <c r="EW269" i="24"/>
  <c r="FB269" i="24" s="1"/>
  <c r="EW241" i="24"/>
  <c r="FB241" i="24" s="1"/>
  <c r="EK241" i="24"/>
  <c r="EW287" i="24"/>
  <c r="FB287" i="24" s="1"/>
  <c r="EK287" i="24"/>
  <c r="EK297" i="24"/>
  <c r="EW297" i="24"/>
  <c r="FB297" i="24" s="1"/>
  <c r="EK303" i="24"/>
  <c r="EW303" i="24"/>
  <c r="FB303" i="24" s="1"/>
  <c r="EK272" i="24"/>
  <c r="EW272" i="24"/>
  <c r="FB272" i="24" s="1"/>
  <c r="EK256" i="24"/>
  <c r="EW256" i="24"/>
  <c r="FB256" i="24" s="1"/>
  <c r="EK307" i="24"/>
  <c r="EW307" i="24"/>
  <c r="FB307" i="24" s="1"/>
  <c r="EW290" i="24"/>
  <c r="FB290" i="24" s="1"/>
  <c r="EK290" i="24"/>
  <c r="EK226" i="24"/>
  <c r="EW226" i="24"/>
  <c r="FB226" i="24" s="1"/>
  <c r="EW247" i="24"/>
  <c r="FB247" i="24" s="1"/>
  <c r="EK247" i="24"/>
  <c r="EK254" i="24"/>
  <c r="EW254" i="24"/>
  <c r="FB254" i="24" s="1"/>
  <c r="EK221" i="24"/>
  <c r="EW221" i="24"/>
  <c r="FB221" i="24" s="1"/>
  <c r="EW237" i="24"/>
  <c r="FB237" i="24" s="1"/>
  <c r="EK237" i="24"/>
  <c r="EK291" i="24"/>
  <c r="EW291" i="24"/>
  <c r="FB291" i="24" s="1"/>
  <c r="EW302" i="24"/>
  <c r="FB302" i="24" s="1"/>
  <c r="EK302" i="24"/>
  <c r="EK250" i="24"/>
  <c r="EW250" i="24"/>
  <c r="FB250" i="24" s="1"/>
  <c r="EP217" i="25"/>
  <c r="FC217" i="25"/>
  <c r="FE217" i="25" s="1"/>
  <c r="FF217" i="25" s="1"/>
  <c r="EP256" i="25"/>
  <c r="FC256" i="25"/>
  <c r="FE256" i="25" s="1"/>
  <c r="FF256" i="25" s="1"/>
  <c r="EP273" i="25"/>
  <c r="FC273" i="25"/>
  <c r="FE273" i="25" s="1"/>
  <c r="FF273" i="25" s="1"/>
  <c r="FC221" i="25"/>
  <c r="FE221" i="25" s="1"/>
  <c r="FF221" i="25" s="1"/>
  <c r="EP221" i="25"/>
  <c r="FC226" i="25"/>
  <c r="FE226" i="25" s="1"/>
  <c r="FF226" i="25" s="1"/>
  <c r="EP226" i="25"/>
  <c r="EP240" i="25"/>
  <c r="FC240" i="25"/>
  <c r="FE240" i="25" s="1"/>
  <c r="FF240" i="25" s="1"/>
  <c r="EP249" i="25"/>
  <c r="FC249" i="25"/>
  <c r="FE249" i="25" s="1"/>
  <c r="FF249" i="25" s="1"/>
  <c r="FC282" i="25"/>
  <c r="FE282" i="25" s="1"/>
  <c r="FF282" i="25" s="1"/>
  <c r="EP282" i="25"/>
  <c r="EP227" i="25"/>
  <c r="FC227" i="25"/>
  <c r="FE227" i="25" s="1"/>
  <c r="FF227" i="25" s="1"/>
  <c r="EP301" i="25"/>
  <c r="FC301" i="25"/>
  <c r="FE301" i="25" s="1"/>
  <c r="FF301" i="25" s="1"/>
  <c r="FC279" i="25"/>
  <c r="FE279" i="25" s="1"/>
  <c r="FF279" i="25" s="1"/>
  <c r="EP279" i="25"/>
  <c r="FC233" i="25"/>
  <c r="FE233" i="25" s="1"/>
  <c r="FF233" i="25" s="1"/>
  <c r="EP233" i="25"/>
  <c r="EP284" i="25"/>
  <c r="FC284" i="25"/>
  <c r="FE284" i="25" s="1"/>
  <c r="FF284" i="25" s="1"/>
  <c r="FC311" i="25"/>
  <c r="FE311" i="25" s="1"/>
  <c r="FF311" i="25" s="1"/>
  <c r="EP311" i="25"/>
  <c r="EP306" i="25"/>
  <c r="FC306" i="25"/>
  <c r="FE306" i="25" s="1"/>
  <c r="FF306" i="25" s="1"/>
  <c r="EP280" i="25"/>
  <c r="FC280" i="25"/>
  <c r="FE280" i="25" s="1"/>
  <c r="FF280" i="25" s="1"/>
  <c r="FC246" i="25"/>
  <c r="FE246" i="25" s="1"/>
  <c r="FF246" i="25" s="1"/>
  <c r="EP246" i="25"/>
  <c r="EP263" i="25"/>
  <c r="FC263" i="25"/>
  <c r="FE263" i="25" s="1"/>
  <c r="FF263" i="25" s="1"/>
  <c r="EP312" i="25"/>
  <c r="FC312" i="25"/>
  <c r="FE312" i="25" s="1"/>
  <c r="FF312" i="25" s="1"/>
  <c r="FC243" i="25"/>
  <c r="FE243" i="25" s="1"/>
  <c r="FF243" i="25" s="1"/>
  <c r="EP243" i="25"/>
  <c r="EP275" i="25"/>
  <c r="FC275" i="25"/>
  <c r="FE275" i="25" s="1"/>
  <c r="FF275" i="25" s="1"/>
  <c r="EP259" i="25"/>
  <c r="FC259" i="25"/>
  <c r="FE259" i="25" s="1"/>
  <c r="FF259" i="25" s="1"/>
  <c r="EP315" i="25"/>
  <c r="FC315" i="25"/>
  <c r="FE315" i="25" s="1"/>
  <c r="FF315" i="25" s="1"/>
  <c r="EP296" i="25"/>
  <c r="FC296" i="25"/>
  <c r="FE296" i="25" s="1"/>
  <c r="FF296" i="25" s="1"/>
  <c r="EP281" i="25"/>
  <c r="FC281" i="25"/>
  <c r="FE281" i="25" s="1"/>
  <c r="FF281" i="25" s="1"/>
  <c r="EP254" i="25"/>
  <c r="FC254" i="25"/>
  <c r="FE254" i="25" s="1"/>
  <c r="FF254" i="25" s="1"/>
  <c r="EP234" i="25"/>
  <c r="FC234" i="25"/>
  <c r="FE234" i="25" s="1"/>
  <c r="FF234" i="25" s="1"/>
  <c r="EP309" i="25"/>
  <c r="FC309" i="25"/>
  <c r="FE309" i="25" s="1"/>
  <c r="FF309" i="25" s="1"/>
  <c r="EP288" i="25"/>
  <c r="FC288" i="25"/>
  <c r="FE288" i="25" s="1"/>
  <c r="FF288" i="25" s="1"/>
  <c r="FC222" i="25"/>
  <c r="FE222" i="25" s="1"/>
  <c r="FF222" i="25" s="1"/>
  <c r="EP222" i="25"/>
  <c r="EP261" i="25"/>
  <c r="FC261" i="25"/>
  <c r="FE261" i="25" s="1"/>
  <c r="FF261" i="25" s="1"/>
  <c r="EP316" i="25"/>
  <c r="FC316" i="25"/>
  <c r="FE316" i="25" s="1"/>
  <c r="FF316" i="25" s="1"/>
  <c r="EP239" i="25"/>
  <c r="FC239" i="25"/>
  <c r="FE239" i="25" s="1"/>
  <c r="FF239" i="25" s="1"/>
  <c r="EP253" i="25"/>
  <c r="FC253" i="25"/>
  <c r="FE253" i="25" s="1"/>
  <c r="FF253" i="25" s="1"/>
  <c r="FC286" i="25"/>
  <c r="FE286" i="25" s="1"/>
  <c r="FF286" i="25" s="1"/>
  <c r="EP286" i="25"/>
  <c r="EP290" i="25"/>
  <c r="FC290" i="25"/>
  <c r="FE290" i="25" s="1"/>
  <c r="FF290" i="25" s="1"/>
  <c r="EP283" i="25"/>
  <c r="FC283" i="25"/>
  <c r="FE283" i="25" s="1"/>
  <c r="FF283" i="25" s="1"/>
  <c r="EP303" i="25"/>
  <c r="FC303" i="25"/>
  <c r="FE303" i="25" s="1"/>
  <c r="FF303" i="25" s="1"/>
  <c r="EP245" i="25"/>
  <c r="FC245" i="25"/>
  <c r="FE245" i="25" s="1"/>
  <c r="FF245" i="25" s="1"/>
  <c r="FC260" i="25"/>
  <c r="FE260" i="25" s="1"/>
  <c r="FF260" i="25" s="1"/>
  <c r="EP260" i="25"/>
  <c r="FC224" i="25"/>
  <c r="FE224" i="25" s="1"/>
  <c r="FF224" i="25" s="1"/>
  <c r="EP224" i="25"/>
  <c r="EP241" i="25"/>
  <c r="FC241" i="25"/>
  <c r="FE241" i="25" s="1"/>
  <c r="FF241" i="25" s="1"/>
  <c r="FC271" i="25"/>
  <c r="FE271" i="25" s="1"/>
  <c r="FF271" i="25" s="1"/>
  <c r="EP271" i="25"/>
  <c r="EP267" i="25"/>
  <c r="FC267" i="25"/>
  <c r="FE267" i="25" s="1"/>
  <c r="FF267" i="25" s="1"/>
  <c r="EP250" i="25"/>
  <c r="FC250" i="25"/>
  <c r="FE250" i="25" s="1"/>
  <c r="FF250" i="25" s="1"/>
  <c r="EP307" i="25"/>
  <c r="FC307" i="25"/>
  <c r="FE307" i="25" s="1"/>
  <c r="FF307" i="25" s="1"/>
  <c r="EP268" i="25"/>
  <c r="FC268" i="25"/>
  <c r="FE268" i="25" s="1"/>
  <c r="FF268" i="25" s="1"/>
  <c r="FC251" i="25"/>
  <c r="FE251" i="25" s="1"/>
  <c r="FF251" i="25" s="1"/>
  <c r="EP251" i="25"/>
  <c r="EP299" i="25"/>
  <c r="FC299" i="25"/>
  <c r="FE299" i="25" s="1"/>
  <c r="FF299" i="25" s="1"/>
  <c r="FC247" i="25"/>
  <c r="FE247" i="25" s="1"/>
  <c r="FF247" i="25" s="1"/>
  <c r="EP247" i="25"/>
  <c r="EP220" i="25"/>
  <c r="FC220" i="25"/>
  <c r="FE220" i="25" s="1"/>
  <c r="FF220" i="25" s="1"/>
  <c r="EP297" i="25"/>
  <c r="FC297" i="25"/>
  <c r="FE297" i="25" s="1"/>
  <c r="FF297" i="25" s="1"/>
  <c r="EP314" i="25"/>
  <c r="FC314" i="25"/>
  <c r="FE314" i="25" s="1"/>
  <c r="FF314" i="25" s="1"/>
  <c r="FC272" i="25"/>
  <c r="FE272" i="25" s="1"/>
  <c r="FF272" i="25" s="1"/>
  <c r="EP272" i="25"/>
  <c r="FC310" i="25"/>
  <c r="FE310" i="25" s="1"/>
  <c r="FF310" i="25" s="1"/>
  <c r="EP310" i="25"/>
  <c r="EP285" i="25"/>
  <c r="FC285" i="25"/>
  <c r="FE285" i="25" s="1"/>
  <c r="FF285" i="25" s="1"/>
  <c r="FC232" i="25"/>
  <c r="FE232" i="25" s="1"/>
  <c r="FF232" i="25" s="1"/>
  <c r="EP232" i="25"/>
  <c r="EP244" i="25"/>
  <c r="FC244" i="25"/>
  <c r="FE244" i="25" s="1"/>
  <c r="FF244" i="25" s="1"/>
  <c r="FC223" i="25"/>
  <c r="FE223" i="25" s="1"/>
  <c r="FF223" i="25" s="1"/>
  <c r="EP223" i="25"/>
  <c r="FC218" i="25"/>
  <c r="FE218" i="25" s="1"/>
  <c r="FF218" i="25" s="1"/>
  <c r="EP218" i="25"/>
  <c r="EP242" i="25"/>
  <c r="FC242" i="25"/>
  <c r="FE242" i="25" s="1"/>
  <c r="FF242" i="25" s="1"/>
  <c r="EP292" i="25"/>
  <c r="FC292" i="25"/>
  <c r="FE292" i="25" s="1"/>
  <c r="FF292" i="25" s="1"/>
  <c r="EP308" i="25"/>
  <c r="FC308" i="25"/>
  <c r="FE308" i="25" s="1"/>
  <c r="FF308" i="25" s="1"/>
  <c r="EP265" i="25"/>
  <c r="FC265" i="25"/>
  <c r="FE265" i="25" s="1"/>
  <c r="FF265" i="25" s="1"/>
  <c r="FC277" i="25"/>
  <c r="FE277" i="25" s="1"/>
  <c r="FF277" i="25" s="1"/>
  <c r="EP277" i="25"/>
  <c r="EP236" i="25"/>
  <c r="FC236" i="25"/>
  <c r="FE236" i="25" s="1"/>
  <c r="FF236" i="25" s="1"/>
  <c r="EP287" i="25"/>
  <c r="FC287" i="25"/>
  <c r="FE287" i="25" s="1"/>
  <c r="FF287" i="25" s="1"/>
  <c r="EP264" i="25"/>
  <c r="FC264" i="25"/>
  <c r="FE264" i="25" s="1"/>
  <c r="FF264" i="25" s="1"/>
  <c r="EP313" i="25"/>
  <c r="FC313" i="25"/>
  <c r="FE313" i="25" s="1"/>
  <c r="FF313" i="25" s="1"/>
  <c r="FC302" i="25"/>
  <c r="FE302" i="25" s="1"/>
  <c r="FF302" i="25" s="1"/>
  <c r="EP302" i="25"/>
  <c r="EP225" i="25"/>
  <c r="FC225" i="25"/>
  <c r="FE225" i="25" s="1"/>
  <c r="FF225" i="25" s="1"/>
  <c r="FC295" i="25"/>
  <c r="FE295" i="25" s="1"/>
  <c r="FF295" i="25" s="1"/>
  <c r="EP295" i="25"/>
  <c r="FC266" i="25"/>
  <c r="FE266" i="25" s="1"/>
  <c r="FF266" i="25" s="1"/>
  <c r="EP266" i="25"/>
  <c r="EP298" i="25"/>
  <c r="FC298" i="25"/>
  <c r="FE298" i="25" s="1"/>
  <c r="FF298" i="25" s="1"/>
  <c r="FC219" i="25"/>
  <c r="FE219" i="25" s="1"/>
  <c r="FF219" i="25" s="1"/>
  <c r="EP219" i="25"/>
  <c r="FC300" i="25"/>
  <c r="FE300" i="25" s="1"/>
  <c r="FF300" i="25" s="1"/>
  <c r="EP300" i="25"/>
  <c r="FC235" i="25"/>
  <c r="FE235" i="25" s="1"/>
  <c r="FF235" i="25" s="1"/>
  <c r="EP235" i="25"/>
  <c r="EP269" i="25"/>
  <c r="FC269" i="25"/>
  <c r="FE269" i="25" s="1"/>
  <c r="FF269" i="25" s="1"/>
  <c r="EP304" i="25"/>
  <c r="FC304" i="25"/>
  <c r="FE304" i="25" s="1"/>
  <c r="FF304" i="25" s="1"/>
  <c r="EP229" i="25"/>
  <c r="FC229" i="25"/>
  <c r="FE229" i="25" s="1"/>
  <c r="FF229" i="25" s="1"/>
  <c r="EP289" i="25"/>
  <c r="FC289" i="25"/>
  <c r="FE289" i="25" s="1"/>
  <c r="FF289" i="25" s="1"/>
  <c r="FC262" i="25"/>
  <c r="FE262" i="25" s="1"/>
  <c r="FF262" i="25" s="1"/>
  <c r="EP262" i="25"/>
  <c r="FC231" i="25"/>
  <c r="FE231" i="25" s="1"/>
  <c r="FF231" i="25" s="1"/>
  <c r="EP231" i="25"/>
  <c r="EP293" i="25"/>
  <c r="FC293" i="25"/>
  <c r="FE293" i="25" s="1"/>
  <c r="FF293" i="25" s="1"/>
  <c r="EP270" i="25"/>
  <c r="FC270" i="25"/>
  <c r="FE270" i="25" s="1"/>
  <c r="FF270" i="25" s="1"/>
  <c r="FC258" i="25"/>
  <c r="FE258" i="25" s="1"/>
  <c r="FF258" i="25" s="1"/>
  <c r="EP258" i="25"/>
  <c r="EP291" i="25"/>
  <c r="FC291" i="25"/>
  <c r="FE291" i="25" s="1"/>
  <c r="FF291" i="25" s="1"/>
  <c r="EP228" i="25"/>
  <c r="FC228" i="25"/>
  <c r="FE228" i="25" s="1"/>
  <c r="FF228" i="25" s="1"/>
  <c r="EP276" i="25"/>
  <c r="FC276" i="25"/>
  <c r="FE276" i="25" s="1"/>
  <c r="FF276" i="25" s="1"/>
  <c r="EP248" i="25"/>
  <c r="FC248" i="25"/>
  <c r="FE248" i="25" s="1"/>
  <c r="FF248" i="25" s="1"/>
  <c r="EP238" i="25"/>
  <c r="FC238" i="25"/>
  <c r="FE238" i="25" s="1"/>
  <c r="FF238" i="25" s="1"/>
  <c r="FC257" i="25"/>
  <c r="FE257" i="25" s="1"/>
  <c r="FF257" i="25" s="1"/>
  <c r="EP257" i="25"/>
  <c r="EP255" i="25"/>
  <c r="FC255" i="25"/>
  <c r="FE255" i="25" s="1"/>
  <c r="FF255" i="25" s="1"/>
  <c r="FC230" i="25"/>
  <c r="FE230" i="25" s="1"/>
  <c r="FF230" i="25" s="1"/>
  <c r="EP230" i="25"/>
  <c r="EP305" i="25"/>
  <c r="FC305" i="25"/>
  <c r="FE305" i="25" s="1"/>
  <c r="FF305" i="25" s="1"/>
  <c r="EP237" i="25"/>
  <c r="FC237" i="25"/>
  <c r="FE237" i="25" s="1"/>
  <c r="FF237" i="25" s="1"/>
  <c r="FC294" i="25"/>
  <c r="FE294" i="25" s="1"/>
  <c r="FF294" i="25" s="1"/>
  <c r="EP294" i="25"/>
  <c r="FC278" i="25"/>
  <c r="FE278" i="25" s="1"/>
  <c r="FF278" i="25" s="1"/>
  <c r="EP278" i="25"/>
  <c r="FC274" i="25"/>
  <c r="FE274" i="25" s="1"/>
  <c r="FF274" i="25" s="1"/>
  <c r="EP274" i="25"/>
  <c r="EP252" i="25"/>
  <c r="FC252" i="25"/>
  <c r="FE252" i="25" s="1"/>
  <c r="FF252" i="25" s="1"/>
  <c r="EZ74" i="24"/>
  <c r="FB74" i="24" s="1"/>
  <c r="EK142" i="24"/>
  <c r="FC142" i="24" s="1"/>
  <c r="FE142" i="24" s="1"/>
  <c r="FF142" i="24" s="1"/>
  <c r="FC112" i="25"/>
  <c r="FE112" i="25" s="1"/>
  <c r="FF112" i="25" s="1"/>
  <c r="EP112" i="25"/>
  <c r="EZ43" i="24"/>
  <c r="FB43" i="24" s="1"/>
  <c r="EK39" i="24"/>
  <c r="EQ39" i="24" s="1"/>
  <c r="ER39" i="24" s="1"/>
  <c r="EZ39" i="24"/>
  <c r="FB39" i="24" s="1"/>
  <c r="EW152" i="24"/>
  <c r="FB152" i="24" s="1"/>
  <c r="EK52" i="24"/>
  <c r="EQ52" i="24" s="1"/>
  <c r="ER52" i="24" s="1"/>
  <c r="FC47" i="25"/>
  <c r="FE47" i="25" s="1"/>
  <c r="FF47" i="25" s="1"/>
  <c r="EK63" i="24"/>
  <c r="EQ63" i="24" s="1"/>
  <c r="ER63" i="24" s="1"/>
  <c r="EZ55" i="24"/>
  <c r="FB55" i="24" s="1"/>
  <c r="EW37" i="24"/>
  <c r="EZ37" i="24" s="1"/>
  <c r="FB37" i="24" s="1"/>
  <c r="EK44" i="24"/>
  <c r="EQ44" i="24" s="1"/>
  <c r="ER44" i="24" s="1"/>
  <c r="EZ44" i="24"/>
  <c r="FB44" i="24" s="1"/>
  <c r="FC96" i="25"/>
  <c r="FE96" i="25" s="1"/>
  <c r="FF96" i="25" s="1"/>
  <c r="EW83" i="24"/>
  <c r="EZ83" i="24" s="1"/>
  <c r="FB83" i="24" s="1"/>
  <c r="EW186" i="24"/>
  <c r="FB186" i="24" s="1"/>
  <c r="EW134" i="24"/>
  <c r="FC134" i="24" s="1"/>
  <c r="FE134" i="24" s="1"/>
  <c r="FF134" i="24" s="1"/>
  <c r="EW160" i="24"/>
  <c r="FB160" i="24" s="1"/>
  <c r="FB133" i="24"/>
  <c r="FC164" i="25"/>
  <c r="FE164" i="25" s="1"/>
  <c r="FF164" i="25" s="1"/>
  <c r="EK169" i="24"/>
  <c r="EW169" i="24"/>
  <c r="FB169" i="24" s="1"/>
  <c r="EK133" i="24"/>
  <c r="ER133" i="24" s="1"/>
  <c r="EK111" i="24"/>
  <c r="FC111" i="24" s="1"/>
  <c r="FE111" i="24" s="1"/>
  <c r="FF111" i="24" s="1"/>
  <c r="EZ52" i="24"/>
  <c r="FB52" i="24" s="1"/>
  <c r="EW126" i="24"/>
  <c r="FB126" i="24" s="1"/>
  <c r="EW127" i="24"/>
  <c r="FB127" i="24" s="1"/>
  <c r="FC128" i="25"/>
  <c r="FE128" i="25" s="1"/>
  <c r="FF128" i="25" s="1"/>
  <c r="FC64" i="25"/>
  <c r="FE64" i="25" s="1"/>
  <c r="FF64" i="25" s="1"/>
  <c r="FC103" i="25"/>
  <c r="FE103" i="25" s="1"/>
  <c r="FF103" i="25" s="1"/>
  <c r="EP96" i="25"/>
  <c r="EW104" i="24"/>
  <c r="EZ104" i="24" s="1"/>
  <c r="FB104" i="24" s="1"/>
  <c r="EW136" i="24"/>
  <c r="FB136" i="24" s="1"/>
  <c r="FC89" i="25"/>
  <c r="FE89" i="25" s="1"/>
  <c r="FF89" i="25" s="1"/>
  <c r="EW48" i="24"/>
  <c r="EZ48" i="24" s="1"/>
  <c r="EW30" i="24"/>
  <c r="EZ30" i="24" s="1"/>
  <c r="FB30" i="24" s="1"/>
  <c r="FC93" i="25"/>
  <c r="FE93" i="25" s="1"/>
  <c r="FF93" i="25" s="1"/>
  <c r="FC145" i="25"/>
  <c r="FE145" i="25" s="1"/>
  <c r="FF145" i="25" s="1"/>
  <c r="FB111" i="24"/>
  <c r="EP47" i="25"/>
  <c r="FC156" i="25"/>
  <c r="FE156" i="25" s="1"/>
  <c r="FF156" i="25" s="1"/>
  <c r="FC183" i="25"/>
  <c r="FE183" i="25" s="1"/>
  <c r="FF183" i="25" s="1"/>
  <c r="EK14" i="24"/>
  <c r="EQ14" i="24" s="1"/>
  <c r="FB192" i="24"/>
  <c r="EZ63" i="24"/>
  <c r="FB63" i="24" s="1"/>
  <c r="EK55" i="24"/>
  <c r="EQ55" i="24" s="1"/>
  <c r="ER55" i="24" s="1"/>
  <c r="EK40" i="24"/>
  <c r="EQ40" i="24" s="1"/>
  <c r="ER40" i="24" s="1"/>
  <c r="EW71" i="24"/>
  <c r="EZ71" i="24" s="1"/>
  <c r="FB172" i="24"/>
  <c r="EW29" i="24"/>
  <c r="EZ29" i="24" s="1"/>
  <c r="FB29" i="24" s="1"/>
  <c r="EW199" i="24"/>
  <c r="FB199" i="24" s="1"/>
  <c r="EZ14" i="24"/>
  <c r="FB14" i="24" s="1"/>
  <c r="FC131" i="25"/>
  <c r="FE131" i="25" s="1"/>
  <c r="FF131" i="25" s="1"/>
  <c r="FC74" i="25"/>
  <c r="FE74" i="25" s="1"/>
  <c r="FF74" i="25" s="1"/>
  <c r="EK62" i="24"/>
  <c r="EQ62" i="24" s="1"/>
  <c r="ER62" i="24" s="1"/>
  <c r="FC185" i="25"/>
  <c r="FE185" i="25" s="1"/>
  <c r="FF185" i="25" s="1"/>
  <c r="EZ81" i="24"/>
  <c r="FB81" i="24" s="1"/>
  <c r="EK192" i="24"/>
  <c r="ER192" i="24" s="1"/>
  <c r="EK172" i="24"/>
  <c r="ER172" i="24" s="1"/>
  <c r="FB159" i="24"/>
  <c r="EW147" i="24"/>
  <c r="FC147" i="24" s="1"/>
  <c r="FE147" i="24" s="1"/>
  <c r="FF147" i="24" s="1"/>
  <c r="FC173" i="25"/>
  <c r="FE173" i="25" s="1"/>
  <c r="FF173" i="25" s="1"/>
  <c r="FC17" i="25"/>
  <c r="FE17" i="25" s="1"/>
  <c r="FF17" i="25" s="1"/>
  <c r="FC33" i="25"/>
  <c r="FE33" i="25" s="1"/>
  <c r="FF33" i="25" s="1"/>
  <c r="EP158" i="25"/>
  <c r="FC97" i="25"/>
  <c r="FE97" i="25" s="1"/>
  <c r="FF97" i="25" s="1"/>
  <c r="FB170" i="24"/>
  <c r="FC95" i="25"/>
  <c r="FE95" i="25" s="1"/>
  <c r="FF95" i="25" s="1"/>
  <c r="EP95" i="25"/>
  <c r="EK170" i="24"/>
  <c r="FC170" i="24" s="1"/>
  <c r="FE170" i="24" s="1"/>
  <c r="FF170" i="24" s="1"/>
  <c r="EK81" i="24"/>
  <c r="EQ81" i="24" s="1"/>
  <c r="ER81" i="24" s="1"/>
  <c r="EK43" i="24"/>
  <c r="EQ43" i="24" s="1"/>
  <c r="ER43" i="24" s="1"/>
  <c r="EK23" i="24"/>
  <c r="EQ23" i="24" s="1"/>
  <c r="ER23" i="24" s="1"/>
  <c r="FC99" i="25"/>
  <c r="FE99" i="25" s="1"/>
  <c r="FF99" i="25" s="1"/>
  <c r="FC90" i="25"/>
  <c r="FE90" i="25" s="1"/>
  <c r="FF90" i="25" s="1"/>
  <c r="EP199" i="25"/>
  <c r="FC77" i="25"/>
  <c r="FE77" i="25" s="1"/>
  <c r="FF77" i="25" s="1"/>
  <c r="FC58" i="25"/>
  <c r="FE58" i="25" s="1"/>
  <c r="FF58" i="25" s="1"/>
  <c r="EP137" i="25"/>
  <c r="FC37" i="25"/>
  <c r="FE37" i="25" s="1"/>
  <c r="FF37" i="25" s="1"/>
  <c r="FC42" i="25"/>
  <c r="FE42" i="25" s="1"/>
  <c r="FF42" i="25" s="1"/>
  <c r="FC73" i="25"/>
  <c r="FE73" i="25" s="1"/>
  <c r="FF73" i="25" s="1"/>
  <c r="FC56" i="25"/>
  <c r="FE56" i="25" s="1"/>
  <c r="FF56" i="25" s="1"/>
  <c r="EW10" i="24"/>
  <c r="EZ10" i="24" s="1"/>
  <c r="FB10" i="24" s="1"/>
  <c r="FB169" i="25"/>
  <c r="FC178" i="25"/>
  <c r="FE178" i="25" s="1"/>
  <c r="FF178" i="25" s="1"/>
  <c r="EZ40" i="24"/>
  <c r="FB40" i="24" s="1"/>
  <c r="FC194" i="25"/>
  <c r="FE194" i="25" s="1"/>
  <c r="FF194" i="25" s="1"/>
  <c r="S216" i="24"/>
  <c r="T216" i="24" s="1"/>
  <c r="M216" i="24"/>
  <c r="N216" i="24" s="1"/>
  <c r="EK90" i="24"/>
  <c r="EQ90" i="24" s="1"/>
  <c r="EW90" i="24"/>
  <c r="EZ90" i="24" s="1"/>
  <c r="FB90" i="24" s="1"/>
  <c r="FB142" i="24"/>
  <c r="EK99" i="24"/>
  <c r="EQ99" i="24" s="1"/>
  <c r="ER99" i="24" s="1"/>
  <c r="EW124" i="24"/>
  <c r="FB124" i="24" s="1"/>
  <c r="FC171" i="25"/>
  <c r="FE171" i="25" s="1"/>
  <c r="FF171" i="25" s="1"/>
  <c r="EZ99" i="24"/>
  <c r="FB99" i="24" s="1"/>
  <c r="FC83" i="25"/>
  <c r="FE83" i="25" s="1"/>
  <c r="FF83" i="25" s="1"/>
  <c r="FC129" i="25"/>
  <c r="FE129" i="25" s="1"/>
  <c r="FF129" i="25" s="1"/>
  <c r="EP141" i="25"/>
  <c r="EZ23" i="24"/>
  <c r="FB23" i="24" s="1"/>
  <c r="EW201" i="24"/>
  <c r="FB201" i="24" s="1"/>
  <c r="EZ67" i="24"/>
  <c r="FB67" i="24" s="1"/>
  <c r="EZ77" i="24"/>
  <c r="FB77" i="24" s="1"/>
  <c r="FC25" i="25"/>
  <c r="FE25" i="25" s="1"/>
  <c r="FF25" i="25" s="1"/>
  <c r="Q110" i="24"/>
  <c r="AP110" i="24"/>
  <c r="P110" i="24"/>
  <c r="V110" i="24"/>
  <c r="W110" i="24"/>
  <c r="AE110" i="24"/>
  <c r="AI110" i="24"/>
  <c r="X110" i="24"/>
  <c r="AA110" i="24" s="1"/>
  <c r="AB110" i="24" s="1"/>
  <c r="AC110" i="24" s="1"/>
  <c r="FC49" i="25"/>
  <c r="FE49" i="25" s="1"/>
  <c r="FF49" i="25" s="1"/>
  <c r="FC34" i="25"/>
  <c r="FE34" i="25" s="1"/>
  <c r="FF34" i="25" s="1"/>
  <c r="FC81" i="25"/>
  <c r="FE81" i="25" s="1"/>
  <c r="FF81" i="25" s="1"/>
  <c r="EP180" i="25"/>
  <c r="FC87" i="25"/>
  <c r="FE87" i="25" s="1"/>
  <c r="FF87" i="25" s="1"/>
  <c r="FC9" i="25"/>
  <c r="FE9" i="25" s="1"/>
  <c r="FF9" i="25" s="1"/>
  <c r="FC111" i="25"/>
  <c r="FE111" i="25" s="1"/>
  <c r="FF111" i="25" s="1"/>
  <c r="FC23" i="25"/>
  <c r="FE23" i="25" s="1"/>
  <c r="FF23" i="25" s="1"/>
  <c r="EW13" i="24"/>
  <c r="EZ13" i="24" s="1"/>
  <c r="FB13" i="24" s="1"/>
  <c r="EZ62" i="24"/>
  <c r="FB62" i="24" s="1"/>
  <c r="FC72" i="25"/>
  <c r="FE72" i="25" s="1"/>
  <c r="FF72" i="25" s="1"/>
  <c r="EP72" i="25"/>
  <c r="EP10" i="25"/>
  <c r="FC10" i="25"/>
  <c r="FE10" i="25" s="1"/>
  <c r="FF10" i="25" s="1"/>
  <c r="EP210" i="25"/>
  <c r="FC210" i="25"/>
  <c r="FE210" i="25" s="1"/>
  <c r="FF210" i="25" s="1"/>
  <c r="FC195" i="25"/>
  <c r="FE195" i="25" s="1"/>
  <c r="FF195" i="25" s="1"/>
  <c r="EP195" i="25"/>
  <c r="EP134" i="25"/>
  <c r="FC134" i="25"/>
  <c r="FE134" i="25" s="1"/>
  <c r="FF134" i="25" s="1"/>
  <c r="FC60" i="25"/>
  <c r="FE60" i="25" s="1"/>
  <c r="FF60" i="25" s="1"/>
  <c r="EP60" i="25"/>
  <c r="EP154" i="25"/>
  <c r="FC154" i="25"/>
  <c r="FE154" i="25" s="1"/>
  <c r="FF154" i="25" s="1"/>
  <c r="EP150" i="25"/>
  <c r="FC150" i="25"/>
  <c r="FE150" i="25" s="1"/>
  <c r="FF150" i="25" s="1"/>
  <c r="FC113" i="25"/>
  <c r="FE113" i="25" s="1"/>
  <c r="FF113" i="25" s="1"/>
  <c r="EP113" i="25"/>
  <c r="FC148" i="25"/>
  <c r="FE148" i="25" s="1"/>
  <c r="FF148" i="25" s="1"/>
  <c r="EP148" i="25"/>
  <c r="EP20" i="25"/>
  <c r="FC20" i="25"/>
  <c r="FE20" i="25" s="1"/>
  <c r="FF20" i="25" s="1"/>
  <c r="EP142" i="25"/>
  <c r="FC142" i="25"/>
  <c r="FE142" i="25" s="1"/>
  <c r="FF142" i="25" s="1"/>
  <c r="EP53" i="25"/>
  <c r="FC53" i="25"/>
  <c r="FE53" i="25" s="1"/>
  <c r="FF53" i="25" s="1"/>
  <c r="EP196" i="25"/>
  <c r="FC196" i="25"/>
  <c r="FE196" i="25" s="1"/>
  <c r="FF196" i="25" s="1"/>
  <c r="FC16" i="25"/>
  <c r="FE16" i="25" s="1"/>
  <c r="FF16" i="25" s="1"/>
  <c r="EP16" i="25"/>
  <c r="FC202" i="25"/>
  <c r="FE202" i="25" s="1"/>
  <c r="FF202" i="25" s="1"/>
  <c r="EP202" i="25"/>
  <c r="FC152" i="25"/>
  <c r="FE152" i="25" s="1"/>
  <c r="FF152" i="25" s="1"/>
  <c r="EP152" i="25"/>
  <c r="EP167" i="25"/>
  <c r="FC167" i="25"/>
  <c r="FE167" i="25" s="1"/>
  <c r="FF167" i="25" s="1"/>
  <c r="FC127" i="25"/>
  <c r="FE127" i="25" s="1"/>
  <c r="FF127" i="25" s="1"/>
  <c r="EP127" i="25"/>
  <c r="FC163" i="25"/>
  <c r="FE163" i="25" s="1"/>
  <c r="FF163" i="25" s="1"/>
  <c r="EP163" i="25"/>
  <c r="FC110" i="25"/>
  <c r="FE110" i="25" s="1"/>
  <c r="FF110" i="25" s="1"/>
  <c r="EP110" i="25"/>
  <c r="FC124" i="25"/>
  <c r="FE124" i="25" s="1"/>
  <c r="FF124" i="25" s="1"/>
  <c r="EP124" i="25"/>
  <c r="EP125" i="25"/>
  <c r="FC125" i="25"/>
  <c r="FE125" i="25" s="1"/>
  <c r="FF125" i="25" s="1"/>
  <c r="FC52" i="25"/>
  <c r="FE52" i="25" s="1"/>
  <c r="FF52" i="25" s="1"/>
  <c r="EP52" i="25"/>
  <c r="FC126" i="25"/>
  <c r="FE126" i="25" s="1"/>
  <c r="FF126" i="25" s="1"/>
  <c r="EP126" i="25"/>
  <c r="FC184" i="25"/>
  <c r="FE184" i="25" s="1"/>
  <c r="FF184" i="25" s="1"/>
  <c r="EP184" i="25"/>
  <c r="EP188" i="25"/>
  <c r="FC188" i="25"/>
  <c r="FE188" i="25" s="1"/>
  <c r="FF188" i="25" s="1"/>
  <c r="EP86" i="25"/>
  <c r="FC86" i="25"/>
  <c r="FE86" i="25" s="1"/>
  <c r="FF86" i="25" s="1"/>
  <c r="EP114" i="25"/>
  <c r="FC114" i="25"/>
  <c r="FE114" i="25" s="1"/>
  <c r="FF114" i="25" s="1"/>
  <c r="EP65" i="25"/>
  <c r="FC65" i="25"/>
  <c r="FE65" i="25" s="1"/>
  <c r="FF65" i="25" s="1"/>
  <c r="FC79" i="25"/>
  <c r="FE79" i="25" s="1"/>
  <c r="FF79" i="25" s="1"/>
  <c r="EP79" i="25"/>
  <c r="FC166" i="25"/>
  <c r="FE166" i="25" s="1"/>
  <c r="FF166" i="25" s="1"/>
  <c r="EP166" i="25"/>
  <c r="FC203" i="25"/>
  <c r="FE203" i="25" s="1"/>
  <c r="FF203" i="25" s="1"/>
  <c r="EP203" i="25"/>
  <c r="FC198" i="25"/>
  <c r="FE198" i="25" s="1"/>
  <c r="FF198" i="25" s="1"/>
  <c r="EP198" i="25"/>
  <c r="EP51" i="25"/>
  <c r="FC51" i="25"/>
  <c r="FE51" i="25" s="1"/>
  <c r="FF51" i="25" s="1"/>
  <c r="FC55" i="25"/>
  <c r="FE55" i="25" s="1"/>
  <c r="FF55" i="25" s="1"/>
  <c r="EP55" i="25"/>
  <c r="FC31" i="25"/>
  <c r="FE31" i="25" s="1"/>
  <c r="FF31" i="25" s="1"/>
  <c r="EP31" i="25"/>
  <c r="EP82" i="25"/>
  <c r="FC82" i="25"/>
  <c r="FE82" i="25" s="1"/>
  <c r="FF82" i="25" s="1"/>
  <c r="EP61" i="25"/>
  <c r="FC61" i="25"/>
  <c r="FE61" i="25" s="1"/>
  <c r="FF61" i="25" s="1"/>
  <c r="FC140" i="25"/>
  <c r="FE140" i="25" s="1"/>
  <c r="FF140" i="25" s="1"/>
  <c r="EP140" i="25"/>
  <c r="EP193" i="25"/>
  <c r="FC193" i="25"/>
  <c r="FE193" i="25" s="1"/>
  <c r="FF193" i="25" s="1"/>
  <c r="FC117" i="25"/>
  <c r="FE117" i="25" s="1"/>
  <c r="FF117" i="25" s="1"/>
  <c r="EP117" i="25"/>
  <c r="FC175" i="25"/>
  <c r="FE175" i="25" s="1"/>
  <c r="FF175" i="25" s="1"/>
  <c r="EP175" i="25"/>
  <c r="FC172" i="25"/>
  <c r="FE172" i="25" s="1"/>
  <c r="FF172" i="25" s="1"/>
  <c r="EP172" i="25"/>
  <c r="EP26" i="25"/>
  <c r="FC26" i="25"/>
  <c r="FE26" i="25" s="1"/>
  <c r="FF26" i="25" s="1"/>
  <c r="EP68" i="25"/>
  <c r="FC68" i="25"/>
  <c r="FE68" i="25" s="1"/>
  <c r="FF68" i="25" s="1"/>
  <c r="EP192" i="25"/>
  <c r="FC192" i="25"/>
  <c r="FE192" i="25" s="1"/>
  <c r="FF192" i="25" s="1"/>
  <c r="EP209" i="25"/>
  <c r="FC209" i="25"/>
  <c r="FE209" i="25" s="1"/>
  <c r="FF209" i="25" s="1"/>
  <c r="FC186" i="25"/>
  <c r="FE186" i="25" s="1"/>
  <c r="FF186" i="25" s="1"/>
  <c r="EP186" i="25"/>
  <c r="FC7" i="25"/>
  <c r="FE7" i="25" s="1"/>
  <c r="FF7" i="25" s="1"/>
  <c r="EP7" i="25"/>
  <c r="EP122" i="25"/>
  <c r="FC122" i="25"/>
  <c r="FE122" i="25" s="1"/>
  <c r="FF122" i="25" s="1"/>
  <c r="EP146" i="25"/>
  <c r="FC146" i="25"/>
  <c r="FE146" i="25" s="1"/>
  <c r="FF146" i="25" s="1"/>
  <c r="EP12" i="25"/>
  <c r="FC12" i="25"/>
  <c r="FE12" i="25" s="1"/>
  <c r="FF12" i="25" s="1"/>
  <c r="FC190" i="25"/>
  <c r="FE190" i="25" s="1"/>
  <c r="FF190" i="25" s="1"/>
  <c r="EP190" i="25"/>
  <c r="FC22" i="25"/>
  <c r="FE22" i="25" s="1"/>
  <c r="FF22" i="25" s="1"/>
  <c r="EP22" i="25"/>
  <c r="EP200" i="25"/>
  <c r="FC200" i="25"/>
  <c r="FE200" i="25" s="1"/>
  <c r="FF200" i="25" s="1"/>
  <c r="EP21" i="25"/>
  <c r="FC21" i="25"/>
  <c r="FE21" i="25" s="1"/>
  <c r="FF21" i="25" s="1"/>
  <c r="EP57" i="25"/>
  <c r="FC57" i="25"/>
  <c r="FE57" i="25" s="1"/>
  <c r="FF57" i="25" s="1"/>
  <c r="FC46" i="25"/>
  <c r="FE46" i="25" s="1"/>
  <c r="FF46" i="25" s="1"/>
  <c r="EP46" i="25"/>
  <c r="EP8" i="25"/>
  <c r="FC8" i="25"/>
  <c r="FE8" i="25" s="1"/>
  <c r="FF8" i="25" s="1"/>
  <c r="FC35" i="25"/>
  <c r="FE35" i="25" s="1"/>
  <c r="FF35" i="25" s="1"/>
  <c r="EP35" i="25"/>
  <c r="EP91" i="25"/>
  <c r="FC91" i="25"/>
  <c r="FE91" i="25" s="1"/>
  <c r="FF91" i="25" s="1"/>
  <c r="EP40" i="25"/>
  <c r="FC40" i="25"/>
  <c r="FE40" i="25" s="1"/>
  <c r="FF40" i="25" s="1"/>
  <c r="EP19" i="25"/>
  <c r="FC19" i="25"/>
  <c r="FE19" i="25" s="1"/>
  <c r="FF19" i="25" s="1"/>
  <c r="FC6" i="25"/>
  <c r="FE6" i="25" s="1"/>
  <c r="FF6" i="25" s="1"/>
  <c r="EP6" i="25"/>
  <c r="EP41" i="25"/>
  <c r="FC41" i="25"/>
  <c r="FE41" i="25" s="1"/>
  <c r="FF41" i="25" s="1"/>
  <c r="EP123" i="25"/>
  <c r="FC123" i="25"/>
  <c r="FE123" i="25" s="1"/>
  <c r="FF123" i="25" s="1"/>
  <c r="EP11" i="25"/>
  <c r="FC11" i="25"/>
  <c r="FE11" i="25" s="1"/>
  <c r="FF11" i="25" s="1"/>
  <c r="EP29" i="25"/>
  <c r="FC29" i="25"/>
  <c r="FE29" i="25" s="1"/>
  <c r="FF29" i="25" s="1"/>
  <c r="FC206" i="25"/>
  <c r="FE206" i="25" s="1"/>
  <c r="FF206" i="25" s="1"/>
  <c r="EP206" i="25"/>
  <c r="EP139" i="25"/>
  <c r="FC139" i="25"/>
  <c r="FE139" i="25" s="1"/>
  <c r="FF139" i="25" s="1"/>
  <c r="EP36" i="25"/>
  <c r="FC36" i="25"/>
  <c r="FE36" i="25" s="1"/>
  <c r="FF36" i="25" s="1"/>
  <c r="FC189" i="25"/>
  <c r="FE189" i="25" s="1"/>
  <c r="FF189" i="25" s="1"/>
  <c r="EP189" i="25"/>
  <c r="EP105" i="25"/>
  <c r="FC105" i="25"/>
  <c r="FE105" i="25" s="1"/>
  <c r="FF105" i="25" s="1"/>
  <c r="FC94" i="25"/>
  <c r="FE94" i="25" s="1"/>
  <c r="FF94" i="25" s="1"/>
  <c r="EP94" i="25"/>
  <c r="FC30" i="25"/>
  <c r="FE30" i="25" s="1"/>
  <c r="FF30" i="25" s="1"/>
  <c r="EP30" i="25"/>
  <c r="FC197" i="25"/>
  <c r="FE197" i="25" s="1"/>
  <c r="FF197" i="25" s="1"/>
  <c r="EP197" i="25"/>
  <c r="EP54" i="25"/>
  <c r="FC54" i="25"/>
  <c r="FE54" i="25" s="1"/>
  <c r="FF54" i="25" s="1"/>
  <c r="FC174" i="25"/>
  <c r="FE174" i="25" s="1"/>
  <c r="FF174" i="25" s="1"/>
  <c r="EP174" i="25"/>
  <c r="FC24" i="25"/>
  <c r="FE24" i="25" s="1"/>
  <c r="FF24" i="25" s="1"/>
  <c r="EP24" i="25"/>
  <c r="FC98" i="25"/>
  <c r="FE98" i="25" s="1"/>
  <c r="FF98" i="25" s="1"/>
  <c r="EP98" i="25"/>
  <c r="FC121" i="25"/>
  <c r="FE121" i="25" s="1"/>
  <c r="FF121" i="25" s="1"/>
  <c r="EP121" i="25"/>
  <c r="EP50" i="25"/>
  <c r="FC50" i="25"/>
  <c r="FE50" i="25" s="1"/>
  <c r="FF50" i="25" s="1"/>
  <c r="FC32" i="25"/>
  <c r="FE32" i="25" s="1"/>
  <c r="FF32" i="25" s="1"/>
  <c r="EP32" i="25"/>
  <c r="EP149" i="25"/>
  <c r="FC149" i="25"/>
  <c r="FE149" i="25" s="1"/>
  <c r="FF149" i="25" s="1"/>
  <c r="FC14" i="25"/>
  <c r="FE14" i="25" s="1"/>
  <c r="FF14" i="25" s="1"/>
  <c r="EP14" i="25"/>
  <c r="FC165" i="25"/>
  <c r="FE165" i="25" s="1"/>
  <c r="FF165" i="25" s="1"/>
  <c r="EP165" i="25"/>
  <c r="FC204" i="25"/>
  <c r="FE204" i="25" s="1"/>
  <c r="FF204" i="25" s="1"/>
  <c r="EP204" i="25"/>
  <c r="EP207" i="25"/>
  <c r="FC207" i="25"/>
  <c r="FE207" i="25" s="1"/>
  <c r="FF207" i="25" s="1"/>
  <c r="FC27" i="25"/>
  <c r="FE27" i="25" s="1"/>
  <c r="FF27" i="25" s="1"/>
  <c r="EP27" i="25"/>
  <c r="FC135" i="25"/>
  <c r="FE135" i="25" s="1"/>
  <c r="FF135" i="25" s="1"/>
  <c r="EP135" i="25"/>
  <c r="FC84" i="25"/>
  <c r="FE84" i="25" s="1"/>
  <c r="FF84" i="25" s="1"/>
  <c r="EP84" i="25"/>
  <c r="EP147" i="25"/>
  <c r="FC147" i="25"/>
  <c r="FE147" i="25" s="1"/>
  <c r="FF147" i="25" s="1"/>
  <c r="EP155" i="25"/>
  <c r="FC155" i="25"/>
  <c r="FE155" i="25" s="1"/>
  <c r="FF155" i="25" s="1"/>
  <c r="FC88" i="25"/>
  <c r="FE88" i="25" s="1"/>
  <c r="FF88" i="25" s="1"/>
  <c r="EP88" i="25"/>
  <c r="FC85" i="25"/>
  <c r="FE85" i="25" s="1"/>
  <c r="FF85" i="25" s="1"/>
  <c r="EP85" i="25"/>
  <c r="FC67" i="25"/>
  <c r="FE67" i="25" s="1"/>
  <c r="FF67" i="25" s="1"/>
  <c r="EP67" i="25"/>
  <c r="EP39" i="25"/>
  <c r="FC39" i="25"/>
  <c r="FE39" i="25" s="1"/>
  <c r="FF39" i="25" s="1"/>
  <c r="FC132" i="25"/>
  <c r="FE132" i="25" s="1"/>
  <c r="FF132" i="25" s="1"/>
  <c r="EP132" i="25"/>
  <c r="FC205" i="25"/>
  <c r="FE205" i="25" s="1"/>
  <c r="FF205" i="25" s="1"/>
  <c r="EP205" i="25"/>
  <c r="FC102" i="25"/>
  <c r="FE102" i="25" s="1"/>
  <c r="FF102" i="25" s="1"/>
  <c r="EP102" i="25"/>
  <c r="EP160" i="25"/>
  <c r="FC160" i="25"/>
  <c r="FE160" i="25" s="1"/>
  <c r="FF160" i="25" s="1"/>
  <c r="FC120" i="25"/>
  <c r="FE120" i="25" s="1"/>
  <c r="FF120" i="25" s="1"/>
  <c r="EP120" i="25"/>
  <c r="EP44" i="25"/>
  <c r="FC44" i="25"/>
  <c r="FE44" i="25" s="1"/>
  <c r="FF44" i="25" s="1"/>
  <c r="FC177" i="25"/>
  <c r="FE177" i="25" s="1"/>
  <c r="FF177" i="25" s="1"/>
  <c r="EP177" i="25"/>
  <c r="EP208" i="25"/>
  <c r="FC208" i="25"/>
  <c r="FE208" i="25" s="1"/>
  <c r="FF208" i="25" s="1"/>
  <c r="EP170" i="25"/>
  <c r="FC170" i="25"/>
  <c r="FE170" i="25" s="1"/>
  <c r="FF170" i="25" s="1"/>
  <c r="EP45" i="25"/>
  <c r="FC45" i="25"/>
  <c r="FE45" i="25" s="1"/>
  <c r="FF45" i="25" s="1"/>
  <c r="FC115" i="25"/>
  <c r="FE115" i="25" s="1"/>
  <c r="FF115" i="25" s="1"/>
  <c r="EP115" i="25"/>
  <c r="EP162" i="25"/>
  <c r="FC162" i="25"/>
  <c r="FE162" i="25" s="1"/>
  <c r="FF162" i="25" s="1"/>
  <c r="EP201" i="25"/>
  <c r="FC201" i="25"/>
  <c r="FE201" i="25" s="1"/>
  <c r="FF201" i="25" s="1"/>
  <c r="EP69" i="25"/>
  <c r="FC69" i="25"/>
  <c r="FE69" i="25" s="1"/>
  <c r="FF69" i="25" s="1"/>
  <c r="FC151" i="25"/>
  <c r="FE151" i="25" s="1"/>
  <c r="FF151" i="25" s="1"/>
  <c r="EP151" i="25"/>
  <c r="EP176" i="25"/>
  <c r="FC176" i="25"/>
  <c r="FE176" i="25" s="1"/>
  <c r="FF176" i="25" s="1"/>
  <c r="EP130" i="25"/>
  <c r="FC130" i="25"/>
  <c r="FE130" i="25" s="1"/>
  <c r="FF130" i="25" s="1"/>
  <c r="FC187" i="25"/>
  <c r="FE187" i="25" s="1"/>
  <c r="FF187" i="25" s="1"/>
  <c r="EP187" i="25"/>
  <c r="EP161" i="25"/>
  <c r="FC161" i="25"/>
  <c r="FE161" i="25" s="1"/>
  <c r="FF161" i="25" s="1"/>
  <c r="EP179" i="25"/>
  <c r="FC179" i="25"/>
  <c r="FE179" i="25" s="1"/>
  <c r="FF179" i="25" s="1"/>
  <c r="FC66" i="25"/>
  <c r="FE66" i="25" s="1"/>
  <c r="FF66" i="25" s="1"/>
  <c r="EP66" i="25"/>
  <c r="EP78" i="25"/>
  <c r="FC78" i="25"/>
  <c r="FE78" i="25" s="1"/>
  <c r="FF78" i="25" s="1"/>
  <c r="FC119" i="25"/>
  <c r="FE119" i="25" s="1"/>
  <c r="FF119" i="25" s="1"/>
  <c r="EP119" i="25"/>
  <c r="EP76" i="25"/>
  <c r="FC76" i="25"/>
  <c r="FE76" i="25" s="1"/>
  <c r="FF76" i="25" s="1"/>
  <c r="EP100" i="25"/>
  <c r="FC100" i="25"/>
  <c r="FE100" i="25" s="1"/>
  <c r="FF100" i="25" s="1"/>
  <c r="EP71" i="25"/>
  <c r="FC71" i="25"/>
  <c r="FE71" i="25" s="1"/>
  <c r="FF71" i="25" s="1"/>
  <c r="EP80" i="25"/>
  <c r="FC80" i="25"/>
  <c r="FE80" i="25" s="1"/>
  <c r="FF80" i="25" s="1"/>
  <c r="EP15" i="25"/>
  <c r="FC15" i="25"/>
  <c r="FE15" i="25" s="1"/>
  <c r="FF15" i="25" s="1"/>
  <c r="FC153" i="25"/>
  <c r="FE153" i="25" s="1"/>
  <c r="FF153" i="25" s="1"/>
  <c r="EP153" i="25"/>
  <c r="EP159" i="25"/>
  <c r="FC159" i="25"/>
  <c r="FE159" i="25" s="1"/>
  <c r="FF159" i="25" s="1"/>
  <c r="FC28" i="25"/>
  <c r="FE28" i="25" s="1"/>
  <c r="FF28" i="25" s="1"/>
  <c r="EP28" i="25"/>
  <c r="EP116" i="25"/>
  <c r="FC116" i="25"/>
  <c r="FE116" i="25" s="1"/>
  <c r="FF116" i="25" s="1"/>
  <c r="EP157" i="25"/>
  <c r="FC157" i="25"/>
  <c r="FE157" i="25" s="1"/>
  <c r="FF157" i="25" s="1"/>
  <c r="EP70" i="25"/>
  <c r="FC70" i="25"/>
  <c r="FE70" i="25" s="1"/>
  <c r="FF70" i="25" s="1"/>
  <c r="FC191" i="25"/>
  <c r="FE191" i="25" s="1"/>
  <c r="FF191" i="25" s="1"/>
  <c r="EP191" i="25"/>
  <c r="EP168" i="25"/>
  <c r="FC168" i="25"/>
  <c r="FE168" i="25" s="1"/>
  <c r="FF168" i="25" s="1"/>
  <c r="EP101" i="25"/>
  <c r="FC101" i="25"/>
  <c r="FE101" i="25" s="1"/>
  <c r="FF101" i="25" s="1"/>
  <c r="FC62" i="25"/>
  <c r="FE62" i="25" s="1"/>
  <c r="FF62" i="25" s="1"/>
  <c r="EP62" i="25"/>
  <c r="FC63" i="25"/>
  <c r="FE63" i="25" s="1"/>
  <c r="FF63" i="25" s="1"/>
  <c r="EP63" i="25"/>
  <c r="FC75" i="25"/>
  <c r="FE75" i="25" s="1"/>
  <c r="FF75" i="25" s="1"/>
  <c r="EP75" i="25"/>
  <c r="EP18" i="25"/>
  <c r="FC18" i="25"/>
  <c r="FE18" i="25" s="1"/>
  <c r="FF18" i="25" s="1"/>
  <c r="FC13" i="25"/>
  <c r="FE13" i="25" s="1"/>
  <c r="FF13" i="25" s="1"/>
  <c r="EP13" i="25"/>
  <c r="FC59" i="25"/>
  <c r="FE59" i="25" s="1"/>
  <c r="FF59" i="25" s="1"/>
  <c r="EP59" i="25"/>
  <c r="FC104" i="25"/>
  <c r="FE104" i="25" s="1"/>
  <c r="FF104" i="25" s="1"/>
  <c r="EP104" i="25"/>
  <c r="FC43" i="25"/>
  <c r="FE43" i="25" s="1"/>
  <c r="FF43" i="25" s="1"/>
  <c r="EP43" i="25"/>
  <c r="EP38" i="25"/>
  <c r="FC38" i="25"/>
  <c r="FE38" i="25" s="1"/>
  <c r="FF38" i="25" s="1"/>
  <c r="EP118" i="25"/>
  <c r="FC118" i="25"/>
  <c r="FE118" i="25" s="1"/>
  <c r="FF118" i="25" s="1"/>
  <c r="EP144" i="25"/>
  <c r="FC144" i="25"/>
  <c r="FE144" i="25" s="1"/>
  <c r="FF144" i="25" s="1"/>
  <c r="EP133" i="25"/>
  <c r="FC133" i="25"/>
  <c r="FE133" i="25" s="1"/>
  <c r="FF133" i="25" s="1"/>
  <c r="EP92" i="25"/>
  <c r="FC92" i="25"/>
  <c r="FE92" i="25" s="1"/>
  <c r="FF92" i="25" s="1"/>
  <c r="FC48" i="25"/>
  <c r="FE48" i="25" s="1"/>
  <c r="FF48" i="25" s="1"/>
  <c r="EP48" i="25"/>
  <c r="EW125" i="24"/>
  <c r="FB125" i="24" s="1"/>
  <c r="EK125" i="24"/>
  <c r="EK151" i="24"/>
  <c r="EW151" i="24"/>
  <c r="FB151" i="24" s="1"/>
  <c r="EK137" i="24"/>
  <c r="EW137" i="24"/>
  <c r="FB137" i="24" s="1"/>
  <c r="EW180" i="24"/>
  <c r="FB180" i="24" s="1"/>
  <c r="EK180" i="24"/>
  <c r="EK129" i="24"/>
  <c r="EW129" i="24"/>
  <c r="FB129" i="24" s="1"/>
  <c r="EW64" i="24"/>
  <c r="EZ64" i="24" s="1"/>
  <c r="FB64" i="24" s="1"/>
  <c r="EK64" i="24"/>
  <c r="EQ64" i="24" s="1"/>
  <c r="EK205" i="24"/>
  <c r="EW205" i="24"/>
  <c r="FB205" i="24" s="1"/>
  <c r="EW7" i="24"/>
  <c r="EZ7" i="24" s="1"/>
  <c r="FB7" i="24" s="1"/>
  <c r="EK7" i="24"/>
  <c r="EQ7" i="24" s="1"/>
  <c r="ER30" i="24"/>
  <c r="EK187" i="24"/>
  <c r="EW187" i="24"/>
  <c r="FB187" i="24" s="1"/>
  <c r="EW128" i="24"/>
  <c r="FB128" i="24" s="1"/>
  <c r="EK128" i="24"/>
  <c r="EW88" i="24"/>
  <c r="EZ88" i="24" s="1"/>
  <c r="FB88" i="24" s="1"/>
  <c r="EK88" i="24"/>
  <c r="EQ88" i="24" s="1"/>
  <c r="EK188" i="24"/>
  <c r="EW188" i="24"/>
  <c r="FB188" i="24" s="1"/>
  <c r="EK189" i="24"/>
  <c r="EW189" i="24"/>
  <c r="FB189" i="24" s="1"/>
  <c r="EW20" i="24"/>
  <c r="EZ20" i="24" s="1"/>
  <c r="FB20" i="24" s="1"/>
  <c r="EK20" i="24"/>
  <c r="EQ20" i="24" s="1"/>
  <c r="EK120" i="24"/>
  <c r="EW120" i="24"/>
  <c r="FB120" i="24" s="1"/>
  <c r="EW86" i="24"/>
  <c r="EZ86" i="24" s="1"/>
  <c r="FB86" i="24" s="1"/>
  <c r="EK86" i="24"/>
  <c r="EQ86" i="24" s="1"/>
  <c r="EW113" i="24"/>
  <c r="FB113" i="24" s="1"/>
  <c r="EK113" i="24"/>
  <c r="EK46" i="24"/>
  <c r="EQ46" i="24" s="1"/>
  <c r="EW46" i="24"/>
  <c r="EZ46" i="24" s="1"/>
  <c r="FB46" i="24" s="1"/>
  <c r="EW116" i="24"/>
  <c r="FB116" i="24" s="1"/>
  <c r="EK116" i="24"/>
  <c r="EK206" i="24"/>
  <c r="EW206" i="24"/>
  <c r="FB206" i="24" s="1"/>
  <c r="EK157" i="24"/>
  <c r="EW157" i="24"/>
  <c r="FB157" i="24" s="1"/>
  <c r="EK25" i="24"/>
  <c r="EQ25" i="24" s="1"/>
  <c r="EW25" i="24"/>
  <c r="EZ25" i="24" s="1"/>
  <c r="FB25" i="24" s="1"/>
  <c r="EW54" i="24"/>
  <c r="EZ54" i="24" s="1"/>
  <c r="FB54" i="24" s="1"/>
  <c r="EK54" i="24"/>
  <c r="EQ54" i="24" s="1"/>
  <c r="EK173" i="24"/>
  <c r="EW173" i="24"/>
  <c r="FB173" i="24" s="1"/>
  <c r="EK163" i="24"/>
  <c r="EW163" i="24"/>
  <c r="FB163" i="24" s="1"/>
  <c r="EW65" i="24"/>
  <c r="EZ65" i="24" s="1"/>
  <c r="FB65" i="24" s="1"/>
  <c r="EK65" i="24"/>
  <c r="EQ65" i="24" s="1"/>
  <c r="EK118" i="24"/>
  <c r="EW118" i="24"/>
  <c r="FB118" i="24" s="1"/>
  <c r="EK53" i="24"/>
  <c r="EQ53" i="24" s="1"/>
  <c r="EW53" i="24"/>
  <c r="EZ53" i="24" s="1"/>
  <c r="FB53" i="24" s="1"/>
  <c r="EW155" i="24"/>
  <c r="FB155" i="24" s="1"/>
  <c r="EK155" i="24"/>
  <c r="EK210" i="24"/>
  <c r="EW210" i="24"/>
  <c r="FB210" i="24" s="1"/>
  <c r="EW98" i="24"/>
  <c r="EZ98" i="24" s="1"/>
  <c r="FB98" i="24" s="1"/>
  <c r="EK98" i="24"/>
  <c r="EQ98" i="24" s="1"/>
  <c r="EK200" i="24"/>
  <c r="EW200" i="24"/>
  <c r="FB200" i="24" s="1"/>
  <c r="ER199" i="24"/>
  <c r="EK70" i="24"/>
  <c r="EQ70" i="24" s="1"/>
  <c r="EW70" i="24"/>
  <c r="EZ70" i="24" s="1"/>
  <c r="FB70" i="24" s="1"/>
  <c r="EW26" i="24"/>
  <c r="EZ26" i="24" s="1"/>
  <c r="FB26" i="24" s="1"/>
  <c r="EK26" i="24"/>
  <c r="EQ26" i="24" s="1"/>
  <c r="EK97" i="24"/>
  <c r="EQ97" i="24" s="1"/>
  <c r="EW97" i="24"/>
  <c r="EZ97" i="24" s="1"/>
  <c r="FB97" i="24" s="1"/>
  <c r="EK28" i="24"/>
  <c r="EQ28" i="24" s="1"/>
  <c r="EW28" i="24"/>
  <c r="EZ28" i="24" s="1"/>
  <c r="FB28" i="24" s="1"/>
  <c r="EK146" i="24"/>
  <c r="EW146" i="24"/>
  <c r="FB146" i="24" s="1"/>
  <c r="EK82" i="24"/>
  <c r="EQ82" i="24" s="1"/>
  <c r="EW82" i="24"/>
  <c r="EZ82" i="24" s="1"/>
  <c r="FB82" i="24" s="1"/>
  <c r="ER134" i="24"/>
  <c r="EW164" i="24"/>
  <c r="FB164" i="24" s="1"/>
  <c r="EK164" i="24"/>
  <c r="EW32" i="24"/>
  <c r="EZ32" i="24" s="1"/>
  <c r="FB32" i="24" s="1"/>
  <c r="EK32" i="24"/>
  <c r="EQ32" i="24" s="1"/>
  <c r="EW143" i="24"/>
  <c r="FB143" i="24" s="1"/>
  <c r="EK143" i="24"/>
  <c r="EK68" i="24"/>
  <c r="EQ68" i="24" s="1"/>
  <c r="EW68" i="24"/>
  <c r="EZ68" i="24" s="1"/>
  <c r="FB68" i="24" s="1"/>
  <c r="EK95" i="24"/>
  <c r="EQ95" i="24" s="1"/>
  <c r="EW95" i="24"/>
  <c r="EZ95" i="24" s="1"/>
  <c r="FB95" i="24" s="1"/>
  <c r="EK194" i="24"/>
  <c r="EW194" i="24"/>
  <c r="FB194" i="24" s="1"/>
  <c r="EW208" i="24"/>
  <c r="FB208" i="24" s="1"/>
  <c r="EK208" i="24"/>
  <c r="EK135" i="24"/>
  <c r="EW135" i="24"/>
  <c r="FB135" i="24" s="1"/>
  <c r="EW89" i="24"/>
  <c r="EZ89" i="24" s="1"/>
  <c r="FB89" i="24" s="1"/>
  <c r="EK89" i="24"/>
  <c r="EQ89" i="24" s="1"/>
  <c r="EW123" i="24"/>
  <c r="FB123" i="24" s="1"/>
  <c r="EK123" i="24"/>
  <c r="EW58" i="24"/>
  <c r="EZ58" i="24" s="1"/>
  <c r="FB58" i="24" s="1"/>
  <c r="EK58" i="24"/>
  <c r="EQ58" i="24" s="1"/>
  <c r="EW57" i="24"/>
  <c r="EZ57" i="24" s="1"/>
  <c r="FB57" i="24" s="1"/>
  <c r="EK57" i="24"/>
  <c r="EQ57" i="24" s="1"/>
  <c r="ER10" i="24"/>
  <c r="EK174" i="24"/>
  <c r="EW174" i="24"/>
  <c r="FB174" i="24" s="1"/>
  <c r="EK158" i="24"/>
  <c r="EW158" i="24"/>
  <c r="FB158" i="24" s="1"/>
  <c r="ER71" i="24"/>
  <c r="EK18" i="24"/>
  <c r="EQ18" i="24" s="1"/>
  <c r="EW18" i="24"/>
  <c r="EZ18" i="24" s="1"/>
  <c r="FB18" i="24" s="1"/>
  <c r="EK154" i="24"/>
  <c r="EW154" i="24"/>
  <c r="FB154" i="24" s="1"/>
  <c r="EW84" i="24"/>
  <c r="EZ84" i="24" s="1"/>
  <c r="FB84" i="24" s="1"/>
  <c r="EK84" i="24"/>
  <c r="EQ84" i="24" s="1"/>
  <c r="EW91" i="24"/>
  <c r="EZ91" i="24" s="1"/>
  <c r="FB91" i="24" s="1"/>
  <c r="EK91" i="24"/>
  <c r="EQ91" i="24" s="1"/>
  <c r="EW148" i="24"/>
  <c r="FB148" i="24" s="1"/>
  <c r="EK148" i="24"/>
  <c r="ER132" i="24"/>
  <c r="EW85" i="24"/>
  <c r="EZ85" i="24" s="1"/>
  <c r="FB85" i="24" s="1"/>
  <c r="EK85" i="24"/>
  <c r="EQ85" i="24" s="1"/>
  <c r="EK47" i="24"/>
  <c r="EQ47" i="24" s="1"/>
  <c r="EW47" i="24"/>
  <c r="EZ47" i="24" s="1"/>
  <c r="FB47" i="24" s="1"/>
  <c r="EK130" i="24"/>
  <c r="EW130" i="24"/>
  <c r="FB130" i="24" s="1"/>
  <c r="EK36" i="24"/>
  <c r="EQ36" i="24" s="1"/>
  <c r="EW36" i="24"/>
  <c r="EZ36" i="24" s="1"/>
  <c r="FB36" i="24" s="1"/>
  <c r="EW131" i="24"/>
  <c r="FB131" i="24" s="1"/>
  <c r="EK131" i="24"/>
  <c r="EK114" i="24"/>
  <c r="EW114" i="24"/>
  <c r="FB114" i="24" s="1"/>
  <c r="EK196" i="24"/>
  <c r="EW196" i="24"/>
  <c r="FB196" i="24" s="1"/>
  <c r="EK166" i="24"/>
  <c r="EW166" i="24"/>
  <c r="FB166" i="24" s="1"/>
  <c r="EK150" i="24"/>
  <c r="EW150" i="24"/>
  <c r="FB150" i="24" s="1"/>
  <c r="EK161" i="24"/>
  <c r="EW161" i="24"/>
  <c r="FB161" i="24" s="1"/>
  <c r="EK50" i="24"/>
  <c r="EQ50" i="24" s="1"/>
  <c r="EW50" i="24"/>
  <c r="EZ50" i="24" s="1"/>
  <c r="FB50" i="24" s="1"/>
  <c r="EW197" i="24"/>
  <c r="FB197" i="24" s="1"/>
  <c r="EK197" i="24"/>
  <c r="EW27" i="24"/>
  <c r="EZ27" i="24" s="1"/>
  <c r="FB27" i="24" s="1"/>
  <c r="EK27" i="24"/>
  <c r="EQ27" i="24" s="1"/>
  <c r="EW45" i="24"/>
  <c r="EZ45" i="24" s="1"/>
  <c r="FB45" i="24" s="1"/>
  <c r="EK45" i="24"/>
  <c r="EQ45" i="24" s="1"/>
  <c r="EK198" i="24"/>
  <c r="EW198" i="24"/>
  <c r="FB198" i="24" s="1"/>
  <c r="EW165" i="24"/>
  <c r="FB165" i="24" s="1"/>
  <c r="EK165" i="24"/>
  <c r="EK193" i="24"/>
  <c r="EW193" i="24"/>
  <c r="FB193" i="24" s="1"/>
  <c r="EK34" i="24"/>
  <c r="EQ34" i="24" s="1"/>
  <c r="EW34" i="24"/>
  <c r="EZ34" i="24" s="1"/>
  <c r="FB34" i="24" s="1"/>
  <c r="EW31" i="24"/>
  <c r="EZ31" i="24" s="1"/>
  <c r="FB31" i="24" s="1"/>
  <c r="EK31" i="24"/>
  <c r="EQ31" i="24" s="1"/>
  <c r="EK76" i="24"/>
  <c r="EQ76" i="24" s="1"/>
  <c r="EW76" i="24"/>
  <c r="EZ76" i="24" s="1"/>
  <c r="FB76" i="24" s="1"/>
  <c r="EW140" i="24"/>
  <c r="FB140" i="24" s="1"/>
  <c r="EK140" i="24"/>
  <c r="EW203" i="24"/>
  <c r="FB203" i="24" s="1"/>
  <c r="EK203" i="24"/>
  <c r="ER147" i="24"/>
  <c r="EK178" i="24"/>
  <c r="EW178" i="24"/>
  <c r="FB178" i="24" s="1"/>
  <c r="EK153" i="24"/>
  <c r="EW153" i="24"/>
  <c r="FB153" i="24" s="1"/>
  <c r="EK195" i="24"/>
  <c r="EW195" i="24"/>
  <c r="FB195" i="24" s="1"/>
  <c r="EW185" i="24"/>
  <c r="FB185" i="24" s="1"/>
  <c r="EK185" i="24"/>
  <c r="EK59" i="24"/>
  <c r="EQ59" i="24" s="1"/>
  <c r="EW59" i="24"/>
  <c r="EZ59" i="24" s="1"/>
  <c r="FB59" i="24" s="1"/>
  <c r="EW167" i="24"/>
  <c r="FB167" i="24" s="1"/>
  <c r="EK167" i="24"/>
  <c r="EK184" i="24"/>
  <c r="EW184" i="24"/>
  <c r="FB184" i="24" s="1"/>
  <c r="ER152" i="24"/>
  <c r="EW100" i="24"/>
  <c r="EZ100" i="24" s="1"/>
  <c r="FB100" i="24" s="1"/>
  <c r="EK100" i="24"/>
  <c r="EQ100" i="24" s="1"/>
  <c r="EK72" i="24"/>
  <c r="EQ72" i="24" s="1"/>
  <c r="EW72" i="24"/>
  <c r="EZ72" i="24" s="1"/>
  <c r="FB72" i="24" s="1"/>
  <c r="EW79" i="24"/>
  <c r="EZ79" i="24" s="1"/>
  <c r="FB79" i="24" s="1"/>
  <c r="EK79" i="24"/>
  <c r="EQ79" i="24" s="1"/>
  <c r="EW9" i="24"/>
  <c r="EZ9" i="24" s="1"/>
  <c r="FB9" i="24" s="1"/>
  <c r="EK9" i="24"/>
  <c r="EQ9" i="24" s="1"/>
  <c r="EK56" i="24"/>
  <c r="EQ56" i="24" s="1"/>
  <c r="EW56" i="24"/>
  <c r="EZ56" i="24" s="1"/>
  <c r="FB56" i="24" s="1"/>
  <c r="EK51" i="24"/>
  <c r="EQ51" i="24" s="1"/>
  <c r="EW51" i="24"/>
  <c r="EZ51" i="24" s="1"/>
  <c r="FB51" i="24" s="1"/>
  <c r="EW11" i="24"/>
  <c r="EZ11" i="24" s="1"/>
  <c r="FB11" i="24" s="1"/>
  <c r="EK11" i="24"/>
  <c r="EQ11" i="24" s="1"/>
  <c r="EK49" i="24"/>
  <c r="EQ49" i="24" s="1"/>
  <c r="EW49" i="24"/>
  <c r="EZ49" i="24" s="1"/>
  <c r="FB49" i="24" s="1"/>
  <c r="EK8" i="24"/>
  <c r="EQ8" i="24" s="1"/>
  <c r="EW8" i="24"/>
  <c r="EZ8" i="24" s="1"/>
  <c r="FB8" i="24" s="1"/>
  <c r="ER136" i="24"/>
  <c r="EW22" i="24"/>
  <c r="EZ22" i="24" s="1"/>
  <c r="FB22" i="24" s="1"/>
  <c r="EK22" i="24"/>
  <c r="EQ22" i="24" s="1"/>
  <c r="EW80" i="24"/>
  <c r="EZ80" i="24" s="1"/>
  <c r="FB80" i="24" s="1"/>
  <c r="EK80" i="24"/>
  <c r="EQ80" i="24" s="1"/>
  <c r="EW93" i="24"/>
  <c r="EZ93" i="24" s="1"/>
  <c r="FB93" i="24" s="1"/>
  <c r="EK93" i="24"/>
  <c r="EQ93" i="24" s="1"/>
  <c r="EK103" i="24"/>
  <c r="EQ103" i="24" s="1"/>
  <c r="EW103" i="24"/>
  <c r="EZ103" i="24" s="1"/>
  <c r="FB103" i="24" s="1"/>
  <c r="EK149" i="24"/>
  <c r="EW149" i="24"/>
  <c r="FB149" i="24" s="1"/>
  <c r="EW75" i="24"/>
  <c r="EZ75" i="24" s="1"/>
  <c r="FB75" i="24" s="1"/>
  <c r="EK75" i="24"/>
  <c r="EQ75" i="24" s="1"/>
  <c r="EW144" i="24"/>
  <c r="FB144" i="24" s="1"/>
  <c r="EK144" i="24"/>
  <c r="EK182" i="24"/>
  <c r="EW182" i="24"/>
  <c r="FB182" i="24" s="1"/>
  <c r="EK209" i="24"/>
  <c r="EW209" i="24"/>
  <c r="FB209" i="24" s="1"/>
  <c r="ER104" i="24"/>
  <c r="EW94" i="24"/>
  <c r="EZ94" i="24" s="1"/>
  <c r="FB94" i="24" s="1"/>
  <c r="EK94" i="24"/>
  <c r="EQ94" i="24" s="1"/>
  <c r="ER127" i="24"/>
  <c r="EK202" i="24"/>
  <c r="EW202" i="24"/>
  <c r="FB202" i="24" s="1"/>
  <c r="EK16" i="24"/>
  <c r="EQ16" i="24" s="1"/>
  <c r="EW16" i="24"/>
  <c r="EZ16" i="24" s="1"/>
  <c r="FB16" i="24" s="1"/>
  <c r="EK87" i="24"/>
  <c r="EQ87" i="24" s="1"/>
  <c r="EW87" i="24"/>
  <c r="EZ87" i="24" s="1"/>
  <c r="FB87" i="24" s="1"/>
  <c r="EW183" i="24"/>
  <c r="FB183" i="24" s="1"/>
  <c r="EK183" i="24"/>
  <c r="EW38" i="24"/>
  <c r="EZ38" i="24" s="1"/>
  <c r="FB38" i="24" s="1"/>
  <c r="EK38" i="24"/>
  <c r="EQ38" i="24" s="1"/>
  <c r="EW141" i="24"/>
  <c r="FB141" i="24" s="1"/>
  <c r="EK141" i="24"/>
  <c r="EK138" i="24"/>
  <c r="EW138" i="24"/>
  <c r="FB138" i="24" s="1"/>
  <c r="EK17" i="24"/>
  <c r="EQ17" i="24" s="1"/>
  <c r="EW17" i="24"/>
  <c r="EZ17" i="24" s="1"/>
  <c r="FB17" i="24" s="1"/>
  <c r="ER48" i="24"/>
  <c r="EW105" i="24"/>
  <c r="EZ105" i="24" s="1"/>
  <c r="FB105" i="24" s="1"/>
  <c r="EK105" i="24"/>
  <c r="EQ105" i="24" s="1"/>
  <c r="ER29" i="24"/>
  <c r="EW121" i="24"/>
  <c r="FB121" i="24" s="1"/>
  <c r="EK121" i="24"/>
  <c r="EW69" i="24"/>
  <c r="EZ69" i="24" s="1"/>
  <c r="FB69" i="24" s="1"/>
  <c r="EK69" i="24"/>
  <c r="EQ69" i="24" s="1"/>
  <c r="EK181" i="24"/>
  <c r="EW181" i="24"/>
  <c r="FB181" i="24" s="1"/>
  <c r="EK24" i="24"/>
  <c r="EQ24" i="24" s="1"/>
  <c r="EW24" i="24"/>
  <c r="EZ24" i="24" s="1"/>
  <c r="FB24" i="24" s="1"/>
  <c r="EW179" i="24"/>
  <c r="FB179" i="24" s="1"/>
  <c r="EK179" i="24"/>
  <c r="EW102" i="24"/>
  <c r="EZ102" i="24" s="1"/>
  <c r="FB102" i="24" s="1"/>
  <c r="EK102" i="24"/>
  <c r="EQ102" i="24" s="1"/>
  <c r="EK175" i="24"/>
  <c r="EW175" i="24"/>
  <c r="FB175" i="24" s="1"/>
  <c r="EK101" i="24"/>
  <c r="EQ101" i="24" s="1"/>
  <c r="EW101" i="24"/>
  <c r="EZ101" i="24" s="1"/>
  <c r="FB101" i="24" s="1"/>
  <c r="ER83" i="24"/>
  <c r="EK19" i="24"/>
  <c r="EQ19" i="24" s="1"/>
  <c r="EW19" i="24"/>
  <c r="EZ19" i="24" s="1"/>
  <c r="FB19" i="24" s="1"/>
  <c r="EW73" i="24"/>
  <c r="EZ73" i="24" s="1"/>
  <c r="FB73" i="24" s="1"/>
  <c r="EK73" i="24"/>
  <c r="EQ73" i="24" s="1"/>
  <c r="ER126" i="24"/>
  <c r="EK15" i="24"/>
  <c r="EQ15" i="24" s="1"/>
  <c r="EW15" i="24"/>
  <c r="EZ15" i="24" s="1"/>
  <c r="FB15" i="24" s="1"/>
  <c r="EW117" i="24"/>
  <c r="FB117" i="24" s="1"/>
  <c r="EK117" i="24"/>
  <c r="EK122" i="24"/>
  <c r="EW122" i="24"/>
  <c r="FB122" i="24" s="1"/>
  <c r="EK119" i="24"/>
  <c r="EW119" i="24"/>
  <c r="FB119" i="24" s="1"/>
  <c r="EW35" i="24"/>
  <c r="EZ35" i="24" s="1"/>
  <c r="FB35" i="24" s="1"/>
  <c r="EK35" i="24"/>
  <c r="EQ35" i="24" s="1"/>
  <c r="EW33" i="24"/>
  <c r="EZ33" i="24" s="1"/>
  <c r="FB33" i="24" s="1"/>
  <c r="EK33" i="24"/>
  <c r="EQ33" i="24" s="1"/>
  <c r="EW115" i="24"/>
  <c r="FB115" i="24" s="1"/>
  <c r="EK115" i="24"/>
  <c r="EK66" i="24"/>
  <c r="EQ66" i="24" s="1"/>
  <c r="EW66" i="24"/>
  <c r="EZ66" i="24" s="1"/>
  <c r="FB66" i="24" s="1"/>
  <c r="EK12" i="24"/>
  <c r="EQ12" i="24" s="1"/>
  <c r="EW12" i="24"/>
  <c r="EZ12" i="24" s="1"/>
  <c r="FB12" i="24" s="1"/>
  <c r="EW156" i="24"/>
  <c r="FB156" i="24" s="1"/>
  <c r="EK156" i="24"/>
  <c r="EW42" i="24"/>
  <c r="EZ42" i="24" s="1"/>
  <c r="FB42" i="24" s="1"/>
  <c r="EK42" i="24"/>
  <c r="EQ42" i="24" s="1"/>
  <c r="EW41" i="24"/>
  <c r="EZ41" i="24" s="1"/>
  <c r="FB41" i="24" s="1"/>
  <c r="EK41" i="24"/>
  <c r="EQ41" i="24" s="1"/>
  <c r="ER160" i="24"/>
  <c r="ER186" i="24"/>
  <c r="EW176" i="24"/>
  <c r="FB176" i="24" s="1"/>
  <c r="EK176" i="24"/>
  <c r="EK207" i="24"/>
  <c r="EW207" i="24"/>
  <c r="FB207" i="24" s="1"/>
  <c r="ER37" i="24"/>
  <c r="EK6" i="24"/>
  <c r="EQ6" i="24" s="1"/>
  <c r="EW6" i="24"/>
  <c r="EZ6" i="24" s="1"/>
  <c r="FB6" i="24" s="1"/>
  <c r="ER190" i="24"/>
  <c r="FC190" i="24"/>
  <c r="FE190" i="24" s="1"/>
  <c r="FF190" i="24" s="1"/>
  <c r="EK162" i="24"/>
  <c r="EW162" i="24"/>
  <c r="FB162" i="24" s="1"/>
  <c r="EK145" i="24"/>
  <c r="EW145" i="24"/>
  <c r="FB145" i="24" s="1"/>
  <c r="EK171" i="24"/>
  <c r="EW171" i="24"/>
  <c r="FB171" i="24" s="1"/>
  <c r="EW177" i="24"/>
  <c r="FB177" i="24" s="1"/>
  <c r="EK177" i="24"/>
  <c r="ER201" i="24"/>
  <c r="EK204" i="24"/>
  <c r="EW204" i="24"/>
  <c r="FB204" i="24" s="1"/>
  <c r="EW112" i="24"/>
  <c r="FB112" i="24" s="1"/>
  <c r="EK112" i="24"/>
  <c r="EK191" i="24"/>
  <c r="EW191" i="24"/>
  <c r="FB191" i="24" s="1"/>
  <c r="EW168" i="24"/>
  <c r="FB168" i="24" s="1"/>
  <c r="EK168" i="24"/>
  <c r="EK139" i="24"/>
  <c r="EW139" i="24"/>
  <c r="FB139" i="24" s="1"/>
  <c r="EK21" i="24"/>
  <c r="EQ21" i="24" s="1"/>
  <c r="EW21" i="24"/>
  <c r="EZ21" i="24" s="1"/>
  <c r="FB21" i="24" s="1"/>
  <c r="ER13" i="24"/>
  <c r="EW61" i="24"/>
  <c r="EZ61" i="24" s="1"/>
  <c r="FB61" i="24" s="1"/>
  <c r="EK61" i="24"/>
  <c r="EQ61" i="24" s="1"/>
  <c r="ER124" i="24"/>
  <c r="F66" i="19"/>
  <c r="J9" i="8"/>
  <c r="U216" i="24" l="1"/>
  <c r="FC216" i="25"/>
  <c r="FE216" i="25" s="1"/>
  <c r="FF216" i="25" s="1"/>
  <c r="Y110" i="24"/>
  <c r="FC96" i="24"/>
  <c r="FE96" i="24" s="1"/>
  <c r="FF96" i="24" s="1"/>
  <c r="FC159" i="24"/>
  <c r="FE159" i="24" s="1"/>
  <c r="FF159" i="24" s="1"/>
  <c r="FC243" i="24"/>
  <c r="FE243" i="24" s="1"/>
  <c r="FF243" i="24" s="1"/>
  <c r="FC132" i="24"/>
  <c r="FE132" i="24" s="1"/>
  <c r="FF132" i="24" s="1"/>
  <c r="ER142" i="24"/>
  <c r="CL212" i="24"/>
  <c r="DQ212" i="24"/>
  <c r="ES212" i="24"/>
  <c r="EV212" i="24" s="1"/>
  <c r="CW212" i="24"/>
  <c r="CX212" i="24" s="1"/>
  <c r="CY212" i="24"/>
  <c r="CU212" i="24"/>
  <c r="FC285" i="24"/>
  <c r="FE285" i="24" s="1"/>
  <c r="FF285" i="24" s="1"/>
  <c r="F212" i="24"/>
  <c r="FC92" i="24"/>
  <c r="FE92" i="24" s="1"/>
  <c r="FF92" i="24" s="1"/>
  <c r="FC78" i="24"/>
  <c r="FE78" i="24" s="1"/>
  <c r="FF78" i="24" s="1"/>
  <c r="FC60" i="24"/>
  <c r="FE60" i="24" s="1"/>
  <c r="FF60" i="24" s="1"/>
  <c r="ER60" i="24"/>
  <c r="FC74" i="24"/>
  <c r="FE74" i="24" s="1"/>
  <c r="FF74" i="24" s="1"/>
  <c r="ER221" i="24"/>
  <c r="FC221" i="24"/>
  <c r="FE221" i="24" s="1"/>
  <c r="FF221" i="24" s="1"/>
  <c r="ER290" i="24"/>
  <c r="FC290" i="24"/>
  <c r="FE290" i="24" s="1"/>
  <c r="FF290" i="24" s="1"/>
  <c r="ER276" i="24"/>
  <c r="FC276" i="24"/>
  <c r="FE276" i="24" s="1"/>
  <c r="FF276" i="24" s="1"/>
  <c r="FC277" i="24"/>
  <c r="FE277" i="24" s="1"/>
  <c r="FF277" i="24" s="1"/>
  <c r="ER277" i="24"/>
  <c r="ER286" i="24"/>
  <c r="FC286" i="24"/>
  <c r="FE286" i="24" s="1"/>
  <c r="FF286" i="24" s="1"/>
  <c r="FC313" i="24"/>
  <c r="FE313" i="24" s="1"/>
  <c r="FF313" i="24" s="1"/>
  <c r="ER313" i="24"/>
  <c r="ER304" i="24"/>
  <c r="FC304" i="24"/>
  <c r="FE304" i="24" s="1"/>
  <c r="FF304" i="24" s="1"/>
  <c r="ER244" i="24"/>
  <c r="FC244" i="24"/>
  <c r="FE244" i="24" s="1"/>
  <c r="FF244" i="24" s="1"/>
  <c r="ER230" i="24"/>
  <c r="FC230" i="24"/>
  <c r="FE230" i="24" s="1"/>
  <c r="FF230" i="24" s="1"/>
  <c r="ER294" i="24"/>
  <c r="FC294" i="24"/>
  <c r="FE294" i="24" s="1"/>
  <c r="FF294" i="24" s="1"/>
  <c r="ER225" i="24"/>
  <c r="FC225" i="24"/>
  <c r="FE225" i="24" s="1"/>
  <c r="FF225" i="24" s="1"/>
  <c r="FC250" i="24"/>
  <c r="FE250" i="24" s="1"/>
  <c r="FF250" i="24" s="1"/>
  <c r="ER250" i="24"/>
  <c r="ER303" i="24"/>
  <c r="FC303" i="24"/>
  <c r="FE303" i="24" s="1"/>
  <c r="FF303" i="24" s="1"/>
  <c r="ER269" i="24"/>
  <c r="FC269" i="24"/>
  <c r="FE269" i="24" s="1"/>
  <c r="FF269" i="24" s="1"/>
  <c r="ER252" i="24"/>
  <c r="FC252" i="24"/>
  <c r="FE252" i="24" s="1"/>
  <c r="FF252" i="24" s="1"/>
  <c r="ER300" i="24"/>
  <c r="FC300" i="24"/>
  <c r="FE300" i="24" s="1"/>
  <c r="FF300" i="24" s="1"/>
  <c r="ER312" i="24"/>
  <c r="FC312" i="24"/>
  <c r="FE312" i="24" s="1"/>
  <c r="FF312" i="24" s="1"/>
  <c r="FC259" i="24"/>
  <c r="FE259" i="24" s="1"/>
  <c r="FF259" i="24" s="1"/>
  <c r="ER259" i="24"/>
  <c r="ER280" i="24"/>
  <c r="FC280" i="24"/>
  <c r="FE280" i="24" s="1"/>
  <c r="FF280" i="24" s="1"/>
  <c r="ER273" i="24"/>
  <c r="FC273" i="24"/>
  <c r="FE273" i="24" s="1"/>
  <c r="FF273" i="24" s="1"/>
  <c r="ER233" i="24"/>
  <c r="FC233" i="24"/>
  <c r="FE233" i="24" s="1"/>
  <c r="FF233" i="24" s="1"/>
  <c r="FC238" i="24"/>
  <c r="FE238" i="24" s="1"/>
  <c r="FF238" i="24" s="1"/>
  <c r="ER238" i="24"/>
  <c r="ER263" i="24"/>
  <c r="FC263" i="24"/>
  <c r="FE263" i="24" s="1"/>
  <c r="FF263" i="24" s="1"/>
  <c r="ER301" i="24"/>
  <c r="FC301" i="24"/>
  <c r="FE301" i="24" s="1"/>
  <c r="FF301" i="24" s="1"/>
  <c r="ER302" i="24"/>
  <c r="FC302" i="24"/>
  <c r="FE302" i="24" s="1"/>
  <c r="FF302" i="24" s="1"/>
  <c r="FC254" i="24"/>
  <c r="FE254" i="24" s="1"/>
  <c r="FF254" i="24" s="1"/>
  <c r="ER254" i="24"/>
  <c r="FC295" i="24"/>
  <c r="FE295" i="24" s="1"/>
  <c r="FF295" i="24" s="1"/>
  <c r="ER295" i="24"/>
  <c r="ER240" i="24"/>
  <c r="FC240" i="24"/>
  <c r="FE240" i="24" s="1"/>
  <c r="FF240" i="24" s="1"/>
  <c r="ER231" i="24"/>
  <c r="FC231" i="24"/>
  <c r="FE231" i="24" s="1"/>
  <c r="FF231" i="24" s="1"/>
  <c r="FC265" i="24"/>
  <c r="FE265" i="24" s="1"/>
  <c r="FF265" i="24" s="1"/>
  <c r="ER265" i="24"/>
  <c r="ER266" i="24"/>
  <c r="FC266" i="24"/>
  <c r="FE266" i="24" s="1"/>
  <c r="FF266" i="24" s="1"/>
  <c r="FC255" i="24"/>
  <c r="FE255" i="24" s="1"/>
  <c r="FF255" i="24" s="1"/>
  <c r="ER255" i="24"/>
  <c r="FC289" i="24"/>
  <c r="FE289" i="24" s="1"/>
  <c r="FF289" i="24" s="1"/>
  <c r="ER289" i="24"/>
  <c r="FC267" i="24"/>
  <c r="FE267" i="24" s="1"/>
  <c r="FF267" i="24" s="1"/>
  <c r="ER267" i="24"/>
  <c r="ER282" i="24"/>
  <c r="FC282" i="24"/>
  <c r="FE282" i="24" s="1"/>
  <c r="FF282" i="24" s="1"/>
  <c r="FC258" i="24"/>
  <c r="FE258" i="24" s="1"/>
  <c r="FF258" i="24" s="1"/>
  <c r="ER258" i="24"/>
  <c r="ER310" i="24"/>
  <c r="FC310" i="24"/>
  <c r="FE310" i="24" s="1"/>
  <c r="FF310" i="24" s="1"/>
  <c r="ER278" i="24"/>
  <c r="FC278" i="24"/>
  <c r="FE278" i="24" s="1"/>
  <c r="FF278" i="24" s="1"/>
  <c r="FC245" i="24"/>
  <c r="FE245" i="24" s="1"/>
  <c r="FF245" i="24" s="1"/>
  <c r="ER245" i="24"/>
  <c r="ER307" i="24"/>
  <c r="FC307" i="24"/>
  <c r="FE307" i="24" s="1"/>
  <c r="FF307" i="24" s="1"/>
  <c r="ER297" i="24"/>
  <c r="FC297" i="24"/>
  <c r="FE297" i="24" s="1"/>
  <c r="FF297" i="24" s="1"/>
  <c r="ER315" i="24"/>
  <c r="FC315" i="24"/>
  <c r="FE315" i="24" s="1"/>
  <c r="FF315" i="24" s="1"/>
  <c r="ER227" i="24"/>
  <c r="FC227" i="24"/>
  <c r="FE227" i="24" s="1"/>
  <c r="FF227" i="24" s="1"/>
  <c r="ER309" i="24"/>
  <c r="FC309" i="24"/>
  <c r="FE309" i="24" s="1"/>
  <c r="FF309" i="24" s="1"/>
  <c r="FC274" i="24"/>
  <c r="FE274" i="24" s="1"/>
  <c r="FF274" i="24" s="1"/>
  <c r="ER274" i="24"/>
  <c r="ER299" i="24"/>
  <c r="FC299" i="24"/>
  <c r="FE299" i="24" s="1"/>
  <c r="FF299" i="24" s="1"/>
  <c r="ER262" i="24"/>
  <c r="FC262" i="24"/>
  <c r="FE262" i="24" s="1"/>
  <c r="FF262" i="24" s="1"/>
  <c r="FC281" i="24"/>
  <c r="FE281" i="24" s="1"/>
  <c r="FF281" i="24" s="1"/>
  <c r="ER281" i="24"/>
  <c r="ER253" i="24"/>
  <c r="FC253" i="24"/>
  <c r="FE253" i="24" s="1"/>
  <c r="FF253" i="24" s="1"/>
  <c r="ER298" i="24"/>
  <c r="FC298" i="24"/>
  <c r="FE298" i="24" s="1"/>
  <c r="FF298" i="24" s="1"/>
  <c r="FC249" i="24"/>
  <c r="FE249" i="24" s="1"/>
  <c r="FF249" i="24" s="1"/>
  <c r="ER249" i="24"/>
  <c r="ER219" i="24"/>
  <c r="FC219" i="24"/>
  <c r="FE219" i="24" s="1"/>
  <c r="FF219" i="24" s="1"/>
  <c r="FC247" i="24"/>
  <c r="FE247" i="24" s="1"/>
  <c r="FF247" i="24" s="1"/>
  <c r="ER247" i="24"/>
  <c r="FC287" i="24"/>
  <c r="FE287" i="24" s="1"/>
  <c r="FF287" i="24" s="1"/>
  <c r="ER287" i="24"/>
  <c r="FC314" i="24"/>
  <c r="FE314" i="24" s="1"/>
  <c r="FF314" i="24" s="1"/>
  <c r="ER314" i="24"/>
  <c r="FC235" i="24"/>
  <c r="FE235" i="24" s="1"/>
  <c r="FF235" i="24" s="1"/>
  <c r="ER235" i="24"/>
  <c r="ER311" i="24"/>
  <c r="FC311" i="24"/>
  <c r="FE311" i="24" s="1"/>
  <c r="FF311" i="24" s="1"/>
  <c r="ER217" i="24"/>
  <c r="FC217" i="24"/>
  <c r="FE217" i="24" s="1"/>
  <c r="FF217" i="24" s="1"/>
  <c r="ER305" i="24"/>
  <c r="FC305" i="24"/>
  <c r="FE305" i="24" s="1"/>
  <c r="FF305" i="24" s="1"/>
  <c r="ER239" i="24"/>
  <c r="FC239" i="24"/>
  <c r="FE239" i="24" s="1"/>
  <c r="FF239" i="24" s="1"/>
  <c r="FC228" i="24"/>
  <c r="FE228" i="24" s="1"/>
  <c r="FF228" i="24" s="1"/>
  <c r="ER228" i="24"/>
  <c r="ER257" i="24"/>
  <c r="FC257" i="24"/>
  <c r="FE257" i="24" s="1"/>
  <c r="FF257" i="24" s="1"/>
  <c r="FC251" i="24"/>
  <c r="FE251" i="24" s="1"/>
  <c r="FF251" i="24" s="1"/>
  <c r="ER251" i="24"/>
  <c r="ER268" i="24"/>
  <c r="FC268" i="24"/>
  <c r="FE268" i="24" s="1"/>
  <c r="FF268" i="24" s="1"/>
  <c r="ER291" i="24"/>
  <c r="FC291" i="24"/>
  <c r="FE291" i="24" s="1"/>
  <c r="FF291" i="24" s="1"/>
  <c r="ER237" i="24"/>
  <c r="FC237" i="24"/>
  <c r="FE237" i="24" s="1"/>
  <c r="FF237" i="24" s="1"/>
  <c r="ER256" i="24"/>
  <c r="FC256" i="24"/>
  <c r="FE256" i="24" s="1"/>
  <c r="FF256" i="24" s="1"/>
  <c r="ER223" i="24"/>
  <c r="FC223" i="24"/>
  <c r="FE223" i="24" s="1"/>
  <c r="FF223" i="24" s="1"/>
  <c r="ER283" i="24"/>
  <c r="FC283" i="24"/>
  <c r="FE283" i="24" s="1"/>
  <c r="FF283" i="24" s="1"/>
  <c r="FC236" i="24"/>
  <c r="FE236" i="24" s="1"/>
  <c r="FF236" i="24" s="1"/>
  <c r="ER236" i="24"/>
  <c r="FC232" i="24"/>
  <c r="FE232" i="24" s="1"/>
  <c r="FF232" i="24" s="1"/>
  <c r="ER232" i="24"/>
  <c r="FC306" i="24"/>
  <c r="FE306" i="24" s="1"/>
  <c r="FF306" i="24" s="1"/>
  <c r="ER306" i="24"/>
  <c r="FC271" i="24"/>
  <c r="FE271" i="24" s="1"/>
  <c r="FF271" i="24" s="1"/>
  <c r="ER271" i="24"/>
  <c r="FC229" i="24"/>
  <c r="FE229" i="24" s="1"/>
  <c r="FF229" i="24" s="1"/>
  <c r="ER229" i="24"/>
  <c r="FC241" i="24"/>
  <c r="FE241" i="24" s="1"/>
  <c r="FF241" i="24" s="1"/>
  <c r="ER241" i="24"/>
  <c r="FC293" i="24"/>
  <c r="FE293" i="24" s="1"/>
  <c r="FF293" i="24" s="1"/>
  <c r="ER293" i="24"/>
  <c r="ER260" i="24"/>
  <c r="FC260" i="24"/>
  <c r="FE260" i="24" s="1"/>
  <c r="FF260" i="24" s="1"/>
  <c r="ER220" i="24"/>
  <c r="FC220" i="24"/>
  <c r="FE220" i="24" s="1"/>
  <c r="FF220" i="24" s="1"/>
  <c r="ER222" i="24"/>
  <c r="FC222" i="24"/>
  <c r="FE222" i="24" s="1"/>
  <c r="FF222" i="24" s="1"/>
  <c r="ER296" i="24"/>
  <c r="FC296" i="24"/>
  <c r="FE296" i="24" s="1"/>
  <c r="FF296" i="24" s="1"/>
  <c r="FC261" i="24"/>
  <c r="FE261" i="24" s="1"/>
  <c r="FF261" i="24" s="1"/>
  <c r="ER261" i="24"/>
  <c r="ER218" i="24"/>
  <c r="FC218" i="24"/>
  <c r="FE218" i="24" s="1"/>
  <c r="FF218" i="24" s="1"/>
  <c r="FC288" i="24"/>
  <c r="FE288" i="24" s="1"/>
  <c r="FF288" i="24" s="1"/>
  <c r="ER288" i="24"/>
  <c r="FC224" i="24"/>
  <c r="FE224" i="24" s="1"/>
  <c r="FF224" i="24" s="1"/>
  <c r="ER224" i="24"/>
  <c r="ER264" i="24"/>
  <c r="FC264" i="24"/>
  <c r="FE264" i="24" s="1"/>
  <c r="FF264" i="24" s="1"/>
  <c r="FC275" i="24"/>
  <c r="FE275" i="24" s="1"/>
  <c r="FF275" i="24" s="1"/>
  <c r="ER275" i="24"/>
  <c r="FC279" i="24"/>
  <c r="FE279" i="24" s="1"/>
  <c r="FF279" i="24" s="1"/>
  <c r="ER279" i="24"/>
  <c r="FC226" i="24"/>
  <c r="FE226" i="24" s="1"/>
  <c r="FF226" i="24" s="1"/>
  <c r="ER226" i="24"/>
  <c r="ER272" i="24"/>
  <c r="FC272" i="24"/>
  <c r="FE272" i="24" s="1"/>
  <c r="FF272" i="24" s="1"/>
  <c r="ER292" i="24"/>
  <c r="FC292" i="24"/>
  <c r="FE292" i="24" s="1"/>
  <c r="FF292" i="24" s="1"/>
  <c r="FC308" i="24"/>
  <c r="FE308" i="24" s="1"/>
  <c r="FF308" i="24" s="1"/>
  <c r="ER308" i="24"/>
  <c r="FC234" i="24"/>
  <c r="FE234" i="24" s="1"/>
  <c r="FF234" i="24" s="1"/>
  <c r="ER234" i="24"/>
  <c r="FC246" i="24"/>
  <c r="FE246" i="24" s="1"/>
  <c r="FF246" i="24" s="1"/>
  <c r="ER246" i="24"/>
  <c r="FC316" i="24"/>
  <c r="FE316" i="24" s="1"/>
  <c r="FF316" i="24" s="1"/>
  <c r="ER316" i="24"/>
  <c r="ER270" i="24"/>
  <c r="FC270" i="24"/>
  <c r="FE270" i="24" s="1"/>
  <c r="FF270" i="24" s="1"/>
  <c r="FC284" i="24"/>
  <c r="FE284" i="24" s="1"/>
  <c r="FF284" i="24" s="1"/>
  <c r="ER284" i="24"/>
  <c r="ER248" i="24"/>
  <c r="FC248" i="24"/>
  <c r="FE248" i="24" s="1"/>
  <c r="FF248" i="24" s="1"/>
  <c r="FC39" i="24"/>
  <c r="FE39" i="24" s="1"/>
  <c r="FF39" i="24" s="1"/>
  <c r="FC152" i="24"/>
  <c r="FE152" i="24" s="1"/>
  <c r="FF152" i="24" s="1"/>
  <c r="FC44" i="24"/>
  <c r="FE44" i="24" s="1"/>
  <c r="FF44" i="24" s="1"/>
  <c r="FC199" i="24"/>
  <c r="FE199" i="24" s="1"/>
  <c r="FF199" i="24" s="1"/>
  <c r="FC160" i="24"/>
  <c r="FE160" i="24" s="1"/>
  <c r="FF160" i="24" s="1"/>
  <c r="FB134" i="24"/>
  <c r="ER111" i="24"/>
  <c r="FC23" i="24"/>
  <c r="FE23" i="24" s="1"/>
  <c r="FF23" i="24" s="1"/>
  <c r="FC192" i="24"/>
  <c r="FE192" i="24" s="1"/>
  <c r="FF192" i="24" s="1"/>
  <c r="FC186" i="24"/>
  <c r="FE186" i="24" s="1"/>
  <c r="FF186" i="24" s="1"/>
  <c r="FC133" i="24"/>
  <c r="FE133" i="24" s="1"/>
  <c r="FF133" i="24" s="1"/>
  <c r="FC126" i="24"/>
  <c r="FE126" i="24" s="1"/>
  <c r="FF126" i="24" s="1"/>
  <c r="FC127" i="24"/>
  <c r="FE127" i="24" s="1"/>
  <c r="FF127" i="24" s="1"/>
  <c r="FC52" i="24"/>
  <c r="FE52" i="24" s="1"/>
  <c r="FF52" i="24" s="1"/>
  <c r="ER169" i="24"/>
  <c r="FC169" i="24"/>
  <c r="FE169" i="24" s="1"/>
  <c r="FF169" i="24" s="1"/>
  <c r="FC104" i="24"/>
  <c r="FE104" i="24" s="1"/>
  <c r="FF104" i="24" s="1"/>
  <c r="FC63" i="24"/>
  <c r="FE63" i="24" s="1"/>
  <c r="FF63" i="24" s="1"/>
  <c r="FC201" i="24"/>
  <c r="FE201" i="24" s="1"/>
  <c r="FF201" i="24" s="1"/>
  <c r="FC14" i="24"/>
  <c r="FE14" i="24" s="1"/>
  <c r="FF14" i="24" s="1"/>
  <c r="FC136" i="24"/>
  <c r="FE136" i="24" s="1"/>
  <c r="FF136" i="24" s="1"/>
  <c r="FC124" i="24"/>
  <c r="FE124" i="24" s="1"/>
  <c r="FF124" i="24" s="1"/>
  <c r="ER170" i="24"/>
  <c r="ER14" i="24"/>
  <c r="FB147" i="24"/>
  <c r="FC29" i="24"/>
  <c r="FE29" i="24" s="1"/>
  <c r="FF29" i="24" s="1"/>
  <c r="FC43" i="24"/>
  <c r="FE43" i="24" s="1"/>
  <c r="FF43" i="24" s="1"/>
  <c r="FC81" i="24"/>
  <c r="FE81" i="24" s="1"/>
  <c r="FF81" i="24" s="1"/>
  <c r="FC37" i="24"/>
  <c r="FE37" i="24" s="1"/>
  <c r="FF37" i="24" s="1"/>
  <c r="FC30" i="24"/>
  <c r="FE30" i="24" s="1"/>
  <c r="FF30" i="24" s="1"/>
  <c r="FC55" i="24"/>
  <c r="FE55" i="24" s="1"/>
  <c r="FF55" i="24" s="1"/>
  <c r="FB71" i="24"/>
  <c r="FC71" i="24"/>
  <c r="FE71" i="24" s="1"/>
  <c r="FF71" i="24" s="1"/>
  <c r="FB48" i="24"/>
  <c r="FC48" i="24"/>
  <c r="FE48" i="24" s="1"/>
  <c r="FF48" i="24" s="1"/>
  <c r="FC77" i="24"/>
  <c r="FE77" i="24" s="1"/>
  <c r="FF77" i="24" s="1"/>
  <c r="FC172" i="24"/>
  <c r="FE172" i="24" s="1"/>
  <c r="FF172" i="24" s="1"/>
  <c r="FC40" i="24"/>
  <c r="FE40" i="24" s="1"/>
  <c r="FF40" i="24" s="1"/>
  <c r="FC99" i="24"/>
  <c r="FE99" i="24" s="1"/>
  <c r="FF99" i="24" s="1"/>
  <c r="FC83" i="24"/>
  <c r="FE83" i="24" s="1"/>
  <c r="FF83" i="24" s="1"/>
  <c r="FC90" i="24"/>
  <c r="FE90" i="24" s="1"/>
  <c r="FF90" i="24" s="1"/>
  <c r="ER90" i="24"/>
  <c r="J216" i="24"/>
  <c r="O216" i="24"/>
  <c r="BZ216" i="24" s="1"/>
  <c r="FC67" i="24"/>
  <c r="FE67" i="24" s="1"/>
  <c r="FF67" i="24" s="1"/>
  <c r="FC13" i="24"/>
  <c r="FE13" i="24" s="1"/>
  <c r="FF13" i="24" s="1"/>
  <c r="AJ110" i="24"/>
  <c r="AG110" i="24"/>
  <c r="AF110" i="24"/>
  <c r="FJ263" i="24"/>
  <c r="FJ170" i="24"/>
  <c r="FI184" i="24"/>
  <c r="FJ114" i="24"/>
  <c r="FJ232" i="24"/>
  <c r="FJ142" i="24"/>
  <c r="FI206" i="24"/>
  <c r="FJ117" i="24"/>
  <c r="FJ159" i="24"/>
  <c r="FJ192" i="24"/>
  <c r="FI209" i="24"/>
  <c r="FJ132" i="24"/>
  <c r="FJ301" i="24"/>
  <c r="FI141" i="24"/>
  <c r="FI144" i="24"/>
  <c r="FI152" i="24"/>
  <c r="FJ242" i="24"/>
  <c r="FJ306" i="24"/>
  <c r="FI167" i="24"/>
  <c r="FI208" i="24"/>
  <c r="FJ225" i="24"/>
  <c r="FJ299" i="24"/>
  <c r="FJ294" i="24"/>
  <c r="FJ155" i="24"/>
  <c r="FJ238" i="24"/>
  <c r="FI189" i="24"/>
  <c r="FI130" i="24"/>
  <c r="FI150" i="24"/>
  <c r="FI197" i="24"/>
  <c r="FJ234" i="24"/>
  <c r="FJ255" i="24"/>
  <c r="FJ169" i="24"/>
  <c r="FI170" i="24"/>
  <c r="FI108" i="24"/>
  <c r="FJ228" i="24"/>
  <c r="FJ133" i="24"/>
  <c r="FJ199" i="24"/>
  <c r="FI116" i="24"/>
  <c r="FJ154" i="24"/>
  <c r="FI174" i="24"/>
  <c r="FJ131" i="24"/>
  <c r="FJ291" i="24"/>
  <c r="FI207" i="24"/>
  <c r="FI132" i="24"/>
  <c r="FI204" i="24"/>
  <c r="FJ261" i="24"/>
  <c r="FJ136" i="24"/>
  <c r="FJ270" i="24"/>
  <c r="FJ122" i="24"/>
  <c r="FI175" i="24"/>
  <c r="FJ265" i="24"/>
  <c r="FJ217" i="24"/>
  <c r="FJ115" i="24"/>
  <c r="FJ229" i="24"/>
  <c r="FJ123" i="24"/>
  <c r="FI143" i="24"/>
  <c r="FJ315" i="24"/>
  <c r="FJ245" i="24"/>
  <c r="FJ187" i="24"/>
  <c r="FJ237" i="24"/>
  <c r="FJ227" i="24"/>
  <c r="FI169" i="24"/>
  <c r="FJ249" i="24"/>
  <c r="FJ216" i="24"/>
  <c r="FJ116" i="24"/>
  <c r="FJ290" i="24"/>
  <c r="FI110" i="24"/>
  <c r="FJ153" i="24"/>
  <c r="FJ283" i="24"/>
  <c r="FI182" i="24"/>
  <c r="FJ126" i="24"/>
  <c r="FJ280" i="24"/>
  <c r="FI115" i="24"/>
  <c r="FJ250" i="24"/>
  <c r="FI165" i="24"/>
  <c r="FI139" i="24"/>
  <c r="FJ296" i="24"/>
  <c r="FJ113" i="24"/>
  <c r="FI188" i="24"/>
  <c r="FJ239" i="24"/>
  <c r="FJ276" i="24"/>
  <c r="FJ186" i="24"/>
  <c r="FJ246" i="24"/>
  <c r="FI140" i="24"/>
  <c r="FJ171" i="24"/>
  <c r="FI210" i="24"/>
  <c r="FJ244" i="24"/>
  <c r="FI121" i="24"/>
  <c r="FI149" i="24"/>
  <c r="FJ304" i="24"/>
  <c r="FJ272" i="24"/>
  <c r="FI179" i="24"/>
  <c r="FJ222" i="24"/>
  <c r="FI138" i="24"/>
  <c r="FJ148" i="24"/>
  <c r="FJ190" i="24"/>
  <c r="FI114" i="24"/>
  <c r="FJ277" i="24"/>
  <c r="FJ266" i="24"/>
  <c r="FJ144" i="24"/>
  <c r="FI125" i="24"/>
  <c r="FJ278" i="24"/>
  <c r="FI193" i="24"/>
  <c r="FI123" i="24"/>
  <c r="FI191" i="24"/>
  <c r="FJ297" i="24"/>
  <c r="FJ163" i="24"/>
  <c r="FI160" i="24"/>
  <c r="FI194" i="24"/>
  <c r="FJ121" i="24"/>
  <c r="FJ240" i="24"/>
  <c r="FJ300" i="24"/>
  <c r="FI171" i="24"/>
  <c r="FJ120" i="24"/>
  <c r="FI177" i="24"/>
  <c r="FJ260" i="24"/>
  <c r="FI199" i="24"/>
  <c r="FI124" i="24"/>
  <c r="FJ194" i="24"/>
  <c r="FI126" i="24"/>
  <c r="FJ292" i="24"/>
  <c r="FI181" i="24"/>
  <c r="CE108" i="24"/>
  <c r="FI201" i="24"/>
  <c r="FI133" i="24"/>
  <c r="FI145" i="24"/>
  <c r="FI176" i="24"/>
  <c r="FI113" i="24"/>
  <c r="FI172" i="24"/>
  <c r="FJ251" i="24"/>
  <c r="FI159" i="24"/>
  <c r="FI111" i="24"/>
  <c r="FJ273" i="24"/>
  <c r="FI186" i="24"/>
  <c r="FI112" i="24"/>
  <c r="FJ189" i="24"/>
  <c r="FJ289" i="24"/>
  <c r="FI155" i="24"/>
  <c r="FI183" i="24"/>
  <c r="FJ147" i="24"/>
  <c r="FJ254" i="24"/>
  <c r="FJ201" i="24"/>
  <c r="FJ149" i="24"/>
  <c r="FJ314" i="24"/>
  <c r="FI135" i="24"/>
  <c r="FJ197" i="24"/>
  <c r="FI137" i="24"/>
  <c r="FJ129" i="24"/>
  <c r="FI173" i="24"/>
  <c r="FI122" i="24"/>
  <c r="FI153" i="24"/>
  <c r="FJ235" i="24"/>
  <c r="FI196" i="24"/>
  <c r="FJ128" i="24"/>
  <c r="FJ134" i="24"/>
  <c r="FI146" i="24"/>
  <c r="FJ172" i="24"/>
  <c r="FJ110" i="24"/>
  <c r="FJ243" i="24"/>
  <c r="FI198" i="24"/>
  <c r="FI117" i="24"/>
  <c r="FJ236" i="24"/>
  <c r="FI162" i="24"/>
  <c r="FJ259" i="24"/>
  <c r="FI178" i="24"/>
  <c r="FI129" i="24"/>
  <c r="FJ293" i="24"/>
  <c r="FJ264" i="24"/>
  <c r="FI163" i="24"/>
  <c r="FJ140" i="24"/>
  <c r="FI202" i="24"/>
  <c r="FJ310" i="24"/>
  <c r="FI147" i="24"/>
  <c r="FI157" i="24"/>
  <c r="FJ258" i="24"/>
  <c r="FI195" i="24"/>
  <c r="FI120" i="24"/>
  <c r="FI119" i="24"/>
  <c r="FJ143" i="24"/>
  <c r="FI185" i="24"/>
  <c r="FI192" i="24"/>
  <c r="FI128" i="24"/>
  <c r="FJ286" i="24"/>
  <c r="FJ164" i="24"/>
  <c r="FJ233" i="24"/>
  <c r="FI164" i="24"/>
  <c r="FJ111" i="24"/>
  <c r="FJ220" i="24"/>
  <c r="FI154" i="24"/>
  <c r="FJ313" i="24"/>
  <c r="FJ257" i="24"/>
  <c r="FI158" i="24"/>
  <c r="FJ152" i="24"/>
  <c r="FJ248" i="24"/>
  <c r="FJ230" i="24"/>
  <c r="FI134" i="24"/>
  <c r="FJ176" i="24"/>
  <c r="FI127" i="24"/>
  <c r="FJ295" i="24"/>
  <c r="FI205" i="24"/>
  <c r="FI161" i="24"/>
  <c r="FJ312" i="24"/>
  <c r="FI190" i="24"/>
  <c r="FJ218" i="24"/>
  <c r="FJ298" i="24"/>
  <c r="FJ282" i="24"/>
  <c r="FI200" i="24"/>
  <c r="FJ160" i="24"/>
  <c r="FI151" i="24"/>
  <c r="FJ226" i="24"/>
  <c r="FJ275" i="24"/>
  <c r="FJ184" i="24"/>
  <c r="FJ305" i="24"/>
  <c r="FJ127" i="24"/>
  <c r="FJ247" i="24"/>
  <c r="FI148" i="24"/>
  <c r="FJ221" i="24"/>
  <c r="FI136" i="24"/>
  <c r="FI166" i="24"/>
  <c r="FJ267" i="24"/>
  <c r="FJ141" i="24"/>
  <c r="FJ309" i="24"/>
  <c r="FJ252" i="24"/>
  <c r="FI156" i="24"/>
  <c r="FJ124" i="24"/>
  <c r="FJ130" i="24"/>
  <c r="FJ231" i="24"/>
  <c r="FJ303" i="24"/>
  <c r="FI142" i="24"/>
  <c r="FJ223" i="24"/>
  <c r="FJ308" i="24"/>
  <c r="FI131" i="24"/>
  <c r="FJ307" i="24"/>
  <c r="FJ253" i="24"/>
  <c r="FI187" i="24"/>
  <c r="FI118" i="24"/>
  <c r="FI168" i="24"/>
  <c r="FI203" i="24"/>
  <c r="FJ302" i="24"/>
  <c r="FJ316" i="24"/>
  <c r="FJ145" i="24"/>
  <c r="FJ219" i="24"/>
  <c r="FJ158" i="24"/>
  <c r="FJ138" i="24"/>
  <c r="FJ196" i="24"/>
  <c r="FI180" i="24"/>
  <c r="FC62" i="24"/>
  <c r="FE62" i="24" s="1"/>
  <c r="FF62" i="24" s="1"/>
  <c r="FC10" i="24"/>
  <c r="FE10" i="24" s="1"/>
  <c r="FF10" i="24" s="1"/>
  <c r="ER6" i="24"/>
  <c r="FC6" i="24"/>
  <c r="FE6" i="24" s="1"/>
  <c r="FF6" i="24" s="1"/>
  <c r="ER207" i="24"/>
  <c r="FC207" i="24"/>
  <c r="FE207" i="24" s="1"/>
  <c r="FF207" i="24" s="1"/>
  <c r="ER115" i="24"/>
  <c r="FC115" i="24"/>
  <c r="FE115" i="24" s="1"/>
  <c r="FF115" i="24" s="1"/>
  <c r="ER117" i="24"/>
  <c r="FC117" i="24"/>
  <c r="FE117" i="24" s="1"/>
  <c r="FF117" i="24" s="1"/>
  <c r="ER19" i="24"/>
  <c r="FC19" i="24"/>
  <c r="FE19" i="24" s="1"/>
  <c r="FF19" i="24" s="1"/>
  <c r="FC179" i="24"/>
  <c r="FE179" i="24" s="1"/>
  <c r="FF179" i="24" s="1"/>
  <c r="ER179" i="24"/>
  <c r="ER75" i="24"/>
  <c r="FC75" i="24"/>
  <c r="FE75" i="24" s="1"/>
  <c r="FF75" i="24" s="1"/>
  <c r="ER80" i="24"/>
  <c r="FC80" i="24"/>
  <c r="FE80" i="24" s="1"/>
  <c r="FF80" i="24" s="1"/>
  <c r="ER49" i="24"/>
  <c r="FC49" i="24"/>
  <c r="FE49" i="24" s="1"/>
  <c r="FF49" i="24" s="1"/>
  <c r="ER59" i="24"/>
  <c r="FC59" i="24"/>
  <c r="FE59" i="24" s="1"/>
  <c r="FF59" i="24" s="1"/>
  <c r="ER178" i="24"/>
  <c r="FC178" i="24"/>
  <c r="FE178" i="24" s="1"/>
  <c r="FF178" i="24" s="1"/>
  <c r="ER27" i="24"/>
  <c r="FC27" i="24"/>
  <c r="FE27" i="24" s="1"/>
  <c r="FF27" i="24" s="1"/>
  <c r="ER161" i="24"/>
  <c r="FC161" i="24"/>
  <c r="FE161" i="24" s="1"/>
  <c r="FF161" i="24" s="1"/>
  <c r="ER150" i="24"/>
  <c r="FC150" i="24"/>
  <c r="FE150" i="24" s="1"/>
  <c r="FF150" i="24" s="1"/>
  <c r="ER18" i="24"/>
  <c r="FC18" i="24"/>
  <c r="FE18" i="24" s="1"/>
  <c r="FF18" i="24" s="1"/>
  <c r="ER158" i="24"/>
  <c r="FC158" i="24"/>
  <c r="FE158" i="24" s="1"/>
  <c r="FF158" i="24" s="1"/>
  <c r="ER194" i="24"/>
  <c r="FC194" i="24"/>
  <c r="FE194" i="24" s="1"/>
  <c r="FF194" i="24" s="1"/>
  <c r="ER95" i="24"/>
  <c r="FC95" i="24"/>
  <c r="FE95" i="24" s="1"/>
  <c r="FF95" i="24" s="1"/>
  <c r="ER146" i="24"/>
  <c r="FC146" i="24"/>
  <c r="FE146" i="24" s="1"/>
  <c r="FF146" i="24" s="1"/>
  <c r="ER97" i="24"/>
  <c r="FC97" i="24"/>
  <c r="FE97" i="24" s="1"/>
  <c r="FF97" i="24" s="1"/>
  <c r="ER70" i="24"/>
  <c r="FC70" i="24"/>
  <c r="FE70" i="24" s="1"/>
  <c r="FF70" i="24" s="1"/>
  <c r="ER210" i="24"/>
  <c r="FC210" i="24"/>
  <c r="FE210" i="24" s="1"/>
  <c r="FF210" i="24" s="1"/>
  <c r="ER187" i="24"/>
  <c r="FC187" i="24"/>
  <c r="FE187" i="24" s="1"/>
  <c r="FF187" i="24" s="1"/>
  <c r="ER7" i="24"/>
  <c r="FC7" i="24"/>
  <c r="FE7" i="24" s="1"/>
  <c r="FF7" i="24" s="1"/>
  <c r="ER125" i="24"/>
  <c r="FC125" i="24"/>
  <c r="FE125" i="24" s="1"/>
  <c r="FF125" i="24" s="1"/>
  <c r="ER21" i="24"/>
  <c r="FC21" i="24"/>
  <c r="FE21" i="24" s="1"/>
  <c r="FF21" i="24" s="1"/>
  <c r="ER176" i="24"/>
  <c r="FC176" i="24"/>
  <c r="FE176" i="24" s="1"/>
  <c r="FF176" i="24" s="1"/>
  <c r="ER122" i="24"/>
  <c r="FC122" i="24"/>
  <c r="FE122" i="24" s="1"/>
  <c r="FF122" i="24" s="1"/>
  <c r="ER209" i="24"/>
  <c r="FC209" i="24"/>
  <c r="FE209" i="24" s="1"/>
  <c r="FF209" i="24" s="1"/>
  <c r="ER103" i="24"/>
  <c r="FC103" i="24"/>
  <c r="FE103" i="24" s="1"/>
  <c r="FF103" i="24" s="1"/>
  <c r="ER9" i="24"/>
  <c r="FC9" i="24"/>
  <c r="FE9" i="24" s="1"/>
  <c r="FF9" i="24" s="1"/>
  <c r="ER31" i="24"/>
  <c r="FC31" i="24"/>
  <c r="FE31" i="24" s="1"/>
  <c r="FF31" i="24" s="1"/>
  <c r="ER130" i="24"/>
  <c r="FC130" i="24"/>
  <c r="FE130" i="24" s="1"/>
  <c r="FF130" i="24" s="1"/>
  <c r="FC148" i="24"/>
  <c r="FE148" i="24" s="1"/>
  <c r="FF148" i="24" s="1"/>
  <c r="ER148" i="24"/>
  <c r="ER84" i="24"/>
  <c r="FC84" i="24"/>
  <c r="FE84" i="24" s="1"/>
  <c r="FF84" i="24" s="1"/>
  <c r="ER82" i="24"/>
  <c r="FC82" i="24"/>
  <c r="FE82" i="24" s="1"/>
  <c r="FF82" i="24" s="1"/>
  <c r="ER26" i="24"/>
  <c r="FC26" i="24"/>
  <c r="FE26" i="24" s="1"/>
  <c r="FF26" i="24" s="1"/>
  <c r="ER200" i="24"/>
  <c r="FC200" i="24"/>
  <c r="FE200" i="24" s="1"/>
  <c r="FF200" i="24" s="1"/>
  <c r="ER157" i="24"/>
  <c r="FC157" i="24"/>
  <c r="FE157" i="24" s="1"/>
  <c r="FF157" i="24" s="1"/>
  <c r="ER205" i="24"/>
  <c r="FC205" i="24"/>
  <c r="FE205" i="24" s="1"/>
  <c r="FF205" i="24" s="1"/>
  <c r="ER137" i="24"/>
  <c r="FC137" i="24"/>
  <c r="FE137" i="24" s="1"/>
  <c r="FF137" i="24" s="1"/>
  <c r="ER162" i="24"/>
  <c r="FC162" i="24"/>
  <c r="FE162" i="24" s="1"/>
  <c r="FF162" i="24" s="1"/>
  <c r="ER156" i="24"/>
  <c r="FC156" i="24"/>
  <c r="FE156" i="24" s="1"/>
  <c r="FF156" i="24" s="1"/>
  <c r="ER35" i="24"/>
  <c r="FC35" i="24"/>
  <c r="FE35" i="24" s="1"/>
  <c r="FF35" i="24" s="1"/>
  <c r="ER105" i="24"/>
  <c r="FC105" i="24"/>
  <c r="FE105" i="24" s="1"/>
  <c r="FF105" i="24" s="1"/>
  <c r="ER17" i="24"/>
  <c r="FC17" i="24"/>
  <c r="FE17" i="24" s="1"/>
  <c r="FF17" i="24" s="1"/>
  <c r="ER16" i="24"/>
  <c r="FC16" i="24"/>
  <c r="FE16" i="24" s="1"/>
  <c r="FF16" i="24" s="1"/>
  <c r="ER56" i="24"/>
  <c r="FC56" i="24"/>
  <c r="FE56" i="24" s="1"/>
  <c r="FF56" i="24" s="1"/>
  <c r="ER72" i="24"/>
  <c r="FC72" i="24"/>
  <c r="FE72" i="24" s="1"/>
  <c r="FF72" i="24" s="1"/>
  <c r="ER166" i="24"/>
  <c r="FC166" i="24"/>
  <c r="FE166" i="24" s="1"/>
  <c r="FF166" i="24" s="1"/>
  <c r="ER114" i="24"/>
  <c r="FC114" i="24"/>
  <c r="FE114" i="24" s="1"/>
  <c r="FF114" i="24" s="1"/>
  <c r="ER131" i="24"/>
  <c r="FC131" i="24"/>
  <c r="FE131" i="24" s="1"/>
  <c r="FF131" i="24" s="1"/>
  <c r="ER68" i="24"/>
  <c r="FC68" i="24"/>
  <c r="FE68" i="24" s="1"/>
  <c r="FF68" i="24" s="1"/>
  <c r="ER28" i="24"/>
  <c r="FC28" i="24"/>
  <c r="FE28" i="24" s="1"/>
  <c r="FF28" i="24" s="1"/>
  <c r="ER98" i="24"/>
  <c r="FC98" i="24"/>
  <c r="FE98" i="24" s="1"/>
  <c r="FF98" i="24" s="1"/>
  <c r="ER61" i="24"/>
  <c r="FC61" i="24"/>
  <c r="FE61" i="24" s="1"/>
  <c r="FF61" i="24" s="1"/>
  <c r="ER139" i="24"/>
  <c r="FC139" i="24"/>
  <c r="FE139" i="24" s="1"/>
  <c r="FF139" i="24" s="1"/>
  <c r="ER191" i="24"/>
  <c r="FC191" i="24"/>
  <c r="FE191" i="24" s="1"/>
  <c r="FF191" i="24" s="1"/>
  <c r="ER145" i="24"/>
  <c r="FC145" i="24"/>
  <c r="FE145" i="24" s="1"/>
  <c r="FF145" i="24" s="1"/>
  <c r="ER15" i="24"/>
  <c r="FC15" i="24"/>
  <c r="FE15" i="24" s="1"/>
  <c r="FF15" i="24" s="1"/>
  <c r="ER175" i="24"/>
  <c r="FC175" i="24"/>
  <c r="FE175" i="24" s="1"/>
  <c r="FF175" i="24" s="1"/>
  <c r="ER38" i="24"/>
  <c r="FC38" i="24"/>
  <c r="FE38" i="24" s="1"/>
  <c r="FF38" i="24" s="1"/>
  <c r="ER94" i="24"/>
  <c r="FC94" i="24"/>
  <c r="FE94" i="24" s="1"/>
  <c r="FF94" i="24" s="1"/>
  <c r="ER182" i="24"/>
  <c r="FC182" i="24"/>
  <c r="FE182" i="24" s="1"/>
  <c r="FF182" i="24" s="1"/>
  <c r="ER22" i="24"/>
  <c r="FC22" i="24"/>
  <c r="FE22" i="24" s="1"/>
  <c r="FF22" i="24" s="1"/>
  <c r="ER11" i="24"/>
  <c r="FC11" i="24"/>
  <c r="FE11" i="24" s="1"/>
  <c r="FF11" i="24" s="1"/>
  <c r="ER140" i="24"/>
  <c r="FC140" i="24"/>
  <c r="FE140" i="24" s="1"/>
  <c r="FF140" i="24" s="1"/>
  <c r="ER165" i="24"/>
  <c r="FC165" i="24"/>
  <c r="FE165" i="24" s="1"/>
  <c r="FF165" i="24" s="1"/>
  <c r="ER57" i="24"/>
  <c r="FC57" i="24"/>
  <c r="FE57" i="24" s="1"/>
  <c r="FF57" i="24" s="1"/>
  <c r="ER89" i="24"/>
  <c r="FC89" i="24"/>
  <c r="FE89" i="24" s="1"/>
  <c r="FF89" i="24" s="1"/>
  <c r="ER155" i="24"/>
  <c r="FC155" i="24"/>
  <c r="FE155" i="24" s="1"/>
  <c r="FF155" i="24" s="1"/>
  <c r="ER118" i="24"/>
  <c r="FC118" i="24"/>
  <c r="FE118" i="24" s="1"/>
  <c r="FF118" i="24" s="1"/>
  <c r="ER65" i="24"/>
  <c r="FC65" i="24"/>
  <c r="FE65" i="24" s="1"/>
  <c r="FF65" i="24" s="1"/>
  <c r="ER206" i="24"/>
  <c r="FC206" i="24"/>
  <c r="FE206" i="24" s="1"/>
  <c r="FF206" i="24" s="1"/>
  <c r="ER129" i="24"/>
  <c r="FC129" i="24"/>
  <c r="FE129" i="24" s="1"/>
  <c r="FF129" i="24" s="1"/>
  <c r="ER151" i="24"/>
  <c r="FC151" i="24"/>
  <c r="FE151" i="24" s="1"/>
  <c r="FF151" i="24" s="1"/>
  <c r="ER112" i="24"/>
  <c r="FC112" i="24"/>
  <c r="FE112" i="24" s="1"/>
  <c r="FF112" i="24" s="1"/>
  <c r="ER42" i="24"/>
  <c r="FC42" i="24"/>
  <c r="FE42" i="24" s="1"/>
  <c r="FF42" i="24" s="1"/>
  <c r="ER101" i="24"/>
  <c r="FC101" i="24"/>
  <c r="FE101" i="24" s="1"/>
  <c r="FF101" i="24" s="1"/>
  <c r="ER69" i="24"/>
  <c r="FC69" i="24"/>
  <c r="FE69" i="24" s="1"/>
  <c r="FF69" i="24" s="1"/>
  <c r="ER138" i="24"/>
  <c r="FC138" i="24"/>
  <c r="FE138" i="24" s="1"/>
  <c r="FF138" i="24" s="1"/>
  <c r="ER87" i="24"/>
  <c r="FC87" i="24"/>
  <c r="FE87" i="24" s="1"/>
  <c r="FF87" i="24" s="1"/>
  <c r="ER202" i="24"/>
  <c r="FC202" i="24"/>
  <c r="FE202" i="24" s="1"/>
  <c r="FF202" i="24" s="1"/>
  <c r="ER184" i="24"/>
  <c r="FC184" i="24"/>
  <c r="FE184" i="24" s="1"/>
  <c r="FF184" i="24" s="1"/>
  <c r="ER195" i="24"/>
  <c r="FC195" i="24"/>
  <c r="FE195" i="24" s="1"/>
  <c r="FF195" i="24" s="1"/>
  <c r="ER193" i="24"/>
  <c r="FC193" i="24"/>
  <c r="FE193" i="24" s="1"/>
  <c r="FF193" i="24" s="1"/>
  <c r="ER45" i="24"/>
  <c r="FC45" i="24"/>
  <c r="FE45" i="24" s="1"/>
  <c r="FF45" i="24" s="1"/>
  <c r="ER197" i="24"/>
  <c r="FC197" i="24"/>
  <c r="FE197" i="24" s="1"/>
  <c r="FF197" i="24" s="1"/>
  <c r="ER196" i="24"/>
  <c r="FC196" i="24"/>
  <c r="FE196" i="24" s="1"/>
  <c r="FF196" i="24" s="1"/>
  <c r="ER116" i="24"/>
  <c r="FC116" i="24"/>
  <c r="FE116" i="24" s="1"/>
  <c r="FF116" i="24" s="1"/>
  <c r="ER46" i="24"/>
  <c r="FC46" i="24"/>
  <c r="FE46" i="24" s="1"/>
  <c r="FF46" i="24" s="1"/>
  <c r="ER64" i="24"/>
  <c r="FC64" i="24"/>
  <c r="FE64" i="24" s="1"/>
  <c r="FF64" i="24" s="1"/>
  <c r="ER180" i="24"/>
  <c r="FC180" i="24"/>
  <c r="FE180" i="24" s="1"/>
  <c r="ER168" i="24"/>
  <c r="FC168" i="24"/>
  <c r="FE168" i="24" s="1"/>
  <c r="FF168" i="24" s="1"/>
  <c r="ER66" i="24"/>
  <c r="FC66" i="24"/>
  <c r="FE66" i="24" s="1"/>
  <c r="FF66" i="24" s="1"/>
  <c r="ER73" i="24"/>
  <c r="FC73" i="24"/>
  <c r="FE73" i="24" s="1"/>
  <c r="FF73" i="24" s="1"/>
  <c r="ER24" i="24"/>
  <c r="FC24" i="24"/>
  <c r="FE24" i="24" s="1"/>
  <c r="FF24" i="24" s="1"/>
  <c r="ER183" i="24"/>
  <c r="FC183" i="24"/>
  <c r="FE183" i="24" s="1"/>
  <c r="FF183" i="24" s="1"/>
  <c r="ER100" i="24"/>
  <c r="FC100" i="24"/>
  <c r="FE100" i="24" s="1"/>
  <c r="FF100" i="24" s="1"/>
  <c r="ER198" i="24"/>
  <c r="FC198" i="24"/>
  <c r="FE198" i="24" s="1"/>
  <c r="FF198" i="24" s="1"/>
  <c r="ER91" i="24"/>
  <c r="FC91" i="24"/>
  <c r="FE91" i="24" s="1"/>
  <c r="FF91" i="24" s="1"/>
  <c r="ER58" i="24"/>
  <c r="FC58" i="24"/>
  <c r="FE58" i="24" s="1"/>
  <c r="FF58" i="24" s="1"/>
  <c r="ER164" i="24"/>
  <c r="FC164" i="24"/>
  <c r="FE164" i="24" s="1"/>
  <c r="FF164" i="24" s="1"/>
  <c r="ER25" i="24"/>
  <c r="FC25" i="24"/>
  <c r="FE25" i="24" s="1"/>
  <c r="FF25" i="24" s="1"/>
  <c r="ER113" i="24"/>
  <c r="FC113" i="24"/>
  <c r="FE113" i="24" s="1"/>
  <c r="FF113" i="24" s="1"/>
  <c r="FC120" i="24"/>
  <c r="FE120" i="24" s="1"/>
  <c r="FF120" i="24" s="1"/>
  <c r="ER120" i="24"/>
  <c r="FC189" i="24"/>
  <c r="FE189" i="24" s="1"/>
  <c r="FF189" i="24" s="1"/>
  <c r="ER189" i="24"/>
  <c r="ER88" i="24"/>
  <c r="FC88" i="24"/>
  <c r="FE88" i="24" s="1"/>
  <c r="FF88" i="24" s="1"/>
  <c r="ER128" i="24"/>
  <c r="FC128" i="24"/>
  <c r="FE128" i="24" s="1"/>
  <c r="FF128" i="24" s="1"/>
  <c r="ER177" i="24"/>
  <c r="FC177" i="24"/>
  <c r="FE177" i="24" s="1"/>
  <c r="FF177" i="24" s="1"/>
  <c r="ER33" i="24"/>
  <c r="FC33" i="24"/>
  <c r="FE33" i="24" s="1"/>
  <c r="FF33" i="24" s="1"/>
  <c r="ER102" i="24"/>
  <c r="FC102" i="24"/>
  <c r="FE102" i="24" s="1"/>
  <c r="FF102" i="24" s="1"/>
  <c r="ER121" i="24"/>
  <c r="FC121" i="24"/>
  <c r="FE121" i="24" s="1"/>
  <c r="FF121" i="24" s="1"/>
  <c r="ER144" i="24"/>
  <c r="FC144" i="24"/>
  <c r="FE144" i="24" s="1"/>
  <c r="FF144" i="24" s="1"/>
  <c r="ER93" i="24"/>
  <c r="FC93" i="24"/>
  <c r="FE93" i="24" s="1"/>
  <c r="FF93" i="24" s="1"/>
  <c r="ER8" i="24"/>
  <c r="FC8" i="24"/>
  <c r="FE8" i="24" s="1"/>
  <c r="FF8" i="24" s="1"/>
  <c r="ER51" i="24"/>
  <c r="FC51" i="24"/>
  <c r="FE51" i="24" s="1"/>
  <c r="FF51" i="24" s="1"/>
  <c r="ER167" i="24"/>
  <c r="FC167" i="24"/>
  <c r="FE167" i="24" s="1"/>
  <c r="FF167" i="24" s="1"/>
  <c r="ER153" i="24"/>
  <c r="FC153" i="24"/>
  <c r="FE153" i="24" s="1"/>
  <c r="FF153" i="24" s="1"/>
  <c r="ER34" i="24"/>
  <c r="FC34" i="24"/>
  <c r="FE34" i="24" s="1"/>
  <c r="FF34" i="24" s="1"/>
  <c r="ER50" i="24"/>
  <c r="FC50" i="24"/>
  <c r="FE50" i="24" s="1"/>
  <c r="FF50" i="24" s="1"/>
  <c r="ER85" i="24"/>
  <c r="FC85" i="24"/>
  <c r="FE85" i="24" s="1"/>
  <c r="FF85" i="24" s="1"/>
  <c r="ER154" i="24"/>
  <c r="FC154" i="24"/>
  <c r="FE154" i="24" s="1"/>
  <c r="FF154" i="24" s="1"/>
  <c r="ER174" i="24"/>
  <c r="FC174" i="24"/>
  <c r="FE174" i="24" s="1"/>
  <c r="FF174" i="24" s="1"/>
  <c r="ER143" i="24"/>
  <c r="FC143" i="24"/>
  <c r="FE143" i="24" s="1"/>
  <c r="FF143" i="24" s="1"/>
  <c r="ER32" i="24"/>
  <c r="FC32" i="24"/>
  <c r="FE32" i="24" s="1"/>
  <c r="FF32" i="24" s="1"/>
  <c r="ER163" i="24"/>
  <c r="FC163" i="24"/>
  <c r="FE163" i="24" s="1"/>
  <c r="FF163" i="24" s="1"/>
  <c r="FC173" i="24"/>
  <c r="FE173" i="24" s="1"/>
  <c r="FF173" i="24" s="1"/>
  <c r="ER173" i="24"/>
  <c r="ER20" i="24"/>
  <c r="FC20" i="24"/>
  <c r="FE20" i="24" s="1"/>
  <c r="FF20" i="24" s="1"/>
  <c r="ER204" i="24"/>
  <c r="FC204" i="24"/>
  <c r="FE204" i="24" s="1"/>
  <c r="FF204" i="24" s="1"/>
  <c r="ER171" i="24"/>
  <c r="FC171" i="24"/>
  <c r="FE171" i="24" s="1"/>
  <c r="FF171" i="24" s="1"/>
  <c r="ER41" i="24"/>
  <c r="FC41" i="24"/>
  <c r="FE41" i="24" s="1"/>
  <c r="FF41" i="24" s="1"/>
  <c r="ER12" i="24"/>
  <c r="FC12" i="24"/>
  <c r="FE12" i="24" s="1"/>
  <c r="FF12" i="24" s="1"/>
  <c r="ER119" i="24"/>
  <c r="FC119" i="24"/>
  <c r="FE119" i="24" s="1"/>
  <c r="FF119" i="24" s="1"/>
  <c r="ER181" i="24"/>
  <c r="FC181" i="24"/>
  <c r="FE181" i="24" s="1"/>
  <c r="FF181" i="24" s="1"/>
  <c r="ER141" i="24"/>
  <c r="FC141" i="24"/>
  <c r="FE141" i="24" s="1"/>
  <c r="FF141" i="24" s="1"/>
  <c r="ER149" i="24"/>
  <c r="FC149" i="24"/>
  <c r="FE149" i="24" s="1"/>
  <c r="FF149" i="24" s="1"/>
  <c r="ER79" i="24"/>
  <c r="FC79" i="24"/>
  <c r="FE79" i="24" s="1"/>
  <c r="FF79" i="24" s="1"/>
  <c r="ER185" i="24"/>
  <c r="FC185" i="24"/>
  <c r="FE185" i="24" s="1"/>
  <c r="FF185" i="24" s="1"/>
  <c r="FC203" i="24"/>
  <c r="FE203" i="24" s="1"/>
  <c r="FF203" i="24" s="1"/>
  <c r="ER203" i="24"/>
  <c r="ER76" i="24"/>
  <c r="FC76" i="24"/>
  <c r="FE76" i="24" s="1"/>
  <c r="FF76" i="24" s="1"/>
  <c r="ER36" i="24"/>
  <c r="FC36" i="24"/>
  <c r="FE36" i="24" s="1"/>
  <c r="FF36" i="24" s="1"/>
  <c r="ER47" i="24"/>
  <c r="FC47" i="24"/>
  <c r="FE47" i="24" s="1"/>
  <c r="FF47" i="24" s="1"/>
  <c r="ER123" i="24"/>
  <c r="FC123" i="24"/>
  <c r="FE123" i="24" s="1"/>
  <c r="FF123" i="24" s="1"/>
  <c r="ER135" i="24"/>
  <c r="FC135" i="24"/>
  <c r="FE135" i="24" s="1"/>
  <c r="FF135" i="24" s="1"/>
  <c r="ER208" i="24"/>
  <c r="FC208" i="24"/>
  <c r="FE208" i="24" s="1"/>
  <c r="FF208" i="24" s="1"/>
  <c r="ER53" i="24"/>
  <c r="FC53" i="24"/>
  <c r="FE53" i="24" s="1"/>
  <c r="FF53" i="24" s="1"/>
  <c r="ER54" i="24"/>
  <c r="FC54" i="24"/>
  <c r="FE54" i="24" s="1"/>
  <c r="FF54" i="24" s="1"/>
  <c r="ER86" i="24"/>
  <c r="FC86" i="24"/>
  <c r="FE86" i="24" s="1"/>
  <c r="FF86" i="24" s="1"/>
  <c r="ER188" i="24"/>
  <c r="FC188" i="24"/>
  <c r="FE188" i="24" s="1"/>
  <c r="FF188" i="24" s="1"/>
  <c r="B199" i="2"/>
  <c r="C50" i="16" s="1"/>
  <c r="FJ287" i="24" l="1"/>
  <c r="FJ146" i="24"/>
  <c r="FJ112" i="24"/>
  <c r="FJ311" i="24"/>
  <c r="FJ174" i="24"/>
  <c r="FJ188" i="24"/>
  <c r="FJ175" i="24"/>
  <c r="FJ281" i="24"/>
  <c r="FJ256" i="24"/>
  <c r="FJ150" i="24"/>
  <c r="FJ118" i="24"/>
  <c r="FJ224" i="24"/>
  <c r="FJ274" i="24"/>
  <c r="FJ137" i="24"/>
  <c r="FJ156" i="24"/>
  <c r="FJ262" i="24"/>
  <c r="FJ269" i="24"/>
  <c r="FJ165" i="24"/>
  <c r="FJ271" i="24"/>
  <c r="FJ161" i="24"/>
  <c r="FJ151" i="24"/>
  <c r="FJ182" i="24"/>
  <c r="FJ288" i="24"/>
  <c r="FJ193" i="24"/>
  <c r="FJ202" i="24"/>
  <c r="FJ191" i="24"/>
  <c r="FJ200" i="24"/>
  <c r="FJ241" i="24"/>
  <c r="FJ139" i="24"/>
  <c r="FJ209" i="24"/>
  <c r="FJ135" i="24"/>
  <c r="FJ284" i="24"/>
  <c r="FJ178" i="24"/>
  <c r="FJ185" i="24"/>
  <c r="FJ268" i="24"/>
  <c r="FJ166" i="24"/>
  <c r="FJ162" i="24"/>
  <c r="FJ157" i="24"/>
  <c r="FJ285" i="24"/>
  <c r="CZ212" i="24"/>
  <c r="CS212" i="24"/>
  <c r="FD212" i="24" s="1"/>
  <c r="CN212" i="24"/>
  <c r="DA212" i="24" s="1"/>
  <c r="DT212" i="24"/>
  <c r="BO212" i="24"/>
  <c r="BR212" i="24" s="1"/>
  <c r="H212" i="24"/>
  <c r="AM212" i="24"/>
  <c r="FJ119" i="24"/>
  <c r="FJ203" i="24"/>
  <c r="FJ279" i="24"/>
  <c r="FJ173" i="24"/>
  <c r="FJ125" i="24"/>
  <c r="AT110" i="24"/>
  <c r="BA110" i="24" s="1"/>
  <c r="FJ179" i="24"/>
  <c r="FJ168" i="24"/>
  <c r="FJ181" i="24"/>
  <c r="FJ177" i="24"/>
  <c r="FJ167" i="24"/>
  <c r="FJ198" i="24"/>
  <c r="FJ210" i="24"/>
  <c r="B114" i="2"/>
  <c r="B118" i="2" s="1"/>
  <c r="E16" i="1" s="1"/>
  <c r="FJ207" i="24"/>
  <c r="FJ183" i="24"/>
  <c r="FJ206" i="24"/>
  <c r="FJ195" i="24"/>
  <c r="FJ208" i="24"/>
  <c r="AE216" i="24"/>
  <c r="AI216" i="24"/>
  <c r="X216" i="24"/>
  <c r="AA216" i="24" s="1"/>
  <c r="AB216" i="24" s="1"/>
  <c r="AC216" i="24" s="1"/>
  <c r="V216" i="24"/>
  <c r="W216" i="24"/>
  <c r="Q216" i="24"/>
  <c r="P216" i="24"/>
  <c r="AP216" i="24"/>
  <c r="FJ205" i="24"/>
  <c r="FJ204" i="24"/>
  <c r="AN110" i="24"/>
  <c r="CE110" i="24" s="1"/>
  <c r="AK110" i="24"/>
  <c r="FF180" i="24"/>
  <c r="FJ180" i="24"/>
  <c r="B265" i="2"/>
  <c r="D50" i="16" s="1"/>
  <c r="E46" i="1"/>
  <c r="A265" i="2"/>
  <c r="BH110" i="24" l="1"/>
  <c r="BI110" i="24"/>
  <c r="BL110" i="24" s="1"/>
  <c r="Y216" i="24"/>
  <c r="DC212" i="24"/>
  <c r="E57" i="1" s="1"/>
  <c r="DI212" i="24"/>
  <c r="DB212" i="24"/>
  <c r="DE212" i="24" s="1"/>
  <c r="DF212" i="24" s="1"/>
  <c r="DG212" i="24" s="1"/>
  <c r="DM212" i="24"/>
  <c r="AJ216" i="24"/>
  <c r="AF216" i="24"/>
  <c r="AG216" i="24"/>
  <c r="FI312" i="24"/>
  <c r="FI302" i="24"/>
  <c r="FI285" i="24"/>
  <c r="FI301" i="24"/>
  <c r="FI234" i="24"/>
  <c r="FI267" i="24"/>
  <c r="FI230" i="24"/>
  <c r="FI293" i="24"/>
  <c r="FI281" i="24"/>
  <c r="FI276" i="24"/>
  <c r="FI294" i="24"/>
  <c r="FI266" i="24"/>
  <c r="FI227" i="24"/>
  <c r="FI287" i="24"/>
  <c r="FI237" i="24"/>
  <c r="FI289" i="24"/>
  <c r="FI246" i="24"/>
  <c r="FI251" i="24"/>
  <c r="FI217" i="24"/>
  <c r="FI243" i="24"/>
  <c r="FI232" i="24"/>
  <c r="FI256" i="24"/>
  <c r="FI316" i="24"/>
  <c r="FI261" i="24"/>
  <c r="FI296" i="24"/>
  <c r="FI240" i="24"/>
  <c r="FI288" i="24"/>
  <c r="FI307" i="24"/>
  <c r="FI314" i="24"/>
  <c r="FI263" i="24"/>
  <c r="FI298" i="24"/>
  <c r="FI218" i="24"/>
  <c r="FI220" i="24"/>
  <c r="FI216" i="24"/>
  <c r="FI221" i="24"/>
  <c r="FI235" i="24"/>
  <c r="FI225" i="24"/>
  <c r="FI297" i="24"/>
  <c r="FI229" i="24"/>
  <c r="FI231" i="24"/>
  <c r="FI249" i="24"/>
  <c r="FI269" i="24"/>
  <c r="FI291" i="24"/>
  <c r="FI248" i="24"/>
  <c r="FI250" i="24"/>
  <c r="FI241" i="24"/>
  <c r="FI223" i="24"/>
  <c r="FI260" i="24"/>
  <c r="FI268" i="24"/>
  <c r="FI278" i="24"/>
  <c r="FI265" i="24"/>
  <c r="FI228" i="24"/>
  <c r="FI279" i="24"/>
  <c r="FI247" i="24"/>
  <c r="FI310" i="24"/>
  <c r="FI238" i="24"/>
  <c r="FI264" i="24"/>
  <c r="FI239" i="24"/>
  <c r="FI308" i="24"/>
  <c r="FI299" i="24"/>
  <c r="FI219" i="24"/>
  <c r="FI259" i="24"/>
  <c r="FI286" i="24"/>
  <c r="FI262" i="24"/>
  <c r="FI222" i="24"/>
  <c r="FI304" i="24"/>
  <c r="FI236" i="24"/>
  <c r="FI258" i="24"/>
  <c r="FI252" i="24"/>
  <c r="FI242" i="24"/>
  <c r="FI255" i="24"/>
  <c r="FI309" i="24"/>
  <c r="FI272" i="24"/>
  <c r="FI277" i="24"/>
  <c r="FI282" i="24"/>
  <c r="FI283" i="24"/>
  <c r="FI271" i="24"/>
  <c r="FI226" i="24"/>
  <c r="FI245" i="24"/>
  <c r="FI311" i="24"/>
  <c r="FI224" i="24"/>
  <c r="FI244" i="24"/>
  <c r="FI295" i="24"/>
  <c r="FI292" i="24"/>
  <c r="FI313" i="24"/>
  <c r="FI274" i="24"/>
  <c r="FI233" i="24"/>
  <c r="FI253" i="24"/>
  <c r="FI280" i="24"/>
  <c r="FI303" i="24"/>
  <c r="FI270" i="24"/>
  <c r="FI300" i="24"/>
  <c r="FI284" i="24"/>
  <c r="FI254" i="24"/>
  <c r="FI290" i="24"/>
  <c r="FI315" i="24"/>
  <c r="FI257" i="24"/>
  <c r="FI275" i="24"/>
  <c r="FI306" i="24"/>
  <c r="FI305" i="24"/>
  <c r="FI273" i="24"/>
  <c r="AS110" i="24"/>
  <c r="BJ110" i="24"/>
  <c r="AQ110" i="24"/>
  <c r="BU110" i="24"/>
  <c r="AX110" i="24"/>
  <c r="BW110" i="24"/>
  <c r="DN212" i="24" l="1"/>
  <c r="DX212" i="24" s="1"/>
  <c r="DK212" i="24"/>
  <c r="DJ212" i="24"/>
  <c r="AT216" i="24"/>
  <c r="BA216" i="24" s="1"/>
  <c r="AN216" i="24"/>
  <c r="CE216" i="24" s="1"/>
  <c r="AK216" i="24"/>
  <c r="AU110" i="24"/>
  <c r="BB110" i="24" s="1"/>
  <c r="AW110" i="24"/>
  <c r="BW216" i="24" l="1"/>
  <c r="BI216" i="24"/>
  <c r="BL216" i="24" s="1"/>
  <c r="DO212" i="24"/>
  <c r="DR212" i="24"/>
  <c r="EE212" i="24"/>
  <c r="BH216" i="24"/>
  <c r="BU216" i="24"/>
  <c r="BJ216" i="24"/>
  <c r="AX216" i="24"/>
  <c r="AS216" i="24"/>
  <c r="AQ216" i="24"/>
  <c r="AY110" i="24"/>
  <c r="AZ110" i="24" s="1"/>
  <c r="BD110" i="24"/>
  <c r="BE110" i="24"/>
  <c r="BT110" i="24" s="1"/>
  <c r="DW212" i="24" l="1"/>
  <c r="EM212" i="24"/>
  <c r="EP212" i="24" s="1"/>
  <c r="EN212" i="24"/>
  <c r="FI212" i="24"/>
  <c r="DU212" i="24"/>
  <c r="EB212" i="24"/>
  <c r="EL212" i="24"/>
  <c r="EY212" i="24"/>
  <c r="FA212" i="24"/>
  <c r="AU216" i="24"/>
  <c r="BB216" i="24" s="1"/>
  <c r="AW216" i="24"/>
  <c r="BS110" i="24"/>
  <c r="BX110" i="24" s="1"/>
  <c r="BG110" i="24"/>
  <c r="DY212" i="24" l="1"/>
  <c r="EF212" i="24" s="1"/>
  <c r="EA212" i="24"/>
  <c r="L4" i="29"/>
  <c r="W3" i="29" s="1"/>
  <c r="BM110" i="24"/>
  <c r="BN110" i="24" s="1"/>
  <c r="BE216" i="24"/>
  <c r="BT216" i="24" s="1"/>
  <c r="BD216" i="24"/>
  <c r="AY216" i="24"/>
  <c r="AZ216" i="24" s="1"/>
  <c r="BY110" i="24"/>
  <c r="CA110" i="24" s="1"/>
  <c r="CB110" i="24" l="1"/>
  <c r="CF110" i="24"/>
  <c r="EH212" i="24"/>
  <c r="EC212" i="24"/>
  <c r="ED212" i="24" s="1"/>
  <c r="EI212" i="24"/>
  <c r="EX212" i="24" s="1"/>
  <c r="FL212" i="24"/>
  <c r="CG212" i="24"/>
  <c r="I212" i="24" s="1"/>
  <c r="B41" i="29"/>
  <c r="D41" i="29" s="1"/>
  <c r="BG216" i="24"/>
  <c r="BM216" i="24" s="1"/>
  <c r="BS216" i="24"/>
  <c r="BX216" i="24" s="1"/>
  <c r="I388" i="29"/>
  <c r="J507" i="29"/>
  <c r="I318" i="29"/>
  <c r="J157" i="29"/>
  <c r="J196" i="29"/>
  <c r="I481" i="29"/>
  <c r="I511" i="29"/>
  <c r="I152" i="29"/>
  <c r="I345" i="29"/>
  <c r="I495" i="29"/>
  <c r="I129" i="29"/>
  <c r="I435" i="29"/>
  <c r="I469" i="29"/>
  <c r="I133" i="29"/>
  <c r="J550" i="29"/>
  <c r="I611" i="29"/>
  <c r="J306" i="29"/>
  <c r="J464" i="29"/>
  <c r="J482" i="29"/>
  <c r="I560" i="29"/>
  <c r="J541" i="29"/>
  <c r="I217" i="29"/>
  <c r="J25" i="29"/>
  <c r="J564" i="29"/>
  <c r="J123" i="29"/>
  <c r="I238" i="29"/>
  <c r="I321" i="29"/>
  <c r="I550" i="29"/>
  <c r="I104" i="29"/>
  <c r="J524" i="29"/>
  <c r="I527" i="29"/>
  <c r="I513" i="29"/>
  <c r="I276" i="29"/>
  <c r="J86" i="29"/>
  <c r="I632" i="29"/>
  <c r="J609" i="29"/>
  <c r="I360" i="29"/>
  <c r="I69" i="29"/>
  <c r="J437" i="29"/>
  <c r="I361" i="29"/>
  <c r="I164" i="29"/>
  <c r="J254" i="29"/>
  <c r="I300" i="29"/>
  <c r="I194" i="29"/>
  <c r="I42" i="29"/>
  <c r="J601" i="29"/>
  <c r="I428" i="29"/>
  <c r="J506" i="29"/>
  <c r="J38" i="29"/>
  <c r="J375" i="29"/>
  <c r="J430" i="29"/>
  <c r="I517" i="29"/>
  <c r="J250" i="29"/>
  <c r="I38" i="29"/>
  <c r="J372" i="29"/>
  <c r="J516" i="29"/>
  <c r="J314" i="29"/>
  <c r="I431" i="29"/>
  <c r="J521" i="29"/>
  <c r="I608" i="29"/>
  <c r="I461" i="29"/>
  <c r="I105" i="29"/>
  <c r="I475" i="29"/>
  <c r="J101" i="29"/>
  <c r="J361" i="29"/>
  <c r="J73" i="29"/>
  <c r="I233" i="29"/>
  <c r="I602" i="29"/>
  <c r="I604" i="29"/>
  <c r="J279" i="29"/>
  <c r="I525" i="29"/>
  <c r="I569" i="29"/>
  <c r="I319" i="29"/>
  <c r="I75" i="29"/>
  <c r="J119" i="29"/>
  <c r="J152" i="29"/>
  <c r="J590" i="29"/>
  <c r="I64" i="29"/>
  <c r="J585" i="29"/>
  <c r="J455" i="29"/>
  <c r="I440" i="29"/>
  <c r="J83" i="29"/>
  <c r="I239" i="29"/>
  <c r="J339" i="29"/>
  <c r="J300" i="29"/>
  <c r="I599" i="29"/>
  <c r="I379" i="29"/>
  <c r="I579" i="29"/>
  <c r="I524" i="29"/>
  <c r="I561" i="29"/>
  <c r="I267" i="29"/>
  <c r="I582" i="29"/>
  <c r="I314" i="29"/>
  <c r="J287" i="29"/>
  <c r="J393" i="29"/>
  <c r="J131" i="29"/>
  <c r="I220" i="29"/>
  <c r="I107" i="29"/>
  <c r="I137" i="29"/>
  <c r="J124" i="29"/>
  <c r="J535" i="29"/>
  <c r="I474" i="29"/>
  <c r="J344" i="29"/>
  <c r="I106" i="29"/>
  <c r="I412" i="29"/>
  <c r="J510" i="29"/>
  <c r="J331" i="29"/>
  <c r="J45" i="29"/>
  <c r="I203" i="29"/>
  <c r="J198" i="29"/>
  <c r="J569" i="29"/>
  <c r="I92" i="29"/>
  <c r="J177" i="29"/>
  <c r="J527" i="29"/>
  <c r="I576" i="29"/>
  <c r="J309" i="29"/>
  <c r="I515" i="29"/>
  <c r="I349" i="29"/>
  <c r="J357" i="29"/>
  <c r="J68" i="29"/>
  <c r="J226" i="29"/>
  <c r="I274" i="29"/>
  <c r="I154" i="29"/>
  <c r="J409" i="29"/>
  <c r="I355" i="29"/>
  <c r="J589" i="29"/>
  <c r="I393" i="29"/>
  <c r="J42" i="29"/>
  <c r="J360" i="29"/>
  <c r="I391" i="29"/>
  <c r="J401" i="29"/>
  <c r="I554" i="29"/>
  <c r="I464" i="29"/>
  <c r="J350" i="29"/>
  <c r="J284" i="29"/>
  <c r="I55" i="29"/>
  <c r="J330" i="29"/>
  <c r="I390" i="29"/>
  <c r="J548" i="29"/>
  <c r="I398" i="29"/>
  <c r="I135" i="29"/>
  <c r="J70" i="29"/>
  <c r="I472" i="29"/>
  <c r="I505" i="29"/>
  <c r="J171" i="29"/>
  <c r="J325" i="29"/>
  <c r="I504" i="29"/>
  <c r="I357" i="29"/>
  <c r="I130" i="29"/>
  <c r="I273" i="29"/>
  <c r="J607" i="29"/>
  <c r="I593" i="29"/>
  <c r="I97" i="29"/>
  <c r="J194" i="29"/>
  <c r="J195" i="29"/>
  <c r="J90" i="29"/>
  <c r="I91" i="29"/>
  <c r="I483" i="29"/>
  <c r="J588" i="29"/>
  <c r="J435" i="29"/>
  <c r="J130" i="29"/>
  <c r="I271" i="29"/>
  <c r="J258" i="29"/>
  <c r="I375" i="29"/>
  <c r="I538" i="29"/>
  <c r="I364" i="29"/>
  <c r="J263" i="29"/>
  <c r="I383" i="29"/>
  <c r="I502" i="29"/>
  <c r="J320" i="29"/>
  <c r="J425" i="29"/>
  <c r="I493" i="29"/>
  <c r="I555" i="29"/>
  <c r="I497" i="29"/>
  <c r="J52" i="29"/>
  <c r="J277" i="29"/>
  <c r="J442" i="29"/>
  <c r="J504" i="29"/>
  <c r="I329" i="29"/>
  <c r="I77" i="29"/>
  <c r="J602" i="29"/>
  <c r="I313" i="29"/>
  <c r="I114" i="29"/>
  <c r="I304" i="29"/>
  <c r="J253" i="29"/>
  <c r="J576" i="29"/>
  <c r="J346" i="29"/>
  <c r="J519" i="29"/>
  <c r="J203" i="29"/>
  <c r="I119" i="29"/>
  <c r="J210" i="29"/>
  <c r="I242" i="29"/>
  <c r="I596" i="29"/>
  <c r="J359" i="29"/>
  <c r="I162" i="29"/>
  <c r="I261" i="29"/>
  <c r="I459" i="29"/>
  <c r="I585" i="29"/>
  <c r="I406" i="29"/>
  <c r="J493" i="29"/>
  <c r="I577" i="29"/>
  <c r="J65" i="29"/>
  <c r="J160" i="29"/>
  <c r="J72" i="29"/>
  <c r="I277" i="29"/>
  <c r="J252" i="29"/>
  <c r="I334" i="29"/>
  <c r="I373" i="29"/>
  <c r="I374" i="29"/>
  <c r="I592" i="29"/>
  <c r="J322" i="29"/>
  <c r="J575" i="29"/>
  <c r="J231" i="29"/>
  <c r="J221" i="29"/>
  <c r="I150" i="29"/>
  <c r="I327" i="29"/>
  <c r="I446" i="29"/>
  <c r="J61" i="29"/>
  <c r="I117" i="29"/>
  <c r="J102" i="29"/>
  <c r="I370" i="29"/>
  <c r="I422" i="29"/>
  <c r="I199" i="29"/>
  <c r="I284" i="29"/>
  <c r="J354" i="29"/>
  <c r="I49" i="29"/>
  <c r="I102" i="29"/>
  <c r="J161" i="29"/>
  <c r="J562" i="29"/>
  <c r="J563" i="29"/>
  <c r="J79" i="29"/>
  <c r="J381" i="29"/>
  <c r="J474" i="29"/>
  <c r="I248" i="29"/>
  <c r="I32" i="29"/>
  <c r="J338" i="29"/>
  <c r="J530" i="29"/>
  <c r="I74" i="29"/>
  <c r="J53" i="29"/>
  <c r="I542" i="29"/>
  <c r="J584" i="29"/>
  <c r="I303" i="29"/>
  <c r="I587" i="29"/>
  <c r="J297" i="29"/>
  <c r="I240" i="29"/>
  <c r="J176" i="29"/>
  <c r="J158" i="29"/>
  <c r="J247" i="29"/>
  <c r="J289" i="29"/>
  <c r="I414" i="29"/>
  <c r="J587" i="29"/>
  <c r="J491" i="29"/>
  <c r="J579" i="29"/>
  <c r="I403" i="29"/>
  <c r="J366" i="29"/>
  <c r="J486" i="29"/>
  <c r="I170" i="29"/>
  <c r="I432" i="29"/>
  <c r="I603" i="29"/>
  <c r="I58" i="29"/>
  <c r="J168" i="29"/>
  <c r="I479" i="29"/>
  <c r="I454" i="29"/>
  <c r="I567" i="29"/>
  <c r="J423" i="29"/>
  <c r="I378" i="29"/>
  <c r="J389" i="29"/>
  <c r="I24" i="29"/>
  <c r="J369" i="29"/>
  <c r="I168" i="29"/>
  <c r="I213" i="29"/>
  <c r="I558" i="29"/>
  <c r="I251" i="29"/>
  <c r="J432" i="29"/>
  <c r="J311" i="29"/>
  <c r="I487" i="29"/>
  <c r="I138" i="29"/>
  <c r="J345" i="29"/>
  <c r="J262" i="29"/>
  <c r="J106" i="29"/>
  <c r="I266" i="29"/>
  <c r="I306" i="29"/>
  <c r="I54" i="29"/>
  <c r="E54" i="1"/>
  <c r="I336" i="29"/>
  <c r="I18" i="29"/>
  <c r="I275" i="29"/>
  <c r="J379" i="29"/>
  <c r="J449" i="29"/>
  <c r="J32" i="29"/>
  <c r="J417" i="29"/>
  <c r="I37" i="29"/>
  <c r="I282" i="29"/>
  <c r="J334" i="29"/>
  <c r="J60" i="29"/>
  <c r="J374" i="29"/>
  <c r="J436" i="29"/>
  <c r="I320" i="29"/>
  <c r="I407" i="29"/>
  <c r="J385" i="29"/>
  <c r="I441" i="29"/>
  <c r="I589" i="29"/>
  <c r="I547" i="29"/>
  <c r="I389" i="29"/>
  <c r="I293" i="29"/>
  <c r="I404" i="29"/>
  <c r="I365" i="29"/>
  <c r="J467" i="29"/>
  <c r="I581" i="29"/>
  <c r="I292" i="29"/>
  <c r="J164" i="29"/>
  <c r="I160" i="29"/>
  <c r="I521" i="29"/>
  <c r="I79" i="29"/>
  <c r="I399" i="29"/>
  <c r="J336" i="29"/>
  <c r="I546" i="29"/>
  <c r="J243" i="29"/>
  <c r="I229" i="29"/>
  <c r="I280" i="29"/>
  <c r="J348" i="29"/>
  <c r="J597" i="29"/>
  <c r="J139" i="29"/>
  <c r="J492" i="29"/>
  <c r="I132" i="29"/>
  <c r="I559" i="29"/>
  <c r="I433" i="29"/>
  <c r="J233" i="29"/>
  <c r="J407" i="29"/>
  <c r="J571" i="29"/>
  <c r="J501" i="29"/>
  <c r="J44" i="29"/>
  <c r="I312" i="29"/>
  <c r="J460" i="29"/>
  <c r="I331" i="29"/>
  <c r="J111" i="29"/>
  <c r="J328" i="29"/>
  <c r="J377" i="29"/>
  <c r="J135" i="29"/>
  <c r="I333" i="29"/>
  <c r="I457" i="29"/>
  <c r="I514" i="29"/>
  <c r="I605" i="29"/>
  <c r="J595" i="29"/>
  <c r="J145" i="29"/>
  <c r="J421" i="29"/>
  <c r="J605" i="29"/>
  <c r="J303" i="29"/>
  <c r="I439" i="29"/>
  <c r="I573" i="29"/>
  <c r="I144" i="29"/>
  <c r="I197" i="29"/>
  <c r="I241" i="29"/>
  <c r="I510" i="29"/>
  <c r="J556" i="29"/>
  <c r="I536" i="29"/>
  <c r="I445" i="29"/>
  <c r="I609" i="29"/>
  <c r="I353" i="29"/>
  <c r="I245" i="29"/>
  <c r="I122" i="29"/>
  <c r="I359" i="29"/>
  <c r="I316" i="29"/>
  <c r="I13" i="29"/>
  <c r="J275" i="29"/>
  <c r="I78" i="29"/>
  <c r="I473" i="29"/>
  <c r="I20" i="29"/>
  <c r="J20" i="29"/>
  <c r="I448" i="29"/>
  <c r="J539" i="29"/>
  <c r="I366" i="29"/>
  <c r="J450" i="29"/>
  <c r="I444" i="29"/>
  <c r="I15" i="29"/>
  <c r="J384" i="29"/>
  <c r="I568" i="29"/>
  <c r="J537" i="29"/>
  <c r="I143" i="29"/>
  <c r="I410" i="29"/>
  <c r="I408" i="29"/>
  <c r="J30" i="29"/>
  <c r="J367" i="29"/>
  <c r="J351" i="29"/>
  <c r="J302" i="29"/>
  <c r="J472" i="29"/>
  <c r="I337" i="29"/>
  <c r="J480" i="29"/>
  <c r="I392" i="29"/>
  <c r="J91" i="29"/>
  <c r="J136" i="29"/>
  <c r="J445" i="29"/>
  <c r="J465" i="29"/>
  <c r="J536" i="29"/>
  <c r="I315" i="29"/>
  <c r="I405" i="29"/>
  <c r="I61" i="29"/>
  <c r="J117" i="29"/>
  <c r="I201" i="29"/>
  <c r="I612" i="29"/>
  <c r="G622" i="29"/>
  <c r="J318" i="29"/>
  <c r="I421" i="29"/>
  <c r="I484" i="29"/>
  <c r="J390" i="29"/>
  <c r="J433" i="29"/>
  <c r="I232" i="29"/>
  <c r="J559" i="29"/>
  <c r="I580" i="29"/>
  <c r="I299" i="29"/>
  <c r="J608" i="29"/>
  <c r="I317" i="29"/>
  <c r="J326" i="29"/>
  <c r="I413" i="29"/>
  <c r="I286" i="29"/>
  <c r="I174" i="29"/>
  <c r="J185" i="29"/>
  <c r="I171" i="29"/>
  <c r="J553" i="29"/>
  <c r="J380" i="29"/>
  <c r="J466" i="29"/>
  <c r="I185" i="29"/>
  <c r="I372" i="29"/>
  <c r="J84" i="29"/>
  <c r="I437" i="29"/>
  <c r="J606" i="29"/>
  <c r="I184" i="29"/>
  <c r="I350" i="29"/>
  <c r="J458" i="29"/>
  <c r="J19" i="29"/>
  <c r="J85" i="29"/>
  <c r="J228" i="29"/>
  <c r="J522" i="29"/>
  <c r="J503" i="29"/>
  <c r="J175" i="29"/>
  <c r="I397" i="29"/>
  <c r="J500" i="29"/>
  <c r="J146" i="29"/>
  <c r="J35" i="29"/>
  <c r="I134" i="29"/>
  <c r="I578" i="29"/>
  <c r="I551" i="29"/>
  <c r="I116" i="29"/>
  <c r="J517" i="29"/>
  <c r="J496" i="29"/>
  <c r="I65" i="29"/>
  <c r="I209" i="29"/>
  <c r="I145" i="29"/>
  <c r="J129" i="29"/>
  <c r="J16" i="29"/>
  <c r="I33" i="29"/>
  <c r="J128" i="29"/>
  <c r="J446" i="29"/>
  <c r="I436" i="29"/>
  <c r="J534" i="29"/>
  <c r="I305" i="29"/>
  <c r="I482" i="29"/>
  <c r="I76" i="29"/>
  <c r="J133" i="29"/>
  <c r="J321" i="29"/>
  <c r="I395" i="29"/>
  <c r="I236" i="29"/>
  <c r="J402" i="29"/>
  <c r="J77" i="29"/>
  <c r="J163" i="29"/>
  <c r="J426" i="29"/>
  <c r="I471" i="29"/>
  <c r="I67" i="29"/>
  <c r="I386" i="29"/>
  <c r="I425" i="29"/>
  <c r="I476" i="29"/>
  <c r="I25" i="29"/>
  <c r="J80" i="29"/>
  <c r="I491" i="29"/>
  <c r="J438" i="29"/>
  <c r="I56" i="29"/>
  <c r="J89" i="29"/>
  <c r="I499" i="29"/>
  <c r="I565" i="29"/>
  <c r="I109" i="29"/>
  <c r="I453" i="29"/>
  <c r="J444" i="29"/>
  <c r="I532" i="29"/>
  <c r="J54" i="29"/>
  <c r="J304" i="29"/>
  <c r="J580" i="29"/>
  <c r="I540" i="29"/>
  <c r="I206" i="29"/>
  <c r="J469" i="29"/>
  <c r="I583" i="29"/>
  <c r="J358" i="29"/>
  <c r="I158" i="29"/>
  <c r="J192" i="29"/>
  <c r="I252" i="29"/>
  <c r="I151" i="29"/>
  <c r="I595" i="29"/>
  <c r="I443" i="29"/>
  <c r="I562" i="29"/>
  <c r="J422" i="29"/>
  <c r="J179" i="29"/>
  <c r="J285" i="29"/>
  <c r="I344" i="29"/>
  <c r="I411" i="29"/>
  <c r="J40" i="29"/>
  <c r="I376" i="29"/>
  <c r="I255" i="29"/>
  <c r="J199" i="29"/>
  <c r="I215" i="29"/>
  <c r="I307" i="29"/>
  <c r="J411" i="29"/>
  <c r="I523" i="29"/>
  <c r="I72" i="29"/>
  <c r="I85" i="29"/>
  <c r="I387" i="29"/>
  <c r="J412" i="29"/>
  <c r="J137" i="29"/>
  <c r="J74" i="29"/>
  <c r="I533" i="29"/>
  <c r="J484" i="29"/>
  <c r="J546" i="29"/>
  <c r="J36" i="29"/>
  <c r="I465" i="29"/>
  <c r="J497" i="29"/>
  <c r="J544" i="29"/>
  <c r="J298" i="29"/>
  <c r="I156" i="29"/>
  <c r="I51" i="29"/>
  <c r="I552" i="29"/>
  <c r="J249" i="29"/>
  <c r="I458" i="29"/>
  <c r="I548" i="29"/>
  <c r="J386" i="29"/>
  <c r="I358" i="29"/>
  <c r="J272" i="29"/>
  <c r="I294" i="29"/>
  <c r="J28" i="29"/>
  <c r="I382" i="29"/>
  <c r="J591" i="29"/>
  <c r="I189" i="29"/>
  <c r="I48" i="29"/>
  <c r="J582" i="29"/>
  <c r="I343" i="29"/>
  <c r="J327" i="29"/>
  <c r="I534" i="29"/>
  <c r="J578" i="29"/>
  <c r="J343" i="29"/>
  <c r="J125" i="29"/>
  <c r="I169" i="29"/>
  <c r="J27" i="29"/>
  <c r="I342" i="29"/>
  <c r="I485" i="29"/>
  <c r="J463" i="29"/>
  <c r="J462" i="29"/>
  <c r="I478" i="29"/>
  <c r="I178" i="29"/>
  <c r="I400" i="29"/>
  <c r="J349" i="29"/>
  <c r="I427" i="29"/>
  <c r="J232" i="29"/>
  <c r="J542" i="29"/>
  <c r="J481" i="29"/>
  <c r="J489" i="29"/>
  <c r="I351" i="29"/>
  <c r="J64" i="29"/>
  <c r="J363" i="29"/>
  <c r="I52" i="29"/>
  <c r="I244" i="29"/>
  <c r="I442" i="29"/>
  <c r="J394" i="29"/>
  <c r="I460" i="29"/>
  <c r="J568" i="29"/>
  <c r="I600" i="29"/>
  <c r="J230" i="29"/>
  <c r="J305" i="29"/>
  <c r="J404" i="29"/>
  <c r="I352" i="29"/>
  <c r="J281" i="29"/>
  <c r="I62" i="29"/>
  <c r="J554" i="29"/>
  <c r="I623" i="29"/>
  <c r="J397" i="29"/>
  <c r="J520" i="29"/>
  <c r="J362" i="29"/>
  <c r="I19" i="29"/>
  <c r="J41" i="29"/>
  <c r="I191" i="29"/>
  <c r="I208" i="29"/>
  <c r="I449" i="29"/>
  <c r="I46" i="29"/>
  <c r="I234" i="29"/>
  <c r="I123" i="29"/>
  <c r="J167" i="29"/>
  <c r="J103" i="29"/>
  <c r="J212" i="29"/>
  <c r="I173" i="29"/>
  <c r="J26" i="29"/>
  <c r="J188" i="29"/>
  <c r="I332" i="29"/>
  <c r="J270" i="29"/>
  <c r="I57" i="29"/>
  <c r="J213" i="29"/>
  <c r="I17" i="29"/>
  <c r="J209" i="29"/>
  <c r="I41" i="29"/>
  <c r="J291" i="29"/>
  <c r="I371" i="29"/>
  <c r="I503" i="29"/>
  <c r="I509" i="29"/>
  <c r="J315" i="29"/>
  <c r="I363" i="29"/>
  <c r="J88" i="29"/>
  <c r="J126" i="29"/>
  <c r="I80" i="29"/>
  <c r="I356" i="29"/>
  <c r="J97" i="29"/>
  <c r="J109" i="29"/>
  <c r="I526" i="29"/>
  <c r="I501" i="29"/>
  <c r="J256" i="29"/>
  <c r="I205" i="29"/>
  <c r="I47" i="29"/>
  <c r="J528" i="29"/>
  <c r="J335" i="29"/>
  <c r="J47" i="29"/>
  <c r="J29" i="29"/>
  <c r="J242" i="29"/>
  <c r="I246" i="29"/>
  <c r="J549" i="29"/>
  <c r="I225" i="29"/>
  <c r="J278" i="29"/>
  <c r="I35" i="29"/>
  <c r="J169" i="29"/>
  <c r="J205" i="29"/>
  <c r="J222" i="29"/>
  <c r="I588" i="29"/>
  <c r="J365" i="29"/>
  <c r="J182" i="29"/>
  <c r="I396" i="29"/>
  <c r="J392" i="29"/>
  <c r="I530" i="29"/>
  <c r="I228" i="29"/>
  <c r="J416" i="29"/>
  <c r="J329" i="29"/>
  <c r="J547" i="29"/>
  <c r="I279" i="29"/>
  <c r="J116" i="29"/>
  <c r="I179" i="29"/>
  <c r="J95" i="29"/>
  <c r="J98" i="29"/>
  <c r="J93" i="29"/>
  <c r="I237" i="29"/>
  <c r="J67" i="29"/>
  <c r="J217" i="29"/>
  <c r="J76" i="29"/>
  <c r="I60" i="29"/>
  <c r="I16" i="29"/>
  <c r="J457" i="29"/>
  <c r="J418" i="29"/>
  <c r="I30" i="29"/>
  <c r="I153" i="29"/>
  <c r="I149" i="29"/>
  <c r="I101" i="29"/>
  <c r="I572" i="29"/>
  <c r="I470" i="29"/>
  <c r="I26" i="29"/>
  <c r="J154" i="29"/>
  <c r="J356" i="29"/>
  <c r="J81" i="29"/>
  <c r="I338" i="29"/>
  <c r="I256" i="29"/>
  <c r="J251" i="29"/>
  <c r="J475" i="29"/>
  <c r="I218" i="29"/>
  <c r="J479" i="29"/>
  <c r="J403" i="29"/>
  <c r="I126" i="29"/>
  <c r="J276" i="29"/>
  <c r="J264" i="29"/>
  <c r="I381" i="29"/>
  <c r="I268" i="29"/>
  <c r="I254" i="29"/>
  <c r="I348" i="29"/>
  <c r="I624" i="29"/>
  <c r="I166" i="29"/>
  <c r="J112" i="29"/>
  <c r="J245" i="29"/>
  <c r="J560" i="29"/>
  <c r="J323" i="29"/>
  <c r="I247" i="29"/>
  <c r="I98" i="29"/>
  <c r="I270" i="29"/>
  <c r="J593" i="29"/>
  <c r="I295" i="29"/>
  <c r="J147" i="29"/>
  <c r="I207" i="29"/>
  <c r="J428" i="29"/>
  <c r="J420" i="29"/>
  <c r="I597" i="29"/>
  <c r="I146" i="29"/>
  <c r="I447" i="29"/>
  <c r="I88" i="29"/>
  <c r="J200" i="29"/>
  <c r="J260" i="29"/>
  <c r="I31" i="29"/>
  <c r="J573" i="29"/>
  <c r="J50" i="29"/>
  <c r="J513" i="29"/>
  <c r="I161" i="29"/>
  <c r="J237" i="29"/>
  <c r="J355" i="29"/>
  <c r="J483" i="29"/>
  <c r="J148" i="29"/>
  <c r="I219" i="29"/>
  <c r="I257" i="29"/>
  <c r="J92" i="29"/>
  <c r="I553" i="29"/>
  <c r="J166" i="29"/>
  <c r="I297" i="29"/>
  <c r="I269" i="29"/>
  <c r="J219" i="29"/>
  <c r="I628" i="29"/>
  <c r="I328" i="29"/>
  <c r="I456" i="29"/>
  <c r="J257" i="29"/>
  <c r="J69" i="29"/>
  <c r="I455" i="29"/>
  <c r="I182" i="29"/>
  <c r="I71" i="29"/>
  <c r="J312" i="29"/>
  <c r="I486" i="29"/>
  <c r="I607" i="29"/>
  <c r="I380" i="29"/>
  <c r="J594" i="29"/>
  <c r="I462" i="29"/>
  <c r="J307" i="29"/>
  <c r="J488" i="29"/>
  <c r="J505" i="29"/>
  <c r="I498" i="29"/>
  <c r="I265" i="29"/>
  <c r="J448" i="29"/>
  <c r="J561" i="29"/>
  <c r="J427" i="29"/>
  <c r="I211" i="29"/>
  <c r="J603" i="29"/>
  <c r="I556" i="29"/>
  <c r="J261" i="29"/>
  <c r="I296" i="29"/>
  <c r="J509" i="29"/>
  <c r="J197" i="29"/>
  <c r="J159" i="29"/>
  <c r="J162" i="29"/>
  <c r="J255" i="29"/>
  <c r="I346" i="29"/>
  <c r="J273" i="29"/>
  <c r="I28" i="29"/>
  <c r="I262" i="29"/>
  <c r="J512" i="29"/>
  <c r="I167" i="29"/>
  <c r="I204" i="29"/>
  <c r="J225" i="29"/>
  <c r="I289" i="29"/>
  <c r="I163" i="29"/>
  <c r="J57" i="29"/>
  <c r="I235" i="29"/>
  <c r="J508" i="29"/>
  <c r="J39" i="29"/>
  <c r="J405" i="29"/>
  <c r="I128" i="29"/>
  <c r="J337" i="29"/>
  <c r="J51" i="29"/>
  <c r="J18" i="29"/>
  <c r="J268" i="29"/>
  <c r="I141" i="29"/>
  <c r="I93" i="29"/>
  <c r="J499" i="29"/>
  <c r="J211" i="29"/>
  <c r="J141" i="29"/>
  <c r="J583" i="29"/>
  <c r="J470" i="29"/>
  <c r="J529" i="29"/>
  <c r="J58" i="29"/>
  <c r="I230" i="29"/>
  <c r="J319" i="29"/>
  <c r="J113" i="29"/>
  <c r="I157" i="29"/>
  <c r="J347" i="29"/>
  <c r="I82" i="29"/>
  <c r="I212" i="29"/>
  <c r="I200" i="29"/>
  <c r="I311" i="29"/>
  <c r="J105" i="29"/>
  <c r="I221" i="29"/>
  <c r="J453" i="29"/>
  <c r="J478" i="29"/>
  <c r="J43" i="29"/>
  <c r="J94" i="29"/>
  <c r="J485" i="29"/>
  <c r="J596" i="29"/>
  <c r="J138" i="29"/>
  <c r="I142" i="29"/>
  <c r="I298" i="29"/>
  <c r="I216" i="29"/>
  <c r="J600" i="29"/>
  <c r="J628" i="29"/>
  <c r="J240" i="29"/>
  <c r="J316" i="29"/>
  <c r="J540" i="29"/>
  <c r="I606" i="29"/>
  <c r="J395" i="29"/>
  <c r="J216" i="29"/>
  <c r="J459" i="29"/>
  <c r="J391" i="29"/>
  <c r="I259" i="29"/>
  <c r="J543" i="29"/>
  <c r="I196" i="29"/>
  <c r="I430" i="29"/>
  <c r="J244" i="29"/>
  <c r="I531" i="29"/>
  <c r="J290" i="29"/>
  <c r="I544" i="29"/>
  <c r="J75" i="29"/>
  <c r="J295" i="29"/>
  <c r="J523" i="29"/>
  <c r="I584" i="29"/>
  <c r="J241" i="29"/>
  <c r="I263" i="29"/>
  <c r="I369" i="29"/>
  <c r="I258" i="29"/>
  <c r="J364" i="29"/>
  <c r="J186" i="29"/>
  <c r="J37" i="29"/>
  <c r="J238" i="29"/>
  <c r="J239" i="29"/>
  <c r="I103" i="29"/>
  <c r="I155" i="29"/>
  <c r="I420" i="29"/>
  <c r="I339" i="29"/>
  <c r="I626" i="29"/>
  <c r="J15" i="29"/>
  <c r="J34" i="29"/>
  <c r="I264" i="29"/>
  <c r="I535" i="29"/>
  <c r="I118" i="29"/>
  <c r="J441" i="29"/>
  <c r="I610" i="29"/>
  <c r="I415" i="29"/>
  <c r="J190" i="29"/>
  <c r="J398" i="29"/>
  <c r="J623" i="29"/>
  <c r="J502" i="29"/>
  <c r="I494" i="29"/>
  <c r="I467" i="29"/>
  <c r="I508" i="29"/>
  <c r="I385" i="29"/>
  <c r="J333" i="29"/>
  <c r="J202" i="29"/>
  <c r="J156" i="29"/>
  <c r="I516" i="29"/>
  <c r="I278" i="29"/>
  <c r="I202" i="29"/>
  <c r="J515" i="29"/>
  <c r="J173" i="29"/>
  <c r="I564" i="29"/>
  <c r="J494" i="29"/>
  <c r="J332" i="29"/>
  <c r="I394" i="29"/>
  <c r="J439" i="29"/>
  <c r="I549" i="29"/>
  <c r="J269" i="29"/>
  <c r="I243" i="29"/>
  <c r="I224" i="29"/>
  <c r="J267" i="29"/>
  <c r="I231" i="29"/>
  <c r="I73" i="29"/>
  <c r="J108" i="29"/>
  <c r="I100" i="29"/>
  <c r="I507" i="29"/>
  <c r="I496" i="29"/>
  <c r="J599" i="29"/>
  <c r="J142" i="29"/>
  <c r="J149" i="29"/>
  <c r="J31" i="29"/>
  <c r="J626" i="29"/>
  <c r="I84" i="29"/>
  <c r="J220" i="29"/>
  <c r="I172" i="29"/>
  <c r="J324" i="29"/>
  <c r="I89" i="29"/>
  <c r="I330" i="29"/>
  <c r="J17" i="29"/>
  <c r="J414" i="29"/>
  <c r="J518" i="29"/>
  <c r="I426" i="29"/>
  <c r="J132" i="29"/>
  <c r="I63" i="29"/>
  <c r="J286" i="29"/>
  <c r="J22" i="29"/>
  <c r="I325" i="29"/>
  <c r="J259" i="29"/>
  <c r="I111" i="29"/>
  <c r="J236" i="29"/>
  <c r="I468" i="29"/>
  <c r="J227" i="29"/>
  <c r="J400" i="29"/>
  <c r="I418" i="29"/>
  <c r="I302" i="29"/>
  <c r="J246" i="29"/>
  <c r="J352" i="29"/>
  <c r="I347" i="29"/>
  <c r="J14" i="29"/>
  <c r="I480" i="29"/>
  <c r="I522" i="29"/>
  <c r="I377" i="29"/>
  <c r="J308" i="29"/>
  <c r="I291" i="29"/>
  <c r="I539" i="29"/>
  <c r="J193" i="29"/>
  <c r="I335" i="29"/>
  <c r="I424" i="29"/>
  <c r="I108" i="29"/>
  <c r="J288" i="29"/>
  <c r="I340" i="29"/>
  <c r="I308" i="29"/>
  <c r="J424" i="29"/>
  <c r="J214" i="29"/>
  <c r="J342" i="29"/>
  <c r="J82" i="29"/>
  <c r="J447" i="29"/>
  <c r="I341" i="29"/>
  <c r="J180" i="29"/>
  <c r="J473" i="29"/>
  <c r="J46" i="29"/>
  <c r="I490" i="29"/>
  <c r="I324" i="29"/>
  <c r="J96" i="29"/>
  <c r="J408" i="29"/>
  <c r="J293" i="29"/>
  <c r="I148" i="29"/>
  <c r="J206" i="29"/>
  <c r="J187" i="29"/>
  <c r="I59" i="29"/>
  <c r="J371" i="29"/>
  <c r="I417" i="29"/>
  <c r="I195" i="29"/>
  <c r="I416" i="29"/>
  <c r="I574" i="29"/>
  <c r="J296" i="29"/>
  <c r="J570" i="29"/>
  <c r="I124" i="29"/>
  <c r="I99" i="29"/>
  <c r="J477" i="29"/>
  <c r="J495" i="29"/>
  <c r="J78" i="29"/>
  <c r="I354" i="29"/>
  <c r="J368" i="29"/>
  <c r="J413" i="29"/>
  <c r="J134" i="29"/>
  <c r="I489" i="29"/>
  <c r="I34" i="29"/>
  <c r="J292" i="29"/>
  <c r="I110" i="29"/>
  <c r="I83" i="29"/>
  <c r="J23" i="29"/>
  <c r="I520" i="29"/>
  <c r="J155" i="29"/>
  <c r="J545" i="29"/>
  <c r="J140" i="29"/>
  <c r="J533" i="29"/>
  <c r="J63" i="29"/>
  <c r="J178" i="29"/>
  <c r="I175" i="29"/>
  <c r="I463" i="29"/>
  <c r="I165" i="29"/>
  <c r="J604" i="29"/>
  <c r="I96" i="29"/>
  <c r="J598" i="29"/>
  <c r="I423" i="29"/>
  <c r="J565" i="29"/>
  <c r="I512" i="29"/>
  <c r="I557" i="29"/>
  <c r="I613" i="29"/>
  <c r="I541" i="29"/>
  <c r="I131" i="29"/>
  <c r="J410" i="29"/>
  <c r="J170" i="29"/>
  <c r="J611" i="29"/>
  <c r="I113" i="29"/>
  <c r="J234" i="29"/>
  <c r="I466" i="29"/>
  <c r="I452" i="29"/>
  <c r="J555" i="29"/>
  <c r="J388" i="29"/>
  <c r="I27" i="29"/>
  <c r="J613" i="29"/>
  <c r="I367" i="29"/>
  <c r="I81" i="29"/>
  <c r="I272" i="29"/>
  <c r="J431" i="29"/>
  <c r="I362" i="29"/>
  <c r="I86" i="29"/>
  <c r="I159" i="29"/>
  <c r="I594" i="29"/>
  <c r="I95" i="29"/>
  <c r="J151" i="29"/>
  <c r="I451" i="29"/>
  <c r="J376" i="29"/>
  <c r="I186" i="29"/>
  <c r="J55" i="29"/>
  <c r="J120" i="29"/>
  <c r="I188" i="29"/>
  <c r="J150" i="29"/>
  <c r="I309" i="29"/>
  <c r="I125" i="29"/>
  <c r="J382" i="29"/>
  <c r="I384" i="29"/>
  <c r="J208" i="29"/>
  <c r="I223" i="29"/>
  <c r="I120" i="29"/>
  <c r="I140" i="29"/>
  <c r="I591" i="29"/>
  <c r="J317" i="29"/>
  <c r="I283" i="29"/>
  <c r="J271" i="29"/>
  <c r="J71" i="29"/>
  <c r="J399" i="29"/>
  <c r="J440" i="29"/>
  <c r="J266" i="29"/>
  <c r="J370" i="29"/>
  <c r="I112" i="29"/>
  <c r="J434" i="29"/>
  <c r="J174" i="29"/>
  <c r="J592" i="29"/>
  <c r="J378" i="29"/>
  <c r="J340" i="29"/>
  <c r="J586" i="29"/>
  <c r="I14" i="29"/>
  <c r="J248" i="29"/>
  <c r="J490" i="29"/>
  <c r="I192" i="29"/>
  <c r="I70" i="29"/>
  <c r="I87" i="29"/>
  <c r="J87" i="29"/>
  <c r="J104" i="29"/>
  <c r="I68" i="29"/>
  <c r="J299" i="29"/>
  <c r="I601" i="29"/>
  <c r="J566" i="29"/>
  <c r="I537" i="29"/>
  <c r="I180" i="29"/>
  <c r="J341" i="29"/>
  <c r="I409" i="29"/>
  <c r="J21" i="29"/>
  <c r="I590" i="29"/>
  <c r="I402" i="29"/>
  <c r="J282" i="29"/>
  <c r="J454" i="29"/>
  <c r="I401" i="29"/>
  <c r="J476" i="29"/>
  <c r="I529" i="29"/>
  <c r="I222" i="29"/>
  <c r="I519" i="29"/>
  <c r="I285" i="29"/>
  <c r="I176" i="29"/>
  <c r="J33" i="29"/>
  <c r="I281" i="29"/>
  <c r="I310" i="29"/>
  <c r="J461" i="29"/>
  <c r="J66" i="29"/>
  <c r="J115" i="29"/>
  <c r="J373" i="29"/>
  <c r="I40" i="29"/>
  <c r="J419" i="29"/>
  <c r="J511" i="29"/>
  <c r="J415" i="29"/>
  <c r="I518" i="29"/>
  <c r="I39" i="29"/>
  <c r="J577" i="29"/>
  <c r="I288" i="29"/>
  <c r="I434" i="29"/>
  <c r="J49" i="29"/>
  <c r="I545" i="29"/>
  <c r="I147" i="29"/>
  <c r="I500" i="29"/>
  <c r="J110" i="29"/>
  <c r="I438" i="29"/>
  <c r="J625" i="29"/>
  <c r="I566" i="29"/>
  <c r="I419" i="29"/>
  <c r="J567" i="29"/>
  <c r="I45" i="29"/>
  <c r="I543" i="29"/>
  <c r="J204" i="29"/>
  <c r="I249" i="29"/>
  <c r="J201" i="29"/>
  <c r="I121" i="29"/>
  <c r="I136" i="29"/>
  <c r="J456" i="29"/>
  <c r="J468" i="29"/>
  <c r="I575" i="29"/>
  <c r="I250" i="29"/>
  <c r="I227" i="29"/>
  <c r="I226" i="29"/>
  <c r="J525" i="29"/>
  <c r="J383" i="29"/>
  <c r="J215" i="29"/>
  <c r="I287" i="29"/>
  <c r="I50" i="29"/>
  <c r="I506" i="29"/>
  <c r="I598" i="29"/>
  <c r="J387" i="29"/>
  <c r="J452" i="29"/>
  <c r="I528" i="29"/>
  <c r="J487" i="29"/>
  <c r="I563" i="29"/>
  <c r="J153" i="29"/>
  <c r="J396" i="29"/>
  <c r="J429" i="29"/>
  <c r="J62" i="29"/>
  <c r="J191" i="29"/>
  <c r="J557" i="29"/>
  <c r="I53" i="29"/>
  <c r="I94" i="29"/>
  <c r="J498" i="29"/>
  <c r="J118" i="29"/>
  <c r="I210" i="29"/>
  <c r="J183" i="29"/>
  <c r="J59" i="29"/>
  <c r="J552" i="29"/>
  <c r="J514" i="29"/>
  <c r="J56" i="29"/>
  <c r="J143" i="29"/>
  <c r="I187" i="29"/>
  <c r="I301" i="29"/>
  <c r="J406" i="29"/>
  <c r="J558" i="29"/>
  <c r="J144" i="29"/>
  <c r="J224" i="29"/>
  <c r="I260" i="29"/>
  <c r="J223" i="29"/>
  <c r="I198" i="29"/>
  <c r="I290" i="29"/>
  <c r="I627" i="29"/>
  <c r="I29" i="29"/>
  <c r="J526" i="29"/>
  <c r="I477" i="29"/>
  <c r="I21" i="29"/>
  <c r="I326" i="29"/>
  <c r="J581" i="29"/>
  <c r="I183" i="29"/>
  <c r="J24" i="29"/>
  <c r="I190" i="29"/>
  <c r="J48" i="29"/>
  <c r="J184" i="29"/>
  <c r="I625" i="29"/>
  <c r="I492" i="29"/>
  <c r="I586" i="29"/>
  <c r="J100" i="29"/>
  <c r="J13" i="29"/>
  <c r="J624" i="29"/>
  <c r="I90" i="29"/>
  <c r="J353" i="29"/>
  <c r="I571" i="29"/>
  <c r="J114" i="29"/>
  <c r="J471" i="29"/>
  <c r="J165" i="29"/>
  <c r="J551" i="29"/>
  <c r="J235" i="29"/>
  <c r="I139" i="29"/>
  <c r="I322" i="29"/>
  <c r="I429" i="29"/>
  <c r="J301" i="29"/>
  <c r="J451" i="29"/>
  <c r="J99" i="29"/>
  <c r="I570" i="29"/>
  <c r="J229" i="29"/>
  <c r="I181" i="29"/>
  <c r="I253" i="29"/>
  <c r="J218" i="29"/>
  <c r="I66" i="29"/>
  <c r="I193" i="29"/>
  <c r="J572" i="29"/>
  <c r="J627" i="29"/>
  <c r="J274" i="29"/>
  <c r="J189" i="29"/>
  <c r="J283" i="29"/>
  <c r="J532" i="29"/>
  <c r="J313" i="29"/>
  <c r="I450" i="29"/>
  <c r="J443" i="29"/>
  <c r="I36" i="29"/>
  <c r="J610" i="29"/>
  <c r="J280" i="29"/>
  <c r="J310" i="29"/>
  <c r="J574" i="29"/>
  <c r="I323" i="29"/>
  <c r="J538" i="29"/>
  <c r="J122" i="29"/>
  <c r="J181" i="29"/>
  <c r="J107" i="29"/>
  <c r="I23" i="29"/>
  <c r="J531" i="29"/>
  <c r="J612" i="29"/>
  <c r="J121" i="29"/>
  <c r="I488" i="29"/>
  <c r="I115" i="29"/>
  <c r="J265" i="29"/>
  <c r="I127" i="29"/>
  <c r="J172" i="29"/>
  <c r="I214" i="29"/>
  <c r="I44" i="29"/>
  <c r="I43" i="29"/>
  <c r="I368" i="29"/>
  <c r="J127" i="29"/>
  <c r="J207" i="29"/>
  <c r="J294" i="29"/>
  <c r="I177" i="29"/>
  <c r="I22" i="29"/>
  <c r="K212" i="24" l="1"/>
  <c r="BK212" i="24"/>
  <c r="S212" i="24"/>
  <c r="T212" i="24" s="1"/>
  <c r="M212" i="24"/>
  <c r="EK212" i="24"/>
  <c r="EW212" i="24"/>
  <c r="FB212" i="24" s="1"/>
  <c r="BN216" i="24"/>
  <c r="BY216" i="24"/>
  <c r="CA216" i="24" s="1"/>
  <c r="X623" i="29"/>
  <c r="Y623" i="29" s="1"/>
  <c r="AH623" i="29"/>
  <c r="W628" i="29"/>
  <c r="AG628" i="29"/>
  <c r="V622" i="29"/>
  <c r="K622" i="29"/>
  <c r="P622" i="29"/>
  <c r="R622" i="29"/>
  <c r="U622" i="29"/>
  <c r="T622" i="29"/>
  <c r="Q622" i="29"/>
  <c r="I622" i="29"/>
  <c r="O622" i="29"/>
  <c r="S622" i="29"/>
  <c r="J622" i="29"/>
  <c r="L622" i="29"/>
  <c r="AH625" i="29"/>
  <c r="X625" i="29"/>
  <c r="Y625" i="29" s="1"/>
  <c r="X624" i="29"/>
  <c r="Y624" i="29" s="1"/>
  <c r="AH624" i="29"/>
  <c r="AH627" i="29"/>
  <c r="X627" i="29"/>
  <c r="Y627" i="29" s="1"/>
  <c r="AH628" i="29"/>
  <c r="X628" i="29"/>
  <c r="Y628" i="29" s="1"/>
  <c r="W623" i="29"/>
  <c r="J633" i="29" s="1"/>
  <c r="AG623" i="29"/>
  <c r="K633" i="29" s="1"/>
  <c r="W627" i="29"/>
  <c r="AG627" i="29"/>
  <c r="X626" i="29"/>
  <c r="Y626" i="29" s="1"/>
  <c r="AH626" i="29"/>
  <c r="AG624" i="29"/>
  <c r="K634" i="29" s="1"/>
  <c r="W624" i="29"/>
  <c r="J634" i="29" s="1"/>
  <c r="W626" i="29"/>
  <c r="J636" i="29" s="1"/>
  <c r="AG626" i="29"/>
  <c r="K636" i="29" s="1"/>
  <c r="AG625" i="29"/>
  <c r="K635" i="29" s="1"/>
  <c r="W625" i="29"/>
  <c r="J635" i="29" s="1"/>
  <c r="BK5" i="24"/>
  <c r="S5" i="24"/>
  <c r="T5" i="24" s="1"/>
  <c r="J5" i="24" s="1"/>
  <c r="CB216" i="24" l="1"/>
  <c r="CF216" i="24"/>
  <c r="ER212" i="24"/>
  <c r="FC212" i="24"/>
  <c r="FE212" i="24" s="1"/>
  <c r="U212" i="24"/>
  <c r="N212" i="24"/>
  <c r="J212" i="24"/>
  <c r="O212" i="24"/>
  <c r="BZ212" i="24" s="1"/>
  <c r="AD622" i="29"/>
  <c r="X622" i="29"/>
  <c r="Y622" i="29" s="1"/>
  <c r="AH622" i="29"/>
  <c r="AE622" i="29"/>
  <c r="W622" i="29"/>
  <c r="J632" i="29" s="1"/>
  <c r="AG622" i="29"/>
  <c r="K632" i="29" s="1"/>
  <c r="N5" i="24"/>
  <c r="P5" i="24" s="1"/>
  <c r="FI24" i="24" s="1"/>
  <c r="O5" i="24"/>
  <c r="BZ5" i="24" s="1"/>
  <c r="V5" i="24"/>
  <c r="W5" i="24"/>
  <c r="Y5" i="24" l="1"/>
  <c r="AE212" i="24"/>
  <c r="AI212" i="24"/>
  <c r="X212" i="24"/>
  <c r="AA212" i="24" s="1"/>
  <c r="AB212" i="24" s="1"/>
  <c r="AC212" i="24" s="1"/>
  <c r="Q212" i="24"/>
  <c r="AP212" i="24"/>
  <c r="P212" i="24"/>
  <c r="V212" i="24"/>
  <c r="W212" i="24"/>
  <c r="FF212" i="24"/>
  <c r="FJ212" i="24"/>
  <c r="Q5" i="24"/>
  <c r="R5" i="24" s="1"/>
  <c r="FI58" i="24"/>
  <c r="FJ62" i="24"/>
  <c r="FJ77" i="24"/>
  <c r="FJ35" i="24"/>
  <c r="FI51" i="24"/>
  <c r="FJ69" i="24"/>
  <c r="FJ24" i="24"/>
  <c r="FJ72" i="24"/>
  <c r="FI91" i="24"/>
  <c r="FI54" i="24"/>
  <c r="FI18" i="24"/>
  <c r="FJ27" i="24"/>
  <c r="FJ41" i="24"/>
  <c r="FJ103" i="24"/>
  <c r="FI60" i="24"/>
  <c r="FJ51" i="24"/>
  <c r="FJ5" i="24"/>
  <c r="FI87" i="24"/>
  <c r="FJ21" i="24"/>
  <c r="FI63" i="24"/>
  <c r="FJ29" i="24"/>
  <c r="FJ38" i="24"/>
  <c r="FI85" i="24"/>
  <c r="FJ64" i="24"/>
  <c r="FI36" i="24"/>
  <c r="FJ63" i="24"/>
  <c r="FI15" i="24"/>
  <c r="FJ99" i="24"/>
  <c r="FJ42" i="24"/>
  <c r="FJ19" i="24"/>
  <c r="FI62" i="24"/>
  <c r="FJ48" i="24"/>
  <c r="FI19" i="24"/>
  <c r="FJ88" i="24"/>
  <c r="FI11" i="24"/>
  <c r="FJ57" i="24"/>
  <c r="FI55" i="24"/>
  <c r="FI14" i="24"/>
  <c r="FI61" i="24"/>
  <c r="FJ45" i="24"/>
  <c r="FI69" i="24"/>
  <c r="FI89" i="24"/>
  <c r="FI70" i="24"/>
  <c r="FJ92" i="24"/>
  <c r="FI9" i="24"/>
  <c r="FI50" i="24"/>
  <c r="FJ60" i="24"/>
  <c r="FI47" i="24"/>
  <c r="FJ49" i="24"/>
  <c r="FI72" i="24"/>
  <c r="FJ58" i="24"/>
  <c r="FI90" i="24"/>
  <c r="FJ32" i="24"/>
  <c r="FJ95" i="24"/>
  <c r="FJ23" i="24"/>
  <c r="FI81" i="24"/>
  <c r="FJ16" i="24"/>
  <c r="FJ85" i="24"/>
  <c r="FJ82" i="24"/>
  <c r="FJ61" i="24"/>
  <c r="FJ71" i="24"/>
  <c r="FJ90" i="24"/>
  <c r="FI43" i="24"/>
  <c r="FJ12" i="24"/>
  <c r="FI25" i="24"/>
  <c r="FJ83" i="24"/>
  <c r="FJ40" i="24"/>
  <c r="FI68" i="24"/>
  <c r="FI59" i="24"/>
  <c r="FJ87" i="24"/>
  <c r="FI42" i="24"/>
  <c r="FI57" i="24"/>
  <c r="FI95" i="24"/>
  <c r="FI33" i="24"/>
  <c r="FI77" i="24"/>
  <c r="FJ43" i="24"/>
  <c r="FJ74" i="24"/>
  <c r="FJ6" i="24"/>
  <c r="FI92" i="24"/>
  <c r="FI103" i="24"/>
  <c r="FJ76" i="24"/>
  <c r="FJ56" i="24"/>
  <c r="FJ84" i="24"/>
  <c r="FI49" i="24"/>
  <c r="FJ78" i="24"/>
  <c r="FJ54" i="24"/>
  <c r="FI41" i="24"/>
  <c r="FI40" i="24"/>
  <c r="FJ89" i="24"/>
  <c r="FJ18" i="24"/>
  <c r="FI79" i="24"/>
  <c r="FI26" i="24"/>
  <c r="FI80" i="24"/>
  <c r="FI35" i="24"/>
  <c r="FJ37" i="24"/>
  <c r="FI27" i="24"/>
  <c r="FJ36" i="24"/>
  <c r="FI32" i="24"/>
  <c r="FI39" i="24"/>
  <c r="FJ44" i="24"/>
  <c r="FI30" i="24"/>
  <c r="FI78" i="24"/>
  <c r="FJ101" i="24"/>
  <c r="FJ104" i="24"/>
  <c r="FI13" i="24"/>
  <c r="FI7" i="24"/>
  <c r="FI45" i="24"/>
  <c r="FI48" i="24"/>
  <c r="FJ13" i="24"/>
  <c r="FI34" i="24"/>
  <c r="FJ33" i="24"/>
  <c r="FI8" i="24"/>
  <c r="FJ52" i="24"/>
  <c r="FJ86" i="24"/>
  <c r="FJ73" i="24"/>
  <c r="FJ17" i="24"/>
  <c r="FJ80" i="24"/>
  <c r="FJ20" i="24"/>
  <c r="FJ46" i="24"/>
  <c r="FJ22" i="24"/>
  <c r="FI94" i="24"/>
  <c r="FI97" i="24"/>
  <c r="FI88" i="24"/>
  <c r="FI105" i="24"/>
  <c r="FI22" i="24"/>
  <c r="FI46" i="24"/>
  <c r="FI38" i="24"/>
  <c r="FJ15" i="24"/>
  <c r="FI96" i="24"/>
  <c r="FI5" i="24"/>
  <c r="FI37" i="24"/>
  <c r="FJ81" i="24"/>
  <c r="FJ97" i="24"/>
  <c r="FJ34" i="24"/>
  <c r="FJ100" i="24"/>
  <c r="FI23" i="24"/>
  <c r="FI93" i="24"/>
  <c r="FI53" i="24"/>
  <c r="FI44" i="24"/>
  <c r="FI71" i="24"/>
  <c r="FJ50" i="24"/>
  <c r="FI99" i="24"/>
  <c r="FI104" i="24"/>
  <c r="FJ102" i="24"/>
  <c r="FJ25" i="24"/>
  <c r="FI83" i="24"/>
  <c r="FJ14" i="24"/>
  <c r="FI102" i="24"/>
  <c r="FJ31" i="24"/>
  <c r="FJ96" i="24"/>
  <c r="FJ59" i="24"/>
  <c r="FI100" i="24"/>
  <c r="FJ67" i="24"/>
  <c r="FI16" i="24"/>
  <c r="FJ70" i="24"/>
  <c r="FI31" i="24"/>
  <c r="FJ39" i="24"/>
  <c r="FI73" i="24"/>
  <c r="FJ55" i="24"/>
  <c r="FJ79" i="24"/>
  <c r="FI101" i="24"/>
  <c r="FI98" i="24"/>
  <c r="FJ7" i="24"/>
  <c r="FI29" i="24"/>
  <c r="FI86" i="24"/>
  <c r="FI21" i="24"/>
  <c r="FI66" i="24"/>
  <c r="FI64" i="24"/>
  <c r="FI10" i="24"/>
  <c r="FI12" i="24"/>
  <c r="FJ26" i="24"/>
  <c r="FJ30" i="24"/>
  <c r="FJ94" i="24"/>
  <c r="FJ8" i="24"/>
  <c r="AP5" i="24"/>
  <c r="FJ91" i="24"/>
  <c r="FJ66" i="24"/>
  <c r="FI17" i="24"/>
  <c r="FJ53" i="24"/>
  <c r="FJ98" i="24"/>
  <c r="FJ11" i="24"/>
  <c r="FI74" i="24"/>
  <c r="FI20" i="24"/>
  <c r="FI52" i="24"/>
  <c r="FI67" i="24"/>
  <c r="FI84" i="24"/>
  <c r="FI65" i="24"/>
  <c r="FJ47" i="24"/>
  <c r="FJ9" i="24"/>
  <c r="FI75" i="24"/>
  <c r="FJ75" i="24"/>
  <c r="FJ65" i="24"/>
  <c r="FI28" i="24"/>
  <c r="FI76" i="24"/>
  <c r="FJ93" i="24"/>
  <c r="FI56" i="24"/>
  <c r="FI82" i="24"/>
  <c r="FJ105" i="24"/>
  <c r="FJ28" i="24"/>
  <c r="FJ10" i="24"/>
  <c r="FJ68" i="24"/>
  <c r="FI6" i="24"/>
  <c r="AE5" i="24"/>
  <c r="AI5" i="24"/>
  <c r="X5" i="24"/>
  <c r="AA5" i="24" s="1"/>
  <c r="AB5" i="24" s="1"/>
  <c r="AC5" i="24" s="1"/>
  <c r="Y212" i="24" l="1"/>
  <c r="AA3" i="29" s="1"/>
  <c r="AJ212" i="24"/>
  <c r="AT212" i="24" s="1"/>
  <c r="AG212" i="24"/>
  <c r="AF212" i="24"/>
  <c r="AJ5" i="24"/>
  <c r="AG5" i="24"/>
  <c r="AF5" i="24"/>
  <c r="AK212" i="24" l="1"/>
  <c r="AN212" i="24"/>
  <c r="BI212" i="24" s="1"/>
  <c r="BA212" i="24"/>
  <c r="AT5" i="24"/>
  <c r="BA5" i="24" s="1"/>
  <c r="AV5" i="24"/>
  <c r="AN5" i="24"/>
  <c r="CE5" i="24" s="1"/>
  <c r="AK5" i="24"/>
  <c r="BH5" i="24" l="1"/>
  <c r="BI5" i="24"/>
  <c r="BL5" i="24" s="1"/>
  <c r="BU5" i="24"/>
  <c r="AQ212" i="24"/>
  <c r="CE212" i="24"/>
  <c r="BL212" i="24"/>
  <c r="AS212" i="24"/>
  <c r="BJ212" i="24"/>
  <c r="BW212" i="24"/>
  <c r="BU212" i="24"/>
  <c r="BH212" i="24"/>
  <c r="AX212" i="24"/>
  <c r="AS5" i="24"/>
  <c r="BJ5" i="24"/>
  <c r="AQ5" i="24"/>
  <c r="AX5" i="24"/>
  <c r="BW5" i="24"/>
  <c r="AU212" i="24" l="1"/>
  <c r="BB212" i="24" s="1"/>
  <c r="AW212" i="24"/>
  <c r="AU5" i="24"/>
  <c r="BB5" i="24" s="1"/>
  <c r="AW5" i="24"/>
  <c r="BE212" i="24" l="1"/>
  <c r="BT212" i="24" s="1"/>
  <c r="AY212" i="24"/>
  <c r="AZ212" i="24" s="1"/>
  <c r="BD212" i="24"/>
  <c r="BE5" i="24"/>
  <c r="BT5" i="24" s="1"/>
  <c r="BD5" i="24"/>
  <c r="AY5" i="24"/>
  <c r="AZ5" i="24" s="1"/>
  <c r="BG212" i="24" l="1"/>
  <c r="BS212" i="24"/>
  <c r="BX212" i="24" s="1"/>
  <c r="BS5" i="24"/>
  <c r="BV5" i="24" s="1"/>
  <c r="BX5" i="24" s="1"/>
  <c r="BG5" i="24"/>
  <c r="BM5" i="24" s="1"/>
  <c r="BY212" i="24" l="1"/>
  <c r="CA212" i="24" s="1"/>
  <c r="BM212" i="24"/>
  <c r="BN212" i="24" s="1"/>
  <c r="BY5" i="24"/>
  <c r="CA5" i="24" s="1"/>
  <c r="BN5" i="24"/>
  <c r="CB5" i="24" l="1"/>
  <c r="CF5" i="24"/>
  <c r="CB212" i="24"/>
  <c r="CF212" i="24"/>
  <c r="EM5" i="25" l="1"/>
  <c r="CX5" i="25" l="1"/>
  <c r="CS5" i="25"/>
  <c r="CT5" i="25"/>
  <c r="CU5" i="25" l="1"/>
  <c r="CW5" i="25"/>
  <c r="CV5" i="25"/>
  <c r="DS5" i="25"/>
  <c r="FD5" i="25"/>
  <c r="CY5" i="25"/>
  <c r="CO5" i="25" l="1"/>
  <c r="CZ5" i="25" s="1"/>
  <c r="DB5" i="25" s="1"/>
  <c r="DA5" i="25" l="1"/>
  <c r="DD5" i="25" s="1"/>
  <c r="DE5" i="25" s="1"/>
  <c r="DF5" i="25" s="1"/>
  <c r="DM5" i="25" s="1"/>
  <c r="DW5" i="25" s="1"/>
  <c r="DH5" i="25"/>
  <c r="DJ5" i="25" l="1"/>
  <c r="DI5" i="25"/>
  <c r="EB5" i="25"/>
  <c r="EA5" i="25"/>
  <c r="DQ5" i="25" l="1"/>
  <c r="DV5" i="25" s="1"/>
  <c r="DN5" i="25"/>
  <c r="FA5" i="25" l="1"/>
  <c r="EJ5" i="25"/>
  <c r="EL5" i="25"/>
  <c r="EY5" i="25"/>
  <c r="EK5" i="25"/>
  <c r="EN5" i="25" s="1"/>
  <c r="DT5" i="25"/>
  <c r="DX5" i="25"/>
  <c r="EC5" i="25" s="1"/>
  <c r="DY5" i="25"/>
  <c r="FL5" i="25" s="1"/>
  <c r="CH5" i="25" l="1"/>
  <c r="CG5" i="25"/>
  <c r="EF5" i="25"/>
  <c r="EW5" i="25" s="1"/>
  <c r="EG5" i="25"/>
  <c r="EX5" i="25" s="1"/>
  <c r="EE5" i="25"/>
  <c r="J5" i="25" l="1"/>
  <c r="N5" i="25" s="1"/>
  <c r="EV5" i="25"/>
  <c r="EZ5" i="25" s="1"/>
  <c r="FB5" i="25" s="1"/>
  <c r="EI5" i="25"/>
  <c r="EO5" i="25" s="1"/>
  <c r="L5" i="25" l="1"/>
  <c r="BI5" i="25"/>
  <c r="EP5" i="25"/>
  <c r="FC5" i="25"/>
  <c r="FE5" i="25" s="1"/>
  <c r="FF5" i="25" s="1"/>
  <c r="P5" i="25"/>
  <c r="O5" i="25"/>
  <c r="T5" i="25"/>
  <c r="Q5" i="25" l="1"/>
  <c r="BZ5" i="25"/>
  <c r="R5" i="25"/>
  <c r="AO5" i="25"/>
  <c r="S5" i="25"/>
  <c r="K5" i="25" s="1"/>
  <c r="U5" i="25"/>
  <c r="V5" i="25" l="1"/>
  <c r="X5" i="25" s="1"/>
  <c r="FI63" i="25"/>
  <c r="FJ62" i="25"/>
  <c r="FI39" i="25"/>
  <c r="FI79" i="25"/>
  <c r="FJ71" i="25"/>
  <c r="FI14" i="25"/>
  <c r="FJ57" i="25"/>
  <c r="FI56" i="25"/>
  <c r="FI43" i="25"/>
  <c r="FI60" i="25"/>
  <c r="FI69" i="25"/>
  <c r="FJ33" i="25"/>
  <c r="FJ98" i="25"/>
  <c r="FJ94" i="25"/>
  <c r="FJ89" i="25"/>
  <c r="FI16" i="25"/>
  <c r="FJ40" i="25"/>
  <c r="FI24" i="25"/>
  <c r="FI38" i="25"/>
  <c r="FJ48" i="25"/>
  <c r="FJ42" i="25"/>
  <c r="FJ8" i="25"/>
  <c r="FJ12" i="25"/>
  <c r="FJ83" i="25"/>
  <c r="FJ26" i="25"/>
  <c r="FJ60" i="25"/>
  <c r="FJ101" i="25"/>
  <c r="FJ73" i="25"/>
  <c r="FJ19" i="25"/>
  <c r="FJ69" i="25"/>
  <c r="FJ53" i="25"/>
  <c r="FI94" i="25"/>
  <c r="FI15" i="25"/>
  <c r="FI95" i="25"/>
  <c r="FI17" i="25"/>
  <c r="FI47" i="25"/>
  <c r="FJ27" i="25"/>
  <c r="FI20" i="25"/>
  <c r="FI66" i="25"/>
  <c r="FJ97" i="25"/>
  <c r="FI75" i="25"/>
  <c r="FJ88" i="25"/>
  <c r="FJ15" i="25"/>
  <c r="FJ16" i="25"/>
  <c r="FJ86" i="25"/>
  <c r="FJ52" i="25"/>
  <c r="FI102" i="25"/>
  <c r="FI32" i="25"/>
  <c r="FI104" i="25"/>
  <c r="FJ22" i="25"/>
  <c r="FJ96" i="25"/>
  <c r="FI55" i="25"/>
  <c r="FI54" i="25"/>
  <c r="FI40" i="25"/>
  <c r="FJ63" i="25"/>
  <c r="FJ32" i="25"/>
  <c r="FJ92" i="25"/>
  <c r="FI35" i="25"/>
  <c r="FI71" i="25"/>
  <c r="FJ25" i="25"/>
  <c r="FI96" i="25"/>
  <c r="FI61" i="25"/>
  <c r="FI22" i="25"/>
  <c r="FI19" i="25"/>
  <c r="FJ38" i="25"/>
  <c r="FI82" i="25"/>
  <c r="FJ76" i="25"/>
  <c r="FJ20" i="25"/>
  <c r="FI8" i="25"/>
  <c r="FI84" i="25"/>
  <c r="FI41" i="25"/>
  <c r="FI59" i="25"/>
  <c r="FJ78" i="25"/>
  <c r="FJ11" i="25"/>
  <c r="FJ100" i="25"/>
  <c r="FJ66" i="25"/>
  <c r="FI76" i="25"/>
  <c r="FI45" i="25"/>
  <c r="FI92" i="25"/>
  <c r="FI70" i="25"/>
  <c r="FI74" i="25"/>
  <c r="FI27" i="25"/>
  <c r="FJ43" i="25"/>
  <c r="FJ34" i="25"/>
  <c r="FI7" i="25"/>
  <c r="FI87" i="25"/>
  <c r="FJ75" i="25"/>
  <c r="FJ64" i="25"/>
  <c r="FI52" i="25"/>
  <c r="FI18" i="25"/>
  <c r="FI53" i="25"/>
  <c r="FI28" i="25"/>
  <c r="FJ37" i="25"/>
  <c r="FJ90" i="25"/>
  <c r="FI10" i="25"/>
  <c r="FI97" i="25"/>
  <c r="FJ36" i="25"/>
  <c r="FI49" i="25"/>
  <c r="FI44" i="25"/>
  <c r="FJ24" i="25"/>
  <c r="FJ58" i="25"/>
  <c r="FJ45" i="25"/>
  <c r="FI25" i="25"/>
  <c r="FI67" i="25"/>
  <c r="FJ72" i="25"/>
  <c r="FI85" i="25"/>
  <c r="FJ55" i="25"/>
  <c r="FI103" i="25"/>
  <c r="FI83" i="25"/>
  <c r="FJ91" i="25"/>
  <c r="FI42" i="25"/>
  <c r="FI5" i="25"/>
  <c r="FI23" i="25"/>
  <c r="FJ93" i="25"/>
  <c r="FJ29" i="25"/>
  <c r="FI80" i="25"/>
  <c r="FJ61" i="25"/>
  <c r="FI58" i="25"/>
  <c r="FJ56" i="25"/>
  <c r="FJ28" i="25"/>
  <c r="FI34" i="25"/>
  <c r="FI91" i="25"/>
  <c r="FI62" i="25"/>
  <c r="FI36" i="25"/>
  <c r="FJ7" i="25"/>
  <c r="FJ47" i="25"/>
  <c r="FI46" i="25"/>
  <c r="FI101" i="25"/>
  <c r="FI30" i="25"/>
  <c r="FJ30" i="25"/>
  <c r="FJ14" i="25"/>
  <c r="FI48" i="25"/>
  <c r="FJ74" i="25"/>
  <c r="FI50" i="25"/>
  <c r="FJ84" i="25"/>
  <c r="FI6" i="25"/>
  <c r="FI90" i="25"/>
  <c r="FI21" i="25"/>
  <c r="FJ23" i="25"/>
  <c r="FJ18" i="25"/>
  <c r="FI105" i="25"/>
  <c r="FJ67" i="25"/>
  <c r="FI78" i="25"/>
  <c r="FI81" i="25"/>
  <c r="FJ65" i="25"/>
  <c r="FJ13" i="25"/>
  <c r="FJ31" i="25"/>
  <c r="FI89" i="25"/>
  <c r="FI13" i="25"/>
  <c r="FI29" i="25"/>
  <c r="FI64" i="25"/>
  <c r="FJ87" i="25"/>
  <c r="FI93" i="25"/>
  <c r="FJ105" i="25"/>
  <c r="FJ104" i="25"/>
  <c r="FJ9" i="25"/>
  <c r="FJ85" i="25"/>
  <c r="FJ21" i="25"/>
  <c r="FI72" i="25"/>
  <c r="FJ68" i="25"/>
  <c r="FJ5" i="25"/>
  <c r="FJ95" i="25"/>
  <c r="FJ10" i="25"/>
  <c r="FI11" i="25"/>
  <c r="FJ6" i="25"/>
  <c r="FJ51" i="25"/>
  <c r="FI31" i="25"/>
  <c r="FI37" i="25"/>
  <c r="FJ59" i="25"/>
  <c r="FJ77" i="25"/>
  <c r="FI73" i="25"/>
  <c r="FJ103" i="25"/>
  <c r="FI9" i="25"/>
  <c r="FJ70" i="25"/>
  <c r="FJ49" i="25"/>
  <c r="FJ50" i="25"/>
  <c r="FJ17" i="25"/>
  <c r="FJ35" i="25"/>
  <c r="FJ39" i="25"/>
  <c r="FJ99" i="25"/>
  <c r="FJ81" i="25"/>
  <c r="FI100" i="25"/>
  <c r="FI33" i="25"/>
  <c r="FI86" i="25"/>
  <c r="FI68" i="25"/>
  <c r="FI57" i="25"/>
  <c r="FJ80" i="25"/>
  <c r="FJ41" i="25"/>
  <c r="FI12" i="25"/>
  <c r="FJ54" i="25"/>
  <c r="FJ44" i="25"/>
  <c r="FI99" i="25"/>
  <c r="FJ102" i="25"/>
  <c r="FI26" i="25"/>
  <c r="FI88" i="25"/>
  <c r="FI98" i="25"/>
  <c r="FI77" i="25"/>
  <c r="FJ82" i="25"/>
  <c r="FI51" i="25"/>
  <c r="FJ79" i="25"/>
  <c r="FI65" i="25"/>
  <c r="FJ46" i="25"/>
  <c r="W5" i="25" l="1"/>
  <c r="Z5" i="25" s="1"/>
  <c r="AA5" i="25" s="1"/>
  <c r="AB5" i="25" s="1"/>
  <c r="AI5" i="25" s="1"/>
  <c r="AD5" i="25"/>
  <c r="AE5" i="25" s="1"/>
  <c r="AS5" i="25" l="1"/>
  <c r="AW5" i="25" s="1"/>
  <c r="AF5" i="25"/>
  <c r="AM5" i="25" s="1"/>
  <c r="CE5" i="25" s="1"/>
  <c r="BF5" i="25" l="1"/>
  <c r="BG5" i="25"/>
  <c r="BJ5" i="25" s="1"/>
  <c r="AX5" i="25"/>
  <c r="AJ5" i="25"/>
  <c r="AR5" i="25"/>
  <c r="BH5" i="25"/>
  <c r="AP5" i="25"/>
  <c r="BU5" i="25"/>
  <c r="BW5" i="25"/>
  <c r="AT5" i="25" l="1"/>
  <c r="AY5" i="25" s="1"/>
  <c r="AU5" i="25"/>
  <c r="BC5" i="25" l="1"/>
  <c r="BT5" i="25" s="1"/>
  <c r="BB5" i="25"/>
  <c r="BS5" i="25" s="1"/>
  <c r="BA5" i="25"/>
  <c r="BR5" i="25" l="1"/>
  <c r="BV5" i="25" s="1"/>
  <c r="BX5" i="25" s="1"/>
  <c r="BE5" i="25"/>
  <c r="BK5" i="25" s="1"/>
  <c r="BY5" i="25" l="1"/>
  <c r="CA5" i="25" s="1"/>
  <c r="BL5" i="25"/>
  <c r="G17" i="25"/>
  <c r="F192" i="25"/>
  <c r="G192" i="25"/>
  <c r="G63" i="25"/>
  <c r="F122" i="25"/>
  <c r="G122" i="25"/>
  <c r="F137" i="25"/>
  <c r="G137" i="25"/>
  <c r="G80" i="25"/>
  <c r="F93" i="25"/>
  <c r="BM93" i="25" s="1"/>
  <c r="G93" i="25"/>
  <c r="F138" i="24"/>
  <c r="F272" i="24"/>
  <c r="F157" i="24"/>
  <c r="F111" i="24"/>
  <c r="F145" i="24"/>
  <c r="BO145" i="24" s="1"/>
  <c r="BR145" i="24" s="1"/>
  <c r="F223" i="24"/>
  <c r="F253" i="24"/>
  <c r="F143" i="24"/>
  <c r="F160" i="24"/>
  <c r="BO160" i="24" s="1"/>
  <c r="BR160" i="24" s="1"/>
  <c r="F62" i="24"/>
  <c r="F158" i="24"/>
  <c r="BO158" i="24" s="1"/>
  <c r="BR158" i="24" s="1"/>
  <c r="F292" i="24"/>
  <c r="F67" i="24"/>
  <c r="F224" i="24"/>
  <c r="F104" i="24"/>
  <c r="F22" i="24"/>
  <c r="I22" i="24" s="1"/>
  <c r="F241" i="24"/>
  <c r="F252" i="24"/>
  <c r="F114" i="24"/>
  <c r="F101" i="24"/>
  <c r="I101" i="24" s="1"/>
  <c r="F250" i="24"/>
  <c r="F165" i="24"/>
  <c r="F169" i="24"/>
  <c r="F97" i="24"/>
  <c r="F96" i="24"/>
  <c r="F14" i="24"/>
  <c r="BO14" i="24" s="1"/>
  <c r="BR14" i="24" s="1"/>
  <c r="F233" i="24"/>
  <c r="F298" i="24"/>
  <c r="F263" i="24"/>
  <c r="F237" i="25"/>
  <c r="G237" i="25"/>
  <c r="BN237" i="25" s="1"/>
  <c r="F42" i="25"/>
  <c r="G42" i="25"/>
  <c r="F71" i="25"/>
  <c r="G71" i="25"/>
  <c r="F16" i="25"/>
  <c r="BM16" i="25" s="1"/>
  <c r="G16" i="25"/>
  <c r="G53" i="25"/>
  <c r="BN53" i="25" s="1"/>
  <c r="F94" i="25"/>
  <c r="G94" i="25"/>
  <c r="I94" i="25" s="1"/>
  <c r="F38" i="25"/>
  <c r="BM38" i="25" s="1"/>
  <c r="G38" i="25"/>
  <c r="I38" i="25" s="1"/>
  <c r="F145" i="25"/>
  <c r="G145" i="25"/>
  <c r="F190" i="25"/>
  <c r="G190" i="25"/>
  <c r="I190" i="25" s="1"/>
  <c r="F236" i="25"/>
  <c r="G236" i="25"/>
  <c r="BN236" i="25" s="1"/>
  <c r="F105" i="25"/>
  <c r="G105" i="25"/>
  <c r="G87" i="25"/>
  <c r="BN87" i="25" s="1"/>
  <c r="F83" i="25"/>
  <c r="BM83" i="25" s="1"/>
  <c r="G83" i="25"/>
  <c r="BN83" i="25" s="1"/>
  <c r="G29" i="25"/>
  <c r="BN29" i="25" s="1"/>
  <c r="G82" i="25"/>
  <c r="BN82" i="25" s="1"/>
  <c r="F125" i="25"/>
  <c r="G125" i="25"/>
  <c r="BN125" i="25" s="1"/>
  <c r="F9" i="25"/>
  <c r="G9" i="25"/>
  <c r="F162" i="25"/>
  <c r="G162" i="25"/>
  <c r="G111" i="25"/>
  <c r="F163" i="25"/>
  <c r="G163" i="25"/>
  <c r="I163" i="25" s="1"/>
  <c r="F157" i="25"/>
  <c r="G157" i="25"/>
  <c r="I157" i="25" s="1"/>
  <c r="F245" i="25"/>
  <c r="G245" i="25"/>
  <c r="I245" i="25" s="1"/>
  <c r="F129" i="25"/>
  <c r="G129" i="25"/>
  <c r="F241" i="25"/>
  <c r="G241" i="25"/>
  <c r="BN241" i="25" s="1"/>
  <c r="F58" i="25"/>
  <c r="BM58" i="25" s="1"/>
  <c r="G58" i="25"/>
  <c r="BN58" i="25" s="1"/>
  <c r="G69" i="25"/>
  <c r="BN69" i="25" s="1"/>
  <c r="F8" i="25"/>
  <c r="G8" i="25"/>
  <c r="BN8" i="25" s="1"/>
  <c r="F186" i="25"/>
  <c r="BM186" i="25" s="1"/>
  <c r="G186" i="25"/>
  <c r="I186" i="25" s="1"/>
  <c r="F164" i="25"/>
  <c r="G164" i="25"/>
  <c r="BN164" i="25" s="1"/>
  <c r="F202" i="25"/>
  <c r="BM202" i="25" s="1"/>
  <c r="G202" i="25"/>
  <c r="I202" i="25" s="1"/>
  <c r="F195" i="25"/>
  <c r="G195" i="25"/>
  <c r="G257" i="25"/>
  <c r="BN257" i="25" s="1"/>
  <c r="F279" i="25"/>
  <c r="BM279" i="25" s="1"/>
  <c r="G279" i="25"/>
  <c r="I279" i="25" s="1"/>
  <c r="F11" i="25"/>
  <c r="G11" i="25"/>
  <c r="G30" i="25"/>
  <c r="BN30" i="25" s="1"/>
  <c r="F23" i="25"/>
  <c r="G23" i="25"/>
  <c r="BN23" i="25" s="1"/>
  <c r="F52" i="25"/>
  <c r="G52" i="25"/>
  <c r="I52" i="25" s="1"/>
  <c r="G310" i="25"/>
  <c r="I310" i="25" s="1"/>
  <c r="G34" i="25"/>
  <c r="F270" i="25"/>
  <c r="G270" i="25"/>
  <c r="I270" i="25" s="1"/>
  <c r="F226" i="25"/>
  <c r="G226" i="25"/>
  <c r="F53" i="25"/>
  <c r="BM53" i="25" s="1"/>
  <c r="F257" i="25"/>
  <c r="F188" i="24"/>
  <c r="F29" i="25"/>
  <c r="F277" i="24"/>
  <c r="F41" i="24"/>
  <c r="F74" i="24"/>
  <c r="BO74" i="24" s="1"/>
  <c r="BR74" i="24" s="1"/>
  <c r="F147" i="24"/>
  <c r="BO147" i="24" s="1"/>
  <c r="BR147" i="24" s="1"/>
  <c r="F261" i="24"/>
  <c r="F190" i="24"/>
  <c r="I190" i="24" s="1"/>
  <c r="F159" i="24"/>
  <c r="F286" i="24"/>
  <c r="F259" i="24"/>
  <c r="F77" i="24"/>
  <c r="F21" i="24"/>
  <c r="I21" i="24" s="1"/>
  <c r="F88" i="24"/>
  <c r="F56" i="24"/>
  <c r="F24" i="24"/>
  <c r="BO24" i="24" s="1"/>
  <c r="BR24" i="24" s="1"/>
  <c r="F38" i="24"/>
  <c r="F6" i="24"/>
  <c r="BO6" i="24" s="1"/>
  <c r="BR6" i="24" s="1"/>
  <c r="F134" i="24"/>
  <c r="F225" i="24"/>
  <c r="F268" i="24"/>
  <c r="F274" i="24"/>
  <c r="F130" i="24"/>
  <c r="F132" i="24"/>
  <c r="I132" i="24" s="1"/>
  <c r="F75" i="24"/>
  <c r="BO75" i="24" s="1"/>
  <c r="BR75" i="24" s="1"/>
  <c r="F129" i="24"/>
  <c r="BO129" i="24" s="1"/>
  <c r="BR129" i="24" s="1"/>
  <c r="F162" i="24"/>
  <c r="I162" i="24" s="1"/>
  <c r="F266" i="24"/>
  <c r="F296" i="24"/>
  <c r="F206" i="24"/>
  <c r="BO206" i="24" s="1"/>
  <c r="BR206" i="24" s="1"/>
  <c r="F192" i="24"/>
  <c r="BO192" i="24" s="1"/>
  <c r="BR192" i="24" s="1"/>
  <c r="F251" i="24"/>
  <c r="F71" i="24"/>
  <c r="F39" i="24"/>
  <c r="F7" i="24"/>
  <c r="I7" i="24" s="1"/>
  <c r="F94" i="24"/>
  <c r="BO94" i="24" s="1"/>
  <c r="BR94" i="24" s="1"/>
  <c r="F125" i="24"/>
  <c r="BO125" i="24" s="1"/>
  <c r="BR125" i="24" s="1"/>
  <c r="F281" i="24"/>
  <c r="F254" i="24"/>
  <c r="F228" i="24"/>
  <c r="F194" i="24"/>
  <c r="BO194" i="24" s="1"/>
  <c r="BR194" i="24" s="1"/>
  <c r="F12" i="24"/>
  <c r="F99" i="24"/>
  <c r="F117" i="24"/>
  <c r="F186" i="24"/>
  <c r="F133" i="24"/>
  <c r="F246" i="24"/>
  <c r="F118" i="24"/>
  <c r="F243" i="24"/>
  <c r="F45" i="24"/>
  <c r="I45" i="24" s="1"/>
  <c r="F54" i="24"/>
  <c r="F191" i="24"/>
  <c r="I191" i="24" s="1"/>
  <c r="F314" i="24"/>
  <c r="F177" i="24"/>
  <c r="BO177" i="24" s="1"/>
  <c r="BR177" i="24" s="1"/>
  <c r="F33" i="24"/>
  <c r="F100" i="24"/>
  <c r="BO100" i="24" s="1"/>
  <c r="BR100" i="24" s="1"/>
  <c r="F68" i="24"/>
  <c r="F36" i="24"/>
  <c r="BO36" i="24" s="1"/>
  <c r="BR36" i="24" s="1"/>
  <c r="F50" i="24"/>
  <c r="BO50" i="24" s="1"/>
  <c r="BR50" i="24" s="1"/>
  <c r="F18" i="24"/>
  <c r="F146" i="24"/>
  <c r="F280" i="24"/>
  <c r="F302" i="24"/>
  <c r="F176" i="24"/>
  <c r="F267" i="24"/>
  <c r="F46" i="24"/>
  <c r="F163" i="24"/>
  <c r="BO163" i="24" s="1"/>
  <c r="BR163" i="24" s="1"/>
  <c r="F142" i="24"/>
  <c r="I142" i="24" s="1"/>
  <c r="F198" i="24"/>
  <c r="BO198" i="24" s="1"/>
  <c r="BR198" i="24" s="1"/>
  <c r="F276" i="24"/>
  <c r="F115" i="24"/>
  <c r="F255" i="25"/>
  <c r="G255" i="25"/>
  <c r="I255" i="25" s="1"/>
  <c r="F266" i="25"/>
  <c r="G266" i="25"/>
  <c r="BN266" i="25" s="1"/>
  <c r="F182" i="25"/>
  <c r="G182" i="25"/>
  <c r="F210" i="25"/>
  <c r="G210" i="25"/>
  <c r="F269" i="25"/>
  <c r="G269" i="25"/>
  <c r="BN269" i="25" s="1"/>
  <c r="F152" i="25"/>
  <c r="BM152" i="25" s="1"/>
  <c r="G152" i="25"/>
  <c r="F300" i="25"/>
  <c r="G300" i="25"/>
  <c r="BN300" i="25" s="1"/>
  <c r="F37" i="25"/>
  <c r="G37" i="25"/>
  <c r="F180" i="25"/>
  <c r="BM180" i="25" s="1"/>
  <c r="G180" i="25"/>
  <c r="F165" i="25"/>
  <c r="G165" i="25"/>
  <c r="F189" i="25"/>
  <c r="G189" i="25"/>
  <c r="I189" i="25" s="1"/>
  <c r="G277" i="25"/>
  <c r="BN277" i="25" s="1"/>
  <c r="F70" i="25"/>
  <c r="G70" i="25"/>
  <c r="BN70" i="25" s="1"/>
  <c r="F232" i="25"/>
  <c r="BM232" i="25" s="1"/>
  <c r="G232" i="25"/>
  <c r="F6" i="25"/>
  <c r="BM6" i="25" s="1"/>
  <c r="G6" i="25"/>
  <c r="F265" i="25"/>
  <c r="G265" i="25"/>
  <c r="I265" i="25" s="1"/>
  <c r="F31" i="25"/>
  <c r="G31" i="25"/>
  <c r="I31" i="25" s="1"/>
  <c r="F59" i="25"/>
  <c r="G59" i="25"/>
  <c r="I59" i="25" s="1"/>
  <c r="F188" i="25"/>
  <c r="G188" i="25"/>
  <c r="F167" i="24"/>
  <c r="BO167" i="24" s="1"/>
  <c r="BR167" i="24" s="1"/>
  <c r="F237" i="24"/>
  <c r="F30" i="25"/>
  <c r="BM30" i="25" s="1"/>
  <c r="F230" i="24"/>
  <c r="F307" i="24"/>
  <c r="F83" i="24"/>
  <c r="BO83" i="24" s="1"/>
  <c r="BR83" i="24" s="1"/>
  <c r="F19" i="24"/>
  <c r="F170" i="24"/>
  <c r="F304" i="24"/>
  <c r="F205" i="24"/>
  <c r="F70" i="24"/>
  <c r="BO70" i="24" s="1"/>
  <c r="BR70" i="24" s="1"/>
  <c r="F131" i="24"/>
  <c r="BO131" i="24" s="1"/>
  <c r="BR131" i="24" s="1"/>
  <c r="F123" i="24"/>
  <c r="F201" i="24"/>
  <c r="F255" i="24"/>
  <c r="F52" i="24"/>
  <c r="F37" i="24"/>
  <c r="F285" i="24"/>
  <c r="F232" i="24"/>
  <c r="F103" i="24"/>
  <c r="F202" i="24"/>
  <c r="F137" i="24"/>
  <c r="F122" i="24"/>
  <c r="F44" i="24"/>
  <c r="I44" i="24" s="1"/>
  <c r="F309" i="24"/>
  <c r="F256" i="24"/>
  <c r="F152" i="24"/>
  <c r="BO152" i="24" s="1"/>
  <c r="BR152" i="24" s="1"/>
  <c r="F63" i="24"/>
  <c r="F273" i="24"/>
  <c r="F82" i="24"/>
  <c r="F179" i="24"/>
  <c r="F116" i="24"/>
  <c r="F119" i="24"/>
  <c r="I119" i="24" s="1"/>
  <c r="F55" i="24"/>
  <c r="BO55" i="24" s="1"/>
  <c r="BR55" i="24" s="1"/>
  <c r="F265" i="24"/>
  <c r="F171" i="24"/>
  <c r="F295" i="24"/>
  <c r="F13" i="25"/>
  <c r="G13" i="25"/>
  <c r="I13" i="25" s="1"/>
  <c r="F26" i="25"/>
  <c r="G26" i="25"/>
  <c r="BN26" i="25" s="1"/>
  <c r="F77" i="25"/>
  <c r="G77" i="25"/>
  <c r="I77" i="25" s="1"/>
  <c r="F203" i="25"/>
  <c r="BM203" i="25" s="1"/>
  <c r="G203" i="25"/>
  <c r="BN203" i="25" s="1"/>
  <c r="F206" i="25"/>
  <c r="G206" i="25"/>
  <c r="BN206" i="25" s="1"/>
  <c r="F160" i="25"/>
  <c r="G160" i="25"/>
  <c r="BN160" i="25" s="1"/>
  <c r="F280" i="25"/>
  <c r="G280" i="25"/>
  <c r="BN280" i="25" s="1"/>
  <c r="F174" i="25"/>
  <c r="G174" i="25"/>
  <c r="F208" i="25"/>
  <c r="G208" i="25"/>
  <c r="I208" i="25" s="1"/>
  <c r="F132" i="25"/>
  <c r="G132" i="25"/>
  <c r="I132" i="25" s="1"/>
  <c r="F194" i="25"/>
  <c r="G194" i="25"/>
  <c r="I194" i="25" s="1"/>
  <c r="F120" i="25"/>
  <c r="G120" i="25"/>
  <c r="I120" i="25" s="1"/>
  <c r="G218" i="25"/>
  <c r="BN218" i="25" s="1"/>
  <c r="F315" i="25"/>
  <c r="BM315" i="25" s="1"/>
  <c r="G315" i="25"/>
  <c r="BN315" i="25" s="1"/>
  <c r="F271" i="25"/>
  <c r="G271" i="25"/>
  <c r="I271" i="25" s="1"/>
  <c r="F62" i="25"/>
  <c r="G62" i="25"/>
  <c r="I62" i="25" s="1"/>
  <c r="F204" i="25"/>
  <c r="G204" i="25"/>
  <c r="I204" i="25" s="1"/>
  <c r="F74" i="25"/>
  <c r="G74" i="25"/>
  <c r="F177" i="25"/>
  <c r="G177" i="25"/>
  <c r="I177" i="25" s="1"/>
  <c r="F246" i="25"/>
  <c r="BM246" i="25" s="1"/>
  <c r="G246" i="25"/>
  <c r="F126" i="25"/>
  <c r="G126" i="25"/>
  <c r="G15" i="25"/>
  <c r="I15" i="25" s="1"/>
  <c r="F176" i="25"/>
  <c r="G176" i="25"/>
  <c r="F73" i="25"/>
  <c r="G73" i="25"/>
  <c r="F159" i="25"/>
  <c r="BM159" i="25" s="1"/>
  <c r="G159" i="25"/>
  <c r="BN159" i="25" s="1"/>
  <c r="F185" i="25"/>
  <c r="G185" i="25"/>
  <c r="BN185" i="25" s="1"/>
  <c r="F141" i="25"/>
  <c r="BM141" i="25" s="1"/>
  <c r="G141" i="25"/>
  <c r="BN141" i="25" s="1"/>
  <c r="F151" i="25"/>
  <c r="BM151" i="25" s="1"/>
  <c r="G151" i="25"/>
  <c r="BN151" i="25" s="1"/>
  <c r="F168" i="25"/>
  <c r="BM168" i="25" s="1"/>
  <c r="G168" i="25"/>
  <c r="BN168" i="25" s="1"/>
  <c r="F193" i="25"/>
  <c r="BM193" i="25" s="1"/>
  <c r="G193" i="25"/>
  <c r="BN193" i="25" s="1"/>
  <c r="F143" i="25"/>
  <c r="G143" i="25"/>
  <c r="BN143" i="25" s="1"/>
  <c r="F169" i="25"/>
  <c r="G169" i="25"/>
  <c r="BN169" i="25" s="1"/>
  <c r="F273" i="25"/>
  <c r="G273" i="25"/>
  <c r="BN273" i="25" s="1"/>
  <c r="F239" i="25"/>
  <c r="BM239" i="25" s="1"/>
  <c r="G239" i="25"/>
  <c r="I239" i="25" s="1"/>
  <c r="F44" i="25"/>
  <c r="BM44" i="25" s="1"/>
  <c r="G44" i="25"/>
  <c r="I44" i="25" s="1"/>
  <c r="F81" i="25"/>
  <c r="BM81" i="25" s="1"/>
  <c r="G81" i="25"/>
  <c r="I81" i="25" s="1"/>
  <c r="F219" i="25"/>
  <c r="G219" i="25"/>
  <c r="I219" i="25" s="1"/>
  <c r="F230" i="25"/>
  <c r="G230" i="25"/>
  <c r="BN230" i="25" s="1"/>
  <c r="F104" i="25"/>
  <c r="G104" i="25"/>
  <c r="I104" i="25" s="1"/>
  <c r="F21" i="25"/>
  <c r="G21" i="25"/>
  <c r="BN21" i="25" s="1"/>
  <c r="F179" i="25"/>
  <c r="G179" i="25"/>
  <c r="BN179" i="25" s="1"/>
  <c r="F198" i="25"/>
  <c r="G198" i="25"/>
  <c r="I198" i="25" s="1"/>
  <c r="F96" i="25"/>
  <c r="G96" i="25"/>
  <c r="F197" i="25"/>
  <c r="G197" i="25"/>
  <c r="BN197" i="25" s="1"/>
  <c r="F118" i="25"/>
  <c r="G118" i="25"/>
  <c r="BN118" i="25" s="1"/>
  <c r="F115" i="25"/>
  <c r="G115" i="25"/>
  <c r="BN115" i="25" s="1"/>
  <c r="F205" i="25"/>
  <c r="G205" i="25"/>
  <c r="BN205" i="25" s="1"/>
  <c r="F183" i="25"/>
  <c r="G183" i="25"/>
  <c r="BN183" i="25" s="1"/>
  <c r="F200" i="25"/>
  <c r="G200" i="25"/>
  <c r="BN200" i="25" s="1"/>
  <c r="F114" i="25"/>
  <c r="G114" i="25"/>
  <c r="BN114" i="25" s="1"/>
  <c r="F207" i="25"/>
  <c r="G207" i="25"/>
  <c r="BN207" i="25" s="1"/>
  <c r="F130" i="25"/>
  <c r="G130" i="25"/>
  <c r="BN130" i="25" s="1"/>
  <c r="F116" i="25"/>
  <c r="G116" i="25"/>
  <c r="BN116" i="25" s="1"/>
  <c r="F218" i="25"/>
  <c r="BM218" i="25" s="1"/>
  <c r="F168" i="24"/>
  <c r="BO168" i="24" s="1"/>
  <c r="BR168" i="24" s="1"/>
  <c r="F43" i="24"/>
  <c r="F86" i="24"/>
  <c r="BO86" i="24" s="1"/>
  <c r="BR86" i="24" s="1"/>
  <c r="F239" i="24"/>
  <c r="F73" i="24"/>
  <c r="F51" i="24"/>
  <c r="F195" i="24"/>
  <c r="BO195" i="24" s="1"/>
  <c r="BR195" i="24" s="1"/>
  <c r="F290" i="24"/>
  <c r="F291" i="24"/>
  <c r="F102" i="24"/>
  <c r="F257" i="24"/>
  <c r="F151" i="24"/>
  <c r="F164" i="24"/>
  <c r="BO164" i="24" s="1"/>
  <c r="BR164" i="24" s="1"/>
  <c r="F84" i="24"/>
  <c r="F20" i="24"/>
  <c r="F120" i="24"/>
  <c r="F141" i="24"/>
  <c r="F126" i="24"/>
  <c r="BO126" i="24" s="1"/>
  <c r="BR126" i="24" s="1"/>
  <c r="F283" i="24"/>
  <c r="F16" i="24"/>
  <c r="F187" i="24"/>
  <c r="F258" i="24"/>
  <c r="F247" i="24"/>
  <c r="F76" i="24"/>
  <c r="F58" i="24"/>
  <c r="F282" i="24"/>
  <c r="F185" i="24"/>
  <c r="BO185" i="24" s="1"/>
  <c r="BR185" i="24" s="1"/>
  <c r="F181" i="24"/>
  <c r="BO181" i="24" s="1"/>
  <c r="BR181" i="24" s="1"/>
  <c r="F95" i="24"/>
  <c r="F31" i="24"/>
  <c r="F182" i="24"/>
  <c r="F271" i="24"/>
  <c r="F69" i="24"/>
  <c r="F269" i="24"/>
  <c r="F175" i="24"/>
  <c r="BO175" i="24" s="1"/>
  <c r="BR175" i="24" s="1"/>
  <c r="F299" i="24"/>
  <c r="F87" i="24"/>
  <c r="F23" i="24"/>
  <c r="F174" i="24"/>
  <c r="F308" i="24"/>
  <c r="F204" i="24"/>
  <c r="F290" i="25"/>
  <c r="G290" i="25"/>
  <c r="BN290" i="25" s="1"/>
  <c r="F117" i="25"/>
  <c r="G117" i="25"/>
  <c r="I117" i="25" s="1"/>
  <c r="F297" i="25"/>
  <c r="G297" i="25"/>
  <c r="I297" i="25" s="1"/>
  <c r="F312" i="25"/>
  <c r="G312" i="25"/>
  <c r="BN312" i="25" s="1"/>
  <c r="F221" i="25"/>
  <c r="G221" i="25"/>
  <c r="I221" i="25" s="1"/>
  <c r="F49" i="25"/>
  <c r="G49" i="25"/>
  <c r="F35" i="25"/>
  <c r="G35" i="25"/>
  <c r="BN35" i="25" s="1"/>
  <c r="F48" i="25"/>
  <c r="BM48" i="25" s="1"/>
  <c r="G48" i="25"/>
  <c r="BN48" i="25" s="1"/>
  <c r="F85" i="25"/>
  <c r="G85" i="25"/>
  <c r="BN85" i="25" s="1"/>
  <c r="F91" i="25"/>
  <c r="G91" i="25"/>
  <c r="BN91" i="25" s="1"/>
  <c r="F20" i="25"/>
  <c r="G20" i="25"/>
  <c r="BN20" i="25" s="1"/>
  <c r="F57" i="25"/>
  <c r="G57" i="25"/>
  <c r="BN57" i="25" s="1"/>
  <c r="F98" i="25"/>
  <c r="G98" i="25"/>
  <c r="BN98" i="25" s="1"/>
  <c r="F24" i="25"/>
  <c r="G24" i="25"/>
  <c r="BN24" i="25" s="1"/>
  <c r="F22" i="25"/>
  <c r="G22" i="25"/>
  <c r="BN22" i="25" s="1"/>
  <c r="F123" i="25"/>
  <c r="G123" i="25"/>
  <c r="BN123" i="25" s="1"/>
  <c r="F140" i="25"/>
  <c r="G140" i="25"/>
  <c r="BN140" i="25" s="1"/>
  <c r="F149" i="25"/>
  <c r="G149" i="25"/>
  <c r="BN149" i="25" s="1"/>
  <c r="F127" i="25"/>
  <c r="G127" i="25"/>
  <c r="BN127" i="25" s="1"/>
  <c r="F153" i="25"/>
  <c r="G153" i="25"/>
  <c r="BN153" i="25" s="1"/>
  <c r="F196" i="25"/>
  <c r="G196" i="25"/>
  <c r="BN196" i="25" s="1"/>
  <c r="F135" i="25"/>
  <c r="G135" i="25"/>
  <c r="BN135" i="25" s="1"/>
  <c r="F307" i="25"/>
  <c r="G307" i="25"/>
  <c r="I307" i="25" s="1"/>
  <c r="F99" i="25"/>
  <c r="G99" i="25"/>
  <c r="F43" i="25"/>
  <c r="G43" i="25"/>
  <c r="BN43" i="25" s="1"/>
  <c r="F40" i="25"/>
  <c r="G40" i="25"/>
  <c r="BN40" i="25" s="1"/>
  <c r="F54" i="25"/>
  <c r="G54" i="25"/>
  <c r="BN54" i="25" s="1"/>
  <c r="F139" i="25"/>
  <c r="G139" i="25"/>
  <c r="BN139" i="25" s="1"/>
  <c r="F156" i="25"/>
  <c r="G156" i="25"/>
  <c r="I156" i="25" s="1"/>
  <c r="F278" i="25"/>
  <c r="G278" i="25"/>
  <c r="I278" i="25" s="1"/>
  <c r="F32" i="25"/>
  <c r="G32" i="25"/>
  <c r="F311" i="25"/>
  <c r="G311" i="25"/>
  <c r="I311" i="25" s="1"/>
  <c r="F150" i="25"/>
  <c r="G150" i="25"/>
  <c r="F260" i="25"/>
  <c r="G260" i="25"/>
  <c r="I260" i="25" s="1"/>
  <c r="F227" i="25"/>
  <c r="G227" i="25"/>
  <c r="I227" i="25" s="1"/>
  <c r="G97" i="25"/>
  <c r="F46" i="25"/>
  <c r="G46" i="25"/>
  <c r="BN46" i="25" s="1"/>
  <c r="F79" i="25"/>
  <c r="G79" i="25"/>
  <c r="BN79" i="25" s="1"/>
  <c r="F68" i="25"/>
  <c r="G68" i="25"/>
  <c r="BN68" i="25" s="1"/>
  <c r="F18" i="25"/>
  <c r="G18" i="25"/>
  <c r="BN18" i="25" s="1"/>
  <c r="F51" i="25"/>
  <c r="G51" i="25"/>
  <c r="BN51" i="25" s="1"/>
  <c r="F72" i="25"/>
  <c r="G72" i="25"/>
  <c r="BN72" i="25" s="1"/>
  <c r="F67" i="25"/>
  <c r="G67" i="25"/>
  <c r="BN67" i="25" s="1"/>
  <c r="F171" i="25"/>
  <c r="G171" i="25"/>
  <c r="BN171" i="25" s="1"/>
  <c r="F295" i="25"/>
  <c r="G295" i="25"/>
  <c r="BN295" i="25" s="1"/>
  <c r="F82" i="25"/>
  <c r="BM82" i="25" s="1"/>
  <c r="F34" i="25"/>
  <c r="BM34" i="25" s="1"/>
  <c r="F80" i="25"/>
  <c r="BM80" i="25" s="1"/>
  <c r="F284" i="24"/>
  <c r="F311" i="24"/>
  <c r="F148" i="24"/>
  <c r="BO148" i="24" s="1"/>
  <c r="BR148" i="24" s="1"/>
  <c r="F127" i="24"/>
  <c r="BO127" i="24" s="1"/>
  <c r="BR127" i="24" s="1"/>
  <c r="F150" i="24"/>
  <c r="BO150" i="24" s="1"/>
  <c r="BR150" i="24" s="1"/>
  <c r="F87" i="25"/>
  <c r="BM87" i="25" s="1"/>
  <c r="F61" i="24"/>
  <c r="BO61" i="24" s="1"/>
  <c r="BR61" i="24" s="1"/>
  <c r="F42" i="24"/>
  <c r="BO42" i="24" s="1"/>
  <c r="BR42" i="24" s="1"/>
  <c r="F60" i="24"/>
  <c r="BO60" i="24" s="1"/>
  <c r="BR60" i="24" s="1"/>
  <c r="F53" i="24"/>
  <c r="BO53" i="24" s="1"/>
  <c r="BR53" i="24" s="1"/>
  <c r="F81" i="24"/>
  <c r="BO81" i="24" s="1"/>
  <c r="BR81" i="24" s="1"/>
  <c r="F92" i="24"/>
  <c r="F293" i="24"/>
  <c r="F240" i="24"/>
  <c r="F200" i="24"/>
  <c r="F15" i="24"/>
  <c r="F166" i="24"/>
  <c r="F300" i="24"/>
  <c r="F17" i="24"/>
  <c r="F34" i="24"/>
  <c r="F221" i="24"/>
  <c r="F270" i="24"/>
  <c r="F13" i="24"/>
  <c r="F313" i="24"/>
  <c r="F260" i="24"/>
  <c r="F156" i="24"/>
  <c r="F90" i="24"/>
  <c r="F245" i="24"/>
  <c r="F217" i="24"/>
  <c r="F275" i="24"/>
  <c r="F8" i="24"/>
  <c r="F199" i="24"/>
  <c r="F155" i="24"/>
  <c r="F220" i="24"/>
  <c r="F180" i="24"/>
  <c r="F27" i="24"/>
  <c r="F178" i="24"/>
  <c r="BO178" i="24" s="1"/>
  <c r="BR178" i="24" s="1"/>
  <c r="F312" i="24"/>
  <c r="F208" i="24"/>
  <c r="F89" i="24"/>
  <c r="F113" i="24"/>
  <c r="F306" i="24"/>
  <c r="F128" i="24"/>
  <c r="F231" i="24"/>
  <c r="F286" i="25"/>
  <c r="G286" i="25"/>
  <c r="F276" i="25"/>
  <c r="G276" i="25"/>
  <c r="I276" i="25" s="1"/>
  <c r="F288" i="25"/>
  <c r="G288" i="25"/>
  <c r="BN288" i="25" s="1"/>
  <c r="F259" i="25"/>
  <c r="BM259" i="25" s="1"/>
  <c r="G259" i="25"/>
  <c r="I259" i="25" s="1"/>
  <c r="F308" i="25"/>
  <c r="G308" i="25"/>
  <c r="F283" i="25"/>
  <c r="G283" i="25"/>
  <c r="I283" i="25" s="1"/>
  <c r="F301" i="25"/>
  <c r="G301" i="25"/>
  <c r="F287" i="25"/>
  <c r="G287" i="25"/>
  <c r="I287" i="25" s="1"/>
  <c r="F268" i="25"/>
  <c r="G268" i="25"/>
  <c r="F12" i="25"/>
  <c r="G12" i="25"/>
  <c r="F314" i="25"/>
  <c r="G314" i="25"/>
  <c r="F274" i="25"/>
  <c r="G274" i="25"/>
  <c r="BN274" i="25" s="1"/>
  <c r="F263" i="25"/>
  <c r="G263" i="25"/>
  <c r="F253" i="25"/>
  <c r="G253" i="25"/>
  <c r="BN253" i="25" s="1"/>
  <c r="F100" i="25"/>
  <c r="G100" i="25"/>
  <c r="I100" i="25" s="1"/>
  <c r="F76" i="25"/>
  <c r="G76" i="25"/>
  <c r="I76" i="25" s="1"/>
  <c r="F84" i="25"/>
  <c r="G84" i="25"/>
  <c r="BN84" i="25" s="1"/>
  <c r="F90" i="25"/>
  <c r="G90" i="25"/>
  <c r="F45" i="25"/>
  <c r="G45" i="25"/>
  <c r="F64" i="25"/>
  <c r="G64" i="25"/>
  <c r="F14" i="25"/>
  <c r="G14" i="25"/>
  <c r="F36" i="25"/>
  <c r="G36" i="25"/>
  <c r="I36" i="25" s="1"/>
  <c r="F306" i="25"/>
  <c r="G306" i="25"/>
  <c r="F231" i="25"/>
  <c r="G231" i="25"/>
  <c r="BN231" i="25" s="1"/>
  <c r="F285" i="25"/>
  <c r="G285" i="25"/>
  <c r="F101" i="25"/>
  <c r="G101" i="25"/>
  <c r="F19" i="25"/>
  <c r="G19" i="25"/>
  <c r="F187" i="25"/>
  <c r="G187" i="25"/>
  <c r="F55" i="25"/>
  <c r="G55" i="25"/>
  <c r="G50" i="25"/>
  <c r="F142" i="25"/>
  <c r="G142" i="25"/>
  <c r="F166" i="25"/>
  <c r="G166" i="25"/>
  <c r="F256" i="25"/>
  <c r="BM256" i="25" s="1"/>
  <c r="G256" i="25"/>
  <c r="I256" i="25" s="1"/>
  <c r="F41" i="25"/>
  <c r="G41" i="25"/>
  <c r="BN41" i="25" s="1"/>
  <c r="F133" i="25"/>
  <c r="G133" i="25"/>
  <c r="I133" i="25" s="1"/>
  <c r="F119" i="25"/>
  <c r="G119" i="25"/>
  <c r="BN119" i="25" s="1"/>
  <c r="F131" i="25"/>
  <c r="G131" i="25"/>
  <c r="I131" i="25" s="1"/>
  <c r="F167" i="25"/>
  <c r="G167" i="25"/>
  <c r="F184" i="25"/>
  <c r="G184" i="25"/>
  <c r="F209" i="25"/>
  <c r="G209" i="25"/>
  <c r="F175" i="25"/>
  <c r="G175" i="25"/>
  <c r="F201" i="25"/>
  <c r="G201" i="25"/>
  <c r="F289" i="25"/>
  <c r="G289" i="25"/>
  <c r="I289" i="25" s="1"/>
  <c r="F238" i="25"/>
  <c r="G238" i="25"/>
  <c r="I238" i="25" s="1"/>
  <c r="F234" i="25"/>
  <c r="G234" i="25"/>
  <c r="F313" i="25"/>
  <c r="G313" i="25"/>
  <c r="I313" i="25" s="1"/>
  <c r="F304" i="25"/>
  <c r="G304" i="25"/>
  <c r="F60" i="25"/>
  <c r="G60" i="25"/>
  <c r="F75" i="25"/>
  <c r="G75" i="25"/>
  <c r="I75" i="25" s="1"/>
  <c r="F95" i="25"/>
  <c r="G95" i="25"/>
  <c r="I95" i="25" s="1"/>
  <c r="F264" i="25"/>
  <c r="G264" i="25"/>
  <c r="BN264" i="25" s="1"/>
  <c r="F235" i="25"/>
  <c r="G235" i="25"/>
  <c r="I235" i="25" s="1"/>
  <c r="F183" i="24"/>
  <c r="BO183" i="24" s="1"/>
  <c r="BR183" i="24" s="1"/>
  <c r="F105" i="24"/>
  <c r="F63" i="25"/>
  <c r="BM63" i="25" s="1"/>
  <c r="F26" i="24"/>
  <c r="BO26" i="24" s="1"/>
  <c r="BR26" i="24" s="1"/>
  <c r="F9" i="24"/>
  <c r="F48" i="24"/>
  <c r="BO48" i="24" s="1"/>
  <c r="BR48" i="24" s="1"/>
  <c r="F11" i="24"/>
  <c r="BO11" i="24" s="1"/>
  <c r="BR11" i="24" s="1"/>
  <c r="F28" i="24"/>
  <c r="BO28" i="24" s="1"/>
  <c r="BR28" i="24" s="1"/>
  <c r="F78" i="24"/>
  <c r="BO78" i="24" s="1"/>
  <c r="BR78" i="24" s="1"/>
  <c r="F29" i="24"/>
  <c r="BO29" i="24" s="1"/>
  <c r="BR29" i="24" s="1"/>
  <c r="F277" i="25"/>
  <c r="BM277" i="25" s="1"/>
  <c r="F310" i="25"/>
  <c r="BM310" i="25" s="1"/>
  <c r="F111" i="25"/>
  <c r="BM111" i="25" s="1"/>
  <c r="F69" i="25"/>
  <c r="BM69" i="25" s="1"/>
  <c r="F25" i="24"/>
  <c r="F226" i="24"/>
  <c r="F149" i="24"/>
  <c r="F124" i="24"/>
  <c r="F227" i="24"/>
  <c r="F47" i="24"/>
  <c r="F121" i="24"/>
  <c r="F278" i="24"/>
  <c r="F210" i="24"/>
  <c r="F287" i="24"/>
  <c r="F65" i="24"/>
  <c r="BO65" i="24" s="1"/>
  <c r="BR65" i="24" s="1"/>
  <c r="F66" i="24"/>
  <c r="F218" i="24"/>
  <c r="F264" i="24"/>
  <c r="F219" i="24"/>
  <c r="F57" i="24"/>
  <c r="F80" i="24"/>
  <c r="F294" i="24"/>
  <c r="F197" i="24"/>
  <c r="F189" i="24"/>
  <c r="F49" i="24"/>
  <c r="F93" i="24"/>
  <c r="F154" i="24"/>
  <c r="F288" i="24"/>
  <c r="F184" i="24"/>
  <c r="F40" i="24"/>
  <c r="F305" i="24"/>
  <c r="F316" i="24"/>
  <c r="F203" i="24"/>
  <c r="F139" i="24"/>
  <c r="F222" i="24"/>
  <c r="F235" i="24"/>
  <c r="F32" i="24"/>
  <c r="F297" i="24"/>
  <c r="F244" i="24"/>
  <c r="F140" i="24"/>
  <c r="F240" i="25"/>
  <c r="G240" i="25"/>
  <c r="BN240" i="25" s="1"/>
  <c r="F284" i="25"/>
  <c r="G284" i="25"/>
  <c r="F267" i="25"/>
  <c r="G267" i="25"/>
  <c r="F251" i="25"/>
  <c r="G251" i="25"/>
  <c r="F33" i="25"/>
  <c r="G33" i="25"/>
  <c r="F27" i="25"/>
  <c r="G27" i="25"/>
  <c r="F154" i="25"/>
  <c r="G154" i="25"/>
  <c r="F261" i="25"/>
  <c r="G261" i="25"/>
  <c r="F249" i="25"/>
  <c r="G249" i="25"/>
  <c r="F217" i="25"/>
  <c r="G217" i="25"/>
  <c r="BN217" i="25" s="1"/>
  <c r="F28" i="25"/>
  <c r="G28" i="25"/>
  <c r="F65" i="25"/>
  <c r="G65" i="25"/>
  <c r="F228" i="25"/>
  <c r="G228" i="25"/>
  <c r="F299" i="25"/>
  <c r="BM299" i="25" s="1"/>
  <c r="G299" i="25"/>
  <c r="F155" i="25"/>
  <c r="G155" i="25"/>
  <c r="F172" i="25"/>
  <c r="G172" i="25"/>
  <c r="F181" i="25"/>
  <c r="G181" i="25"/>
  <c r="I181" i="25" s="1"/>
  <c r="F191" i="25"/>
  <c r="G191" i="25"/>
  <c r="F178" i="25"/>
  <c r="G178" i="25"/>
  <c r="F173" i="25"/>
  <c r="G173" i="25"/>
  <c r="F309" i="25"/>
  <c r="G309" i="25"/>
  <c r="F7" i="25"/>
  <c r="G7" i="25"/>
  <c r="F92" i="25"/>
  <c r="G92" i="25"/>
  <c r="F78" i="25"/>
  <c r="G78" i="25"/>
  <c r="F229" i="25"/>
  <c r="G229" i="25"/>
  <c r="BN229" i="25" s="1"/>
  <c r="F303" i="25"/>
  <c r="BM303" i="25" s="1"/>
  <c r="G303" i="25"/>
  <c r="F282" i="25"/>
  <c r="G282" i="25"/>
  <c r="BN282" i="25" s="1"/>
  <c r="F172" i="24"/>
  <c r="BO172" i="24" s="1"/>
  <c r="BR172" i="24" s="1"/>
  <c r="F50" i="25"/>
  <c r="BM50" i="25" s="1"/>
  <c r="F17" i="25"/>
  <c r="BM17" i="25" s="1"/>
  <c r="F97" i="25"/>
  <c r="BM97" i="25" s="1"/>
  <c r="F59" i="24"/>
  <c r="BO59" i="24" s="1"/>
  <c r="BR59" i="24" s="1"/>
  <c r="F15" i="25"/>
  <c r="BM15" i="25" s="1"/>
  <c r="F85" i="24"/>
  <c r="F10" i="24"/>
  <c r="F229" i="24"/>
  <c r="F136" i="24"/>
  <c r="F79" i="24"/>
  <c r="F289" i="24"/>
  <c r="F236" i="24"/>
  <c r="F196" i="24"/>
  <c r="F98" i="24"/>
  <c r="BO98" i="24" s="1"/>
  <c r="BR98" i="24" s="1"/>
  <c r="F310" i="24"/>
  <c r="F209" i="24"/>
  <c r="F193" i="24"/>
  <c r="F315" i="24"/>
  <c r="F30" i="24"/>
  <c r="F249" i="24"/>
  <c r="F135" i="24"/>
  <c r="F279" i="24"/>
  <c r="F35" i="24"/>
  <c r="F207" i="24"/>
  <c r="F238" i="24"/>
  <c r="F112" i="24"/>
  <c r="F72" i="24"/>
  <c r="F262" i="24"/>
  <c r="F173" i="24"/>
  <c r="F234" i="24"/>
  <c r="F303" i="24"/>
  <c r="F91" i="24"/>
  <c r="F301" i="24"/>
  <c r="F248" i="24"/>
  <c r="F144" i="24"/>
  <c r="F64" i="24"/>
  <c r="F242" i="24"/>
  <c r="F153" i="24"/>
  <c r="F161" i="24"/>
  <c r="F250" i="25"/>
  <c r="G250" i="25"/>
  <c r="F25" i="25"/>
  <c r="G25" i="25"/>
  <c r="F66" i="25"/>
  <c r="G66" i="25"/>
  <c r="F39" i="25"/>
  <c r="G39" i="25"/>
  <c r="F61" i="25"/>
  <c r="G61" i="25"/>
  <c r="F170" i="25"/>
  <c r="G170" i="25"/>
  <c r="F272" i="25"/>
  <c r="G272" i="25"/>
  <c r="F242" i="25"/>
  <c r="G242" i="25"/>
  <c r="I242" i="25" s="1"/>
  <c r="F252" i="25"/>
  <c r="G252" i="25"/>
  <c r="F225" i="25"/>
  <c r="G225" i="25"/>
  <c r="F247" i="25"/>
  <c r="G247" i="25"/>
  <c r="BN247" i="25" s="1"/>
  <c r="F316" i="25"/>
  <c r="G316" i="25"/>
  <c r="F293" i="25"/>
  <c r="G293" i="25"/>
  <c r="F281" i="25"/>
  <c r="G281" i="25"/>
  <c r="I281" i="25" s="1"/>
  <c r="F89" i="25"/>
  <c r="G89" i="25"/>
  <c r="F47" i="25"/>
  <c r="G47" i="25"/>
  <c r="F56" i="25"/>
  <c r="G56" i="25"/>
  <c r="I56" i="25" s="1"/>
  <c r="F86" i="25"/>
  <c r="G86" i="25"/>
  <c r="G110" i="25"/>
  <c r="BN110" i="25" s="1"/>
  <c r="BQ110" i="25" s="1"/>
  <c r="F305" i="25"/>
  <c r="G305" i="25"/>
  <c r="F124" i="25"/>
  <c r="G124" i="25"/>
  <c r="F121" i="25"/>
  <c r="G121" i="25"/>
  <c r="F136" i="25"/>
  <c r="G136" i="25"/>
  <c r="F161" i="25"/>
  <c r="G161" i="25"/>
  <c r="F292" i="25"/>
  <c r="G292" i="25"/>
  <c r="F243" i="25"/>
  <c r="G243" i="25"/>
  <c r="G216" i="25"/>
  <c r="BN216" i="25" s="1"/>
  <c r="BQ216" i="25" s="1"/>
  <c r="F298" i="25"/>
  <c r="G298" i="25"/>
  <c r="BN298" i="25" s="1"/>
  <c r="F113" i="25"/>
  <c r="G113" i="25"/>
  <c r="F148" i="25"/>
  <c r="G148" i="25"/>
  <c r="F233" i="25"/>
  <c r="G233" i="25"/>
  <c r="BN233" i="25" s="1"/>
  <c r="F291" i="25"/>
  <c r="G291" i="25"/>
  <c r="I291" i="25" s="1"/>
  <c r="F262" i="25"/>
  <c r="BM262" i="25" s="1"/>
  <c r="G262" i="25"/>
  <c r="F144" i="25"/>
  <c r="G144" i="25"/>
  <c r="F199" i="25"/>
  <c r="G199" i="25"/>
  <c r="I199" i="25" s="1"/>
  <c r="F146" i="25"/>
  <c r="G146" i="25"/>
  <c r="BN146" i="25" s="1"/>
  <c r="F220" i="25"/>
  <c r="G220" i="25"/>
  <c r="I220" i="25" s="1"/>
  <c r="F258" i="25"/>
  <c r="G258" i="25"/>
  <c r="BN258" i="25" s="1"/>
  <c r="F296" i="25"/>
  <c r="G296" i="25"/>
  <c r="I296" i="25" s="1"/>
  <c r="F248" i="25"/>
  <c r="G248" i="25"/>
  <c r="I248" i="25" s="1"/>
  <c r="F134" i="25"/>
  <c r="G134" i="25"/>
  <c r="I134" i="25" s="1"/>
  <c r="F128" i="25"/>
  <c r="G128" i="25"/>
  <c r="BN128" i="25" s="1"/>
  <c r="F302" i="25"/>
  <c r="G302" i="25"/>
  <c r="I302" i="25" s="1"/>
  <c r="F254" i="25"/>
  <c r="G254" i="25"/>
  <c r="I254" i="25" s="1"/>
  <c r="F112" i="25"/>
  <c r="G112" i="25"/>
  <c r="F103" i="25"/>
  <c r="G103" i="25"/>
  <c r="F88" i="25"/>
  <c r="G88" i="25"/>
  <c r="F147" i="25"/>
  <c r="G147" i="25"/>
  <c r="F138" i="25"/>
  <c r="G138" i="25"/>
  <c r="I138" i="25" s="1"/>
  <c r="F224" i="25"/>
  <c r="BM224" i="25" s="1"/>
  <c r="G224" i="25"/>
  <c r="BN224" i="25" s="1"/>
  <c r="F275" i="25"/>
  <c r="G275" i="25"/>
  <c r="I275" i="25" s="1"/>
  <c r="F223" i="25"/>
  <c r="G223" i="25"/>
  <c r="I223" i="25" s="1"/>
  <c r="F158" i="25"/>
  <c r="G158" i="25"/>
  <c r="F222" i="25"/>
  <c r="G222" i="25"/>
  <c r="I222" i="25" s="1"/>
  <c r="F102" i="25"/>
  <c r="G102" i="25"/>
  <c r="F10" i="25"/>
  <c r="BM10" i="25" s="1"/>
  <c r="G10" i="25"/>
  <c r="F244" i="25"/>
  <c r="G244" i="25"/>
  <c r="I244" i="25" s="1"/>
  <c r="F294" i="25"/>
  <c r="G294" i="25"/>
  <c r="I294" i="25" s="1"/>
  <c r="CB5" i="25" l="1"/>
  <c r="CF5" i="25"/>
  <c r="BO228" i="24"/>
  <c r="BR228" i="24" s="1"/>
  <c r="BO302" i="24"/>
  <c r="BR302" i="24" s="1"/>
  <c r="BO277" i="24"/>
  <c r="BR277" i="24" s="1"/>
  <c r="BO250" i="24"/>
  <c r="BR250" i="24" s="1"/>
  <c r="BO235" i="24"/>
  <c r="BR235" i="24" s="1"/>
  <c r="BO284" i="24"/>
  <c r="BR284" i="24" s="1"/>
  <c r="BO259" i="24"/>
  <c r="BR259" i="24" s="1"/>
  <c r="BO223" i="24"/>
  <c r="BR223" i="24" s="1"/>
  <c r="I294" i="24"/>
  <c r="S294" i="24" s="1"/>
  <c r="T294" i="24" s="1"/>
  <c r="BO274" i="24"/>
  <c r="BR274" i="24" s="1"/>
  <c r="BO241" i="24"/>
  <c r="BR241" i="24" s="1"/>
  <c r="I257" i="24"/>
  <c r="M257" i="24" s="1"/>
  <c r="N257" i="24" s="1"/>
  <c r="P257" i="24" s="1"/>
  <c r="BO298" i="24"/>
  <c r="BR298" i="24" s="1"/>
  <c r="BO281" i="24"/>
  <c r="BR281" i="24" s="1"/>
  <c r="BO311" i="24"/>
  <c r="BR311" i="24" s="1"/>
  <c r="BO243" i="24"/>
  <c r="BR243" i="24" s="1"/>
  <c r="I236" i="24"/>
  <c r="BK236" i="24" s="1"/>
  <c r="BO251" i="24"/>
  <c r="BR251" i="24" s="1"/>
  <c r="I233" i="24"/>
  <c r="S233" i="24" s="1"/>
  <c r="T233" i="24" s="1"/>
  <c r="BO291" i="24"/>
  <c r="BR291" i="24" s="1"/>
  <c r="I264" i="24"/>
  <c r="K264" i="24" s="1"/>
  <c r="BO285" i="24"/>
  <c r="BR285" i="24" s="1"/>
  <c r="BO275" i="24"/>
  <c r="BR275" i="24" s="1"/>
  <c r="BO283" i="24"/>
  <c r="BR283" i="24" s="1"/>
  <c r="BO307" i="24"/>
  <c r="BR307" i="24" s="1"/>
  <c r="I292" i="24"/>
  <c r="S292" i="24" s="1"/>
  <c r="T292" i="24" s="1"/>
  <c r="BQ218" i="25"/>
  <c r="BO105" i="24"/>
  <c r="BR105" i="24" s="1"/>
  <c r="BQ82" i="25"/>
  <c r="BQ69" i="25"/>
  <c r="BQ87" i="25"/>
  <c r="J29" i="25"/>
  <c r="BI29" i="25" s="1"/>
  <c r="J257" i="25"/>
  <c r="N257" i="25" s="1"/>
  <c r="T257" i="25" s="1"/>
  <c r="J179" i="25"/>
  <c r="BI179" i="25" s="1"/>
  <c r="J143" i="25"/>
  <c r="N143" i="25" s="1"/>
  <c r="P143" i="25" s="1"/>
  <c r="I69" i="25"/>
  <c r="J293" i="25"/>
  <c r="N293" i="25" s="1"/>
  <c r="T293" i="25" s="1"/>
  <c r="BQ30" i="25"/>
  <c r="I274" i="25"/>
  <c r="I43" i="25"/>
  <c r="J110" i="25"/>
  <c r="N110" i="25" s="1"/>
  <c r="O110" i="25" s="1"/>
  <c r="J265" i="25"/>
  <c r="BI265" i="25" s="1"/>
  <c r="BQ193" i="25"/>
  <c r="J11" i="25"/>
  <c r="L11" i="25" s="1"/>
  <c r="BN202" i="25"/>
  <c r="BQ202" i="25" s="1"/>
  <c r="BQ141" i="25"/>
  <c r="I253" i="25"/>
  <c r="BN186" i="25"/>
  <c r="BQ186" i="25" s="1"/>
  <c r="J129" i="25"/>
  <c r="N129" i="25" s="1"/>
  <c r="O129" i="25" s="1"/>
  <c r="I41" i="24"/>
  <c r="M41" i="24" s="1"/>
  <c r="BN81" i="25"/>
  <c r="BQ81" i="25" s="1"/>
  <c r="I40" i="25"/>
  <c r="I35" i="25"/>
  <c r="I230" i="25"/>
  <c r="I141" i="25"/>
  <c r="J77" i="25"/>
  <c r="BI77" i="25" s="1"/>
  <c r="BN52" i="25"/>
  <c r="I257" i="25"/>
  <c r="BQ224" i="25"/>
  <c r="J258" i="25"/>
  <c r="BI258" i="25" s="1"/>
  <c r="J131" i="25"/>
  <c r="N131" i="25" s="1"/>
  <c r="I290" i="25"/>
  <c r="BQ159" i="25"/>
  <c r="J237" i="25"/>
  <c r="L237" i="25" s="1"/>
  <c r="BO45" i="24"/>
  <c r="BR45" i="24" s="1"/>
  <c r="BN235" i="25"/>
  <c r="I119" i="25"/>
  <c r="BN156" i="25"/>
  <c r="I149" i="25"/>
  <c r="I280" i="25"/>
  <c r="I203" i="25"/>
  <c r="J189" i="25"/>
  <c r="BI189" i="25" s="1"/>
  <c r="BQ53" i="25"/>
  <c r="I164" i="25"/>
  <c r="I8" i="25"/>
  <c r="I241" i="25"/>
  <c r="I125" i="25"/>
  <c r="I87" i="25"/>
  <c r="I55" i="24"/>
  <c r="BK55" i="24" s="1"/>
  <c r="J28" i="25"/>
  <c r="BI28" i="25" s="1"/>
  <c r="I24" i="25"/>
  <c r="I193" i="25"/>
  <c r="J177" i="25"/>
  <c r="N177" i="25" s="1"/>
  <c r="T177" i="25" s="1"/>
  <c r="J280" i="25"/>
  <c r="L280" i="25" s="1"/>
  <c r="I72" i="25"/>
  <c r="I54" i="25"/>
  <c r="I207" i="25"/>
  <c r="BN239" i="25"/>
  <c r="BQ239" i="25" s="1"/>
  <c r="BN95" i="25"/>
  <c r="J104" i="25"/>
  <c r="L104" i="25" s="1"/>
  <c r="I206" i="25"/>
  <c r="I277" i="25"/>
  <c r="I83" i="25"/>
  <c r="J94" i="25"/>
  <c r="BI94" i="25" s="1"/>
  <c r="BO233" i="24"/>
  <c r="BR233" i="24" s="1"/>
  <c r="I160" i="24"/>
  <c r="S160" i="24" s="1"/>
  <c r="T160" i="24" s="1"/>
  <c r="I233" i="25"/>
  <c r="BN276" i="25"/>
  <c r="I171" i="25"/>
  <c r="I18" i="25"/>
  <c r="I79" i="25"/>
  <c r="I135" i="25"/>
  <c r="I153" i="25"/>
  <c r="I123" i="25"/>
  <c r="I57" i="25"/>
  <c r="I91" i="25"/>
  <c r="I48" i="25"/>
  <c r="I205" i="25"/>
  <c r="BN44" i="25"/>
  <c r="BQ44" i="25" s="1"/>
  <c r="I185" i="25"/>
  <c r="I218" i="25"/>
  <c r="BN77" i="25"/>
  <c r="BN13" i="25"/>
  <c r="I269" i="25"/>
  <c r="BM257" i="25"/>
  <c r="BQ257" i="25" s="1"/>
  <c r="I236" i="25"/>
  <c r="BM143" i="25"/>
  <c r="BQ143" i="25" s="1"/>
  <c r="BN131" i="25"/>
  <c r="BN133" i="25"/>
  <c r="BN256" i="25"/>
  <c r="BQ256" i="25" s="1"/>
  <c r="I231" i="25"/>
  <c r="BN287" i="25"/>
  <c r="I130" i="25"/>
  <c r="I197" i="25"/>
  <c r="BN198" i="25"/>
  <c r="BN104" i="25"/>
  <c r="I160" i="25"/>
  <c r="I26" i="25"/>
  <c r="BN245" i="25"/>
  <c r="BN38" i="25"/>
  <c r="BQ38" i="25" s="1"/>
  <c r="BN220" i="25"/>
  <c r="I146" i="25"/>
  <c r="I41" i="25"/>
  <c r="BN36" i="25"/>
  <c r="BN76" i="25"/>
  <c r="BN311" i="25"/>
  <c r="BQ48" i="25"/>
  <c r="I200" i="25"/>
  <c r="I179" i="25"/>
  <c r="I143" i="25"/>
  <c r="I151" i="25"/>
  <c r="BN177" i="25"/>
  <c r="BN270" i="25"/>
  <c r="I23" i="25"/>
  <c r="BN294" i="25"/>
  <c r="I128" i="25"/>
  <c r="I84" i="25"/>
  <c r="BN100" i="25"/>
  <c r="BN259" i="25"/>
  <c r="BQ259" i="25" s="1"/>
  <c r="BN227" i="25"/>
  <c r="I139" i="25"/>
  <c r="I115" i="25"/>
  <c r="I159" i="25"/>
  <c r="BN271" i="25"/>
  <c r="I300" i="25"/>
  <c r="I58" i="25"/>
  <c r="BN302" i="25"/>
  <c r="I67" i="25"/>
  <c r="I51" i="25"/>
  <c r="I68" i="25"/>
  <c r="I46" i="25"/>
  <c r="I196" i="25"/>
  <c r="I127" i="25"/>
  <c r="I140" i="25"/>
  <c r="I22" i="25"/>
  <c r="I98" i="25"/>
  <c r="I20" i="25"/>
  <c r="I85" i="25"/>
  <c r="I312" i="25"/>
  <c r="I315" i="25"/>
  <c r="I70" i="25"/>
  <c r="BN189" i="25"/>
  <c r="BN255" i="25"/>
  <c r="J190" i="25"/>
  <c r="L190" i="25" s="1"/>
  <c r="BN94" i="25"/>
  <c r="BQ277" i="25"/>
  <c r="I183" i="25"/>
  <c r="I273" i="25"/>
  <c r="BM29" i="25"/>
  <c r="BQ29" i="25" s="1"/>
  <c r="BN310" i="25"/>
  <c r="BQ310" i="25" s="1"/>
  <c r="BQ58" i="25"/>
  <c r="I237" i="25"/>
  <c r="BN134" i="25"/>
  <c r="BN283" i="25"/>
  <c r="I116" i="25"/>
  <c r="I118" i="25"/>
  <c r="I21" i="25"/>
  <c r="BQ315" i="25"/>
  <c r="I30" i="25"/>
  <c r="I82" i="25"/>
  <c r="I258" i="25"/>
  <c r="BN248" i="25"/>
  <c r="I282" i="25"/>
  <c r="BN75" i="25"/>
  <c r="BN307" i="25"/>
  <c r="I114" i="25"/>
  <c r="BN265" i="25"/>
  <c r="I266" i="25"/>
  <c r="BK44" i="24"/>
  <c r="S44" i="24"/>
  <c r="T44" i="24" s="1"/>
  <c r="AL291" i="25"/>
  <c r="CC291" i="25"/>
  <c r="H291" i="25"/>
  <c r="J291" i="25"/>
  <c r="L291" i="25" s="1"/>
  <c r="BM291" i="25"/>
  <c r="BN305" i="25"/>
  <c r="I305" i="25"/>
  <c r="BN275" i="25"/>
  <c r="BN161" i="25"/>
  <c r="K72" i="24"/>
  <c r="AM72" i="24"/>
  <c r="H72" i="24"/>
  <c r="CE72" i="24"/>
  <c r="CF72" i="24"/>
  <c r="I72" i="24"/>
  <c r="M72" i="24" s="1"/>
  <c r="N72" i="24" s="1"/>
  <c r="BO72" i="24"/>
  <c r="BR72" i="24" s="1"/>
  <c r="K30" i="24"/>
  <c r="AM30" i="24"/>
  <c r="H30" i="24"/>
  <c r="I30" i="24"/>
  <c r="M30" i="24" s="1"/>
  <c r="N30" i="24" s="1"/>
  <c r="BO30" i="24"/>
  <c r="BR30" i="24" s="1"/>
  <c r="CE289" i="24"/>
  <c r="CF289" i="24"/>
  <c r="H289" i="24"/>
  <c r="AM289" i="24"/>
  <c r="I289" i="24"/>
  <c r="K289" i="24" s="1"/>
  <c r="BO289" i="24"/>
  <c r="BR289" i="24" s="1"/>
  <c r="I28" i="25"/>
  <c r="BN28" i="25"/>
  <c r="CC154" i="25"/>
  <c r="AL154" i="25"/>
  <c r="H154" i="25"/>
  <c r="J154" i="25"/>
  <c r="L154" i="25" s="1"/>
  <c r="BM154" i="25"/>
  <c r="I267" i="25"/>
  <c r="BN267" i="25"/>
  <c r="AM219" i="24"/>
  <c r="H219" i="24"/>
  <c r="CE219" i="24"/>
  <c r="CF219" i="24"/>
  <c r="I219" i="24"/>
  <c r="M219" i="24" s="1"/>
  <c r="N219" i="24" s="1"/>
  <c r="BO219" i="24"/>
  <c r="BR219" i="24" s="1"/>
  <c r="CF121" i="24"/>
  <c r="AM121" i="24"/>
  <c r="H121" i="24"/>
  <c r="CE121" i="24"/>
  <c r="I121" i="24"/>
  <c r="M121" i="24" s="1"/>
  <c r="N121" i="24" s="1"/>
  <c r="BO121" i="24"/>
  <c r="BR121" i="24" s="1"/>
  <c r="CF9" i="24"/>
  <c r="CE9" i="24"/>
  <c r="AM9" i="24"/>
  <c r="K9" i="24"/>
  <c r="H9" i="24"/>
  <c r="I9" i="24"/>
  <c r="I187" i="25"/>
  <c r="BN187" i="25"/>
  <c r="AL222" i="25"/>
  <c r="H222" i="25"/>
  <c r="CC222" i="25"/>
  <c r="BM222" i="25"/>
  <c r="J222" i="25"/>
  <c r="CE103" i="25"/>
  <c r="H103" i="25"/>
  <c r="CF103" i="25"/>
  <c r="AL103" i="25"/>
  <c r="CC103" i="25"/>
  <c r="J103" i="25"/>
  <c r="CC128" i="25"/>
  <c r="H128" i="25"/>
  <c r="AL128" i="25"/>
  <c r="J128" i="25"/>
  <c r="I148" i="25"/>
  <c r="BN199" i="25"/>
  <c r="CC136" i="25"/>
  <c r="AL136" i="25"/>
  <c r="H136" i="25"/>
  <c r="J136" i="25"/>
  <c r="BM136" i="25"/>
  <c r="H56" i="25"/>
  <c r="AL56" i="25"/>
  <c r="CC56" i="25"/>
  <c r="BM56" i="25"/>
  <c r="J56" i="25"/>
  <c r="L56" i="25" s="1"/>
  <c r="BN293" i="25"/>
  <c r="I293" i="25"/>
  <c r="H252" i="25"/>
  <c r="AL252" i="25"/>
  <c r="CC252" i="25"/>
  <c r="BM252" i="25"/>
  <c r="J252" i="25"/>
  <c r="L252" i="25" s="1"/>
  <c r="I61" i="25"/>
  <c r="H250" i="25"/>
  <c r="CC250" i="25"/>
  <c r="AL250" i="25"/>
  <c r="BM250" i="25"/>
  <c r="J250" i="25"/>
  <c r="L250" i="25" s="1"/>
  <c r="H91" i="24"/>
  <c r="CF91" i="24"/>
  <c r="AM91" i="24"/>
  <c r="CE91" i="24"/>
  <c r="K91" i="24"/>
  <c r="I91" i="24"/>
  <c r="AM207" i="24"/>
  <c r="CF207" i="24"/>
  <c r="CE207" i="24"/>
  <c r="H207" i="24"/>
  <c r="I207" i="24"/>
  <c r="K207" i="24" s="1"/>
  <c r="BO207" i="24"/>
  <c r="BR207" i="24" s="1"/>
  <c r="AM209" i="24"/>
  <c r="H209" i="24"/>
  <c r="I209" i="24"/>
  <c r="K209" i="24" s="1"/>
  <c r="BO209" i="24"/>
  <c r="BR209" i="24" s="1"/>
  <c r="H229" i="24"/>
  <c r="CF229" i="24"/>
  <c r="AM229" i="24"/>
  <c r="CE229" i="24"/>
  <c r="I229" i="24"/>
  <c r="K229" i="24" s="1"/>
  <c r="BO229" i="24"/>
  <c r="BR229" i="24" s="1"/>
  <c r="CE17" i="25"/>
  <c r="CF17" i="25"/>
  <c r="CC17" i="25"/>
  <c r="AL17" i="25"/>
  <c r="H17" i="25"/>
  <c r="J17" i="25"/>
  <c r="H303" i="25"/>
  <c r="AL303" i="25"/>
  <c r="CC303" i="25"/>
  <c r="J303" i="25"/>
  <c r="L303" i="25" s="1"/>
  <c r="I7" i="25"/>
  <c r="H191" i="25"/>
  <c r="AL191" i="25"/>
  <c r="CC191" i="25"/>
  <c r="BM191" i="25"/>
  <c r="I299" i="25"/>
  <c r="BN299" i="25"/>
  <c r="BQ299" i="25" s="1"/>
  <c r="AL217" i="25"/>
  <c r="CC217" i="25"/>
  <c r="H217" i="25"/>
  <c r="J217" i="25"/>
  <c r="L217" i="25" s="1"/>
  <c r="BM217" i="25"/>
  <c r="BQ217" i="25" s="1"/>
  <c r="I27" i="25"/>
  <c r="BN27" i="25"/>
  <c r="H284" i="25"/>
  <c r="AL284" i="25"/>
  <c r="CC284" i="25"/>
  <c r="J284" i="25"/>
  <c r="BM284" i="25"/>
  <c r="CF140" i="24"/>
  <c r="CE140" i="24"/>
  <c r="AM140" i="24"/>
  <c r="H140" i="24"/>
  <c r="I140" i="24"/>
  <c r="K140" i="24" s="1"/>
  <c r="BO140" i="24"/>
  <c r="BR140" i="24" s="1"/>
  <c r="AM316" i="24"/>
  <c r="H316" i="24"/>
  <c r="CE316" i="24"/>
  <c r="I316" i="24"/>
  <c r="K316" i="24" s="1"/>
  <c r="CE189" i="24"/>
  <c r="AM189" i="24"/>
  <c r="CF189" i="24"/>
  <c r="H189" i="24"/>
  <c r="I189" i="24"/>
  <c r="BO189" i="24"/>
  <c r="BR189" i="24" s="1"/>
  <c r="H66" i="24"/>
  <c r="AM66" i="24"/>
  <c r="K66" i="24"/>
  <c r="I66" i="24"/>
  <c r="BO66" i="24"/>
  <c r="BR66" i="24" s="1"/>
  <c r="CE124" i="24"/>
  <c r="H124" i="24"/>
  <c r="CF124" i="24"/>
  <c r="AM124" i="24"/>
  <c r="BO124" i="24"/>
  <c r="BR124" i="24" s="1"/>
  <c r="I124" i="24"/>
  <c r="K124" i="24" s="1"/>
  <c r="CC310" i="25"/>
  <c r="H310" i="25"/>
  <c r="AL310" i="25"/>
  <c r="J310" i="25"/>
  <c r="L310" i="25" s="1"/>
  <c r="H29" i="24"/>
  <c r="CF29" i="24"/>
  <c r="CE29" i="24"/>
  <c r="AM29" i="24"/>
  <c r="K29" i="24"/>
  <c r="I29" i="24"/>
  <c r="BO79" i="24"/>
  <c r="BR79" i="24" s="1"/>
  <c r="AM105" i="24"/>
  <c r="K105" i="24"/>
  <c r="H105" i="24"/>
  <c r="I105" i="24"/>
  <c r="H60" i="25"/>
  <c r="CC60" i="25"/>
  <c r="AL60" i="25"/>
  <c r="J60" i="25"/>
  <c r="L60" i="25" s="1"/>
  <c r="BM60" i="25"/>
  <c r="BN238" i="25"/>
  <c r="I209" i="25"/>
  <c r="BN209" i="25"/>
  <c r="BN50" i="25"/>
  <c r="BQ50" i="25" s="1"/>
  <c r="AL19" i="25"/>
  <c r="CC19" i="25"/>
  <c r="CE19" i="25"/>
  <c r="CF19" i="25"/>
  <c r="H19" i="25"/>
  <c r="J19" i="25"/>
  <c r="L19" i="25" s="1"/>
  <c r="BM19" i="25"/>
  <c r="CC231" i="25"/>
  <c r="H231" i="25"/>
  <c r="AL231" i="25"/>
  <c r="BM231" i="25"/>
  <c r="BQ231" i="25" s="1"/>
  <c r="J231" i="25"/>
  <c r="H64" i="25"/>
  <c r="AL64" i="25"/>
  <c r="CC64" i="25"/>
  <c r="J64" i="25"/>
  <c r="BM64" i="25"/>
  <c r="AL84" i="25"/>
  <c r="CC84" i="25"/>
  <c r="CF84" i="25"/>
  <c r="CE84" i="25"/>
  <c r="H84" i="25"/>
  <c r="BM84" i="25"/>
  <c r="BQ84" i="25" s="1"/>
  <c r="J84" i="25"/>
  <c r="CC76" i="25"/>
  <c r="H76" i="25"/>
  <c r="AL76" i="25"/>
  <c r="CF76" i="25"/>
  <c r="CE76" i="25"/>
  <c r="BM76" i="25"/>
  <c r="J76" i="25"/>
  <c r="L76" i="25" s="1"/>
  <c r="H100" i="25"/>
  <c r="CF100" i="25"/>
  <c r="CE100" i="25"/>
  <c r="AL100" i="25"/>
  <c r="CC100" i="25"/>
  <c r="BM100" i="25"/>
  <c r="J100" i="25"/>
  <c r="L100" i="25" s="1"/>
  <c r="CC253" i="25"/>
  <c r="H253" i="25"/>
  <c r="AL253" i="25"/>
  <c r="BM253" i="25"/>
  <c r="BQ253" i="25" s="1"/>
  <c r="J253" i="25"/>
  <c r="L253" i="25" s="1"/>
  <c r="I268" i="25"/>
  <c r="BN268" i="25"/>
  <c r="AL301" i="25"/>
  <c r="H301" i="25"/>
  <c r="CC301" i="25"/>
  <c r="BM301" i="25"/>
  <c r="J301" i="25"/>
  <c r="L301" i="25" s="1"/>
  <c r="I308" i="25"/>
  <c r="BN308" i="25"/>
  <c r="H288" i="25"/>
  <c r="AL288" i="25"/>
  <c r="CC288" i="25"/>
  <c r="J288" i="25"/>
  <c r="L288" i="25" s="1"/>
  <c r="I286" i="25"/>
  <c r="BN286" i="25"/>
  <c r="H113" i="24"/>
  <c r="CF113" i="24"/>
  <c r="CE113" i="24"/>
  <c r="AM113" i="24"/>
  <c r="I113" i="24"/>
  <c r="K113" i="24" s="1"/>
  <c r="BO113" i="24"/>
  <c r="BR113" i="24" s="1"/>
  <c r="CF155" i="24"/>
  <c r="CE155" i="24"/>
  <c r="AM155" i="24"/>
  <c r="H155" i="24"/>
  <c r="I155" i="24"/>
  <c r="K155" i="24" s="1"/>
  <c r="BO155" i="24"/>
  <c r="BR155" i="24" s="1"/>
  <c r="CE260" i="24"/>
  <c r="H260" i="24"/>
  <c r="CF260" i="24"/>
  <c r="AM260" i="24"/>
  <c r="I260" i="24"/>
  <c r="K260" i="24" s="1"/>
  <c r="BO260" i="24"/>
  <c r="BR260" i="24" s="1"/>
  <c r="AM166" i="24"/>
  <c r="H166" i="24"/>
  <c r="I166" i="24"/>
  <c r="K166" i="24" s="1"/>
  <c r="AM60" i="24"/>
  <c r="H60" i="24"/>
  <c r="CE60" i="24"/>
  <c r="K60" i="24"/>
  <c r="CF60" i="24"/>
  <c r="I60" i="24"/>
  <c r="H148" i="24"/>
  <c r="CF148" i="24"/>
  <c r="AM148" i="24"/>
  <c r="CE148" i="24"/>
  <c r="I148" i="24"/>
  <c r="K148" i="24" s="1"/>
  <c r="H171" i="25"/>
  <c r="AL171" i="25"/>
  <c r="CC171" i="25"/>
  <c r="BM171" i="25"/>
  <c r="BQ171" i="25" s="1"/>
  <c r="AL67" i="25"/>
  <c r="H67" i="25"/>
  <c r="CC67" i="25"/>
  <c r="CE67" i="25"/>
  <c r="CF67" i="25"/>
  <c r="J67" i="25"/>
  <c r="L67" i="25" s="1"/>
  <c r="BM67" i="25"/>
  <c r="BQ67" i="25" s="1"/>
  <c r="H72" i="25"/>
  <c r="CC72" i="25"/>
  <c r="AL72" i="25"/>
  <c r="BM72" i="25"/>
  <c r="BQ72" i="25" s="1"/>
  <c r="J72" i="25"/>
  <c r="L72" i="25" s="1"/>
  <c r="CC51" i="25"/>
  <c r="CF51" i="25"/>
  <c r="CE51" i="25"/>
  <c r="AL51" i="25"/>
  <c r="H51" i="25"/>
  <c r="J51" i="25"/>
  <c r="BM51" i="25"/>
  <c r="BQ51" i="25" s="1"/>
  <c r="H18" i="25"/>
  <c r="AL18" i="25"/>
  <c r="CC18" i="25"/>
  <c r="CE18" i="25"/>
  <c r="CF18" i="25"/>
  <c r="J18" i="25"/>
  <c r="BM18" i="25"/>
  <c r="BQ18" i="25" s="1"/>
  <c r="CC68" i="25"/>
  <c r="AL68" i="25"/>
  <c r="H68" i="25"/>
  <c r="BM68" i="25"/>
  <c r="BQ68" i="25" s="1"/>
  <c r="J68" i="25"/>
  <c r="L68" i="25" s="1"/>
  <c r="CC79" i="25"/>
  <c r="AL79" i="25"/>
  <c r="H79" i="25"/>
  <c r="J79" i="25"/>
  <c r="BM79" i="25"/>
  <c r="BQ79" i="25" s="1"/>
  <c r="H46" i="25"/>
  <c r="AL46" i="25"/>
  <c r="CC46" i="25"/>
  <c r="CF46" i="25"/>
  <c r="CE46" i="25"/>
  <c r="J46" i="25"/>
  <c r="L46" i="25" s="1"/>
  <c r="BM46" i="25"/>
  <c r="BQ46" i="25" s="1"/>
  <c r="H156" i="25"/>
  <c r="CC156" i="25"/>
  <c r="AL156" i="25"/>
  <c r="BM156" i="25"/>
  <c r="J156" i="25"/>
  <c r="L156" i="25" s="1"/>
  <c r="AL139" i="25"/>
  <c r="CC139" i="25"/>
  <c r="H139" i="25"/>
  <c r="J139" i="25"/>
  <c r="BM139" i="25"/>
  <c r="BQ139" i="25" s="1"/>
  <c r="AL54" i="25"/>
  <c r="CC54" i="25"/>
  <c r="H54" i="25"/>
  <c r="BM54" i="25"/>
  <c r="BQ54" i="25" s="1"/>
  <c r="H40" i="25"/>
  <c r="AL40" i="25"/>
  <c r="CC40" i="25"/>
  <c r="CE40" i="25"/>
  <c r="CF40" i="25"/>
  <c r="J40" i="25"/>
  <c r="L40" i="25" s="1"/>
  <c r="BM40" i="25"/>
  <c r="BQ40" i="25" s="1"/>
  <c r="CE43" i="25"/>
  <c r="AL43" i="25"/>
  <c r="CC43" i="25"/>
  <c r="CF43" i="25"/>
  <c r="H43" i="25"/>
  <c r="BM43" i="25"/>
  <c r="BQ43" i="25" s="1"/>
  <c r="AL312" i="25"/>
  <c r="CC312" i="25"/>
  <c r="H312" i="25"/>
  <c r="BM312" i="25"/>
  <c r="BQ312" i="25" s="1"/>
  <c r="J312" i="25"/>
  <c r="BN297" i="25"/>
  <c r="BN117" i="25"/>
  <c r="H174" i="24"/>
  <c r="AM174" i="24"/>
  <c r="I174" i="24"/>
  <c r="K174" i="24" s="1"/>
  <c r="BO174" i="24"/>
  <c r="BR174" i="24" s="1"/>
  <c r="AM151" i="24"/>
  <c r="H151" i="24"/>
  <c r="BO151" i="24"/>
  <c r="BR151" i="24" s="1"/>
  <c r="CE239" i="24"/>
  <c r="CF239" i="24"/>
  <c r="AM239" i="24"/>
  <c r="H239" i="24"/>
  <c r="I239" i="24"/>
  <c r="K239" i="24" s="1"/>
  <c r="BO239" i="24"/>
  <c r="BR239" i="24" s="1"/>
  <c r="BO49" i="24"/>
  <c r="BR49" i="24" s="1"/>
  <c r="CC205" i="25"/>
  <c r="AL205" i="25"/>
  <c r="H205" i="25"/>
  <c r="J205" i="25"/>
  <c r="L205" i="25" s="1"/>
  <c r="BM205" i="25"/>
  <c r="BQ205" i="25" s="1"/>
  <c r="BN96" i="25"/>
  <c r="I96" i="25"/>
  <c r="BN219" i="25"/>
  <c r="H273" i="25"/>
  <c r="AL273" i="25"/>
  <c r="CC273" i="25"/>
  <c r="J273" i="25"/>
  <c r="N273" i="25" s="1"/>
  <c r="BM273" i="25"/>
  <c r="BQ273" i="25" s="1"/>
  <c r="I168" i="25"/>
  <c r="BQ151" i="25"/>
  <c r="BN15" i="25"/>
  <c r="BQ15" i="25" s="1"/>
  <c r="AM52" i="24"/>
  <c r="H52" i="24"/>
  <c r="K52" i="24"/>
  <c r="CE52" i="24"/>
  <c r="CF52" i="24"/>
  <c r="I52" i="24"/>
  <c r="M52" i="24" s="1"/>
  <c r="N52" i="24" s="1"/>
  <c r="BK45" i="24"/>
  <c r="S45" i="24"/>
  <c r="T45" i="24" s="1"/>
  <c r="M45" i="24"/>
  <c r="N45" i="24" s="1"/>
  <c r="K88" i="24"/>
  <c r="AM88" i="24"/>
  <c r="H88" i="24"/>
  <c r="I88" i="24"/>
  <c r="M88" i="24" s="1"/>
  <c r="N88" i="24" s="1"/>
  <c r="BO88" i="24"/>
  <c r="BR88" i="24" s="1"/>
  <c r="BM288" i="25"/>
  <c r="BQ288" i="25" s="1"/>
  <c r="I42" i="25"/>
  <c r="BN42" i="25"/>
  <c r="CE169" i="24"/>
  <c r="AM169" i="24"/>
  <c r="CF169" i="24"/>
  <c r="H169" i="24"/>
  <c r="I169" i="24"/>
  <c r="K169" i="24" s="1"/>
  <c r="BO169" i="24"/>
  <c r="BR169" i="24" s="1"/>
  <c r="I161" i="25"/>
  <c r="BN242" i="25"/>
  <c r="BO180" i="24"/>
  <c r="BR180" i="24" s="1"/>
  <c r="J169" i="25"/>
  <c r="L169" i="25" s="1"/>
  <c r="J54" i="25"/>
  <c r="BM45" i="25"/>
  <c r="J191" i="25"/>
  <c r="I85" i="24"/>
  <c r="H296" i="25"/>
  <c r="AL296" i="25"/>
  <c r="CC296" i="25"/>
  <c r="J296" i="25"/>
  <c r="N296" i="25" s="1"/>
  <c r="BM296" i="25"/>
  <c r="BN225" i="25"/>
  <c r="I225" i="25"/>
  <c r="AL170" i="25"/>
  <c r="CC170" i="25"/>
  <c r="H170" i="25"/>
  <c r="BM170" i="25"/>
  <c r="J170" i="25"/>
  <c r="N170" i="25" s="1"/>
  <c r="I178" i="25"/>
  <c r="BN178" i="25"/>
  <c r="AL155" i="25"/>
  <c r="CC155" i="25"/>
  <c r="H155" i="25"/>
  <c r="J155" i="25"/>
  <c r="L155" i="25" s="1"/>
  <c r="BM155" i="25"/>
  <c r="CC244" i="25"/>
  <c r="H244" i="25"/>
  <c r="AL244" i="25"/>
  <c r="J244" i="25"/>
  <c r="BM244" i="25"/>
  <c r="BN158" i="25"/>
  <c r="AL138" i="25"/>
  <c r="CC138" i="25"/>
  <c r="H138" i="25"/>
  <c r="BM138" i="25"/>
  <c r="J138" i="25"/>
  <c r="L138" i="25" s="1"/>
  <c r="I112" i="25"/>
  <c r="BN112" i="25"/>
  <c r="AL199" i="25"/>
  <c r="CC199" i="25"/>
  <c r="H199" i="25"/>
  <c r="J199" i="25"/>
  <c r="N199" i="25" s="1"/>
  <c r="BM199" i="25"/>
  <c r="H233" i="25"/>
  <c r="AL233" i="25"/>
  <c r="CC233" i="25"/>
  <c r="J233" i="25"/>
  <c r="BM233" i="25"/>
  <c r="BQ233" i="25" s="1"/>
  <c r="H298" i="25"/>
  <c r="AL298" i="25"/>
  <c r="CC298" i="25"/>
  <c r="J298" i="25"/>
  <c r="J216" i="25"/>
  <c r="BN148" i="25"/>
  <c r="BN138" i="25"/>
  <c r="AL243" i="25"/>
  <c r="CC243" i="25"/>
  <c r="H243" i="25"/>
  <c r="BM243" i="25"/>
  <c r="J243" i="25"/>
  <c r="N243" i="25" s="1"/>
  <c r="I121" i="25"/>
  <c r="BN47" i="25"/>
  <c r="I47" i="25"/>
  <c r="H316" i="25"/>
  <c r="AL316" i="25"/>
  <c r="CC316" i="25"/>
  <c r="T322" i="25"/>
  <c r="J316" i="25"/>
  <c r="BM316" i="25"/>
  <c r="H39" i="25"/>
  <c r="CC39" i="25"/>
  <c r="AL39" i="25"/>
  <c r="CE39" i="25"/>
  <c r="CF39" i="25"/>
  <c r="J39" i="25"/>
  <c r="L39" i="25" s="1"/>
  <c r="BM39" i="25"/>
  <c r="AM242" i="24"/>
  <c r="H242" i="24"/>
  <c r="CF242" i="24"/>
  <c r="BO242" i="24"/>
  <c r="BR242" i="24" s="1"/>
  <c r="I242" i="24"/>
  <c r="H173" i="24"/>
  <c r="AM173" i="24"/>
  <c r="BO173" i="24"/>
  <c r="BR173" i="24" s="1"/>
  <c r="I173" i="24"/>
  <c r="K173" i="24" s="1"/>
  <c r="AM135" i="24"/>
  <c r="H135" i="24"/>
  <c r="I135" i="24"/>
  <c r="CF196" i="24"/>
  <c r="CE196" i="24"/>
  <c r="AM196" i="24"/>
  <c r="H196" i="24"/>
  <c r="I196" i="24"/>
  <c r="K196" i="24" s="1"/>
  <c r="BO196" i="24"/>
  <c r="BR196" i="24" s="1"/>
  <c r="H15" i="25"/>
  <c r="CF15" i="25"/>
  <c r="CE15" i="25"/>
  <c r="AL15" i="25"/>
  <c r="CC15" i="25"/>
  <c r="H309" i="25"/>
  <c r="AL309" i="25"/>
  <c r="CC309" i="25"/>
  <c r="J309" i="25"/>
  <c r="BM309" i="25"/>
  <c r="BN181" i="25"/>
  <c r="H228" i="25"/>
  <c r="AL228" i="25"/>
  <c r="CC228" i="25"/>
  <c r="BM228" i="25"/>
  <c r="J228" i="25"/>
  <c r="I249" i="25"/>
  <c r="BN249" i="25"/>
  <c r="CC33" i="25"/>
  <c r="AL33" i="25"/>
  <c r="CF33" i="25"/>
  <c r="CE33" i="25"/>
  <c r="H33" i="25"/>
  <c r="BM33" i="25"/>
  <c r="J33" i="25"/>
  <c r="AM32" i="24"/>
  <c r="K32" i="24"/>
  <c r="H32" i="24"/>
  <c r="I32" i="24"/>
  <c r="M32" i="24" s="1"/>
  <c r="BO32" i="24"/>
  <c r="BR32" i="24" s="1"/>
  <c r="CF184" i="24"/>
  <c r="H184" i="24"/>
  <c r="AM184" i="24"/>
  <c r="CE184" i="24"/>
  <c r="I184" i="24"/>
  <c r="K184" i="24" s="1"/>
  <c r="BO184" i="24"/>
  <c r="BR184" i="24" s="1"/>
  <c r="K80" i="24"/>
  <c r="H80" i="24"/>
  <c r="AM80" i="24"/>
  <c r="BO80" i="24"/>
  <c r="BR80" i="24" s="1"/>
  <c r="I80" i="24"/>
  <c r="AM210" i="24"/>
  <c r="H210" i="24"/>
  <c r="I210" i="24"/>
  <c r="K210" i="24" s="1"/>
  <c r="BO210" i="24"/>
  <c r="BR210" i="24" s="1"/>
  <c r="AM25" i="24"/>
  <c r="CE25" i="24"/>
  <c r="K25" i="24"/>
  <c r="CF25" i="24"/>
  <c r="H25" i="24"/>
  <c r="BO25" i="24"/>
  <c r="BR25" i="24" s="1"/>
  <c r="H111" i="25"/>
  <c r="AL111" i="25"/>
  <c r="CC111" i="25"/>
  <c r="J111" i="25"/>
  <c r="BM251" i="25"/>
  <c r="CC63" i="25"/>
  <c r="AL63" i="25"/>
  <c r="H63" i="25"/>
  <c r="CF63" i="25"/>
  <c r="CE63" i="25"/>
  <c r="J63" i="25"/>
  <c r="CC95" i="25"/>
  <c r="AL95" i="25"/>
  <c r="H95" i="25"/>
  <c r="CF95" i="25"/>
  <c r="CE95" i="25"/>
  <c r="BM95" i="25"/>
  <c r="J95" i="25"/>
  <c r="N95" i="25" s="1"/>
  <c r="AL75" i="25"/>
  <c r="CF75" i="25"/>
  <c r="CE75" i="25"/>
  <c r="CC75" i="25"/>
  <c r="H75" i="25"/>
  <c r="BM75" i="25"/>
  <c r="J75" i="25"/>
  <c r="L75" i="25" s="1"/>
  <c r="I304" i="25"/>
  <c r="BN304" i="25"/>
  <c r="AL234" i="25"/>
  <c r="H234" i="25"/>
  <c r="CC234" i="25"/>
  <c r="BM234" i="25"/>
  <c r="J234" i="25"/>
  <c r="CC184" i="25"/>
  <c r="AL184" i="25"/>
  <c r="H184" i="25"/>
  <c r="J184" i="25"/>
  <c r="BM184" i="25"/>
  <c r="BN101" i="25"/>
  <c r="I101" i="25"/>
  <c r="I45" i="25"/>
  <c r="BN45" i="25"/>
  <c r="H312" i="24"/>
  <c r="CE312" i="24"/>
  <c r="AM312" i="24"/>
  <c r="I312" i="24"/>
  <c r="M312" i="24" s="1"/>
  <c r="N312" i="24" s="1"/>
  <c r="BO312" i="24"/>
  <c r="BR312" i="24" s="1"/>
  <c r="CF275" i="24"/>
  <c r="AM275" i="24"/>
  <c r="H275" i="24"/>
  <c r="I275" i="24"/>
  <c r="H270" i="24"/>
  <c r="CF270" i="24"/>
  <c r="AM270" i="24"/>
  <c r="I270" i="24"/>
  <c r="M270" i="24" s="1"/>
  <c r="N270" i="24" s="1"/>
  <c r="BO270" i="24"/>
  <c r="BR270" i="24" s="1"/>
  <c r="CF240" i="24"/>
  <c r="H240" i="24"/>
  <c r="AM240" i="24"/>
  <c r="CE240" i="24"/>
  <c r="I240" i="24"/>
  <c r="K240" i="24" s="1"/>
  <c r="BO240" i="24"/>
  <c r="BR240" i="24" s="1"/>
  <c r="BO245" i="24"/>
  <c r="BR245" i="24" s="1"/>
  <c r="H295" i="25"/>
  <c r="AL295" i="25"/>
  <c r="CC295" i="25"/>
  <c r="J295" i="25"/>
  <c r="BM295" i="25"/>
  <c r="BQ295" i="25" s="1"/>
  <c r="AL260" i="25"/>
  <c r="CC260" i="25"/>
  <c r="H260" i="25"/>
  <c r="J260" i="25"/>
  <c r="L260" i="25" s="1"/>
  <c r="BM260" i="25"/>
  <c r="CC278" i="25"/>
  <c r="H278" i="25"/>
  <c r="AL278" i="25"/>
  <c r="BM278" i="25"/>
  <c r="J278" i="25"/>
  <c r="AL221" i="25"/>
  <c r="CC221" i="25"/>
  <c r="H221" i="25"/>
  <c r="BM221" i="25"/>
  <c r="J221" i="25"/>
  <c r="AM299" i="24"/>
  <c r="H299" i="24"/>
  <c r="I299" i="24"/>
  <c r="BO299" i="24"/>
  <c r="BR299" i="24" s="1"/>
  <c r="H120" i="24"/>
  <c r="CF120" i="24"/>
  <c r="CE120" i="24"/>
  <c r="AM120" i="24"/>
  <c r="I120" i="24"/>
  <c r="M120" i="24" s="1"/>
  <c r="BO120" i="24"/>
  <c r="BR120" i="24" s="1"/>
  <c r="AM290" i="24"/>
  <c r="CF290" i="24"/>
  <c r="H290" i="24"/>
  <c r="I290" i="24"/>
  <c r="M290" i="24" s="1"/>
  <c r="N290" i="24" s="1"/>
  <c r="BO290" i="24"/>
  <c r="BR290" i="24" s="1"/>
  <c r="BO58" i="24"/>
  <c r="BR58" i="24" s="1"/>
  <c r="BN244" i="25"/>
  <c r="H114" i="25"/>
  <c r="AL114" i="25"/>
  <c r="CC114" i="25"/>
  <c r="J114" i="25"/>
  <c r="N114" i="25" s="1"/>
  <c r="BM114" i="25"/>
  <c r="BQ114" i="25" s="1"/>
  <c r="I169" i="25"/>
  <c r="H204" i="25"/>
  <c r="CC204" i="25"/>
  <c r="AL204" i="25"/>
  <c r="BM204" i="25"/>
  <c r="J204" i="25"/>
  <c r="N204" i="25" s="1"/>
  <c r="BQ203" i="25"/>
  <c r="AM171" i="24"/>
  <c r="H171" i="24"/>
  <c r="CE171" i="24"/>
  <c r="CF171" i="24"/>
  <c r="I171" i="24"/>
  <c r="BO171" i="24"/>
  <c r="BR171" i="24" s="1"/>
  <c r="CF230" i="24"/>
  <c r="AM230" i="24"/>
  <c r="H230" i="24"/>
  <c r="CE230" i="24"/>
  <c r="I230" i="24"/>
  <c r="BO230" i="24"/>
  <c r="BR230" i="24" s="1"/>
  <c r="I210" i="25"/>
  <c r="BN210" i="25"/>
  <c r="BK142" i="24"/>
  <c r="S142" i="24"/>
  <c r="T142" i="24" s="1"/>
  <c r="CE254" i="24"/>
  <c r="CF254" i="24"/>
  <c r="H254" i="24"/>
  <c r="AM254" i="24"/>
  <c r="BO254" i="24"/>
  <c r="BR254" i="24" s="1"/>
  <c r="I254" i="24"/>
  <c r="BK132" i="24"/>
  <c r="S132" i="24"/>
  <c r="T132" i="24" s="1"/>
  <c r="M132" i="24"/>
  <c r="N132" i="24" s="1"/>
  <c r="CE134" i="24"/>
  <c r="AM134" i="24"/>
  <c r="H134" i="24"/>
  <c r="CF134" i="24"/>
  <c r="I134" i="24"/>
  <c r="K134" i="24" s="1"/>
  <c r="BO134" i="24"/>
  <c r="BR134" i="24" s="1"/>
  <c r="BK21" i="24"/>
  <c r="S21" i="24"/>
  <c r="T21" i="24" s="1"/>
  <c r="BN121" i="25"/>
  <c r="I247" i="25"/>
  <c r="I78" i="24"/>
  <c r="AL262" i="25"/>
  <c r="H262" i="25"/>
  <c r="CC262" i="25"/>
  <c r="J262" i="25"/>
  <c r="L262" i="25" s="1"/>
  <c r="AL275" i="25"/>
  <c r="CC275" i="25"/>
  <c r="H275" i="25"/>
  <c r="J275" i="25"/>
  <c r="N275" i="25" s="1"/>
  <c r="BM275" i="25"/>
  <c r="I88" i="25"/>
  <c r="BN88" i="25"/>
  <c r="AL305" i="25"/>
  <c r="CC305" i="25"/>
  <c r="H305" i="25"/>
  <c r="BM305" i="25"/>
  <c r="J305" i="25"/>
  <c r="N305" i="25" s="1"/>
  <c r="BN10" i="25"/>
  <c r="BQ10" i="25" s="1"/>
  <c r="CC223" i="25"/>
  <c r="H223" i="25"/>
  <c r="AL223" i="25"/>
  <c r="BM223" i="25"/>
  <c r="J223" i="25"/>
  <c r="I147" i="25"/>
  <c r="BN147" i="25"/>
  <c r="CC302" i="25"/>
  <c r="H302" i="25"/>
  <c r="AL302" i="25"/>
  <c r="J302" i="25"/>
  <c r="L302" i="25" s="1"/>
  <c r="BM302" i="25"/>
  <c r="AL248" i="25"/>
  <c r="CC248" i="25"/>
  <c r="H248" i="25"/>
  <c r="BM248" i="25"/>
  <c r="J248" i="25"/>
  <c r="N248" i="25" s="1"/>
  <c r="I144" i="25"/>
  <c r="I298" i="25"/>
  <c r="BN292" i="25"/>
  <c r="I292" i="25"/>
  <c r="AL124" i="25"/>
  <c r="CC124" i="25"/>
  <c r="H124" i="25"/>
  <c r="J124" i="25"/>
  <c r="L124" i="25" s="1"/>
  <c r="BM124" i="25"/>
  <c r="I110" i="25"/>
  <c r="AL89" i="25"/>
  <c r="CC89" i="25"/>
  <c r="H89" i="25"/>
  <c r="J89" i="25"/>
  <c r="N89" i="25" s="1"/>
  <c r="BM89" i="25"/>
  <c r="H272" i="25"/>
  <c r="CC272" i="25"/>
  <c r="AL272" i="25"/>
  <c r="BM272" i="25"/>
  <c r="J272" i="25"/>
  <c r="L272" i="25" s="1"/>
  <c r="BN66" i="25"/>
  <c r="I66" i="25"/>
  <c r="H248" i="24"/>
  <c r="AM248" i="24"/>
  <c r="CE248" i="24"/>
  <c r="CF248" i="24"/>
  <c r="I248" i="24"/>
  <c r="M248" i="24" s="1"/>
  <c r="AM112" i="24"/>
  <c r="H112" i="24"/>
  <c r="BO112" i="24"/>
  <c r="BR112" i="24" s="1"/>
  <c r="H315" i="24"/>
  <c r="CE315" i="24"/>
  <c r="AM315" i="24"/>
  <c r="BO315" i="24"/>
  <c r="BR315" i="24" s="1"/>
  <c r="I315" i="24"/>
  <c r="K315" i="24" s="1"/>
  <c r="H79" i="24"/>
  <c r="AM79" i="24"/>
  <c r="K79" i="24"/>
  <c r="I79" i="24"/>
  <c r="M79" i="24" s="1"/>
  <c r="H172" i="24"/>
  <c r="AM172" i="24"/>
  <c r="I172" i="24"/>
  <c r="M172" i="24" s="1"/>
  <c r="N172" i="24" s="1"/>
  <c r="H282" i="25"/>
  <c r="AL282" i="25"/>
  <c r="CC282" i="25"/>
  <c r="BM282" i="25"/>
  <c r="BQ282" i="25" s="1"/>
  <c r="J282" i="25"/>
  <c r="N282" i="25" s="1"/>
  <c r="H78" i="25"/>
  <c r="AL78" i="25"/>
  <c r="CC78" i="25"/>
  <c r="CF78" i="25"/>
  <c r="CE78" i="25"/>
  <c r="BM78" i="25"/>
  <c r="J78" i="25"/>
  <c r="L78" i="25" s="1"/>
  <c r="I173" i="25"/>
  <c r="BN173" i="25"/>
  <c r="AL172" i="25"/>
  <c r="CC172" i="25"/>
  <c r="H172" i="25"/>
  <c r="J172" i="25"/>
  <c r="BM172" i="25"/>
  <c r="I65" i="25"/>
  <c r="BN65" i="25"/>
  <c r="CC261" i="25"/>
  <c r="H261" i="25"/>
  <c r="AL261" i="25"/>
  <c r="BM261" i="25"/>
  <c r="J261" i="25"/>
  <c r="N261" i="25" s="1"/>
  <c r="I251" i="25"/>
  <c r="BN251" i="25"/>
  <c r="H139" i="24"/>
  <c r="AM139" i="24"/>
  <c r="I139" i="24"/>
  <c r="BO139" i="24"/>
  <c r="BR139" i="24" s="1"/>
  <c r="AM93" i="24"/>
  <c r="CF93" i="24"/>
  <c r="CE93" i="24"/>
  <c r="K93" i="24"/>
  <c r="H93" i="24"/>
  <c r="BO93" i="24"/>
  <c r="BR93" i="24" s="1"/>
  <c r="I93" i="24"/>
  <c r="H264" i="24"/>
  <c r="CE264" i="24"/>
  <c r="CF264" i="24"/>
  <c r="AM264" i="24"/>
  <c r="BO264" i="24"/>
  <c r="BR264" i="24" s="1"/>
  <c r="K47" i="24"/>
  <c r="H47" i="24"/>
  <c r="AM47" i="24"/>
  <c r="CF47" i="24"/>
  <c r="CE47" i="24"/>
  <c r="I47" i="24"/>
  <c r="M47" i="24" s="1"/>
  <c r="N47" i="24" s="1"/>
  <c r="BO47" i="24"/>
  <c r="BR47" i="24" s="1"/>
  <c r="K28" i="24"/>
  <c r="AM28" i="24"/>
  <c r="H28" i="24"/>
  <c r="CE28" i="24"/>
  <c r="CF28" i="24"/>
  <c r="I28" i="24"/>
  <c r="AM48" i="24"/>
  <c r="K48" i="24"/>
  <c r="H48" i="24"/>
  <c r="I48" i="24"/>
  <c r="M48" i="24" s="1"/>
  <c r="N48" i="24" s="1"/>
  <c r="CC201" i="25"/>
  <c r="AL201" i="25"/>
  <c r="H201" i="25"/>
  <c r="J201" i="25"/>
  <c r="N201" i="25" s="1"/>
  <c r="BM201" i="25"/>
  <c r="BN167" i="25"/>
  <c r="I167" i="25"/>
  <c r="AL166" i="25"/>
  <c r="CC166" i="25"/>
  <c r="H166" i="25"/>
  <c r="J166" i="25"/>
  <c r="BM166" i="25"/>
  <c r="I55" i="25"/>
  <c r="BN55" i="25"/>
  <c r="H285" i="25"/>
  <c r="AL285" i="25"/>
  <c r="CC285" i="25"/>
  <c r="BM285" i="25"/>
  <c r="J285" i="25"/>
  <c r="I306" i="25"/>
  <c r="BN306" i="25"/>
  <c r="AL90" i="25"/>
  <c r="CC90" i="25"/>
  <c r="H90" i="25"/>
  <c r="J90" i="25"/>
  <c r="L90" i="25" s="1"/>
  <c r="BM90" i="25"/>
  <c r="I263" i="25"/>
  <c r="BN263" i="25"/>
  <c r="H314" i="25"/>
  <c r="AL314" i="25"/>
  <c r="CC314" i="25"/>
  <c r="BM314" i="25"/>
  <c r="J314" i="25"/>
  <c r="N314" i="25" s="1"/>
  <c r="AL287" i="25"/>
  <c r="H287" i="25"/>
  <c r="CC287" i="25"/>
  <c r="J287" i="25"/>
  <c r="L287" i="25" s="1"/>
  <c r="BM287" i="25"/>
  <c r="CC259" i="25"/>
  <c r="H259" i="25"/>
  <c r="AL259" i="25"/>
  <c r="J259" i="25"/>
  <c r="N259" i="25" s="1"/>
  <c r="CF128" i="24"/>
  <c r="CE128" i="24"/>
  <c r="AM128" i="24"/>
  <c r="H128" i="24"/>
  <c r="I128" i="24"/>
  <c r="K128" i="24" s="1"/>
  <c r="H180" i="24"/>
  <c r="AM180" i="24"/>
  <c r="I180" i="24"/>
  <c r="M180" i="24" s="1"/>
  <c r="AM90" i="24"/>
  <c r="K90" i="24"/>
  <c r="H90" i="24"/>
  <c r="CF90" i="24"/>
  <c r="CE90" i="24"/>
  <c r="I90" i="24"/>
  <c r="M90" i="24" s="1"/>
  <c r="BO90" i="24"/>
  <c r="BR90" i="24" s="1"/>
  <c r="K17" i="24"/>
  <c r="H17" i="24"/>
  <c r="AM17" i="24"/>
  <c r="CF17" i="24"/>
  <c r="CE17" i="24"/>
  <c r="I17" i="24"/>
  <c r="BO17" i="24"/>
  <c r="BR17" i="24" s="1"/>
  <c r="K61" i="24"/>
  <c r="H61" i="24"/>
  <c r="AM61" i="24"/>
  <c r="I61" i="24"/>
  <c r="M61" i="24" s="1"/>
  <c r="N61" i="24" s="1"/>
  <c r="BO316" i="24"/>
  <c r="BR316" i="24" s="1"/>
  <c r="CC34" i="25"/>
  <c r="AL34" i="25"/>
  <c r="CF34" i="25"/>
  <c r="H34" i="25"/>
  <c r="CE34" i="25"/>
  <c r="J34" i="25"/>
  <c r="N34" i="25" s="1"/>
  <c r="I295" i="25"/>
  <c r="H227" i="25"/>
  <c r="AL227" i="25"/>
  <c r="CC227" i="25"/>
  <c r="J227" i="25"/>
  <c r="L227" i="25" s="1"/>
  <c r="BM227" i="25"/>
  <c r="BN260" i="25"/>
  <c r="BN278" i="25"/>
  <c r="BN221" i="25"/>
  <c r="AM204" i="24"/>
  <c r="H204" i="24"/>
  <c r="BO204" i="24"/>
  <c r="BR204" i="24" s="1"/>
  <c r="I204" i="24"/>
  <c r="K204" i="24" s="1"/>
  <c r="K69" i="24"/>
  <c r="H69" i="24"/>
  <c r="AM69" i="24"/>
  <c r="I69" i="24"/>
  <c r="BO69" i="24"/>
  <c r="BR69" i="24" s="1"/>
  <c r="AM31" i="24"/>
  <c r="CF31" i="24"/>
  <c r="CE31" i="24"/>
  <c r="K31" i="24"/>
  <c r="H31" i="24"/>
  <c r="I31" i="24"/>
  <c r="BO31" i="24"/>
  <c r="BR31" i="24" s="1"/>
  <c r="BM292" i="25"/>
  <c r="BN223" i="25"/>
  <c r="AL116" i="25"/>
  <c r="H116" i="25"/>
  <c r="CC116" i="25"/>
  <c r="J116" i="25"/>
  <c r="BM116" i="25"/>
  <c r="BQ116" i="25" s="1"/>
  <c r="AL118" i="25"/>
  <c r="CC118" i="25"/>
  <c r="H118" i="25"/>
  <c r="J118" i="25"/>
  <c r="BM118" i="25"/>
  <c r="BQ118" i="25" s="1"/>
  <c r="AL96" i="25"/>
  <c r="CC96" i="25"/>
  <c r="H96" i="25"/>
  <c r="J96" i="25"/>
  <c r="L96" i="25" s="1"/>
  <c r="BM96" i="25"/>
  <c r="CC21" i="25"/>
  <c r="H21" i="25"/>
  <c r="AL21" i="25"/>
  <c r="J21" i="25"/>
  <c r="N21" i="25" s="1"/>
  <c r="BM21" i="25"/>
  <c r="BQ21" i="25" s="1"/>
  <c r="I176" i="25"/>
  <c r="BN176" i="25"/>
  <c r="AL126" i="25"/>
  <c r="CC126" i="25"/>
  <c r="H126" i="25"/>
  <c r="BM126" i="25"/>
  <c r="H174" i="25"/>
  <c r="AL174" i="25"/>
  <c r="CC174" i="25"/>
  <c r="AM201" i="24"/>
  <c r="H201" i="24"/>
  <c r="BO201" i="24"/>
  <c r="BR201" i="24" s="1"/>
  <c r="I201" i="24"/>
  <c r="AM77" i="24"/>
  <c r="CF77" i="24"/>
  <c r="CE77" i="24"/>
  <c r="H77" i="24"/>
  <c r="K77" i="24"/>
  <c r="BO77" i="24"/>
  <c r="BR77" i="24" s="1"/>
  <c r="I77" i="24"/>
  <c r="BQ83" i="25"/>
  <c r="I240" i="25"/>
  <c r="I288" i="25"/>
  <c r="BO52" i="24"/>
  <c r="BR52" i="24" s="1"/>
  <c r="BM298" i="25"/>
  <c r="BQ298" i="25" s="1"/>
  <c r="J43" i="25"/>
  <c r="BK22" i="24"/>
  <c r="S22" i="24"/>
  <c r="T22" i="24" s="1"/>
  <c r="CC178" i="25"/>
  <c r="AL178" i="25"/>
  <c r="H178" i="25"/>
  <c r="BM178" i="25"/>
  <c r="J178" i="25"/>
  <c r="N178" i="25" s="1"/>
  <c r="AL267" i="25"/>
  <c r="CC267" i="25"/>
  <c r="H267" i="25"/>
  <c r="J267" i="25"/>
  <c r="N267" i="25" s="1"/>
  <c r="BM267" i="25"/>
  <c r="CF244" i="24"/>
  <c r="AM244" i="24"/>
  <c r="H244" i="24"/>
  <c r="CE244" i="24"/>
  <c r="I244" i="24"/>
  <c r="BO244" i="24"/>
  <c r="BR244" i="24" s="1"/>
  <c r="H65" i="24"/>
  <c r="K65" i="24"/>
  <c r="AM65" i="24"/>
  <c r="I65" i="24"/>
  <c r="AL187" i="25"/>
  <c r="CC187" i="25"/>
  <c r="H187" i="25"/>
  <c r="J187" i="25"/>
  <c r="BM187" i="25"/>
  <c r="H14" i="25"/>
  <c r="CC14" i="25"/>
  <c r="AL14" i="25"/>
  <c r="J14" i="25"/>
  <c r="N14" i="25" s="1"/>
  <c r="BM14" i="25"/>
  <c r="AM89" i="24"/>
  <c r="CE89" i="24"/>
  <c r="CF89" i="24"/>
  <c r="K89" i="24"/>
  <c r="H89" i="24"/>
  <c r="I89" i="24"/>
  <c r="BO89" i="24"/>
  <c r="BR89" i="24" s="1"/>
  <c r="H199" i="24"/>
  <c r="AM199" i="24"/>
  <c r="I199" i="24"/>
  <c r="M199" i="24" s="1"/>
  <c r="N199" i="24" s="1"/>
  <c r="AM313" i="24"/>
  <c r="CE313" i="24"/>
  <c r="CF313" i="24"/>
  <c r="H313" i="24"/>
  <c r="I313" i="24"/>
  <c r="M313" i="24" s="1"/>
  <c r="BO313" i="24"/>
  <c r="BR313" i="24" s="1"/>
  <c r="H15" i="24"/>
  <c r="AM15" i="24"/>
  <c r="CE15" i="24"/>
  <c r="CF15" i="24"/>
  <c r="K15" i="24"/>
  <c r="I15" i="24"/>
  <c r="BO15" i="24"/>
  <c r="BR15" i="24" s="1"/>
  <c r="BO91" i="24"/>
  <c r="BR91" i="24" s="1"/>
  <c r="CF53" i="24"/>
  <c r="AM53" i="24"/>
  <c r="CE53" i="24"/>
  <c r="K53" i="24"/>
  <c r="H53" i="24"/>
  <c r="I53" i="24"/>
  <c r="M53" i="24" s="1"/>
  <c r="N53" i="24" s="1"/>
  <c r="BO154" i="24"/>
  <c r="BR154" i="24" s="1"/>
  <c r="AM127" i="24"/>
  <c r="H127" i="24"/>
  <c r="I127" i="24"/>
  <c r="M127" i="24" s="1"/>
  <c r="N127" i="24" s="1"/>
  <c r="BO199" i="24"/>
  <c r="BR199" i="24" s="1"/>
  <c r="BN97" i="25"/>
  <c r="BQ97" i="25" s="1"/>
  <c r="I97" i="25"/>
  <c r="I150" i="25"/>
  <c r="BN150" i="25"/>
  <c r="CC32" i="25"/>
  <c r="CF32" i="25"/>
  <c r="CE32" i="25"/>
  <c r="H32" i="25"/>
  <c r="AL32" i="25"/>
  <c r="J32" i="25"/>
  <c r="N32" i="25" s="1"/>
  <c r="BM32" i="25"/>
  <c r="BN99" i="25"/>
  <c r="I99" i="25"/>
  <c r="H49" i="25"/>
  <c r="CF49" i="25"/>
  <c r="CE49" i="25"/>
  <c r="CC49" i="25"/>
  <c r="AL49" i="25"/>
  <c r="BM49" i="25"/>
  <c r="J49" i="25"/>
  <c r="L49" i="25" s="1"/>
  <c r="AM23" i="24"/>
  <c r="K23" i="24"/>
  <c r="H23" i="24"/>
  <c r="I23" i="24"/>
  <c r="BO23" i="24"/>
  <c r="BR23" i="24" s="1"/>
  <c r="CF86" i="24"/>
  <c r="K86" i="24"/>
  <c r="H86" i="24"/>
  <c r="AM86" i="24"/>
  <c r="CE86" i="24"/>
  <c r="I86" i="24"/>
  <c r="M86" i="24" s="1"/>
  <c r="N86" i="24" s="1"/>
  <c r="I224" i="25"/>
  <c r="H183" i="25"/>
  <c r="AL183" i="25"/>
  <c r="CC183" i="25"/>
  <c r="BM183" i="25"/>
  <c r="BQ183" i="25" s="1"/>
  <c r="J183" i="25"/>
  <c r="L183" i="25" s="1"/>
  <c r="H179" i="25"/>
  <c r="AL179" i="25"/>
  <c r="CC179" i="25"/>
  <c r="BM179" i="25"/>
  <c r="BQ179" i="25" s="1"/>
  <c r="BQ168" i="25"/>
  <c r="I246" i="25"/>
  <c r="BN246" i="25"/>
  <c r="BQ246" i="25" s="1"/>
  <c r="H59" i="25"/>
  <c r="AL59" i="25"/>
  <c r="CC59" i="25"/>
  <c r="CE59" i="25"/>
  <c r="CF59" i="25"/>
  <c r="BM59" i="25"/>
  <c r="J59" i="25"/>
  <c r="L59" i="25" s="1"/>
  <c r="I232" i="25"/>
  <c r="BN232" i="25"/>
  <c r="BQ232" i="25" s="1"/>
  <c r="I180" i="25"/>
  <c r="BN180" i="25"/>
  <c r="BQ180" i="25" s="1"/>
  <c r="CC255" i="25"/>
  <c r="H255" i="25"/>
  <c r="AL255" i="25"/>
  <c r="J255" i="25"/>
  <c r="N255" i="25" s="1"/>
  <c r="BM255" i="25"/>
  <c r="I162" i="25"/>
  <c r="BN162" i="25"/>
  <c r="BO135" i="24"/>
  <c r="BR135" i="24" s="1"/>
  <c r="J304" i="25"/>
  <c r="L304" i="25" s="1"/>
  <c r="CC88" i="25"/>
  <c r="AL88" i="25"/>
  <c r="H88" i="25"/>
  <c r="J88" i="25"/>
  <c r="BM88" i="25"/>
  <c r="H161" i="24"/>
  <c r="AM161" i="24"/>
  <c r="I161" i="24"/>
  <c r="K161" i="24" s="1"/>
  <c r="AM303" i="24"/>
  <c r="H303" i="24"/>
  <c r="CE303" i="24"/>
  <c r="CF303" i="24"/>
  <c r="I303" i="24"/>
  <c r="M303" i="24" s="1"/>
  <c r="BO303" i="24"/>
  <c r="BR303" i="24" s="1"/>
  <c r="H10" i="24"/>
  <c r="CF10" i="24"/>
  <c r="CE10" i="24"/>
  <c r="K10" i="24"/>
  <c r="AM10" i="24"/>
  <c r="I10" i="24"/>
  <c r="M10" i="24" s="1"/>
  <c r="AL28" i="25"/>
  <c r="H28" i="25"/>
  <c r="CE28" i="25"/>
  <c r="CF28" i="25"/>
  <c r="CC28" i="25"/>
  <c r="BM28" i="25"/>
  <c r="I154" i="25"/>
  <c r="H197" i="24"/>
  <c r="CF197" i="24"/>
  <c r="CE197" i="24"/>
  <c r="AM197" i="24"/>
  <c r="I197" i="24"/>
  <c r="BO197" i="24"/>
  <c r="BR197" i="24" s="1"/>
  <c r="H149" i="24"/>
  <c r="CF149" i="24"/>
  <c r="CE149" i="24"/>
  <c r="AM149" i="24"/>
  <c r="I149" i="24"/>
  <c r="K149" i="24" s="1"/>
  <c r="BO149" i="24"/>
  <c r="BR149" i="24" s="1"/>
  <c r="H264" i="25"/>
  <c r="AL264" i="25"/>
  <c r="CC264" i="25"/>
  <c r="J264" i="25"/>
  <c r="L264" i="25" s="1"/>
  <c r="BM264" i="25"/>
  <c r="BQ264" i="25" s="1"/>
  <c r="AL313" i="25"/>
  <c r="CC313" i="25"/>
  <c r="H313" i="25"/>
  <c r="J313" i="25"/>
  <c r="L313" i="25" s="1"/>
  <c r="I175" i="25"/>
  <c r="BN175" i="25"/>
  <c r="I142" i="25"/>
  <c r="BN142" i="25"/>
  <c r="I12" i="25"/>
  <c r="BN12" i="25"/>
  <c r="CC294" i="25"/>
  <c r="H294" i="25"/>
  <c r="AL294" i="25"/>
  <c r="J294" i="25"/>
  <c r="BM294" i="25"/>
  <c r="CC224" i="25"/>
  <c r="H224" i="25"/>
  <c r="AL224" i="25"/>
  <c r="J224" i="25"/>
  <c r="L224" i="25" s="1"/>
  <c r="BN103" i="25"/>
  <c r="I103" i="25"/>
  <c r="BN254" i="25"/>
  <c r="CC146" i="25"/>
  <c r="H146" i="25"/>
  <c r="AL146" i="25"/>
  <c r="J146" i="25"/>
  <c r="L146" i="25" s="1"/>
  <c r="BM146" i="25"/>
  <c r="BQ146" i="25" s="1"/>
  <c r="BN291" i="25"/>
  <c r="BN296" i="25"/>
  <c r="I113" i="25"/>
  <c r="BN136" i="25"/>
  <c r="I136" i="25"/>
  <c r="BN56" i="25"/>
  <c r="CC293" i="25"/>
  <c r="H293" i="25"/>
  <c r="AL293" i="25"/>
  <c r="BM293" i="25"/>
  <c r="BN252" i="25"/>
  <c r="I252" i="25"/>
  <c r="CF61" i="25"/>
  <c r="H61" i="25"/>
  <c r="AL61" i="25"/>
  <c r="CC61" i="25"/>
  <c r="CE61" i="25"/>
  <c r="J61" i="25"/>
  <c r="BM61" i="25"/>
  <c r="BN250" i="25"/>
  <c r="I250" i="25"/>
  <c r="AM64" i="24"/>
  <c r="CE64" i="24"/>
  <c r="CF64" i="24"/>
  <c r="K64" i="24"/>
  <c r="H64" i="24"/>
  <c r="BO64" i="24"/>
  <c r="BR64" i="24" s="1"/>
  <c r="I64" i="24"/>
  <c r="AM262" i="24"/>
  <c r="CE262" i="24"/>
  <c r="H262" i="24"/>
  <c r="I262" i="24"/>
  <c r="BO262" i="24"/>
  <c r="BR262" i="24" s="1"/>
  <c r="AM249" i="24"/>
  <c r="H249" i="24"/>
  <c r="CE249" i="24"/>
  <c r="CF249" i="24"/>
  <c r="I249" i="24"/>
  <c r="K249" i="24" s="1"/>
  <c r="BO249" i="24"/>
  <c r="BR249" i="24" s="1"/>
  <c r="H236" i="24"/>
  <c r="CF236" i="24"/>
  <c r="AM236" i="24"/>
  <c r="BO236" i="24"/>
  <c r="BR236" i="24" s="1"/>
  <c r="I303" i="25"/>
  <c r="BN303" i="25"/>
  <c r="BQ303" i="25" s="1"/>
  <c r="AL7" i="25"/>
  <c r="CC7" i="25"/>
  <c r="H7" i="25"/>
  <c r="J7" i="25"/>
  <c r="L7" i="25" s="1"/>
  <c r="BM7" i="25"/>
  <c r="I191" i="25"/>
  <c r="BN191" i="25"/>
  <c r="AL299" i="25"/>
  <c r="CC299" i="25"/>
  <c r="H299" i="25"/>
  <c r="J299" i="25"/>
  <c r="L299" i="25" s="1"/>
  <c r="H27" i="25"/>
  <c r="AL27" i="25"/>
  <c r="CC27" i="25"/>
  <c r="BM27" i="25"/>
  <c r="J27" i="25"/>
  <c r="I284" i="25"/>
  <c r="BN284" i="25"/>
  <c r="CF235" i="24"/>
  <c r="H235" i="24"/>
  <c r="AM235" i="24"/>
  <c r="CE235" i="24"/>
  <c r="I235" i="24"/>
  <c r="CE288" i="24"/>
  <c r="AM288" i="24"/>
  <c r="H288" i="24"/>
  <c r="I288" i="24"/>
  <c r="K288" i="24" s="1"/>
  <c r="BO288" i="24"/>
  <c r="BR288" i="24" s="1"/>
  <c r="CE57" i="24"/>
  <c r="CF57" i="24"/>
  <c r="K57" i="24"/>
  <c r="H57" i="24"/>
  <c r="AM57" i="24"/>
  <c r="I57" i="24"/>
  <c r="BO57" i="24"/>
  <c r="BR57" i="24" s="1"/>
  <c r="CE278" i="24"/>
  <c r="H278" i="24"/>
  <c r="AM278" i="24"/>
  <c r="I278" i="24"/>
  <c r="K278" i="24" s="1"/>
  <c r="BO278" i="24"/>
  <c r="BR278" i="24" s="1"/>
  <c r="H69" i="25"/>
  <c r="CE69" i="25"/>
  <c r="AL69" i="25"/>
  <c r="CC69" i="25"/>
  <c r="CF69" i="25"/>
  <c r="J69" i="25"/>
  <c r="L69" i="25" s="1"/>
  <c r="K26" i="24"/>
  <c r="CF26" i="24"/>
  <c r="CE26" i="24"/>
  <c r="AM26" i="24"/>
  <c r="H26" i="24"/>
  <c r="I26" i="24"/>
  <c r="I60" i="25"/>
  <c r="BN60" i="25"/>
  <c r="BN313" i="25"/>
  <c r="AL209" i="25"/>
  <c r="CC209" i="25"/>
  <c r="H209" i="25"/>
  <c r="BM209" i="25"/>
  <c r="J209" i="25"/>
  <c r="L209" i="25" s="1"/>
  <c r="H131" i="25"/>
  <c r="AL131" i="25"/>
  <c r="CC131" i="25"/>
  <c r="BM131" i="25"/>
  <c r="CC119" i="25"/>
  <c r="H119" i="25"/>
  <c r="AL119" i="25"/>
  <c r="J119" i="25"/>
  <c r="BM119" i="25"/>
  <c r="BQ119" i="25" s="1"/>
  <c r="AL133" i="25"/>
  <c r="CC133" i="25"/>
  <c r="H133" i="25"/>
  <c r="BM133" i="25"/>
  <c r="J133" i="25"/>
  <c r="L133" i="25" s="1"/>
  <c r="AL41" i="25"/>
  <c r="H41" i="25"/>
  <c r="CC41" i="25"/>
  <c r="CE41" i="25"/>
  <c r="CF41" i="25"/>
  <c r="J41" i="25"/>
  <c r="BM41" i="25"/>
  <c r="BQ41" i="25" s="1"/>
  <c r="AL256" i="25"/>
  <c r="H256" i="25"/>
  <c r="CC256" i="25"/>
  <c r="J256" i="25"/>
  <c r="I19" i="25"/>
  <c r="AL36" i="25"/>
  <c r="CC36" i="25"/>
  <c r="CF36" i="25"/>
  <c r="CE36" i="25"/>
  <c r="H36" i="25"/>
  <c r="BM36" i="25"/>
  <c r="J36" i="25"/>
  <c r="I64" i="25"/>
  <c r="BN64" i="25"/>
  <c r="AL274" i="25"/>
  <c r="CC274" i="25"/>
  <c r="H274" i="25"/>
  <c r="BM274" i="25"/>
  <c r="BQ274" i="25" s="1"/>
  <c r="J274" i="25"/>
  <c r="L274" i="25" s="1"/>
  <c r="H268" i="25"/>
  <c r="AL268" i="25"/>
  <c r="CC268" i="25"/>
  <c r="J268" i="25"/>
  <c r="L268" i="25" s="1"/>
  <c r="BM268" i="25"/>
  <c r="I301" i="25"/>
  <c r="BN301" i="25"/>
  <c r="H308" i="25"/>
  <c r="AL308" i="25"/>
  <c r="CC308" i="25"/>
  <c r="J308" i="25"/>
  <c r="CC286" i="25"/>
  <c r="H286" i="25"/>
  <c r="AL286" i="25"/>
  <c r="J286" i="25"/>
  <c r="BM286" i="25"/>
  <c r="AM178" i="24"/>
  <c r="H178" i="24"/>
  <c r="I178" i="24"/>
  <c r="H217" i="24"/>
  <c r="AM217" i="24"/>
  <c r="BO217" i="24"/>
  <c r="BR217" i="24" s="1"/>
  <c r="I217" i="24"/>
  <c r="K217" i="24" s="1"/>
  <c r="H221" i="24"/>
  <c r="CF221" i="24"/>
  <c r="AM221" i="24"/>
  <c r="CE221" i="24"/>
  <c r="I221" i="24"/>
  <c r="K221" i="24" s="1"/>
  <c r="BO221" i="24"/>
  <c r="BR221" i="24" s="1"/>
  <c r="CE293" i="24"/>
  <c r="CF293" i="24"/>
  <c r="H293" i="24"/>
  <c r="AM293" i="24"/>
  <c r="BO293" i="24"/>
  <c r="BR293" i="24" s="1"/>
  <c r="I293" i="24"/>
  <c r="K293" i="24" s="1"/>
  <c r="H135" i="25"/>
  <c r="AL135" i="25"/>
  <c r="CC135" i="25"/>
  <c r="J135" i="25"/>
  <c r="L135" i="25" s="1"/>
  <c r="BM135" i="25"/>
  <c r="BQ135" i="25" s="1"/>
  <c r="AL196" i="25"/>
  <c r="CC196" i="25"/>
  <c r="H196" i="25"/>
  <c r="J196" i="25"/>
  <c r="BM196" i="25"/>
  <c r="BQ196" i="25" s="1"/>
  <c r="CC153" i="25"/>
  <c r="H153" i="25"/>
  <c r="AL153" i="25"/>
  <c r="J153" i="25"/>
  <c r="H127" i="25"/>
  <c r="AL127" i="25"/>
  <c r="CC127" i="25"/>
  <c r="BM127" i="25"/>
  <c r="BQ127" i="25" s="1"/>
  <c r="J127" i="25"/>
  <c r="L127" i="25" s="1"/>
  <c r="AL149" i="25"/>
  <c r="CC149" i="25"/>
  <c r="H149" i="25"/>
  <c r="J149" i="25"/>
  <c r="BM149" i="25"/>
  <c r="BQ149" i="25" s="1"/>
  <c r="AL140" i="25"/>
  <c r="CC140" i="25"/>
  <c r="H140" i="25"/>
  <c r="BM140" i="25"/>
  <c r="BQ140" i="25" s="1"/>
  <c r="J140" i="25"/>
  <c r="L140" i="25" s="1"/>
  <c r="H123" i="25"/>
  <c r="AL123" i="25"/>
  <c r="CC123" i="25"/>
  <c r="J123" i="25"/>
  <c r="BM123" i="25"/>
  <c r="BQ123" i="25" s="1"/>
  <c r="H22" i="25"/>
  <c r="AL22" i="25"/>
  <c r="CC22" i="25"/>
  <c r="J22" i="25"/>
  <c r="L22" i="25" s="1"/>
  <c r="BM22" i="25"/>
  <c r="BQ22" i="25" s="1"/>
  <c r="CE24" i="25"/>
  <c r="AL24" i="25"/>
  <c r="H24" i="25"/>
  <c r="CC24" i="25"/>
  <c r="CF24" i="25"/>
  <c r="J24" i="25"/>
  <c r="BM24" i="25"/>
  <c r="BQ24" i="25" s="1"/>
  <c r="CC98" i="25"/>
  <c r="H98" i="25"/>
  <c r="AL98" i="25"/>
  <c r="BM98" i="25"/>
  <c r="BQ98" i="25" s="1"/>
  <c r="J98" i="25"/>
  <c r="CC57" i="25"/>
  <c r="H57" i="25"/>
  <c r="AL57" i="25"/>
  <c r="BM57" i="25"/>
  <c r="BQ57" i="25" s="1"/>
  <c r="J57" i="25"/>
  <c r="L57" i="25" s="1"/>
  <c r="H20" i="25"/>
  <c r="CF20" i="25"/>
  <c r="CE20" i="25"/>
  <c r="CC20" i="25"/>
  <c r="AL20" i="25"/>
  <c r="J20" i="25"/>
  <c r="L20" i="25" s="1"/>
  <c r="BM20" i="25"/>
  <c r="BQ20" i="25" s="1"/>
  <c r="CC91" i="25"/>
  <c r="AL91" i="25"/>
  <c r="CF91" i="25"/>
  <c r="H91" i="25"/>
  <c r="CE91" i="25"/>
  <c r="J91" i="25"/>
  <c r="CC85" i="25"/>
  <c r="H85" i="25"/>
  <c r="CF85" i="25"/>
  <c r="CE85" i="25"/>
  <c r="AL85" i="25"/>
  <c r="J85" i="25"/>
  <c r="BM85" i="25"/>
  <c r="BQ85" i="25" s="1"/>
  <c r="H48" i="25"/>
  <c r="AL48" i="25"/>
  <c r="CC48" i="25"/>
  <c r="J48" i="25"/>
  <c r="CE35" i="25"/>
  <c r="CF35" i="25"/>
  <c r="H35" i="25"/>
  <c r="CC35" i="25"/>
  <c r="AL35" i="25"/>
  <c r="BM35" i="25"/>
  <c r="BQ35" i="25" s="1"/>
  <c r="J35" i="25"/>
  <c r="H175" i="24"/>
  <c r="AM175" i="24"/>
  <c r="I175" i="24"/>
  <c r="K95" i="24"/>
  <c r="H95" i="24"/>
  <c r="AM95" i="24"/>
  <c r="CE95" i="24"/>
  <c r="CF95" i="24"/>
  <c r="I95" i="24"/>
  <c r="BO95" i="24"/>
  <c r="BR95" i="24" s="1"/>
  <c r="CE258" i="24"/>
  <c r="H258" i="24"/>
  <c r="AM258" i="24"/>
  <c r="I258" i="24"/>
  <c r="BO258" i="24"/>
  <c r="BR258" i="24" s="1"/>
  <c r="BM66" i="25"/>
  <c r="BM92" i="25"/>
  <c r="BN222" i="25"/>
  <c r="CC207" i="25"/>
  <c r="AL207" i="25"/>
  <c r="H207" i="25"/>
  <c r="J207" i="25"/>
  <c r="BM207" i="25"/>
  <c r="BQ207" i="25" s="1"/>
  <c r="CC230" i="25"/>
  <c r="H230" i="25"/>
  <c r="AL230" i="25"/>
  <c r="J230" i="25"/>
  <c r="L230" i="25" s="1"/>
  <c r="BM230" i="25"/>
  <c r="BQ230" i="25" s="1"/>
  <c r="BN74" i="25"/>
  <c r="I74" i="25"/>
  <c r="AL62" i="25"/>
  <c r="CC62" i="25"/>
  <c r="H62" i="25"/>
  <c r="BM62" i="25"/>
  <c r="J62" i="25"/>
  <c r="N62" i="25" s="1"/>
  <c r="CF237" i="24"/>
  <c r="AM237" i="24"/>
  <c r="H237" i="24"/>
  <c r="CE237" i="24"/>
  <c r="BO237" i="24"/>
  <c r="BR237" i="24" s="1"/>
  <c r="I237" i="24"/>
  <c r="M237" i="24" s="1"/>
  <c r="N237" i="24" s="1"/>
  <c r="BK162" i="24"/>
  <c r="S162" i="24"/>
  <c r="T162" i="24" s="1"/>
  <c r="M162" i="24"/>
  <c r="N162" i="24" s="1"/>
  <c r="I16" i="25"/>
  <c r="BN16" i="25"/>
  <c r="BQ16" i="25" s="1"/>
  <c r="I50" i="25"/>
  <c r="BM220" i="25"/>
  <c r="BO166" i="24"/>
  <c r="BR166" i="24" s="1"/>
  <c r="BM91" i="25"/>
  <c r="BQ91" i="25" s="1"/>
  <c r="BM103" i="25"/>
  <c r="J87" i="25"/>
  <c r="N87" i="25" s="1"/>
  <c r="AL113" i="25"/>
  <c r="CC113" i="25"/>
  <c r="H113" i="25"/>
  <c r="J113" i="25"/>
  <c r="N113" i="25" s="1"/>
  <c r="BM113" i="25"/>
  <c r="AL225" i="25"/>
  <c r="CC225" i="25"/>
  <c r="H225" i="25"/>
  <c r="BM225" i="25"/>
  <c r="J225" i="25"/>
  <c r="L225" i="25" s="1"/>
  <c r="CC25" i="25"/>
  <c r="AL25" i="25"/>
  <c r="CE25" i="25"/>
  <c r="CF25" i="25"/>
  <c r="H25" i="25"/>
  <c r="BM25" i="25"/>
  <c r="J25" i="25"/>
  <c r="L25" i="25" s="1"/>
  <c r="H310" i="24"/>
  <c r="AM310" i="24"/>
  <c r="I310" i="24"/>
  <c r="M310" i="24" s="1"/>
  <c r="BO310" i="24"/>
  <c r="BR310" i="24" s="1"/>
  <c r="CC97" i="25"/>
  <c r="H97" i="25"/>
  <c r="AL97" i="25"/>
  <c r="J97" i="25"/>
  <c r="L97" i="25" s="1"/>
  <c r="I92" i="25"/>
  <c r="BN92" i="25"/>
  <c r="I155" i="25"/>
  <c r="BN155" i="25"/>
  <c r="H305" i="24"/>
  <c r="AM305" i="24"/>
  <c r="I305" i="24"/>
  <c r="K305" i="24" s="1"/>
  <c r="BO305" i="24"/>
  <c r="BR305" i="24" s="1"/>
  <c r="H158" i="25"/>
  <c r="AL158" i="25"/>
  <c r="CC158" i="25"/>
  <c r="J158" i="25"/>
  <c r="N158" i="25" s="1"/>
  <c r="H112" i="25"/>
  <c r="CC112" i="25"/>
  <c r="AL112" i="25"/>
  <c r="BM112" i="25"/>
  <c r="J112" i="25"/>
  <c r="L112" i="25" s="1"/>
  <c r="H134" i="25"/>
  <c r="AL134" i="25"/>
  <c r="CC134" i="25"/>
  <c r="J134" i="25"/>
  <c r="L134" i="25" s="1"/>
  <c r="BM134" i="25"/>
  <c r="H258" i="25"/>
  <c r="AL258" i="25"/>
  <c r="CC258" i="25"/>
  <c r="BM258" i="25"/>
  <c r="BQ258" i="25" s="1"/>
  <c r="I216" i="25"/>
  <c r="BN113" i="25"/>
  <c r="BN243" i="25"/>
  <c r="I243" i="25"/>
  <c r="H121" i="25"/>
  <c r="AL121" i="25"/>
  <c r="CC121" i="25"/>
  <c r="J121" i="25"/>
  <c r="L121" i="25" s="1"/>
  <c r="BM121" i="25"/>
  <c r="H47" i="25"/>
  <c r="CF47" i="25"/>
  <c r="CE47" i="25"/>
  <c r="AL47" i="25"/>
  <c r="CC47" i="25"/>
  <c r="J47" i="25"/>
  <c r="BM47" i="25"/>
  <c r="BN316" i="25"/>
  <c r="I316" i="25"/>
  <c r="AL242" i="25"/>
  <c r="CC242" i="25"/>
  <c r="H242" i="25"/>
  <c r="BM242" i="25"/>
  <c r="J242" i="25"/>
  <c r="BN39" i="25"/>
  <c r="I39" i="25"/>
  <c r="H301" i="24"/>
  <c r="AM301" i="24"/>
  <c r="CE301" i="24"/>
  <c r="CF301" i="24"/>
  <c r="I301" i="24"/>
  <c r="BO301" i="24"/>
  <c r="BR301" i="24" s="1"/>
  <c r="AM238" i="24"/>
  <c r="H238" i="24"/>
  <c r="I238" i="24"/>
  <c r="M238" i="24" s="1"/>
  <c r="N238" i="24" s="1"/>
  <c r="BO238" i="24"/>
  <c r="BR238" i="24" s="1"/>
  <c r="H193" i="24"/>
  <c r="AM193" i="24"/>
  <c r="I193" i="24"/>
  <c r="M193" i="24" s="1"/>
  <c r="BO193" i="24"/>
  <c r="BR193" i="24" s="1"/>
  <c r="H136" i="24"/>
  <c r="AM136" i="24"/>
  <c r="CF136" i="24"/>
  <c r="CE136" i="24"/>
  <c r="I136" i="24"/>
  <c r="BO136" i="24"/>
  <c r="BR136" i="24" s="1"/>
  <c r="CC50" i="25"/>
  <c r="AL50" i="25"/>
  <c r="H50" i="25"/>
  <c r="CE50" i="25"/>
  <c r="CF50" i="25"/>
  <c r="J50" i="25"/>
  <c r="AL229" i="25"/>
  <c r="CC229" i="25"/>
  <c r="H229" i="25"/>
  <c r="J229" i="25"/>
  <c r="N229" i="25" s="1"/>
  <c r="BM229" i="25"/>
  <c r="BQ229" i="25" s="1"/>
  <c r="I309" i="25"/>
  <c r="BN309" i="25"/>
  <c r="AL181" i="25"/>
  <c r="CC181" i="25"/>
  <c r="H181" i="25"/>
  <c r="BM181" i="25"/>
  <c r="J181" i="25"/>
  <c r="I228" i="25"/>
  <c r="BN228" i="25"/>
  <c r="AL249" i="25"/>
  <c r="CC249" i="25"/>
  <c r="H249" i="25"/>
  <c r="J249" i="25"/>
  <c r="L249" i="25" s="1"/>
  <c r="BM249" i="25"/>
  <c r="BN33" i="25"/>
  <c r="I33" i="25"/>
  <c r="H240" i="25"/>
  <c r="CC240" i="25"/>
  <c r="AL240" i="25"/>
  <c r="J240" i="25"/>
  <c r="N240" i="25" s="1"/>
  <c r="BM240" i="25"/>
  <c r="BQ240" i="25" s="1"/>
  <c r="H203" i="24"/>
  <c r="AM203" i="24"/>
  <c r="I203" i="24"/>
  <c r="K203" i="24" s="1"/>
  <c r="BO203" i="24"/>
  <c r="BR203" i="24" s="1"/>
  <c r="H49" i="24"/>
  <c r="AM49" i="24"/>
  <c r="K49" i="24"/>
  <c r="I49" i="24"/>
  <c r="H218" i="24"/>
  <c r="AM218" i="24"/>
  <c r="I218" i="24"/>
  <c r="M218" i="24" s="1"/>
  <c r="BO218" i="24"/>
  <c r="BR218" i="24" s="1"/>
  <c r="CF227" i="24"/>
  <c r="AM227" i="24"/>
  <c r="CE227" i="24"/>
  <c r="H227" i="24"/>
  <c r="BO227" i="24"/>
  <c r="BR227" i="24" s="1"/>
  <c r="I227" i="24"/>
  <c r="M227" i="24" s="1"/>
  <c r="BM158" i="25"/>
  <c r="AL277" i="25"/>
  <c r="CC277" i="25"/>
  <c r="H277" i="25"/>
  <c r="J277" i="25"/>
  <c r="L277" i="25" s="1"/>
  <c r="H78" i="24"/>
  <c r="AM78" i="24"/>
  <c r="K78" i="24"/>
  <c r="H11" i="24"/>
  <c r="CF11" i="24"/>
  <c r="CE11" i="24"/>
  <c r="AM11" i="24"/>
  <c r="K11" i="24"/>
  <c r="I11" i="24"/>
  <c r="CE183" i="24"/>
  <c r="H183" i="24"/>
  <c r="CF183" i="24"/>
  <c r="AM183" i="24"/>
  <c r="I183" i="24"/>
  <c r="H235" i="25"/>
  <c r="AL235" i="25"/>
  <c r="CC235" i="25"/>
  <c r="J235" i="25"/>
  <c r="L235" i="25" s="1"/>
  <c r="BM235" i="25"/>
  <c r="AL304" i="25"/>
  <c r="CC304" i="25"/>
  <c r="H304" i="25"/>
  <c r="I234" i="25"/>
  <c r="BN234" i="25"/>
  <c r="AL289" i="25"/>
  <c r="CC289" i="25"/>
  <c r="H289" i="25"/>
  <c r="BM289" i="25"/>
  <c r="J289" i="25"/>
  <c r="I184" i="25"/>
  <c r="BN184" i="25"/>
  <c r="AL101" i="25"/>
  <c r="CC101" i="25"/>
  <c r="H101" i="25"/>
  <c r="J101" i="25"/>
  <c r="BM101" i="25"/>
  <c r="H45" i="25"/>
  <c r="AL45" i="25"/>
  <c r="CC45" i="25"/>
  <c r="J45" i="25"/>
  <c r="L45" i="25" s="1"/>
  <c r="H306" i="24"/>
  <c r="AM306" i="24"/>
  <c r="I306" i="24"/>
  <c r="M306" i="24" s="1"/>
  <c r="H220" i="24"/>
  <c r="CE220" i="24"/>
  <c r="CF220" i="24"/>
  <c r="AM220" i="24"/>
  <c r="BO220" i="24"/>
  <c r="BR220" i="24" s="1"/>
  <c r="I220" i="24"/>
  <c r="K220" i="24" s="1"/>
  <c r="AM156" i="24"/>
  <c r="H156" i="24"/>
  <c r="I156" i="24"/>
  <c r="BO156" i="24"/>
  <c r="BR156" i="24" s="1"/>
  <c r="CE300" i="24"/>
  <c r="CF300" i="24"/>
  <c r="H300" i="24"/>
  <c r="AM300" i="24"/>
  <c r="I300" i="24"/>
  <c r="BO300" i="24"/>
  <c r="BR300" i="24" s="1"/>
  <c r="CF42" i="24"/>
  <c r="AM42" i="24"/>
  <c r="CE42" i="24"/>
  <c r="K42" i="24"/>
  <c r="H42" i="24"/>
  <c r="I42" i="24"/>
  <c r="AM311" i="24"/>
  <c r="H311" i="24"/>
  <c r="CE311" i="24"/>
  <c r="I311" i="24"/>
  <c r="K311" i="24" s="1"/>
  <c r="H80" i="25"/>
  <c r="CC80" i="25"/>
  <c r="AL80" i="25"/>
  <c r="J80" i="25"/>
  <c r="L80" i="25" s="1"/>
  <c r="AL311" i="25"/>
  <c r="CC311" i="25"/>
  <c r="H311" i="25"/>
  <c r="J311" i="25"/>
  <c r="L311" i="25" s="1"/>
  <c r="BM311" i="25"/>
  <c r="AL307" i="25"/>
  <c r="CC307" i="25"/>
  <c r="H307" i="25"/>
  <c r="J307" i="25"/>
  <c r="BM307" i="25"/>
  <c r="CE308" i="24"/>
  <c r="AM308" i="24"/>
  <c r="H308" i="24"/>
  <c r="I308" i="24"/>
  <c r="K308" i="24" s="1"/>
  <c r="BO308" i="24"/>
  <c r="BR308" i="24" s="1"/>
  <c r="AM271" i="24"/>
  <c r="H271" i="24"/>
  <c r="CE271" i="24"/>
  <c r="BO271" i="24"/>
  <c r="BR271" i="24" s="1"/>
  <c r="I271" i="24"/>
  <c r="M271" i="24" s="1"/>
  <c r="N271" i="24" s="1"/>
  <c r="AM181" i="24"/>
  <c r="H181" i="24"/>
  <c r="I181" i="24"/>
  <c r="M181" i="24" s="1"/>
  <c r="N181" i="24" s="1"/>
  <c r="CE58" i="24"/>
  <c r="K58" i="24"/>
  <c r="H58" i="24"/>
  <c r="AM58" i="24"/>
  <c r="CF58" i="24"/>
  <c r="I58" i="24"/>
  <c r="K84" i="24"/>
  <c r="H84" i="24"/>
  <c r="AM84" i="24"/>
  <c r="BO84" i="24"/>
  <c r="BR84" i="24" s="1"/>
  <c r="I84" i="24"/>
  <c r="K51" i="24"/>
  <c r="AM51" i="24"/>
  <c r="H51" i="24"/>
  <c r="CF51" i="24"/>
  <c r="CE51" i="24"/>
  <c r="I51" i="24"/>
  <c r="BO51" i="24"/>
  <c r="BR51" i="24" s="1"/>
  <c r="K43" i="24"/>
  <c r="H43" i="24"/>
  <c r="AM43" i="24"/>
  <c r="CE43" i="24"/>
  <c r="CF43" i="24"/>
  <c r="I43" i="24"/>
  <c r="M43" i="24" s="1"/>
  <c r="N43" i="24" s="1"/>
  <c r="BO43" i="24"/>
  <c r="BR43" i="24" s="1"/>
  <c r="I158" i="25"/>
  <c r="AL115" i="25"/>
  <c r="H115" i="25"/>
  <c r="CC115" i="25"/>
  <c r="J115" i="25"/>
  <c r="BM115" i="25"/>
  <c r="BQ115" i="25" s="1"/>
  <c r="BN7" i="25"/>
  <c r="CF44" i="24"/>
  <c r="K44" i="24"/>
  <c r="H44" i="24"/>
  <c r="AM44" i="24"/>
  <c r="CE44" i="24"/>
  <c r="M44" i="24"/>
  <c r="N44" i="24" s="1"/>
  <c r="BO44" i="24"/>
  <c r="BR44" i="24" s="1"/>
  <c r="AL31" i="25"/>
  <c r="CC31" i="25"/>
  <c r="H31" i="25"/>
  <c r="J31" i="25"/>
  <c r="N31" i="25" s="1"/>
  <c r="BM31" i="25"/>
  <c r="CF115" i="24"/>
  <c r="CE115" i="24"/>
  <c r="AM115" i="24"/>
  <c r="H115" i="24"/>
  <c r="I115" i="24"/>
  <c r="BO115" i="24"/>
  <c r="BR115" i="24" s="1"/>
  <c r="BK191" i="24"/>
  <c r="S191" i="24"/>
  <c r="T191" i="24" s="1"/>
  <c r="M191" i="24"/>
  <c r="N191" i="24" s="1"/>
  <c r="CE246" i="24"/>
  <c r="CF246" i="24"/>
  <c r="H246" i="24"/>
  <c r="AM246" i="24"/>
  <c r="I246" i="24"/>
  <c r="BO246" i="24"/>
  <c r="BR246" i="24" s="1"/>
  <c r="I229" i="25"/>
  <c r="BK101" i="24"/>
  <c r="S101" i="24"/>
  <c r="T101" i="24" s="1"/>
  <c r="BK292" i="24"/>
  <c r="BN289" i="25"/>
  <c r="BN19" i="25"/>
  <c r="BN154" i="25"/>
  <c r="BN61" i="25"/>
  <c r="BM313" i="25"/>
  <c r="BM308" i="25"/>
  <c r="BM128" i="25"/>
  <c r="BQ128" i="25" s="1"/>
  <c r="BM174" i="25"/>
  <c r="BO128" i="24"/>
  <c r="BR128" i="24" s="1"/>
  <c r="I151" i="24"/>
  <c r="K151" i="24" s="1"/>
  <c r="H102" i="25"/>
  <c r="AL102" i="25"/>
  <c r="CC102" i="25"/>
  <c r="J102" i="25"/>
  <c r="BM102" i="25"/>
  <c r="AL254" i="25"/>
  <c r="CC254" i="25"/>
  <c r="H254" i="25"/>
  <c r="BM254" i="25"/>
  <c r="J254" i="25"/>
  <c r="L254" i="25" s="1"/>
  <c r="H161" i="25"/>
  <c r="AL161" i="25"/>
  <c r="CC161" i="25"/>
  <c r="J161" i="25"/>
  <c r="N161" i="25" s="1"/>
  <c r="BM161" i="25"/>
  <c r="AL86" i="25"/>
  <c r="H86" i="25"/>
  <c r="CC86" i="25"/>
  <c r="BM86" i="25"/>
  <c r="J86" i="25"/>
  <c r="BN170" i="25"/>
  <c r="I170" i="25"/>
  <c r="AM35" i="24"/>
  <c r="CF35" i="24"/>
  <c r="CE35" i="24"/>
  <c r="K35" i="24"/>
  <c r="H35" i="24"/>
  <c r="I35" i="24"/>
  <c r="BO35" i="24"/>
  <c r="BR35" i="24" s="1"/>
  <c r="AL10" i="25"/>
  <c r="H10" i="25"/>
  <c r="CC10" i="25"/>
  <c r="J10" i="25"/>
  <c r="L10" i="25" s="1"/>
  <c r="H147" i="25"/>
  <c r="AL147" i="25"/>
  <c r="CC147" i="25"/>
  <c r="J147" i="25"/>
  <c r="N147" i="25" s="1"/>
  <c r="BM147" i="25"/>
  <c r="AL220" i="25"/>
  <c r="CC220" i="25"/>
  <c r="H220" i="25"/>
  <c r="J220" i="25"/>
  <c r="L220" i="25" s="1"/>
  <c r="CC144" i="25"/>
  <c r="AL144" i="25"/>
  <c r="H144" i="25"/>
  <c r="BM144" i="25"/>
  <c r="J144" i="25"/>
  <c r="AL148" i="25"/>
  <c r="H148" i="25"/>
  <c r="CC148" i="25"/>
  <c r="J148" i="25"/>
  <c r="N148" i="25" s="1"/>
  <c r="BM148" i="25"/>
  <c r="AL292" i="25"/>
  <c r="CC292" i="25"/>
  <c r="H292" i="25"/>
  <c r="J292" i="25"/>
  <c r="N292" i="25" s="1"/>
  <c r="BN124" i="25"/>
  <c r="I124" i="25"/>
  <c r="BN89" i="25"/>
  <c r="I89" i="25"/>
  <c r="H247" i="25"/>
  <c r="AL247" i="25"/>
  <c r="CC247" i="25"/>
  <c r="J247" i="25"/>
  <c r="N247" i="25" s="1"/>
  <c r="BN272" i="25"/>
  <c r="I272" i="25"/>
  <c r="H66" i="25"/>
  <c r="AL66" i="25"/>
  <c r="CC66" i="25"/>
  <c r="CF66" i="25"/>
  <c r="CE66" i="25"/>
  <c r="J66" i="25"/>
  <c r="L66" i="25" s="1"/>
  <c r="CF153" i="24"/>
  <c r="AM153" i="24"/>
  <c r="H153" i="24"/>
  <c r="CE153" i="24"/>
  <c r="I153" i="24"/>
  <c r="K153" i="24" s="1"/>
  <c r="BO153" i="24"/>
  <c r="BR153" i="24" s="1"/>
  <c r="CE234" i="24"/>
  <c r="H234" i="24"/>
  <c r="CF234" i="24"/>
  <c r="AM234" i="24"/>
  <c r="I234" i="24"/>
  <c r="M234" i="24" s="1"/>
  <c r="BO234" i="24"/>
  <c r="BR234" i="24" s="1"/>
  <c r="CE279" i="24"/>
  <c r="AM279" i="24"/>
  <c r="H279" i="24"/>
  <c r="I279" i="24"/>
  <c r="M279" i="24" s="1"/>
  <c r="BO279" i="24"/>
  <c r="BR279" i="24" s="1"/>
  <c r="AM98" i="24"/>
  <c r="K98" i="24"/>
  <c r="H98" i="24"/>
  <c r="I98" i="24"/>
  <c r="AM85" i="24"/>
  <c r="CF85" i="24"/>
  <c r="CE85" i="24"/>
  <c r="K85" i="24"/>
  <c r="H85" i="24"/>
  <c r="BO85" i="24"/>
  <c r="BR85" i="24" s="1"/>
  <c r="K59" i="24"/>
  <c r="AM59" i="24"/>
  <c r="H59" i="24"/>
  <c r="CF59" i="24"/>
  <c r="CE59" i="24"/>
  <c r="I59" i="24"/>
  <c r="I78" i="25"/>
  <c r="BN78" i="25"/>
  <c r="CC173" i="25"/>
  <c r="H173" i="25"/>
  <c r="AL173" i="25"/>
  <c r="J173" i="25"/>
  <c r="N173" i="25" s="1"/>
  <c r="BM173" i="25"/>
  <c r="I172" i="25"/>
  <c r="BN172" i="25"/>
  <c r="H65" i="25"/>
  <c r="AL65" i="25"/>
  <c r="CC65" i="25"/>
  <c r="BM65" i="25"/>
  <c r="J65" i="25"/>
  <c r="L65" i="25" s="1"/>
  <c r="I261" i="25"/>
  <c r="BN261" i="25"/>
  <c r="AL251" i="25"/>
  <c r="CC251" i="25"/>
  <c r="H251" i="25"/>
  <c r="J251" i="25"/>
  <c r="L251" i="25" s="1"/>
  <c r="AM297" i="24"/>
  <c r="H297" i="24"/>
  <c r="I297" i="24"/>
  <c r="BO297" i="24"/>
  <c r="BR297" i="24" s="1"/>
  <c r="AM40" i="24"/>
  <c r="K40" i="24"/>
  <c r="H40" i="24"/>
  <c r="CE40" i="24"/>
  <c r="CF40" i="24"/>
  <c r="BO40" i="24"/>
  <c r="BR40" i="24" s="1"/>
  <c r="I40" i="24"/>
  <c r="M40" i="24" s="1"/>
  <c r="H294" i="24"/>
  <c r="AM294" i="24"/>
  <c r="BO294" i="24"/>
  <c r="BR294" i="24" s="1"/>
  <c r="AM287" i="24"/>
  <c r="H287" i="24"/>
  <c r="I287" i="24"/>
  <c r="M287" i="24" s="1"/>
  <c r="BO287" i="24"/>
  <c r="BR287" i="24" s="1"/>
  <c r="CE226" i="24"/>
  <c r="CF226" i="24"/>
  <c r="AM226" i="24"/>
  <c r="H226" i="24"/>
  <c r="I226" i="24"/>
  <c r="M226" i="24" s="1"/>
  <c r="BO226" i="24"/>
  <c r="BR226" i="24" s="1"/>
  <c r="BO10" i="24"/>
  <c r="BR10" i="24" s="1"/>
  <c r="BO9" i="24"/>
  <c r="BR9" i="24" s="1"/>
  <c r="I201" i="25"/>
  <c r="BN201" i="25"/>
  <c r="AL167" i="25"/>
  <c r="CC167" i="25"/>
  <c r="H167" i="25"/>
  <c r="J167" i="25"/>
  <c r="N167" i="25" s="1"/>
  <c r="BM167" i="25"/>
  <c r="I166" i="25"/>
  <c r="BN166" i="25"/>
  <c r="H55" i="25"/>
  <c r="AL55" i="25"/>
  <c r="CC55" i="25"/>
  <c r="J55" i="25"/>
  <c r="BM55" i="25"/>
  <c r="I285" i="25"/>
  <c r="BN285" i="25"/>
  <c r="H306" i="25"/>
  <c r="AL306" i="25"/>
  <c r="CC306" i="25"/>
  <c r="J306" i="25"/>
  <c r="N306" i="25" s="1"/>
  <c r="BM306" i="25"/>
  <c r="I90" i="25"/>
  <c r="BN90" i="25"/>
  <c r="H263" i="25"/>
  <c r="AL263" i="25"/>
  <c r="CC263" i="25"/>
  <c r="J263" i="25"/>
  <c r="BM263" i="25"/>
  <c r="I314" i="25"/>
  <c r="BN314" i="25"/>
  <c r="H283" i="25"/>
  <c r="CC283" i="25"/>
  <c r="AL283" i="25"/>
  <c r="J283" i="25"/>
  <c r="N283" i="25" s="1"/>
  <c r="BM283" i="25"/>
  <c r="AL276" i="25"/>
  <c r="CC276" i="25"/>
  <c r="H276" i="25"/>
  <c r="J276" i="25"/>
  <c r="N276" i="25" s="1"/>
  <c r="BM276" i="25"/>
  <c r="H208" i="24"/>
  <c r="AM208" i="24"/>
  <c r="I208" i="24"/>
  <c r="BO208" i="24"/>
  <c r="BR208" i="24" s="1"/>
  <c r="CE8" i="24"/>
  <c r="H8" i="24"/>
  <c r="CF8" i="24"/>
  <c r="AM8" i="24"/>
  <c r="K8" i="24"/>
  <c r="I8" i="24"/>
  <c r="BO8" i="24"/>
  <c r="BR8" i="24" s="1"/>
  <c r="CE13" i="24"/>
  <c r="AM13" i="24"/>
  <c r="K13" i="24"/>
  <c r="H13" i="24"/>
  <c r="CF13" i="24"/>
  <c r="BO13" i="24"/>
  <c r="BR13" i="24" s="1"/>
  <c r="I13" i="24"/>
  <c r="AM200" i="24"/>
  <c r="H200" i="24"/>
  <c r="I200" i="24"/>
  <c r="M200" i="24" s="1"/>
  <c r="BO200" i="24"/>
  <c r="BR200" i="24" s="1"/>
  <c r="AM81" i="24"/>
  <c r="K81" i="24"/>
  <c r="H81" i="24"/>
  <c r="I81" i="24"/>
  <c r="AM150" i="24"/>
  <c r="H150" i="24"/>
  <c r="I150" i="24"/>
  <c r="M150" i="24" s="1"/>
  <c r="N150" i="24" s="1"/>
  <c r="AM284" i="24"/>
  <c r="H284" i="24"/>
  <c r="I284" i="24"/>
  <c r="H117" i="25"/>
  <c r="AL117" i="25"/>
  <c r="CC117" i="25"/>
  <c r="BM117" i="25"/>
  <c r="CC290" i="25"/>
  <c r="H290" i="25"/>
  <c r="AL290" i="25"/>
  <c r="J290" i="25"/>
  <c r="BM290" i="25"/>
  <c r="BQ290" i="25" s="1"/>
  <c r="K87" i="24"/>
  <c r="H87" i="24"/>
  <c r="AM87" i="24"/>
  <c r="I87" i="24"/>
  <c r="BO87" i="24"/>
  <c r="BR87" i="24" s="1"/>
  <c r="H187" i="24"/>
  <c r="CF187" i="24"/>
  <c r="CE187" i="24"/>
  <c r="AM187" i="24"/>
  <c r="I187" i="24"/>
  <c r="K187" i="24" s="1"/>
  <c r="BO187" i="24"/>
  <c r="BR187" i="24" s="1"/>
  <c r="H200" i="25"/>
  <c r="CC200" i="25"/>
  <c r="AL200" i="25"/>
  <c r="BM200" i="25"/>
  <c r="BQ200" i="25" s="1"/>
  <c r="J200" i="25"/>
  <c r="L200" i="25" s="1"/>
  <c r="AL198" i="25"/>
  <c r="CC198" i="25"/>
  <c r="H198" i="25"/>
  <c r="J198" i="25"/>
  <c r="N198" i="25" s="1"/>
  <c r="BM198" i="25"/>
  <c r="BK119" i="24"/>
  <c r="S119" i="24"/>
  <c r="T119" i="24" s="1"/>
  <c r="M119" i="24"/>
  <c r="N119" i="24" s="1"/>
  <c r="CE159" i="24"/>
  <c r="H159" i="24"/>
  <c r="AM159" i="24"/>
  <c r="CF159" i="24"/>
  <c r="I159" i="24"/>
  <c r="BO159" i="24"/>
  <c r="BR159" i="24" s="1"/>
  <c r="H188" i="24"/>
  <c r="AM188" i="24"/>
  <c r="BO188" i="24"/>
  <c r="BR188" i="24" s="1"/>
  <c r="I188" i="24"/>
  <c r="M188" i="24" s="1"/>
  <c r="N188" i="24" s="1"/>
  <c r="BN144" i="25"/>
  <c r="I71" i="25"/>
  <c r="BN71" i="25"/>
  <c r="AM263" i="24"/>
  <c r="CE263" i="24"/>
  <c r="H263" i="24"/>
  <c r="BO263" i="24"/>
  <c r="BR263" i="24" s="1"/>
  <c r="K104" i="24"/>
  <c r="H104" i="24"/>
  <c r="AM104" i="24"/>
  <c r="I104" i="24"/>
  <c r="BO104" i="24"/>
  <c r="BR104" i="24" s="1"/>
  <c r="I10" i="25"/>
  <c r="BN281" i="25"/>
  <c r="I122" i="25"/>
  <c r="BN122" i="25"/>
  <c r="BM304" i="25"/>
  <c r="BM153" i="25"/>
  <c r="BQ153" i="25" s="1"/>
  <c r="BO248" i="24"/>
  <c r="BR248" i="24" s="1"/>
  <c r="J117" i="25"/>
  <c r="L117" i="25" s="1"/>
  <c r="J15" i="25"/>
  <c r="L15" i="25" s="1"/>
  <c r="I25" i="24"/>
  <c r="M25" i="24" s="1"/>
  <c r="N25" i="24" s="1"/>
  <c r="I112" i="24"/>
  <c r="I263" i="24"/>
  <c r="J171" i="25"/>
  <c r="L171" i="25" s="1"/>
  <c r="I102" i="25"/>
  <c r="BN102" i="25"/>
  <c r="I262" i="25"/>
  <c r="BN262" i="25"/>
  <c r="BQ262" i="25" s="1"/>
  <c r="BN86" i="25"/>
  <c r="I86" i="25"/>
  <c r="AL281" i="25"/>
  <c r="CC281" i="25"/>
  <c r="H281" i="25"/>
  <c r="BM281" i="25"/>
  <c r="J281" i="25"/>
  <c r="L281" i="25" s="1"/>
  <c r="BN25" i="25"/>
  <c r="I25" i="25"/>
  <c r="H144" i="24"/>
  <c r="CF144" i="24"/>
  <c r="CE144" i="24"/>
  <c r="AM144" i="24"/>
  <c r="I144" i="24"/>
  <c r="BO144" i="24"/>
  <c r="BR144" i="24" s="1"/>
  <c r="H92" i="25"/>
  <c r="AL92" i="25"/>
  <c r="CC92" i="25"/>
  <c r="J92" i="25"/>
  <c r="N92" i="25" s="1"/>
  <c r="AM222" i="24"/>
  <c r="H222" i="24"/>
  <c r="CE222" i="24"/>
  <c r="CF222" i="24"/>
  <c r="I222" i="24"/>
  <c r="BO222" i="24"/>
  <c r="BR222" i="24" s="1"/>
  <c r="H154" i="24"/>
  <c r="CF154" i="24"/>
  <c r="CE154" i="24"/>
  <c r="AM154" i="24"/>
  <c r="I154" i="24"/>
  <c r="CC238" i="25"/>
  <c r="H238" i="25"/>
  <c r="AL238" i="25"/>
  <c r="J238" i="25"/>
  <c r="N238" i="25" s="1"/>
  <c r="BM238" i="25"/>
  <c r="H175" i="25"/>
  <c r="AL175" i="25"/>
  <c r="CC175" i="25"/>
  <c r="BM175" i="25"/>
  <c r="J175" i="25"/>
  <c r="CC142" i="25"/>
  <c r="H142" i="25"/>
  <c r="AL142" i="25"/>
  <c r="BM142" i="25"/>
  <c r="J142" i="25"/>
  <c r="L142" i="25" s="1"/>
  <c r="I14" i="25"/>
  <c r="BN14" i="25"/>
  <c r="AL12" i="25"/>
  <c r="CC12" i="25"/>
  <c r="H12" i="25"/>
  <c r="J12" i="25"/>
  <c r="L12" i="25" s="1"/>
  <c r="BM12" i="25"/>
  <c r="CE231" i="24"/>
  <c r="CF231" i="24"/>
  <c r="H231" i="24"/>
  <c r="AM231" i="24"/>
  <c r="I231" i="24"/>
  <c r="M231" i="24" s="1"/>
  <c r="BO231" i="24"/>
  <c r="BR231" i="24" s="1"/>
  <c r="AM27" i="24"/>
  <c r="CF27" i="24"/>
  <c r="K27" i="24"/>
  <c r="CE27" i="24"/>
  <c r="H27" i="24"/>
  <c r="I27" i="24"/>
  <c r="M27" i="24" s="1"/>
  <c r="N27" i="24" s="1"/>
  <c r="BO27" i="24"/>
  <c r="BR27" i="24" s="1"/>
  <c r="AM245" i="24"/>
  <c r="H245" i="24"/>
  <c r="I245" i="24"/>
  <c r="AM34" i="24"/>
  <c r="CE34" i="24"/>
  <c r="CF34" i="24"/>
  <c r="K34" i="24"/>
  <c r="H34" i="24"/>
  <c r="BO34" i="24"/>
  <c r="BR34" i="24" s="1"/>
  <c r="I34" i="24"/>
  <c r="AM92" i="24"/>
  <c r="K92" i="24"/>
  <c r="H92" i="24"/>
  <c r="BO92" i="24"/>
  <c r="BR92" i="24" s="1"/>
  <c r="I92" i="24"/>
  <c r="AL87" i="25"/>
  <c r="CF87" i="25"/>
  <c r="CE87" i="25"/>
  <c r="H87" i="25"/>
  <c r="CC87" i="25"/>
  <c r="AL82" i="25"/>
  <c r="CC82" i="25"/>
  <c r="H82" i="25"/>
  <c r="J82" i="25"/>
  <c r="N82" i="25" s="1"/>
  <c r="H150" i="25"/>
  <c r="AL150" i="25"/>
  <c r="CC150" i="25"/>
  <c r="BM150" i="25"/>
  <c r="J150" i="25"/>
  <c r="L150" i="25" s="1"/>
  <c r="BN32" i="25"/>
  <c r="I32" i="25"/>
  <c r="H99" i="25"/>
  <c r="AL99" i="25"/>
  <c r="CC99" i="25"/>
  <c r="CF99" i="25"/>
  <c r="CE99" i="25"/>
  <c r="J99" i="25"/>
  <c r="L99" i="25" s="1"/>
  <c r="BM99" i="25"/>
  <c r="I49" i="25"/>
  <c r="BN49" i="25"/>
  <c r="H297" i="25"/>
  <c r="AL297" i="25"/>
  <c r="CC297" i="25"/>
  <c r="J297" i="25"/>
  <c r="BM297" i="25"/>
  <c r="H269" i="24"/>
  <c r="AM269" i="24"/>
  <c r="I269" i="24"/>
  <c r="BO269" i="24"/>
  <c r="BR269" i="24" s="1"/>
  <c r="AM182" i="24"/>
  <c r="H182" i="24"/>
  <c r="I182" i="24"/>
  <c r="M182" i="24" s="1"/>
  <c r="N182" i="24" s="1"/>
  <c r="BO182" i="24"/>
  <c r="BR182" i="24" s="1"/>
  <c r="H76" i="24"/>
  <c r="CE76" i="24"/>
  <c r="CF76" i="24"/>
  <c r="AM76" i="24"/>
  <c r="K76" i="24"/>
  <c r="I76" i="24"/>
  <c r="M76" i="24" s="1"/>
  <c r="N76" i="24" s="1"/>
  <c r="BO76" i="24"/>
  <c r="BR76" i="24" s="1"/>
  <c r="K16" i="24"/>
  <c r="H16" i="24"/>
  <c r="AM16" i="24"/>
  <c r="CF16" i="24"/>
  <c r="CE16" i="24"/>
  <c r="I16" i="24"/>
  <c r="M16" i="24" s="1"/>
  <c r="BO16" i="24"/>
  <c r="BR16" i="24" s="1"/>
  <c r="H141" i="24"/>
  <c r="CF141" i="24"/>
  <c r="CE141" i="24"/>
  <c r="AM141" i="24"/>
  <c r="I141" i="24"/>
  <c r="K141" i="24" s="1"/>
  <c r="BO141" i="24"/>
  <c r="BR141" i="24" s="1"/>
  <c r="CF164" i="24"/>
  <c r="CE164" i="24"/>
  <c r="AM164" i="24"/>
  <c r="H164" i="24"/>
  <c r="I164" i="24"/>
  <c r="K164" i="24" s="1"/>
  <c r="K73" i="24"/>
  <c r="H73" i="24"/>
  <c r="AM73" i="24"/>
  <c r="I73" i="24"/>
  <c r="BO73" i="24"/>
  <c r="BR73" i="24" s="1"/>
  <c r="BM247" i="25"/>
  <c r="BQ247" i="25" s="1"/>
  <c r="CC130" i="25"/>
  <c r="AL130" i="25"/>
  <c r="H130" i="25"/>
  <c r="J130" i="25"/>
  <c r="L130" i="25" s="1"/>
  <c r="BM130" i="25"/>
  <c r="BQ130" i="25" s="1"/>
  <c r="H197" i="25"/>
  <c r="AL197" i="25"/>
  <c r="CC197" i="25"/>
  <c r="J197" i="25"/>
  <c r="BM197" i="25"/>
  <c r="BQ197" i="25" s="1"/>
  <c r="H104" i="25"/>
  <c r="AL104" i="25"/>
  <c r="CC104" i="25"/>
  <c r="BM104" i="25"/>
  <c r="H219" i="25"/>
  <c r="AL219" i="25"/>
  <c r="CC219" i="25"/>
  <c r="J219" i="25"/>
  <c r="L219" i="25" s="1"/>
  <c r="BM219" i="25"/>
  <c r="BN73" i="25"/>
  <c r="I73" i="25"/>
  <c r="AL271" i="25"/>
  <c r="H271" i="25"/>
  <c r="CC271" i="25"/>
  <c r="BM271" i="25"/>
  <c r="J271" i="25"/>
  <c r="L271" i="25" s="1"/>
  <c r="H137" i="24"/>
  <c r="AM137" i="24"/>
  <c r="BO137" i="24"/>
  <c r="BR137" i="24" s="1"/>
  <c r="I137" i="24"/>
  <c r="K137" i="24" s="1"/>
  <c r="H265" i="25"/>
  <c r="AL265" i="25"/>
  <c r="CC265" i="25"/>
  <c r="BM265" i="25"/>
  <c r="BK7" i="24"/>
  <c r="S7" i="24"/>
  <c r="T7" i="24" s="1"/>
  <c r="BK190" i="24"/>
  <c r="S190" i="24"/>
  <c r="T190" i="24" s="1"/>
  <c r="BO161" i="24"/>
  <c r="BR161" i="24" s="1"/>
  <c r="I226" i="25"/>
  <c r="BN226" i="25"/>
  <c r="I217" i="25"/>
  <c r="CF253" i="24"/>
  <c r="AM253" i="24"/>
  <c r="H253" i="24"/>
  <c r="CE253" i="24"/>
  <c r="I253" i="24"/>
  <c r="K253" i="24" s="1"/>
  <c r="BO253" i="24"/>
  <c r="BR253" i="24" s="1"/>
  <c r="H157" i="24"/>
  <c r="AM157" i="24"/>
  <c r="I157" i="24"/>
  <c r="K157" i="24" s="1"/>
  <c r="BO157" i="24"/>
  <c r="BR157" i="24" s="1"/>
  <c r="I264" i="25"/>
  <c r="BO306" i="24"/>
  <c r="BR306" i="24" s="1"/>
  <c r="J126" i="25"/>
  <c r="J174" i="25"/>
  <c r="N174" i="25" s="1"/>
  <c r="J73" i="25"/>
  <c r="L73" i="25" s="1"/>
  <c r="AM179" i="24"/>
  <c r="H179" i="24"/>
  <c r="H309" i="24"/>
  <c r="CE309" i="24"/>
  <c r="AM309" i="24"/>
  <c r="I309" i="24"/>
  <c r="K309" i="24" s="1"/>
  <c r="H232" i="24"/>
  <c r="AM232" i="24"/>
  <c r="CE232" i="24"/>
  <c r="I232" i="24"/>
  <c r="K232" i="24" s="1"/>
  <c r="CF304" i="24"/>
  <c r="AM304" i="24"/>
  <c r="H304" i="24"/>
  <c r="I304" i="24"/>
  <c r="K304" i="24" s="1"/>
  <c r="AL30" i="25"/>
  <c r="CC30" i="25"/>
  <c r="H30" i="25"/>
  <c r="J30" i="25"/>
  <c r="N30" i="25" s="1"/>
  <c r="H300" i="25"/>
  <c r="CC300" i="25"/>
  <c r="AL300" i="25"/>
  <c r="H266" i="25"/>
  <c r="AL266" i="25"/>
  <c r="CC266" i="25"/>
  <c r="CF176" i="24"/>
  <c r="CE176" i="24"/>
  <c r="AM176" i="24"/>
  <c r="H176" i="24"/>
  <c r="AM118" i="24"/>
  <c r="H118" i="24"/>
  <c r="H117" i="24"/>
  <c r="AM117" i="24"/>
  <c r="I117" i="24"/>
  <c r="AM12" i="24"/>
  <c r="K12" i="24"/>
  <c r="H12" i="24"/>
  <c r="CE266" i="24"/>
  <c r="CF266" i="24"/>
  <c r="H266" i="24"/>
  <c r="AM266" i="24"/>
  <c r="I266" i="24"/>
  <c r="K266" i="24" s="1"/>
  <c r="H225" i="24"/>
  <c r="AM225" i="24"/>
  <c r="I225" i="24"/>
  <c r="M225" i="24" s="1"/>
  <c r="N225" i="24" s="1"/>
  <c r="AM286" i="24"/>
  <c r="H286" i="24"/>
  <c r="CE286" i="24"/>
  <c r="I286" i="24"/>
  <c r="K286" i="24" s="1"/>
  <c r="AM41" i="24"/>
  <c r="CF41" i="24"/>
  <c r="CE41" i="24"/>
  <c r="K41" i="24"/>
  <c r="H41" i="24"/>
  <c r="BN34" i="25"/>
  <c r="BQ34" i="25" s="1"/>
  <c r="I34" i="25"/>
  <c r="H129" i="25"/>
  <c r="AL129" i="25"/>
  <c r="CC129" i="25"/>
  <c r="CC245" i="25"/>
  <c r="AL245" i="25"/>
  <c r="H245" i="25"/>
  <c r="CC105" i="25"/>
  <c r="AL105" i="25"/>
  <c r="H105" i="25"/>
  <c r="AL236" i="25"/>
  <c r="CC236" i="25"/>
  <c r="H236" i="25"/>
  <c r="J236" i="25"/>
  <c r="L236" i="25" s="1"/>
  <c r="CC145" i="25"/>
  <c r="H145" i="25"/>
  <c r="AL145" i="25"/>
  <c r="K22" i="24"/>
  <c r="H22" i="24"/>
  <c r="AM22" i="24"/>
  <c r="CE224" i="24"/>
  <c r="AM224" i="24"/>
  <c r="H224" i="24"/>
  <c r="AM143" i="24"/>
  <c r="H143" i="24"/>
  <c r="CE143" i="24"/>
  <c r="CF143" i="24"/>
  <c r="BN93" i="25"/>
  <c r="BQ93" i="25" s="1"/>
  <c r="I93" i="25"/>
  <c r="BN63" i="25"/>
  <c r="BQ63" i="25" s="1"/>
  <c r="I63" i="25"/>
  <c r="BN192" i="25"/>
  <c r="I192" i="25"/>
  <c r="J71" i="25"/>
  <c r="N71" i="25" s="1"/>
  <c r="BO12" i="24"/>
  <c r="BR12" i="24" s="1"/>
  <c r="BM94" i="25"/>
  <c r="BM162" i="25"/>
  <c r="BM169" i="25"/>
  <c r="BQ169" i="25" s="1"/>
  <c r="BO162" i="24"/>
  <c r="BR162" i="24" s="1"/>
  <c r="J125" i="25"/>
  <c r="L125" i="25" s="1"/>
  <c r="J203" i="25"/>
  <c r="L203" i="25" s="1"/>
  <c r="J13" i="25"/>
  <c r="N13" i="25" s="1"/>
  <c r="I147" i="24"/>
  <c r="M147" i="24" s="1"/>
  <c r="N147" i="24" s="1"/>
  <c r="I130" i="24"/>
  <c r="M130" i="24" s="1"/>
  <c r="BM13" i="25"/>
  <c r="BO119" i="24"/>
  <c r="BR119" i="24" s="1"/>
  <c r="BO33" i="24"/>
  <c r="BR33" i="24" s="1"/>
  <c r="BO19" i="24"/>
  <c r="BR19" i="24" s="1"/>
  <c r="BM8" i="25"/>
  <c r="BQ8" i="25" s="1"/>
  <c r="BM129" i="25"/>
  <c r="BO256" i="24"/>
  <c r="BR256" i="24" s="1"/>
  <c r="BO82" i="24"/>
  <c r="BR82" i="24" s="1"/>
  <c r="BO116" i="24"/>
  <c r="BR116" i="24" s="1"/>
  <c r="BO280" i="24"/>
  <c r="BR280" i="24" s="1"/>
  <c r="BO247" i="24"/>
  <c r="BR247" i="24" s="1"/>
  <c r="BM270" i="25"/>
  <c r="BM71" i="25"/>
  <c r="BM206" i="25"/>
  <c r="BQ206" i="25" s="1"/>
  <c r="I205" i="24"/>
  <c r="M205" i="24" s="1"/>
  <c r="N205" i="24" s="1"/>
  <c r="I116" i="24"/>
  <c r="M116" i="24" s="1"/>
  <c r="I97" i="24"/>
  <c r="M97" i="24" s="1"/>
  <c r="I194" i="24"/>
  <c r="K194" i="24" s="1"/>
  <c r="AM282" i="24"/>
  <c r="CE282" i="24"/>
  <c r="CF282" i="24"/>
  <c r="H282" i="24"/>
  <c r="I282" i="24"/>
  <c r="K282" i="24" s="1"/>
  <c r="AM126" i="24"/>
  <c r="H126" i="24"/>
  <c r="I126" i="24"/>
  <c r="AM102" i="24"/>
  <c r="K102" i="24"/>
  <c r="H102" i="24"/>
  <c r="I102" i="24"/>
  <c r="AL218" i="25"/>
  <c r="CC218" i="25"/>
  <c r="H218" i="25"/>
  <c r="J218" i="25"/>
  <c r="L218" i="25" s="1"/>
  <c r="CC176" i="25"/>
  <c r="AL176" i="25"/>
  <c r="H176" i="25"/>
  <c r="I126" i="25"/>
  <c r="BN126" i="25"/>
  <c r="H74" i="25"/>
  <c r="CC74" i="25"/>
  <c r="AL74" i="25"/>
  <c r="BN204" i="25"/>
  <c r="BN62" i="25"/>
  <c r="H120" i="25"/>
  <c r="AL120" i="25"/>
  <c r="CC120" i="25"/>
  <c r="J120" i="25"/>
  <c r="L120" i="25" s="1"/>
  <c r="CC194" i="25"/>
  <c r="AL194" i="25"/>
  <c r="H194" i="25"/>
  <c r="AL132" i="25"/>
  <c r="CC132" i="25"/>
  <c r="H132" i="25"/>
  <c r="CC208" i="25"/>
  <c r="AL208" i="25"/>
  <c r="H208" i="25"/>
  <c r="J208" i="25"/>
  <c r="L208" i="25" s="1"/>
  <c r="H55" i="24"/>
  <c r="K55" i="24"/>
  <c r="AM55" i="24"/>
  <c r="H63" i="24"/>
  <c r="K63" i="24"/>
  <c r="AM63" i="24"/>
  <c r="CF63" i="24"/>
  <c r="CE63" i="24"/>
  <c r="I63" i="24"/>
  <c r="K103" i="24"/>
  <c r="H103" i="24"/>
  <c r="AM103" i="24"/>
  <c r="I103" i="24"/>
  <c r="CF131" i="24"/>
  <c r="H131" i="24"/>
  <c r="AM131" i="24"/>
  <c r="CE131" i="24"/>
  <c r="I131" i="24"/>
  <c r="K131" i="24" s="1"/>
  <c r="H188" i="25"/>
  <c r="AL188" i="25"/>
  <c r="CC188" i="25"/>
  <c r="J188" i="25"/>
  <c r="L188" i="25" s="1"/>
  <c r="BN59" i="25"/>
  <c r="BN31" i="25"/>
  <c r="I6" i="25"/>
  <c r="BN6" i="25"/>
  <c r="BQ6" i="25" s="1"/>
  <c r="BN165" i="25"/>
  <c r="I165" i="25"/>
  <c r="CF198" i="24"/>
  <c r="AM198" i="24"/>
  <c r="CE198" i="24"/>
  <c r="H198" i="24"/>
  <c r="CE267" i="24"/>
  <c r="H267" i="24"/>
  <c r="AM267" i="24"/>
  <c r="H146" i="24"/>
  <c r="AM146" i="24"/>
  <c r="AM100" i="24"/>
  <c r="CE100" i="24"/>
  <c r="CF100" i="24"/>
  <c r="H100" i="24"/>
  <c r="K100" i="24"/>
  <c r="I100" i="24"/>
  <c r="H314" i="24"/>
  <c r="AM314" i="24"/>
  <c r="I314" i="24"/>
  <c r="H186" i="24"/>
  <c r="AM186" i="24"/>
  <c r="H99" i="24"/>
  <c r="AM99" i="24"/>
  <c r="CF99" i="24"/>
  <c r="K99" i="24"/>
  <c r="CE99" i="24"/>
  <c r="I99" i="24"/>
  <c r="CF125" i="24"/>
  <c r="CE125" i="24"/>
  <c r="AM125" i="24"/>
  <c r="H125" i="24"/>
  <c r="CE39" i="24"/>
  <c r="K39" i="24"/>
  <c r="AM39" i="24"/>
  <c r="H39" i="24"/>
  <c r="CF39" i="24"/>
  <c r="H296" i="24"/>
  <c r="AM296" i="24"/>
  <c r="CE296" i="24"/>
  <c r="CF296" i="24"/>
  <c r="AM75" i="24"/>
  <c r="K75" i="24"/>
  <c r="H75" i="24"/>
  <c r="CE75" i="24"/>
  <c r="CF75" i="24"/>
  <c r="CF38" i="24"/>
  <c r="CE38" i="24"/>
  <c r="K38" i="24"/>
  <c r="H38" i="24"/>
  <c r="AM38" i="24"/>
  <c r="I38" i="24"/>
  <c r="CF259" i="24"/>
  <c r="AM259" i="24"/>
  <c r="H259" i="24"/>
  <c r="CE259" i="24"/>
  <c r="I259" i="24"/>
  <c r="K259" i="24" s="1"/>
  <c r="AM261" i="24"/>
  <c r="H261" i="24"/>
  <c r="CF261" i="24"/>
  <c r="K74" i="24"/>
  <c r="AM74" i="24"/>
  <c r="H74" i="24"/>
  <c r="H277" i="24"/>
  <c r="CF277" i="24"/>
  <c r="AM277" i="24"/>
  <c r="I277" i="24"/>
  <c r="AL53" i="25"/>
  <c r="CC53" i="25"/>
  <c r="CE53" i="25"/>
  <c r="CF53" i="25"/>
  <c r="H53" i="25"/>
  <c r="J53" i="25"/>
  <c r="L53" i="25" s="1"/>
  <c r="CE11" i="25"/>
  <c r="AL11" i="25"/>
  <c r="CC11" i="25"/>
  <c r="H11" i="25"/>
  <c r="CF11" i="25"/>
  <c r="CC279" i="25"/>
  <c r="H279" i="25"/>
  <c r="AL279" i="25"/>
  <c r="I195" i="25"/>
  <c r="BN195" i="25"/>
  <c r="H157" i="25"/>
  <c r="AL157" i="25"/>
  <c r="CC157" i="25"/>
  <c r="AL163" i="25"/>
  <c r="CC163" i="25"/>
  <c r="H163" i="25"/>
  <c r="H190" i="25"/>
  <c r="AL190" i="25"/>
  <c r="CC190" i="25"/>
  <c r="I53" i="25"/>
  <c r="AM241" i="24"/>
  <c r="H241" i="24"/>
  <c r="CE241" i="24"/>
  <c r="I241" i="24"/>
  <c r="AL137" i="25"/>
  <c r="CC137" i="25"/>
  <c r="H137" i="25"/>
  <c r="BO170" i="24"/>
  <c r="BR170" i="24" s="1"/>
  <c r="BO190" i="24"/>
  <c r="BR190" i="24" s="1"/>
  <c r="J145" i="25"/>
  <c r="J165" i="25"/>
  <c r="L165" i="25" s="1"/>
  <c r="BO102" i="24"/>
  <c r="BR102" i="24" s="1"/>
  <c r="BO142" i="24"/>
  <c r="BR142" i="24" s="1"/>
  <c r="BM26" i="25"/>
  <c r="BQ26" i="25" s="1"/>
  <c r="BM11" i="25"/>
  <c r="BO179" i="24"/>
  <c r="BR179" i="24" s="1"/>
  <c r="BO143" i="24"/>
  <c r="BR143" i="24" s="1"/>
  <c r="J246" i="25"/>
  <c r="N246" i="25" s="1"/>
  <c r="I71" i="24"/>
  <c r="J210" i="25"/>
  <c r="L210" i="25" s="1"/>
  <c r="I74" i="24"/>
  <c r="I39" i="24"/>
  <c r="I179" i="24"/>
  <c r="I206" i="24"/>
  <c r="K206" i="24" s="1"/>
  <c r="I146" i="24"/>
  <c r="K146" i="24" s="1"/>
  <c r="I198" i="24"/>
  <c r="K198" i="24" s="1"/>
  <c r="I176" i="24"/>
  <c r="I12" i="24"/>
  <c r="CE247" i="24"/>
  <c r="CF247" i="24"/>
  <c r="H247" i="24"/>
  <c r="AM247" i="24"/>
  <c r="I247" i="24"/>
  <c r="K247" i="24" s="1"/>
  <c r="CF20" i="24"/>
  <c r="K20" i="24"/>
  <c r="H20" i="24"/>
  <c r="AM20" i="24"/>
  <c r="CE20" i="24"/>
  <c r="CF195" i="24"/>
  <c r="AM195" i="24"/>
  <c r="CE195" i="24"/>
  <c r="H195" i="24"/>
  <c r="AL177" i="25"/>
  <c r="H177" i="25"/>
  <c r="CC177" i="25"/>
  <c r="CE295" i="24"/>
  <c r="CF295" i="24"/>
  <c r="AM295" i="24"/>
  <c r="H295" i="24"/>
  <c r="I295" i="24"/>
  <c r="K295" i="24" s="1"/>
  <c r="AM122" i="24"/>
  <c r="CF122" i="24"/>
  <c r="CE122" i="24"/>
  <c r="H122" i="24"/>
  <c r="CF255" i="24"/>
  <c r="AM255" i="24"/>
  <c r="CE255" i="24"/>
  <c r="H255" i="24"/>
  <c r="I255" i="24"/>
  <c r="K255" i="24" s="1"/>
  <c r="AM19" i="24"/>
  <c r="CF19" i="24"/>
  <c r="CE19" i="24"/>
  <c r="K19" i="24"/>
  <c r="H19" i="24"/>
  <c r="I19" i="24"/>
  <c r="M19" i="24" s="1"/>
  <c r="H307" i="24"/>
  <c r="AM307" i="24"/>
  <c r="I307" i="24"/>
  <c r="M307" i="24" s="1"/>
  <c r="N307" i="24" s="1"/>
  <c r="AM167" i="24"/>
  <c r="CF167" i="24"/>
  <c r="CE167" i="24"/>
  <c r="H167" i="24"/>
  <c r="I167" i="24"/>
  <c r="K167" i="24" s="1"/>
  <c r="CC70" i="25"/>
  <c r="AL70" i="25"/>
  <c r="CE70" i="25"/>
  <c r="CF70" i="25"/>
  <c r="H70" i="25"/>
  <c r="CE37" i="25"/>
  <c r="CF37" i="25"/>
  <c r="CC37" i="25"/>
  <c r="AL37" i="25"/>
  <c r="H37" i="25"/>
  <c r="J37" i="25"/>
  <c r="BN152" i="25"/>
  <c r="BQ152" i="25" s="1"/>
  <c r="I152" i="25"/>
  <c r="CC182" i="25"/>
  <c r="H182" i="25"/>
  <c r="AL182" i="25"/>
  <c r="CE276" i="24"/>
  <c r="AM276" i="24"/>
  <c r="H276" i="24"/>
  <c r="I276" i="24"/>
  <c r="K276" i="24" s="1"/>
  <c r="H280" i="24"/>
  <c r="AM280" i="24"/>
  <c r="CE280" i="24"/>
  <c r="I280" i="24"/>
  <c r="AM191" i="24"/>
  <c r="K191" i="24"/>
  <c r="H191" i="24"/>
  <c r="CE133" i="24"/>
  <c r="H133" i="24"/>
  <c r="CF133" i="24"/>
  <c r="AM133" i="24"/>
  <c r="I133" i="24"/>
  <c r="M133" i="24" s="1"/>
  <c r="N133" i="24" s="1"/>
  <c r="CE251" i="24"/>
  <c r="CF251" i="24"/>
  <c r="H251" i="24"/>
  <c r="AM251" i="24"/>
  <c r="I251" i="24"/>
  <c r="K251" i="24" s="1"/>
  <c r="CF192" i="24"/>
  <c r="CE192" i="24"/>
  <c r="AM192" i="24"/>
  <c r="H192" i="24"/>
  <c r="I192" i="24"/>
  <c r="H129" i="24"/>
  <c r="CF129" i="24"/>
  <c r="CE129" i="24"/>
  <c r="AM129" i="24"/>
  <c r="K6" i="24"/>
  <c r="H6" i="24"/>
  <c r="AM6" i="24"/>
  <c r="I6" i="24"/>
  <c r="M6" i="24" s="1"/>
  <c r="N6" i="24" s="1"/>
  <c r="M21" i="24"/>
  <c r="N21" i="24" s="1"/>
  <c r="CF190" i="24"/>
  <c r="CE190" i="24"/>
  <c r="K190" i="24"/>
  <c r="AM190" i="24"/>
  <c r="H190" i="24"/>
  <c r="BO232" i="24"/>
  <c r="BR232" i="24" s="1"/>
  <c r="BN279" i="25"/>
  <c r="BQ279" i="25" s="1"/>
  <c r="CF58" i="25"/>
  <c r="CE58" i="25"/>
  <c r="AL58" i="25"/>
  <c r="CC58" i="25"/>
  <c r="H58" i="25"/>
  <c r="J58" i="25"/>
  <c r="H241" i="25"/>
  <c r="AL241" i="25"/>
  <c r="CC241" i="25"/>
  <c r="H9" i="25"/>
  <c r="CE9" i="25"/>
  <c r="CF9" i="25"/>
  <c r="AL9" i="25"/>
  <c r="CC9" i="25"/>
  <c r="H125" i="25"/>
  <c r="AL125" i="25"/>
  <c r="CC125" i="25"/>
  <c r="I29" i="25"/>
  <c r="M22" i="24"/>
  <c r="N22" i="24" s="1"/>
  <c r="H223" i="24"/>
  <c r="AM223" i="24"/>
  <c r="I223" i="24"/>
  <c r="K223" i="24" s="1"/>
  <c r="AM111" i="24"/>
  <c r="H111" i="24"/>
  <c r="J315" i="25"/>
  <c r="L315" i="25" s="1"/>
  <c r="J44" i="25"/>
  <c r="L44" i="25" s="1"/>
  <c r="BO286" i="24"/>
  <c r="BR286" i="24" s="1"/>
  <c r="I285" i="24"/>
  <c r="K285" i="24" s="1"/>
  <c r="J182" i="25"/>
  <c r="J279" i="25"/>
  <c r="J241" i="25"/>
  <c r="BM23" i="25"/>
  <c r="BQ23" i="25" s="1"/>
  <c r="J157" i="25"/>
  <c r="J81" i="25"/>
  <c r="L81" i="25" s="1"/>
  <c r="BO99" i="24"/>
  <c r="BR99" i="24" s="1"/>
  <c r="BM160" i="25"/>
  <c r="BQ160" i="25" s="1"/>
  <c r="J105" i="25"/>
  <c r="L105" i="25" s="1"/>
  <c r="J176" i="25"/>
  <c r="BO132" i="24"/>
  <c r="BR132" i="24" s="1"/>
  <c r="BM105" i="25"/>
  <c r="BO103" i="24"/>
  <c r="BR103" i="24" s="1"/>
  <c r="BO133" i="24"/>
  <c r="BR133" i="24" s="1"/>
  <c r="BO38" i="24"/>
  <c r="BR38" i="24" s="1"/>
  <c r="BM300" i="25"/>
  <c r="BQ300" i="25" s="1"/>
  <c r="BM194" i="25"/>
  <c r="I118" i="24"/>
  <c r="K118" i="24" s="1"/>
  <c r="BM9" i="25"/>
  <c r="BO191" i="24"/>
  <c r="BR191" i="24" s="1"/>
  <c r="BO276" i="24"/>
  <c r="BR276" i="24" s="1"/>
  <c r="BO266" i="24"/>
  <c r="BR266" i="24" s="1"/>
  <c r="BO224" i="24"/>
  <c r="BR224" i="24" s="1"/>
  <c r="I129" i="24"/>
  <c r="M129" i="24" s="1"/>
  <c r="N129" i="24" s="1"/>
  <c r="AL73" i="25"/>
  <c r="H73" i="25"/>
  <c r="CC73" i="25"/>
  <c r="AL246" i="25"/>
  <c r="CC246" i="25"/>
  <c r="H246" i="25"/>
  <c r="BN120" i="25"/>
  <c r="BN194" i="25"/>
  <c r="BN132" i="25"/>
  <c r="BN208" i="25"/>
  <c r="H116" i="24"/>
  <c r="CF116" i="24"/>
  <c r="AM116" i="24"/>
  <c r="CE116" i="24"/>
  <c r="CE256" i="24"/>
  <c r="H256" i="24"/>
  <c r="AM256" i="24"/>
  <c r="I256" i="24"/>
  <c r="AM205" i="24"/>
  <c r="H205" i="24"/>
  <c r="CC232" i="25"/>
  <c r="H232" i="25"/>
  <c r="AL232" i="25"/>
  <c r="J232" i="25"/>
  <c r="N232" i="25" s="1"/>
  <c r="CC180" i="25"/>
  <c r="H180" i="25"/>
  <c r="AL180" i="25"/>
  <c r="CC210" i="25"/>
  <c r="AL210" i="25"/>
  <c r="H210" i="25"/>
  <c r="H163" i="24"/>
  <c r="AM163" i="24"/>
  <c r="I163" i="24"/>
  <c r="M163" i="24" s="1"/>
  <c r="N163" i="24" s="1"/>
  <c r="CF302" i="24"/>
  <c r="AM302" i="24"/>
  <c r="H302" i="24"/>
  <c r="I302" i="24"/>
  <c r="K302" i="24" s="1"/>
  <c r="K50" i="24"/>
  <c r="H50" i="24"/>
  <c r="AM50" i="24"/>
  <c r="CF50" i="24"/>
  <c r="CE50" i="24"/>
  <c r="AM162" i="24"/>
  <c r="K162" i="24"/>
  <c r="H162" i="24"/>
  <c r="H56" i="24"/>
  <c r="AM56" i="24"/>
  <c r="K56" i="24"/>
  <c r="H21" i="24"/>
  <c r="K21" i="24"/>
  <c r="AM21" i="24"/>
  <c r="BM177" i="25"/>
  <c r="BM266" i="25"/>
  <c r="BQ266" i="25" s="1"/>
  <c r="AL226" i="25"/>
  <c r="CC226" i="25"/>
  <c r="H226" i="25"/>
  <c r="BN157" i="25"/>
  <c r="BN163" i="25"/>
  <c r="CC162" i="25"/>
  <c r="AL162" i="25"/>
  <c r="H162" i="25"/>
  <c r="BN190" i="25"/>
  <c r="AL16" i="25"/>
  <c r="CC16" i="25"/>
  <c r="H16" i="25"/>
  <c r="CF16" i="25"/>
  <c r="CE16" i="25"/>
  <c r="AL71" i="25"/>
  <c r="H71" i="25"/>
  <c r="CC71" i="25"/>
  <c r="H42" i="25"/>
  <c r="AL42" i="25"/>
  <c r="CC42" i="25"/>
  <c r="CE42" i="25"/>
  <c r="CF42" i="25"/>
  <c r="K96" i="24"/>
  <c r="H96" i="24"/>
  <c r="AM96" i="24"/>
  <c r="CF96" i="24"/>
  <c r="CE96" i="24"/>
  <c r="AM97" i="24"/>
  <c r="H97" i="24"/>
  <c r="K97" i="24"/>
  <c r="CF145" i="24"/>
  <c r="CE145" i="24"/>
  <c r="AM145" i="24"/>
  <c r="H145" i="24"/>
  <c r="I145" i="24"/>
  <c r="H138" i="24"/>
  <c r="CF138" i="24"/>
  <c r="AM138" i="24"/>
  <c r="CE138" i="24"/>
  <c r="AL122" i="25"/>
  <c r="CC122" i="25"/>
  <c r="H122" i="25"/>
  <c r="J122" i="25"/>
  <c r="L122" i="25" s="1"/>
  <c r="BM73" i="25"/>
  <c r="BO21" i="24"/>
  <c r="BR21" i="24" s="1"/>
  <c r="BO39" i="24"/>
  <c r="BR39" i="24" s="1"/>
  <c r="BO225" i="24"/>
  <c r="BR225" i="24" s="1"/>
  <c r="BM195" i="25"/>
  <c r="BO295" i="24"/>
  <c r="BR295" i="24" s="1"/>
  <c r="BO309" i="24"/>
  <c r="BR309" i="24" s="1"/>
  <c r="J300" i="25"/>
  <c r="L300" i="25" s="1"/>
  <c r="J245" i="25"/>
  <c r="J137" i="25"/>
  <c r="J6" i="25"/>
  <c r="N6" i="25" s="1"/>
  <c r="T6" i="25" s="1"/>
  <c r="BM52" i="25"/>
  <c r="BO186" i="24"/>
  <c r="BR186" i="24" s="1"/>
  <c r="BO176" i="24"/>
  <c r="BR176" i="24" s="1"/>
  <c r="J23" i="25"/>
  <c r="L23" i="25" s="1"/>
  <c r="I20" i="24"/>
  <c r="I111" i="24"/>
  <c r="J163" i="25"/>
  <c r="J180" i="25"/>
  <c r="J132" i="25"/>
  <c r="J74" i="25"/>
  <c r="L74" i="25" s="1"/>
  <c r="I195" i="24"/>
  <c r="K195" i="24" s="1"/>
  <c r="J206" i="25"/>
  <c r="N206" i="25" s="1"/>
  <c r="H291" i="24"/>
  <c r="AM291" i="24"/>
  <c r="CE291" i="24"/>
  <c r="I291" i="24"/>
  <c r="K291" i="24" s="1"/>
  <c r="H169" i="25"/>
  <c r="AL169" i="25"/>
  <c r="CC169" i="25"/>
  <c r="CC143" i="25"/>
  <c r="AL143" i="25"/>
  <c r="H143" i="25"/>
  <c r="AL193" i="25"/>
  <c r="H193" i="25"/>
  <c r="CC193" i="25"/>
  <c r="CC168" i="25"/>
  <c r="AL168" i="25"/>
  <c r="H168" i="25"/>
  <c r="AL151" i="25"/>
  <c r="H151" i="25"/>
  <c r="CC151" i="25"/>
  <c r="CC141" i="25"/>
  <c r="H141" i="25"/>
  <c r="AL141" i="25"/>
  <c r="AL185" i="25"/>
  <c r="CC185" i="25"/>
  <c r="H185" i="25"/>
  <c r="AL159" i="25"/>
  <c r="CC159" i="25"/>
  <c r="H159" i="25"/>
  <c r="BN174" i="25"/>
  <c r="I174" i="25"/>
  <c r="CF265" i="24"/>
  <c r="AM265" i="24"/>
  <c r="H265" i="24"/>
  <c r="CE265" i="24"/>
  <c r="I265" i="24"/>
  <c r="CF273" i="24"/>
  <c r="AM273" i="24"/>
  <c r="CE273" i="24"/>
  <c r="H273" i="24"/>
  <c r="I273" i="24"/>
  <c r="H202" i="24"/>
  <c r="AM202" i="24"/>
  <c r="AM37" i="24"/>
  <c r="CF37" i="24"/>
  <c r="CE37" i="24"/>
  <c r="K37" i="24"/>
  <c r="H37" i="24"/>
  <c r="CF123" i="24"/>
  <c r="CE123" i="24"/>
  <c r="AM123" i="24"/>
  <c r="H123" i="24"/>
  <c r="I123" i="24"/>
  <c r="AL269" i="25"/>
  <c r="CC269" i="25"/>
  <c r="H269" i="25"/>
  <c r="J269" i="25"/>
  <c r="L269" i="25" s="1"/>
  <c r="K142" i="24"/>
  <c r="H142" i="24"/>
  <c r="CF142" i="24"/>
  <c r="CE142" i="24"/>
  <c r="AM142" i="24"/>
  <c r="H18" i="24"/>
  <c r="AM18" i="24"/>
  <c r="CF18" i="24"/>
  <c r="CE18" i="24"/>
  <c r="K18" i="24"/>
  <c r="I18" i="24"/>
  <c r="M18" i="24" s="1"/>
  <c r="N18" i="24" s="1"/>
  <c r="CF228" i="24"/>
  <c r="H228" i="24"/>
  <c r="AM228" i="24"/>
  <c r="CE228" i="24"/>
  <c r="M7" i="24"/>
  <c r="N7" i="24" s="1"/>
  <c r="CE24" i="24"/>
  <c r="CF24" i="24"/>
  <c r="K24" i="24"/>
  <c r="AM24" i="24"/>
  <c r="H24" i="24"/>
  <c r="I24" i="24"/>
  <c r="M24" i="24" s="1"/>
  <c r="N24" i="24" s="1"/>
  <c r="M190" i="24"/>
  <c r="N190" i="24" s="1"/>
  <c r="H147" i="24"/>
  <c r="CE147" i="24"/>
  <c r="AM147" i="24"/>
  <c r="CF147" i="24"/>
  <c r="H257" i="25"/>
  <c r="AL257" i="25"/>
  <c r="CC257" i="25"/>
  <c r="AL270" i="25"/>
  <c r="CC270" i="25"/>
  <c r="H270" i="25"/>
  <c r="BN129" i="25"/>
  <c r="I129" i="25"/>
  <c r="I111" i="25"/>
  <c r="BN111" i="25"/>
  <c r="BQ111" i="25" s="1"/>
  <c r="AL83" i="25"/>
  <c r="H83" i="25"/>
  <c r="CC83" i="25"/>
  <c r="J83" i="25"/>
  <c r="L83" i="25" s="1"/>
  <c r="I105" i="25"/>
  <c r="BN105" i="25"/>
  <c r="I145" i="25"/>
  <c r="BN145" i="25"/>
  <c r="AM14" i="24"/>
  <c r="K14" i="24"/>
  <c r="H14" i="24"/>
  <c r="I14" i="24"/>
  <c r="M14" i="24" s="1"/>
  <c r="N14" i="24" s="1"/>
  <c r="AM101" i="24"/>
  <c r="K101" i="24"/>
  <c r="H101" i="24"/>
  <c r="H252" i="24"/>
  <c r="AM252" i="24"/>
  <c r="CE252" i="24"/>
  <c r="K62" i="24"/>
  <c r="H62" i="24"/>
  <c r="AM62" i="24"/>
  <c r="I62" i="24"/>
  <c r="M62" i="24" s="1"/>
  <c r="N62" i="24" s="1"/>
  <c r="CE160" i="24"/>
  <c r="AM160" i="24"/>
  <c r="H160" i="24"/>
  <c r="CF160" i="24"/>
  <c r="CE272" i="24"/>
  <c r="AM272" i="24"/>
  <c r="H272" i="24"/>
  <c r="I272" i="24"/>
  <c r="M272" i="24" s="1"/>
  <c r="N272" i="24" s="1"/>
  <c r="CC93" i="25"/>
  <c r="AL93" i="25"/>
  <c r="CF93" i="25"/>
  <c r="H93" i="25"/>
  <c r="CE93" i="25"/>
  <c r="J93" i="25"/>
  <c r="L93" i="25" s="1"/>
  <c r="AL192" i="25"/>
  <c r="CC192" i="25"/>
  <c r="H192" i="25"/>
  <c r="J192" i="25"/>
  <c r="N192" i="25" s="1"/>
  <c r="T192" i="25" s="1"/>
  <c r="J194" i="25"/>
  <c r="L194" i="25" s="1"/>
  <c r="J193" i="25"/>
  <c r="L193" i="25" s="1"/>
  <c r="BO272" i="24"/>
  <c r="BR272" i="24" s="1"/>
  <c r="BM157" i="25"/>
  <c r="BM132" i="25"/>
  <c r="BO68" i="24"/>
  <c r="BR68" i="24" s="1"/>
  <c r="BO41" i="24"/>
  <c r="BR41" i="24" s="1"/>
  <c r="BO205" i="24"/>
  <c r="BR205" i="24" s="1"/>
  <c r="BM210" i="25"/>
  <c r="BM125" i="25"/>
  <c r="BQ125" i="25" s="1"/>
  <c r="BM190" i="25"/>
  <c r="BO96" i="24"/>
  <c r="BR96" i="24" s="1"/>
  <c r="BO101" i="24"/>
  <c r="BR101" i="24" s="1"/>
  <c r="BO255" i="24"/>
  <c r="BR255" i="24" s="1"/>
  <c r="BO314" i="24"/>
  <c r="BR314" i="24" s="1"/>
  <c r="BO20" i="24"/>
  <c r="BR20" i="24" s="1"/>
  <c r="BO62" i="24"/>
  <c r="BR62" i="24" s="1"/>
  <c r="BM42" i="25"/>
  <c r="BO138" i="24"/>
  <c r="BR138" i="24" s="1"/>
  <c r="BO117" i="24"/>
  <c r="BR117" i="24" s="1"/>
  <c r="I50" i="24"/>
  <c r="BM163" i="25"/>
  <c r="BO282" i="24"/>
  <c r="BR282" i="24" s="1"/>
  <c r="BO122" i="24"/>
  <c r="BR122" i="24" s="1"/>
  <c r="BM192" i="25"/>
  <c r="BO123" i="24"/>
  <c r="BR123" i="24" s="1"/>
  <c r="BO267" i="24"/>
  <c r="BR267" i="24" s="1"/>
  <c r="BM145" i="25"/>
  <c r="BO7" i="24"/>
  <c r="BR7" i="24" s="1"/>
  <c r="I75" i="24"/>
  <c r="I122" i="24"/>
  <c r="K122" i="24" s="1"/>
  <c r="I261" i="24"/>
  <c r="I228" i="24"/>
  <c r="K228" i="24" s="1"/>
  <c r="I138" i="24"/>
  <c r="K138" i="24" s="1"/>
  <c r="I296" i="24"/>
  <c r="I267" i="24"/>
  <c r="I202" i="24"/>
  <c r="I252" i="24"/>
  <c r="K252" i="24" s="1"/>
  <c r="H160" i="25"/>
  <c r="AL160" i="25"/>
  <c r="CC160" i="25"/>
  <c r="J160" i="25"/>
  <c r="H206" i="25"/>
  <c r="CC206" i="25"/>
  <c r="AL206" i="25"/>
  <c r="H203" i="25"/>
  <c r="AL203" i="25"/>
  <c r="CC203" i="25"/>
  <c r="AL77" i="25"/>
  <c r="CC77" i="25"/>
  <c r="H77" i="25"/>
  <c r="CC26" i="25"/>
  <c r="AL26" i="25"/>
  <c r="CE26" i="25"/>
  <c r="CF26" i="25"/>
  <c r="H26" i="25"/>
  <c r="J26" i="25"/>
  <c r="L26" i="25" s="1"/>
  <c r="H13" i="25"/>
  <c r="CC13" i="25"/>
  <c r="AL13" i="25"/>
  <c r="CE13" i="25"/>
  <c r="CF13" i="25"/>
  <c r="AM82" i="24"/>
  <c r="CF82" i="24"/>
  <c r="CE82" i="24"/>
  <c r="K82" i="24"/>
  <c r="H82" i="24"/>
  <c r="I82" i="24"/>
  <c r="CE285" i="24"/>
  <c r="H285" i="24"/>
  <c r="AM285" i="24"/>
  <c r="AM170" i="24"/>
  <c r="H170" i="24"/>
  <c r="AM83" i="24"/>
  <c r="H83" i="24"/>
  <c r="K83" i="24"/>
  <c r="I83" i="24"/>
  <c r="M83" i="24" s="1"/>
  <c r="BN188" i="25"/>
  <c r="I188" i="25"/>
  <c r="H6" i="25"/>
  <c r="CC6" i="25"/>
  <c r="AL6" i="25"/>
  <c r="AL165" i="25"/>
  <c r="H165" i="25"/>
  <c r="CC165" i="25"/>
  <c r="AM68" i="24"/>
  <c r="CE68" i="24"/>
  <c r="CF68" i="24"/>
  <c r="K68" i="24"/>
  <c r="H68" i="24"/>
  <c r="I68" i="24"/>
  <c r="M68" i="24" s="1"/>
  <c r="N68" i="24" s="1"/>
  <c r="AM33" i="24"/>
  <c r="CE33" i="24"/>
  <c r="CF33" i="24"/>
  <c r="K33" i="24"/>
  <c r="H33" i="24"/>
  <c r="CE177" i="24"/>
  <c r="H177" i="24"/>
  <c r="AM177" i="24"/>
  <c r="CF177" i="24"/>
  <c r="I177" i="24"/>
  <c r="K177" i="24" s="1"/>
  <c r="AM54" i="24"/>
  <c r="K54" i="24"/>
  <c r="H54" i="24"/>
  <c r="I54" i="24"/>
  <c r="CE243" i="24"/>
  <c r="H243" i="24"/>
  <c r="AM243" i="24"/>
  <c r="H194" i="24"/>
  <c r="CE194" i="24"/>
  <c r="AM194" i="24"/>
  <c r="CF194" i="24"/>
  <c r="K7" i="24"/>
  <c r="AM7" i="24"/>
  <c r="H7" i="24"/>
  <c r="AM71" i="24"/>
  <c r="CE71" i="24"/>
  <c r="CF71" i="24"/>
  <c r="K71" i="24"/>
  <c r="H71" i="24"/>
  <c r="CF130" i="24"/>
  <c r="CE130" i="24"/>
  <c r="AM130" i="24"/>
  <c r="H130" i="24"/>
  <c r="AM268" i="24"/>
  <c r="CE268" i="24"/>
  <c r="H268" i="24"/>
  <c r="I268" i="24"/>
  <c r="M268" i="24" s="1"/>
  <c r="N268" i="24" s="1"/>
  <c r="BO202" i="24"/>
  <c r="BR202" i="24" s="1"/>
  <c r="H52" i="25"/>
  <c r="AL52" i="25"/>
  <c r="CC52" i="25"/>
  <c r="H23" i="25"/>
  <c r="CC23" i="25"/>
  <c r="AL23" i="25"/>
  <c r="CF23" i="25"/>
  <c r="CE23" i="25"/>
  <c r="BN11" i="25"/>
  <c r="I11" i="25"/>
  <c r="H195" i="25"/>
  <c r="AL195" i="25"/>
  <c r="CC195" i="25"/>
  <c r="J195" i="25"/>
  <c r="CC202" i="25"/>
  <c r="AL202" i="25"/>
  <c r="H202" i="25"/>
  <c r="J202" i="25"/>
  <c r="L202" i="25" s="1"/>
  <c r="H164" i="25"/>
  <c r="AL164" i="25"/>
  <c r="CC164" i="25"/>
  <c r="J164" i="25"/>
  <c r="L164" i="25" s="1"/>
  <c r="H186" i="25"/>
  <c r="AL186" i="25"/>
  <c r="CC186" i="25"/>
  <c r="H8" i="25"/>
  <c r="CC8" i="25"/>
  <c r="AL8" i="25"/>
  <c r="CF8" i="25"/>
  <c r="CE8" i="25"/>
  <c r="J8" i="25"/>
  <c r="L8" i="25" s="1"/>
  <c r="H237" i="25"/>
  <c r="AL237" i="25"/>
  <c r="CC237" i="25"/>
  <c r="H233" i="24"/>
  <c r="AM233" i="24"/>
  <c r="CF250" i="24"/>
  <c r="H250" i="24"/>
  <c r="AM250" i="24"/>
  <c r="I250" i="24"/>
  <c r="AM114" i="24"/>
  <c r="H114" i="24"/>
  <c r="CF114" i="24"/>
  <c r="CE114" i="24"/>
  <c r="I114" i="24"/>
  <c r="CF67" i="24"/>
  <c r="CE67" i="24"/>
  <c r="AM67" i="24"/>
  <c r="K67" i="24"/>
  <c r="H67" i="24"/>
  <c r="I67" i="24"/>
  <c r="CF158" i="24"/>
  <c r="CE158" i="24"/>
  <c r="AM158" i="24"/>
  <c r="H158" i="24"/>
  <c r="I158" i="24"/>
  <c r="K158" i="24" s="1"/>
  <c r="BN80" i="25"/>
  <c r="BQ80" i="25" s="1"/>
  <c r="I80" i="25"/>
  <c r="BN137" i="25"/>
  <c r="I137" i="25"/>
  <c r="BO265" i="24"/>
  <c r="BR265" i="24" s="1"/>
  <c r="BM269" i="25"/>
  <c r="BQ269" i="25" s="1"/>
  <c r="BO130" i="24"/>
  <c r="BR130" i="24" s="1"/>
  <c r="BO97" i="24"/>
  <c r="BR97" i="24" s="1"/>
  <c r="BO111" i="24"/>
  <c r="BR111" i="24" s="1"/>
  <c r="BM208" i="25"/>
  <c r="BO261" i="24"/>
  <c r="BR261" i="24" s="1"/>
  <c r="J270" i="25"/>
  <c r="I170" i="24"/>
  <c r="K170" i="24" s="1"/>
  <c r="J266" i="25"/>
  <c r="J16" i="25"/>
  <c r="BM226" i="25"/>
  <c r="BO118" i="24"/>
  <c r="BR118" i="24" s="1"/>
  <c r="J185" i="25"/>
  <c r="J186" i="25"/>
  <c r="N186" i="25" s="1"/>
  <c r="J52" i="25"/>
  <c r="J70" i="25"/>
  <c r="I96" i="24"/>
  <c r="J151" i="25"/>
  <c r="I224" i="24"/>
  <c r="I125" i="24"/>
  <c r="K125" i="24" s="1"/>
  <c r="I33" i="24"/>
  <c r="J159" i="25"/>
  <c r="I143" i="24"/>
  <c r="H185" i="24"/>
  <c r="AM185" i="24"/>
  <c r="I185" i="24"/>
  <c r="K185" i="24" s="1"/>
  <c r="CE283" i="24"/>
  <c r="CF283" i="24"/>
  <c r="H283" i="24"/>
  <c r="AM283" i="24"/>
  <c r="I283" i="24"/>
  <c r="H257" i="24"/>
  <c r="AM257" i="24"/>
  <c r="CE257" i="24"/>
  <c r="H168" i="24"/>
  <c r="AM168" i="24"/>
  <c r="AL81" i="25"/>
  <c r="CC81" i="25"/>
  <c r="H81" i="25"/>
  <c r="H44" i="25"/>
  <c r="CE44" i="25"/>
  <c r="CC44" i="25"/>
  <c r="AL44" i="25"/>
  <c r="CF44" i="25"/>
  <c r="AL239" i="25"/>
  <c r="CC239" i="25"/>
  <c r="H239" i="25"/>
  <c r="J239" i="25"/>
  <c r="L239" i="25" s="1"/>
  <c r="H315" i="25"/>
  <c r="AL315" i="25"/>
  <c r="CC315" i="25"/>
  <c r="H280" i="25"/>
  <c r="AL280" i="25"/>
  <c r="CC280" i="25"/>
  <c r="K119" i="24"/>
  <c r="H119" i="24"/>
  <c r="AM119" i="24"/>
  <c r="AM152" i="24"/>
  <c r="H152" i="24"/>
  <c r="K70" i="24"/>
  <c r="AM70" i="24"/>
  <c r="H70" i="24"/>
  <c r="CE70" i="24"/>
  <c r="CF70" i="24"/>
  <c r="I70" i="24"/>
  <c r="AL189" i="25"/>
  <c r="CC189" i="25"/>
  <c r="H189" i="25"/>
  <c r="BN37" i="25"/>
  <c r="I37" i="25"/>
  <c r="CC152" i="25"/>
  <c r="AL152" i="25"/>
  <c r="H152" i="25"/>
  <c r="J152" i="25"/>
  <c r="L152" i="25" s="1"/>
  <c r="BN182" i="25"/>
  <c r="I182" i="25"/>
  <c r="M142" i="24"/>
  <c r="AM46" i="24"/>
  <c r="CE46" i="24"/>
  <c r="CF46" i="24"/>
  <c r="K46" i="24"/>
  <c r="H46" i="24"/>
  <c r="I46" i="24"/>
  <c r="H36" i="24"/>
  <c r="CE36" i="24"/>
  <c r="CF36" i="24"/>
  <c r="AM36" i="24"/>
  <c r="K36" i="24"/>
  <c r="I36" i="24"/>
  <c r="AM45" i="24"/>
  <c r="K45" i="24"/>
  <c r="H45" i="24"/>
  <c r="CE281" i="24"/>
  <c r="AM281" i="24"/>
  <c r="H281" i="24"/>
  <c r="I281" i="24"/>
  <c r="K94" i="24"/>
  <c r="AM94" i="24"/>
  <c r="H94" i="24"/>
  <c r="CF94" i="24"/>
  <c r="CE94" i="24"/>
  <c r="I94" i="24"/>
  <c r="AM206" i="24"/>
  <c r="H206" i="24"/>
  <c r="AM132" i="24"/>
  <c r="K132" i="24"/>
  <c r="H132" i="24"/>
  <c r="CE274" i="24"/>
  <c r="H274" i="24"/>
  <c r="AM274" i="24"/>
  <c r="I274" i="24"/>
  <c r="K274" i="24" s="1"/>
  <c r="BO268" i="24"/>
  <c r="BR268" i="24" s="1"/>
  <c r="CF29" i="25"/>
  <c r="H29" i="25"/>
  <c r="AL29" i="25"/>
  <c r="CC29" i="25"/>
  <c r="CE29" i="25"/>
  <c r="BN9" i="25"/>
  <c r="I9" i="25"/>
  <c r="AL38" i="25"/>
  <c r="CC38" i="25"/>
  <c r="CE38" i="25"/>
  <c r="CF38" i="25"/>
  <c r="H38" i="25"/>
  <c r="J38" i="25"/>
  <c r="L38" i="25" s="1"/>
  <c r="CF94" i="25"/>
  <c r="AL94" i="25"/>
  <c r="CC94" i="25"/>
  <c r="CE94" i="25"/>
  <c r="H94" i="25"/>
  <c r="CF298" i="24"/>
  <c r="H298" i="24"/>
  <c r="AM298" i="24"/>
  <c r="I298" i="24"/>
  <c r="K298" i="24" s="1"/>
  <c r="H165" i="24"/>
  <c r="AM165" i="24"/>
  <c r="I165" i="24"/>
  <c r="M101" i="24"/>
  <c r="CE292" i="24"/>
  <c r="AM292" i="24"/>
  <c r="H292" i="24"/>
  <c r="K292" i="24"/>
  <c r="BN17" i="25"/>
  <c r="BQ17" i="25" s="1"/>
  <c r="I17" i="25"/>
  <c r="I243" i="24"/>
  <c r="BM280" i="25"/>
  <c r="BQ280" i="25" s="1"/>
  <c r="BM122" i="25"/>
  <c r="BM165" i="25"/>
  <c r="BM164" i="25"/>
  <c r="BQ164" i="25" s="1"/>
  <c r="BO165" i="24"/>
  <c r="BR165" i="24" s="1"/>
  <c r="BM185" i="25"/>
  <c r="BQ185" i="25" s="1"/>
  <c r="I186" i="24"/>
  <c r="J42" i="25"/>
  <c r="J141" i="25"/>
  <c r="J9" i="25"/>
  <c r="BO46" i="24"/>
  <c r="BR46" i="24" s="1"/>
  <c r="BM189" i="25"/>
  <c r="BM70" i="25"/>
  <c r="BQ70" i="25" s="1"/>
  <c r="BO18" i="24"/>
  <c r="BR18" i="24" s="1"/>
  <c r="BO56" i="24"/>
  <c r="BR56" i="24" s="1"/>
  <c r="BM241" i="25"/>
  <c r="BQ241" i="25" s="1"/>
  <c r="BO146" i="24"/>
  <c r="BR146" i="24" s="1"/>
  <c r="BM237" i="25"/>
  <c r="BQ237" i="25" s="1"/>
  <c r="BO71" i="24"/>
  <c r="BR71" i="24" s="1"/>
  <c r="BO37" i="24"/>
  <c r="BR37" i="24" s="1"/>
  <c r="BM188" i="25"/>
  <c r="BM176" i="25"/>
  <c r="J226" i="25"/>
  <c r="I152" i="24"/>
  <c r="K152" i="24" s="1"/>
  <c r="I37" i="24"/>
  <c r="J162" i="25"/>
  <c r="BO54" i="24"/>
  <c r="BR54" i="24" s="1"/>
  <c r="BM245" i="25"/>
  <c r="BM74" i="25"/>
  <c r="BO63" i="24"/>
  <c r="BR63" i="24" s="1"/>
  <c r="BO273" i="24"/>
  <c r="BR273" i="24" s="1"/>
  <c r="BM182" i="25"/>
  <c r="BM236" i="25"/>
  <c r="BQ236" i="25" s="1"/>
  <c r="BM137" i="25"/>
  <c r="BO252" i="24"/>
  <c r="BR252" i="24" s="1"/>
  <c r="BO257" i="24"/>
  <c r="BR257" i="24" s="1"/>
  <c r="BO22" i="24"/>
  <c r="BR22" i="24" s="1"/>
  <c r="BO296" i="24"/>
  <c r="BR296" i="24" s="1"/>
  <c r="BM77" i="25"/>
  <c r="BO304" i="24"/>
  <c r="BR304" i="24" s="1"/>
  <c r="BM37" i="25"/>
  <c r="BO114" i="24"/>
  <c r="BR114" i="24" s="1"/>
  <c r="BO292" i="24"/>
  <c r="BR292" i="24" s="1"/>
  <c r="BO67" i="24"/>
  <c r="BR67" i="24" s="1"/>
  <c r="BM120" i="25"/>
  <c r="I168" i="24"/>
  <c r="I56" i="24"/>
  <c r="J168" i="25"/>
  <c r="M292" i="24" l="1"/>
  <c r="N292" i="24" s="1"/>
  <c r="S236" i="24"/>
  <c r="T236" i="24" s="1"/>
  <c r="O236" i="24" s="1"/>
  <c r="BZ236" i="24" s="1"/>
  <c r="BK233" i="24"/>
  <c r="M236" i="24"/>
  <c r="N236" i="24" s="1"/>
  <c r="AP236" i="24" s="1"/>
  <c r="K236" i="24"/>
  <c r="M233" i="24"/>
  <c r="N233" i="24" s="1"/>
  <c r="AP233" i="24" s="1"/>
  <c r="K294" i="24"/>
  <c r="K233" i="24"/>
  <c r="BK294" i="24"/>
  <c r="M294" i="24"/>
  <c r="N294" i="24" s="1"/>
  <c r="BK264" i="24"/>
  <c r="M264" i="24"/>
  <c r="N264" i="24" s="1"/>
  <c r="P264" i="24" s="1"/>
  <c r="U237" i="24"/>
  <c r="S257" i="24"/>
  <c r="T257" i="24" s="1"/>
  <c r="J257" i="24" s="1"/>
  <c r="U219" i="24"/>
  <c r="BK257" i="24"/>
  <c r="S264" i="24"/>
  <c r="T264" i="24" s="1"/>
  <c r="J264" i="24" s="1"/>
  <c r="Q257" i="24"/>
  <c r="K257" i="24"/>
  <c r="U290" i="24"/>
  <c r="U268" i="24"/>
  <c r="U279" i="24"/>
  <c r="U312" i="24"/>
  <c r="U310" i="24"/>
  <c r="U248" i="24"/>
  <c r="U313" i="24"/>
  <c r="U271" i="24"/>
  <c r="U287" i="24"/>
  <c r="U306" i="24"/>
  <c r="U226" i="24"/>
  <c r="U257" i="24"/>
  <c r="V257" i="24" s="1"/>
  <c r="U218" i="24"/>
  <c r="U225" i="24"/>
  <c r="V225" i="24" s="1"/>
  <c r="U234" i="24"/>
  <c r="U303" i="24"/>
  <c r="U270" i="24"/>
  <c r="U272" i="24"/>
  <c r="U238" i="24"/>
  <c r="U307" i="24"/>
  <c r="U231" i="24"/>
  <c r="U227" i="24"/>
  <c r="BQ227" i="25"/>
  <c r="N190" i="25"/>
  <c r="T190" i="25" s="1"/>
  <c r="U190" i="25" s="1"/>
  <c r="BI190" i="25"/>
  <c r="L94" i="25"/>
  <c r="K160" i="24"/>
  <c r="BK160" i="24"/>
  <c r="L29" i="25"/>
  <c r="BI257" i="25"/>
  <c r="BQ177" i="25"/>
  <c r="N94" i="25"/>
  <c r="T94" i="25" s="1"/>
  <c r="U94" i="25" s="1"/>
  <c r="BQ104" i="25"/>
  <c r="M55" i="24"/>
  <c r="N55" i="24" s="1"/>
  <c r="AP55" i="24" s="1"/>
  <c r="BQ270" i="25"/>
  <c r="S55" i="24"/>
  <c r="T55" i="24" s="1"/>
  <c r="J55" i="24" s="1"/>
  <c r="L257" i="25"/>
  <c r="BQ161" i="25"/>
  <c r="N262" i="25"/>
  <c r="T262" i="25" s="1"/>
  <c r="M160" i="24"/>
  <c r="N160" i="24" s="1"/>
  <c r="P160" i="24" s="1"/>
  <c r="U45" i="24"/>
  <c r="V45" i="24" s="1"/>
  <c r="BQ225" i="25"/>
  <c r="BK41" i="24"/>
  <c r="BQ42" i="25"/>
  <c r="BQ308" i="25"/>
  <c r="S41" i="24"/>
  <c r="T41" i="24" s="1"/>
  <c r="J41" i="24" s="1"/>
  <c r="BQ242" i="25"/>
  <c r="N155" i="25"/>
  <c r="T155" i="25" s="1"/>
  <c r="BQ297" i="25"/>
  <c r="N11" i="25"/>
  <c r="T11" i="25" s="1"/>
  <c r="U11" i="25" s="1"/>
  <c r="BI280" i="25"/>
  <c r="BI11" i="25"/>
  <c r="N280" i="25"/>
  <c r="T280" i="25" s="1"/>
  <c r="U280" i="25" s="1"/>
  <c r="U119" i="24"/>
  <c r="V119" i="24" s="1"/>
  <c r="U162" i="24"/>
  <c r="V162" i="24" s="1"/>
  <c r="K130" i="24"/>
  <c r="U132" i="24"/>
  <c r="V132" i="24" s="1"/>
  <c r="BQ162" i="25"/>
  <c r="BQ37" i="25"/>
  <c r="K116" i="24"/>
  <c r="M289" i="24"/>
  <c r="BI143" i="25"/>
  <c r="L177" i="25"/>
  <c r="L143" i="25"/>
  <c r="BQ88" i="25"/>
  <c r="N189" i="25"/>
  <c r="T189" i="25" s="1"/>
  <c r="U189" i="25" s="1"/>
  <c r="BI237" i="25"/>
  <c r="N29" i="25"/>
  <c r="T29" i="25" s="1"/>
  <c r="U29" i="25" s="1"/>
  <c r="N237" i="25"/>
  <c r="T237" i="25" s="1"/>
  <c r="U237" i="25" s="1"/>
  <c r="BQ263" i="25"/>
  <c r="BQ189" i="25"/>
  <c r="L258" i="25"/>
  <c r="N258" i="25"/>
  <c r="P258" i="25" s="1"/>
  <c r="BQ73" i="25"/>
  <c r="T13" i="25"/>
  <c r="U13" i="25" s="1"/>
  <c r="BQ74" i="25"/>
  <c r="BQ148" i="25"/>
  <c r="BQ302" i="25"/>
  <c r="BQ255" i="25"/>
  <c r="BI293" i="25"/>
  <c r="BQ265" i="25"/>
  <c r="M223" i="24"/>
  <c r="U223" i="24" s="1"/>
  <c r="BQ219" i="25"/>
  <c r="L87" i="25"/>
  <c r="K225" i="24"/>
  <c r="BQ55" i="25"/>
  <c r="L293" i="25"/>
  <c r="BQ120" i="25"/>
  <c r="BQ167" i="25"/>
  <c r="BQ187" i="25"/>
  <c r="BQ293" i="25"/>
  <c r="T143" i="25"/>
  <c r="U143" i="25" s="1"/>
  <c r="BI177" i="25"/>
  <c r="BQ117" i="25"/>
  <c r="BQ96" i="25"/>
  <c r="N179" i="25"/>
  <c r="P179" i="25" s="1"/>
  <c r="BQ220" i="25"/>
  <c r="BQ275" i="25"/>
  <c r="N265" i="25"/>
  <c r="T265" i="25" s="1"/>
  <c r="U265" i="25" s="1"/>
  <c r="BQ313" i="25"/>
  <c r="L265" i="25"/>
  <c r="L179" i="25"/>
  <c r="BQ165" i="25"/>
  <c r="BQ137" i="25"/>
  <c r="K147" i="24"/>
  <c r="BQ122" i="25"/>
  <c r="BQ66" i="25"/>
  <c r="BI129" i="25"/>
  <c r="L206" i="25"/>
  <c r="U191" i="24"/>
  <c r="V191" i="24" s="1"/>
  <c r="BQ294" i="25"/>
  <c r="BQ103" i="25"/>
  <c r="O143" i="25"/>
  <c r="AO143" i="25" s="1"/>
  <c r="N97" i="25"/>
  <c r="T97" i="25" s="1"/>
  <c r="BQ77" i="25"/>
  <c r="L189" i="25"/>
  <c r="BQ306" i="25"/>
  <c r="L110" i="25"/>
  <c r="BQ112" i="25"/>
  <c r="N28" i="25"/>
  <c r="T28" i="25" s="1"/>
  <c r="U28" i="25" s="1"/>
  <c r="T110" i="25"/>
  <c r="U110" i="25" s="1"/>
  <c r="P110" i="25"/>
  <c r="BZ110" i="25" s="1"/>
  <c r="BQ176" i="25"/>
  <c r="BQ13" i="25"/>
  <c r="L129" i="25"/>
  <c r="BQ158" i="25"/>
  <c r="L28" i="25"/>
  <c r="N291" i="25"/>
  <c r="T291" i="25" s="1"/>
  <c r="BQ95" i="25"/>
  <c r="N77" i="25"/>
  <c r="L77" i="25"/>
  <c r="BQ94" i="25"/>
  <c r="BQ283" i="25"/>
  <c r="BQ311" i="25"/>
  <c r="BQ134" i="25"/>
  <c r="BQ292" i="25"/>
  <c r="BI110" i="25"/>
  <c r="BQ245" i="25"/>
  <c r="BQ304" i="25"/>
  <c r="P129" i="25"/>
  <c r="BZ129" i="25" s="1"/>
  <c r="T129" i="25"/>
  <c r="U129" i="25" s="1"/>
  <c r="BQ52" i="25"/>
  <c r="BQ47" i="25"/>
  <c r="BQ133" i="25"/>
  <c r="BQ76" i="25"/>
  <c r="BQ121" i="25"/>
  <c r="K188" i="24"/>
  <c r="M251" i="24"/>
  <c r="N251" i="24" s="1"/>
  <c r="AP251" i="24" s="1"/>
  <c r="M137" i="24"/>
  <c r="N137" i="24" s="1"/>
  <c r="K127" i="24"/>
  <c r="BQ100" i="25"/>
  <c r="BQ195" i="25"/>
  <c r="BQ156" i="25"/>
  <c r="M167" i="24"/>
  <c r="N167" i="24" s="1"/>
  <c r="P167" i="24" s="1"/>
  <c r="BQ192" i="25"/>
  <c r="BQ178" i="25"/>
  <c r="BQ99" i="25"/>
  <c r="BQ267" i="25"/>
  <c r="BQ157" i="25"/>
  <c r="BQ150" i="25"/>
  <c r="BQ181" i="25"/>
  <c r="BQ305" i="25"/>
  <c r="BQ226" i="25"/>
  <c r="N104" i="25"/>
  <c r="T104" i="25" s="1"/>
  <c r="U104" i="25" s="1"/>
  <c r="BI131" i="25"/>
  <c r="N154" i="25"/>
  <c r="P154" i="25" s="1"/>
  <c r="BQ238" i="25"/>
  <c r="L173" i="25"/>
  <c r="BQ307" i="25"/>
  <c r="BQ147" i="25"/>
  <c r="T131" i="25"/>
  <c r="U131" i="25" s="1"/>
  <c r="BQ210" i="25"/>
  <c r="BQ198" i="25"/>
  <c r="L131" i="25"/>
  <c r="BQ199" i="25"/>
  <c r="BQ12" i="25"/>
  <c r="L199" i="25"/>
  <c r="BQ145" i="25"/>
  <c r="BQ190" i="25"/>
  <c r="N41" i="24"/>
  <c r="AP41" i="24" s="1"/>
  <c r="U41" i="24"/>
  <c r="V41" i="24" s="1"/>
  <c r="BQ194" i="25"/>
  <c r="K200" i="24"/>
  <c r="K193" i="24"/>
  <c r="K237" i="24"/>
  <c r="K306" i="24"/>
  <c r="K313" i="24"/>
  <c r="M77" i="24"/>
  <c r="N77" i="24" s="1"/>
  <c r="AP77" i="24" s="1"/>
  <c r="N96" i="25"/>
  <c r="T96" i="25" s="1"/>
  <c r="U96" i="25" s="1"/>
  <c r="K248" i="24"/>
  <c r="K279" i="24"/>
  <c r="K234" i="24"/>
  <c r="BQ182" i="25"/>
  <c r="L6" i="25"/>
  <c r="M285" i="24"/>
  <c r="K205" i="24"/>
  <c r="K307" i="24"/>
  <c r="BQ71" i="25"/>
  <c r="K182" i="24"/>
  <c r="L167" i="25"/>
  <c r="BQ254" i="25"/>
  <c r="K246" i="24"/>
  <c r="M84" i="24"/>
  <c r="N84" i="24" s="1"/>
  <c r="BQ235" i="25"/>
  <c r="K227" i="24"/>
  <c r="BQ268" i="25"/>
  <c r="K303" i="24"/>
  <c r="M134" i="24"/>
  <c r="N134" i="24" s="1"/>
  <c r="AP134" i="24" s="1"/>
  <c r="U88" i="24"/>
  <c r="V88" i="24" s="1"/>
  <c r="BI104" i="25"/>
  <c r="K272" i="24"/>
  <c r="K226" i="24"/>
  <c r="K310" i="24"/>
  <c r="BQ209" i="25"/>
  <c r="BQ27" i="25"/>
  <c r="BQ287" i="25"/>
  <c r="L71" i="25"/>
  <c r="T232" i="25"/>
  <c r="U232" i="25" s="1"/>
  <c r="BQ276" i="25"/>
  <c r="BQ188" i="25"/>
  <c r="M252" i="24"/>
  <c r="N252" i="24" s="1"/>
  <c r="K290" i="24"/>
  <c r="L13" i="25"/>
  <c r="BQ175" i="25"/>
  <c r="BQ173" i="25"/>
  <c r="M246" i="24"/>
  <c r="N246" i="24" s="1"/>
  <c r="AP246" i="24" s="1"/>
  <c r="M286" i="24"/>
  <c r="N286" i="24" s="1"/>
  <c r="U7" i="24"/>
  <c r="V7" i="24" s="1"/>
  <c r="M276" i="24"/>
  <c r="N276" i="24" s="1"/>
  <c r="AP276" i="24" s="1"/>
  <c r="M157" i="24"/>
  <c r="N157" i="24" s="1"/>
  <c r="AP157" i="24" s="1"/>
  <c r="K218" i="24"/>
  <c r="N59" i="25"/>
  <c r="T59" i="25" s="1"/>
  <c r="BQ248" i="25"/>
  <c r="BQ142" i="25"/>
  <c r="L306" i="25"/>
  <c r="BQ86" i="25"/>
  <c r="L161" i="25"/>
  <c r="BQ249" i="25"/>
  <c r="BQ113" i="25"/>
  <c r="BQ131" i="25"/>
  <c r="T255" i="25"/>
  <c r="U255" i="25" s="1"/>
  <c r="L32" i="25"/>
  <c r="L95" i="25"/>
  <c r="T296" i="25"/>
  <c r="U296" i="25" s="1"/>
  <c r="L273" i="25"/>
  <c r="BQ208" i="25"/>
  <c r="L198" i="25"/>
  <c r="BQ65" i="25"/>
  <c r="BQ286" i="25"/>
  <c r="L14" i="25"/>
  <c r="L114" i="25"/>
  <c r="BQ251" i="25"/>
  <c r="L147" i="25"/>
  <c r="L229" i="25"/>
  <c r="BQ28" i="25"/>
  <c r="L248" i="25"/>
  <c r="BQ271" i="25"/>
  <c r="L276" i="25"/>
  <c r="L247" i="25"/>
  <c r="L158" i="25"/>
  <c r="BQ36" i="25"/>
  <c r="L261" i="25"/>
  <c r="L186" i="25"/>
  <c r="L292" i="25"/>
  <c r="L148" i="25"/>
  <c r="BQ101" i="25"/>
  <c r="L113" i="25"/>
  <c r="L255" i="25"/>
  <c r="L243" i="25"/>
  <c r="L240" i="25"/>
  <c r="BQ75" i="25"/>
  <c r="T186" i="25"/>
  <c r="U186" i="25" s="1"/>
  <c r="L192" i="25"/>
  <c r="L283" i="25"/>
  <c r="U192" i="25"/>
  <c r="Q6" i="24"/>
  <c r="R6" i="24" s="1"/>
  <c r="P6" i="24"/>
  <c r="U257" i="25"/>
  <c r="BK165" i="24"/>
  <c r="S165" i="24"/>
  <c r="T165" i="24" s="1"/>
  <c r="M165" i="24"/>
  <c r="N165" i="24" s="1"/>
  <c r="BK33" i="24"/>
  <c r="S33" i="24"/>
  <c r="T33" i="24" s="1"/>
  <c r="M33" i="24"/>
  <c r="N33" i="24" s="1"/>
  <c r="AP33" i="24" s="1"/>
  <c r="BI162" i="25"/>
  <c r="N162" i="25"/>
  <c r="T162" i="25" s="1"/>
  <c r="BI9" i="25"/>
  <c r="N9" i="25"/>
  <c r="T9" i="25" s="1"/>
  <c r="L9" i="25"/>
  <c r="AP45" i="24"/>
  <c r="AH239" i="25"/>
  <c r="BK224" i="24"/>
  <c r="S224" i="24"/>
  <c r="T224" i="24" s="1"/>
  <c r="K224" i="24"/>
  <c r="U18" i="24"/>
  <c r="BK111" i="24"/>
  <c r="S111" i="24"/>
  <c r="T111" i="24" s="1"/>
  <c r="K111" i="24"/>
  <c r="M111" i="24"/>
  <c r="N111" i="24" s="1"/>
  <c r="BI245" i="25"/>
  <c r="N245" i="25"/>
  <c r="T245" i="25" s="1"/>
  <c r="L245" i="25"/>
  <c r="N97" i="24"/>
  <c r="U97" i="24"/>
  <c r="P82" i="25"/>
  <c r="O82" i="25"/>
  <c r="P27" i="24"/>
  <c r="Q27" i="24"/>
  <c r="R27" i="24" s="1"/>
  <c r="P148" i="25"/>
  <c r="O148" i="25"/>
  <c r="T148" i="25"/>
  <c r="P147" i="25"/>
  <c r="O147" i="25"/>
  <c r="AO147" i="25" s="1"/>
  <c r="P240" i="25"/>
  <c r="O240" i="25"/>
  <c r="AO240" i="25" s="1"/>
  <c r="T240" i="25"/>
  <c r="P113" i="25"/>
  <c r="O113" i="25"/>
  <c r="AO113" i="25" s="1"/>
  <c r="T113" i="25"/>
  <c r="P237" i="24"/>
  <c r="Q237" i="24"/>
  <c r="N303" i="24"/>
  <c r="AP303" i="24" s="1"/>
  <c r="P267" i="25"/>
  <c r="O267" i="25"/>
  <c r="AO267" i="25" s="1"/>
  <c r="N90" i="24"/>
  <c r="AP90" i="24" s="1"/>
  <c r="U90" i="24"/>
  <c r="N79" i="24"/>
  <c r="AP79" i="24" s="1"/>
  <c r="U79" i="24"/>
  <c r="BK281" i="24"/>
  <c r="S281" i="24"/>
  <c r="T281" i="24" s="1"/>
  <c r="M281" i="24"/>
  <c r="N281" i="24" s="1"/>
  <c r="AH81" i="25"/>
  <c r="BI168" i="25"/>
  <c r="N168" i="25"/>
  <c r="T168" i="25" s="1"/>
  <c r="L168" i="25"/>
  <c r="U147" i="24"/>
  <c r="BK37" i="24"/>
  <c r="S37" i="24"/>
  <c r="T37" i="24" s="1"/>
  <c r="M37" i="24"/>
  <c r="N37" i="24" s="1"/>
  <c r="AP37" i="24" s="1"/>
  <c r="BI141" i="25"/>
  <c r="N141" i="25"/>
  <c r="T141" i="25" s="1"/>
  <c r="L141" i="25"/>
  <c r="AH38" i="25"/>
  <c r="BK94" i="24"/>
  <c r="S94" i="24"/>
  <c r="T94" i="24" s="1"/>
  <c r="M94" i="24"/>
  <c r="AH315" i="25"/>
  <c r="AH44" i="25"/>
  <c r="S283" i="24"/>
  <c r="T283" i="24" s="1"/>
  <c r="BK283" i="24"/>
  <c r="M283" i="24"/>
  <c r="N283" i="24" s="1"/>
  <c r="AP283" i="24" s="1"/>
  <c r="K283" i="24"/>
  <c r="BI151" i="25"/>
  <c r="N151" i="25"/>
  <c r="T151" i="25" s="1"/>
  <c r="L151" i="25"/>
  <c r="BI16" i="25"/>
  <c r="L16" i="25"/>
  <c r="N16" i="25"/>
  <c r="T16" i="25" s="1"/>
  <c r="AH8" i="25"/>
  <c r="N83" i="24"/>
  <c r="U83" i="24"/>
  <c r="BI160" i="25"/>
  <c r="N160" i="25"/>
  <c r="BK261" i="24"/>
  <c r="S261" i="24"/>
  <c r="T261" i="24" s="1"/>
  <c r="M261" i="24"/>
  <c r="N261" i="24" s="1"/>
  <c r="AP261" i="24" s="1"/>
  <c r="K261" i="24"/>
  <c r="Q129" i="24"/>
  <c r="P129" i="24"/>
  <c r="M224" i="24"/>
  <c r="N224" i="24" s="1"/>
  <c r="N116" i="24"/>
  <c r="AP116" i="24" s="1"/>
  <c r="U116" i="24"/>
  <c r="N130" i="24"/>
  <c r="AP130" i="24" s="1"/>
  <c r="U130" i="24"/>
  <c r="P92" i="25"/>
  <c r="O92" i="25"/>
  <c r="T92" i="25"/>
  <c r="Q238" i="24"/>
  <c r="P238" i="24"/>
  <c r="N10" i="24"/>
  <c r="AP10" i="24" s="1"/>
  <c r="U10" i="24"/>
  <c r="P259" i="25"/>
  <c r="O259" i="25"/>
  <c r="T259" i="25"/>
  <c r="P89" i="25"/>
  <c r="O89" i="25"/>
  <c r="T89" i="25"/>
  <c r="N32" i="24"/>
  <c r="U32" i="24"/>
  <c r="P243" i="25"/>
  <c r="O243" i="25"/>
  <c r="AO243" i="25" s="1"/>
  <c r="T243" i="25"/>
  <c r="BK243" i="24"/>
  <c r="S243" i="24"/>
  <c r="T243" i="24" s="1"/>
  <c r="BK67" i="24"/>
  <c r="S67" i="24"/>
  <c r="T67" i="24" s="1"/>
  <c r="M67" i="24"/>
  <c r="N67" i="24" s="1"/>
  <c r="AP67" i="24" s="1"/>
  <c r="AP268" i="24"/>
  <c r="P192" i="25"/>
  <c r="O192" i="25"/>
  <c r="P307" i="24"/>
  <c r="Q307" i="24"/>
  <c r="P206" i="25"/>
  <c r="O206" i="25"/>
  <c r="T206" i="25"/>
  <c r="P246" i="25"/>
  <c r="O246" i="25"/>
  <c r="AO246" i="25" s="1"/>
  <c r="Q205" i="24"/>
  <c r="P205" i="24"/>
  <c r="P238" i="25"/>
  <c r="O238" i="25"/>
  <c r="AO238" i="25" s="1"/>
  <c r="T238" i="25"/>
  <c r="P292" i="25"/>
  <c r="O292" i="25"/>
  <c r="AO292" i="25" s="1"/>
  <c r="T292" i="25"/>
  <c r="N193" i="24"/>
  <c r="U193" i="24"/>
  <c r="P32" i="25"/>
  <c r="O32" i="25"/>
  <c r="AO32" i="25" s="1"/>
  <c r="T32" i="25"/>
  <c r="Q199" i="24"/>
  <c r="P199" i="24"/>
  <c r="P201" i="25"/>
  <c r="O201" i="25"/>
  <c r="AO201" i="25" s="1"/>
  <c r="T201" i="25"/>
  <c r="N248" i="24"/>
  <c r="AP248" i="24" s="1"/>
  <c r="P95" i="25"/>
  <c r="O95" i="25"/>
  <c r="AO95" i="25" s="1"/>
  <c r="T95" i="25"/>
  <c r="BK56" i="24"/>
  <c r="S56" i="24"/>
  <c r="T56" i="24" s="1"/>
  <c r="M56" i="24"/>
  <c r="N56" i="24" s="1"/>
  <c r="BI42" i="25"/>
  <c r="N42" i="25"/>
  <c r="T42" i="25" s="1"/>
  <c r="L42" i="25"/>
  <c r="N142" i="24"/>
  <c r="AP142" i="24" s="1"/>
  <c r="U142" i="24"/>
  <c r="BK250" i="24"/>
  <c r="S250" i="24"/>
  <c r="T250" i="24" s="1"/>
  <c r="M250" i="24"/>
  <c r="N250" i="24" s="1"/>
  <c r="AP250" i="24" s="1"/>
  <c r="K165" i="24"/>
  <c r="AP132" i="24"/>
  <c r="AH189" i="25"/>
  <c r="BI70" i="25"/>
  <c r="L70" i="25"/>
  <c r="N70" i="25"/>
  <c r="BK170" i="24"/>
  <c r="S170" i="24"/>
  <c r="T170" i="24" s="1"/>
  <c r="M170" i="24"/>
  <c r="N170" i="24" s="1"/>
  <c r="BI8" i="25"/>
  <c r="N8" i="25"/>
  <c r="T8" i="25" s="1"/>
  <c r="BI164" i="25"/>
  <c r="N164" i="25"/>
  <c r="T164" i="25" s="1"/>
  <c r="BI202" i="25"/>
  <c r="N202" i="25"/>
  <c r="BI195" i="25"/>
  <c r="L195" i="25"/>
  <c r="N195" i="25"/>
  <c r="T195" i="25" s="1"/>
  <c r="AP7" i="24"/>
  <c r="K243" i="24"/>
  <c r="BK82" i="24"/>
  <c r="S82" i="24"/>
  <c r="T82" i="24" s="1"/>
  <c r="M82" i="24"/>
  <c r="N82" i="24" s="1"/>
  <c r="AP82" i="24" s="1"/>
  <c r="P163" i="24"/>
  <c r="Q163" i="24"/>
  <c r="BI81" i="25"/>
  <c r="N81" i="25"/>
  <c r="BI44" i="25"/>
  <c r="N44" i="25"/>
  <c r="AP191" i="24"/>
  <c r="P13" i="25"/>
  <c r="O13" i="25"/>
  <c r="AO13" i="25" s="1"/>
  <c r="O71" i="25"/>
  <c r="P71" i="25"/>
  <c r="T71" i="25"/>
  <c r="N200" i="24"/>
  <c r="U200" i="24"/>
  <c r="P306" i="25"/>
  <c r="O306" i="25"/>
  <c r="T306" i="25"/>
  <c r="N40" i="24"/>
  <c r="AP40" i="24" s="1"/>
  <c r="U40" i="24"/>
  <c r="P173" i="25"/>
  <c r="O173" i="25"/>
  <c r="AO173" i="25" s="1"/>
  <c r="T173" i="25"/>
  <c r="P31" i="25"/>
  <c r="O31" i="25"/>
  <c r="N227" i="24"/>
  <c r="AP227" i="24" s="1"/>
  <c r="N218" i="24"/>
  <c r="N310" i="24"/>
  <c r="P314" i="25"/>
  <c r="O314" i="25"/>
  <c r="AO314" i="25" s="1"/>
  <c r="P47" i="24"/>
  <c r="Q47" i="24"/>
  <c r="R47" i="24" s="1"/>
  <c r="N120" i="24"/>
  <c r="AP120" i="24" s="1"/>
  <c r="U120" i="24"/>
  <c r="P270" i="24"/>
  <c r="Q270" i="24"/>
  <c r="P273" i="25"/>
  <c r="O273" i="25"/>
  <c r="AO273" i="25" s="1"/>
  <c r="T273" i="25"/>
  <c r="BK152" i="24"/>
  <c r="S152" i="24"/>
  <c r="T152" i="24" s="1"/>
  <c r="M152" i="24"/>
  <c r="N152" i="24" s="1"/>
  <c r="P147" i="24"/>
  <c r="Q147" i="24"/>
  <c r="BK70" i="24"/>
  <c r="S70" i="24"/>
  <c r="T70" i="24" s="1"/>
  <c r="M70" i="24"/>
  <c r="N70" i="24" s="1"/>
  <c r="AP70" i="24" s="1"/>
  <c r="BK186" i="24"/>
  <c r="S186" i="24"/>
  <c r="T186" i="24" s="1"/>
  <c r="M186" i="24"/>
  <c r="N186" i="24" s="1"/>
  <c r="K186" i="24"/>
  <c r="Q24" i="24"/>
  <c r="R24" i="24" s="1"/>
  <c r="P24" i="24"/>
  <c r="BK168" i="24"/>
  <c r="S168" i="24"/>
  <c r="T168" i="24" s="1"/>
  <c r="M168" i="24"/>
  <c r="N168" i="24" s="1"/>
  <c r="AP168" i="24" s="1"/>
  <c r="AP292" i="24"/>
  <c r="BK298" i="24"/>
  <c r="S298" i="24"/>
  <c r="T298" i="24" s="1"/>
  <c r="M298" i="24"/>
  <c r="U298" i="24" s="1"/>
  <c r="AH94" i="25"/>
  <c r="BK274" i="24"/>
  <c r="S274" i="24"/>
  <c r="T274" i="24" s="1"/>
  <c r="M274" i="24"/>
  <c r="N274" i="24" s="1"/>
  <c r="K281" i="24"/>
  <c r="Q18" i="24"/>
  <c r="R18" i="24" s="1"/>
  <c r="P18" i="24"/>
  <c r="AP119" i="24"/>
  <c r="K168" i="24"/>
  <c r="BK143" i="24"/>
  <c r="S143" i="24"/>
  <c r="T143" i="24" s="1"/>
  <c r="M143" i="24"/>
  <c r="N143" i="24" s="1"/>
  <c r="AP143" i="24" s="1"/>
  <c r="K143" i="24"/>
  <c r="U6" i="25"/>
  <c r="BK202" i="24"/>
  <c r="S202" i="24"/>
  <c r="T202" i="24" s="1"/>
  <c r="M202" i="24"/>
  <c r="N202" i="24" s="1"/>
  <c r="K202" i="24"/>
  <c r="BK50" i="24"/>
  <c r="S50" i="24"/>
  <c r="T50" i="24" s="1"/>
  <c r="M50" i="24"/>
  <c r="N50" i="24" s="1"/>
  <c r="AP50" i="24" s="1"/>
  <c r="BQ132" i="25"/>
  <c r="U14" i="24"/>
  <c r="AH257" i="25"/>
  <c r="AH141" i="25"/>
  <c r="AH168" i="25"/>
  <c r="P283" i="25"/>
  <c r="O283" i="25"/>
  <c r="AO283" i="25" s="1"/>
  <c r="T283" i="25"/>
  <c r="P167" i="25"/>
  <c r="O167" i="25"/>
  <c r="AO167" i="25" s="1"/>
  <c r="T167" i="25"/>
  <c r="N313" i="24"/>
  <c r="AP313" i="24" s="1"/>
  <c r="P178" i="25"/>
  <c r="O178" i="25"/>
  <c r="AO178" i="25" s="1"/>
  <c r="T178" i="25"/>
  <c r="P248" i="25"/>
  <c r="O248" i="25"/>
  <c r="AO248" i="25" s="1"/>
  <c r="T248" i="25"/>
  <c r="P114" i="25"/>
  <c r="O114" i="25"/>
  <c r="AO114" i="25" s="1"/>
  <c r="T114" i="25"/>
  <c r="Q290" i="24"/>
  <c r="P290" i="24"/>
  <c r="P199" i="25"/>
  <c r="O199" i="25"/>
  <c r="AO199" i="25" s="1"/>
  <c r="AH186" i="25"/>
  <c r="BI226" i="25"/>
  <c r="L226" i="25"/>
  <c r="N226" i="25"/>
  <c r="Q14" i="24"/>
  <c r="R14" i="24" s="1"/>
  <c r="P14" i="24"/>
  <c r="AH29" i="25"/>
  <c r="BK185" i="24"/>
  <c r="S185" i="24"/>
  <c r="T185" i="24" s="1"/>
  <c r="M185" i="24"/>
  <c r="N185" i="24" s="1"/>
  <c r="N101" i="24"/>
  <c r="U101" i="24"/>
  <c r="BI38" i="25"/>
  <c r="N38" i="25"/>
  <c r="P257" i="25"/>
  <c r="O257" i="25"/>
  <c r="AO257" i="25" s="1"/>
  <c r="BK46" i="24"/>
  <c r="S46" i="24"/>
  <c r="T46" i="24" s="1"/>
  <c r="M46" i="24"/>
  <c r="AH152" i="25"/>
  <c r="BI239" i="25"/>
  <c r="N239" i="25"/>
  <c r="P186" i="25"/>
  <c r="O186" i="25"/>
  <c r="AO186" i="25" s="1"/>
  <c r="K250" i="24"/>
  <c r="L160" i="25"/>
  <c r="AH270" i="25"/>
  <c r="BK265" i="24"/>
  <c r="S265" i="24"/>
  <c r="T265" i="24" s="1"/>
  <c r="M265" i="24"/>
  <c r="N265" i="24" s="1"/>
  <c r="AP265" i="24" s="1"/>
  <c r="K265" i="24"/>
  <c r="BI132" i="25"/>
  <c r="N132" i="25"/>
  <c r="T132" i="25" s="1"/>
  <c r="L132" i="25"/>
  <c r="L162" i="25"/>
  <c r="N19" i="24"/>
  <c r="AP19" i="24" s="1"/>
  <c r="U19" i="24"/>
  <c r="P174" i="25"/>
  <c r="O174" i="25"/>
  <c r="AO174" i="25" s="1"/>
  <c r="P87" i="25"/>
  <c r="O87" i="25"/>
  <c r="T87" i="25"/>
  <c r="AH280" i="25"/>
  <c r="N185" i="25"/>
  <c r="T185" i="25" s="1"/>
  <c r="BI185" i="25"/>
  <c r="AH23" i="25"/>
  <c r="BK296" i="24"/>
  <c r="M296" i="24"/>
  <c r="N296" i="24" s="1"/>
  <c r="AP296" i="24" s="1"/>
  <c r="S296" i="24"/>
  <c r="T296" i="24" s="1"/>
  <c r="K296" i="24"/>
  <c r="U62" i="24"/>
  <c r="M243" i="24"/>
  <c r="N243" i="24" s="1"/>
  <c r="L185" i="25"/>
  <c r="AP163" i="24"/>
  <c r="BQ9" i="25"/>
  <c r="N241" i="25"/>
  <c r="T241" i="25" s="1"/>
  <c r="BI241" i="25"/>
  <c r="L241" i="25"/>
  <c r="BI58" i="25"/>
  <c r="N58" i="25"/>
  <c r="T58" i="25" s="1"/>
  <c r="L58" i="25"/>
  <c r="AH182" i="25"/>
  <c r="Q76" i="24"/>
  <c r="R76" i="24" s="1"/>
  <c r="P76" i="24"/>
  <c r="P25" i="24"/>
  <c r="Q25" i="24"/>
  <c r="R25" i="24" s="1"/>
  <c r="P276" i="25"/>
  <c r="O276" i="25"/>
  <c r="AO276" i="25" s="1"/>
  <c r="N226" i="24"/>
  <c r="AP226" i="24" s="1"/>
  <c r="N287" i="24"/>
  <c r="P247" i="25"/>
  <c r="O247" i="25"/>
  <c r="AO247" i="25" s="1"/>
  <c r="P161" i="25"/>
  <c r="O161" i="25"/>
  <c r="AO161" i="25" s="1"/>
  <c r="N306" i="24"/>
  <c r="P158" i="25"/>
  <c r="O158" i="25"/>
  <c r="AO158" i="25" s="1"/>
  <c r="T158" i="25"/>
  <c r="P21" i="25"/>
  <c r="O21" i="25"/>
  <c r="T21" i="25"/>
  <c r="N180" i="24"/>
  <c r="U180" i="24"/>
  <c r="P282" i="25"/>
  <c r="O282" i="25"/>
  <c r="AO282" i="25" s="1"/>
  <c r="T282" i="25"/>
  <c r="Q312" i="24"/>
  <c r="P312" i="24"/>
  <c r="Q272" i="24"/>
  <c r="P272" i="24"/>
  <c r="BI152" i="25"/>
  <c r="N152" i="25"/>
  <c r="T152" i="25" s="1"/>
  <c r="Q62" i="24"/>
  <c r="R62" i="24" s="1"/>
  <c r="P62" i="24"/>
  <c r="BK36" i="24"/>
  <c r="S36" i="24"/>
  <c r="T36" i="24" s="1"/>
  <c r="M36" i="24"/>
  <c r="N36" i="24" s="1"/>
  <c r="AP36" i="24" s="1"/>
  <c r="Q268" i="24"/>
  <c r="P268" i="24"/>
  <c r="BK138" i="24"/>
  <c r="S138" i="24"/>
  <c r="T138" i="24" s="1"/>
  <c r="M138" i="24"/>
  <c r="N138" i="24" s="1"/>
  <c r="AP138" i="24" s="1"/>
  <c r="BI193" i="25"/>
  <c r="N193" i="25"/>
  <c r="T193" i="25" s="1"/>
  <c r="BK273" i="24"/>
  <c r="S273" i="24"/>
  <c r="T273" i="24" s="1"/>
  <c r="M273" i="24"/>
  <c r="N273" i="24" s="1"/>
  <c r="AP273" i="24" s="1"/>
  <c r="K273" i="24"/>
  <c r="P232" i="25"/>
  <c r="O232" i="25"/>
  <c r="BK6" i="24"/>
  <c r="S6" i="24"/>
  <c r="T6" i="24" s="1"/>
  <c r="U6" i="24"/>
  <c r="N16" i="24"/>
  <c r="AP16" i="24" s="1"/>
  <c r="U16" i="24"/>
  <c r="N231" i="24"/>
  <c r="AP231" i="24" s="1"/>
  <c r="P150" i="24"/>
  <c r="Q150" i="24"/>
  <c r="N279" i="24"/>
  <c r="AP279" i="24" s="1"/>
  <c r="N234" i="24"/>
  <c r="AP234" i="24" s="1"/>
  <c r="P271" i="24"/>
  <c r="Q271" i="24"/>
  <c r="P229" i="25"/>
  <c r="O229" i="25"/>
  <c r="AO229" i="25" s="1"/>
  <c r="T229" i="25"/>
  <c r="P14" i="25"/>
  <c r="O14" i="25"/>
  <c r="T14" i="25"/>
  <c r="P261" i="25"/>
  <c r="O261" i="25"/>
  <c r="T261" i="25"/>
  <c r="P30" i="25"/>
  <c r="O30" i="25"/>
  <c r="BK12" i="24"/>
  <c r="S12" i="24"/>
  <c r="T12" i="24" s="1"/>
  <c r="M12" i="24"/>
  <c r="N12" i="24" s="1"/>
  <c r="BK74" i="24"/>
  <c r="S74" i="24"/>
  <c r="T74" i="24" s="1"/>
  <c r="M74" i="24"/>
  <c r="N74" i="24" s="1"/>
  <c r="AP74" i="24" s="1"/>
  <c r="AH208" i="25"/>
  <c r="AH74" i="25"/>
  <c r="BI203" i="25"/>
  <c r="BI30" i="25"/>
  <c r="L30" i="25"/>
  <c r="BI73" i="25"/>
  <c r="AH130" i="25"/>
  <c r="P182" i="24"/>
  <c r="Q182" i="24"/>
  <c r="AP182" i="24"/>
  <c r="BK269" i="24"/>
  <c r="S269" i="24"/>
  <c r="T269" i="24" s="1"/>
  <c r="M269" i="24"/>
  <c r="N269" i="24" s="1"/>
  <c r="BK245" i="24"/>
  <c r="S245" i="24"/>
  <c r="T245" i="24" s="1"/>
  <c r="BI175" i="25"/>
  <c r="AH238" i="25"/>
  <c r="BK222" i="24"/>
  <c r="S222" i="24"/>
  <c r="T222" i="24" s="1"/>
  <c r="Q119" i="24"/>
  <c r="P119" i="24"/>
  <c r="Q43" i="24"/>
  <c r="R43" i="24" s="1"/>
  <c r="P43" i="24"/>
  <c r="BK87" i="24"/>
  <c r="S87" i="24"/>
  <c r="T87" i="24" s="1"/>
  <c r="M87" i="24"/>
  <c r="N87" i="24" s="1"/>
  <c r="BI290" i="25"/>
  <c r="N290" i="25"/>
  <c r="T290" i="25" s="1"/>
  <c r="L290" i="25"/>
  <c r="BK284" i="24"/>
  <c r="S284" i="24"/>
  <c r="T284" i="24" s="1"/>
  <c r="BK81" i="24"/>
  <c r="S81" i="24"/>
  <c r="T81" i="24" s="1"/>
  <c r="BK208" i="24"/>
  <c r="S208" i="24"/>
  <c r="T208" i="24" s="1"/>
  <c r="BI263" i="25"/>
  <c r="BK297" i="24"/>
  <c r="S297" i="24"/>
  <c r="T297" i="24" s="1"/>
  <c r="K297" i="24"/>
  <c r="AH65" i="25"/>
  <c r="BK98" i="24"/>
  <c r="S98" i="24"/>
  <c r="T98" i="24" s="1"/>
  <c r="BI144" i="25"/>
  <c r="L144" i="25"/>
  <c r="P275" i="25"/>
  <c r="O275" i="25"/>
  <c r="AO275" i="25" s="1"/>
  <c r="BK35" i="24"/>
  <c r="S35" i="24"/>
  <c r="T35" i="24" s="1"/>
  <c r="BI102" i="25"/>
  <c r="BQ174" i="25"/>
  <c r="AH115" i="25"/>
  <c r="BK43" i="24"/>
  <c r="S43" i="24"/>
  <c r="T43" i="24" s="1"/>
  <c r="Q181" i="24"/>
  <c r="P181" i="24"/>
  <c r="AP271" i="24"/>
  <c r="BI101" i="25"/>
  <c r="BI289" i="25"/>
  <c r="BI50" i="25"/>
  <c r="N50" i="25"/>
  <c r="T50" i="25" s="1"/>
  <c r="BK136" i="24"/>
  <c r="S136" i="24"/>
  <c r="T136" i="24" s="1"/>
  <c r="BI47" i="25"/>
  <c r="AH258" i="25"/>
  <c r="AH134" i="25"/>
  <c r="AH207" i="25"/>
  <c r="BK258" i="24"/>
  <c r="S258" i="24"/>
  <c r="T258" i="24" s="1"/>
  <c r="M258" i="24"/>
  <c r="N258" i="24" s="1"/>
  <c r="BI35" i="25"/>
  <c r="N35" i="25"/>
  <c r="T35" i="25" s="1"/>
  <c r="BI91" i="25"/>
  <c r="N91" i="25"/>
  <c r="T91" i="25" s="1"/>
  <c r="AH57" i="25"/>
  <c r="BI24" i="25"/>
  <c r="N24" i="25"/>
  <c r="T24" i="25" s="1"/>
  <c r="L24" i="25"/>
  <c r="BI149" i="25"/>
  <c r="N149" i="25"/>
  <c r="T149" i="25" s="1"/>
  <c r="BK178" i="24"/>
  <c r="S178" i="24"/>
  <c r="T178" i="24" s="1"/>
  <c r="M178" i="24"/>
  <c r="N178" i="24" s="1"/>
  <c r="BI36" i="25"/>
  <c r="N36" i="25"/>
  <c r="T36" i="25" s="1"/>
  <c r="BI256" i="25"/>
  <c r="N256" i="25"/>
  <c r="T256" i="25" s="1"/>
  <c r="BI119" i="25"/>
  <c r="N119" i="25"/>
  <c r="T119" i="25" s="1"/>
  <c r="AH131" i="25"/>
  <c r="N61" i="25"/>
  <c r="T61" i="25" s="1"/>
  <c r="BI61" i="25"/>
  <c r="AH61" i="25"/>
  <c r="U293" i="25"/>
  <c r="AH146" i="25"/>
  <c r="AH294" i="25"/>
  <c r="AH264" i="25"/>
  <c r="BI88" i="25"/>
  <c r="BQ59" i="25"/>
  <c r="AH179" i="25"/>
  <c r="Q86" i="24"/>
  <c r="R86" i="24" s="1"/>
  <c r="P86" i="24"/>
  <c r="BK23" i="24"/>
  <c r="S23" i="24"/>
  <c r="T23" i="24" s="1"/>
  <c r="BK15" i="24"/>
  <c r="S15" i="24"/>
  <c r="T15" i="24" s="1"/>
  <c r="BK244" i="24"/>
  <c r="S244" i="24"/>
  <c r="T244" i="24" s="1"/>
  <c r="O22" i="24"/>
  <c r="BZ22" i="24" s="1"/>
  <c r="J22" i="24"/>
  <c r="BK201" i="24"/>
  <c r="S201" i="24"/>
  <c r="T201" i="24" s="1"/>
  <c r="T174" i="25"/>
  <c r="AH21" i="25"/>
  <c r="AH96" i="25"/>
  <c r="AH116" i="25"/>
  <c r="AH314" i="25"/>
  <c r="AH166" i="25"/>
  <c r="AH201" i="25"/>
  <c r="BK28" i="24"/>
  <c r="S28" i="24"/>
  <c r="T28" i="24" s="1"/>
  <c r="BQ261" i="25"/>
  <c r="BI172" i="25"/>
  <c r="BK172" i="24"/>
  <c r="S172" i="24"/>
  <c r="T172" i="24" s="1"/>
  <c r="AH272" i="25"/>
  <c r="AH89" i="25"/>
  <c r="AH110" i="25"/>
  <c r="BI305" i="25"/>
  <c r="BI275" i="25"/>
  <c r="AH275" i="25"/>
  <c r="AH262" i="25"/>
  <c r="BK254" i="24"/>
  <c r="S254" i="24"/>
  <c r="T254" i="24" s="1"/>
  <c r="BK230" i="24"/>
  <c r="S230" i="24"/>
  <c r="T230" i="24" s="1"/>
  <c r="BK171" i="24"/>
  <c r="S171" i="24"/>
  <c r="T171" i="24" s="1"/>
  <c r="K171" i="24"/>
  <c r="P204" i="25"/>
  <c r="O204" i="25"/>
  <c r="AO204" i="25" s="1"/>
  <c r="AH295" i="25"/>
  <c r="BK275" i="24"/>
  <c r="S275" i="24"/>
  <c r="T275" i="24" s="1"/>
  <c r="BI234" i="25"/>
  <c r="BK135" i="24"/>
  <c r="S135" i="24"/>
  <c r="T135" i="24" s="1"/>
  <c r="BI316" i="25"/>
  <c r="BI298" i="25"/>
  <c r="BI244" i="25"/>
  <c r="AH244" i="25"/>
  <c r="BK85" i="24"/>
  <c r="S85" i="24"/>
  <c r="T85" i="24" s="1"/>
  <c r="AH43" i="25"/>
  <c r="AH54" i="25"/>
  <c r="AH46" i="25"/>
  <c r="BI51" i="25"/>
  <c r="N51" i="25"/>
  <c r="T51" i="25" s="1"/>
  <c r="AH72" i="25"/>
  <c r="AH171" i="25"/>
  <c r="M81" i="24"/>
  <c r="N81" i="24" s="1"/>
  <c r="BQ301" i="25"/>
  <c r="BQ60" i="25"/>
  <c r="AH217" i="25"/>
  <c r="BI17" i="25"/>
  <c r="N17" i="25"/>
  <c r="T17" i="25" s="1"/>
  <c r="BK91" i="24"/>
  <c r="S91" i="24"/>
  <c r="T91" i="24" s="1"/>
  <c r="M91" i="24"/>
  <c r="N91" i="24" s="1"/>
  <c r="AP91" i="24" s="1"/>
  <c r="BI136" i="25"/>
  <c r="N136" i="25"/>
  <c r="T136" i="25" s="1"/>
  <c r="L136" i="25"/>
  <c r="BI128" i="25"/>
  <c r="N128" i="25"/>
  <c r="T128" i="25" s="1"/>
  <c r="L128" i="25"/>
  <c r="AH222" i="25"/>
  <c r="BK9" i="24"/>
  <c r="S9" i="24"/>
  <c r="T9" i="24" s="1"/>
  <c r="AH154" i="25"/>
  <c r="M15" i="24"/>
  <c r="N15" i="24" s="1"/>
  <c r="AP15" i="24" s="1"/>
  <c r="N75" i="25"/>
  <c r="M208" i="24"/>
  <c r="N208" i="24" s="1"/>
  <c r="M305" i="24"/>
  <c r="N305" i="24" s="1"/>
  <c r="M85" i="24"/>
  <c r="M34" i="24"/>
  <c r="N34" i="24" s="1"/>
  <c r="AP34" i="24" s="1"/>
  <c r="P131" i="25"/>
  <c r="O131" i="25"/>
  <c r="N144" i="25"/>
  <c r="T144" i="25" s="1"/>
  <c r="BI159" i="25"/>
  <c r="N159" i="25"/>
  <c r="BI52" i="25"/>
  <c r="BI270" i="25"/>
  <c r="N270" i="25"/>
  <c r="T270" i="25" s="1"/>
  <c r="BK114" i="24"/>
  <c r="S114" i="24"/>
  <c r="T114" i="24" s="1"/>
  <c r="M114" i="24"/>
  <c r="K114" i="24"/>
  <c r="BK68" i="24"/>
  <c r="S68" i="24"/>
  <c r="T68" i="24" s="1"/>
  <c r="AH13" i="25"/>
  <c r="AH160" i="25"/>
  <c r="BK122" i="24"/>
  <c r="S122" i="24"/>
  <c r="T122" i="24" s="1"/>
  <c r="AP18" i="24"/>
  <c r="P6" i="25"/>
  <c r="O6" i="25"/>
  <c r="AH193" i="25"/>
  <c r="BI180" i="25"/>
  <c r="BI6" i="25"/>
  <c r="AH122" i="25"/>
  <c r="AH16" i="25"/>
  <c r="AH162" i="25"/>
  <c r="AH226" i="25"/>
  <c r="BK302" i="24"/>
  <c r="S302" i="24"/>
  <c r="T302" i="24" s="1"/>
  <c r="M302" i="24"/>
  <c r="N302" i="24" s="1"/>
  <c r="BK256" i="24"/>
  <c r="S256" i="24"/>
  <c r="T256" i="24" s="1"/>
  <c r="AH246" i="25"/>
  <c r="AH73" i="25"/>
  <c r="BI157" i="25"/>
  <c r="N157" i="25"/>
  <c r="BI315" i="25"/>
  <c r="N315" i="25"/>
  <c r="AH125" i="25"/>
  <c r="AH241" i="25"/>
  <c r="AP6" i="24"/>
  <c r="K129" i="24"/>
  <c r="AP129" i="24"/>
  <c r="M118" i="24"/>
  <c r="N118" i="24" s="1"/>
  <c r="L182" i="25"/>
  <c r="BI37" i="25"/>
  <c r="AH70" i="25"/>
  <c r="BK307" i="24"/>
  <c r="S307" i="24"/>
  <c r="T307" i="24" s="1"/>
  <c r="BI210" i="25"/>
  <c r="K241" i="24"/>
  <c r="L157" i="25"/>
  <c r="AH53" i="25"/>
  <c r="BK99" i="24"/>
  <c r="S99" i="24"/>
  <c r="T99" i="24" s="1"/>
  <c r="M99" i="24"/>
  <c r="N99" i="24" s="1"/>
  <c r="AP99" i="24" s="1"/>
  <c r="BK314" i="24"/>
  <c r="M314" i="24"/>
  <c r="N314" i="24" s="1"/>
  <c r="S314" i="24"/>
  <c r="T314" i="24" s="1"/>
  <c r="K314" i="24"/>
  <c r="BK103" i="24"/>
  <c r="S103" i="24"/>
  <c r="T103" i="24" s="1"/>
  <c r="M103" i="24"/>
  <c r="AH194" i="25"/>
  <c r="BI120" i="25"/>
  <c r="N120" i="25"/>
  <c r="T120" i="25" s="1"/>
  <c r="BI125" i="25"/>
  <c r="U22" i="24"/>
  <c r="BK117" i="24"/>
  <c r="S117" i="24"/>
  <c r="T117" i="24" s="1"/>
  <c r="M117" i="24"/>
  <c r="T30" i="25"/>
  <c r="BI271" i="25"/>
  <c r="K269" i="24"/>
  <c r="L82" i="25"/>
  <c r="K222" i="24"/>
  <c r="L92" i="25"/>
  <c r="AH92" i="25"/>
  <c r="AH281" i="25"/>
  <c r="K159" i="24"/>
  <c r="O119" i="24"/>
  <c r="BZ119" i="24" s="1"/>
  <c r="J119" i="24"/>
  <c r="K150" i="24"/>
  <c r="AH263" i="25"/>
  <c r="BK40" i="24"/>
  <c r="S40" i="24"/>
  <c r="T40" i="24" s="1"/>
  <c r="BI66" i="25"/>
  <c r="BI247" i="25"/>
  <c r="AH148" i="25"/>
  <c r="BQ144" i="25"/>
  <c r="P296" i="25"/>
  <c r="O296" i="25"/>
  <c r="AO296" i="25" s="1"/>
  <c r="AH254" i="25"/>
  <c r="BK246" i="24"/>
  <c r="S246" i="24"/>
  <c r="T246" i="24" s="1"/>
  <c r="M115" i="24"/>
  <c r="N115" i="24" s="1"/>
  <c r="AP115" i="24" s="1"/>
  <c r="BQ31" i="25"/>
  <c r="L31" i="25"/>
  <c r="U44" i="24"/>
  <c r="AP44" i="24"/>
  <c r="BI115" i="25"/>
  <c r="U43" i="24"/>
  <c r="BI80" i="25"/>
  <c r="N80" i="25"/>
  <c r="T80" i="25" s="1"/>
  <c r="Q53" i="24"/>
  <c r="R53" i="24" s="1"/>
  <c r="P53" i="24"/>
  <c r="BK156" i="24"/>
  <c r="S156" i="24"/>
  <c r="T156" i="24" s="1"/>
  <c r="K156" i="24"/>
  <c r="BI45" i="25"/>
  <c r="BQ289" i="25"/>
  <c r="AH304" i="25"/>
  <c r="BI235" i="25"/>
  <c r="BK11" i="24"/>
  <c r="S11" i="24"/>
  <c r="T11" i="24" s="1"/>
  <c r="M11" i="24"/>
  <c r="N11" i="24" s="1"/>
  <c r="AP11" i="24" s="1"/>
  <c r="AH181" i="25"/>
  <c r="BK301" i="24"/>
  <c r="S301" i="24"/>
  <c r="T301" i="24" s="1"/>
  <c r="BI242" i="25"/>
  <c r="L242" i="25"/>
  <c r="AH121" i="25"/>
  <c r="BI112" i="25"/>
  <c r="BI97" i="25"/>
  <c r="AH25" i="25"/>
  <c r="L91" i="25"/>
  <c r="BI98" i="25"/>
  <c r="N98" i="25"/>
  <c r="AH98" i="25"/>
  <c r="BI140" i="25"/>
  <c r="N140" i="25"/>
  <c r="AH140" i="25"/>
  <c r="BI196" i="25"/>
  <c r="N196" i="25"/>
  <c r="L196" i="25"/>
  <c r="K178" i="24"/>
  <c r="BI308" i="25"/>
  <c r="N308" i="25"/>
  <c r="T308" i="25" s="1"/>
  <c r="AH308" i="25"/>
  <c r="AH268" i="25"/>
  <c r="BI133" i="25"/>
  <c r="N133" i="25"/>
  <c r="T133" i="25" s="1"/>
  <c r="AH133" i="25"/>
  <c r="P48" i="24"/>
  <c r="Q48" i="24"/>
  <c r="R48" i="24" s="1"/>
  <c r="BK278" i="24"/>
  <c r="S278" i="24"/>
  <c r="T278" i="24" s="1"/>
  <c r="M278" i="24"/>
  <c r="N278" i="24" s="1"/>
  <c r="K235" i="24"/>
  <c r="BI27" i="25"/>
  <c r="N27" i="25"/>
  <c r="BI294" i="25"/>
  <c r="N294" i="25"/>
  <c r="T294" i="25" s="1"/>
  <c r="BI183" i="25"/>
  <c r="N183" i="25"/>
  <c r="U86" i="24"/>
  <c r="BK53" i="24"/>
  <c r="S53" i="24"/>
  <c r="T53" i="24" s="1"/>
  <c r="AH187" i="25"/>
  <c r="BI178" i="25"/>
  <c r="AH126" i="25"/>
  <c r="AH118" i="25"/>
  <c r="BI116" i="25"/>
  <c r="BI227" i="25"/>
  <c r="N227" i="25"/>
  <c r="T227" i="25" s="1"/>
  <c r="BK17" i="24"/>
  <c r="S17" i="24"/>
  <c r="T17" i="24" s="1"/>
  <c r="BK90" i="24"/>
  <c r="S90" i="24"/>
  <c r="T90" i="24" s="1"/>
  <c r="K180" i="24"/>
  <c r="BK128" i="24"/>
  <c r="S128" i="24"/>
  <c r="T128" i="24" s="1"/>
  <c r="AP47" i="24"/>
  <c r="BK93" i="24"/>
  <c r="S93" i="24"/>
  <c r="T93" i="24" s="1"/>
  <c r="BK139" i="24"/>
  <c r="S139" i="24"/>
  <c r="T139" i="24" s="1"/>
  <c r="AH261" i="25"/>
  <c r="L172" i="25"/>
  <c r="L282" i="25"/>
  <c r="U172" i="24"/>
  <c r="BQ89" i="25"/>
  <c r="L305" i="25"/>
  <c r="T275" i="25"/>
  <c r="M254" i="24"/>
  <c r="N254" i="24" s="1"/>
  <c r="AP254" i="24" s="1"/>
  <c r="BQ204" i="25"/>
  <c r="K120" i="24"/>
  <c r="BI221" i="25"/>
  <c r="BQ260" i="25"/>
  <c r="K312" i="24"/>
  <c r="BQ234" i="25"/>
  <c r="L234" i="25"/>
  <c r="BI111" i="25"/>
  <c r="N111" i="25"/>
  <c r="T111" i="25" s="1"/>
  <c r="AP25" i="24"/>
  <c r="BK184" i="24"/>
  <c r="S184" i="24"/>
  <c r="T184" i="24" s="1"/>
  <c r="AH33" i="25"/>
  <c r="AH15" i="25"/>
  <c r="BQ39" i="25"/>
  <c r="BI243" i="25"/>
  <c r="AH243" i="25"/>
  <c r="BI199" i="25"/>
  <c r="BQ138" i="25"/>
  <c r="L244" i="25"/>
  <c r="BI191" i="25"/>
  <c r="N191" i="25"/>
  <c r="T191" i="25" s="1"/>
  <c r="M169" i="24"/>
  <c r="N169" i="24" s="1"/>
  <c r="AP169" i="24" s="1"/>
  <c r="AH312" i="25"/>
  <c r="AH40" i="25"/>
  <c r="BI68" i="25"/>
  <c r="N68" i="25"/>
  <c r="BI18" i="25"/>
  <c r="N18" i="25"/>
  <c r="AH51" i="25"/>
  <c r="BK166" i="24"/>
  <c r="S166" i="24"/>
  <c r="T166" i="24" s="1"/>
  <c r="M166" i="24"/>
  <c r="N166" i="24" s="1"/>
  <c r="AH301" i="25"/>
  <c r="BI100" i="25"/>
  <c r="N100" i="25"/>
  <c r="AH84" i="25"/>
  <c r="BI231" i="25"/>
  <c r="N231" i="25"/>
  <c r="L231" i="25"/>
  <c r="N60" i="25"/>
  <c r="T60" i="25" s="1"/>
  <c r="BI60" i="25"/>
  <c r="BI310" i="25"/>
  <c r="N310" i="25"/>
  <c r="T310" i="25" s="1"/>
  <c r="BK189" i="24"/>
  <c r="S189" i="24"/>
  <c r="T189" i="24" s="1"/>
  <c r="M189" i="24"/>
  <c r="N189" i="24" s="1"/>
  <c r="AP189" i="24" s="1"/>
  <c r="BQ284" i="25"/>
  <c r="N217" i="25"/>
  <c r="BI217" i="25"/>
  <c r="BI56" i="25"/>
  <c r="N56" i="25"/>
  <c r="BI222" i="25"/>
  <c r="N222" i="25"/>
  <c r="L222" i="25"/>
  <c r="BK72" i="24"/>
  <c r="S72" i="24"/>
  <c r="T72" i="24" s="1"/>
  <c r="M210" i="24"/>
  <c r="N244" i="25"/>
  <c r="T244" i="25" s="1"/>
  <c r="N235" i="25"/>
  <c r="T235" i="25" s="1"/>
  <c r="M297" i="24"/>
  <c r="M244" i="24"/>
  <c r="N244" i="24" s="1"/>
  <c r="AP244" i="24" s="1"/>
  <c r="N124" i="25"/>
  <c r="T124" i="25" s="1"/>
  <c r="M245" i="24"/>
  <c r="N245" i="24" s="1"/>
  <c r="P293" i="25"/>
  <c r="O293" i="25"/>
  <c r="N220" i="25"/>
  <c r="M275" i="24"/>
  <c r="N254" i="25"/>
  <c r="T254" i="25" s="1"/>
  <c r="BI186" i="25"/>
  <c r="L52" i="25"/>
  <c r="AH52" i="25"/>
  <c r="BK177" i="24"/>
  <c r="S177" i="24"/>
  <c r="T177" i="24" s="1"/>
  <c r="AH6" i="25"/>
  <c r="AH77" i="25"/>
  <c r="AH206" i="25"/>
  <c r="BK252" i="24"/>
  <c r="S252" i="24"/>
  <c r="T252" i="24" s="1"/>
  <c r="BK75" i="24"/>
  <c r="S75" i="24"/>
  <c r="T75" i="24" s="1"/>
  <c r="M75" i="24"/>
  <c r="N75" i="24" s="1"/>
  <c r="BQ163" i="25"/>
  <c r="BI192" i="25"/>
  <c r="AH93" i="25"/>
  <c r="BK272" i="24"/>
  <c r="S272" i="24"/>
  <c r="T272" i="24" s="1"/>
  <c r="BK14" i="24"/>
  <c r="S14" i="24"/>
  <c r="T14" i="24" s="1"/>
  <c r="AP24" i="24"/>
  <c r="Q133" i="24"/>
  <c r="P133" i="24"/>
  <c r="AH143" i="25"/>
  <c r="BI163" i="25"/>
  <c r="N163" i="25"/>
  <c r="T163" i="25" s="1"/>
  <c r="BI137" i="25"/>
  <c r="N137" i="25"/>
  <c r="T137" i="25" s="1"/>
  <c r="AH42" i="25"/>
  <c r="U21" i="24"/>
  <c r="AH232" i="25"/>
  <c r="AP205" i="24"/>
  <c r="BQ105" i="25"/>
  <c r="AH177" i="25"/>
  <c r="BK247" i="24"/>
  <c r="S247" i="24"/>
  <c r="T247" i="24" s="1"/>
  <c r="BK176" i="24"/>
  <c r="S176" i="24"/>
  <c r="T176" i="24" s="1"/>
  <c r="M176" i="24"/>
  <c r="N176" i="24" s="1"/>
  <c r="AP176" i="24" s="1"/>
  <c r="BK71" i="24"/>
  <c r="S71" i="24"/>
  <c r="T71" i="24" s="1"/>
  <c r="BI165" i="25"/>
  <c r="AH190" i="25"/>
  <c r="L163" i="25"/>
  <c r="AH279" i="25"/>
  <c r="BK277" i="24"/>
  <c r="S277" i="24"/>
  <c r="T277" i="24" s="1"/>
  <c r="M277" i="24"/>
  <c r="U277" i="24" s="1"/>
  <c r="K277" i="24"/>
  <c r="M195" i="24"/>
  <c r="AH145" i="25"/>
  <c r="BK225" i="24"/>
  <c r="S225" i="24"/>
  <c r="T225" i="24" s="1"/>
  <c r="K117" i="24"/>
  <c r="BK232" i="24"/>
  <c r="S232" i="24"/>
  <c r="T232" i="24" s="1"/>
  <c r="M232" i="24"/>
  <c r="U232" i="24" s="1"/>
  <c r="BI174" i="25"/>
  <c r="M253" i="24"/>
  <c r="BK137" i="24"/>
  <c r="S137" i="24"/>
  <c r="T137" i="24" s="1"/>
  <c r="N219" i="25"/>
  <c r="BK182" i="24"/>
  <c r="S182" i="24"/>
  <c r="T182" i="24" s="1"/>
  <c r="AH150" i="25"/>
  <c r="K231" i="24"/>
  <c r="BI12" i="25"/>
  <c r="BI142" i="25"/>
  <c r="AH142" i="25"/>
  <c r="AH175" i="25"/>
  <c r="BK263" i="24"/>
  <c r="S263" i="24"/>
  <c r="T263" i="24" s="1"/>
  <c r="M263" i="24"/>
  <c r="U263" i="24" s="1"/>
  <c r="M159" i="24"/>
  <c r="N159" i="24" s="1"/>
  <c r="AP159" i="24" s="1"/>
  <c r="AH198" i="25"/>
  <c r="BI200" i="25"/>
  <c r="N200" i="25"/>
  <c r="BK187" i="24"/>
  <c r="S187" i="24"/>
  <c r="T187" i="24" s="1"/>
  <c r="M187" i="24"/>
  <c r="BK8" i="24"/>
  <c r="S8" i="24"/>
  <c r="T8" i="24" s="1"/>
  <c r="AH276" i="25"/>
  <c r="BI283" i="25"/>
  <c r="AH283" i="25"/>
  <c r="AH167" i="25"/>
  <c r="K287" i="24"/>
  <c r="AH66" i="25"/>
  <c r="T247" i="25"/>
  <c r="BI10" i="25"/>
  <c r="AH161" i="25"/>
  <c r="P292" i="24"/>
  <c r="Q292" i="24"/>
  <c r="L115" i="25"/>
  <c r="U181" i="24"/>
  <c r="BI307" i="25"/>
  <c r="AH311" i="25"/>
  <c r="AH80" i="25"/>
  <c r="AH235" i="25"/>
  <c r="N277" i="25"/>
  <c r="BI277" i="25"/>
  <c r="BK203" i="24"/>
  <c r="S203" i="24"/>
  <c r="T203" i="24" s="1"/>
  <c r="AH229" i="25"/>
  <c r="L50" i="25"/>
  <c r="AH97" i="25"/>
  <c r="BI225" i="25"/>
  <c r="AH225" i="25"/>
  <c r="P162" i="24"/>
  <c r="Q162" i="24"/>
  <c r="AP237" i="24"/>
  <c r="AH62" i="25"/>
  <c r="BI230" i="25"/>
  <c r="N230" i="25"/>
  <c r="AH20" i="25"/>
  <c r="AH22" i="25"/>
  <c r="AH123" i="25"/>
  <c r="AH135" i="25"/>
  <c r="BK217" i="24"/>
  <c r="S217" i="24"/>
  <c r="T217" i="24" s="1"/>
  <c r="M217" i="24"/>
  <c r="N217" i="24" s="1"/>
  <c r="BI274" i="25"/>
  <c r="N274" i="25"/>
  <c r="AH41" i="25"/>
  <c r="AH119" i="25"/>
  <c r="BI209" i="25"/>
  <c r="N209" i="25"/>
  <c r="M28" i="24"/>
  <c r="N28" i="24" s="1"/>
  <c r="AP28" i="24" s="1"/>
  <c r="AH27" i="25"/>
  <c r="BK262" i="24"/>
  <c r="S262" i="24"/>
  <c r="T262" i="24" s="1"/>
  <c r="M262" i="24"/>
  <c r="U262" i="24" s="1"/>
  <c r="L61" i="25"/>
  <c r="L294" i="25"/>
  <c r="BI264" i="25"/>
  <c r="BK161" i="24"/>
  <c r="S161" i="24"/>
  <c r="T161" i="24" s="1"/>
  <c r="J160" i="24"/>
  <c r="O160" i="24"/>
  <c r="BZ160" i="24" s="1"/>
  <c r="N52" i="25"/>
  <c r="T52" i="25" s="1"/>
  <c r="BK86" i="24"/>
  <c r="S86" i="24"/>
  <c r="T86" i="24" s="1"/>
  <c r="AP86" i="24"/>
  <c r="AH49" i="25"/>
  <c r="U53" i="24"/>
  <c r="BK89" i="24"/>
  <c r="S89" i="24"/>
  <c r="T89" i="24" s="1"/>
  <c r="M201" i="24"/>
  <c r="N201" i="24" s="1"/>
  <c r="L174" i="25"/>
  <c r="L21" i="25"/>
  <c r="L116" i="25"/>
  <c r="AH34" i="25"/>
  <c r="BI287" i="25"/>
  <c r="BQ166" i="25"/>
  <c r="L201" i="25"/>
  <c r="BK315" i="24"/>
  <c r="S315" i="24"/>
  <c r="T315" i="24" s="1"/>
  <c r="BI89" i="25"/>
  <c r="L89" i="25"/>
  <c r="BQ124" i="25"/>
  <c r="AH302" i="25"/>
  <c r="BI223" i="25"/>
  <c r="T305" i="25"/>
  <c r="O21" i="24"/>
  <c r="BZ21" i="24" s="1"/>
  <c r="J21" i="24"/>
  <c r="K230" i="24"/>
  <c r="T204" i="25"/>
  <c r="M247" i="24"/>
  <c r="U247" i="24" s="1"/>
  <c r="BQ221" i="25"/>
  <c r="AH278" i="25"/>
  <c r="BI260" i="25"/>
  <c r="AP312" i="24"/>
  <c r="BQ184" i="25"/>
  <c r="AH184" i="25"/>
  <c r="AH75" i="25"/>
  <c r="BK80" i="24"/>
  <c r="S80" i="24"/>
  <c r="T80" i="24" s="1"/>
  <c r="BQ309" i="25"/>
  <c r="BI39" i="25"/>
  <c r="AH39" i="25"/>
  <c r="AH316" i="25"/>
  <c r="BQ243" i="25"/>
  <c r="AH199" i="25"/>
  <c r="AH155" i="25"/>
  <c r="BQ45" i="25"/>
  <c r="BK239" i="24"/>
  <c r="S239" i="24"/>
  <c r="T239" i="24" s="1"/>
  <c r="M239" i="24"/>
  <c r="U239" i="24" s="1"/>
  <c r="BI139" i="25"/>
  <c r="N139" i="25"/>
  <c r="AH18" i="25"/>
  <c r="BI67" i="25"/>
  <c r="N67" i="25"/>
  <c r="AH67" i="25"/>
  <c r="BI288" i="25"/>
  <c r="N288" i="25"/>
  <c r="AH64" i="25"/>
  <c r="AH310" i="25"/>
  <c r="AH17" i="25"/>
  <c r="BQ56" i="25"/>
  <c r="BQ222" i="25"/>
  <c r="AH291" i="25"/>
  <c r="M80" i="24"/>
  <c r="AO110" i="25"/>
  <c r="R110" i="25"/>
  <c r="S110" i="25"/>
  <c r="K110" i="25" s="1"/>
  <c r="Q110" i="25"/>
  <c r="N45" i="25"/>
  <c r="T45" i="25" s="1"/>
  <c r="N115" i="25"/>
  <c r="N142" i="25"/>
  <c r="N251" i="25"/>
  <c r="N39" i="25"/>
  <c r="M128" i="24"/>
  <c r="N128" i="24" s="1"/>
  <c r="AP128" i="24" s="1"/>
  <c r="M35" i="24"/>
  <c r="N35" i="24" s="1"/>
  <c r="M301" i="24"/>
  <c r="M315" i="24"/>
  <c r="U315" i="24" s="1"/>
  <c r="N223" i="25"/>
  <c r="AP190" i="24"/>
  <c r="BK192" i="24"/>
  <c r="S192" i="24"/>
  <c r="T192" i="24" s="1"/>
  <c r="M192" i="24"/>
  <c r="N192" i="24" s="1"/>
  <c r="AP192" i="24" s="1"/>
  <c r="BK198" i="24"/>
  <c r="S198" i="24"/>
  <c r="T198" i="24" s="1"/>
  <c r="M198" i="24"/>
  <c r="N198" i="24" s="1"/>
  <c r="AP198" i="24" s="1"/>
  <c r="BI246" i="25"/>
  <c r="BI145" i="25"/>
  <c r="N145" i="25"/>
  <c r="T145" i="25" s="1"/>
  <c r="BK241" i="24"/>
  <c r="S241" i="24"/>
  <c r="T241" i="24" s="1"/>
  <c r="M241" i="24"/>
  <c r="N241" i="24" s="1"/>
  <c r="AH120" i="25"/>
  <c r="AH176" i="25"/>
  <c r="AH218" i="25"/>
  <c r="BK102" i="24"/>
  <c r="S102" i="24"/>
  <c r="T102" i="24" s="1"/>
  <c r="M102" i="24"/>
  <c r="N102" i="24" s="1"/>
  <c r="BK194" i="24"/>
  <c r="S194" i="24"/>
  <c r="T194" i="24" s="1"/>
  <c r="M194" i="24"/>
  <c r="BI236" i="25"/>
  <c r="N236" i="25"/>
  <c r="T236" i="25" s="1"/>
  <c r="AH245" i="25"/>
  <c r="AO129" i="25"/>
  <c r="AH129" i="25"/>
  <c r="BI126" i="25"/>
  <c r="AH219" i="25"/>
  <c r="AH104" i="25"/>
  <c r="BK73" i="24"/>
  <c r="S73" i="24"/>
  <c r="T73" i="24" s="1"/>
  <c r="M73" i="24"/>
  <c r="N73" i="24" s="1"/>
  <c r="BK76" i="24"/>
  <c r="S76" i="24"/>
  <c r="T76" i="24" s="1"/>
  <c r="U182" i="24"/>
  <c r="BI82" i="25"/>
  <c r="BK34" i="24"/>
  <c r="S34" i="24"/>
  <c r="T34" i="24" s="1"/>
  <c r="BK154" i="24"/>
  <c r="S154" i="24"/>
  <c r="T154" i="24" s="1"/>
  <c r="BK144" i="24"/>
  <c r="S144" i="24"/>
  <c r="T144" i="24" s="1"/>
  <c r="BI281" i="25"/>
  <c r="BK112" i="24"/>
  <c r="S112" i="24"/>
  <c r="T112" i="24" s="1"/>
  <c r="Q188" i="24"/>
  <c r="P188" i="24"/>
  <c r="P198" i="25"/>
  <c r="O198" i="25"/>
  <c r="AH290" i="25"/>
  <c r="BK150" i="24"/>
  <c r="S150" i="24"/>
  <c r="T150" i="24" s="1"/>
  <c r="BK13" i="24"/>
  <c r="S13" i="24"/>
  <c r="T13" i="24" s="1"/>
  <c r="AH306" i="25"/>
  <c r="P219" i="24"/>
  <c r="Q219" i="24"/>
  <c r="BI65" i="25"/>
  <c r="P305" i="25"/>
  <c r="O305" i="25"/>
  <c r="AO305" i="25" s="1"/>
  <c r="BI147" i="25"/>
  <c r="BI254" i="25"/>
  <c r="AH102" i="25"/>
  <c r="BK115" i="24"/>
  <c r="S115" i="24"/>
  <c r="T115" i="24" s="1"/>
  <c r="BI31" i="25"/>
  <c r="Q44" i="24"/>
  <c r="R44" i="24" s="1"/>
  <c r="P44" i="24"/>
  <c r="AP43" i="24"/>
  <c r="P127" i="24"/>
  <c r="Q127" i="24"/>
  <c r="BK300" i="24"/>
  <c r="S300" i="24"/>
  <c r="T300" i="24" s="1"/>
  <c r="BK49" i="24"/>
  <c r="S49" i="24"/>
  <c r="T49" i="24" s="1"/>
  <c r="BI181" i="25"/>
  <c r="L181" i="25"/>
  <c r="K136" i="24"/>
  <c r="M98" i="24"/>
  <c r="N98" i="24" s="1"/>
  <c r="BK238" i="24"/>
  <c r="S238" i="24"/>
  <c r="T238" i="24" s="1"/>
  <c r="P177" i="25"/>
  <c r="O177" i="25"/>
  <c r="J162" i="24"/>
  <c r="O162" i="24"/>
  <c r="BZ162" i="24" s="1"/>
  <c r="BK237" i="24"/>
  <c r="S237" i="24"/>
  <c r="T237" i="24" s="1"/>
  <c r="BK175" i="24"/>
  <c r="S175" i="24"/>
  <c r="T175" i="24" s="1"/>
  <c r="M175" i="24"/>
  <c r="N175" i="24" s="1"/>
  <c r="BI85" i="25"/>
  <c r="N85" i="25"/>
  <c r="T85" i="25" s="1"/>
  <c r="BI57" i="25"/>
  <c r="N57" i="25"/>
  <c r="T57" i="25" s="1"/>
  <c r="BI153" i="25"/>
  <c r="N153" i="25"/>
  <c r="T153" i="25" s="1"/>
  <c r="AH286" i="25"/>
  <c r="L119" i="25"/>
  <c r="BI69" i="25"/>
  <c r="N69" i="25"/>
  <c r="T69" i="25" s="1"/>
  <c r="BK235" i="24"/>
  <c r="S235" i="24"/>
  <c r="T235" i="24" s="1"/>
  <c r="M235" i="24"/>
  <c r="N235" i="24" s="1"/>
  <c r="AP235" i="24" s="1"/>
  <c r="AH299" i="25"/>
  <c r="BI146" i="25"/>
  <c r="N146" i="25"/>
  <c r="T146" i="25" s="1"/>
  <c r="AH224" i="25"/>
  <c r="BK197" i="24"/>
  <c r="S197" i="24"/>
  <c r="T197" i="24" s="1"/>
  <c r="BK127" i="24"/>
  <c r="S127" i="24"/>
  <c r="T127" i="24" s="1"/>
  <c r="BK199" i="24"/>
  <c r="S199" i="24"/>
  <c r="T199" i="24" s="1"/>
  <c r="AH14" i="25"/>
  <c r="L187" i="25"/>
  <c r="BK65" i="24"/>
  <c r="S65" i="24"/>
  <c r="T65" i="24" s="1"/>
  <c r="L267" i="25"/>
  <c r="BI43" i="25"/>
  <c r="N43" i="25"/>
  <c r="T43" i="25" s="1"/>
  <c r="BI118" i="25"/>
  <c r="L118" i="25"/>
  <c r="BK69" i="24"/>
  <c r="S69" i="24"/>
  <c r="T69" i="24" s="1"/>
  <c r="M69" i="24"/>
  <c r="N69" i="24" s="1"/>
  <c r="AH227" i="25"/>
  <c r="U61" i="24"/>
  <c r="AH259" i="25"/>
  <c r="AH287" i="25"/>
  <c r="BQ90" i="25"/>
  <c r="BI285" i="25"/>
  <c r="BI166" i="25"/>
  <c r="BK48" i="24"/>
  <c r="S48" i="24"/>
  <c r="T48" i="24" s="1"/>
  <c r="M65" i="24"/>
  <c r="N65" i="24" s="1"/>
  <c r="BI124" i="25"/>
  <c r="AH248" i="25"/>
  <c r="BQ223" i="25"/>
  <c r="AH223" i="25"/>
  <c r="BK270" i="24"/>
  <c r="S270" i="24"/>
  <c r="T270" i="24" s="1"/>
  <c r="BI184" i="25"/>
  <c r="L184" i="25"/>
  <c r="BI63" i="25"/>
  <c r="N63" i="25"/>
  <c r="BI309" i="25"/>
  <c r="AH309" i="25"/>
  <c r="BK196" i="24"/>
  <c r="S196" i="24"/>
  <c r="T196" i="24" s="1"/>
  <c r="BK242" i="24"/>
  <c r="S242" i="24"/>
  <c r="T242" i="24" s="1"/>
  <c r="L316" i="25"/>
  <c r="L298" i="25"/>
  <c r="BI233" i="25"/>
  <c r="AH233" i="25"/>
  <c r="BQ155" i="25"/>
  <c r="BI54" i="25"/>
  <c r="N54" i="25"/>
  <c r="T54" i="25" s="1"/>
  <c r="BK169" i="24"/>
  <c r="S169" i="24"/>
  <c r="T169" i="24" s="1"/>
  <c r="AP88" i="24"/>
  <c r="M295" i="24"/>
  <c r="N295" i="24" s="1"/>
  <c r="L54" i="25"/>
  <c r="AH156" i="25"/>
  <c r="AH79" i="25"/>
  <c r="L51" i="25"/>
  <c r="BK60" i="24"/>
  <c r="S60" i="24"/>
  <c r="T60" i="24" s="1"/>
  <c r="M60" i="24"/>
  <c r="N60" i="24" s="1"/>
  <c r="BQ64" i="25"/>
  <c r="AH231" i="25"/>
  <c r="AH19" i="25"/>
  <c r="BK66" i="24"/>
  <c r="S66" i="24"/>
  <c r="T66" i="24" s="1"/>
  <c r="M66" i="24"/>
  <c r="N66" i="24" s="1"/>
  <c r="BI284" i="25"/>
  <c r="N284" i="25"/>
  <c r="T284" i="25" s="1"/>
  <c r="AH284" i="25"/>
  <c r="BK207" i="24"/>
  <c r="S207" i="24"/>
  <c r="T207" i="24" s="1"/>
  <c r="M207" i="24"/>
  <c r="N207" i="24" s="1"/>
  <c r="AP207" i="24" s="1"/>
  <c r="BI252" i="25"/>
  <c r="N252" i="25"/>
  <c r="T252" i="25" s="1"/>
  <c r="BQ154" i="25"/>
  <c r="U30" i="24"/>
  <c r="AP30" i="24"/>
  <c r="U72" i="24"/>
  <c r="BQ291" i="25"/>
  <c r="M89" i="24"/>
  <c r="M184" i="24"/>
  <c r="M299" i="24"/>
  <c r="N299" i="24" s="1"/>
  <c r="N316" i="25"/>
  <c r="T316" i="25" s="1"/>
  <c r="N12" i="25"/>
  <c r="N88" i="25"/>
  <c r="T88" i="25" s="1"/>
  <c r="M23" i="24"/>
  <c r="N23" i="24" s="1"/>
  <c r="M49" i="24"/>
  <c r="N49" i="24" s="1"/>
  <c r="M112" i="24"/>
  <c r="N112" i="24" s="1"/>
  <c r="AP257" i="24"/>
  <c r="BK125" i="24"/>
  <c r="S125" i="24"/>
  <c r="T125" i="24" s="1"/>
  <c r="M125" i="24"/>
  <c r="N125" i="24" s="1"/>
  <c r="AP125" i="24" s="1"/>
  <c r="AH164" i="25"/>
  <c r="AH202" i="25"/>
  <c r="BK268" i="24"/>
  <c r="S268" i="24"/>
  <c r="T268" i="24" s="1"/>
  <c r="BK54" i="24"/>
  <c r="S54" i="24"/>
  <c r="T54" i="24" s="1"/>
  <c r="M54" i="24"/>
  <c r="AP68" i="24"/>
  <c r="AH165" i="25"/>
  <c r="BI26" i="25"/>
  <c r="BK267" i="24"/>
  <c r="S267" i="24"/>
  <c r="T267" i="24" s="1"/>
  <c r="M267" i="24"/>
  <c r="N267" i="24" s="1"/>
  <c r="AP62" i="24"/>
  <c r="AH83" i="25"/>
  <c r="AP147" i="24"/>
  <c r="M177" i="24"/>
  <c r="N177" i="24" s="1"/>
  <c r="AP177" i="24" s="1"/>
  <c r="N203" i="25"/>
  <c r="AH159" i="25"/>
  <c r="AH185" i="25"/>
  <c r="BI206" i="25"/>
  <c r="BK20" i="24"/>
  <c r="S20" i="24"/>
  <c r="T20" i="24" s="1"/>
  <c r="BI300" i="25"/>
  <c r="N300" i="25"/>
  <c r="T300" i="25" s="1"/>
  <c r="BI122" i="25"/>
  <c r="AP21" i="24"/>
  <c r="K163" i="24"/>
  <c r="L246" i="25"/>
  <c r="U190" i="24"/>
  <c r="BK118" i="24"/>
  <c r="S118" i="24"/>
  <c r="T118" i="24" s="1"/>
  <c r="N176" i="25"/>
  <c r="T176" i="25" s="1"/>
  <c r="BI176" i="25"/>
  <c r="BI279" i="25"/>
  <c r="N279" i="25"/>
  <c r="T279" i="25" s="1"/>
  <c r="Q22" i="24"/>
  <c r="R22" i="24" s="1"/>
  <c r="P22" i="24"/>
  <c r="BK133" i="24"/>
  <c r="S133" i="24"/>
  <c r="T133" i="24" s="1"/>
  <c r="BK167" i="24"/>
  <c r="S167" i="24"/>
  <c r="T167" i="24" s="1"/>
  <c r="BK255" i="24"/>
  <c r="S255" i="24"/>
  <c r="T255" i="24" s="1"/>
  <c r="BK146" i="24"/>
  <c r="S146" i="24"/>
  <c r="T146" i="24" s="1"/>
  <c r="M146" i="24"/>
  <c r="AH137" i="25"/>
  <c r="BK38" i="24"/>
  <c r="S38" i="24"/>
  <c r="T38" i="24" s="1"/>
  <c r="M38" i="24"/>
  <c r="K267" i="24"/>
  <c r="BK131" i="24"/>
  <c r="M131" i="24"/>
  <c r="S131" i="24"/>
  <c r="T131" i="24" s="1"/>
  <c r="BK282" i="24"/>
  <c r="S282" i="24"/>
  <c r="T282" i="24" s="1"/>
  <c r="M282" i="24"/>
  <c r="U282" i="24" s="1"/>
  <c r="BK97" i="24"/>
  <c r="S97" i="24"/>
  <c r="T97" i="24" s="1"/>
  <c r="K176" i="24"/>
  <c r="K179" i="24"/>
  <c r="O190" i="24"/>
  <c r="BZ190" i="24" s="1"/>
  <c r="J190" i="24"/>
  <c r="N271" i="25"/>
  <c r="T271" i="25" s="1"/>
  <c r="AH271" i="25"/>
  <c r="BI219" i="25"/>
  <c r="BK16" i="24"/>
  <c r="S16" i="24"/>
  <c r="T16" i="24" s="1"/>
  <c r="T82" i="25"/>
  <c r="BK231" i="24"/>
  <c r="S231" i="24"/>
  <c r="T231" i="24" s="1"/>
  <c r="L175" i="25"/>
  <c r="BQ281" i="25"/>
  <c r="BK25" i="24"/>
  <c r="S25" i="24"/>
  <c r="T25" i="24" s="1"/>
  <c r="M104" i="24"/>
  <c r="N104" i="24" s="1"/>
  <c r="BK188" i="24"/>
  <c r="S188" i="24"/>
  <c r="T188" i="24" s="1"/>
  <c r="U150" i="24"/>
  <c r="K208" i="24"/>
  <c r="L263" i="25"/>
  <c r="BI167" i="25"/>
  <c r="Q121" i="24"/>
  <c r="P121" i="24"/>
  <c r="Q72" i="24"/>
  <c r="R72" i="24" s="1"/>
  <c r="P72" i="24"/>
  <c r="BK153" i="24"/>
  <c r="S153" i="24"/>
  <c r="T153" i="24" s="1"/>
  <c r="BI148" i="25"/>
  <c r="AH144" i="25"/>
  <c r="T147" i="25"/>
  <c r="J292" i="24"/>
  <c r="O292" i="24"/>
  <c r="BZ292" i="24" s="1"/>
  <c r="T31" i="25"/>
  <c r="BK84" i="24"/>
  <c r="S84" i="24"/>
  <c r="T84" i="24" s="1"/>
  <c r="BK58" i="24"/>
  <c r="S58" i="24"/>
  <c r="T58" i="24" s="1"/>
  <c r="BK308" i="24"/>
  <c r="S308" i="24"/>
  <c r="T308" i="24" s="1"/>
  <c r="BK42" i="24"/>
  <c r="S42" i="24"/>
  <c r="T42" i="24" s="1"/>
  <c r="M42" i="24"/>
  <c r="BK306" i="24"/>
  <c r="S306" i="24"/>
  <c r="T306" i="24" s="1"/>
  <c r="AH45" i="25"/>
  <c r="AH101" i="25"/>
  <c r="BK183" i="24"/>
  <c r="S183" i="24"/>
  <c r="T183" i="24" s="1"/>
  <c r="M183" i="24"/>
  <c r="BI229" i="25"/>
  <c r="K301" i="24"/>
  <c r="AH47" i="25"/>
  <c r="AH112" i="25"/>
  <c r="N10" i="25"/>
  <c r="BI25" i="25"/>
  <c r="BI87" i="25"/>
  <c r="BI62" i="25"/>
  <c r="L62" i="25"/>
  <c r="AH48" i="25"/>
  <c r="AH85" i="25"/>
  <c r="L98" i="25"/>
  <c r="BI123" i="25"/>
  <c r="N123" i="25"/>
  <c r="L123" i="25"/>
  <c r="AH149" i="25"/>
  <c r="AH127" i="25"/>
  <c r="P34" i="25"/>
  <c r="O34" i="25"/>
  <c r="L308" i="25"/>
  <c r="AH36" i="25"/>
  <c r="L256" i="25"/>
  <c r="BI41" i="25"/>
  <c r="N41" i="25"/>
  <c r="BK26" i="24"/>
  <c r="S26" i="24"/>
  <c r="T26" i="24" s="1"/>
  <c r="M26" i="24"/>
  <c r="L27" i="25"/>
  <c r="BK249" i="24"/>
  <c r="S249" i="24"/>
  <c r="T249" i="24" s="1"/>
  <c r="M249" i="24"/>
  <c r="U249" i="24" s="1"/>
  <c r="AH28" i="25"/>
  <c r="AH255" i="25"/>
  <c r="U199" i="24"/>
  <c r="K244" i="24"/>
  <c r="AH267" i="25"/>
  <c r="M71" i="24"/>
  <c r="BQ126" i="25"/>
  <c r="BI96" i="25"/>
  <c r="BK61" i="24"/>
  <c r="S61" i="24"/>
  <c r="T61" i="24" s="1"/>
  <c r="AP61" i="24"/>
  <c r="BK180" i="24"/>
  <c r="S180" i="24"/>
  <c r="T180" i="24" s="1"/>
  <c r="L314" i="25"/>
  <c r="BI90" i="25"/>
  <c r="BQ285" i="25"/>
  <c r="AH285" i="25"/>
  <c r="L166" i="25"/>
  <c r="BQ201" i="25"/>
  <c r="AP48" i="24"/>
  <c r="BI282" i="25"/>
  <c r="K172" i="24"/>
  <c r="AP172" i="24"/>
  <c r="BI302" i="25"/>
  <c r="BI262" i="25"/>
  <c r="J233" i="24"/>
  <c r="O233" i="24"/>
  <c r="BZ233" i="24" s="1"/>
  <c r="P132" i="24"/>
  <c r="Q132" i="24"/>
  <c r="M255" i="24"/>
  <c r="U255" i="24" s="1"/>
  <c r="N26" i="25"/>
  <c r="AP290" i="24"/>
  <c r="L221" i="25"/>
  <c r="K275" i="24"/>
  <c r="BI95" i="25"/>
  <c r="L63" i="25"/>
  <c r="BK210" i="24"/>
  <c r="S210" i="24"/>
  <c r="T210" i="24" s="1"/>
  <c r="BI33" i="25"/>
  <c r="L33" i="25"/>
  <c r="BI228" i="25"/>
  <c r="AH228" i="25"/>
  <c r="L233" i="25"/>
  <c r="AH138" i="25"/>
  <c r="BI155" i="25"/>
  <c r="BI170" i="25"/>
  <c r="AH170" i="25"/>
  <c r="BQ296" i="25"/>
  <c r="BI169" i="25"/>
  <c r="N169" i="25"/>
  <c r="P45" i="24"/>
  <c r="Q45" i="24"/>
  <c r="R45" i="24" s="1"/>
  <c r="BK52" i="24"/>
  <c r="S52" i="24"/>
  <c r="T52" i="24" s="1"/>
  <c r="AP52" i="24"/>
  <c r="BI273" i="25"/>
  <c r="AH273" i="25"/>
  <c r="BI79" i="25"/>
  <c r="N79" i="25"/>
  <c r="L79" i="25"/>
  <c r="L18" i="25"/>
  <c r="BI72" i="25"/>
  <c r="N72" i="25"/>
  <c r="M284" i="24"/>
  <c r="BK113" i="24"/>
  <c r="S113" i="24"/>
  <c r="T113" i="24" s="1"/>
  <c r="M113" i="24"/>
  <c r="AH288" i="25"/>
  <c r="AH253" i="25"/>
  <c r="BI64" i="25"/>
  <c r="N64" i="25"/>
  <c r="T64" i="25" s="1"/>
  <c r="L64" i="25"/>
  <c r="BK29" i="24"/>
  <c r="S29" i="24"/>
  <c r="T29" i="24" s="1"/>
  <c r="M29" i="24"/>
  <c r="BK124" i="24"/>
  <c r="S124" i="24"/>
  <c r="T124" i="24" s="1"/>
  <c r="M124" i="24"/>
  <c r="N124" i="24" s="1"/>
  <c r="BK140" i="24"/>
  <c r="S140" i="24"/>
  <c r="T140" i="24" s="1"/>
  <c r="M140" i="24"/>
  <c r="BQ252" i="25"/>
  <c r="BK219" i="24"/>
  <c r="S219" i="24"/>
  <c r="T219" i="24" s="1"/>
  <c r="BI154" i="25"/>
  <c r="BK30" i="24"/>
  <c r="S30" i="24"/>
  <c r="T30" i="24" s="1"/>
  <c r="BI291" i="25"/>
  <c r="N233" i="25"/>
  <c r="T233" i="25" s="1"/>
  <c r="N307" i="25"/>
  <c r="M196" i="24"/>
  <c r="N196" i="24" s="1"/>
  <c r="M153" i="24"/>
  <c r="N260" i="25"/>
  <c r="N65" i="25"/>
  <c r="T65" i="25" s="1"/>
  <c r="N263" i="25"/>
  <c r="T263" i="25" s="1"/>
  <c r="M161" i="24"/>
  <c r="N166" i="25"/>
  <c r="T166" i="25" s="1"/>
  <c r="M203" i="24"/>
  <c r="M308" i="24"/>
  <c r="U308" i="24" s="1"/>
  <c r="N264" i="25"/>
  <c r="N116" i="25"/>
  <c r="AH192" i="25"/>
  <c r="BI93" i="25"/>
  <c r="N93" i="25"/>
  <c r="BK62" i="24"/>
  <c r="S62" i="24"/>
  <c r="T62" i="24" s="1"/>
  <c r="Q190" i="24"/>
  <c r="P190" i="24"/>
  <c r="P7" i="24"/>
  <c r="Q7" i="24"/>
  <c r="R7" i="24" s="1"/>
  <c r="P68" i="24"/>
  <c r="Q68" i="24"/>
  <c r="R68" i="24" s="1"/>
  <c r="BK123" i="24"/>
  <c r="S123" i="24"/>
  <c r="T123" i="24" s="1"/>
  <c r="M123" i="24"/>
  <c r="AH169" i="25"/>
  <c r="BI23" i="25"/>
  <c r="BK145" i="24"/>
  <c r="S145" i="24"/>
  <c r="T145" i="24" s="1"/>
  <c r="M145" i="24"/>
  <c r="BI232" i="25"/>
  <c r="L232" i="25"/>
  <c r="BI105" i="25"/>
  <c r="N105" i="25"/>
  <c r="BI182" i="25"/>
  <c r="BK223" i="24"/>
  <c r="S223" i="24"/>
  <c r="T223" i="24" s="1"/>
  <c r="AH9" i="25"/>
  <c r="Q225" i="24"/>
  <c r="P225" i="24"/>
  <c r="U133" i="24"/>
  <c r="AP133" i="24"/>
  <c r="BK276" i="24"/>
  <c r="S276" i="24"/>
  <c r="T276" i="24" s="1"/>
  <c r="AH37" i="25"/>
  <c r="AP307" i="24"/>
  <c r="BK295" i="24"/>
  <c r="S295" i="24"/>
  <c r="T295" i="24" s="1"/>
  <c r="BK206" i="24"/>
  <c r="S206" i="24"/>
  <c r="T206" i="24" s="1"/>
  <c r="M206" i="24"/>
  <c r="AH11" i="25"/>
  <c r="L176" i="25"/>
  <c r="BK116" i="24"/>
  <c r="S116" i="24"/>
  <c r="T116" i="24" s="1"/>
  <c r="BK130" i="24"/>
  <c r="S130" i="24"/>
  <c r="T130" i="24" s="1"/>
  <c r="BK286" i="24"/>
  <c r="S286" i="24"/>
  <c r="T286" i="24" s="1"/>
  <c r="AP225" i="24"/>
  <c r="AH30" i="25"/>
  <c r="BK157" i="24"/>
  <c r="S157" i="24"/>
  <c r="T157" i="24" s="1"/>
  <c r="BK253" i="24"/>
  <c r="S253" i="24"/>
  <c r="T253" i="24" s="1"/>
  <c r="N37" i="25"/>
  <c r="T37" i="25" s="1"/>
  <c r="AH265" i="25"/>
  <c r="BI197" i="25"/>
  <c r="N197" i="25"/>
  <c r="AH197" i="25"/>
  <c r="BI130" i="25"/>
  <c r="N130" i="25"/>
  <c r="T130" i="25" s="1"/>
  <c r="BK141" i="24"/>
  <c r="S141" i="24"/>
  <c r="T141" i="24" s="1"/>
  <c r="M141" i="24"/>
  <c r="U76" i="24"/>
  <c r="AH297" i="25"/>
  <c r="BI150" i="25"/>
  <c r="N150" i="25"/>
  <c r="T150" i="25" s="1"/>
  <c r="BK92" i="24"/>
  <c r="S92" i="24"/>
  <c r="T92" i="24" s="1"/>
  <c r="BI92" i="25"/>
  <c r="K144" i="24"/>
  <c r="BI15" i="25"/>
  <c r="N15" i="25"/>
  <c r="T15" i="25" s="1"/>
  <c r="BK159" i="24"/>
  <c r="S159" i="24"/>
  <c r="T159" i="24" s="1"/>
  <c r="BI198" i="25"/>
  <c r="AH117" i="25"/>
  <c r="BI55" i="25"/>
  <c r="AH55" i="25"/>
  <c r="BI251" i="25"/>
  <c r="AH251" i="25"/>
  <c r="BK59" i="24"/>
  <c r="S59" i="24"/>
  <c r="T59" i="24" s="1"/>
  <c r="P30" i="24"/>
  <c r="Q30" i="24"/>
  <c r="R30" i="24" s="1"/>
  <c r="AH292" i="25"/>
  <c r="AH220" i="25"/>
  <c r="AH147" i="25"/>
  <c r="AH86" i="25"/>
  <c r="R129" i="25"/>
  <c r="S129" i="25"/>
  <c r="K129" i="25" s="1"/>
  <c r="Q129" i="25"/>
  <c r="P191" i="24"/>
  <c r="Q191" i="24"/>
  <c r="AH31" i="25"/>
  <c r="AP181" i="24"/>
  <c r="BK271" i="24"/>
  <c r="S271" i="24"/>
  <c r="T271" i="24" s="1"/>
  <c r="AH307" i="25"/>
  <c r="BK218" i="24"/>
  <c r="S218" i="24"/>
  <c r="T218" i="24" s="1"/>
  <c r="BK193" i="24"/>
  <c r="S193" i="24"/>
  <c r="T193" i="24" s="1"/>
  <c r="BI134" i="25"/>
  <c r="BQ25" i="25"/>
  <c r="BQ62" i="25"/>
  <c r="BQ92" i="25"/>
  <c r="L85" i="25"/>
  <c r="BI127" i="25"/>
  <c r="N127" i="25"/>
  <c r="T127" i="25" s="1"/>
  <c r="AH153" i="25"/>
  <c r="AH196" i="25"/>
  <c r="P61" i="24"/>
  <c r="Q61" i="24"/>
  <c r="R61" i="24" s="1"/>
  <c r="BK288" i="24"/>
  <c r="S288" i="24"/>
  <c r="T288" i="24" s="1"/>
  <c r="M288" i="24"/>
  <c r="U288" i="24" s="1"/>
  <c r="BQ7" i="25"/>
  <c r="Q172" i="24"/>
  <c r="P172" i="24"/>
  <c r="AH293" i="25"/>
  <c r="BI224" i="25"/>
  <c r="N224" i="25"/>
  <c r="BI313" i="25"/>
  <c r="AH313" i="25"/>
  <c r="BK149" i="24"/>
  <c r="S149" i="24"/>
  <c r="T149" i="24" s="1"/>
  <c r="BK303" i="24"/>
  <c r="S303" i="24"/>
  <c r="T303" i="24" s="1"/>
  <c r="AH59" i="25"/>
  <c r="AH183" i="25"/>
  <c r="BI49" i="25"/>
  <c r="AH32" i="25"/>
  <c r="U127" i="24"/>
  <c r="AP53" i="24"/>
  <c r="BK77" i="24"/>
  <c r="S77" i="24"/>
  <c r="T77" i="24" s="1"/>
  <c r="N210" i="25"/>
  <c r="N126" i="25"/>
  <c r="T126" i="25" s="1"/>
  <c r="L126" i="25"/>
  <c r="BK31" i="24"/>
  <c r="S31" i="24"/>
  <c r="T31" i="24" s="1"/>
  <c r="M31" i="24"/>
  <c r="N31" i="24" s="1"/>
  <c r="AP31" i="24" s="1"/>
  <c r="BI34" i="25"/>
  <c r="L34" i="25"/>
  <c r="BI314" i="25"/>
  <c r="BI201" i="25"/>
  <c r="U48" i="24"/>
  <c r="AH282" i="25"/>
  <c r="BK79" i="24"/>
  <c r="S79" i="24"/>
  <c r="T79" i="24" s="1"/>
  <c r="BK248" i="24"/>
  <c r="S248" i="24"/>
  <c r="T248" i="24" s="1"/>
  <c r="BI272" i="25"/>
  <c r="AH305" i="25"/>
  <c r="J132" i="24"/>
  <c r="O132" i="24"/>
  <c r="BZ132" i="24" s="1"/>
  <c r="M230" i="24"/>
  <c r="N230" i="24" s="1"/>
  <c r="AP230" i="24" s="1"/>
  <c r="AH204" i="25"/>
  <c r="BK120" i="24"/>
  <c r="S120" i="24"/>
  <c r="T120" i="24" s="1"/>
  <c r="BK299" i="24"/>
  <c r="S299" i="24"/>
  <c r="T299" i="24" s="1"/>
  <c r="K299" i="24"/>
  <c r="BI278" i="25"/>
  <c r="BK240" i="24"/>
  <c r="S240" i="24"/>
  <c r="T240" i="24" s="1"/>
  <c r="AH95" i="25"/>
  <c r="AH111" i="25"/>
  <c r="BQ33" i="25"/>
  <c r="BQ228" i="25"/>
  <c r="L309" i="25"/>
  <c r="K135" i="24"/>
  <c r="BK173" i="24"/>
  <c r="S173" i="24"/>
  <c r="T173" i="24" s="1"/>
  <c r="K242" i="24"/>
  <c r="BQ170" i="25"/>
  <c r="AH296" i="25"/>
  <c r="Q52" i="24"/>
  <c r="R52" i="24" s="1"/>
  <c r="P52" i="24"/>
  <c r="BI205" i="25"/>
  <c r="N205" i="25"/>
  <c r="BI312" i="25"/>
  <c r="N312" i="25"/>
  <c r="T312" i="25" s="1"/>
  <c r="AH139" i="25"/>
  <c r="BK148" i="24"/>
  <c r="S148" i="24"/>
  <c r="T148" i="24" s="1"/>
  <c r="M148" i="24"/>
  <c r="BK155" i="24"/>
  <c r="S155" i="24"/>
  <c r="T155" i="24" s="1"/>
  <c r="M155" i="24"/>
  <c r="N155" i="24" s="1"/>
  <c r="AP155" i="24" s="1"/>
  <c r="N253" i="25"/>
  <c r="T253" i="25" s="1"/>
  <c r="BI253" i="25"/>
  <c r="AH100" i="25"/>
  <c r="BI84" i="25"/>
  <c r="N84" i="25"/>
  <c r="L84" i="25"/>
  <c r="BQ19" i="25"/>
  <c r="AH60" i="25"/>
  <c r="AH191" i="25"/>
  <c r="BI303" i="25"/>
  <c r="N303" i="25"/>
  <c r="L17" i="25"/>
  <c r="M59" i="24"/>
  <c r="BK209" i="24"/>
  <c r="S209" i="24"/>
  <c r="T209" i="24" s="1"/>
  <c r="M209" i="24"/>
  <c r="BI250" i="25"/>
  <c r="N250" i="25"/>
  <c r="T250" i="25" s="1"/>
  <c r="AH252" i="25"/>
  <c r="AH136" i="25"/>
  <c r="AH103" i="25"/>
  <c r="AP121" i="24"/>
  <c r="K219" i="24"/>
  <c r="BK289" i="24"/>
  <c r="S289" i="24"/>
  <c r="T289" i="24" s="1"/>
  <c r="N175" i="25"/>
  <c r="N278" i="25"/>
  <c r="M135" i="24"/>
  <c r="N135" i="24" s="1"/>
  <c r="N242" i="25"/>
  <c r="M300" i="24"/>
  <c r="N313" i="25"/>
  <c r="N172" i="25"/>
  <c r="T172" i="25" s="1"/>
  <c r="N33" i="25"/>
  <c r="T33" i="25" s="1"/>
  <c r="M144" i="24"/>
  <c r="N144" i="24" s="1"/>
  <c r="N221" i="25"/>
  <c r="N184" i="25"/>
  <c r="T184" i="25" s="1"/>
  <c r="N302" i="25"/>
  <c r="N90" i="25"/>
  <c r="M93" i="24"/>
  <c r="N118" i="25"/>
  <c r="N49" i="25"/>
  <c r="T49" i="25" s="1"/>
  <c r="N25" i="25"/>
  <c r="M13" i="24"/>
  <c r="N13" i="24" s="1"/>
  <c r="BI83" i="25"/>
  <c r="N83" i="25"/>
  <c r="T83" i="25" s="1"/>
  <c r="BK24" i="24"/>
  <c r="S24" i="24"/>
  <c r="T24" i="24" s="1"/>
  <c r="AH269" i="25"/>
  <c r="L159" i="25"/>
  <c r="AH151" i="25"/>
  <c r="BK291" i="24"/>
  <c r="S291" i="24"/>
  <c r="T291" i="24" s="1"/>
  <c r="M291" i="24"/>
  <c r="N291" i="24" s="1"/>
  <c r="BK195" i="24"/>
  <c r="S195" i="24"/>
  <c r="T195" i="24" s="1"/>
  <c r="AP162" i="24"/>
  <c r="BK163" i="24"/>
  <c r="S163" i="24"/>
  <c r="T163" i="24" s="1"/>
  <c r="AH210" i="25"/>
  <c r="AH180" i="25"/>
  <c r="T246" i="25"/>
  <c r="BK129" i="24"/>
  <c r="S129" i="24"/>
  <c r="T129" i="24" s="1"/>
  <c r="BK285" i="24"/>
  <c r="S285" i="24"/>
  <c r="T285" i="24" s="1"/>
  <c r="P21" i="24"/>
  <c r="Q21" i="24"/>
  <c r="R21" i="24" s="1"/>
  <c r="U129" i="24"/>
  <c r="K192" i="24"/>
  <c r="N180" i="25"/>
  <c r="T180" i="25" s="1"/>
  <c r="U177" i="25"/>
  <c r="BK179" i="24"/>
  <c r="S179" i="24"/>
  <c r="T179" i="24" s="1"/>
  <c r="M179" i="24"/>
  <c r="N179" i="24" s="1"/>
  <c r="BQ11" i="25"/>
  <c r="L137" i="25"/>
  <c r="N53" i="25"/>
  <c r="BI53" i="25"/>
  <c r="AH188" i="25"/>
  <c r="AH132" i="25"/>
  <c r="BK205" i="24"/>
  <c r="S205" i="24"/>
  <c r="T205" i="24" s="1"/>
  <c r="U205" i="24"/>
  <c r="BK147" i="24"/>
  <c r="S147" i="24"/>
  <c r="T147" i="24" s="1"/>
  <c r="AP22" i="24"/>
  <c r="AH236" i="25"/>
  <c r="AH266" i="25"/>
  <c r="AH300" i="25"/>
  <c r="BK304" i="24"/>
  <c r="S304" i="24"/>
  <c r="T304" i="24" s="1"/>
  <c r="M304" i="24"/>
  <c r="N304" i="24" s="1"/>
  <c r="AP304" i="24" s="1"/>
  <c r="BI99" i="25"/>
  <c r="N99" i="25"/>
  <c r="K245" i="24"/>
  <c r="BK27" i="24"/>
  <c r="S27" i="24"/>
  <c r="T27" i="24" s="1"/>
  <c r="AP27" i="24"/>
  <c r="K154" i="24"/>
  <c r="BK104" i="24"/>
  <c r="S104" i="24"/>
  <c r="T104" i="24" s="1"/>
  <c r="U188" i="24"/>
  <c r="M122" i="24"/>
  <c r="T198" i="25"/>
  <c r="K284" i="24"/>
  <c r="AP150" i="24"/>
  <c r="BI276" i="25"/>
  <c r="BK287" i="24"/>
  <c r="S287" i="24"/>
  <c r="T287" i="24" s="1"/>
  <c r="BK234" i="24"/>
  <c r="S234" i="24"/>
  <c r="T234" i="24" s="1"/>
  <c r="P170" i="25"/>
  <c r="O170" i="25"/>
  <c r="BI220" i="25"/>
  <c r="AH10" i="25"/>
  <c r="BI161" i="25"/>
  <c r="L102" i="25"/>
  <c r="BK151" i="24"/>
  <c r="S151" i="24"/>
  <c r="T151" i="24" s="1"/>
  <c r="J101" i="24"/>
  <c r="O101" i="24"/>
  <c r="BZ101" i="24" s="1"/>
  <c r="J191" i="24"/>
  <c r="O191" i="24"/>
  <c r="BZ191" i="24" s="1"/>
  <c r="BK51" i="24"/>
  <c r="S51" i="24"/>
  <c r="T51" i="24" s="1"/>
  <c r="BI311" i="25"/>
  <c r="BK311" i="24"/>
  <c r="S311" i="24"/>
  <c r="T311" i="24" s="1"/>
  <c r="M311" i="24"/>
  <c r="N311" i="24" s="1"/>
  <c r="BK220" i="24"/>
  <c r="S220" i="24"/>
  <c r="T220" i="24" s="1"/>
  <c r="L101" i="25"/>
  <c r="AH289" i="25"/>
  <c r="AH277" i="25"/>
  <c r="BK227" i="24"/>
  <c r="S227" i="24"/>
  <c r="T227" i="24" s="1"/>
  <c r="AH240" i="25"/>
  <c r="BI249" i="25"/>
  <c r="AH249" i="25"/>
  <c r="AH50" i="25"/>
  <c r="L47" i="25"/>
  <c r="BI121" i="25"/>
  <c r="AH216" i="25"/>
  <c r="BK305" i="24"/>
  <c r="S305" i="24"/>
  <c r="T305" i="24" s="1"/>
  <c r="AH113" i="25"/>
  <c r="U68" i="24"/>
  <c r="P62" i="25"/>
  <c r="O62" i="25"/>
  <c r="AH230" i="25"/>
  <c r="BK95" i="24"/>
  <c r="S95" i="24"/>
  <c r="T95" i="24" s="1"/>
  <c r="M95" i="24"/>
  <c r="AH35" i="25"/>
  <c r="BI48" i="25"/>
  <c r="N48" i="25"/>
  <c r="T48" i="25" s="1"/>
  <c r="AH91" i="25"/>
  <c r="BI20" i="25"/>
  <c r="N20" i="25"/>
  <c r="T20" i="25" s="1"/>
  <c r="L149" i="25"/>
  <c r="BK293" i="24"/>
  <c r="S293" i="24"/>
  <c r="T293" i="24" s="1"/>
  <c r="M293" i="24"/>
  <c r="N293" i="24" s="1"/>
  <c r="BK221" i="24"/>
  <c r="S221" i="24"/>
  <c r="T221" i="24" s="1"/>
  <c r="M221" i="24"/>
  <c r="N221" i="24" s="1"/>
  <c r="AP221" i="24" s="1"/>
  <c r="AH274" i="25"/>
  <c r="AH209" i="25"/>
  <c r="BI7" i="25"/>
  <c r="N7" i="25"/>
  <c r="T7" i="25" s="1"/>
  <c r="AH88" i="25"/>
  <c r="BI304" i="25"/>
  <c r="N125" i="25"/>
  <c r="P255" i="25"/>
  <c r="O255" i="25"/>
  <c r="M20" i="24"/>
  <c r="N20" i="24" s="1"/>
  <c r="BQ49" i="25"/>
  <c r="BQ32" i="25"/>
  <c r="BQ14" i="25"/>
  <c r="BI187" i="25"/>
  <c r="BI267" i="25"/>
  <c r="AH178" i="25"/>
  <c r="N165" i="25"/>
  <c r="AH174" i="25"/>
  <c r="BI21" i="25"/>
  <c r="T34" i="25"/>
  <c r="BI259" i="25"/>
  <c r="L259" i="25"/>
  <c r="BQ314" i="25"/>
  <c r="BK47" i="24"/>
  <c r="S47" i="24"/>
  <c r="T47" i="24" s="1"/>
  <c r="BQ172" i="25"/>
  <c r="BI78" i="25"/>
  <c r="K112" i="24"/>
  <c r="BQ272" i="25"/>
  <c r="L275" i="25"/>
  <c r="M171" i="24"/>
  <c r="N171" i="24" s="1"/>
  <c r="AP171" i="24" s="1"/>
  <c r="N73" i="25"/>
  <c r="BK290" i="24"/>
  <c r="S290" i="24"/>
  <c r="T290" i="24" s="1"/>
  <c r="BQ278" i="25"/>
  <c r="AH260" i="25"/>
  <c r="BI295" i="25"/>
  <c r="L295" i="25"/>
  <c r="K270" i="24"/>
  <c r="BK312" i="24"/>
  <c r="S312" i="24"/>
  <c r="T312" i="24" s="1"/>
  <c r="BI75" i="25"/>
  <c r="BI296" i="25"/>
  <c r="Q88" i="24"/>
  <c r="R88" i="24" s="1"/>
  <c r="P88" i="24"/>
  <c r="O45" i="24"/>
  <c r="BZ45" i="24" s="1"/>
  <c r="J45" i="24"/>
  <c r="BI46" i="25"/>
  <c r="N46" i="25"/>
  <c r="T46" i="25" s="1"/>
  <c r="AH68" i="25"/>
  <c r="BI19" i="25"/>
  <c r="N19" i="25"/>
  <c r="T19" i="25" s="1"/>
  <c r="BK105" i="24"/>
  <c r="S105" i="24"/>
  <c r="T105" i="24" s="1"/>
  <c r="M105" i="24"/>
  <c r="N105" i="24" s="1"/>
  <c r="BK316" i="24"/>
  <c r="S316" i="24"/>
  <c r="T316" i="24" s="1"/>
  <c r="M316" i="24"/>
  <c r="U316" i="24" s="1"/>
  <c r="L284" i="25"/>
  <c r="BQ191" i="25"/>
  <c r="BQ250" i="25"/>
  <c r="AH250" i="25"/>
  <c r="AH56" i="25"/>
  <c r="AH128" i="25"/>
  <c r="BI103" i="25"/>
  <c r="N103" i="25"/>
  <c r="L103" i="25"/>
  <c r="BK121" i="24"/>
  <c r="S121" i="24"/>
  <c r="T121" i="24" s="1"/>
  <c r="K121" i="24"/>
  <c r="AP219" i="24"/>
  <c r="N234" i="25"/>
  <c r="N66" i="25"/>
  <c r="N112" i="25"/>
  <c r="O44" i="24"/>
  <c r="BZ44" i="24" s="1"/>
  <c r="J44" i="24"/>
  <c r="O294" i="24"/>
  <c r="BZ294" i="24" s="1"/>
  <c r="J294" i="24"/>
  <c r="M173" i="24"/>
  <c r="N173" i="24" s="1"/>
  <c r="AP173" i="24" s="1"/>
  <c r="N47" i="25"/>
  <c r="M156" i="24"/>
  <c r="N156" i="24" s="1"/>
  <c r="M149" i="24"/>
  <c r="N228" i="25"/>
  <c r="N289" i="25"/>
  <c r="N249" i="25"/>
  <c r="N102" i="25"/>
  <c r="T102" i="25" s="1"/>
  <c r="N187" i="25"/>
  <c r="M139" i="24"/>
  <c r="N225" i="25"/>
  <c r="M58" i="24"/>
  <c r="N311" i="25"/>
  <c r="T311" i="25" s="1"/>
  <c r="M154" i="24"/>
  <c r="N154" i="24" s="1"/>
  <c r="N281" i="25"/>
  <c r="N55" i="25"/>
  <c r="BK96" i="24"/>
  <c r="S96" i="24"/>
  <c r="T96" i="24" s="1"/>
  <c r="M96" i="24"/>
  <c r="N96" i="24" s="1"/>
  <c r="AP96" i="24" s="1"/>
  <c r="BI266" i="25"/>
  <c r="N266" i="25"/>
  <c r="BK158" i="24"/>
  <c r="S158" i="24"/>
  <c r="T158" i="24" s="1"/>
  <c r="M158" i="24"/>
  <c r="AH237" i="25"/>
  <c r="AH195" i="25"/>
  <c r="K268" i="24"/>
  <c r="BK83" i="24"/>
  <c r="S83" i="24"/>
  <c r="T83" i="24" s="1"/>
  <c r="AH26" i="25"/>
  <c r="AH203" i="25"/>
  <c r="BK228" i="24"/>
  <c r="S228" i="24"/>
  <c r="T228" i="24" s="1"/>
  <c r="M228" i="24"/>
  <c r="U228" i="24" s="1"/>
  <c r="BI194" i="25"/>
  <c r="N194" i="25"/>
  <c r="AP272" i="24"/>
  <c r="AP14" i="24"/>
  <c r="L270" i="25"/>
  <c r="U24" i="24"/>
  <c r="BK18" i="24"/>
  <c r="S18" i="24"/>
  <c r="T18" i="24" s="1"/>
  <c r="BI269" i="25"/>
  <c r="N269" i="25"/>
  <c r="T269" i="25" s="1"/>
  <c r="K123" i="24"/>
  <c r="BI74" i="25"/>
  <c r="N74" i="25"/>
  <c r="K145" i="24"/>
  <c r="AH71" i="25"/>
  <c r="U163" i="24"/>
  <c r="L180" i="25"/>
  <c r="K256" i="24"/>
  <c r="AH58" i="25"/>
  <c r="BK251" i="24"/>
  <c r="S251" i="24"/>
  <c r="T251" i="24" s="1"/>
  <c r="K133" i="24"/>
  <c r="BK280" i="24"/>
  <c r="S280" i="24"/>
  <c r="T280" i="24" s="1"/>
  <c r="K280" i="24"/>
  <c r="L37" i="25"/>
  <c r="BK19" i="24"/>
  <c r="S19" i="24"/>
  <c r="T19" i="24" s="1"/>
  <c r="BK39" i="24"/>
  <c r="S39" i="24"/>
  <c r="T39" i="24" s="1"/>
  <c r="M39" i="24"/>
  <c r="AH163" i="25"/>
  <c r="AH157" i="25"/>
  <c r="L279" i="25"/>
  <c r="BK259" i="24"/>
  <c r="S259" i="24"/>
  <c r="T259" i="24" s="1"/>
  <c r="M259" i="24"/>
  <c r="U259" i="24" s="1"/>
  <c r="BK100" i="24"/>
  <c r="S100" i="24"/>
  <c r="T100" i="24" s="1"/>
  <c r="M100" i="24"/>
  <c r="BI188" i="25"/>
  <c r="N188" i="25"/>
  <c r="BK63" i="24"/>
  <c r="S63" i="24"/>
  <c r="T63" i="24" s="1"/>
  <c r="M63" i="24"/>
  <c r="BI208" i="25"/>
  <c r="N208" i="25"/>
  <c r="BI218" i="25"/>
  <c r="N218" i="25"/>
  <c r="BK126" i="24"/>
  <c r="S126" i="24"/>
  <c r="T126" i="24" s="1"/>
  <c r="M126" i="24"/>
  <c r="K126" i="24"/>
  <c r="BQ129" i="25"/>
  <c r="BI13" i="25"/>
  <c r="BI71" i="25"/>
  <c r="L145" i="25"/>
  <c r="AH105" i="25"/>
  <c r="BK266" i="24"/>
  <c r="S266" i="24"/>
  <c r="T266" i="24" s="1"/>
  <c r="M266" i="24"/>
  <c r="U266" i="24" s="1"/>
  <c r="L266" i="25"/>
  <c r="BK309" i="24"/>
  <c r="S309" i="24"/>
  <c r="T309" i="24" s="1"/>
  <c r="M309" i="24"/>
  <c r="U309" i="24" s="1"/>
  <c r="N122" i="25"/>
  <c r="N23" i="25"/>
  <c r="J7" i="24"/>
  <c r="O7" i="24"/>
  <c r="BZ7" i="24" s="1"/>
  <c r="L197" i="25"/>
  <c r="BK164" i="24"/>
  <c r="S164" i="24"/>
  <c r="T164" i="24" s="1"/>
  <c r="M164" i="24"/>
  <c r="AP76" i="24"/>
  <c r="BI297" i="25"/>
  <c r="N297" i="25"/>
  <c r="L297" i="25"/>
  <c r="AH99" i="25"/>
  <c r="AH82" i="25"/>
  <c r="AH87" i="25"/>
  <c r="U27" i="24"/>
  <c r="AH12" i="25"/>
  <c r="BI238" i="25"/>
  <c r="L238" i="25"/>
  <c r="BI171" i="25"/>
  <c r="N171" i="25"/>
  <c r="BI117" i="25"/>
  <c r="N117" i="25"/>
  <c r="T117" i="25" s="1"/>
  <c r="K263" i="24"/>
  <c r="AP188" i="24"/>
  <c r="AH200" i="25"/>
  <c r="BK200" i="24"/>
  <c r="S200" i="24"/>
  <c r="T200" i="24" s="1"/>
  <c r="T276" i="25"/>
  <c r="BI306" i="25"/>
  <c r="L55" i="25"/>
  <c r="BK226" i="24"/>
  <c r="S226" i="24"/>
  <c r="T226" i="24" s="1"/>
  <c r="BI173" i="25"/>
  <c r="AH173" i="25"/>
  <c r="BK279" i="24"/>
  <c r="S279" i="24"/>
  <c r="T279" i="24" s="1"/>
  <c r="AH247" i="25"/>
  <c r="BI292" i="25"/>
  <c r="BI86" i="25"/>
  <c r="L86" i="25"/>
  <c r="T161" i="25"/>
  <c r="BQ102" i="25"/>
  <c r="K115" i="24"/>
  <c r="N182" i="25"/>
  <c r="T182" i="25" s="1"/>
  <c r="M51" i="24"/>
  <c r="N51" i="24" s="1"/>
  <c r="BK181" i="24"/>
  <c r="S181" i="24"/>
  <c r="T181" i="24" s="1"/>
  <c r="K181" i="24"/>
  <c r="K271" i="24"/>
  <c r="L307" i="25"/>
  <c r="K300" i="24"/>
  <c r="L289" i="25"/>
  <c r="K183" i="24"/>
  <c r="BI240" i="25"/>
  <c r="AP238" i="24"/>
  <c r="K238" i="24"/>
  <c r="AH242" i="25"/>
  <c r="BI158" i="25"/>
  <c r="AH158" i="25"/>
  <c r="BK310" i="24"/>
  <c r="S310" i="24"/>
  <c r="T310" i="24" s="1"/>
  <c r="BI113" i="25"/>
  <c r="M280" i="24"/>
  <c r="U280" i="24" s="1"/>
  <c r="T62" i="25"/>
  <c r="BI207" i="25"/>
  <c r="N207" i="25"/>
  <c r="L207" i="25"/>
  <c r="K258" i="24"/>
  <c r="K175" i="24"/>
  <c r="L35" i="25"/>
  <c r="L48" i="25"/>
  <c r="AH24" i="25"/>
  <c r="BI22" i="25"/>
  <c r="N22" i="25"/>
  <c r="L153" i="25"/>
  <c r="BI135" i="25"/>
  <c r="N135" i="25"/>
  <c r="BI286" i="25"/>
  <c r="N286" i="25"/>
  <c r="L286" i="25"/>
  <c r="BI268" i="25"/>
  <c r="N268" i="25"/>
  <c r="L36" i="25"/>
  <c r="AH256" i="25"/>
  <c r="L41" i="25"/>
  <c r="AH69" i="25"/>
  <c r="BK57" i="24"/>
  <c r="S57" i="24"/>
  <c r="T57" i="24" s="1"/>
  <c r="M57" i="24"/>
  <c r="BI299" i="25"/>
  <c r="N299" i="25"/>
  <c r="AH7" i="25"/>
  <c r="K262" i="24"/>
  <c r="BK64" i="24"/>
  <c r="S64" i="24"/>
  <c r="T64" i="24" s="1"/>
  <c r="M64" i="24"/>
  <c r="BQ61" i="25"/>
  <c r="K197" i="24"/>
  <c r="BK10" i="24"/>
  <c r="S10" i="24"/>
  <c r="T10" i="24" s="1"/>
  <c r="L88" i="25"/>
  <c r="BI255" i="25"/>
  <c r="BI59" i="25"/>
  <c r="BI32" i="25"/>
  <c r="AP127" i="24"/>
  <c r="BK313" i="24"/>
  <c r="S313" i="24"/>
  <c r="T313" i="24" s="1"/>
  <c r="K199" i="24"/>
  <c r="AP199" i="24"/>
  <c r="BI14" i="25"/>
  <c r="T267" i="25"/>
  <c r="L178" i="25"/>
  <c r="K201" i="24"/>
  <c r="M256" i="24"/>
  <c r="N256" i="24" s="1"/>
  <c r="BK204" i="24"/>
  <c r="S204" i="24"/>
  <c r="T204" i="24" s="1"/>
  <c r="M204" i="24"/>
  <c r="T314" i="25"/>
  <c r="AH90" i="25"/>
  <c r="L285" i="25"/>
  <c r="U47" i="24"/>
  <c r="K139" i="24"/>
  <c r="BI261" i="25"/>
  <c r="AH172" i="25"/>
  <c r="BQ78" i="25"/>
  <c r="AH78" i="25"/>
  <c r="AH124" i="25"/>
  <c r="BI248" i="25"/>
  <c r="L223" i="25"/>
  <c r="BK78" i="24"/>
  <c r="S78" i="24"/>
  <c r="T78" i="24" s="1"/>
  <c r="M78" i="24"/>
  <c r="BK134" i="24"/>
  <c r="S134" i="24"/>
  <c r="T134" i="24" s="1"/>
  <c r="K254" i="24"/>
  <c r="J142" i="24"/>
  <c r="O142" i="24"/>
  <c r="BZ142" i="24" s="1"/>
  <c r="BI204" i="25"/>
  <c r="L204" i="25"/>
  <c r="BI114" i="25"/>
  <c r="AH114" i="25"/>
  <c r="AH221" i="25"/>
  <c r="L278" i="25"/>
  <c r="AP270" i="24"/>
  <c r="AH234" i="25"/>
  <c r="AH63" i="25"/>
  <c r="M9" i="24"/>
  <c r="N9" i="24" s="1"/>
  <c r="AP9" i="24" s="1"/>
  <c r="L111" i="25"/>
  <c r="U25" i="24"/>
  <c r="BK32" i="24"/>
  <c r="S32" i="24"/>
  <c r="T32" i="24" s="1"/>
  <c r="L228" i="25"/>
  <c r="BQ316" i="25"/>
  <c r="L216" i="25"/>
  <c r="BI216" i="25"/>
  <c r="N216" i="25"/>
  <c r="AH298" i="25"/>
  <c r="T199" i="25"/>
  <c r="BI138" i="25"/>
  <c r="BQ244" i="25"/>
  <c r="T170" i="25"/>
  <c r="L170" i="25"/>
  <c r="L296" i="25"/>
  <c r="BK88" i="24"/>
  <c r="S88" i="24"/>
  <c r="T88" i="24" s="1"/>
  <c r="U52" i="24"/>
  <c r="AH205" i="25"/>
  <c r="M151" i="24"/>
  <c r="N151" i="24" s="1"/>
  <c r="BK174" i="24"/>
  <c r="S174" i="24"/>
  <c r="T174" i="24" s="1"/>
  <c r="M174" i="24"/>
  <c r="L312" i="25"/>
  <c r="L43" i="25"/>
  <c r="BI40" i="25"/>
  <c r="N40" i="25"/>
  <c r="L139" i="25"/>
  <c r="BI156" i="25"/>
  <c r="N156" i="25"/>
  <c r="BK260" i="24"/>
  <c r="S260" i="24"/>
  <c r="T260" i="24" s="1"/>
  <c r="M260" i="24"/>
  <c r="U260" i="24" s="1"/>
  <c r="BI301" i="25"/>
  <c r="N301" i="25"/>
  <c r="BI76" i="25"/>
  <c r="N76" i="25"/>
  <c r="AH76" i="25"/>
  <c r="K189" i="24"/>
  <c r="L191" i="25"/>
  <c r="AH303" i="25"/>
  <c r="BK229" i="24"/>
  <c r="S229" i="24"/>
  <c r="T229" i="24" s="1"/>
  <c r="M229" i="24"/>
  <c r="U229" i="24" s="1"/>
  <c r="BQ136" i="25"/>
  <c r="U121" i="24"/>
  <c r="AP72" i="24"/>
  <c r="N295" i="25"/>
  <c r="N272" i="25"/>
  <c r="N138" i="25"/>
  <c r="N101" i="25"/>
  <c r="M242" i="24"/>
  <c r="N242" i="24" s="1"/>
  <c r="N298" i="25"/>
  <c r="M220" i="24"/>
  <c r="U220" i="24" s="1"/>
  <c r="M197" i="24"/>
  <c r="N197" i="24" s="1"/>
  <c r="AP197" i="24" s="1"/>
  <c r="N78" i="25"/>
  <c r="N285" i="25"/>
  <c r="T285" i="25" s="1"/>
  <c r="M17" i="24"/>
  <c r="N17" i="24" s="1"/>
  <c r="N309" i="25"/>
  <c r="T309" i="25" s="1"/>
  <c r="M92" i="24"/>
  <c r="N92" i="24" s="1"/>
  <c r="N304" i="25"/>
  <c r="N181" i="25"/>
  <c r="M8" i="24"/>
  <c r="M136" i="24"/>
  <c r="N136" i="24" s="1"/>
  <c r="N86" i="25"/>
  <c r="N287" i="25"/>
  <c r="M240" i="24"/>
  <c r="N240" i="24" s="1"/>
  <c r="M222" i="24"/>
  <c r="N121" i="25"/>
  <c r="N134" i="25"/>
  <c r="T134" i="25" s="1"/>
  <c r="AP287" i="24" l="1"/>
  <c r="U292" i="24"/>
  <c r="V292" i="24" s="1"/>
  <c r="P252" i="24"/>
  <c r="J236" i="24"/>
  <c r="AP12" i="24"/>
  <c r="Q236" i="24"/>
  <c r="P236" i="24"/>
  <c r="AP314" i="24"/>
  <c r="AP32" i="24"/>
  <c r="AO31" i="25"/>
  <c r="Q233" i="24"/>
  <c r="P233" i="24"/>
  <c r="AP218" i="24"/>
  <c r="AP112" i="24"/>
  <c r="AP83" i="24"/>
  <c r="AP65" i="24"/>
  <c r="AP49" i="24"/>
  <c r="AP258" i="24"/>
  <c r="AP152" i="24"/>
  <c r="U236" i="24"/>
  <c r="V236" i="24" s="1"/>
  <c r="AP69" i="24"/>
  <c r="AP294" i="24"/>
  <c r="AP278" i="24"/>
  <c r="AP264" i="24"/>
  <c r="U233" i="24"/>
  <c r="V233" i="24" s="1"/>
  <c r="W257" i="24"/>
  <c r="Y257" i="24" s="1"/>
  <c r="P294" i="24"/>
  <c r="P190" i="25"/>
  <c r="Q294" i="24"/>
  <c r="AP175" i="24"/>
  <c r="Q264" i="24"/>
  <c r="Q84" i="24"/>
  <c r="R84" i="24" s="1"/>
  <c r="AP281" i="24"/>
  <c r="U264" i="24"/>
  <c r="V264" i="24" s="1"/>
  <c r="O190" i="25"/>
  <c r="S190" i="25" s="1"/>
  <c r="K190" i="25" s="1"/>
  <c r="P262" i="25"/>
  <c r="O264" i="24"/>
  <c r="BZ264" i="24" s="1"/>
  <c r="U294" i="24"/>
  <c r="V294" i="24" s="1"/>
  <c r="O257" i="24"/>
  <c r="BZ257" i="24" s="1"/>
  <c r="U241" i="24"/>
  <c r="U276" i="24"/>
  <c r="V276" i="24" s="1"/>
  <c r="N301" i="24"/>
  <c r="AP301" i="24" s="1"/>
  <c r="U301" i="24"/>
  <c r="U295" i="24"/>
  <c r="U258" i="24"/>
  <c r="V258" i="24" s="1"/>
  <c r="U243" i="24"/>
  <c r="N284" i="24"/>
  <c r="P284" i="24" s="1"/>
  <c r="U284" i="24"/>
  <c r="V284" i="24" s="1"/>
  <c r="U251" i="24"/>
  <c r="V251" i="24" s="1"/>
  <c r="U244" i="24"/>
  <c r="U217" i="24"/>
  <c r="V217" i="24" s="1"/>
  <c r="U240" i="24"/>
  <c r="U256" i="24"/>
  <c r="U265" i="24"/>
  <c r="V265" i="24" s="1"/>
  <c r="N222" i="24"/>
  <c r="Q222" i="24" s="1"/>
  <c r="U222" i="24"/>
  <c r="N253" i="24"/>
  <c r="AP253" i="24" s="1"/>
  <c r="U253" i="24"/>
  <c r="V253" i="24" s="1"/>
  <c r="N275" i="24"/>
  <c r="AP275" i="24" s="1"/>
  <c r="U275" i="24"/>
  <c r="U291" i="24"/>
  <c r="U250" i="24"/>
  <c r="U246" i="24"/>
  <c r="V246" i="24" s="1"/>
  <c r="U286" i="24"/>
  <c r="V286" i="24" s="1"/>
  <c r="U304" i="24"/>
  <c r="U281" i="24"/>
  <c r="V281" i="24" s="1"/>
  <c r="U269" i="24"/>
  <c r="V269" i="24" s="1"/>
  <c r="N300" i="24"/>
  <c r="P300" i="24" s="1"/>
  <c r="U300" i="24"/>
  <c r="N285" i="24"/>
  <c r="AP285" i="24" s="1"/>
  <c r="U285" i="24"/>
  <c r="V285" i="24" s="1"/>
  <c r="U311" i="24"/>
  <c r="V311" i="24" s="1"/>
  <c r="U299" i="24"/>
  <c r="U224" i="24"/>
  <c r="V224" i="24" s="1"/>
  <c r="U254" i="24"/>
  <c r="V254" i="24" s="1"/>
  <c r="U283" i="24"/>
  <c r="U221" i="24"/>
  <c r="U267" i="24"/>
  <c r="V267" i="24" s="1"/>
  <c r="U278" i="24"/>
  <c r="V278" i="24" s="1"/>
  <c r="U305" i="24"/>
  <c r="V305" i="24" s="1"/>
  <c r="U261" i="24"/>
  <c r="U314" i="24"/>
  <c r="V314" i="24" s="1"/>
  <c r="U252" i="24"/>
  <c r="V252" i="24" s="1"/>
  <c r="U302" i="24"/>
  <c r="V302" i="24" s="1"/>
  <c r="U242" i="24"/>
  <c r="U230" i="24"/>
  <c r="V230" i="24" s="1"/>
  <c r="U296" i="24"/>
  <c r="V296" i="24" s="1"/>
  <c r="N297" i="24"/>
  <c r="AP297" i="24" s="1"/>
  <c r="U297" i="24"/>
  <c r="N289" i="24"/>
  <c r="P289" i="24" s="1"/>
  <c r="U289" i="24"/>
  <c r="V289" i="24" s="1"/>
  <c r="U274" i="24"/>
  <c r="V274" i="24" s="1"/>
  <c r="U293" i="24"/>
  <c r="U273" i="24"/>
  <c r="V273" i="24" s="1"/>
  <c r="U235" i="24"/>
  <c r="U245" i="24"/>
  <c r="AP224" i="24"/>
  <c r="AP118" i="24"/>
  <c r="AO30" i="25"/>
  <c r="AO21" i="25"/>
  <c r="AP23" i="24"/>
  <c r="Q137" i="24"/>
  <c r="AO14" i="25"/>
  <c r="AP66" i="24"/>
  <c r="AP111" i="24"/>
  <c r="AP217" i="24"/>
  <c r="AO6" i="25"/>
  <c r="AP87" i="24"/>
  <c r="AP269" i="24"/>
  <c r="AP165" i="24"/>
  <c r="AP97" i="24"/>
  <c r="AP305" i="24"/>
  <c r="O55" i="24"/>
  <c r="BZ55" i="24" s="1"/>
  <c r="AP267" i="24"/>
  <c r="AP56" i="24"/>
  <c r="O262" i="25"/>
  <c r="AO262" i="25" s="1"/>
  <c r="AP208" i="24"/>
  <c r="AP193" i="24"/>
  <c r="AP299" i="24"/>
  <c r="O94" i="25"/>
  <c r="S94" i="25" s="1"/>
  <c r="K94" i="25" s="1"/>
  <c r="AP101" i="24"/>
  <c r="AP202" i="24"/>
  <c r="P55" i="24"/>
  <c r="Q55" i="24"/>
  <c r="R55" i="24" s="1"/>
  <c r="U55" i="24"/>
  <c r="V55" i="24" s="1"/>
  <c r="P94" i="25"/>
  <c r="Q160" i="24"/>
  <c r="AP286" i="24"/>
  <c r="AP81" i="24"/>
  <c r="AP180" i="24"/>
  <c r="AP310" i="24"/>
  <c r="AP98" i="24"/>
  <c r="AP306" i="24"/>
  <c r="AP200" i="24"/>
  <c r="AP160" i="24"/>
  <c r="W45" i="24"/>
  <c r="Y45" i="24" s="1"/>
  <c r="AO71" i="25"/>
  <c r="U105" i="24"/>
  <c r="V105" i="24" s="1"/>
  <c r="P11" i="25"/>
  <c r="U160" i="24"/>
  <c r="V160" i="24" s="1"/>
  <c r="O11" i="25"/>
  <c r="AO11" i="25" s="1"/>
  <c r="AP252" i="24"/>
  <c r="O41" i="24"/>
  <c r="BZ41" i="24" s="1"/>
  <c r="AP186" i="24"/>
  <c r="P280" i="25"/>
  <c r="O280" i="25"/>
  <c r="Q280" i="25" s="1"/>
  <c r="AP245" i="24"/>
  <c r="BZ273" i="25"/>
  <c r="BZ306" i="25"/>
  <c r="BZ31" i="25"/>
  <c r="AO306" i="25"/>
  <c r="O155" i="25"/>
  <c r="AO155" i="25" s="1"/>
  <c r="P155" i="25"/>
  <c r="AP241" i="24"/>
  <c r="AP178" i="24"/>
  <c r="U87" i="24"/>
  <c r="V87" i="24" s="1"/>
  <c r="O96" i="25"/>
  <c r="P96" i="25"/>
  <c r="T154" i="25"/>
  <c r="U154" i="25" s="1"/>
  <c r="Q286" i="24"/>
  <c r="P286" i="24"/>
  <c r="Q252" i="24"/>
  <c r="P77" i="24"/>
  <c r="Q77" i="24"/>
  <c r="R77" i="24" s="1"/>
  <c r="P137" i="24"/>
  <c r="P246" i="24"/>
  <c r="AP137" i="24"/>
  <c r="AP84" i="24"/>
  <c r="Q246" i="24"/>
  <c r="U137" i="24"/>
  <c r="V137" i="24" s="1"/>
  <c r="P84" i="24"/>
  <c r="U74" i="24"/>
  <c r="V74" i="24" s="1"/>
  <c r="BZ147" i="25"/>
  <c r="O154" i="25"/>
  <c r="AO154" i="25" s="1"/>
  <c r="U118" i="24"/>
  <c r="V118" i="24" s="1"/>
  <c r="P276" i="24"/>
  <c r="P189" i="25"/>
  <c r="Q276" i="24"/>
  <c r="Q143" i="25"/>
  <c r="N223" i="24"/>
  <c r="U12" i="24"/>
  <c r="V12" i="24" s="1"/>
  <c r="AP170" i="24"/>
  <c r="BZ114" i="25"/>
  <c r="U35" i="24"/>
  <c r="V35" i="24" s="1"/>
  <c r="U60" i="24"/>
  <c r="V60" i="24" s="1"/>
  <c r="O97" i="25"/>
  <c r="AP166" i="24"/>
  <c r="Q157" i="24"/>
  <c r="P157" i="24"/>
  <c r="O29" i="25"/>
  <c r="R29" i="25" s="1"/>
  <c r="P251" i="24"/>
  <c r="U152" i="24"/>
  <c r="V152" i="24" s="1"/>
  <c r="AO92" i="25"/>
  <c r="P29" i="25"/>
  <c r="P134" i="24"/>
  <c r="U157" i="24"/>
  <c r="V157" i="24" s="1"/>
  <c r="Q251" i="24"/>
  <c r="BZ174" i="25"/>
  <c r="Q134" i="24"/>
  <c r="U178" i="24"/>
  <c r="V178" i="24" s="1"/>
  <c r="AP274" i="24"/>
  <c r="R143" i="25"/>
  <c r="S143" i="25"/>
  <c r="K143" i="25" s="1"/>
  <c r="V143" i="25" s="1"/>
  <c r="X143" i="25" s="1"/>
  <c r="BZ143" i="25"/>
  <c r="BZ267" i="25"/>
  <c r="O189" i="25"/>
  <c r="AO189" i="25" s="1"/>
  <c r="BZ292" i="25"/>
  <c r="P97" i="25"/>
  <c r="U81" i="24"/>
  <c r="V81" i="24" s="1"/>
  <c r="O265" i="25"/>
  <c r="AO265" i="25" s="1"/>
  <c r="U207" i="24"/>
  <c r="V207" i="24" s="1"/>
  <c r="AP167" i="24"/>
  <c r="P265" i="25"/>
  <c r="Q167" i="24"/>
  <c r="U91" i="24"/>
  <c r="V91" i="24" s="1"/>
  <c r="U166" i="24"/>
  <c r="V166" i="24" s="1"/>
  <c r="U67" i="24"/>
  <c r="V67" i="24" s="1"/>
  <c r="BZ161" i="25"/>
  <c r="BZ71" i="25"/>
  <c r="P237" i="25"/>
  <c r="BZ247" i="25"/>
  <c r="O179" i="25"/>
  <c r="R179" i="25" s="1"/>
  <c r="T179" i="25"/>
  <c r="U179" i="25" s="1"/>
  <c r="T258" i="25"/>
  <c r="U258" i="25" s="1"/>
  <c r="O237" i="25"/>
  <c r="R237" i="25" s="1"/>
  <c r="O258" i="25"/>
  <c r="BZ258" i="25" s="1"/>
  <c r="BZ167" i="25"/>
  <c r="U66" i="24"/>
  <c r="V66" i="24" s="1"/>
  <c r="BZ82" i="25"/>
  <c r="U99" i="24"/>
  <c r="V99" i="24" s="1"/>
  <c r="BZ30" i="25"/>
  <c r="BZ238" i="25"/>
  <c r="BZ32" i="25"/>
  <c r="BZ13" i="25"/>
  <c r="AO82" i="25"/>
  <c r="O104" i="25"/>
  <c r="BZ199" i="25"/>
  <c r="BZ248" i="25"/>
  <c r="P104" i="25"/>
  <c r="O291" i="25"/>
  <c r="AO291" i="25" s="1"/>
  <c r="P291" i="25"/>
  <c r="P59" i="25"/>
  <c r="O59" i="25"/>
  <c r="S59" i="25" s="1"/>
  <c r="K59" i="25" s="1"/>
  <c r="V59" i="25" s="1"/>
  <c r="O28" i="25"/>
  <c r="AO28" i="25" s="1"/>
  <c r="BZ14" i="25"/>
  <c r="P28" i="25"/>
  <c r="BZ276" i="25"/>
  <c r="BZ305" i="25"/>
  <c r="BZ178" i="25"/>
  <c r="BZ283" i="25"/>
  <c r="BZ95" i="25"/>
  <c r="BZ204" i="25"/>
  <c r="BZ206" i="25"/>
  <c r="BZ259" i="25"/>
  <c r="BZ92" i="25"/>
  <c r="BZ229" i="25"/>
  <c r="AO259" i="25"/>
  <c r="BZ243" i="25"/>
  <c r="AO206" i="25"/>
  <c r="BZ240" i="25"/>
  <c r="V129" i="25"/>
  <c r="X129" i="25" s="1"/>
  <c r="FI212" i="25"/>
  <c r="FJ212" i="25"/>
  <c r="BZ293" i="25"/>
  <c r="U11" i="24"/>
  <c r="V11" i="24" s="1"/>
  <c r="U173" i="24"/>
  <c r="V173" i="24" s="1"/>
  <c r="U20" i="24"/>
  <c r="V20" i="24" s="1"/>
  <c r="U49" i="24"/>
  <c r="V49" i="24" s="1"/>
  <c r="U125" i="24"/>
  <c r="V125" i="24" s="1"/>
  <c r="U167" i="24"/>
  <c r="V167" i="24" s="1"/>
  <c r="U175" i="24"/>
  <c r="V175" i="24" s="1"/>
  <c r="U82" i="24"/>
  <c r="V82" i="24" s="1"/>
  <c r="BZ173" i="25"/>
  <c r="BZ21" i="25"/>
  <c r="BZ201" i="25"/>
  <c r="BZ192" i="25"/>
  <c r="BZ89" i="25"/>
  <c r="P77" i="25"/>
  <c r="O77" i="25"/>
  <c r="T77" i="25"/>
  <c r="U77" i="25" s="1"/>
  <c r="AO293" i="25"/>
  <c r="BZ314" i="25"/>
  <c r="U208" i="24"/>
  <c r="V208" i="24" s="1"/>
  <c r="U13" i="24"/>
  <c r="V13" i="24" s="1"/>
  <c r="U201" i="24"/>
  <c r="V201" i="24" s="1"/>
  <c r="U155" i="24"/>
  <c r="V155" i="24" s="1"/>
  <c r="BZ87" i="25"/>
  <c r="BZ261" i="25"/>
  <c r="BZ232" i="25"/>
  <c r="BZ148" i="25"/>
  <c r="BZ296" i="25"/>
  <c r="BZ6" i="25"/>
  <c r="U124" i="24"/>
  <c r="AO87" i="25"/>
  <c r="U169" i="24"/>
  <c r="V169" i="24" s="1"/>
  <c r="U165" i="24"/>
  <c r="V165" i="24" s="1"/>
  <c r="BZ158" i="25"/>
  <c r="AO232" i="25"/>
  <c r="AO261" i="25"/>
  <c r="U202" i="24"/>
  <c r="V202" i="24" s="1"/>
  <c r="U70" i="24"/>
  <c r="V70" i="24" s="1"/>
  <c r="U189" i="24"/>
  <c r="V189" i="24" s="1"/>
  <c r="BZ282" i="25"/>
  <c r="BZ246" i="25"/>
  <c r="BZ113" i="25"/>
  <c r="AO148" i="25"/>
  <c r="U198" i="24"/>
  <c r="V198" i="24" s="1"/>
  <c r="AO192" i="25"/>
  <c r="AO89" i="25"/>
  <c r="U15" i="24"/>
  <c r="V15" i="24" s="1"/>
  <c r="BZ34" i="25"/>
  <c r="U37" i="24"/>
  <c r="P41" i="24"/>
  <c r="Q41" i="24"/>
  <c r="R41" i="24" s="1"/>
  <c r="U77" i="24"/>
  <c r="V77" i="24" s="1"/>
  <c r="U50" i="24"/>
  <c r="V50" i="24" s="1"/>
  <c r="U128" i="24"/>
  <c r="V128" i="24" s="1"/>
  <c r="BZ275" i="25"/>
  <c r="U84" i="24"/>
  <c r="V84" i="24" s="1"/>
  <c r="U56" i="24"/>
  <c r="V56" i="24" s="1"/>
  <c r="U134" i="24"/>
  <c r="V134" i="24" s="1"/>
  <c r="BZ186" i="25"/>
  <c r="U193" i="25"/>
  <c r="U151" i="25"/>
  <c r="U245" i="25"/>
  <c r="U102" i="25"/>
  <c r="U271" i="25"/>
  <c r="U263" i="25"/>
  <c r="U284" i="25"/>
  <c r="U164" i="25"/>
  <c r="U309" i="25"/>
  <c r="U17" i="25"/>
  <c r="U311" i="25"/>
  <c r="U48" i="25"/>
  <c r="U236" i="25"/>
  <c r="U60" i="25"/>
  <c r="U152" i="25"/>
  <c r="U241" i="25"/>
  <c r="U269" i="25"/>
  <c r="U8" i="25"/>
  <c r="U16" i="25"/>
  <c r="U88" i="25"/>
  <c r="U132" i="25"/>
  <c r="U117" i="25"/>
  <c r="U182" i="25"/>
  <c r="U83" i="25"/>
  <c r="U130" i="25"/>
  <c r="U37" i="25"/>
  <c r="U141" i="25"/>
  <c r="U134" i="25"/>
  <c r="U166" i="25"/>
  <c r="U43" i="25"/>
  <c r="N220" i="24"/>
  <c r="J88" i="24"/>
  <c r="O88" i="24"/>
  <c r="BZ88" i="24" s="1"/>
  <c r="U7" i="25"/>
  <c r="U20" i="25"/>
  <c r="U180" i="25"/>
  <c r="P240" i="24"/>
  <c r="Q240" i="24"/>
  <c r="Q256" i="24"/>
  <c r="P256" i="24"/>
  <c r="J19" i="24"/>
  <c r="W19" i="24" s="1"/>
  <c r="O19" i="24"/>
  <c r="BZ19" i="24" s="1"/>
  <c r="P138" i="25"/>
  <c r="O138" i="25"/>
  <c r="T138" i="25"/>
  <c r="N229" i="24"/>
  <c r="U312" i="25"/>
  <c r="V312" i="24"/>
  <c r="V290" i="24"/>
  <c r="N78" i="24"/>
  <c r="U78" i="24"/>
  <c r="J204" i="24"/>
  <c r="O204" i="24"/>
  <c r="BZ204" i="24" s="1"/>
  <c r="J64" i="24"/>
  <c r="O64" i="24"/>
  <c r="BZ64" i="24" s="1"/>
  <c r="P135" i="25"/>
  <c r="O135" i="25"/>
  <c r="T135" i="25"/>
  <c r="U150" i="25"/>
  <c r="N164" i="24"/>
  <c r="U164" i="24"/>
  <c r="AE7" i="24"/>
  <c r="AI7" i="24"/>
  <c r="X7" i="24"/>
  <c r="AA7" i="24" s="1"/>
  <c r="AB7" i="24" s="1"/>
  <c r="AC7" i="24" s="1"/>
  <c r="N266" i="24"/>
  <c r="P218" i="25"/>
  <c r="O218" i="25"/>
  <c r="T218" i="25"/>
  <c r="P188" i="25"/>
  <c r="O188" i="25"/>
  <c r="T188" i="25"/>
  <c r="N100" i="24"/>
  <c r="U100" i="24"/>
  <c r="N39" i="24"/>
  <c r="U39" i="24"/>
  <c r="J251" i="24"/>
  <c r="O251" i="24"/>
  <c r="BZ251" i="24" s="1"/>
  <c r="J158" i="24"/>
  <c r="O158" i="24"/>
  <c r="BZ158" i="24" s="1"/>
  <c r="O96" i="24"/>
  <c r="BZ96" i="24" s="1"/>
  <c r="J96" i="24"/>
  <c r="P225" i="25"/>
  <c r="O225" i="25"/>
  <c r="T225" i="25"/>
  <c r="Q156" i="24"/>
  <c r="P156" i="24"/>
  <c r="P66" i="25"/>
  <c r="O66" i="25"/>
  <c r="Q105" i="24"/>
  <c r="R105" i="24" s="1"/>
  <c r="P105" i="24"/>
  <c r="J290" i="24"/>
  <c r="W290" i="24" s="1"/>
  <c r="O290" i="24"/>
  <c r="BZ290" i="24" s="1"/>
  <c r="Q293" i="24"/>
  <c r="P293" i="24"/>
  <c r="J234" i="24"/>
  <c r="W234" i="24" s="1"/>
  <c r="O234" i="24"/>
  <c r="BZ234" i="24" s="1"/>
  <c r="O205" i="24"/>
  <c r="BZ205" i="24" s="1"/>
  <c r="J205" i="24"/>
  <c r="W205" i="24" s="1"/>
  <c r="O179" i="24"/>
  <c r="BZ179" i="24" s="1"/>
  <c r="J179" i="24"/>
  <c r="U246" i="25"/>
  <c r="P302" i="25"/>
  <c r="O302" i="25"/>
  <c r="T302" i="25"/>
  <c r="P242" i="25"/>
  <c r="O242" i="25"/>
  <c r="T242" i="25"/>
  <c r="N209" i="24"/>
  <c r="U209" i="24"/>
  <c r="P253" i="25"/>
  <c r="O253" i="25"/>
  <c r="J248" i="24"/>
  <c r="W248" i="24" s="1"/>
  <c r="O248" i="24"/>
  <c r="BZ248" i="24" s="1"/>
  <c r="J79" i="24"/>
  <c r="O79" i="24"/>
  <c r="BZ79" i="24" s="1"/>
  <c r="O77" i="24"/>
  <c r="BZ77" i="24" s="1"/>
  <c r="J77" i="24"/>
  <c r="N288" i="24"/>
  <c r="O276" i="24"/>
  <c r="BZ276" i="24" s="1"/>
  <c r="J276" i="24"/>
  <c r="J123" i="24"/>
  <c r="O123" i="24"/>
  <c r="BZ123" i="24" s="1"/>
  <c r="P93" i="25"/>
  <c r="O93" i="25"/>
  <c r="T93" i="25"/>
  <c r="P116" i="25"/>
  <c r="O116" i="25"/>
  <c r="T116" i="25"/>
  <c r="P65" i="25"/>
  <c r="O65" i="25"/>
  <c r="J30" i="24"/>
  <c r="W30" i="24" s="1"/>
  <c r="O30" i="24"/>
  <c r="BZ30" i="24" s="1"/>
  <c r="J124" i="24"/>
  <c r="O124" i="24"/>
  <c r="BZ124" i="24" s="1"/>
  <c r="P72" i="25"/>
  <c r="O72" i="25"/>
  <c r="T72" i="25"/>
  <c r="O52" i="24"/>
  <c r="BZ52" i="24" s="1"/>
  <c r="J52" i="24"/>
  <c r="W52" i="24" s="1"/>
  <c r="J61" i="24"/>
  <c r="W61" i="24" s="1"/>
  <c r="O61" i="24"/>
  <c r="BZ61" i="24" s="1"/>
  <c r="V199" i="24"/>
  <c r="O26" i="24"/>
  <c r="BZ26" i="24" s="1"/>
  <c r="J26" i="24"/>
  <c r="J183" i="24"/>
  <c r="O183" i="24"/>
  <c r="BZ183" i="24" s="1"/>
  <c r="AP154" i="24"/>
  <c r="J97" i="24"/>
  <c r="W97" i="24" s="1"/>
  <c r="O97" i="24"/>
  <c r="BZ97" i="24" s="1"/>
  <c r="W190" i="24"/>
  <c r="V190" i="24"/>
  <c r="N54" i="24"/>
  <c r="U54" i="24"/>
  <c r="P125" i="24"/>
  <c r="Q125" i="24"/>
  <c r="Q112" i="24"/>
  <c r="P112" i="24"/>
  <c r="Q299" i="24"/>
  <c r="P299" i="24"/>
  <c r="P54" i="25"/>
  <c r="O54" i="25"/>
  <c r="J196" i="24"/>
  <c r="O196" i="24"/>
  <c r="BZ196" i="24" s="1"/>
  <c r="V61" i="24"/>
  <c r="O237" i="24"/>
  <c r="BZ237" i="24" s="1"/>
  <c r="J237" i="24"/>
  <c r="W237" i="24" s="1"/>
  <c r="J238" i="24"/>
  <c r="W238" i="24" s="1"/>
  <c r="O238" i="24"/>
  <c r="BZ238" i="24" s="1"/>
  <c r="Q102" i="24"/>
  <c r="R102" i="24" s="1"/>
  <c r="P102" i="24"/>
  <c r="FJ110" i="25"/>
  <c r="FJ209" i="25"/>
  <c r="FI207" i="25"/>
  <c r="FI176" i="25"/>
  <c r="FJ164" i="25"/>
  <c r="FI113" i="25"/>
  <c r="FI204" i="25"/>
  <c r="FJ129" i="25"/>
  <c r="FI151" i="25"/>
  <c r="FI126" i="25"/>
  <c r="FI187" i="25"/>
  <c r="FI137" i="25"/>
  <c r="FJ189" i="25"/>
  <c r="FJ170" i="25"/>
  <c r="FI142" i="25"/>
  <c r="FJ158" i="25"/>
  <c r="FJ172" i="25"/>
  <c r="FI135" i="25"/>
  <c r="FI183" i="25"/>
  <c r="FJ123" i="25"/>
  <c r="FI168" i="25"/>
  <c r="FI157" i="25"/>
  <c r="FJ182" i="25"/>
  <c r="FI110" i="25"/>
  <c r="FJ141" i="25"/>
  <c r="F212" i="25"/>
  <c r="FI123" i="25"/>
  <c r="FI122" i="25"/>
  <c r="FI125" i="25"/>
  <c r="FJ190" i="25"/>
  <c r="FJ111" i="25"/>
  <c r="FJ148" i="25"/>
  <c r="FI166" i="25"/>
  <c r="FI201" i="25"/>
  <c r="FJ208" i="25"/>
  <c r="FJ203" i="25"/>
  <c r="FI190" i="25"/>
  <c r="FI174" i="25"/>
  <c r="FJ120" i="25"/>
  <c r="FI194" i="25"/>
  <c r="FJ142" i="25"/>
  <c r="FJ124" i="25"/>
  <c r="FI170" i="25"/>
  <c r="FJ121" i="25"/>
  <c r="FJ185" i="25"/>
  <c r="FJ153" i="25"/>
  <c r="FI156" i="25"/>
  <c r="FI143" i="25"/>
  <c r="FI121" i="25"/>
  <c r="FI119" i="25"/>
  <c r="FJ174" i="25"/>
  <c r="FI193" i="25"/>
  <c r="FI162" i="25"/>
  <c r="FI165" i="25"/>
  <c r="FJ161" i="25"/>
  <c r="FJ160" i="25"/>
  <c r="FJ191" i="25"/>
  <c r="FJ193" i="25"/>
  <c r="FJ207" i="25"/>
  <c r="FJ152" i="25"/>
  <c r="FJ177" i="25"/>
  <c r="FJ184" i="25"/>
  <c r="FI173" i="25"/>
  <c r="FI148" i="25"/>
  <c r="FI127" i="25"/>
  <c r="FI158" i="25"/>
  <c r="FI208" i="25"/>
  <c r="FJ130" i="25"/>
  <c r="FI167" i="25"/>
  <c r="FJ187" i="25"/>
  <c r="FI199" i="25"/>
  <c r="FJ195" i="25"/>
  <c r="FI180" i="25"/>
  <c r="FJ150" i="25"/>
  <c r="FJ127" i="25"/>
  <c r="FI131" i="25"/>
  <c r="FJ134" i="25"/>
  <c r="G212" i="25"/>
  <c r="FJ112" i="25"/>
  <c r="FI154" i="25"/>
  <c r="FI205" i="25"/>
  <c r="FJ167" i="25"/>
  <c r="FI140" i="25"/>
  <c r="FJ176" i="25"/>
  <c r="FI178" i="25"/>
  <c r="FI163" i="25"/>
  <c r="FJ114" i="25"/>
  <c r="FJ145" i="25"/>
  <c r="FI195" i="25"/>
  <c r="FJ186" i="25"/>
  <c r="FI197" i="25"/>
  <c r="FI116" i="25"/>
  <c r="FJ205" i="25"/>
  <c r="FI179" i="25"/>
  <c r="FI182" i="25"/>
  <c r="FI169" i="25"/>
  <c r="FI111" i="25"/>
  <c r="FJ157" i="25"/>
  <c r="FJ149" i="25"/>
  <c r="FJ175" i="25"/>
  <c r="FI206" i="25"/>
  <c r="FI115" i="25"/>
  <c r="FI185" i="25"/>
  <c r="FJ143" i="25"/>
  <c r="FI172" i="25"/>
  <c r="FI192" i="25"/>
  <c r="FJ173" i="25"/>
  <c r="FJ171" i="25"/>
  <c r="FJ116" i="25"/>
  <c r="FI129" i="25"/>
  <c r="FJ180" i="25"/>
  <c r="FJ163" i="25"/>
  <c r="FI198" i="25"/>
  <c r="FJ118" i="25"/>
  <c r="FI112" i="25"/>
  <c r="FI133" i="25"/>
  <c r="FJ137" i="25"/>
  <c r="FI124" i="25"/>
  <c r="FJ168" i="25"/>
  <c r="FJ178" i="25"/>
  <c r="FI164" i="25"/>
  <c r="FI175" i="25"/>
  <c r="FI186" i="25"/>
  <c r="FJ159" i="25"/>
  <c r="FI150" i="25"/>
  <c r="FI144" i="25"/>
  <c r="FJ169" i="25"/>
  <c r="FJ166" i="25"/>
  <c r="FJ181" i="25"/>
  <c r="FJ126" i="25"/>
  <c r="FJ131" i="25"/>
  <c r="FJ201" i="25"/>
  <c r="FJ128" i="25"/>
  <c r="FJ144" i="25"/>
  <c r="FI146" i="25"/>
  <c r="FI177" i="25"/>
  <c r="FI149" i="25"/>
  <c r="FJ200" i="25"/>
  <c r="FI196" i="25"/>
  <c r="FJ202" i="25"/>
  <c r="FJ198" i="25"/>
  <c r="FJ136" i="25"/>
  <c r="FI139" i="25"/>
  <c r="FI202" i="25"/>
  <c r="FJ155" i="25"/>
  <c r="FI188" i="25"/>
  <c r="FJ125" i="25"/>
  <c r="FJ117" i="25"/>
  <c r="FJ156" i="25"/>
  <c r="FJ132" i="25"/>
  <c r="FJ188" i="25"/>
  <c r="FI209" i="25"/>
  <c r="FJ140" i="25"/>
  <c r="FJ135" i="25"/>
  <c r="FI117" i="25"/>
  <c r="FJ179" i="25"/>
  <c r="FJ154" i="25"/>
  <c r="FJ194" i="25"/>
  <c r="FJ119" i="25"/>
  <c r="FJ133" i="25"/>
  <c r="FI210" i="25"/>
  <c r="FI134" i="25"/>
  <c r="FI153" i="25"/>
  <c r="FJ197" i="25"/>
  <c r="FI152" i="25"/>
  <c r="FI160" i="25"/>
  <c r="FJ204" i="25"/>
  <c r="FJ162" i="25"/>
  <c r="FI118" i="25"/>
  <c r="FI189" i="25"/>
  <c r="FI128" i="25"/>
  <c r="FI155" i="25"/>
  <c r="FI161" i="25"/>
  <c r="FJ115" i="25"/>
  <c r="FI159" i="25"/>
  <c r="FJ138" i="25"/>
  <c r="FJ183" i="25"/>
  <c r="FJ199" i="25"/>
  <c r="FJ192" i="25"/>
  <c r="FJ196" i="25"/>
  <c r="FI141" i="25"/>
  <c r="FI171" i="25"/>
  <c r="FI181" i="25"/>
  <c r="FJ147" i="25"/>
  <c r="FI114" i="25"/>
  <c r="FJ165" i="25"/>
  <c r="FI120" i="25"/>
  <c r="FI184" i="25"/>
  <c r="FJ151" i="25"/>
  <c r="FI136" i="25"/>
  <c r="FJ206" i="25"/>
  <c r="FI130" i="25"/>
  <c r="FJ210" i="25"/>
  <c r="FJ146" i="25"/>
  <c r="FI200" i="25"/>
  <c r="FI138" i="25"/>
  <c r="FJ139" i="25"/>
  <c r="FI203" i="25"/>
  <c r="FI191" i="25"/>
  <c r="FJ122" i="25"/>
  <c r="FI145" i="25"/>
  <c r="FI132" i="25"/>
  <c r="FJ113" i="25"/>
  <c r="FI147" i="25"/>
  <c r="CF128" i="25"/>
  <c r="CE136" i="25"/>
  <c r="CF126" i="25"/>
  <c r="CF119" i="25"/>
  <c r="CF123" i="25"/>
  <c r="CF150" i="25"/>
  <c r="CE114" i="25"/>
  <c r="CE119" i="25"/>
  <c r="CE140" i="25"/>
  <c r="CF158" i="25"/>
  <c r="CE167" i="25"/>
  <c r="CE150" i="25"/>
  <c r="CF157" i="25"/>
  <c r="CE128" i="25"/>
  <c r="CE124" i="25"/>
  <c r="CF178" i="25"/>
  <c r="CE146" i="25"/>
  <c r="CF127" i="25"/>
  <c r="CF140" i="25"/>
  <c r="CE123" i="25"/>
  <c r="CE158" i="25"/>
  <c r="CF188" i="25"/>
  <c r="CE157" i="25"/>
  <c r="CF122" i="25"/>
  <c r="CF136" i="25"/>
  <c r="CE155" i="25"/>
  <c r="CE178" i="25"/>
  <c r="CF131" i="25"/>
  <c r="CE188" i="25"/>
  <c r="CE139" i="25"/>
  <c r="CF146" i="25"/>
  <c r="CE127" i="25"/>
  <c r="CE134" i="25"/>
  <c r="CE131" i="25"/>
  <c r="CF134" i="25"/>
  <c r="CE144" i="25"/>
  <c r="CF148" i="25"/>
  <c r="CE122" i="25"/>
  <c r="CE143" i="25"/>
  <c r="CF139" i="25"/>
  <c r="CF155" i="25"/>
  <c r="CF124" i="25"/>
  <c r="CE187" i="25"/>
  <c r="CF144" i="25"/>
  <c r="CF129" i="25"/>
  <c r="CF145" i="25"/>
  <c r="CF120" i="25"/>
  <c r="CE137" i="25"/>
  <c r="CF143" i="25"/>
  <c r="CF114" i="25"/>
  <c r="CE126" i="25"/>
  <c r="CF187" i="25"/>
  <c r="CE148" i="25"/>
  <c r="CF167" i="25"/>
  <c r="CE129" i="25"/>
  <c r="CE145" i="25"/>
  <c r="CE120" i="25"/>
  <c r="CF137" i="25"/>
  <c r="CF195" i="25"/>
  <c r="CE195" i="25"/>
  <c r="AO34" i="25"/>
  <c r="P52" i="25"/>
  <c r="O52" i="25"/>
  <c r="U308" i="25"/>
  <c r="BZ62" i="25"/>
  <c r="U80" i="25"/>
  <c r="AP35" i="24"/>
  <c r="P200" i="25"/>
  <c r="O200" i="25"/>
  <c r="T200" i="25"/>
  <c r="BZ177" i="25"/>
  <c r="V21" i="24"/>
  <c r="W21" i="24"/>
  <c r="O177" i="24"/>
  <c r="BZ177" i="24" s="1"/>
  <c r="J177" i="24"/>
  <c r="P235" i="25"/>
  <c r="O235" i="25"/>
  <c r="P222" i="25"/>
  <c r="O222" i="25"/>
  <c r="T222" i="25"/>
  <c r="P310" i="25"/>
  <c r="O310" i="25"/>
  <c r="P166" i="24"/>
  <c r="Q166" i="24"/>
  <c r="U28" i="24"/>
  <c r="P133" i="25"/>
  <c r="O133" i="25"/>
  <c r="P98" i="25"/>
  <c r="O98" i="25"/>
  <c r="T98" i="25"/>
  <c r="P80" i="25"/>
  <c r="O80" i="25"/>
  <c r="O246" i="24"/>
  <c r="BZ246" i="24" s="1"/>
  <c r="J246" i="24"/>
  <c r="P118" i="24"/>
  <c r="Q118" i="24"/>
  <c r="P315" i="25"/>
  <c r="O315" i="25"/>
  <c r="T315" i="25"/>
  <c r="Q34" i="24"/>
  <c r="R34" i="24" s="1"/>
  <c r="P34" i="24"/>
  <c r="Q15" i="24"/>
  <c r="R15" i="24" s="1"/>
  <c r="P15" i="24"/>
  <c r="O85" i="24"/>
  <c r="BZ85" i="24" s="1"/>
  <c r="J85" i="24"/>
  <c r="J135" i="24"/>
  <c r="O135" i="24"/>
  <c r="BZ135" i="24" s="1"/>
  <c r="S204" i="25"/>
  <c r="K204" i="25" s="1"/>
  <c r="V204" i="25" s="1"/>
  <c r="R204" i="25"/>
  <c r="Q204" i="25"/>
  <c r="U174" i="25"/>
  <c r="S275" i="25"/>
  <c r="K275" i="25" s="1"/>
  <c r="V275" i="25" s="1"/>
  <c r="R275" i="25"/>
  <c r="Q275" i="25"/>
  <c r="J208" i="24"/>
  <c r="O208" i="24"/>
  <c r="BZ208" i="24" s="1"/>
  <c r="P74" i="24"/>
  <c r="Q74" i="24"/>
  <c r="R74" i="24" s="1"/>
  <c r="R14" i="25"/>
  <c r="S14" i="25"/>
  <c r="K14" i="25" s="1"/>
  <c r="V14" i="25" s="1"/>
  <c r="Q14" i="25"/>
  <c r="Q16" i="24"/>
  <c r="R16" i="24" s="1"/>
  <c r="P16" i="24"/>
  <c r="Q138" i="24"/>
  <c r="P138" i="24"/>
  <c r="V180" i="24"/>
  <c r="U158" i="25"/>
  <c r="V62" i="24"/>
  <c r="P185" i="25"/>
  <c r="O185" i="25"/>
  <c r="U87" i="25"/>
  <c r="U192" i="24"/>
  <c r="P239" i="25"/>
  <c r="O239" i="25"/>
  <c r="T239" i="25"/>
  <c r="N46" i="24"/>
  <c r="U46" i="24"/>
  <c r="S248" i="25"/>
  <c r="K248" i="25" s="1"/>
  <c r="V248" i="25" s="1"/>
  <c r="R248" i="25"/>
  <c r="Q248" i="25"/>
  <c r="V272" i="24"/>
  <c r="O168" i="24"/>
  <c r="BZ168" i="24" s="1"/>
  <c r="J168" i="24"/>
  <c r="O186" i="24"/>
  <c r="BZ186" i="24" s="1"/>
  <c r="J186" i="24"/>
  <c r="Q310" i="24"/>
  <c r="P310" i="24"/>
  <c r="U306" i="25"/>
  <c r="U73" i="24"/>
  <c r="Q142" i="24"/>
  <c r="P142" i="24"/>
  <c r="V193" i="24"/>
  <c r="U243" i="25"/>
  <c r="U89" i="25"/>
  <c r="Q130" i="24"/>
  <c r="P130" i="24"/>
  <c r="N94" i="24"/>
  <c r="U94" i="24"/>
  <c r="P168" i="25"/>
  <c r="O168" i="25"/>
  <c r="V79" i="24"/>
  <c r="P97" i="24"/>
  <c r="Q97" i="24"/>
  <c r="R97" i="24" s="1"/>
  <c r="P165" i="24"/>
  <c r="Q165" i="24"/>
  <c r="N8" i="24"/>
  <c r="U8" i="24"/>
  <c r="P121" i="25"/>
  <c r="O121" i="25"/>
  <c r="P242" i="24"/>
  <c r="Q242" i="24"/>
  <c r="P268" i="25"/>
  <c r="O268" i="25"/>
  <c r="T268" i="25"/>
  <c r="Q51" i="24"/>
  <c r="R51" i="24" s="1"/>
  <c r="P51" i="24"/>
  <c r="V27" i="24"/>
  <c r="U300" i="25"/>
  <c r="P289" i="25"/>
  <c r="O289" i="25"/>
  <c r="U199" i="25"/>
  <c r="N64" i="24"/>
  <c r="U64" i="24"/>
  <c r="J126" i="24"/>
  <c r="O126" i="24"/>
  <c r="BZ126" i="24" s="1"/>
  <c r="P86" i="25"/>
  <c r="O86" i="25"/>
  <c r="T86" i="25"/>
  <c r="P285" i="25"/>
  <c r="O285" i="25"/>
  <c r="V121" i="24"/>
  <c r="P136" i="24"/>
  <c r="Q136" i="24"/>
  <c r="P78" i="25"/>
  <c r="O78" i="25"/>
  <c r="T78" i="25"/>
  <c r="P272" i="25"/>
  <c r="O272" i="25"/>
  <c r="T272" i="25"/>
  <c r="U128" i="25"/>
  <c r="U191" i="25"/>
  <c r="U19" i="25"/>
  <c r="J260" i="24"/>
  <c r="O260" i="24"/>
  <c r="BZ260" i="24" s="1"/>
  <c r="O32" i="24"/>
  <c r="BZ32" i="24" s="1"/>
  <c r="J32" i="24"/>
  <c r="W32" i="24" s="1"/>
  <c r="J78" i="24"/>
  <c r="O78" i="24"/>
  <c r="BZ78" i="24" s="1"/>
  <c r="U314" i="25"/>
  <c r="U267" i="25"/>
  <c r="N57" i="24"/>
  <c r="U57" i="24"/>
  <c r="P286" i="25"/>
  <c r="O286" i="25"/>
  <c r="T286" i="25"/>
  <c r="O207" i="25"/>
  <c r="P207" i="25"/>
  <c r="T207" i="25"/>
  <c r="AE55" i="24"/>
  <c r="AI55" i="24"/>
  <c r="X55" i="24"/>
  <c r="AA55" i="24" s="1"/>
  <c r="AB55" i="24" s="1"/>
  <c r="AC55" i="24" s="1"/>
  <c r="U136" i="24"/>
  <c r="U276" i="25"/>
  <c r="P23" i="25"/>
  <c r="O23" i="25"/>
  <c r="T23" i="25"/>
  <c r="J266" i="24"/>
  <c r="O266" i="24"/>
  <c r="BZ266" i="24" s="1"/>
  <c r="N63" i="24"/>
  <c r="U63" i="24"/>
  <c r="O100" i="24"/>
  <c r="BZ100" i="24" s="1"/>
  <c r="J100" i="24"/>
  <c r="J259" i="24"/>
  <c r="O259" i="24"/>
  <c r="BZ259" i="24" s="1"/>
  <c r="P194" i="25"/>
  <c r="O194" i="25"/>
  <c r="T194" i="25"/>
  <c r="N139" i="24"/>
  <c r="U139" i="24"/>
  <c r="P47" i="25"/>
  <c r="O47" i="25"/>
  <c r="P234" i="25"/>
  <c r="O234" i="25"/>
  <c r="O105" i="24"/>
  <c r="BZ105" i="24" s="1"/>
  <c r="J105" i="24"/>
  <c r="AE45" i="24"/>
  <c r="X45" i="24"/>
  <c r="AA45" i="24" s="1"/>
  <c r="AB45" i="24" s="1"/>
  <c r="AC45" i="24" s="1"/>
  <c r="AI45" i="24"/>
  <c r="O293" i="24"/>
  <c r="BZ293" i="24" s="1"/>
  <c r="J293" i="24"/>
  <c r="P311" i="24"/>
  <c r="Q311" i="24"/>
  <c r="R170" i="25"/>
  <c r="S170" i="25"/>
  <c r="K170" i="25" s="1"/>
  <c r="V170" i="25" s="1"/>
  <c r="Q170" i="25"/>
  <c r="U198" i="25"/>
  <c r="P53" i="25"/>
  <c r="O53" i="25"/>
  <c r="P184" i="25"/>
  <c r="O184" i="25"/>
  <c r="Q135" i="24"/>
  <c r="P135" i="24"/>
  <c r="V219" i="24"/>
  <c r="P230" i="24"/>
  <c r="Q230" i="24"/>
  <c r="U262" i="25"/>
  <c r="V127" i="24"/>
  <c r="J303" i="24"/>
  <c r="W303" i="24" s="1"/>
  <c r="O303" i="24"/>
  <c r="BZ303" i="24" s="1"/>
  <c r="U57" i="25"/>
  <c r="P15" i="25"/>
  <c r="O15" i="25"/>
  <c r="O157" i="24"/>
  <c r="BZ157" i="24" s="1"/>
  <c r="J157" i="24"/>
  <c r="J286" i="24"/>
  <c r="O286" i="24"/>
  <c r="BZ286" i="24" s="1"/>
  <c r="O116" i="24"/>
  <c r="BZ116" i="24" s="1"/>
  <c r="J116" i="24"/>
  <c r="J223" i="24"/>
  <c r="W223" i="24" s="1"/>
  <c r="O223" i="24"/>
  <c r="BZ223" i="24" s="1"/>
  <c r="P264" i="25"/>
  <c r="O264" i="25"/>
  <c r="T264" i="25"/>
  <c r="P260" i="25"/>
  <c r="O260" i="25"/>
  <c r="T260" i="25"/>
  <c r="N113" i="24"/>
  <c r="U113" i="24"/>
  <c r="BZ255" i="25"/>
  <c r="V238" i="24"/>
  <c r="U31" i="25"/>
  <c r="N38" i="24"/>
  <c r="U38" i="24"/>
  <c r="J167" i="24"/>
  <c r="O167" i="24"/>
  <c r="BZ167" i="24" s="1"/>
  <c r="Q267" i="24"/>
  <c r="P267" i="24"/>
  <c r="O54" i="24"/>
  <c r="BZ54" i="24" s="1"/>
  <c r="J54" i="24"/>
  <c r="J268" i="24"/>
  <c r="W268" i="24" s="1"/>
  <c r="O268" i="24"/>
  <c r="BZ268" i="24" s="1"/>
  <c r="U35" i="25"/>
  <c r="Q69" i="24"/>
  <c r="R69" i="24" s="1"/>
  <c r="P69" i="24"/>
  <c r="P235" i="24"/>
  <c r="Q235" i="24"/>
  <c r="P69" i="25"/>
  <c r="O69" i="25"/>
  <c r="P153" i="25"/>
  <c r="O153" i="25"/>
  <c r="P85" i="25"/>
  <c r="O85" i="25"/>
  <c r="R198" i="25"/>
  <c r="S198" i="25"/>
  <c r="K198" i="25" s="1"/>
  <c r="Q198" i="25"/>
  <c r="O198" i="24"/>
  <c r="BZ198" i="24" s="1"/>
  <c r="J198" i="24"/>
  <c r="N239" i="24"/>
  <c r="O89" i="24"/>
  <c r="BZ89" i="24" s="1"/>
  <c r="J89" i="24"/>
  <c r="N262" i="24"/>
  <c r="Q217" i="24"/>
  <c r="P217" i="24"/>
  <c r="N277" i="24"/>
  <c r="P176" i="24"/>
  <c r="Q176" i="24"/>
  <c r="AP291" i="24"/>
  <c r="P220" i="25"/>
  <c r="O220" i="25"/>
  <c r="T220" i="25"/>
  <c r="P244" i="25"/>
  <c r="O244" i="25"/>
  <c r="P100" i="25"/>
  <c r="O100" i="25"/>
  <c r="T100" i="25"/>
  <c r="O166" i="24"/>
  <c r="BZ166" i="24" s="1"/>
  <c r="J166" i="24"/>
  <c r="P68" i="25"/>
  <c r="O68" i="25"/>
  <c r="T68" i="25"/>
  <c r="J184" i="24"/>
  <c r="O184" i="24"/>
  <c r="BZ184" i="24" s="1"/>
  <c r="P111" i="25"/>
  <c r="O111" i="25"/>
  <c r="O93" i="24"/>
  <c r="BZ93" i="24" s="1"/>
  <c r="J93" i="24"/>
  <c r="U119" i="25"/>
  <c r="U149" i="25"/>
  <c r="W22" i="24"/>
  <c r="V22" i="24"/>
  <c r="P99" i="24"/>
  <c r="Q99" i="24"/>
  <c r="R99" i="24" s="1"/>
  <c r="P302" i="24"/>
  <c r="Q302" i="24"/>
  <c r="N114" i="24"/>
  <c r="U114" i="24"/>
  <c r="Q81" i="24"/>
  <c r="R81" i="24" s="1"/>
  <c r="P81" i="24"/>
  <c r="O254" i="24"/>
  <c r="BZ254" i="24" s="1"/>
  <c r="J254" i="24"/>
  <c r="P61" i="25"/>
  <c r="O61" i="25"/>
  <c r="AO131" i="25"/>
  <c r="P178" i="24"/>
  <c r="Q178" i="24"/>
  <c r="J74" i="24"/>
  <c r="O74" i="24"/>
  <c r="BZ74" i="24" s="1"/>
  <c r="V6" i="24"/>
  <c r="P180" i="24"/>
  <c r="Q180" i="24"/>
  <c r="R158" i="25"/>
  <c r="S158" i="25"/>
  <c r="K158" i="25" s="1"/>
  <c r="V158" i="25" s="1"/>
  <c r="Q158" i="25"/>
  <c r="V287" i="24"/>
  <c r="U154" i="24"/>
  <c r="S87" i="25"/>
  <c r="K87" i="25" s="1"/>
  <c r="V87" i="25" s="1"/>
  <c r="R87" i="25"/>
  <c r="Q87" i="25"/>
  <c r="S174" i="25"/>
  <c r="K174" i="25" s="1"/>
  <c r="R174" i="25"/>
  <c r="Q174" i="25"/>
  <c r="J46" i="24"/>
  <c r="O46" i="24"/>
  <c r="BZ46" i="24" s="1"/>
  <c r="W101" i="24"/>
  <c r="V101" i="24"/>
  <c r="P226" i="25"/>
  <c r="O226" i="25"/>
  <c r="U92" i="24"/>
  <c r="V120" i="24"/>
  <c r="R306" i="25"/>
  <c r="S306" i="25"/>
  <c r="K306" i="25" s="1"/>
  <c r="Q306" i="25"/>
  <c r="P202" i="25"/>
  <c r="O202" i="25"/>
  <c r="P70" i="25"/>
  <c r="O70" i="25"/>
  <c r="U32" i="25"/>
  <c r="P193" i="24"/>
  <c r="Q193" i="24"/>
  <c r="R243" i="25"/>
  <c r="S243" i="25"/>
  <c r="K243" i="25" s="1"/>
  <c r="V243" i="25" s="1"/>
  <c r="Q243" i="25"/>
  <c r="R89" i="25"/>
  <c r="S89" i="25"/>
  <c r="K89" i="25" s="1"/>
  <c r="V89" i="25" s="1"/>
  <c r="Q89" i="25"/>
  <c r="V116" i="24"/>
  <c r="O160" i="25"/>
  <c r="P160" i="25"/>
  <c r="T160" i="25"/>
  <c r="Q283" i="24"/>
  <c r="P283" i="24"/>
  <c r="J94" i="24"/>
  <c r="O94" i="24"/>
  <c r="BZ94" i="24" s="1"/>
  <c r="Q37" i="24"/>
  <c r="R37" i="24" s="1"/>
  <c r="P37" i="24"/>
  <c r="Q281" i="24"/>
  <c r="P281" i="24"/>
  <c r="Q79" i="24"/>
  <c r="R79" i="24" s="1"/>
  <c r="P79" i="24"/>
  <c r="J111" i="24"/>
  <c r="O111" i="24"/>
  <c r="BZ111" i="24" s="1"/>
  <c r="P9" i="25"/>
  <c r="O9" i="25"/>
  <c r="J165" i="24"/>
  <c r="O165" i="24"/>
  <c r="BZ165" i="24" s="1"/>
  <c r="P295" i="25"/>
  <c r="O295" i="25"/>
  <c r="J229" i="24"/>
  <c r="O229" i="24"/>
  <c r="BZ229" i="24" s="1"/>
  <c r="U253" i="25"/>
  <c r="N174" i="24"/>
  <c r="U174" i="24"/>
  <c r="U170" i="25"/>
  <c r="T295" i="25"/>
  <c r="AE142" i="24"/>
  <c r="AI142" i="24"/>
  <c r="X142" i="24"/>
  <c r="AA142" i="24" s="1"/>
  <c r="AB142" i="24" s="1"/>
  <c r="AC142" i="24" s="1"/>
  <c r="V47" i="24"/>
  <c r="U50" i="25"/>
  <c r="U161" i="25"/>
  <c r="P171" i="25"/>
  <c r="O171" i="25"/>
  <c r="O164" i="24"/>
  <c r="BZ164" i="24" s="1"/>
  <c r="J164" i="24"/>
  <c r="P122" i="25"/>
  <c r="O122" i="25"/>
  <c r="T122" i="25"/>
  <c r="J63" i="24"/>
  <c r="O63" i="24"/>
  <c r="BZ63" i="24" s="1"/>
  <c r="J39" i="24"/>
  <c r="O39" i="24"/>
  <c r="BZ39" i="24" s="1"/>
  <c r="P269" i="25"/>
  <c r="O269" i="25"/>
  <c r="P187" i="25"/>
  <c r="O187" i="25"/>
  <c r="P173" i="24"/>
  <c r="Q173" i="24"/>
  <c r="J121" i="24"/>
  <c r="W121" i="24" s="1"/>
  <c r="O121" i="24"/>
  <c r="BZ121" i="24" s="1"/>
  <c r="P73" i="25"/>
  <c r="O73" i="25"/>
  <c r="T73" i="25"/>
  <c r="J47" i="24"/>
  <c r="O47" i="24"/>
  <c r="BZ47" i="24" s="1"/>
  <c r="N95" i="24"/>
  <c r="U95" i="24"/>
  <c r="J51" i="24"/>
  <c r="O51" i="24"/>
  <c r="BZ51" i="24" s="1"/>
  <c r="AE101" i="24"/>
  <c r="X101" i="24"/>
  <c r="AA101" i="24" s="1"/>
  <c r="AB101" i="24" s="1"/>
  <c r="AC101" i="24" s="1"/>
  <c r="AI101" i="24"/>
  <c r="N122" i="24"/>
  <c r="U122" i="24"/>
  <c r="P304" i="24"/>
  <c r="Q304" i="24"/>
  <c r="Q13" i="24"/>
  <c r="R13" i="24" s="1"/>
  <c r="P13" i="24"/>
  <c r="P221" i="25"/>
  <c r="O221" i="25"/>
  <c r="T221" i="25"/>
  <c r="P278" i="25"/>
  <c r="O278" i="25"/>
  <c r="T278" i="25"/>
  <c r="J209" i="24"/>
  <c r="O209" i="24"/>
  <c r="BZ209" i="24" s="1"/>
  <c r="O288" i="24"/>
  <c r="BZ288" i="24" s="1"/>
  <c r="J288" i="24"/>
  <c r="O92" i="24"/>
  <c r="BZ92" i="24" s="1"/>
  <c r="J92" i="24"/>
  <c r="O295" i="24"/>
  <c r="BZ295" i="24" s="1"/>
  <c r="J295" i="24"/>
  <c r="N145" i="24"/>
  <c r="U145" i="24"/>
  <c r="N308" i="24"/>
  <c r="N153" i="24"/>
  <c r="U153" i="24"/>
  <c r="N29" i="24"/>
  <c r="U29" i="24"/>
  <c r="P64" i="25"/>
  <c r="O64" i="25"/>
  <c r="J113" i="24"/>
  <c r="O113" i="24"/>
  <c r="BZ113" i="24" s="1"/>
  <c r="AP151" i="24"/>
  <c r="U124" i="25"/>
  <c r="J180" i="24"/>
  <c r="O180" i="24"/>
  <c r="BZ180" i="24" s="1"/>
  <c r="N71" i="24"/>
  <c r="U71" i="24"/>
  <c r="U197" i="24"/>
  <c r="O306" i="24"/>
  <c r="BZ306" i="24" s="1"/>
  <c r="J306" i="24"/>
  <c r="W306" i="24" s="1"/>
  <c r="O16" i="24"/>
  <c r="BZ16" i="24" s="1"/>
  <c r="J16" i="24"/>
  <c r="W16" i="24" s="1"/>
  <c r="U163" i="25"/>
  <c r="N146" i="24"/>
  <c r="U146" i="24"/>
  <c r="P203" i="25"/>
  <c r="O203" i="25"/>
  <c r="T203" i="25"/>
  <c r="J125" i="24"/>
  <c r="O125" i="24"/>
  <c r="BZ125" i="24" s="1"/>
  <c r="AE264" i="24"/>
  <c r="AI264" i="24"/>
  <c r="X264" i="24"/>
  <c r="AA264" i="24" s="1"/>
  <c r="AB264" i="24" s="1"/>
  <c r="AC264" i="24" s="1"/>
  <c r="AE236" i="24"/>
  <c r="AI236" i="24"/>
  <c r="X236" i="24"/>
  <c r="AA236" i="24" s="1"/>
  <c r="AB236" i="24" s="1"/>
  <c r="AC236" i="24" s="1"/>
  <c r="P252" i="25"/>
  <c r="O252" i="25"/>
  <c r="P63" i="25"/>
  <c r="O63" i="25"/>
  <c r="O270" i="24"/>
  <c r="BZ270" i="24" s="1"/>
  <c r="J270" i="24"/>
  <c r="W270" i="24" s="1"/>
  <c r="P65" i="24"/>
  <c r="Q65" i="24"/>
  <c r="R65" i="24" s="1"/>
  <c r="J69" i="24"/>
  <c r="O69" i="24"/>
  <c r="BZ69" i="24" s="1"/>
  <c r="O65" i="24"/>
  <c r="BZ65" i="24" s="1"/>
  <c r="J65" i="24"/>
  <c r="P146" i="25"/>
  <c r="O146" i="25"/>
  <c r="O112" i="24"/>
  <c r="BZ112" i="24" s="1"/>
  <c r="J112" i="24"/>
  <c r="O154" i="24"/>
  <c r="BZ154" i="24" s="1"/>
  <c r="J154" i="24"/>
  <c r="P73" i="24"/>
  <c r="Q73" i="24"/>
  <c r="R73" i="24" s="1"/>
  <c r="J102" i="24"/>
  <c r="O102" i="24"/>
  <c r="BZ102" i="24" s="1"/>
  <c r="O145" i="25"/>
  <c r="P145" i="25"/>
  <c r="AD110" i="25"/>
  <c r="W110" i="25"/>
  <c r="Z110" i="25" s="1"/>
  <c r="AA110" i="25" s="1"/>
  <c r="AB110" i="25" s="1"/>
  <c r="AI110" i="25" s="1"/>
  <c r="AP60" i="24"/>
  <c r="O239" i="24"/>
  <c r="BZ239" i="24" s="1"/>
  <c r="J239" i="24"/>
  <c r="J80" i="24"/>
  <c r="O80" i="24"/>
  <c r="BZ80" i="24" s="1"/>
  <c r="U227" i="25"/>
  <c r="AE160" i="24"/>
  <c r="AI160" i="24"/>
  <c r="X160" i="24"/>
  <c r="AA160" i="24" s="1"/>
  <c r="AB160" i="24" s="1"/>
  <c r="AC160" i="24" s="1"/>
  <c r="O262" i="24"/>
  <c r="BZ262" i="24" s="1"/>
  <c r="J262" i="24"/>
  <c r="U36" i="25"/>
  <c r="AP73" i="24"/>
  <c r="O277" i="24"/>
  <c r="BZ277" i="24" s="1"/>
  <c r="J277" i="24"/>
  <c r="J176" i="24"/>
  <c r="O176" i="24"/>
  <c r="BZ176" i="24" s="1"/>
  <c r="P137" i="25"/>
  <c r="O137" i="25"/>
  <c r="O252" i="24"/>
  <c r="BZ252" i="24" s="1"/>
  <c r="J252" i="24"/>
  <c r="R293" i="25"/>
  <c r="S293" i="25"/>
  <c r="K293" i="25" s="1"/>
  <c r="Q293" i="25"/>
  <c r="N210" i="24"/>
  <c r="U210" i="24"/>
  <c r="U244" i="25"/>
  <c r="Q254" i="24"/>
  <c r="P254" i="24"/>
  <c r="V172" i="24"/>
  <c r="O139" i="24"/>
  <c r="BZ139" i="24" s="1"/>
  <c r="J139" i="24"/>
  <c r="J53" i="24"/>
  <c r="W53" i="24" s="1"/>
  <c r="O53" i="24"/>
  <c r="BZ53" i="24" s="1"/>
  <c r="U256" i="25"/>
  <c r="U24" i="25"/>
  <c r="O156" i="24"/>
  <c r="BZ156" i="24" s="1"/>
  <c r="J156" i="24"/>
  <c r="S296" i="25"/>
  <c r="K296" i="25" s="1"/>
  <c r="R296" i="25"/>
  <c r="Q296" i="25"/>
  <c r="O40" i="24"/>
  <c r="BZ40" i="24" s="1"/>
  <c r="J40" i="24"/>
  <c r="W40" i="24" s="1"/>
  <c r="AP92" i="24"/>
  <c r="O99" i="24"/>
  <c r="BZ99" i="24" s="1"/>
  <c r="J99" i="24"/>
  <c r="P157" i="25"/>
  <c r="O157" i="25"/>
  <c r="O122" i="24"/>
  <c r="BZ122" i="24" s="1"/>
  <c r="J122" i="24"/>
  <c r="P159" i="25"/>
  <c r="O159" i="25"/>
  <c r="T159" i="25"/>
  <c r="Q91" i="24"/>
  <c r="R91" i="24" s="1"/>
  <c r="P91" i="24"/>
  <c r="J201" i="24"/>
  <c r="O201" i="24"/>
  <c r="BZ201" i="24" s="1"/>
  <c r="O244" i="24"/>
  <c r="BZ244" i="24" s="1"/>
  <c r="J244" i="24"/>
  <c r="O23" i="24"/>
  <c r="BZ23" i="24" s="1"/>
  <c r="J23" i="24"/>
  <c r="P36" i="25"/>
  <c r="O36" i="25"/>
  <c r="J178" i="24"/>
  <c r="O178" i="24"/>
  <c r="BZ178" i="24" s="1"/>
  <c r="O136" i="24"/>
  <c r="BZ136" i="24" s="1"/>
  <c r="J136" i="24"/>
  <c r="J43" i="24"/>
  <c r="W43" i="24" s="1"/>
  <c r="O43" i="24"/>
  <c r="BZ43" i="24" s="1"/>
  <c r="O6" i="24"/>
  <c r="BZ6" i="24" s="1"/>
  <c r="J6" i="24"/>
  <c r="Q273" i="24"/>
  <c r="P273" i="24"/>
  <c r="J138" i="24"/>
  <c r="O138" i="24"/>
  <c r="BZ138" i="24" s="1"/>
  <c r="U21" i="25"/>
  <c r="P287" i="24"/>
  <c r="Q287" i="24"/>
  <c r="P101" i="24"/>
  <c r="Q101" i="24"/>
  <c r="R101" i="24" s="1"/>
  <c r="T226" i="25"/>
  <c r="U69" i="24"/>
  <c r="U51" i="24"/>
  <c r="Q202" i="24"/>
  <c r="P202" i="24"/>
  <c r="U273" i="25"/>
  <c r="P120" i="24"/>
  <c r="Q120" i="24"/>
  <c r="U65" i="24"/>
  <c r="V218" i="24"/>
  <c r="U173" i="25"/>
  <c r="P81" i="25"/>
  <c r="O81" i="25"/>
  <c r="T81" i="25"/>
  <c r="Q82" i="24"/>
  <c r="R82" i="24" s="1"/>
  <c r="P82" i="24"/>
  <c r="T202" i="25"/>
  <c r="Q250" i="24"/>
  <c r="P250" i="24"/>
  <c r="V248" i="24"/>
  <c r="S32" i="25"/>
  <c r="K32" i="25" s="1"/>
  <c r="V32" i="25" s="1"/>
  <c r="R32" i="25"/>
  <c r="Q32" i="25"/>
  <c r="U238" i="25"/>
  <c r="U206" i="25"/>
  <c r="U177" i="24"/>
  <c r="P67" i="24"/>
  <c r="Q67" i="24"/>
  <c r="R67" i="24" s="1"/>
  <c r="Q116" i="24"/>
  <c r="P116" i="24"/>
  <c r="O281" i="24"/>
  <c r="BZ281" i="24" s="1"/>
  <c r="J281" i="24"/>
  <c r="V90" i="24"/>
  <c r="O245" i="25"/>
  <c r="P245" i="25"/>
  <c r="Q33" i="24"/>
  <c r="R33" i="24" s="1"/>
  <c r="P33" i="24"/>
  <c r="U36" i="24"/>
  <c r="P181" i="25"/>
  <c r="O181" i="25"/>
  <c r="U250" i="25"/>
  <c r="O174" i="24"/>
  <c r="BZ174" i="24" s="1"/>
  <c r="J174" i="24"/>
  <c r="V52" i="24"/>
  <c r="P216" i="25"/>
  <c r="O216" i="25"/>
  <c r="T216" i="25"/>
  <c r="O10" i="24"/>
  <c r="BZ10" i="24" s="1"/>
  <c r="J10" i="24"/>
  <c r="W10" i="24" s="1"/>
  <c r="J57" i="24"/>
  <c r="O57" i="24"/>
  <c r="BZ57" i="24" s="1"/>
  <c r="J226" i="24"/>
  <c r="W226" i="24" s="1"/>
  <c r="O226" i="24"/>
  <c r="BZ226" i="24" s="1"/>
  <c r="N309" i="24"/>
  <c r="U176" i="25"/>
  <c r="J280" i="24"/>
  <c r="O280" i="24"/>
  <c r="BZ280" i="24" s="1"/>
  <c r="P266" i="25"/>
  <c r="O266" i="25"/>
  <c r="P55" i="25"/>
  <c r="O55" i="25"/>
  <c r="P102" i="25"/>
  <c r="O102" i="25"/>
  <c r="AE294" i="24"/>
  <c r="X294" i="24"/>
  <c r="AA294" i="24" s="1"/>
  <c r="AB294" i="24" s="1"/>
  <c r="AC294" i="24" s="1"/>
  <c r="AI294" i="24"/>
  <c r="N316" i="24"/>
  <c r="AP242" i="24"/>
  <c r="P171" i="24"/>
  <c r="Q171" i="24"/>
  <c r="P165" i="25"/>
  <c r="O165" i="25"/>
  <c r="T165" i="25"/>
  <c r="P221" i="24"/>
  <c r="Q221" i="24"/>
  <c r="J95" i="24"/>
  <c r="O95" i="24"/>
  <c r="BZ95" i="24" s="1"/>
  <c r="R62" i="25"/>
  <c r="S62" i="25"/>
  <c r="K62" i="25" s="1"/>
  <c r="V62" i="25" s="1"/>
  <c r="Q62" i="25"/>
  <c r="O311" i="24"/>
  <c r="BZ311" i="24" s="1"/>
  <c r="J311" i="24"/>
  <c r="J151" i="24"/>
  <c r="O151" i="24"/>
  <c r="BZ151" i="24" s="1"/>
  <c r="V188" i="24"/>
  <c r="J285" i="24"/>
  <c r="O285" i="24"/>
  <c r="BZ285" i="24" s="1"/>
  <c r="O195" i="24"/>
  <c r="BZ195" i="24" s="1"/>
  <c r="J195" i="24"/>
  <c r="P25" i="25"/>
  <c r="O25" i="25"/>
  <c r="T25" i="25"/>
  <c r="Q144" i="24"/>
  <c r="P144" i="24"/>
  <c r="Q155" i="24"/>
  <c r="P155" i="24"/>
  <c r="O205" i="25"/>
  <c r="P205" i="25"/>
  <c r="T205" i="25"/>
  <c r="U184" i="25"/>
  <c r="J299" i="24"/>
  <c r="O299" i="24"/>
  <c r="BZ299" i="24" s="1"/>
  <c r="AE132" i="24"/>
  <c r="X132" i="24"/>
  <c r="AA132" i="24" s="1"/>
  <c r="AB132" i="24" s="1"/>
  <c r="AC132" i="24" s="1"/>
  <c r="AI132" i="24"/>
  <c r="J193" i="24"/>
  <c r="O193" i="24"/>
  <c r="BZ193" i="24" s="1"/>
  <c r="U65" i="25"/>
  <c r="P130" i="25"/>
  <c r="O130" i="25"/>
  <c r="P197" i="25"/>
  <c r="O197" i="25"/>
  <c r="T197" i="25"/>
  <c r="O145" i="24"/>
  <c r="BZ145" i="24" s="1"/>
  <c r="J145" i="24"/>
  <c r="P196" i="24"/>
  <c r="Q196" i="24"/>
  <c r="V270" i="24"/>
  <c r="AE233" i="24"/>
  <c r="X233" i="24"/>
  <c r="AA233" i="24" s="1"/>
  <c r="AB233" i="24" s="1"/>
  <c r="AC233" i="24" s="1"/>
  <c r="AI233" i="24"/>
  <c r="AO255" i="25"/>
  <c r="U146" i="25"/>
  <c r="AP311" i="24"/>
  <c r="J308" i="24"/>
  <c r="O308" i="24"/>
  <c r="BZ308" i="24" s="1"/>
  <c r="J84" i="24"/>
  <c r="O84" i="24"/>
  <c r="BZ84" i="24" s="1"/>
  <c r="AE292" i="24"/>
  <c r="X292" i="24"/>
  <c r="AA292" i="24" s="1"/>
  <c r="AB292" i="24" s="1"/>
  <c r="AC292" i="24" s="1"/>
  <c r="AI292" i="24"/>
  <c r="O188" i="24"/>
  <c r="BZ188" i="24" s="1"/>
  <c r="J188" i="24"/>
  <c r="N282" i="24"/>
  <c r="J38" i="24"/>
  <c r="O38" i="24"/>
  <c r="BZ38" i="24" s="1"/>
  <c r="P176" i="25"/>
  <c r="O176" i="25"/>
  <c r="J20" i="24"/>
  <c r="O20" i="24"/>
  <c r="BZ20" i="24" s="1"/>
  <c r="J267" i="24"/>
  <c r="O267" i="24"/>
  <c r="BZ267" i="24" s="1"/>
  <c r="Q49" i="24"/>
  <c r="R49" i="24" s="1"/>
  <c r="P49" i="24"/>
  <c r="P284" i="25"/>
  <c r="O284" i="25"/>
  <c r="J127" i="24"/>
  <c r="O127" i="24"/>
  <c r="BZ127" i="24" s="1"/>
  <c r="J235" i="24"/>
  <c r="O235" i="24"/>
  <c r="BZ235" i="24" s="1"/>
  <c r="J115" i="24"/>
  <c r="O115" i="24"/>
  <c r="BZ115" i="24" s="1"/>
  <c r="J13" i="24"/>
  <c r="O13" i="24"/>
  <c r="BZ13" i="24" s="1"/>
  <c r="V182" i="24"/>
  <c r="J73" i="24"/>
  <c r="O73" i="24"/>
  <c r="BZ73" i="24" s="1"/>
  <c r="Q192" i="24"/>
  <c r="P192" i="24"/>
  <c r="P223" i="25"/>
  <c r="O223" i="25"/>
  <c r="T223" i="25"/>
  <c r="P39" i="25"/>
  <c r="O39" i="25"/>
  <c r="T39" i="25"/>
  <c r="P67" i="25"/>
  <c r="O67" i="25"/>
  <c r="T67" i="25"/>
  <c r="AE21" i="24"/>
  <c r="AI21" i="24"/>
  <c r="X21" i="24"/>
  <c r="AA21" i="24" s="1"/>
  <c r="AB21" i="24" s="1"/>
  <c r="AC21" i="24" s="1"/>
  <c r="O315" i="24"/>
  <c r="BZ315" i="24" s="1"/>
  <c r="J315" i="24"/>
  <c r="Q28" i="24"/>
  <c r="R28" i="24" s="1"/>
  <c r="P28" i="24"/>
  <c r="P274" i="25"/>
  <c r="O274" i="25"/>
  <c r="T274" i="25"/>
  <c r="O217" i="24"/>
  <c r="BZ217" i="24" s="1"/>
  <c r="J217" i="24"/>
  <c r="P230" i="25"/>
  <c r="O230" i="25"/>
  <c r="T230" i="25"/>
  <c r="T47" i="25"/>
  <c r="U235" i="25"/>
  <c r="J263" i="24"/>
  <c r="O263" i="24"/>
  <c r="BZ263" i="24" s="1"/>
  <c r="N232" i="24"/>
  <c r="N195" i="24"/>
  <c r="U195" i="24"/>
  <c r="AO177" i="25"/>
  <c r="J272" i="24"/>
  <c r="W272" i="24" s="1"/>
  <c r="O272" i="24"/>
  <c r="BZ272" i="24" s="1"/>
  <c r="U136" i="25"/>
  <c r="U275" i="25"/>
  <c r="J17" i="24"/>
  <c r="O17" i="24"/>
  <c r="BZ17" i="24" s="1"/>
  <c r="P294" i="25"/>
  <c r="O294" i="25"/>
  <c r="P27" i="25"/>
  <c r="O27" i="25"/>
  <c r="T27" i="25"/>
  <c r="P278" i="24"/>
  <c r="Q278" i="24"/>
  <c r="P308" i="25"/>
  <c r="O308" i="25"/>
  <c r="O301" i="24"/>
  <c r="BZ301" i="24" s="1"/>
  <c r="J301" i="24"/>
  <c r="P11" i="24"/>
  <c r="Q11" i="24"/>
  <c r="R11" i="24" s="1"/>
  <c r="AE119" i="24"/>
  <c r="X119" i="24"/>
  <c r="AA119" i="24" s="1"/>
  <c r="AB119" i="24" s="1"/>
  <c r="AC119" i="24" s="1"/>
  <c r="AI119" i="24"/>
  <c r="U30" i="25"/>
  <c r="J302" i="24"/>
  <c r="O302" i="24"/>
  <c r="BZ302" i="24" s="1"/>
  <c r="J68" i="24"/>
  <c r="W68" i="24" s="1"/>
  <c r="O68" i="24"/>
  <c r="BZ68" i="24" s="1"/>
  <c r="J114" i="24"/>
  <c r="O114" i="24"/>
  <c r="BZ114" i="24" s="1"/>
  <c r="N85" i="24"/>
  <c r="U85" i="24"/>
  <c r="P136" i="25"/>
  <c r="O136" i="25"/>
  <c r="P24" i="25"/>
  <c r="O24" i="25"/>
  <c r="P91" i="25"/>
  <c r="O91" i="25"/>
  <c r="O35" i="24"/>
  <c r="BZ35" i="24" s="1"/>
  <c r="J35" i="24"/>
  <c r="P290" i="25"/>
  <c r="O290" i="25"/>
  <c r="O222" i="24"/>
  <c r="BZ222" i="24" s="1"/>
  <c r="J222" i="24"/>
  <c r="R30" i="25"/>
  <c r="S30" i="25"/>
  <c r="K30" i="25" s="1"/>
  <c r="V30" i="25" s="1"/>
  <c r="Q30" i="25"/>
  <c r="U261" i="25"/>
  <c r="V234" i="24"/>
  <c r="Q36" i="24"/>
  <c r="R36" i="24" s="1"/>
  <c r="P36" i="24"/>
  <c r="S21" i="25"/>
  <c r="K21" i="25" s="1"/>
  <c r="V21" i="25" s="1"/>
  <c r="R21" i="25"/>
  <c r="Q21" i="25"/>
  <c r="V306" i="24"/>
  <c r="V226" i="24"/>
  <c r="Q243" i="24"/>
  <c r="P243" i="24"/>
  <c r="O296" i="24"/>
  <c r="BZ296" i="24" s="1"/>
  <c r="J296" i="24"/>
  <c r="U31" i="24"/>
  <c r="U185" i="24"/>
  <c r="T266" i="25"/>
  <c r="U178" i="25"/>
  <c r="U167" i="25"/>
  <c r="V14" i="24"/>
  <c r="Q50" i="24"/>
  <c r="R50" i="24" s="1"/>
  <c r="P50" i="24"/>
  <c r="J202" i="24"/>
  <c r="O202" i="24"/>
  <c r="BZ202" i="24" s="1"/>
  <c r="U143" i="24"/>
  <c r="Q274" i="24"/>
  <c r="P274" i="24"/>
  <c r="Q70" i="24"/>
  <c r="R70" i="24" s="1"/>
  <c r="P70" i="24"/>
  <c r="S273" i="25"/>
  <c r="K273" i="25" s="1"/>
  <c r="V273" i="25" s="1"/>
  <c r="R273" i="25"/>
  <c r="Q273" i="25"/>
  <c r="Q218" i="24"/>
  <c r="P218" i="24"/>
  <c r="S173" i="25"/>
  <c r="K173" i="25" s="1"/>
  <c r="V173" i="25" s="1"/>
  <c r="R173" i="25"/>
  <c r="Q173" i="25"/>
  <c r="V200" i="24"/>
  <c r="U71" i="25"/>
  <c r="U168" i="25"/>
  <c r="J82" i="24"/>
  <c r="O82" i="24"/>
  <c r="BZ82" i="24" s="1"/>
  <c r="T70" i="25"/>
  <c r="P56" i="24"/>
  <c r="Q56" i="24"/>
  <c r="R56" i="24" s="1"/>
  <c r="P248" i="24"/>
  <c r="Q248" i="24"/>
  <c r="S238" i="25"/>
  <c r="K238" i="25" s="1"/>
  <c r="V238" i="25" s="1"/>
  <c r="R238" i="25"/>
  <c r="Q238" i="25"/>
  <c r="R206" i="25"/>
  <c r="S206" i="25"/>
  <c r="K206" i="25" s="1"/>
  <c r="Q206" i="25"/>
  <c r="W132" i="24"/>
  <c r="Y132" i="24" s="1"/>
  <c r="U259" i="25"/>
  <c r="U104" i="24"/>
  <c r="U176" i="24"/>
  <c r="J37" i="24"/>
  <c r="O37" i="24"/>
  <c r="BZ37" i="24" s="1"/>
  <c r="Q90" i="24"/>
  <c r="R90" i="24" s="1"/>
  <c r="P90" i="24"/>
  <c r="U113" i="25"/>
  <c r="R147" i="25"/>
  <c r="S147" i="25"/>
  <c r="K147" i="25" s="1"/>
  <c r="V147" i="25" s="1"/>
  <c r="Q147" i="25"/>
  <c r="V18" i="24"/>
  <c r="U33" i="24"/>
  <c r="P134" i="25"/>
  <c r="O134" i="25"/>
  <c r="P298" i="25"/>
  <c r="O298" i="25"/>
  <c r="V25" i="24"/>
  <c r="U172" i="25"/>
  <c r="J313" i="24"/>
  <c r="W313" i="24" s="1"/>
  <c r="O313" i="24"/>
  <c r="BZ313" i="24" s="1"/>
  <c r="U49" i="25"/>
  <c r="U127" i="25"/>
  <c r="U62" i="25"/>
  <c r="J310" i="24"/>
  <c r="W310" i="24" s="1"/>
  <c r="O310" i="24"/>
  <c r="BZ310" i="24" s="1"/>
  <c r="V271" i="24"/>
  <c r="U290" i="25"/>
  <c r="O309" i="24"/>
  <c r="BZ309" i="24" s="1"/>
  <c r="J309" i="24"/>
  <c r="N126" i="24"/>
  <c r="U126" i="24"/>
  <c r="P208" i="25"/>
  <c r="O208" i="25"/>
  <c r="T208" i="25"/>
  <c r="N228" i="24"/>
  <c r="P281" i="25"/>
  <c r="O281" i="25"/>
  <c r="P249" i="25"/>
  <c r="O249" i="25"/>
  <c r="T249" i="25"/>
  <c r="J316" i="24"/>
  <c r="O316" i="24"/>
  <c r="BZ316" i="24" s="1"/>
  <c r="P46" i="25"/>
  <c r="O46" i="25"/>
  <c r="J312" i="24"/>
  <c r="W312" i="24" s="1"/>
  <c r="O312" i="24"/>
  <c r="BZ312" i="24" s="1"/>
  <c r="Q20" i="24"/>
  <c r="R20" i="24" s="1"/>
  <c r="P20" i="24"/>
  <c r="O305" i="24"/>
  <c r="BZ305" i="24" s="1"/>
  <c r="J305" i="24"/>
  <c r="O287" i="24"/>
  <c r="BZ287" i="24" s="1"/>
  <c r="J287" i="24"/>
  <c r="J104" i="24"/>
  <c r="O104" i="24"/>
  <c r="BZ104" i="24" s="1"/>
  <c r="P99" i="25"/>
  <c r="O99" i="25"/>
  <c r="J304" i="24"/>
  <c r="O304" i="24"/>
  <c r="BZ304" i="24" s="1"/>
  <c r="O147" i="24"/>
  <c r="BZ147" i="24" s="1"/>
  <c r="J147" i="24"/>
  <c r="W147" i="24" s="1"/>
  <c r="U137" i="25"/>
  <c r="J24" i="24"/>
  <c r="W24" i="24" s="1"/>
  <c r="O24" i="24"/>
  <c r="BZ24" i="24" s="1"/>
  <c r="P49" i="25"/>
  <c r="O49" i="25"/>
  <c r="P33" i="25"/>
  <c r="O33" i="25"/>
  <c r="P175" i="25"/>
  <c r="O175" i="25"/>
  <c r="U252" i="25"/>
  <c r="N59" i="24"/>
  <c r="U59" i="24"/>
  <c r="U64" i="25"/>
  <c r="N148" i="24"/>
  <c r="U148" i="24"/>
  <c r="O173" i="24"/>
  <c r="BZ173" i="24" s="1"/>
  <c r="J173" i="24"/>
  <c r="O149" i="24"/>
  <c r="BZ149" i="24" s="1"/>
  <c r="J149" i="24"/>
  <c r="P224" i="25"/>
  <c r="O224" i="25"/>
  <c r="T224" i="25"/>
  <c r="U69" i="25"/>
  <c r="O271" i="24"/>
  <c r="BZ271" i="24" s="1"/>
  <c r="J271" i="24"/>
  <c r="W271" i="24" s="1"/>
  <c r="AD129" i="25"/>
  <c r="W129" i="25"/>
  <c r="Z129" i="25" s="1"/>
  <c r="AA129" i="25" s="1"/>
  <c r="AB129" i="25" s="1"/>
  <c r="AI129" i="25" s="1"/>
  <c r="T281" i="25"/>
  <c r="V76" i="24"/>
  <c r="U145" i="25"/>
  <c r="N203" i="24"/>
  <c r="U203" i="24"/>
  <c r="P307" i="25"/>
  <c r="O307" i="25"/>
  <c r="T307" i="25"/>
  <c r="J29" i="24"/>
  <c r="O29" i="24"/>
  <c r="BZ29" i="24" s="1"/>
  <c r="N249" i="24"/>
  <c r="P41" i="25"/>
  <c r="O41" i="25"/>
  <c r="T41" i="25"/>
  <c r="P123" i="25"/>
  <c r="O123" i="25"/>
  <c r="T123" i="25"/>
  <c r="U147" i="25"/>
  <c r="O153" i="24"/>
  <c r="BZ153" i="24" s="1"/>
  <c r="J153" i="24"/>
  <c r="J282" i="24"/>
  <c r="O282" i="24"/>
  <c r="BZ282" i="24" s="1"/>
  <c r="J146" i="24"/>
  <c r="O146" i="24"/>
  <c r="BZ146" i="24" s="1"/>
  <c r="O255" i="24"/>
  <c r="BZ255" i="24" s="1"/>
  <c r="J255" i="24"/>
  <c r="Q23" i="24"/>
  <c r="R23" i="24" s="1"/>
  <c r="P23" i="24"/>
  <c r="N184" i="24"/>
  <c r="U184" i="24"/>
  <c r="V30" i="24"/>
  <c r="P295" i="24"/>
  <c r="Q295" i="24"/>
  <c r="O48" i="24"/>
  <c r="BZ48" i="24" s="1"/>
  <c r="J48" i="24"/>
  <c r="W48" i="24" s="1"/>
  <c r="O197" i="24"/>
  <c r="BZ197" i="24" s="1"/>
  <c r="J197" i="24"/>
  <c r="P175" i="24"/>
  <c r="Q175" i="24"/>
  <c r="AE162" i="24"/>
  <c r="X162" i="24"/>
  <c r="AA162" i="24" s="1"/>
  <c r="AB162" i="24" s="1"/>
  <c r="AC162" i="24" s="1"/>
  <c r="AI162" i="24"/>
  <c r="P98" i="24"/>
  <c r="Q98" i="24"/>
  <c r="R98" i="24" s="1"/>
  <c r="T175" i="25"/>
  <c r="N194" i="24"/>
  <c r="U194" i="24"/>
  <c r="AP20" i="24"/>
  <c r="N315" i="24"/>
  <c r="P251" i="25"/>
  <c r="O251" i="25"/>
  <c r="T251" i="25"/>
  <c r="U316" i="25"/>
  <c r="N247" i="24"/>
  <c r="U17" i="24"/>
  <c r="J86" i="24"/>
  <c r="W86" i="24" s="1"/>
  <c r="O86" i="24"/>
  <c r="BZ86" i="24" s="1"/>
  <c r="O161" i="24"/>
  <c r="BZ161" i="24" s="1"/>
  <c r="J161" i="24"/>
  <c r="P209" i="25"/>
  <c r="O209" i="25"/>
  <c r="T209" i="25"/>
  <c r="U133" i="25"/>
  <c r="P277" i="25"/>
  <c r="O277" i="25"/>
  <c r="T277" i="25"/>
  <c r="T289" i="25"/>
  <c r="N187" i="24"/>
  <c r="U187" i="24"/>
  <c r="P219" i="25"/>
  <c r="O219" i="25"/>
  <c r="T219" i="25"/>
  <c r="J232" i="24"/>
  <c r="O232" i="24"/>
  <c r="BZ232" i="24" s="1"/>
  <c r="U120" i="25"/>
  <c r="P245" i="24"/>
  <c r="Q245" i="24"/>
  <c r="O72" i="24"/>
  <c r="BZ72" i="24" s="1"/>
  <c r="J72" i="24"/>
  <c r="W72" i="24" s="1"/>
  <c r="P56" i="25"/>
  <c r="O56" i="25"/>
  <c r="T56" i="25"/>
  <c r="Q189" i="24"/>
  <c r="P189" i="24"/>
  <c r="P60" i="25"/>
  <c r="O60" i="25"/>
  <c r="U151" i="24"/>
  <c r="J128" i="24"/>
  <c r="O128" i="24"/>
  <c r="BZ128" i="24" s="1"/>
  <c r="O278" i="24"/>
  <c r="BZ278" i="24" s="1"/>
  <c r="J278" i="24"/>
  <c r="U91" i="25"/>
  <c r="V44" i="24"/>
  <c r="W44" i="24"/>
  <c r="N117" i="24"/>
  <c r="U117" i="24"/>
  <c r="J314" i="24"/>
  <c r="O314" i="24"/>
  <c r="BZ314" i="24" s="1"/>
  <c r="J307" i="24"/>
  <c r="W307" i="24" s="1"/>
  <c r="O307" i="24"/>
  <c r="BZ307" i="24" s="1"/>
  <c r="P305" i="24"/>
  <c r="Q305" i="24"/>
  <c r="J91" i="24"/>
  <c r="O91" i="24"/>
  <c r="BZ91" i="24" s="1"/>
  <c r="P17" i="25"/>
  <c r="O17" i="25"/>
  <c r="AP196" i="24"/>
  <c r="J171" i="24"/>
  <c r="O171" i="24"/>
  <c r="BZ171" i="24" s="1"/>
  <c r="P119" i="25"/>
  <c r="O119" i="25"/>
  <c r="P50" i="25"/>
  <c r="O50" i="25"/>
  <c r="J98" i="24"/>
  <c r="O98" i="24"/>
  <c r="BZ98" i="24" s="1"/>
  <c r="J81" i="24"/>
  <c r="O81" i="24"/>
  <c r="BZ81" i="24" s="1"/>
  <c r="J245" i="24"/>
  <c r="O245" i="24"/>
  <c r="BZ245" i="24" s="1"/>
  <c r="Q12" i="24"/>
  <c r="R12" i="24" s="1"/>
  <c r="P12" i="24"/>
  <c r="S261" i="25"/>
  <c r="K261" i="25" s="1"/>
  <c r="R261" i="25"/>
  <c r="Q261" i="25"/>
  <c r="U229" i="25"/>
  <c r="P234" i="24"/>
  <c r="Q234" i="24"/>
  <c r="J273" i="24"/>
  <c r="O273" i="24"/>
  <c r="BZ273" i="24" s="1"/>
  <c r="P193" i="25"/>
  <c r="O193" i="25"/>
  <c r="O152" i="25"/>
  <c r="P152" i="25"/>
  <c r="P306" i="24"/>
  <c r="Q306" i="24"/>
  <c r="P226" i="24"/>
  <c r="Q226" i="24"/>
  <c r="U102" i="24"/>
  <c r="P296" i="24"/>
  <c r="Q296" i="24"/>
  <c r="T53" i="25"/>
  <c r="P132" i="25"/>
  <c r="O132" i="25"/>
  <c r="P265" i="24"/>
  <c r="Q265" i="24"/>
  <c r="R257" i="25"/>
  <c r="S257" i="25"/>
  <c r="K257" i="25" s="1"/>
  <c r="Q257" i="25"/>
  <c r="Q185" i="24"/>
  <c r="P185" i="24"/>
  <c r="U114" i="25"/>
  <c r="S178" i="25"/>
  <c r="K178" i="25" s="1"/>
  <c r="V178" i="25" s="1"/>
  <c r="R178" i="25"/>
  <c r="Q178" i="25"/>
  <c r="S167" i="25"/>
  <c r="K167" i="25" s="1"/>
  <c r="R167" i="25"/>
  <c r="Q167" i="25"/>
  <c r="J274" i="24"/>
  <c r="O274" i="24"/>
  <c r="BZ274" i="24" s="1"/>
  <c r="N298" i="24"/>
  <c r="J70" i="24"/>
  <c r="O70" i="24"/>
  <c r="BZ70" i="24" s="1"/>
  <c r="P152" i="24"/>
  <c r="Q152" i="24"/>
  <c r="V227" i="24"/>
  <c r="P200" i="24"/>
  <c r="Q200" i="24"/>
  <c r="P195" i="25"/>
  <c r="O195" i="25"/>
  <c r="P8" i="25"/>
  <c r="O8" i="25"/>
  <c r="U170" i="24"/>
  <c r="J250" i="24"/>
  <c r="O250" i="24"/>
  <c r="BZ250" i="24" s="1"/>
  <c r="O56" i="24"/>
  <c r="BZ56" i="24" s="1"/>
  <c r="J56" i="24"/>
  <c r="T63" i="25"/>
  <c r="U201" i="25"/>
  <c r="U292" i="25"/>
  <c r="S246" i="25"/>
  <c r="K246" i="25" s="1"/>
  <c r="R246" i="25"/>
  <c r="Q246" i="25"/>
  <c r="J67" i="24"/>
  <c r="O67" i="24"/>
  <c r="BZ67" i="24" s="1"/>
  <c r="R259" i="25"/>
  <c r="S259" i="25"/>
  <c r="K259" i="25" s="1"/>
  <c r="Q259" i="25"/>
  <c r="U92" i="25"/>
  <c r="Q224" i="24"/>
  <c r="P224" i="24"/>
  <c r="V83" i="24"/>
  <c r="P151" i="25"/>
  <c r="O151" i="25"/>
  <c r="O283" i="24"/>
  <c r="BZ283" i="24" s="1"/>
  <c r="J283" i="24"/>
  <c r="R267" i="25"/>
  <c r="S267" i="25"/>
  <c r="K267" i="25" s="1"/>
  <c r="V267" i="25" s="1"/>
  <c r="Q267" i="25"/>
  <c r="R113" i="25"/>
  <c r="S113" i="25"/>
  <c r="K113" i="25" s="1"/>
  <c r="V113" i="25" s="1"/>
  <c r="Q113" i="25"/>
  <c r="AP302" i="24"/>
  <c r="O162" i="25"/>
  <c r="P162" i="25"/>
  <c r="O33" i="24"/>
  <c r="BZ33" i="24" s="1"/>
  <c r="J33" i="24"/>
  <c r="Q197" i="24"/>
  <c r="P197" i="24"/>
  <c r="P304" i="25"/>
  <c r="O304" i="25"/>
  <c r="T304" i="25"/>
  <c r="P151" i="24"/>
  <c r="Q151" i="24"/>
  <c r="P74" i="25"/>
  <c r="O74" i="25"/>
  <c r="T74" i="25"/>
  <c r="P103" i="25"/>
  <c r="O103" i="25"/>
  <c r="U285" i="25"/>
  <c r="U126" i="25"/>
  <c r="R255" i="25"/>
  <c r="S255" i="25"/>
  <c r="K255" i="25" s="1"/>
  <c r="Q255" i="25"/>
  <c r="P7" i="25"/>
  <c r="O7" i="25"/>
  <c r="J221" i="24"/>
  <c r="O221" i="24"/>
  <c r="BZ221" i="24" s="1"/>
  <c r="V68" i="24"/>
  <c r="V129" i="24"/>
  <c r="J129" i="24"/>
  <c r="O129" i="24"/>
  <c r="BZ129" i="24" s="1"/>
  <c r="P291" i="24"/>
  <c r="Q291" i="24"/>
  <c r="P118" i="25"/>
  <c r="O118" i="25"/>
  <c r="P172" i="25"/>
  <c r="O172" i="25"/>
  <c r="U291" i="25"/>
  <c r="J289" i="24"/>
  <c r="O289" i="24"/>
  <c r="BZ289" i="24" s="1"/>
  <c r="P250" i="25"/>
  <c r="O250" i="25"/>
  <c r="J155" i="24"/>
  <c r="O155" i="24"/>
  <c r="BZ155" i="24" s="1"/>
  <c r="U54" i="25"/>
  <c r="U155" i="25"/>
  <c r="J240" i="24"/>
  <c r="O240" i="24"/>
  <c r="BZ240" i="24" s="1"/>
  <c r="Q31" i="24"/>
  <c r="R31" i="24" s="1"/>
  <c r="P31" i="24"/>
  <c r="P126" i="25"/>
  <c r="O126" i="25"/>
  <c r="U153" i="25"/>
  <c r="V237" i="24"/>
  <c r="T181" i="25"/>
  <c r="P150" i="25"/>
  <c r="O150" i="25"/>
  <c r="N141" i="24"/>
  <c r="U141" i="24"/>
  <c r="O105" i="25"/>
  <c r="P105" i="25"/>
  <c r="O62" i="24"/>
  <c r="BZ62" i="24" s="1"/>
  <c r="J62" i="24"/>
  <c r="W62" i="24" s="1"/>
  <c r="P166" i="25"/>
  <c r="O166" i="25"/>
  <c r="P233" i="25"/>
  <c r="O233" i="25"/>
  <c r="N140" i="24"/>
  <c r="U140" i="24"/>
  <c r="P79" i="25"/>
  <c r="O79" i="25"/>
  <c r="T79" i="25"/>
  <c r="BZ170" i="25"/>
  <c r="P26" i="25"/>
  <c r="O26" i="25"/>
  <c r="T26" i="25"/>
  <c r="U85" i="25"/>
  <c r="P10" i="25"/>
  <c r="O10" i="25"/>
  <c r="T10" i="25"/>
  <c r="V150" i="24"/>
  <c r="Q104" i="24"/>
  <c r="R104" i="24" s="1"/>
  <c r="P104" i="24"/>
  <c r="AP144" i="24"/>
  <c r="J231" i="24"/>
  <c r="W231" i="24" s="1"/>
  <c r="O231" i="24"/>
  <c r="BZ231" i="24" s="1"/>
  <c r="J131" i="24"/>
  <c r="O131" i="24"/>
  <c r="BZ131" i="24" s="1"/>
  <c r="J133" i="24"/>
  <c r="W133" i="24" s="1"/>
  <c r="O133" i="24"/>
  <c r="BZ133" i="24" s="1"/>
  <c r="P88" i="25"/>
  <c r="O88" i="25"/>
  <c r="N89" i="24"/>
  <c r="U89" i="24"/>
  <c r="P207" i="24"/>
  <c r="Q207" i="24"/>
  <c r="Q60" i="24"/>
  <c r="R60" i="24" s="1"/>
  <c r="P60" i="24"/>
  <c r="J242" i="24"/>
  <c r="O242" i="24"/>
  <c r="BZ242" i="24" s="1"/>
  <c r="T234" i="25"/>
  <c r="AP17" i="24"/>
  <c r="J199" i="24"/>
  <c r="W199" i="24" s="1"/>
  <c r="O199" i="24"/>
  <c r="BZ199" i="24" s="1"/>
  <c r="J175" i="24"/>
  <c r="O175" i="24"/>
  <c r="BZ175" i="24" s="1"/>
  <c r="S177" i="25"/>
  <c r="K177" i="25" s="1"/>
  <c r="R177" i="25"/>
  <c r="Q177" i="25"/>
  <c r="O34" i="24"/>
  <c r="BZ34" i="24" s="1"/>
  <c r="J34" i="24"/>
  <c r="J76" i="24"/>
  <c r="O76" i="24"/>
  <c r="BZ76" i="24" s="1"/>
  <c r="O236" i="25"/>
  <c r="P236" i="25"/>
  <c r="O192" i="24"/>
  <c r="BZ192" i="24" s="1"/>
  <c r="J192" i="24"/>
  <c r="P142" i="25"/>
  <c r="O142" i="25"/>
  <c r="T142" i="25"/>
  <c r="O139" i="25"/>
  <c r="P139" i="25"/>
  <c r="T139" i="25"/>
  <c r="U111" i="25"/>
  <c r="U204" i="25"/>
  <c r="U305" i="25"/>
  <c r="U294" i="25"/>
  <c r="AP136" i="24"/>
  <c r="U45" i="25"/>
  <c r="T66" i="25"/>
  <c r="P159" i="24"/>
  <c r="Q159" i="24"/>
  <c r="J225" i="24"/>
  <c r="O225" i="24"/>
  <c r="BZ225" i="24" s="1"/>
  <c r="V307" i="24"/>
  <c r="P163" i="25"/>
  <c r="O163" i="25"/>
  <c r="Q75" i="24"/>
  <c r="R75" i="24" s="1"/>
  <c r="P75" i="24"/>
  <c r="P124" i="25"/>
  <c r="O124" i="25"/>
  <c r="P217" i="25"/>
  <c r="O217" i="25"/>
  <c r="T217" i="25"/>
  <c r="O189" i="24"/>
  <c r="BZ189" i="24" s="1"/>
  <c r="J189" i="24"/>
  <c r="P18" i="25"/>
  <c r="O18" i="25"/>
  <c r="T18" i="25"/>
  <c r="P169" i="24"/>
  <c r="Q169" i="24"/>
  <c r="U135" i="24"/>
  <c r="V110" i="25"/>
  <c r="X110" i="25" s="1"/>
  <c r="AE257" i="24"/>
  <c r="X257" i="24"/>
  <c r="AA257" i="24" s="1"/>
  <c r="AB257" i="24" s="1"/>
  <c r="AC257" i="24" s="1"/>
  <c r="AI257" i="24"/>
  <c r="U23" i="24"/>
  <c r="J11" i="24"/>
  <c r="O11" i="24"/>
  <c r="BZ11" i="24" s="1"/>
  <c r="V43" i="24"/>
  <c r="Q314" i="24"/>
  <c r="P314" i="24"/>
  <c r="S6" i="25"/>
  <c r="K6" i="25" s="1"/>
  <c r="R6" i="25"/>
  <c r="Q6" i="25"/>
  <c r="P270" i="25"/>
  <c r="O270" i="25"/>
  <c r="O144" i="25"/>
  <c r="P144" i="25"/>
  <c r="P208" i="24"/>
  <c r="Q208" i="24"/>
  <c r="AP105" i="24"/>
  <c r="P51" i="25"/>
  <c r="O51" i="25"/>
  <c r="J15" i="24"/>
  <c r="O15" i="24"/>
  <c r="BZ15" i="24" s="1"/>
  <c r="Q258" i="24"/>
  <c r="P258" i="24"/>
  <c r="AP51" i="24"/>
  <c r="P269" i="24"/>
  <c r="Q269" i="24"/>
  <c r="J12" i="24"/>
  <c r="O12" i="24"/>
  <c r="BZ12" i="24" s="1"/>
  <c r="R229" i="25"/>
  <c r="S229" i="25"/>
  <c r="K229" i="25" s="1"/>
  <c r="V229" i="25" s="1"/>
  <c r="Q229" i="25"/>
  <c r="V279" i="24"/>
  <c r="V231" i="24"/>
  <c r="AP256" i="24"/>
  <c r="J36" i="24"/>
  <c r="O36" i="24"/>
  <c r="BZ36" i="24" s="1"/>
  <c r="U282" i="25"/>
  <c r="S161" i="25"/>
  <c r="K161" i="25" s="1"/>
  <c r="V161" i="25" s="1"/>
  <c r="R161" i="25"/>
  <c r="Q161" i="25"/>
  <c r="S276" i="25"/>
  <c r="K276" i="25" s="1"/>
  <c r="V276" i="25" s="1"/>
  <c r="R276" i="25"/>
  <c r="Q276" i="25"/>
  <c r="P241" i="25"/>
  <c r="O241" i="25"/>
  <c r="U115" i="24"/>
  <c r="U179" i="24"/>
  <c r="J265" i="24"/>
  <c r="O265" i="24"/>
  <c r="BZ265" i="24" s="1"/>
  <c r="S186" i="25"/>
  <c r="K186" i="25" s="1"/>
  <c r="R186" i="25"/>
  <c r="Q186" i="25"/>
  <c r="S114" i="25"/>
  <c r="K114" i="25" s="1"/>
  <c r="R114" i="25"/>
  <c r="Q114" i="25"/>
  <c r="J50" i="24"/>
  <c r="O50" i="24"/>
  <c r="BZ50" i="24" s="1"/>
  <c r="P143" i="24"/>
  <c r="Q143" i="24"/>
  <c r="J298" i="24"/>
  <c r="O298" i="24"/>
  <c r="BZ298" i="24" s="1"/>
  <c r="U186" i="24"/>
  <c r="P227" i="24"/>
  <c r="Q227" i="24"/>
  <c r="V40" i="24"/>
  <c r="U34" i="24"/>
  <c r="S71" i="25"/>
  <c r="K71" i="25" s="1"/>
  <c r="R71" i="25"/>
  <c r="Q71" i="25"/>
  <c r="P170" i="24"/>
  <c r="Q170" i="24"/>
  <c r="U42" i="25"/>
  <c r="U95" i="25"/>
  <c r="R201" i="25"/>
  <c r="S201" i="25"/>
  <c r="K201" i="25" s="1"/>
  <c r="V201" i="25" s="1"/>
  <c r="Q201" i="25"/>
  <c r="S292" i="25"/>
  <c r="K292" i="25" s="1"/>
  <c r="V292" i="25" s="1"/>
  <c r="R292" i="25"/>
  <c r="Q292" i="25"/>
  <c r="T99" i="25"/>
  <c r="V32" i="24"/>
  <c r="R92" i="25"/>
  <c r="S92" i="25"/>
  <c r="K92" i="25" s="1"/>
  <c r="Q92" i="25"/>
  <c r="Q261" i="24"/>
  <c r="P261" i="24"/>
  <c r="Q83" i="24"/>
  <c r="R83" i="24" s="1"/>
  <c r="P83" i="24"/>
  <c r="U148" i="25"/>
  <c r="R82" i="25"/>
  <c r="S82" i="25"/>
  <c r="K82" i="25" s="1"/>
  <c r="V82" i="25" s="1"/>
  <c r="Q82" i="25"/>
  <c r="U111" i="24"/>
  <c r="U162" i="25"/>
  <c r="P301" i="25"/>
  <c r="O301" i="25"/>
  <c r="T301" i="25"/>
  <c r="N280" i="24"/>
  <c r="J18" i="24"/>
  <c r="O18" i="24"/>
  <c r="BZ18" i="24" s="1"/>
  <c r="Q154" i="24"/>
  <c r="P154" i="24"/>
  <c r="AE44" i="24"/>
  <c r="X44" i="24"/>
  <c r="AA44" i="24" s="1"/>
  <c r="AB44" i="24" s="1"/>
  <c r="AC44" i="24" s="1"/>
  <c r="AI44" i="24"/>
  <c r="U46" i="25"/>
  <c r="Q9" i="24"/>
  <c r="R9" i="24" s="1"/>
  <c r="P9" i="24"/>
  <c r="P299" i="25"/>
  <c r="O299" i="25"/>
  <c r="T299" i="25"/>
  <c r="O181" i="24"/>
  <c r="BZ181" i="24" s="1"/>
  <c r="J181" i="24"/>
  <c r="W181" i="24" s="1"/>
  <c r="V163" i="24"/>
  <c r="P228" i="25"/>
  <c r="O228" i="25"/>
  <c r="T228" i="25"/>
  <c r="O19" i="25"/>
  <c r="P19" i="25"/>
  <c r="T298" i="25"/>
  <c r="U34" i="25"/>
  <c r="AE41" i="24"/>
  <c r="X41" i="24"/>
  <c r="AA41" i="24" s="1"/>
  <c r="AB41" i="24" s="1"/>
  <c r="AC41" i="24" s="1"/>
  <c r="AI41" i="24"/>
  <c r="P20" i="25"/>
  <c r="O20" i="25"/>
  <c r="P48" i="25"/>
  <c r="O48" i="25"/>
  <c r="O227" i="24"/>
  <c r="BZ227" i="24" s="1"/>
  <c r="J227" i="24"/>
  <c r="W227" i="24" s="1"/>
  <c r="AE191" i="24"/>
  <c r="AI191" i="24"/>
  <c r="X191" i="24"/>
  <c r="AA191" i="24" s="1"/>
  <c r="AB191" i="24" s="1"/>
  <c r="AC191" i="24" s="1"/>
  <c r="V205" i="24"/>
  <c r="Q179" i="24"/>
  <c r="P179" i="24"/>
  <c r="P180" i="25"/>
  <c r="O180" i="25"/>
  <c r="J163" i="24"/>
  <c r="W163" i="24" s="1"/>
  <c r="O163" i="24"/>
  <c r="BZ163" i="24" s="1"/>
  <c r="O291" i="24"/>
  <c r="BZ291" i="24" s="1"/>
  <c r="J291" i="24"/>
  <c r="N93" i="24"/>
  <c r="U93" i="24"/>
  <c r="P313" i="25"/>
  <c r="O313" i="25"/>
  <c r="T313" i="25"/>
  <c r="P303" i="25"/>
  <c r="O303" i="25"/>
  <c r="T303" i="25"/>
  <c r="P84" i="25"/>
  <c r="O84" i="25"/>
  <c r="T84" i="25"/>
  <c r="J148" i="24"/>
  <c r="O148" i="24"/>
  <c r="BZ148" i="24" s="1"/>
  <c r="P312" i="25"/>
  <c r="O312" i="25"/>
  <c r="U233" i="25"/>
  <c r="O120" i="24"/>
  <c r="BZ120" i="24" s="1"/>
  <c r="J120" i="24"/>
  <c r="B83" i="2"/>
  <c r="D83" i="2" s="1"/>
  <c r="O210" i="25"/>
  <c r="P210" i="25"/>
  <c r="T210" i="25"/>
  <c r="P127" i="25"/>
  <c r="O127" i="25"/>
  <c r="J218" i="24"/>
  <c r="O218" i="24"/>
  <c r="BZ218" i="24" s="1"/>
  <c r="O159" i="24"/>
  <c r="BZ159" i="24" s="1"/>
  <c r="J159" i="24"/>
  <c r="U144" i="24"/>
  <c r="O141" i="24"/>
  <c r="BZ141" i="24" s="1"/>
  <c r="J141" i="24"/>
  <c r="J253" i="24"/>
  <c r="O253" i="24"/>
  <c r="BZ253" i="24" s="1"/>
  <c r="O130" i="24"/>
  <c r="BZ130" i="24" s="1"/>
  <c r="J130" i="24"/>
  <c r="W130" i="24" s="1"/>
  <c r="N206" i="24"/>
  <c r="U206" i="24"/>
  <c r="V133" i="24"/>
  <c r="N123" i="24"/>
  <c r="U123" i="24"/>
  <c r="N161" i="24"/>
  <c r="U161" i="24"/>
  <c r="Q124" i="24"/>
  <c r="P124" i="24"/>
  <c r="N255" i="24"/>
  <c r="T118" i="25"/>
  <c r="J249" i="24"/>
  <c r="O249" i="24"/>
  <c r="BZ249" i="24" s="1"/>
  <c r="N42" i="24"/>
  <c r="U42" i="24"/>
  <c r="P271" i="25"/>
  <c r="O271" i="25"/>
  <c r="N131" i="24"/>
  <c r="U131" i="24"/>
  <c r="J118" i="24"/>
  <c r="O118" i="24"/>
  <c r="BZ118" i="24" s="1"/>
  <c r="P12" i="25"/>
  <c r="O12" i="25"/>
  <c r="T12" i="25"/>
  <c r="O207" i="24"/>
  <c r="BZ207" i="24" s="1"/>
  <c r="J207" i="24"/>
  <c r="Q66" i="24"/>
  <c r="R66" i="24" s="1"/>
  <c r="P66" i="24"/>
  <c r="O169" i="24"/>
  <c r="BZ169" i="24" s="1"/>
  <c r="J169" i="24"/>
  <c r="P43" i="25"/>
  <c r="O43" i="25"/>
  <c r="P57" i="25"/>
  <c r="O57" i="25"/>
  <c r="O49" i="24"/>
  <c r="BZ49" i="24" s="1"/>
  <c r="J49" i="24"/>
  <c r="J300" i="24"/>
  <c r="O300" i="24"/>
  <c r="BZ300" i="24" s="1"/>
  <c r="S305" i="25"/>
  <c r="K305" i="25" s="1"/>
  <c r="V305" i="25" s="1"/>
  <c r="R305" i="25"/>
  <c r="Q305" i="25"/>
  <c r="O150" i="24"/>
  <c r="BZ150" i="24" s="1"/>
  <c r="J150" i="24"/>
  <c r="AP179" i="24"/>
  <c r="J194" i="24"/>
  <c r="O194" i="24"/>
  <c r="BZ194" i="24" s="1"/>
  <c r="Q241" i="24"/>
  <c r="P241" i="24"/>
  <c r="Q35" i="24"/>
  <c r="R35" i="24" s="1"/>
  <c r="P35" i="24"/>
  <c r="P115" i="25"/>
  <c r="O115" i="25"/>
  <c r="T115" i="25"/>
  <c r="U9" i="24"/>
  <c r="P288" i="25"/>
  <c r="O288" i="25"/>
  <c r="T288" i="25"/>
  <c r="U97" i="25"/>
  <c r="U156" i="24"/>
  <c r="U144" i="25"/>
  <c r="U98" i="24"/>
  <c r="J187" i="24"/>
  <c r="O187" i="24"/>
  <c r="BZ187" i="24" s="1"/>
  <c r="BZ198" i="25"/>
  <c r="N263" i="24"/>
  <c r="J182" i="24"/>
  <c r="W182" i="24" s="1"/>
  <c r="O182" i="24"/>
  <c r="BZ182" i="24" s="1"/>
  <c r="U270" i="25"/>
  <c r="J71" i="24"/>
  <c r="O71" i="24"/>
  <c r="BZ71" i="24" s="1"/>
  <c r="J247" i="24"/>
  <c r="O247" i="24"/>
  <c r="BZ247" i="24" s="1"/>
  <c r="AP295" i="24"/>
  <c r="W162" i="24"/>
  <c r="Y162" i="24" s="1"/>
  <c r="J14" i="24"/>
  <c r="O14" i="24"/>
  <c r="BZ14" i="24" s="1"/>
  <c r="P244" i="24"/>
  <c r="Q244" i="24"/>
  <c r="P191" i="25"/>
  <c r="O191" i="25"/>
  <c r="V86" i="24"/>
  <c r="U61" i="25"/>
  <c r="P196" i="25"/>
  <c r="O196" i="25"/>
  <c r="T196" i="25"/>
  <c r="O117" i="24"/>
  <c r="BZ117" i="24" s="1"/>
  <c r="J117" i="24"/>
  <c r="P120" i="25"/>
  <c r="O120" i="25"/>
  <c r="N103" i="24"/>
  <c r="U103" i="24"/>
  <c r="O256" i="24"/>
  <c r="BZ256" i="24" s="1"/>
  <c r="J256" i="24"/>
  <c r="S131" i="25"/>
  <c r="K131" i="25" s="1"/>
  <c r="R131" i="25"/>
  <c r="Q131" i="25"/>
  <c r="P75" i="25"/>
  <c r="O75" i="25"/>
  <c r="T75" i="25"/>
  <c r="J9" i="24"/>
  <c r="O9" i="24"/>
  <c r="BZ9" i="24" s="1"/>
  <c r="J275" i="24"/>
  <c r="O275" i="24"/>
  <c r="BZ275" i="24" s="1"/>
  <c r="J230" i="24"/>
  <c r="O230" i="24"/>
  <c r="BZ230" i="24" s="1"/>
  <c r="O28" i="24"/>
  <c r="BZ28" i="24" s="1"/>
  <c r="J28" i="24"/>
  <c r="P35" i="25"/>
  <c r="O35" i="25"/>
  <c r="AP156" i="24"/>
  <c r="O297" i="24"/>
  <c r="BZ297" i="24" s="1"/>
  <c r="J297" i="24"/>
  <c r="Q87" i="24"/>
  <c r="R87" i="24" s="1"/>
  <c r="P87" i="24"/>
  <c r="T187" i="25"/>
  <c r="Q279" i="24"/>
  <c r="P279" i="24"/>
  <c r="P231" i="24"/>
  <c r="Q231" i="24"/>
  <c r="R232" i="25"/>
  <c r="S232" i="25"/>
  <c r="K232" i="25" s="1"/>
  <c r="Q232" i="25"/>
  <c r="R282" i="25"/>
  <c r="S282" i="25"/>
  <c r="K282" i="25" s="1"/>
  <c r="V282" i="25" s="1"/>
  <c r="Q282" i="25"/>
  <c r="U58" i="25"/>
  <c r="U185" i="25"/>
  <c r="U112" i="24"/>
  <c r="V19" i="24"/>
  <c r="O185" i="24"/>
  <c r="BZ185" i="24" s="1"/>
  <c r="J185" i="24"/>
  <c r="S199" i="25"/>
  <c r="K199" i="25" s="1"/>
  <c r="V199" i="25" s="1"/>
  <c r="R199" i="25"/>
  <c r="Q199" i="25"/>
  <c r="V313" i="24"/>
  <c r="U283" i="25"/>
  <c r="V223" i="24"/>
  <c r="J143" i="24"/>
  <c r="O143" i="24"/>
  <c r="BZ143" i="24" s="1"/>
  <c r="Q168" i="24"/>
  <c r="P168" i="24"/>
  <c r="P186" i="24"/>
  <c r="Q186" i="24"/>
  <c r="O152" i="24"/>
  <c r="BZ152" i="24" s="1"/>
  <c r="J152" i="24"/>
  <c r="S31" i="25"/>
  <c r="K31" i="25" s="1"/>
  <c r="R31" i="25"/>
  <c r="Q31" i="25"/>
  <c r="Q40" i="24"/>
  <c r="R40" i="24" s="1"/>
  <c r="P40" i="24"/>
  <c r="R13" i="25"/>
  <c r="S13" i="25"/>
  <c r="K13" i="25" s="1"/>
  <c r="Q13" i="25"/>
  <c r="U9" i="25"/>
  <c r="U195" i="25"/>
  <c r="P164" i="25"/>
  <c r="O164" i="25"/>
  <c r="U96" i="24"/>
  <c r="S95" i="25"/>
  <c r="K95" i="25" s="1"/>
  <c r="V95" i="25" s="1"/>
  <c r="R95" i="25"/>
  <c r="Q95" i="25"/>
  <c r="S192" i="25"/>
  <c r="K192" i="25" s="1"/>
  <c r="R192" i="25"/>
  <c r="Q192" i="25"/>
  <c r="J243" i="24"/>
  <c r="O243" i="24"/>
  <c r="BZ243" i="24" s="1"/>
  <c r="P32" i="24"/>
  <c r="Q32" i="24"/>
  <c r="R32" i="24" s="1"/>
  <c r="V10" i="24"/>
  <c r="W7" i="24"/>
  <c r="Y7" i="24" s="1"/>
  <c r="P16" i="25"/>
  <c r="O16" i="25"/>
  <c r="P141" i="25"/>
  <c r="O141" i="25"/>
  <c r="V147" i="24"/>
  <c r="T103" i="25"/>
  <c r="V303" i="24"/>
  <c r="U240" i="25"/>
  <c r="S148" i="25"/>
  <c r="K148" i="25" s="1"/>
  <c r="V148" i="25" s="1"/>
  <c r="R148" i="25"/>
  <c r="Q148" i="25"/>
  <c r="P111" i="24"/>
  <c r="Q111" i="24"/>
  <c r="J224" i="24"/>
  <c r="O224" i="24"/>
  <c r="BZ224" i="24" s="1"/>
  <c r="P40" i="25"/>
  <c r="O40" i="25"/>
  <c r="T40" i="25"/>
  <c r="P92" i="24"/>
  <c r="Q92" i="24"/>
  <c r="R92" i="24" s="1"/>
  <c r="U51" i="25"/>
  <c r="U15" i="25"/>
  <c r="P22" i="25"/>
  <c r="O22" i="25"/>
  <c r="T22" i="25"/>
  <c r="U279" i="25"/>
  <c r="V24" i="24"/>
  <c r="P309" i="25"/>
  <c r="O309" i="25"/>
  <c r="J134" i="24"/>
  <c r="O134" i="24"/>
  <c r="BZ134" i="24" s="1"/>
  <c r="N204" i="24"/>
  <c r="U204" i="24"/>
  <c r="P182" i="25"/>
  <c r="O182" i="25"/>
  <c r="J228" i="24"/>
  <c r="O228" i="24"/>
  <c r="BZ228" i="24" s="1"/>
  <c r="P311" i="25"/>
  <c r="O311" i="25"/>
  <c r="P287" i="25"/>
  <c r="O287" i="25"/>
  <c r="T287" i="25"/>
  <c r="Q17" i="24"/>
  <c r="R17" i="24" s="1"/>
  <c r="P17" i="24"/>
  <c r="P101" i="25"/>
  <c r="O101" i="25"/>
  <c r="P76" i="25"/>
  <c r="O76" i="25"/>
  <c r="T76" i="25"/>
  <c r="N260" i="24"/>
  <c r="P156" i="25"/>
  <c r="O156" i="25"/>
  <c r="T156" i="25"/>
  <c r="U33" i="25"/>
  <c r="AP240" i="24"/>
  <c r="U171" i="24"/>
  <c r="T121" i="25"/>
  <c r="J279" i="24"/>
  <c r="W279" i="24" s="1"/>
  <c r="O279" i="24"/>
  <c r="BZ279" i="24" s="1"/>
  <c r="O200" i="24"/>
  <c r="BZ200" i="24" s="1"/>
  <c r="J200" i="24"/>
  <c r="W200" i="24" s="1"/>
  <c r="P117" i="25"/>
  <c r="O117" i="25"/>
  <c r="P297" i="25"/>
  <c r="O297" i="25"/>
  <c r="T297" i="25"/>
  <c r="N259" i="24"/>
  <c r="J83" i="24"/>
  <c r="W83" i="24" s="1"/>
  <c r="O83" i="24"/>
  <c r="BZ83" i="24" s="1"/>
  <c r="U52" i="25"/>
  <c r="N158" i="24"/>
  <c r="U158" i="24"/>
  <c r="Q96" i="24"/>
  <c r="R96" i="24" s="1"/>
  <c r="P96" i="24"/>
  <c r="N58" i="24"/>
  <c r="U58" i="24"/>
  <c r="N149" i="24"/>
  <c r="U149" i="24"/>
  <c r="O112" i="25"/>
  <c r="P112" i="25"/>
  <c r="T112" i="25"/>
  <c r="P125" i="25"/>
  <c r="O125" i="25"/>
  <c r="T125" i="25"/>
  <c r="J220" i="24"/>
  <c r="O220" i="24"/>
  <c r="BZ220" i="24" s="1"/>
  <c r="U254" i="25"/>
  <c r="J27" i="24"/>
  <c r="O27" i="24"/>
  <c r="BZ27" i="24" s="1"/>
  <c r="P83" i="25"/>
  <c r="O83" i="25"/>
  <c r="P90" i="25"/>
  <c r="O90" i="25"/>
  <c r="T90" i="25"/>
  <c r="U196" i="24"/>
  <c r="V48" i="24"/>
  <c r="O31" i="24"/>
  <c r="BZ31" i="24" s="1"/>
  <c r="J31" i="24"/>
  <c r="AP293" i="24"/>
  <c r="J59" i="24"/>
  <c r="O59" i="24"/>
  <c r="BZ59" i="24" s="1"/>
  <c r="P37" i="25"/>
  <c r="O37" i="25"/>
  <c r="O206" i="24"/>
  <c r="BZ206" i="24" s="1"/>
  <c r="J206" i="24"/>
  <c r="P263" i="25"/>
  <c r="O263" i="25"/>
  <c r="O219" i="24"/>
  <c r="BZ219" i="24" s="1"/>
  <c r="J219" i="24"/>
  <c r="W219" i="24" s="1"/>
  <c r="J140" i="24"/>
  <c r="O140" i="24"/>
  <c r="BZ140" i="24" s="1"/>
  <c r="O169" i="25"/>
  <c r="P169" i="25"/>
  <c r="T169" i="25"/>
  <c r="AO170" i="25"/>
  <c r="AP135" i="24"/>
  <c r="O210" i="24"/>
  <c r="BZ210" i="24" s="1"/>
  <c r="J210" i="24"/>
  <c r="N26" i="24"/>
  <c r="U26" i="24"/>
  <c r="R34" i="25"/>
  <c r="S34" i="25"/>
  <c r="K34" i="25" s="1"/>
  <c r="Q34" i="25"/>
  <c r="N183" i="24"/>
  <c r="U183" i="24"/>
  <c r="O42" i="24"/>
  <c r="BZ42" i="24" s="1"/>
  <c r="J42" i="24"/>
  <c r="J58" i="24"/>
  <c r="O58" i="24"/>
  <c r="BZ58" i="24" s="1"/>
  <c r="O25" i="24"/>
  <c r="BZ25" i="24" s="1"/>
  <c r="J25" i="24"/>
  <c r="W25" i="24" s="1"/>
  <c r="U82" i="25"/>
  <c r="AE190" i="24"/>
  <c r="X190" i="24"/>
  <c r="AA190" i="24" s="1"/>
  <c r="AB190" i="24" s="1"/>
  <c r="AC190" i="24" s="1"/>
  <c r="AI190" i="24"/>
  <c r="P279" i="25"/>
  <c r="O279" i="25"/>
  <c r="P300" i="25"/>
  <c r="O300" i="25"/>
  <c r="Q177" i="24"/>
  <c r="P177" i="24"/>
  <c r="P316" i="25"/>
  <c r="O316" i="25"/>
  <c r="B86" i="2"/>
  <c r="V72" i="24"/>
  <c r="J66" i="24"/>
  <c r="O66" i="24"/>
  <c r="BZ66" i="24" s="1"/>
  <c r="J60" i="24"/>
  <c r="O60" i="24"/>
  <c r="BZ60" i="24" s="1"/>
  <c r="AP13" i="24"/>
  <c r="J144" i="24"/>
  <c r="O144" i="24"/>
  <c r="BZ144" i="24" s="1"/>
  <c r="O241" i="24"/>
  <c r="BZ241" i="24" s="1"/>
  <c r="J241" i="24"/>
  <c r="P198" i="24"/>
  <c r="Q198" i="24"/>
  <c r="P128" i="24"/>
  <c r="Q128" i="24"/>
  <c r="P45" i="25"/>
  <c r="O45" i="25"/>
  <c r="N80" i="24"/>
  <c r="U80" i="24"/>
  <c r="AP124" i="24"/>
  <c r="U310" i="25"/>
  <c r="Q201" i="24"/>
  <c r="P201" i="24"/>
  <c r="V53" i="24"/>
  <c r="U59" i="25"/>
  <c r="AO62" i="25"/>
  <c r="J203" i="24"/>
  <c r="O203" i="24"/>
  <c r="BZ203" i="24" s="1"/>
  <c r="V181" i="24"/>
  <c r="U247" i="25"/>
  <c r="O8" i="24"/>
  <c r="BZ8" i="24" s="1"/>
  <c r="J8" i="24"/>
  <c r="AO198" i="25"/>
  <c r="AP104" i="24"/>
  <c r="O137" i="24"/>
  <c r="BZ137" i="24" s="1"/>
  <c r="J137" i="24"/>
  <c r="W41" i="24"/>
  <c r="Y41" i="24" s="1"/>
  <c r="AP102" i="24"/>
  <c r="U75" i="24"/>
  <c r="W191" i="24"/>
  <c r="Y191" i="24" s="1"/>
  <c r="O75" i="24"/>
  <c r="BZ75" i="24" s="1"/>
  <c r="J75" i="24"/>
  <c r="P254" i="25"/>
  <c r="O254" i="25"/>
  <c r="P231" i="25"/>
  <c r="O231" i="25"/>
  <c r="T231" i="25"/>
  <c r="O90" i="24"/>
  <c r="BZ90" i="24" s="1"/>
  <c r="J90" i="24"/>
  <c r="P227" i="25"/>
  <c r="O227" i="25"/>
  <c r="AP201" i="24"/>
  <c r="P183" i="25"/>
  <c r="O183" i="25"/>
  <c r="T183" i="25"/>
  <c r="P140" i="25"/>
  <c r="O140" i="25"/>
  <c r="T140" i="25"/>
  <c r="T101" i="25"/>
  <c r="P115" i="24"/>
  <c r="Q115" i="24"/>
  <c r="J103" i="24"/>
  <c r="O103" i="24"/>
  <c r="BZ103" i="24" s="1"/>
  <c r="AP75" i="24"/>
  <c r="T157" i="25"/>
  <c r="P128" i="25"/>
  <c r="O128" i="25"/>
  <c r="T171" i="25"/>
  <c r="J172" i="24"/>
  <c r="O172" i="24"/>
  <c r="BZ172" i="24" s="1"/>
  <c r="AE22" i="24"/>
  <c r="X22" i="24"/>
  <c r="AA22" i="24" s="1"/>
  <c r="AB22" i="24" s="1"/>
  <c r="AC22" i="24" s="1"/>
  <c r="AI22" i="24"/>
  <c r="BZ131" i="25"/>
  <c r="P256" i="25"/>
  <c r="O256" i="25"/>
  <c r="P149" i="25"/>
  <c r="O149" i="25"/>
  <c r="O258" i="24"/>
  <c r="BZ258" i="24" s="1"/>
  <c r="J258" i="24"/>
  <c r="O284" i="24"/>
  <c r="BZ284" i="24" s="1"/>
  <c r="J284" i="24"/>
  <c r="O87" i="24"/>
  <c r="BZ87" i="24" s="1"/>
  <c r="J87" i="24"/>
  <c r="O269" i="24"/>
  <c r="BZ269" i="24" s="1"/>
  <c r="J269" i="24"/>
  <c r="U14" i="25"/>
  <c r="V16" i="24"/>
  <c r="U138" i="24"/>
  <c r="R247" i="25"/>
  <c r="S247" i="25"/>
  <c r="K247" i="25" s="1"/>
  <c r="V247" i="25" s="1"/>
  <c r="Q247" i="25"/>
  <c r="P58" i="25"/>
  <c r="O58" i="25"/>
  <c r="Q19" i="24"/>
  <c r="R19" i="24" s="1"/>
  <c r="P19" i="24"/>
  <c r="U168" i="24"/>
  <c r="P38" i="25"/>
  <c r="O38" i="25"/>
  <c r="T38" i="25"/>
  <c r="U248" i="25"/>
  <c r="Q313" i="24"/>
  <c r="P313" i="24"/>
  <c r="S283" i="25"/>
  <c r="K283" i="25" s="1"/>
  <c r="V283" i="25" s="1"/>
  <c r="R283" i="25"/>
  <c r="Q283" i="25"/>
  <c r="BZ257" i="25"/>
  <c r="AP243" i="24"/>
  <c r="AP185" i="24"/>
  <c r="S314" i="25"/>
  <c r="K314" i="25" s="1"/>
  <c r="V314" i="25" s="1"/>
  <c r="R314" i="25"/>
  <c r="Q314" i="25"/>
  <c r="V310" i="24"/>
  <c r="T55" i="25"/>
  <c r="P44" i="25"/>
  <c r="O44" i="25"/>
  <c r="T44" i="25"/>
  <c r="J170" i="24"/>
  <c r="O170" i="24"/>
  <c r="BZ170" i="24" s="1"/>
  <c r="W119" i="24"/>
  <c r="Y119" i="24" s="1"/>
  <c r="V142" i="24"/>
  <c r="W142" i="24"/>
  <c r="P42" i="25"/>
  <c r="O42" i="25"/>
  <c r="U159" i="24"/>
  <c r="P10" i="24"/>
  <c r="Q10" i="24"/>
  <c r="R10" i="24" s="1"/>
  <c r="V130" i="24"/>
  <c r="V268" i="24"/>
  <c r="J261" i="24"/>
  <c r="O261" i="24"/>
  <c r="BZ261" i="24" s="1"/>
  <c r="Q303" i="24"/>
  <c r="P303" i="24"/>
  <c r="R240" i="25"/>
  <c r="S240" i="25"/>
  <c r="K240" i="25" s="1"/>
  <c r="V240" i="25" s="1"/>
  <c r="Q240" i="25"/>
  <c r="V97" i="24"/>
  <c r="T105" i="25"/>
  <c r="W292" i="24"/>
  <c r="Y292" i="24" s="1"/>
  <c r="AP223" i="24" l="1"/>
  <c r="W233" i="24"/>
  <c r="Y233" i="24" s="1"/>
  <c r="W236" i="24"/>
  <c r="Y236" i="24" s="1"/>
  <c r="AO190" i="25"/>
  <c r="Q300" i="24"/>
  <c r="BZ190" i="25"/>
  <c r="AP284" i="24"/>
  <c r="Q190" i="25"/>
  <c r="R190" i="25"/>
  <c r="W294" i="24"/>
  <c r="Y294" i="24" s="1"/>
  <c r="Q301" i="24"/>
  <c r="P301" i="24"/>
  <c r="W264" i="24"/>
  <c r="Y264" i="24" s="1"/>
  <c r="AP300" i="24"/>
  <c r="AP289" i="24"/>
  <c r="P222" i="24"/>
  <c r="AP222" i="24"/>
  <c r="Q284" i="24"/>
  <c r="Q275" i="24"/>
  <c r="P275" i="24"/>
  <c r="P253" i="24"/>
  <c r="Q253" i="24"/>
  <c r="Q297" i="24"/>
  <c r="P297" i="24"/>
  <c r="Q289" i="24"/>
  <c r="Q285" i="24"/>
  <c r="P285" i="24"/>
  <c r="R262" i="25"/>
  <c r="Q262" i="25"/>
  <c r="S262" i="25"/>
  <c r="K262" i="25" s="1"/>
  <c r="V262" i="25" s="1"/>
  <c r="X262" i="25" s="1"/>
  <c r="BZ262" i="25"/>
  <c r="X170" i="25"/>
  <c r="AO96" i="25"/>
  <c r="Q94" i="25"/>
  <c r="BZ94" i="25"/>
  <c r="R94" i="25"/>
  <c r="AO94" i="25"/>
  <c r="Y270" i="24"/>
  <c r="W55" i="24"/>
  <c r="Y55" i="24" s="1"/>
  <c r="Y268" i="24"/>
  <c r="Y97" i="24"/>
  <c r="Y61" i="24"/>
  <c r="Y205" i="24"/>
  <c r="Y248" i="24"/>
  <c r="Y238" i="24"/>
  <c r="Y313" i="24"/>
  <c r="Y237" i="24"/>
  <c r="Y303" i="24"/>
  <c r="Y133" i="24"/>
  <c r="X62" i="25"/>
  <c r="Y130" i="24"/>
  <c r="Y52" i="24"/>
  <c r="Y32" i="24"/>
  <c r="Y24" i="24"/>
  <c r="Y30" i="24"/>
  <c r="X248" i="25"/>
  <c r="Y142" i="24"/>
  <c r="Y310" i="24"/>
  <c r="Y68" i="24"/>
  <c r="Y48" i="24"/>
  <c r="Y306" i="24"/>
  <c r="Y223" i="24"/>
  <c r="Y226" i="24"/>
  <c r="Y231" i="24"/>
  <c r="X204" i="25"/>
  <c r="Y16" i="24"/>
  <c r="Y234" i="24"/>
  <c r="Y43" i="24"/>
  <c r="X147" i="25"/>
  <c r="X82" i="25"/>
  <c r="AO104" i="25"/>
  <c r="Y147" i="24"/>
  <c r="Y307" i="24"/>
  <c r="Y181" i="24"/>
  <c r="X59" i="25"/>
  <c r="X275" i="25"/>
  <c r="X14" i="25"/>
  <c r="X229" i="25"/>
  <c r="Y182" i="24"/>
  <c r="Y272" i="24"/>
  <c r="Y271" i="24"/>
  <c r="Y190" i="24"/>
  <c r="Y219" i="24"/>
  <c r="X89" i="25"/>
  <c r="Y199" i="24"/>
  <c r="Y227" i="24"/>
  <c r="Y121" i="24"/>
  <c r="X283" i="25"/>
  <c r="X161" i="25"/>
  <c r="Y279" i="24"/>
  <c r="Y290" i="24"/>
  <c r="Y163" i="24"/>
  <c r="Y200" i="24"/>
  <c r="Y312" i="24"/>
  <c r="X292" i="25"/>
  <c r="X113" i="25"/>
  <c r="X199" i="25"/>
  <c r="X201" i="25"/>
  <c r="X238" i="25"/>
  <c r="X158" i="25"/>
  <c r="X32" i="25"/>
  <c r="X267" i="25"/>
  <c r="X282" i="25"/>
  <c r="X273" i="25"/>
  <c r="X314" i="25"/>
  <c r="X247" i="25"/>
  <c r="X178" i="25"/>
  <c r="X21" i="25"/>
  <c r="X276" i="25"/>
  <c r="X87" i="25"/>
  <c r="X240" i="25"/>
  <c r="X148" i="25"/>
  <c r="X95" i="25"/>
  <c r="X305" i="25"/>
  <c r="X30" i="25"/>
  <c r="X173" i="25"/>
  <c r="X243" i="25"/>
  <c r="Y86" i="24"/>
  <c r="Y19" i="24"/>
  <c r="Y22" i="24"/>
  <c r="Y72" i="24"/>
  <c r="Y44" i="24"/>
  <c r="Y53" i="24"/>
  <c r="Y10" i="24"/>
  <c r="Y40" i="24"/>
  <c r="Y83" i="24"/>
  <c r="Y21" i="24"/>
  <c r="Y25" i="24"/>
  <c r="Y101" i="24"/>
  <c r="Y62" i="24"/>
  <c r="W160" i="24"/>
  <c r="Y160" i="24" s="1"/>
  <c r="S11" i="25"/>
  <c r="K11" i="25" s="1"/>
  <c r="V11" i="25" s="1"/>
  <c r="X11" i="25" s="1"/>
  <c r="R11" i="25"/>
  <c r="Q11" i="25"/>
  <c r="R280" i="25"/>
  <c r="S280" i="25"/>
  <c r="K280" i="25" s="1"/>
  <c r="V280" i="25" s="1"/>
  <c r="X280" i="25" s="1"/>
  <c r="BZ11" i="25"/>
  <c r="AO280" i="25"/>
  <c r="BZ280" i="25"/>
  <c r="W305" i="24"/>
  <c r="Y305" i="24" s="1"/>
  <c r="S155" i="25"/>
  <c r="K155" i="25" s="1"/>
  <c r="W155" i="25" s="1"/>
  <c r="Z155" i="25" s="1"/>
  <c r="AA155" i="25" s="1"/>
  <c r="AB155" i="25" s="1"/>
  <c r="AI155" i="25" s="1"/>
  <c r="R155" i="25"/>
  <c r="W267" i="24"/>
  <c r="Y267" i="24" s="1"/>
  <c r="AJ191" i="24"/>
  <c r="AT191" i="24" s="1"/>
  <c r="Q155" i="25"/>
  <c r="W252" i="24"/>
  <c r="Y252" i="24" s="1"/>
  <c r="AJ190" i="24"/>
  <c r="AT190" i="24" s="1"/>
  <c r="W152" i="24"/>
  <c r="Y152" i="24" s="1"/>
  <c r="Q96" i="25"/>
  <c r="W12" i="24"/>
  <c r="Y12" i="24" s="1"/>
  <c r="R96" i="25"/>
  <c r="S96" i="25"/>
  <c r="K96" i="25" s="1"/>
  <c r="AD96" i="25" s="1"/>
  <c r="W178" i="24"/>
  <c r="Y178" i="24" s="1"/>
  <c r="W128" i="24"/>
  <c r="Y128" i="24" s="1"/>
  <c r="BZ155" i="25"/>
  <c r="W87" i="24"/>
  <c r="Y87" i="24" s="1"/>
  <c r="BZ96" i="25"/>
  <c r="W137" i="24"/>
  <c r="Y137" i="24" s="1"/>
  <c r="W276" i="24"/>
  <c r="Y276" i="24" s="1"/>
  <c r="W74" i="24"/>
  <c r="Y74" i="24" s="1"/>
  <c r="W286" i="24"/>
  <c r="Y286" i="24" s="1"/>
  <c r="W254" i="24"/>
  <c r="Y254" i="24" s="1"/>
  <c r="W60" i="24"/>
  <c r="Y60" i="24" s="1"/>
  <c r="W143" i="25"/>
  <c r="Z143" i="25" s="1"/>
  <c r="AA143" i="25" s="1"/>
  <c r="AB143" i="25" s="1"/>
  <c r="AI143" i="25" s="1"/>
  <c r="AS143" i="25" s="1"/>
  <c r="Q265" i="25"/>
  <c r="AD143" i="25"/>
  <c r="AE143" i="25" s="1"/>
  <c r="AJ162" i="24"/>
  <c r="AT162" i="24" s="1"/>
  <c r="AJ160" i="24"/>
  <c r="AT160" i="24" s="1"/>
  <c r="Q154" i="25"/>
  <c r="S154" i="25"/>
  <c r="K154" i="25" s="1"/>
  <c r="V154" i="25" s="1"/>
  <c r="X154" i="25" s="1"/>
  <c r="R154" i="25"/>
  <c r="W296" i="24"/>
  <c r="Y296" i="24" s="1"/>
  <c r="BZ154" i="25"/>
  <c r="W314" i="24"/>
  <c r="Y314" i="24" s="1"/>
  <c r="AJ101" i="24"/>
  <c r="W165" i="24"/>
  <c r="Y165" i="24" s="1"/>
  <c r="W157" i="24"/>
  <c r="Y157" i="24" s="1"/>
  <c r="W217" i="24"/>
  <c r="Y217" i="24" s="1"/>
  <c r="W91" i="24"/>
  <c r="Y91" i="24" s="1"/>
  <c r="P223" i="24"/>
  <c r="Q223" i="24"/>
  <c r="BZ97" i="25"/>
  <c r="W230" i="24"/>
  <c r="Y230" i="24" s="1"/>
  <c r="Q97" i="25"/>
  <c r="R97" i="25"/>
  <c r="S97" i="25"/>
  <c r="K97" i="25" s="1"/>
  <c r="V97" i="25" s="1"/>
  <c r="X97" i="25" s="1"/>
  <c r="AO97" i="25"/>
  <c r="Q258" i="25"/>
  <c r="S258" i="25"/>
  <c r="K258" i="25" s="1"/>
  <c r="V258" i="25" s="1"/>
  <c r="X258" i="25" s="1"/>
  <c r="W302" i="24"/>
  <c r="Y302" i="24" s="1"/>
  <c r="R258" i="25"/>
  <c r="AO258" i="25"/>
  <c r="W208" i="24"/>
  <c r="Y208" i="24" s="1"/>
  <c r="W49" i="24"/>
  <c r="Y49" i="24" s="1"/>
  <c r="S265" i="25"/>
  <c r="K265" i="25" s="1"/>
  <c r="AD265" i="25" s="1"/>
  <c r="BZ29" i="25"/>
  <c r="R265" i="25"/>
  <c r="Q291" i="25"/>
  <c r="AO29" i="25"/>
  <c r="R291" i="25"/>
  <c r="Q29" i="25"/>
  <c r="S291" i="25"/>
  <c r="K291" i="25" s="1"/>
  <c r="V291" i="25" s="1"/>
  <c r="X291" i="25" s="1"/>
  <c r="S29" i="25"/>
  <c r="K29" i="25" s="1"/>
  <c r="AD29" i="25" s="1"/>
  <c r="BZ265" i="25"/>
  <c r="R59" i="25"/>
  <c r="Q189" i="25"/>
  <c r="W37" i="24"/>
  <c r="S189" i="25"/>
  <c r="K189" i="25" s="1"/>
  <c r="W189" i="25" s="1"/>
  <c r="Z189" i="25" s="1"/>
  <c r="AA189" i="25" s="1"/>
  <c r="AB189" i="25" s="1"/>
  <c r="AI189" i="25" s="1"/>
  <c r="R189" i="25"/>
  <c r="BZ189" i="25"/>
  <c r="AO179" i="25"/>
  <c r="BZ179" i="25"/>
  <c r="Q179" i="25"/>
  <c r="S179" i="25"/>
  <c r="K179" i="25" s="1"/>
  <c r="V179" i="25" s="1"/>
  <c r="X179" i="25" s="1"/>
  <c r="BZ291" i="25"/>
  <c r="V37" i="24"/>
  <c r="W125" i="24"/>
  <c r="Y125" i="24" s="1"/>
  <c r="R28" i="25"/>
  <c r="W50" i="24"/>
  <c r="Y50" i="24" s="1"/>
  <c r="W265" i="24"/>
  <c r="Y265" i="24" s="1"/>
  <c r="W11" i="24"/>
  <c r="Y11" i="24" s="1"/>
  <c r="W175" i="24"/>
  <c r="Y175" i="24" s="1"/>
  <c r="W201" i="24"/>
  <c r="Y201" i="24" s="1"/>
  <c r="Q104" i="25"/>
  <c r="Q28" i="25"/>
  <c r="S28" i="25"/>
  <c r="K28" i="25" s="1"/>
  <c r="AD28" i="25" s="1"/>
  <c r="W253" i="24"/>
  <c r="Y253" i="24" s="1"/>
  <c r="Q59" i="25"/>
  <c r="R104" i="25"/>
  <c r="S104" i="25"/>
  <c r="K104" i="25" s="1"/>
  <c r="W104" i="25" s="1"/>
  <c r="Z104" i="25" s="1"/>
  <c r="AA104" i="25" s="1"/>
  <c r="AB104" i="25" s="1"/>
  <c r="AI104" i="25" s="1"/>
  <c r="Q237" i="25"/>
  <c r="BZ237" i="25"/>
  <c r="AO237" i="25"/>
  <c r="S237" i="25"/>
  <c r="K237" i="25" s="1"/>
  <c r="V237" i="25" s="1"/>
  <c r="X237" i="25" s="1"/>
  <c r="BZ104" i="25"/>
  <c r="BZ28" i="25"/>
  <c r="BZ59" i="25"/>
  <c r="AO59" i="25"/>
  <c r="W274" i="24"/>
  <c r="Y274" i="24" s="1"/>
  <c r="W20" i="24"/>
  <c r="Y20" i="24" s="1"/>
  <c r="W70" i="24"/>
  <c r="Y70" i="24" s="1"/>
  <c r="BN212" i="25"/>
  <c r="I212" i="25"/>
  <c r="CC212" i="25"/>
  <c r="BM212" i="25"/>
  <c r="AL212" i="25"/>
  <c r="J212" i="25"/>
  <c r="L212" i="25" s="1"/>
  <c r="AJ21" i="24"/>
  <c r="W124" i="24"/>
  <c r="AJ45" i="24"/>
  <c r="W224" i="24"/>
  <c r="Y224" i="24" s="1"/>
  <c r="W198" i="24"/>
  <c r="Y198" i="24" s="1"/>
  <c r="V124" i="24"/>
  <c r="W56" i="24"/>
  <c r="Y56" i="24" s="1"/>
  <c r="W169" i="24"/>
  <c r="Y169" i="24" s="1"/>
  <c r="AO77" i="25"/>
  <c r="S77" i="25"/>
  <c r="K77" i="25" s="1"/>
  <c r="BZ77" i="25"/>
  <c r="R77" i="25"/>
  <c r="Q77" i="25"/>
  <c r="AJ44" i="24"/>
  <c r="AJ55" i="24"/>
  <c r="AJ294" i="24"/>
  <c r="AT294" i="24" s="1"/>
  <c r="AJ41" i="24"/>
  <c r="AJ257" i="24"/>
  <c r="AT257" i="24" s="1"/>
  <c r="AJ119" i="24"/>
  <c r="AT119" i="24" s="1"/>
  <c r="AJ7" i="24"/>
  <c r="AJ233" i="24"/>
  <c r="AT233" i="24" s="1"/>
  <c r="AE284" i="24"/>
  <c r="AI284" i="24"/>
  <c r="X284" i="24"/>
  <c r="AA284" i="24" s="1"/>
  <c r="AB284" i="24" s="1"/>
  <c r="AC284" i="24" s="1"/>
  <c r="AE210" i="24"/>
  <c r="AI210" i="24"/>
  <c r="X210" i="24"/>
  <c r="AA210" i="24" s="1"/>
  <c r="AB210" i="24" s="1"/>
  <c r="AC210" i="24" s="1"/>
  <c r="U288" i="25"/>
  <c r="AE120" i="24"/>
  <c r="AI120" i="24"/>
  <c r="X120" i="24"/>
  <c r="AA120" i="24" s="1"/>
  <c r="AB120" i="24" s="1"/>
  <c r="AC120" i="24" s="1"/>
  <c r="U303" i="25"/>
  <c r="AD114" i="25"/>
  <c r="W114" i="25"/>
  <c r="Z114" i="25" s="1"/>
  <c r="AA114" i="25" s="1"/>
  <c r="AB114" i="25" s="1"/>
  <c r="AI114" i="25" s="1"/>
  <c r="V295" i="24"/>
  <c r="W295" i="24"/>
  <c r="S18" i="25"/>
  <c r="K18" i="25" s="1"/>
  <c r="V18" i="25" s="1"/>
  <c r="R18" i="25"/>
  <c r="Q18" i="25"/>
  <c r="AO18" i="25"/>
  <c r="BZ18" i="25"/>
  <c r="S88" i="25"/>
  <c r="K88" i="25" s="1"/>
  <c r="R88" i="25"/>
  <c r="Q88" i="25"/>
  <c r="AO88" i="25"/>
  <c r="BZ88" i="25"/>
  <c r="AE155" i="24"/>
  <c r="AI155" i="24"/>
  <c r="X155" i="24"/>
  <c r="AA155" i="24" s="1"/>
  <c r="AB155" i="24" s="1"/>
  <c r="AC155" i="24" s="1"/>
  <c r="AE250" i="24"/>
  <c r="AI250" i="24"/>
  <c r="X250" i="24"/>
  <c r="AA250" i="24" s="1"/>
  <c r="AB250" i="24" s="1"/>
  <c r="AC250" i="24" s="1"/>
  <c r="W298" i="24"/>
  <c r="V298" i="24"/>
  <c r="AD167" i="25"/>
  <c r="W167" i="25"/>
  <c r="Z167" i="25" s="1"/>
  <c r="AA167" i="25" s="1"/>
  <c r="AB167" i="25" s="1"/>
  <c r="AI167" i="25" s="1"/>
  <c r="AE81" i="24"/>
  <c r="AI81" i="24"/>
  <c r="X81" i="24"/>
  <c r="AA81" i="24" s="1"/>
  <c r="AB81" i="24" s="1"/>
  <c r="AC81" i="24" s="1"/>
  <c r="Q117" i="24"/>
  <c r="P117" i="24"/>
  <c r="AP117" i="24"/>
  <c r="AE278" i="24"/>
  <c r="AI278" i="24"/>
  <c r="X278" i="24"/>
  <c r="AA278" i="24" s="1"/>
  <c r="AB278" i="24" s="1"/>
  <c r="AC278" i="24" s="1"/>
  <c r="S56" i="25"/>
  <c r="K56" i="25" s="1"/>
  <c r="V56" i="25" s="1"/>
  <c r="R56" i="25"/>
  <c r="Q56" i="25"/>
  <c r="BZ56" i="25"/>
  <c r="AO56" i="25"/>
  <c r="AE232" i="24"/>
  <c r="AI232" i="24"/>
  <c r="X232" i="24"/>
  <c r="AA232" i="24" s="1"/>
  <c r="AB232" i="24" s="1"/>
  <c r="AC232" i="24" s="1"/>
  <c r="Q187" i="24"/>
  <c r="P187" i="24"/>
  <c r="AP187" i="24"/>
  <c r="W17" i="24"/>
  <c r="V17" i="24"/>
  <c r="R251" i="25"/>
  <c r="S251" i="25"/>
  <c r="K251" i="25" s="1"/>
  <c r="V251" i="25" s="1"/>
  <c r="Q251" i="25"/>
  <c r="AO251" i="25"/>
  <c r="BZ251" i="25"/>
  <c r="AG162" i="24"/>
  <c r="AF162" i="24"/>
  <c r="AE282" i="24"/>
  <c r="AI282" i="24"/>
  <c r="X282" i="24"/>
  <c r="AA282" i="24" s="1"/>
  <c r="AB282" i="24" s="1"/>
  <c r="AC282" i="24" s="1"/>
  <c r="V59" i="24"/>
  <c r="W59" i="24"/>
  <c r="R49" i="25"/>
  <c r="S49" i="25"/>
  <c r="K49" i="25" s="1"/>
  <c r="Q49" i="25"/>
  <c r="AO49" i="25"/>
  <c r="BZ49" i="25"/>
  <c r="AE305" i="24"/>
  <c r="AI305" i="24"/>
  <c r="X305" i="24"/>
  <c r="AA305" i="24" s="1"/>
  <c r="AB305" i="24" s="1"/>
  <c r="AC305" i="24" s="1"/>
  <c r="R249" i="25"/>
  <c r="S249" i="25"/>
  <c r="K249" i="25" s="1"/>
  <c r="V249" i="25" s="1"/>
  <c r="Q249" i="25"/>
  <c r="AO249" i="25"/>
  <c r="BZ249" i="25"/>
  <c r="V126" i="24"/>
  <c r="W126" i="24"/>
  <c r="AD206" i="25"/>
  <c r="W206" i="25"/>
  <c r="Z206" i="25" s="1"/>
  <c r="AA206" i="25" s="1"/>
  <c r="AB206" i="25" s="1"/>
  <c r="AI206" i="25" s="1"/>
  <c r="V31" i="24"/>
  <c r="W31" i="24"/>
  <c r="AE114" i="24"/>
  <c r="AI114" i="24"/>
  <c r="X114" i="24"/>
  <c r="AA114" i="24" s="1"/>
  <c r="AB114" i="24" s="1"/>
  <c r="AC114" i="24" s="1"/>
  <c r="S294" i="25"/>
  <c r="K294" i="25" s="1"/>
  <c r="R294" i="25"/>
  <c r="Q294" i="25"/>
  <c r="BZ294" i="25"/>
  <c r="AO294" i="25"/>
  <c r="W81" i="24"/>
  <c r="Y81" i="24" s="1"/>
  <c r="U230" i="25"/>
  <c r="AG21" i="24"/>
  <c r="AF21" i="24"/>
  <c r="AE73" i="24"/>
  <c r="AI73" i="24"/>
  <c r="X73" i="24"/>
  <c r="AA73" i="24" s="1"/>
  <c r="AB73" i="24" s="1"/>
  <c r="AC73" i="24" s="1"/>
  <c r="AE115" i="24"/>
  <c r="AI115" i="24"/>
  <c r="X115" i="24"/>
  <c r="AA115" i="24" s="1"/>
  <c r="AB115" i="24" s="1"/>
  <c r="AC115" i="24" s="1"/>
  <c r="AE38" i="24"/>
  <c r="AI38" i="24"/>
  <c r="X38" i="24"/>
  <c r="AA38" i="24" s="1"/>
  <c r="AB38" i="24" s="1"/>
  <c r="AC38" i="24" s="1"/>
  <c r="AE188" i="24"/>
  <c r="AI188" i="24"/>
  <c r="X188" i="24"/>
  <c r="AA188" i="24" s="1"/>
  <c r="AB188" i="24" s="1"/>
  <c r="AC188" i="24" s="1"/>
  <c r="AE308" i="24"/>
  <c r="AI308" i="24"/>
  <c r="X308" i="24"/>
  <c r="AA308" i="24" s="1"/>
  <c r="AB308" i="24" s="1"/>
  <c r="AC308" i="24" s="1"/>
  <c r="U197" i="25"/>
  <c r="AG132" i="24"/>
  <c r="AF132" i="24"/>
  <c r="R25" i="25"/>
  <c r="S25" i="25"/>
  <c r="K25" i="25" s="1"/>
  <c r="V25" i="25" s="1"/>
  <c r="Q25" i="25"/>
  <c r="BZ25" i="25"/>
  <c r="AO25" i="25"/>
  <c r="AE151" i="24"/>
  <c r="AI151" i="24"/>
  <c r="X151" i="24"/>
  <c r="AA151" i="24" s="1"/>
  <c r="AB151" i="24" s="1"/>
  <c r="AC151" i="24" s="1"/>
  <c r="AE280" i="24"/>
  <c r="AI280" i="24"/>
  <c r="X280" i="24"/>
  <c r="AA280" i="24" s="1"/>
  <c r="AB280" i="24" s="1"/>
  <c r="AC280" i="24" s="1"/>
  <c r="V244" i="24"/>
  <c r="W244" i="24"/>
  <c r="AG160" i="24"/>
  <c r="AF160" i="24"/>
  <c r="AE65" i="24"/>
  <c r="AI65" i="24"/>
  <c r="X65" i="24"/>
  <c r="AA65" i="24" s="1"/>
  <c r="AB65" i="24" s="1"/>
  <c r="AC65" i="24" s="1"/>
  <c r="Q146" i="24"/>
  <c r="P146" i="24"/>
  <c r="AP146" i="24"/>
  <c r="P71" i="24"/>
  <c r="Q71" i="24"/>
  <c r="R71" i="24" s="1"/>
  <c r="AP71" i="24"/>
  <c r="AE113" i="24"/>
  <c r="AI113" i="24"/>
  <c r="X113" i="24"/>
  <c r="AA113" i="24" s="1"/>
  <c r="AB113" i="24" s="1"/>
  <c r="AC113" i="24" s="1"/>
  <c r="Q153" i="24"/>
  <c r="P153" i="24"/>
  <c r="AP153" i="24"/>
  <c r="U122" i="25"/>
  <c r="AE165" i="24"/>
  <c r="AI165" i="24"/>
  <c r="X165" i="24"/>
  <c r="AA165" i="24" s="1"/>
  <c r="AB165" i="24" s="1"/>
  <c r="AC165" i="24" s="1"/>
  <c r="AD306" i="25"/>
  <c r="W306" i="25"/>
  <c r="Z306" i="25" s="1"/>
  <c r="AA306" i="25" s="1"/>
  <c r="AB306" i="25" s="1"/>
  <c r="AI306" i="25" s="1"/>
  <c r="AE254" i="24"/>
  <c r="AI254" i="24"/>
  <c r="X254" i="24"/>
  <c r="AA254" i="24" s="1"/>
  <c r="AB254" i="24" s="1"/>
  <c r="AC254" i="24" s="1"/>
  <c r="AE166" i="24"/>
  <c r="AI166" i="24"/>
  <c r="X166" i="24"/>
  <c r="AA166" i="24" s="1"/>
  <c r="AB166" i="24" s="1"/>
  <c r="AC166" i="24" s="1"/>
  <c r="S220" i="25"/>
  <c r="K220" i="25" s="1"/>
  <c r="V220" i="25" s="1"/>
  <c r="R220" i="25"/>
  <c r="Q220" i="25"/>
  <c r="AO220" i="25"/>
  <c r="BZ220" i="25"/>
  <c r="R260" i="25"/>
  <c r="S260" i="25"/>
  <c r="K260" i="25" s="1"/>
  <c r="V260" i="25" s="1"/>
  <c r="Q260" i="25"/>
  <c r="BZ260" i="25"/>
  <c r="AO260" i="25"/>
  <c r="R15" i="25"/>
  <c r="S15" i="25"/>
  <c r="K15" i="25" s="1"/>
  <c r="Q15" i="25"/>
  <c r="BZ15" i="25"/>
  <c r="AO15" i="25"/>
  <c r="AE105" i="24"/>
  <c r="AI105" i="24"/>
  <c r="X105" i="24"/>
  <c r="AA105" i="24" s="1"/>
  <c r="AB105" i="24" s="1"/>
  <c r="AC105" i="24" s="1"/>
  <c r="Q63" i="24"/>
  <c r="R63" i="24" s="1"/>
  <c r="P63" i="24"/>
  <c r="AP63" i="24"/>
  <c r="S207" i="25"/>
  <c r="K207" i="25" s="1"/>
  <c r="V207" i="25" s="1"/>
  <c r="R207" i="25"/>
  <c r="Q207" i="25"/>
  <c r="AO207" i="25"/>
  <c r="BZ207" i="25"/>
  <c r="AE32" i="24"/>
  <c r="AI32" i="24"/>
  <c r="X32" i="24"/>
  <c r="AA32" i="24" s="1"/>
  <c r="AB32" i="24" s="1"/>
  <c r="AC32" i="24" s="1"/>
  <c r="R78" i="25"/>
  <c r="S78" i="25"/>
  <c r="K78" i="25" s="1"/>
  <c r="V78" i="25" s="1"/>
  <c r="Q78" i="25"/>
  <c r="AO78" i="25"/>
  <c r="BZ78" i="25"/>
  <c r="U86" i="25"/>
  <c r="R239" i="25"/>
  <c r="S239" i="25"/>
  <c r="K239" i="25" s="1"/>
  <c r="V239" i="25" s="1"/>
  <c r="Q239" i="25"/>
  <c r="BZ239" i="25"/>
  <c r="AO239" i="25"/>
  <c r="AD14" i="25"/>
  <c r="W14" i="25"/>
  <c r="Z14" i="25" s="1"/>
  <c r="AA14" i="25" s="1"/>
  <c r="AB14" i="25" s="1"/>
  <c r="AI14" i="25" s="1"/>
  <c r="U315" i="25"/>
  <c r="AE276" i="24"/>
  <c r="AI276" i="24"/>
  <c r="X276" i="24"/>
  <c r="AA276" i="24" s="1"/>
  <c r="AB276" i="24" s="1"/>
  <c r="AC276" i="24" s="1"/>
  <c r="AE79" i="24"/>
  <c r="AI79" i="24"/>
  <c r="X79" i="24"/>
  <c r="AA79" i="24" s="1"/>
  <c r="AB79" i="24" s="1"/>
  <c r="AC79" i="24" s="1"/>
  <c r="U302" i="25"/>
  <c r="AE179" i="24"/>
  <c r="AI179" i="24"/>
  <c r="X179" i="24"/>
  <c r="AA179" i="24" s="1"/>
  <c r="AB179" i="24" s="1"/>
  <c r="AC179" i="24" s="1"/>
  <c r="S66" i="25"/>
  <c r="K66" i="25" s="1"/>
  <c r="V66" i="25" s="1"/>
  <c r="R66" i="25"/>
  <c r="Q66" i="25"/>
  <c r="AO66" i="25"/>
  <c r="BZ66" i="25"/>
  <c r="AE251" i="24"/>
  <c r="AI251" i="24"/>
  <c r="X251" i="24"/>
  <c r="AA251" i="24" s="1"/>
  <c r="AB251" i="24" s="1"/>
  <c r="AC251" i="24" s="1"/>
  <c r="W251" i="24"/>
  <c r="Y251" i="24" s="1"/>
  <c r="AG7" i="24"/>
  <c r="AF7" i="24"/>
  <c r="W78" i="24"/>
  <c r="V78" i="24"/>
  <c r="W105" i="24"/>
  <c r="Y105" i="24" s="1"/>
  <c r="AE172" i="24"/>
  <c r="AI172" i="24"/>
  <c r="X172" i="24"/>
  <c r="AA172" i="24" s="1"/>
  <c r="AB172" i="24" s="1"/>
  <c r="AC172" i="24" s="1"/>
  <c r="V75" i="24"/>
  <c r="W75" i="24"/>
  <c r="S169" i="25"/>
  <c r="K169" i="25" s="1"/>
  <c r="V169" i="25" s="1"/>
  <c r="R169" i="25"/>
  <c r="Q169" i="25"/>
  <c r="BZ169" i="25"/>
  <c r="AO169" i="25"/>
  <c r="R112" i="25"/>
  <c r="S112" i="25"/>
  <c r="K112" i="25" s="1"/>
  <c r="V112" i="25" s="1"/>
  <c r="Q112" i="25"/>
  <c r="BZ112" i="25"/>
  <c r="AO112" i="25"/>
  <c r="V204" i="24"/>
  <c r="W204" i="24"/>
  <c r="AD232" i="25"/>
  <c r="V232" i="25"/>
  <c r="X232" i="25" s="1"/>
  <c r="W232" i="25"/>
  <c r="Z232" i="25" s="1"/>
  <c r="AA232" i="25" s="1"/>
  <c r="AB232" i="25" s="1"/>
  <c r="AI232" i="25" s="1"/>
  <c r="AE118" i="24"/>
  <c r="AI118" i="24"/>
  <c r="X118" i="24"/>
  <c r="AA118" i="24" s="1"/>
  <c r="AB118" i="24" s="1"/>
  <c r="AC118" i="24" s="1"/>
  <c r="AE141" i="24"/>
  <c r="AI141" i="24"/>
  <c r="X141" i="24"/>
  <c r="AA141" i="24" s="1"/>
  <c r="AB141" i="24" s="1"/>
  <c r="AC141" i="24" s="1"/>
  <c r="R312" i="25"/>
  <c r="S312" i="25"/>
  <c r="K312" i="25" s="1"/>
  <c r="Q312" i="25"/>
  <c r="AO312" i="25"/>
  <c r="BZ312" i="25"/>
  <c r="Q93" i="24"/>
  <c r="R93" i="24" s="1"/>
  <c r="P93" i="24"/>
  <c r="AP93" i="24"/>
  <c r="U99" i="25"/>
  <c r="AE298" i="24"/>
  <c r="AI298" i="24"/>
  <c r="X298" i="24"/>
  <c r="AA298" i="24" s="1"/>
  <c r="AB298" i="24" s="1"/>
  <c r="AC298" i="24" s="1"/>
  <c r="AE265" i="24"/>
  <c r="AI265" i="24"/>
  <c r="X265" i="24"/>
  <c r="AA265" i="24" s="1"/>
  <c r="AB265" i="24" s="1"/>
  <c r="AC265" i="24" s="1"/>
  <c r="AE131" i="24"/>
  <c r="AI131" i="24"/>
  <c r="X131" i="24"/>
  <c r="AA131" i="24" s="1"/>
  <c r="AB131" i="24" s="1"/>
  <c r="AC131" i="24" s="1"/>
  <c r="V140" i="24"/>
  <c r="W140" i="24"/>
  <c r="AE289" i="24"/>
  <c r="AI289" i="24"/>
  <c r="X289" i="24"/>
  <c r="AA289" i="24" s="1"/>
  <c r="AB289" i="24" s="1"/>
  <c r="AC289" i="24" s="1"/>
  <c r="AD259" i="25"/>
  <c r="W259" i="25"/>
  <c r="Z259" i="25" s="1"/>
  <c r="AA259" i="25" s="1"/>
  <c r="AB259" i="25" s="1"/>
  <c r="AI259" i="25" s="1"/>
  <c r="U101" i="25"/>
  <c r="S183" i="25"/>
  <c r="K183" i="25" s="1"/>
  <c r="V183" i="25" s="1"/>
  <c r="R183" i="25"/>
  <c r="Q183" i="25"/>
  <c r="AO183" i="25"/>
  <c r="BZ183" i="25"/>
  <c r="U231" i="25"/>
  <c r="R279" i="25"/>
  <c r="S279" i="25"/>
  <c r="K279" i="25" s="1"/>
  <c r="Q279" i="25"/>
  <c r="AO279" i="25"/>
  <c r="BZ279" i="25"/>
  <c r="AE31" i="24"/>
  <c r="AI31" i="24"/>
  <c r="X31" i="24"/>
  <c r="AA31" i="24" s="1"/>
  <c r="AB31" i="24" s="1"/>
  <c r="AC31" i="24" s="1"/>
  <c r="V149" i="24"/>
  <c r="W149" i="24"/>
  <c r="U156" i="25"/>
  <c r="U287" i="25"/>
  <c r="Q204" i="24"/>
  <c r="P204" i="24"/>
  <c r="AP204" i="24"/>
  <c r="AD148" i="25"/>
  <c r="W148" i="25"/>
  <c r="Z148" i="25" s="1"/>
  <c r="AA148" i="25" s="1"/>
  <c r="AB148" i="25" s="1"/>
  <c r="AI148" i="25" s="1"/>
  <c r="R141" i="25"/>
  <c r="S141" i="25"/>
  <c r="K141" i="25" s="1"/>
  <c r="Q141" i="25"/>
  <c r="AO141" i="25"/>
  <c r="BZ141" i="25"/>
  <c r="AE28" i="24"/>
  <c r="AI28" i="24"/>
  <c r="X28" i="24"/>
  <c r="AA28" i="24" s="1"/>
  <c r="AB28" i="24" s="1"/>
  <c r="AC28" i="24" s="1"/>
  <c r="R120" i="25"/>
  <c r="S120" i="25"/>
  <c r="K120" i="25" s="1"/>
  <c r="Q120" i="25"/>
  <c r="AO120" i="25"/>
  <c r="BZ120" i="25"/>
  <c r="R191" i="25"/>
  <c r="S191" i="25"/>
  <c r="K191" i="25" s="1"/>
  <c r="Q191" i="25"/>
  <c r="BZ191" i="25"/>
  <c r="AO191" i="25"/>
  <c r="AE14" i="24"/>
  <c r="AI14" i="24"/>
  <c r="X14" i="24"/>
  <c r="AA14" i="24" s="1"/>
  <c r="AB14" i="24" s="1"/>
  <c r="AC14" i="24" s="1"/>
  <c r="R288" i="25"/>
  <c r="S288" i="25"/>
  <c r="K288" i="25" s="1"/>
  <c r="V288" i="25" s="1"/>
  <c r="Q288" i="25"/>
  <c r="BZ288" i="25"/>
  <c r="AO288" i="25"/>
  <c r="AE49" i="24"/>
  <c r="AI49" i="24"/>
  <c r="X49" i="24"/>
  <c r="AA49" i="24" s="1"/>
  <c r="AB49" i="24" s="1"/>
  <c r="AC49" i="24" s="1"/>
  <c r="V206" i="24"/>
  <c r="W206" i="24"/>
  <c r="AE218" i="24"/>
  <c r="AI218" i="24"/>
  <c r="X218" i="24"/>
  <c r="AA218" i="24" s="1"/>
  <c r="AB218" i="24" s="1"/>
  <c r="AC218" i="24" s="1"/>
  <c r="S303" i="25"/>
  <c r="K303" i="25" s="1"/>
  <c r="V303" i="25" s="1"/>
  <c r="R303" i="25"/>
  <c r="Q303" i="25"/>
  <c r="BZ303" i="25"/>
  <c r="AO303" i="25"/>
  <c r="AG191" i="24"/>
  <c r="AF191" i="24"/>
  <c r="V179" i="24"/>
  <c r="W179" i="24"/>
  <c r="AD59" i="25"/>
  <c r="W59" i="25"/>
  <c r="Z59" i="25" s="1"/>
  <c r="AA59" i="25" s="1"/>
  <c r="AB59" i="25" s="1"/>
  <c r="AI59" i="25" s="1"/>
  <c r="AE76" i="24"/>
  <c r="AI76" i="24"/>
  <c r="X76" i="24"/>
  <c r="AA76" i="24" s="1"/>
  <c r="AB76" i="24" s="1"/>
  <c r="AC76" i="24" s="1"/>
  <c r="AE199" i="24"/>
  <c r="AI199" i="24"/>
  <c r="X199" i="24"/>
  <c r="AA199" i="24" s="1"/>
  <c r="AB199" i="24" s="1"/>
  <c r="AC199" i="24" s="1"/>
  <c r="U79" i="25"/>
  <c r="Q140" i="24"/>
  <c r="P140" i="24"/>
  <c r="AP140" i="24"/>
  <c r="R105" i="25"/>
  <c r="S105" i="25"/>
  <c r="K105" i="25" s="1"/>
  <c r="V105" i="25" s="1"/>
  <c r="Q105" i="25"/>
  <c r="AO105" i="25"/>
  <c r="BZ105" i="25"/>
  <c r="AE240" i="24"/>
  <c r="AI240" i="24"/>
  <c r="X240" i="24"/>
  <c r="AA240" i="24" s="1"/>
  <c r="AB240" i="24" s="1"/>
  <c r="AC240" i="24" s="1"/>
  <c r="AE221" i="24"/>
  <c r="AI221" i="24"/>
  <c r="X221" i="24"/>
  <c r="AA221" i="24" s="1"/>
  <c r="AB221" i="24" s="1"/>
  <c r="AC221" i="24" s="1"/>
  <c r="W170" i="24"/>
  <c r="V170" i="24"/>
  <c r="Q298" i="24"/>
  <c r="P298" i="24"/>
  <c r="AP298" i="24"/>
  <c r="R132" i="25"/>
  <c r="S132" i="25"/>
  <c r="K132" i="25" s="1"/>
  <c r="Q132" i="25"/>
  <c r="AO132" i="25"/>
  <c r="BZ132" i="25"/>
  <c r="AE273" i="24"/>
  <c r="AI273" i="24"/>
  <c r="X273" i="24"/>
  <c r="AA273" i="24" s="1"/>
  <c r="AB273" i="24" s="1"/>
  <c r="AC273" i="24" s="1"/>
  <c r="AD261" i="25"/>
  <c r="W261" i="25"/>
  <c r="Z261" i="25" s="1"/>
  <c r="AA261" i="25" s="1"/>
  <c r="AB261" i="25" s="1"/>
  <c r="AI261" i="25" s="1"/>
  <c r="R119" i="25"/>
  <c r="S119" i="25"/>
  <c r="K119" i="25" s="1"/>
  <c r="Q119" i="25"/>
  <c r="AO119" i="25"/>
  <c r="BZ119" i="25"/>
  <c r="S17" i="25"/>
  <c r="K17" i="25" s="1"/>
  <c r="R17" i="25"/>
  <c r="Q17" i="25"/>
  <c r="AO17" i="25"/>
  <c r="BZ17" i="25"/>
  <c r="AE161" i="24"/>
  <c r="AI161" i="24"/>
  <c r="X161" i="24"/>
  <c r="AA161" i="24" s="1"/>
  <c r="AB161" i="24" s="1"/>
  <c r="AC161" i="24" s="1"/>
  <c r="U175" i="25"/>
  <c r="W249" i="24"/>
  <c r="V249" i="24"/>
  <c r="P59" i="24"/>
  <c r="Q59" i="24"/>
  <c r="R59" i="24" s="1"/>
  <c r="AP59" i="24"/>
  <c r="AE104" i="24"/>
  <c r="AI104" i="24"/>
  <c r="X104" i="24"/>
  <c r="AA104" i="24" s="1"/>
  <c r="AB104" i="24" s="1"/>
  <c r="AC104" i="24" s="1"/>
  <c r="S46" i="25"/>
  <c r="K46" i="25" s="1"/>
  <c r="R46" i="25"/>
  <c r="Q46" i="25"/>
  <c r="BZ46" i="25"/>
  <c r="AO46" i="25"/>
  <c r="P126" i="24"/>
  <c r="Q126" i="24"/>
  <c r="AP126" i="24"/>
  <c r="V261" i="24"/>
  <c r="W261" i="24"/>
  <c r="U70" i="25"/>
  <c r="AD273" i="25"/>
  <c r="W273" i="25"/>
  <c r="Z273" i="25" s="1"/>
  <c r="AA273" i="25" s="1"/>
  <c r="AB273" i="25" s="1"/>
  <c r="AI273" i="25" s="1"/>
  <c r="AE202" i="24"/>
  <c r="AI202" i="24"/>
  <c r="X202" i="24"/>
  <c r="AA202" i="24" s="1"/>
  <c r="AB202" i="24" s="1"/>
  <c r="AC202" i="24" s="1"/>
  <c r="AE296" i="24"/>
  <c r="AI296" i="24"/>
  <c r="X296" i="24"/>
  <c r="AA296" i="24" s="1"/>
  <c r="AB296" i="24" s="1"/>
  <c r="AC296" i="24" s="1"/>
  <c r="AE222" i="24"/>
  <c r="AI222" i="24"/>
  <c r="X222" i="24"/>
  <c r="AA222" i="24" s="1"/>
  <c r="AB222" i="24" s="1"/>
  <c r="AC222" i="24" s="1"/>
  <c r="S308" i="25"/>
  <c r="K308" i="25" s="1"/>
  <c r="R308" i="25"/>
  <c r="Q308" i="25"/>
  <c r="BZ308" i="25"/>
  <c r="AO308" i="25"/>
  <c r="V195" i="24"/>
  <c r="W195" i="24"/>
  <c r="S230" i="25"/>
  <c r="K230" i="25" s="1"/>
  <c r="R230" i="25"/>
  <c r="Q230" i="25"/>
  <c r="BZ230" i="25"/>
  <c r="AO230" i="25"/>
  <c r="U223" i="25"/>
  <c r="AE267" i="24"/>
  <c r="AI267" i="24"/>
  <c r="X267" i="24"/>
  <c r="AA267" i="24" s="1"/>
  <c r="AB267" i="24" s="1"/>
  <c r="AC267" i="24" s="1"/>
  <c r="R197" i="25"/>
  <c r="S197" i="25"/>
  <c r="K197" i="25" s="1"/>
  <c r="V197" i="25" s="1"/>
  <c r="Q197" i="25"/>
  <c r="AO197" i="25"/>
  <c r="BZ197" i="25"/>
  <c r="AE311" i="24"/>
  <c r="AI311" i="24"/>
  <c r="X311" i="24"/>
  <c r="AA311" i="24" s="1"/>
  <c r="AB311" i="24" s="1"/>
  <c r="AC311" i="24" s="1"/>
  <c r="V316" i="24"/>
  <c r="W316" i="24"/>
  <c r="S55" i="25"/>
  <c r="K55" i="25" s="1"/>
  <c r="V55" i="25" s="1"/>
  <c r="R55" i="25"/>
  <c r="Q55" i="25"/>
  <c r="AO55" i="25"/>
  <c r="BZ55" i="25"/>
  <c r="V309" i="24"/>
  <c r="W309" i="24"/>
  <c r="W36" i="24"/>
  <c r="V36" i="24"/>
  <c r="AE281" i="24"/>
  <c r="AI281" i="24"/>
  <c r="X281" i="24"/>
  <c r="AA281" i="24" s="1"/>
  <c r="AB281" i="24" s="1"/>
  <c r="AC281" i="24" s="1"/>
  <c r="AD32" i="25"/>
  <c r="W32" i="25"/>
  <c r="Z32" i="25" s="1"/>
  <c r="AA32" i="25" s="1"/>
  <c r="AB32" i="25" s="1"/>
  <c r="AI32" i="25" s="1"/>
  <c r="AE99" i="24"/>
  <c r="AI99" i="24"/>
  <c r="X99" i="24"/>
  <c r="AA99" i="24" s="1"/>
  <c r="AB99" i="24" s="1"/>
  <c r="AC99" i="24" s="1"/>
  <c r="AE277" i="24"/>
  <c r="AI277" i="24"/>
  <c r="X277" i="24"/>
  <c r="AA277" i="24" s="1"/>
  <c r="AB277" i="24" s="1"/>
  <c r="AC277" i="24" s="1"/>
  <c r="AS110" i="25"/>
  <c r="AE102" i="24"/>
  <c r="AI102" i="24"/>
  <c r="X102" i="24"/>
  <c r="AA102" i="24" s="1"/>
  <c r="AB102" i="24" s="1"/>
  <c r="AC102" i="24" s="1"/>
  <c r="AE270" i="24"/>
  <c r="AI270" i="24"/>
  <c r="X270" i="24"/>
  <c r="AA270" i="24" s="1"/>
  <c r="AB270" i="24" s="1"/>
  <c r="AC270" i="24" s="1"/>
  <c r="AG264" i="24"/>
  <c r="AF264" i="24"/>
  <c r="R64" i="25"/>
  <c r="S64" i="25"/>
  <c r="K64" i="25" s="1"/>
  <c r="Q64" i="25"/>
  <c r="AO64" i="25"/>
  <c r="BZ64" i="25"/>
  <c r="W308" i="24"/>
  <c r="V308" i="24"/>
  <c r="AE288" i="24"/>
  <c r="AI288" i="24"/>
  <c r="X288" i="24"/>
  <c r="AA288" i="24" s="1"/>
  <c r="AB288" i="24" s="1"/>
  <c r="AC288" i="24" s="1"/>
  <c r="AE209" i="24"/>
  <c r="AI209" i="24"/>
  <c r="X209" i="24"/>
  <c r="AA209" i="24" s="1"/>
  <c r="AB209" i="24" s="1"/>
  <c r="AC209" i="24" s="1"/>
  <c r="AE121" i="24"/>
  <c r="AI121" i="24"/>
  <c r="X121" i="24"/>
  <c r="AA121" i="24" s="1"/>
  <c r="AB121" i="24" s="1"/>
  <c r="AC121" i="24" s="1"/>
  <c r="S122" i="25"/>
  <c r="K122" i="25" s="1"/>
  <c r="V122" i="25" s="1"/>
  <c r="R122" i="25"/>
  <c r="Q122" i="25"/>
  <c r="BZ122" i="25"/>
  <c r="AO122" i="25"/>
  <c r="S9" i="25"/>
  <c r="K9" i="25" s="1"/>
  <c r="R9" i="25"/>
  <c r="Q9" i="25"/>
  <c r="BZ9" i="25"/>
  <c r="AO9" i="25"/>
  <c r="U160" i="25"/>
  <c r="V154" i="24"/>
  <c r="W154" i="24"/>
  <c r="W114" i="24"/>
  <c r="V114" i="24"/>
  <c r="S85" i="25"/>
  <c r="K85" i="25" s="1"/>
  <c r="R85" i="25"/>
  <c r="Q85" i="25"/>
  <c r="BZ85" i="25"/>
  <c r="AO85" i="25"/>
  <c r="S53" i="25"/>
  <c r="K53" i="25" s="1"/>
  <c r="V53" i="25" s="1"/>
  <c r="R53" i="25"/>
  <c r="Q53" i="25"/>
  <c r="AO53" i="25"/>
  <c r="BZ53" i="25"/>
  <c r="U286" i="25"/>
  <c r="R86" i="25"/>
  <c r="S86" i="25"/>
  <c r="K86" i="25" s="1"/>
  <c r="Q86" i="25"/>
  <c r="BZ86" i="25"/>
  <c r="AO86" i="25"/>
  <c r="W8" i="24"/>
  <c r="V8" i="24"/>
  <c r="V94" i="24"/>
  <c r="W94" i="24"/>
  <c r="AE168" i="24"/>
  <c r="AI168" i="24"/>
  <c r="X168" i="24"/>
  <c r="AA168" i="24" s="1"/>
  <c r="AB168" i="24" s="1"/>
  <c r="AC168" i="24" s="1"/>
  <c r="AD275" i="25"/>
  <c r="W275" i="25"/>
  <c r="Z275" i="25" s="1"/>
  <c r="AA275" i="25" s="1"/>
  <c r="AB275" i="25" s="1"/>
  <c r="AI275" i="25" s="1"/>
  <c r="S315" i="25"/>
  <c r="K315" i="25" s="1"/>
  <c r="R315" i="25"/>
  <c r="Q315" i="25"/>
  <c r="AO315" i="25"/>
  <c r="BZ315" i="25"/>
  <c r="V297" i="24"/>
  <c r="W297" i="24"/>
  <c r="V28" i="24"/>
  <c r="W28" i="24"/>
  <c r="S235" i="25"/>
  <c r="K235" i="25" s="1"/>
  <c r="R235" i="25"/>
  <c r="Q235" i="25"/>
  <c r="AO235" i="25"/>
  <c r="BZ235" i="25"/>
  <c r="W99" i="24"/>
  <c r="Y99" i="24" s="1"/>
  <c r="AD94" i="25"/>
  <c r="W94" i="25"/>
  <c r="Z94" i="25" s="1"/>
  <c r="AA94" i="25" s="1"/>
  <c r="AB94" i="25" s="1"/>
  <c r="AI94" i="25" s="1"/>
  <c r="V94" i="25"/>
  <c r="X94" i="25" s="1"/>
  <c r="AE52" i="24"/>
  <c r="AI52" i="24"/>
  <c r="X52" i="24"/>
  <c r="AA52" i="24" s="1"/>
  <c r="AB52" i="24" s="1"/>
  <c r="AC52" i="24" s="1"/>
  <c r="U93" i="25"/>
  <c r="W288" i="24"/>
  <c r="V288" i="24"/>
  <c r="V209" i="24"/>
  <c r="W209" i="24"/>
  <c r="R302" i="25"/>
  <c r="S302" i="25"/>
  <c r="K302" i="25" s="1"/>
  <c r="V302" i="25" s="1"/>
  <c r="Q302" i="25"/>
  <c r="AO302" i="25"/>
  <c r="BZ302" i="25"/>
  <c r="U218" i="25"/>
  <c r="W164" i="24"/>
  <c r="V164" i="24"/>
  <c r="P78" i="24"/>
  <c r="Q78" i="24"/>
  <c r="R78" i="24" s="1"/>
  <c r="AP78" i="24"/>
  <c r="AE19" i="24"/>
  <c r="AI19" i="24"/>
  <c r="X19" i="24"/>
  <c r="AA19" i="24" s="1"/>
  <c r="AB19" i="24" s="1"/>
  <c r="AC19" i="24" s="1"/>
  <c r="W275" i="24"/>
  <c r="V275" i="24"/>
  <c r="AE25" i="24"/>
  <c r="AI25" i="24"/>
  <c r="X25" i="24"/>
  <c r="AA25" i="24" s="1"/>
  <c r="AB25" i="24" s="1"/>
  <c r="AC25" i="24" s="1"/>
  <c r="AE206" i="24"/>
  <c r="AI206" i="24"/>
  <c r="X206" i="24"/>
  <c r="AA206" i="24" s="1"/>
  <c r="AB206" i="24" s="1"/>
  <c r="AC206" i="24" s="1"/>
  <c r="S117" i="25"/>
  <c r="K117" i="25" s="1"/>
  <c r="R117" i="25"/>
  <c r="Q117" i="25"/>
  <c r="AO117" i="25"/>
  <c r="BZ117" i="25"/>
  <c r="R40" i="25"/>
  <c r="S40" i="25"/>
  <c r="K40" i="25" s="1"/>
  <c r="V40" i="25" s="1"/>
  <c r="Q40" i="25"/>
  <c r="AO40" i="25"/>
  <c r="BZ40" i="25"/>
  <c r="S164" i="25"/>
  <c r="K164" i="25" s="1"/>
  <c r="R164" i="25"/>
  <c r="Q164" i="25"/>
  <c r="AO164" i="25"/>
  <c r="BZ164" i="25"/>
  <c r="P255" i="24"/>
  <c r="Q255" i="24"/>
  <c r="AP255" i="24"/>
  <c r="R58" i="25"/>
  <c r="S58" i="25"/>
  <c r="K58" i="25" s="1"/>
  <c r="Q58" i="25"/>
  <c r="BZ58" i="25"/>
  <c r="AO58" i="25"/>
  <c r="AE103" i="24"/>
  <c r="AI103" i="24"/>
  <c r="X103" i="24"/>
  <c r="AA103" i="24" s="1"/>
  <c r="AB103" i="24" s="1"/>
  <c r="AC103" i="24" s="1"/>
  <c r="R231" i="25"/>
  <c r="S231" i="25"/>
  <c r="K231" i="25" s="1"/>
  <c r="V231" i="25" s="1"/>
  <c r="Q231" i="25"/>
  <c r="BZ231" i="25"/>
  <c r="AO231" i="25"/>
  <c r="R316" i="25"/>
  <c r="S316" i="25"/>
  <c r="K316" i="25" s="1"/>
  <c r="Q316" i="25"/>
  <c r="BZ316" i="25"/>
  <c r="AO316" i="25"/>
  <c r="AE140" i="24"/>
  <c r="AI140" i="24"/>
  <c r="X140" i="24"/>
  <c r="AA140" i="24" s="1"/>
  <c r="AB140" i="24" s="1"/>
  <c r="AC140" i="24" s="1"/>
  <c r="P149" i="24"/>
  <c r="Q149" i="24"/>
  <c r="AP149" i="24"/>
  <c r="AE200" i="24"/>
  <c r="AI200" i="24"/>
  <c r="X200" i="24"/>
  <c r="AA200" i="24" s="1"/>
  <c r="AB200" i="24" s="1"/>
  <c r="AC200" i="24" s="1"/>
  <c r="U121" i="25"/>
  <c r="W171" i="24"/>
  <c r="V171" i="24"/>
  <c r="R156" i="25"/>
  <c r="S156" i="25"/>
  <c r="K156" i="25" s="1"/>
  <c r="Q156" i="25"/>
  <c r="AO156" i="25"/>
  <c r="BZ156" i="25"/>
  <c r="S287" i="25"/>
  <c r="K287" i="25" s="1"/>
  <c r="V287" i="25" s="1"/>
  <c r="R287" i="25"/>
  <c r="Q287" i="25"/>
  <c r="BZ287" i="25"/>
  <c r="AO287" i="25"/>
  <c r="AD95" i="25"/>
  <c r="W95" i="25"/>
  <c r="Z95" i="25" s="1"/>
  <c r="AA95" i="25" s="1"/>
  <c r="AB95" i="25" s="1"/>
  <c r="AI95" i="25" s="1"/>
  <c r="AD131" i="25"/>
  <c r="W131" i="25"/>
  <c r="Z131" i="25" s="1"/>
  <c r="AA131" i="25" s="1"/>
  <c r="AB131" i="25" s="1"/>
  <c r="AI131" i="25" s="1"/>
  <c r="V131" i="25"/>
  <c r="X131" i="25" s="1"/>
  <c r="AE187" i="24"/>
  <c r="AI187" i="24"/>
  <c r="X187" i="24"/>
  <c r="AA187" i="24" s="1"/>
  <c r="AB187" i="24" s="1"/>
  <c r="AC187" i="24" s="1"/>
  <c r="AE150" i="24"/>
  <c r="AI150" i="24"/>
  <c r="X150" i="24"/>
  <c r="AA150" i="24" s="1"/>
  <c r="AB150" i="24" s="1"/>
  <c r="AC150" i="24" s="1"/>
  <c r="R43" i="25"/>
  <c r="S43" i="25"/>
  <c r="K43" i="25" s="1"/>
  <c r="Q43" i="25"/>
  <c r="BZ43" i="25"/>
  <c r="AO43" i="25"/>
  <c r="AE207" i="24"/>
  <c r="AI207" i="24"/>
  <c r="X207" i="24"/>
  <c r="AA207" i="24" s="1"/>
  <c r="AB207" i="24" s="1"/>
  <c r="AC207" i="24" s="1"/>
  <c r="V161" i="24"/>
  <c r="W161" i="24"/>
  <c r="P206" i="24"/>
  <c r="Q206" i="24"/>
  <c r="AP206" i="24"/>
  <c r="V144" i="24"/>
  <c r="W144" i="24"/>
  <c r="R127" i="25"/>
  <c r="S127" i="25"/>
  <c r="K127" i="25" s="1"/>
  <c r="Q127" i="25"/>
  <c r="AO127" i="25"/>
  <c r="BZ127" i="25"/>
  <c r="AE291" i="24"/>
  <c r="AI291" i="24"/>
  <c r="X291" i="24"/>
  <c r="AA291" i="24" s="1"/>
  <c r="AB291" i="24" s="1"/>
  <c r="AC291" i="24" s="1"/>
  <c r="AE227" i="24"/>
  <c r="AI227" i="24"/>
  <c r="X227" i="24"/>
  <c r="AA227" i="24" s="1"/>
  <c r="AB227" i="24" s="1"/>
  <c r="AC227" i="24" s="1"/>
  <c r="AD92" i="25"/>
  <c r="W92" i="25"/>
  <c r="Z92" i="25" s="1"/>
  <c r="AA92" i="25" s="1"/>
  <c r="AB92" i="25" s="1"/>
  <c r="AI92" i="25" s="1"/>
  <c r="V115" i="24"/>
  <c r="W115" i="24"/>
  <c r="AE36" i="24"/>
  <c r="AI36" i="24"/>
  <c r="X36" i="24"/>
  <c r="AA36" i="24" s="1"/>
  <c r="AB36" i="24" s="1"/>
  <c r="AC36" i="24" s="1"/>
  <c r="AE11" i="24"/>
  <c r="AI11" i="24"/>
  <c r="X11" i="24"/>
  <c r="AA11" i="24" s="1"/>
  <c r="AB11" i="24" s="1"/>
  <c r="AC11" i="24" s="1"/>
  <c r="AE189" i="24"/>
  <c r="AI189" i="24"/>
  <c r="X189" i="24"/>
  <c r="AA189" i="24" s="1"/>
  <c r="AB189" i="24" s="1"/>
  <c r="AC189" i="24" s="1"/>
  <c r="AE34" i="24"/>
  <c r="AI34" i="24"/>
  <c r="X34" i="24"/>
  <c r="AA34" i="24" s="1"/>
  <c r="AB34" i="24" s="1"/>
  <c r="AC34" i="24" s="1"/>
  <c r="S79" i="25"/>
  <c r="K79" i="25" s="1"/>
  <c r="V79" i="25" s="1"/>
  <c r="R79" i="25"/>
  <c r="Q79" i="25"/>
  <c r="BZ79" i="25"/>
  <c r="AO79" i="25"/>
  <c r="S233" i="25"/>
  <c r="K233" i="25" s="1"/>
  <c r="R233" i="25"/>
  <c r="Q233" i="25"/>
  <c r="AO233" i="25"/>
  <c r="BZ233" i="25"/>
  <c r="AE129" i="24"/>
  <c r="AI129" i="24"/>
  <c r="X129" i="24"/>
  <c r="AA129" i="24" s="1"/>
  <c r="AB129" i="24" s="1"/>
  <c r="AC129" i="24" s="1"/>
  <c r="R7" i="25"/>
  <c r="S7" i="25"/>
  <c r="K7" i="25" s="1"/>
  <c r="Q7" i="25"/>
  <c r="AO7" i="25"/>
  <c r="BZ7" i="25"/>
  <c r="S8" i="25"/>
  <c r="K8" i="25" s="1"/>
  <c r="R8" i="25"/>
  <c r="Q8" i="25"/>
  <c r="AO8" i="25"/>
  <c r="BZ8" i="25"/>
  <c r="AE307" i="24"/>
  <c r="AI307" i="24"/>
  <c r="X307" i="24"/>
  <c r="AA307" i="24" s="1"/>
  <c r="AB307" i="24" s="1"/>
  <c r="AC307" i="24" s="1"/>
  <c r="W151" i="24"/>
  <c r="V151" i="24"/>
  <c r="AE72" i="24"/>
  <c r="AI72" i="24"/>
  <c r="X72" i="24"/>
  <c r="AA72" i="24" s="1"/>
  <c r="AB72" i="24" s="1"/>
  <c r="AC72" i="24" s="1"/>
  <c r="W256" i="24"/>
  <c r="V256" i="24"/>
  <c r="W247" i="24"/>
  <c r="V247" i="24"/>
  <c r="W315" i="24"/>
  <c r="V315" i="24"/>
  <c r="AE255" i="24"/>
  <c r="AI255" i="24"/>
  <c r="X255" i="24"/>
  <c r="AA255" i="24" s="1"/>
  <c r="AB255" i="24" s="1"/>
  <c r="AC255" i="24" s="1"/>
  <c r="V300" i="24"/>
  <c r="W300" i="24"/>
  <c r="P249" i="24"/>
  <c r="Q249" i="24"/>
  <c r="AP249" i="24"/>
  <c r="AE29" i="24"/>
  <c r="AI29" i="24"/>
  <c r="X29" i="24"/>
  <c r="AA29" i="24" s="1"/>
  <c r="AB29" i="24" s="1"/>
  <c r="AC29" i="24" s="1"/>
  <c r="U224" i="25"/>
  <c r="AE173" i="24"/>
  <c r="AI173" i="24"/>
  <c r="X173" i="24"/>
  <c r="AA173" i="24" s="1"/>
  <c r="AB173" i="24" s="1"/>
  <c r="AC173" i="24" s="1"/>
  <c r="AE147" i="24"/>
  <c r="AI147" i="24"/>
  <c r="X147" i="24"/>
  <c r="AA147" i="24" s="1"/>
  <c r="AB147" i="24" s="1"/>
  <c r="AC147" i="24" s="1"/>
  <c r="AE287" i="24"/>
  <c r="AI287" i="24"/>
  <c r="X287" i="24"/>
  <c r="AA287" i="24" s="1"/>
  <c r="AB287" i="24" s="1"/>
  <c r="AC287" i="24" s="1"/>
  <c r="R281" i="25"/>
  <c r="S281" i="25"/>
  <c r="K281" i="25" s="1"/>
  <c r="V281" i="25" s="1"/>
  <c r="Q281" i="25"/>
  <c r="BZ281" i="25"/>
  <c r="AO281" i="25"/>
  <c r="AE309" i="24"/>
  <c r="AI309" i="24"/>
  <c r="X309" i="24"/>
  <c r="AA309" i="24" s="1"/>
  <c r="AB309" i="24" s="1"/>
  <c r="AC309" i="24" s="1"/>
  <c r="V33" i="24"/>
  <c r="W33" i="24"/>
  <c r="W176" i="24"/>
  <c r="V176" i="24"/>
  <c r="U266" i="25"/>
  <c r="S91" i="25"/>
  <c r="K91" i="25" s="1"/>
  <c r="R91" i="25"/>
  <c r="Q91" i="25"/>
  <c r="AO91" i="25"/>
  <c r="BZ91" i="25"/>
  <c r="AE68" i="24"/>
  <c r="AI68" i="24"/>
  <c r="X68" i="24"/>
  <c r="AA68" i="24" s="1"/>
  <c r="AB68" i="24" s="1"/>
  <c r="AC68" i="24" s="1"/>
  <c r="P195" i="24"/>
  <c r="Q195" i="24"/>
  <c r="AP195" i="24"/>
  <c r="U67" i="25"/>
  <c r="S223" i="25"/>
  <c r="K223" i="25" s="1"/>
  <c r="V223" i="25" s="1"/>
  <c r="R223" i="25"/>
  <c r="Q223" i="25"/>
  <c r="BZ223" i="25"/>
  <c r="AO223" i="25"/>
  <c r="AE235" i="24"/>
  <c r="AI235" i="24"/>
  <c r="X235" i="24"/>
  <c r="AA235" i="24" s="1"/>
  <c r="AB235" i="24" s="1"/>
  <c r="AC235" i="24" s="1"/>
  <c r="S284" i="25"/>
  <c r="K284" i="25" s="1"/>
  <c r="R284" i="25"/>
  <c r="Q284" i="25"/>
  <c r="BZ284" i="25"/>
  <c r="AO284" i="25"/>
  <c r="W282" i="24"/>
  <c r="V282" i="24"/>
  <c r="AE299" i="24"/>
  <c r="AI299" i="24"/>
  <c r="X299" i="24"/>
  <c r="AA299" i="24" s="1"/>
  <c r="AB299" i="24" s="1"/>
  <c r="AC299" i="24" s="1"/>
  <c r="AE195" i="24"/>
  <c r="AI195" i="24"/>
  <c r="X195" i="24"/>
  <c r="AA195" i="24" s="1"/>
  <c r="AB195" i="24" s="1"/>
  <c r="AC195" i="24" s="1"/>
  <c r="U165" i="25"/>
  <c r="P316" i="24"/>
  <c r="Q316" i="24"/>
  <c r="AP316" i="24"/>
  <c r="P309" i="24"/>
  <c r="Q309" i="24"/>
  <c r="AP309" i="24"/>
  <c r="AE57" i="24"/>
  <c r="AI57" i="24"/>
  <c r="X57" i="24"/>
  <c r="AA57" i="24" s="1"/>
  <c r="AB57" i="24" s="1"/>
  <c r="AC57" i="24" s="1"/>
  <c r="W177" i="24"/>
  <c r="V177" i="24"/>
  <c r="V51" i="24"/>
  <c r="W51" i="24"/>
  <c r="AE6" i="24"/>
  <c r="AI6" i="24"/>
  <c r="X6" i="24"/>
  <c r="AA6" i="24" s="1"/>
  <c r="AB6" i="24" s="1"/>
  <c r="AC6" i="24" s="1"/>
  <c r="AE23" i="24"/>
  <c r="AI23" i="24"/>
  <c r="X23" i="24"/>
  <c r="AA23" i="24" s="1"/>
  <c r="AB23" i="24" s="1"/>
  <c r="AC23" i="24" s="1"/>
  <c r="U159" i="25"/>
  <c r="AE139" i="24"/>
  <c r="AI139" i="24"/>
  <c r="X139" i="24"/>
  <c r="AA139" i="24" s="1"/>
  <c r="AB139" i="24" s="1"/>
  <c r="AC139" i="24" s="1"/>
  <c r="AE252" i="24"/>
  <c r="AI252" i="24"/>
  <c r="X252" i="24"/>
  <c r="AA252" i="24" s="1"/>
  <c r="AB252" i="24" s="1"/>
  <c r="AC252" i="24" s="1"/>
  <c r="W278" i="24"/>
  <c r="Y278" i="24" s="1"/>
  <c r="AF110" i="25"/>
  <c r="AE110" i="25"/>
  <c r="S146" i="25"/>
  <c r="K146" i="25" s="1"/>
  <c r="R146" i="25"/>
  <c r="Q146" i="25"/>
  <c r="BZ146" i="25"/>
  <c r="AO146" i="25"/>
  <c r="R252" i="25"/>
  <c r="S252" i="25"/>
  <c r="K252" i="25" s="1"/>
  <c r="Q252" i="25"/>
  <c r="BZ252" i="25"/>
  <c r="AO252" i="25"/>
  <c r="AE180" i="24"/>
  <c r="AI180" i="24"/>
  <c r="X180" i="24"/>
  <c r="AA180" i="24" s="1"/>
  <c r="AB180" i="24" s="1"/>
  <c r="AC180" i="24" s="1"/>
  <c r="Q308" i="24"/>
  <c r="P308" i="24"/>
  <c r="AP308" i="24"/>
  <c r="U278" i="25"/>
  <c r="AG101" i="24"/>
  <c r="AF101" i="24"/>
  <c r="AE47" i="24"/>
  <c r="AI47" i="24"/>
  <c r="X47" i="24"/>
  <c r="AA47" i="24" s="1"/>
  <c r="AB47" i="24" s="1"/>
  <c r="AC47" i="24" s="1"/>
  <c r="W47" i="24"/>
  <c r="Y47" i="24" s="1"/>
  <c r="W174" i="24"/>
  <c r="V174" i="24"/>
  <c r="AD243" i="25"/>
  <c r="W243" i="25"/>
  <c r="Z243" i="25" s="1"/>
  <c r="AA243" i="25" s="1"/>
  <c r="AB243" i="25" s="1"/>
  <c r="AI243" i="25" s="1"/>
  <c r="R70" i="25"/>
  <c r="S70" i="25"/>
  <c r="K70" i="25" s="1"/>
  <c r="Q70" i="25"/>
  <c r="BZ70" i="25"/>
  <c r="AO70" i="25"/>
  <c r="W120" i="24"/>
  <c r="Y120" i="24" s="1"/>
  <c r="W273" i="24"/>
  <c r="Y273" i="24" s="1"/>
  <c r="Q114" i="24"/>
  <c r="P114" i="24"/>
  <c r="AP114" i="24"/>
  <c r="AE184" i="24"/>
  <c r="AI184" i="24"/>
  <c r="X184" i="24"/>
  <c r="AA184" i="24" s="1"/>
  <c r="AB184" i="24" s="1"/>
  <c r="AC184" i="24" s="1"/>
  <c r="U100" i="25"/>
  <c r="AE268" i="24"/>
  <c r="AI268" i="24"/>
  <c r="X268" i="24"/>
  <c r="AA268" i="24" s="1"/>
  <c r="AB268" i="24" s="1"/>
  <c r="AC268" i="24" s="1"/>
  <c r="W113" i="24"/>
  <c r="V113" i="24"/>
  <c r="U264" i="25"/>
  <c r="AE116" i="24"/>
  <c r="AI116" i="24"/>
  <c r="X116" i="24"/>
  <c r="AA116" i="24" s="1"/>
  <c r="AB116" i="24" s="1"/>
  <c r="AC116" i="24" s="1"/>
  <c r="AD170" i="25"/>
  <c r="W170" i="25"/>
  <c r="Z170" i="25" s="1"/>
  <c r="AA170" i="25" s="1"/>
  <c r="AB170" i="25" s="1"/>
  <c r="AI170" i="25" s="1"/>
  <c r="R234" i="25"/>
  <c r="S234" i="25"/>
  <c r="K234" i="25" s="1"/>
  <c r="V234" i="25" s="1"/>
  <c r="Q234" i="25"/>
  <c r="AO234" i="25"/>
  <c r="BZ234" i="25"/>
  <c r="U194" i="25"/>
  <c r="AE266" i="24"/>
  <c r="AI266" i="24"/>
  <c r="X266" i="24"/>
  <c r="AA266" i="24" s="1"/>
  <c r="AB266" i="24" s="1"/>
  <c r="AC266" i="24" s="1"/>
  <c r="V136" i="24"/>
  <c r="W136" i="24"/>
  <c r="R286" i="25"/>
  <c r="S286" i="25"/>
  <c r="K286" i="25" s="1"/>
  <c r="Q286" i="25"/>
  <c r="AO286" i="25"/>
  <c r="BZ286" i="25"/>
  <c r="U268" i="25"/>
  <c r="P8" i="24"/>
  <c r="Q8" i="24"/>
  <c r="R8" i="24" s="1"/>
  <c r="AP8" i="24"/>
  <c r="Q94" i="24"/>
  <c r="R94" i="24" s="1"/>
  <c r="P94" i="24"/>
  <c r="AP94" i="24"/>
  <c r="V73" i="24"/>
  <c r="W73" i="24"/>
  <c r="W192" i="24"/>
  <c r="V192" i="24"/>
  <c r="AE246" i="24"/>
  <c r="AI246" i="24"/>
  <c r="W246" i="24"/>
  <c r="Y246" i="24" s="1"/>
  <c r="X246" i="24"/>
  <c r="AA246" i="24" s="1"/>
  <c r="AB246" i="24" s="1"/>
  <c r="AC246" i="24" s="1"/>
  <c r="U98" i="25"/>
  <c r="S52" i="25"/>
  <c r="K52" i="25" s="1"/>
  <c r="R52" i="25"/>
  <c r="Q52" i="25"/>
  <c r="BZ52" i="25"/>
  <c r="AO52" i="25"/>
  <c r="H212" i="25"/>
  <c r="AE238" i="24"/>
  <c r="AI238" i="24"/>
  <c r="X238" i="24"/>
  <c r="AA238" i="24" s="1"/>
  <c r="AB238" i="24" s="1"/>
  <c r="AC238" i="24" s="1"/>
  <c r="AE183" i="24"/>
  <c r="AI183" i="24"/>
  <c r="X183" i="24"/>
  <c r="AA183" i="24" s="1"/>
  <c r="AB183" i="24" s="1"/>
  <c r="AC183" i="24" s="1"/>
  <c r="AE61" i="24"/>
  <c r="AI61" i="24"/>
  <c r="X61" i="24"/>
  <c r="AA61" i="24" s="1"/>
  <c r="AB61" i="24" s="1"/>
  <c r="AC61" i="24" s="1"/>
  <c r="R93" i="25"/>
  <c r="S93" i="25"/>
  <c r="K93" i="25" s="1"/>
  <c r="Q93" i="25"/>
  <c r="AO93" i="25"/>
  <c r="BZ93" i="25"/>
  <c r="Q288" i="24"/>
  <c r="P288" i="24"/>
  <c r="AP288" i="24"/>
  <c r="AE248" i="24"/>
  <c r="AI248" i="24"/>
  <c r="X248" i="24"/>
  <c r="AA248" i="24" s="1"/>
  <c r="AB248" i="24" s="1"/>
  <c r="AC248" i="24" s="1"/>
  <c r="P209" i="24"/>
  <c r="Q209" i="24"/>
  <c r="AP209" i="24"/>
  <c r="AE205" i="24"/>
  <c r="AI205" i="24"/>
  <c r="X205" i="24"/>
  <c r="AA205" i="24" s="1"/>
  <c r="AB205" i="24" s="1"/>
  <c r="AC205" i="24" s="1"/>
  <c r="AE158" i="24"/>
  <c r="AI158" i="24"/>
  <c r="X158" i="24"/>
  <c r="AA158" i="24" s="1"/>
  <c r="AB158" i="24" s="1"/>
  <c r="AC158" i="24" s="1"/>
  <c r="V39" i="24"/>
  <c r="W39" i="24"/>
  <c r="S218" i="25"/>
  <c r="K218" i="25" s="1"/>
  <c r="V218" i="25" s="1"/>
  <c r="R218" i="25"/>
  <c r="Q218" i="25"/>
  <c r="AO218" i="25"/>
  <c r="BZ218" i="25"/>
  <c r="P164" i="24"/>
  <c r="Q164" i="24"/>
  <c r="AP164" i="24"/>
  <c r="W311" i="24"/>
  <c r="Y311" i="24" s="1"/>
  <c r="S44" i="25"/>
  <c r="K44" i="25" s="1"/>
  <c r="V44" i="25" s="1"/>
  <c r="R44" i="25"/>
  <c r="Q44" i="25"/>
  <c r="AO44" i="25"/>
  <c r="BZ44" i="25"/>
  <c r="R256" i="25"/>
  <c r="S256" i="25"/>
  <c r="K256" i="25" s="1"/>
  <c r="Q256" i="25"/>
  <c r="AO256" i="25"/>
  <c r="BZ256" i="25"/>
  <c r="Q26" i="24"/>
  <c r="R26" i="24" s="1"/>
  <c r="P26" i="24"/>
  <c r="AP26" i="24"/>
  <c r="Q158" i="24"/>
  <c r="P158" i="24"/>
  <c r="AP158" i="24"/>
  <c r="Q103" i="24"/>
  <c r="R103" i="24" s="1"/>
  <c r="P103" i="24"/>
  <c r="AP103" i="24"/>
  <c r="S271" i="25"/>
  <c r="K271" i="25" s="1"/>
  <c r="R271" i="25"/>
  <c r="Q271" i="25"/>
  <c r="AO271" i="25"/>
  <c r="BZ271" i="25"/>
  <c r="U55" i="25"/>
  <c r="U105" i="25"/>
  <c r="W138" i="24"/>
  <c r="V138" i="24"/>
  <c r="AE258" i="24"/>
  <c r="AI258" i="24"/>
  <c r="X258" i="24"/>
  <c r="AA258" i="24" s="1"/>
  <c r="AB258" i="24" s="1"/>
  <c r="AC258" i="24" s="1"/>
  <c r="U171" i="25"/>
  <c r="R254" i="25"/>
  <c r="S254" i="25"/>
  <c r="K254" i="25" s="1"/>
  <c r="Q254" i="25"/>
  <c r="BZ254" i="25"/>
  <c r="AO254" i="25"/>
  <c r="AE60" i="24"/>
  <c r="AI60" i="24"/>
  <c r="X60" i="24"/>
  <c r="AA60" i="24" s="1"/>
  <c r="AB60" i="24" s="1"/>
  <c r="AC60" i="24" s="1"/>
  <c r="AD34" i="25"/>
  <c r="W34" i="25"/>
  <c r="Z34" i="25" s="1"/>
  <c r="AA34" i="25" s="1"/>
  <c r="AB34" i="25" s="1"/>
  <c r="AI34" i="25" s="1"/>
  <c r="R182" i="25"/>
  <c r="S182" i="25"/>
  <c r="K182" i="25" s="1"/>
  <c r="Q182" i="25"/>
  <c r="AO182" i="25"/>
  <c r="BZ182" i="25"/>
  <c r="AE243" i="24"/>
  <c r="AI243" i="24"/>
  <c r="X243" i="24"/>
  <c r="AA243" i="24" s="1"/>
  <c r="AB243" i="24" s="1"/>
  <c r="AC243" i="24" s="1"/>
  <c r="AE256" i="24"/>
  <c r="AI256" i="24"/>
  <c r="X256" i="24"/>
  <c r="AA256" i="24" s="1"/>
  <c r="AB256" i="24" s="1"/>
  <c r="AC256" i="24" s="1"/>
  <c r="AE117" i="24"/>
  <c r="AI117" i="24"/>
  <c r="X117" i="24"/>
  <c r="AA117" i="24" s="1"/>
  <c r="AB117" i="24" s="1"/>
  <c r="AC117" i="24" s="1"/>
  <c r="W98" i="24"/>
  <c r="V98" i="24"/>
  <c r="S57" i="25"/>
  <c r="K57" i="25" s="1"/>
  <c r="R57" i="25"/>
  <c r="Q57" i="25"/>
  <c r="BZ57" i="25"/>
  <c r="AO57" i="25"/>
  <c r="Q161" i="24"/>
  <c r="P161" i="24"/>
  <c r="AP161" i="24"/>
  <c r="AE130" i="24"/>
  <c r="AI130" i="24"/>
  <c r="X130" i="24"/>
  <c r="AA130" i="24" s="1"/>
  <c r="AB130" i="24" s="1"/>
  <c r="AC130" i="24" s="1"/>
  <c r="AE159" i="24"/>
  <c r="AI159" i="24"/>
  <c r="X159" i="24"/>
  <c r="AA159" i="24" s="1"/>
  <c r="AB159" i="24" s="1"/>
  <c r="AC159" i="24" s="1"/>
  <c r="AE148" i="24"/>
  <c r="AI148" i="24"/>
  <c r="X148" i="24"/>
  <c r="AA148" i="24" s="1"/>
  <c r="AB148" i="24" s="1"/>
  <c r="AC148" i="24" s="1"/>
  <c r="R19" i="25"/>
  <c r="S19" i="25"/>
  <c r="K19" i="25" s="1"/>
  <c r="Q19" i="25"/>
  <c r="AO19" i="25"/>
  <c r="BZ19" i="25"/>
  <c r="AE18" i="24"/>
  <c r="AI18" i="24"/>
  <c r="X18" i="24"/>
  <c r="AA18" i="24" s="1"/>
  <c r="AB18" i="24" s="1"/>
  <c r="AC18" i="24" s="1"/>
  <c r="U301" i="25"/>
  <c r="AD292" i="25"/>
  <c r="W292" i="25"/>
  <c r="Z292" i="25" s="1"/>
  <c r="AA292" i="25" s="1"/>
  <c r="AB292" i="25" s="1"/>
  <c r="AI292" i="25" s="1"/>
  <c r="AD276" i="25"/>
  <c r="W276" i="25"/>
  <c r="Z276" i="25" s="1"/>
  <c r="AA276" i="25" s="1"/>
  <c r="AB276" i="25" s="1"/>
  <c r="AI276" i="25" s="1"/>
  <c r="AE15" i="24"/>
  <c r="AI15" i="24"/>
  <c r="X15" i="24"/>
  <c r="AA15" i="24" s="1"/>
  <c r="AB15" i="24" s="1"/>
  <c r="AC15" i="24" s="1"/>
  <c r="AD6" i="25"/>
  <c r="V6" i="25"/>
  <c r="X6" i="25" s="1"/>
  <c r="W6" i="25"/>
  <c r="Z6" i="25" s="1"/>
  <c r="AA6" i="25" s="1"/>
  <c r="AB6" i="25" s="1"/>
  <c r="AI6" i="25" s="1"/>
  <c r="W23" i="24"/>
  <c r="V23" i="24"/>
  <c r="S163" i="25"/>
  <c r="K163" i="25" s="1"/>
  <c r="R163" i="25"/>
  <c r="Q163" i="25"/>
  <c r="BZ163" i="25"/>
  <c r="AO163" i="25"/>
  <c r="AE225" i="24"/>
  <c r="AI225" i="24"/>
  <c r="W225" i="24"/>
  <c r="Y225" i="24" s="1"/>
  <c r="X225" i="24"/>
  <c r="AA225" i="24" s="1"/>
  <c r="AB225" i="24" s="1"/>
  <c r="AC225" i="24" s="1"/>
  <c r="U139" i="25"/>
  <c r="AE192" i="24"/>
  <c r="AI192" i="24"/>
  <c r="X192" i="24"/>
  <c r="AA192" i="24" s="1"/>
  <c r="AB192" i="24" s="1"/>
  <c r="AC192" i="24" s="1"/>
  <c r="AD177" i="25"/>
  <c r="W177" i="25"/>
  <c r="Z177" i="25" s="1"/>
  <c r="AA177" i="25" s="1"/>
  <c r="AB177" i="25" s="1"/>
  <c r="AI177" i="25" s="1"/>
  <c r="V177" i="25"/>
  <c r="X177" i="25" s="1"/>
  <c r="AE231" i="24"/>
  <c r="AI231" i="24"/>
  <c r="X231" i="24"/>
  <c r="AA231" i="24" s="1"/>
  <c r="AB231" i="24" s="1"/>
  <c r="AC231" i="24" s="1"/>
  <c r="U10" i="25"/>
  <c r="S126" i="25"/>
  <c r="K126" i="25" s="1"/>
  <c r="R126" i="25"/>
  <c r="Q126" i="25"/>
  <c r="BZ126" i="25"/>
  <c r="AO126" i="25"/>
  <c r="S172" i="25"/>
  <c r="K172" i="25" s="1"/>
  <c r="R172" i="25"/>
  <c r="Q172" i="25"/>
  <c r="BZ172" i="25"/>
  <c r="AO172" i="25"/>
  <c r="W129" i="24"/>
  <c r="Y129" i="24" s="1"/>
  <c r="S103" i="25"/>
  <c r="K103" i="25" s="1"/>
  <c r="V103" i="25" s="1"/>
  <c r="R103" i="25"/>
  <c r="Q103" i="25"/>
  <c r="BZ103" i="25"/>
  <c r="AO103" i="25"/>
  <c r="AE283" i="24"/>
  <c r="AI283" i="24"/>
  <c r="X283" i="24"/>
  <c r="AA283" i="24" s="1"/>
  <c r="AB283" i="24" s="1"/>
  <c r="AC283" i="24" s="1"/>
  <c r="AE274" i="24"/>
  <c r="AI274" i="24"/>
  <c r="X274" i="24"/>
  <c r="AA274" i="24" s="1"/>
  <c r="AB274" i="24" s="1"/>
  <c r="AC274" i="24" s="1"/>
  <c r="AD178" i="25"/>
  <c r="W178" i="25"/>
  <c r="Z178" i="25" s="1"/>
  <c r="AA178" i="25" s="1"/>
  <c r="AB178" i="25" s="1"/>
  <c r="AI178" i="25" s="1"/>
  <c r="AD257" i="25"/>
  <c r="W257" i="25"/>
  <c r="Z257" i="25" s="1"/>
  <c r="AA257" i="25" s="1"/>
  <c r="AB257" i="25" s="1"/>
  <c r="AI257" i="25" s="1"/>
  <c r="V257" i="25"/>
  <c r="X257" i="25" s="1"/>
  <c r="U53" i="25"/>
  <c r="AE128" i="24"/>
  <c r="AI128" i="24"/>
  <c r="X128" i="24"/>
  <c r="AA128" i="24" s="1"/>
  <c r="AB128" i="24" s="1"/>
  <c r="AC128" i="24" s="1"/>
  <c r="S60" i="25"/>
  <c r="K60" i="25" s="1"/>
  <c r="R60" i="25"/>
  <c r="Q60" i="25"/>
  <c r="AO60" i="25"/>
  <c r="BZ60" i="25"/>
  <c r="U219" i="25"/>
  <c r="U289" i="25"/>
  <c r="U209" i="25"/>
  <c r="P247" i="24"/>
  <c r="Q247" i="24"/>
  <c r="AP247" i="24"/>
  <c r="Q315" i="24"/>
  <c r="P315" i="24"/>
  <c r="AP315" i="24"/>
  <c r="U123" i="25"/>
  <c r="U307" i="25"/>
  <c r="AS129" i="25"/>
  <c r="S224" i="25"/>
  <c r="K224" i="25" s="1"/>
  <c r="R224" i="25"/>
  <c r="Q224" i="25"/>
  <c r="AO224" i="25"/>
  <c r="BZ224" i="25"/>
  <c r="AE24" i="24"/>
  <c r="AI24" i="24"/>
  <c r="X24" i="24"/>
  <c r="AA24" i="24" s="1"/>
  <c r="AB24" i="24" s="1"/>
  <c r="AC24" i="24" s="1"/>
  <c r="AE313" i="24"/>
  <c r="AI313" i="24"/>
  <c r="X313" i="24"/>
  <c r="AA313" i="24" s="1"/>
  <c r="AB313" i="24" s="1"/>
  <c r="AC313" i="24" s="1"/>
  <c r="W173" i="24"/>
  <c r="Y173" i="24" s="1"/>
  <c r="W18" i="24"/>
  <c r="Y18" i="24" s="1"/>
  <c r="W104" i="24"/>
  <c r="V104" i="24"/>
  <c r="AE82" i="24"/>
  <c r="AI82" i="24"/>
  <c r="X82" i="24"/>
  <c r="AA82" i="24" s="1"/>
  <c r="AB82" i="24" s="1"/>
  <c r="AC82" i="24" s="1"/>
  <c r="V261" i="25"/>
  <c r="X261" i="25" s="1"/>
  <c r="R290" i="25"/>
  <c r="S290" i="25"/>
  <c r="K290" i="25" s="1"/>
  <c r="Q290" i="25"/>
  <c r="BZ290" i="25"/>
  <c r="AO290" i="25"/>
  <c r="S136" i="25"/>
  <c r="K136" i="25" s="1"/>
  <c r="Q136" i="25"/>
  <c r="R136" i="25"/>
  <c r="AO136" i="25"/>
  <c r="BZ136" i="25"/>
  <c r="W232" i="24"/>
  <c r="V232" i="24"/>
  <c r="AE217" i="24"/>
  <c r="AI217" i="24"/>
  <c r="X217" i="24"/>
  <c r="AA217" i="24" s="1"/>
  <c r="AB217" i="24" s="1"/>
  <c r="AC217" i="24" s="1"/>
  <c r="S67" i="25"/>
  <c r="K67" i="25" s="1"/>
  <c r="R67" i="25"/>
  <c r="Q67" i="25"/>
  <c r="BZ67" i="25"/>
  <c r="AO67" i="25"/>
  <c r="AE20" i="24"/>
  <c r="AI20" i="24"/>
  <c r="X20" i="24"/>
  <c r="AA20" i="24" s="1"/>
  <c r="AB20" i="24" s="1"/>
  <c r="AC20" i="24" s="1"/>
  <c r="P282" i="24"/>
  <c r="Q282" i="24"/>
  <c r="AP282" i="24"/>
  <c r="AJ292" i="24"/>
  <c r="AE145" i="24"/>
  <c r="AI145" i="24"/>
  <c r="X145" i="24"/>
  <c r="AA145" i="24" s="1"/>
  <c r="AB145" i="24" s="1"/>
  <c r="AC145" i="24" s="1"/>
  <c r="R130" i="25"/>
  <c r="S130" i="25"/>
  <c r="K130" i="25" s="1"/>
  <c r="Q130" i="25"/>
  <c r="BZ130" i="25"/>
  <c r="AO130" i="25"/>
  <c r="R165" i="25"/>
  <c r="S165" i="25"/>
  <c r="K165" i="25" s="1"/>
  <c r="V165" i="25" s="1"/>
  <c r="Q165" i="25"/>
  <c r="BZ165" i="25"/>
  <c r="AO165" i="25"/>
  <c r="S266" i="25"/>
  <c r="K266" i="25" s="1"/>
  <c r="V266" i="25" s="1"/>
  <c r="R266" i="25"/>
  <c r="Q266" i="25"/>
  <c r="AO266" i="25"/>
  <c r="BZ266" i="25"/>
  <c r="AE174" i="24"/>
  <c r="AI174" i="24"/>
  <c r="X174" i="24"/>
  <c r="AA174" i="24" s="1"/>
  <c r="AB174" i="24" s="1"/>
  <c r="AC174" i="24" s="1"/>
  <c r="U202" i="25"/>
  <c r="W69" i="24"/>
  <c r="V69" i="24"/>
  <c r="AE178" i="24"/>
  <c r="AI178" i="24"/>
  <c r="X178" i="24"/>
  <c r="AA178" i="24" s="1"/>
  <c r="AB178" i="24" s="1"/>
  <c r="AC178" i="24" s="1"/>
  <c r="S159" i="25"/>
  <c r="K159" i="25" s="1"/>
  <c r="V159" i="25" s="1"/>
  <c r="R159" i="25"/>
  <c r="Q159" i="25"/>
  <c r="AO159" i="25"/>
  <c r="BZ159" i="25"/>
  <c r="V210" i="24"/>
  <c r="W210" i="24"/>
  <c r="AE69" i="24"/>
  <c r="AI69" i="24"/>
  <c r="X69" i="24"/>
  <c r="AA69" i="24" s="1"/>
  <c r="AB69" i="24" s="1"/>
  <c r="AC69" i="24" s="1"/>
  <c r="S63" i="25"/>
  <c r="K63" i="25" s="1"/>
  <c r="V63" i="25" s="1"/>
  <c r="R63" i="25"/>
  <c r="Q63" i="25"/>
  <c r="AO63" i="25"/>
  <c r="BZ63" i="25"/>
  <c r="AE125" i="24"/>
  <c r="AI125" i="24"/>
  <c r="X125" i="24"/>
  <c r="AA125" i="24" s="1"/>
  <c r="AB125" i="24" s="1"/>
  <c r="AC125" i="24" s="1"/>
  <c r="W29" i="24"/>
  <c r="V29" i="24"/>
  <c r="V145" i="24"/>
  <c r="W145" i="24"/>
  <c r="R278" i="25"/>
  <c r="S278" i="25"/>
  <c r="K278" i="25" s="1"/>
  <c r="Q278" i="25"/>
  <c r="BZ278" i="25"/>
  <c r="AO278" i="25"/>
  <c r="U73" i="25"/>
  <c r="AE164" i="24"/>
  <c r="AI164" i="24"/>
  <c r="X164" i="24"/>
  <c r="AA164" i="24" s="1"/>
  <c r="AB164" i="24" s="1"/>
  <c r="AC164" i="24" s="1"/>
  <c r="P174" i="24"/>
  <c r="Q174" i="24"/>
  <c r="AP174" i="24"/>
  <c r="R160" i="25"/>
  <c r="S160" i="25"/>
  <c r="K160" i="25" s="1"/>
  <c r="V160" i="25" s="1"/>
  <c r="Q160" i="25"/>
  <c r="AO160" i="25"/>
  <c r="BZ160" i="25"/>
  <c r="W202" i="24"/>
  <c r="Y202" i="24" s="1"/>
  <c r="AD174" i="25"/>
  <c r="W174" i="25"/>
  <c r="Z174" i="25" s="1"/>
  <c r="AA174" i="25" s="1"/>
  <c r="AB174" i="25" s="1"/>
  <c r="AI174" i="25" s="1"/>
  <c r="W287" i="24"/>
  <c r="Y287" i="24" s="1"/>
  <c r="R61" i="25"/>
  <c r="S61" i="25"/>
  <c r="K61" i="25" s="1"/>
  <c r="Q61" i="25"/>
  <c r="BZ61" i="25"/>
  <c r="AO61" i="25"/>
  <c r="S100" i="25"/>
  <c r="K100" i="25" s="1"/>
  <c r="R100" i="25"/>
  <c r="Q100" i="25"/>
  <c r="AO100" i="25"/>
  <c r="BZ100" i="25"/>
  <c r="V239" i="24"/>
  <c r="W239" i="24"/>
  <c r="R153" i="25"/>
  <c r="S153" i="25"/>
  <c r="K153" i="25" s="1"/>
  <c r="Q153" i="25"/>
  <c r="AO153" i="25"/>
  <c r="BZ153" i="25"/>
  <c r="AE54" i="24"/>
  <c r="AI54" i="24"/>
  <c r="X54" i="24"/>
  <c r="AA54" i="24" s="1"/>
  <c r="AB54" i="24" s="1"/>
  <c r="AC54" i="24" s="1"/>
  <c r="AE167" i="24"/>
  <c r="AI167" i="24"/>
  <c r="W167" i="24"/>
  <c r="Y167" i="24" s="1"/>
  <c r="X167" i="24"/>
  <c r="AA167" i="24" s="1"/>
  <c r="AB167" i="24" s="1"/>
  <c r="AC167" i="24" s="1"/>
  <c r="Q113" i="24"/>
  <c r="P113" i="24"/>
  <c r="AP113" i="24"/>
  <c r="R264" i="25"/>
  <c r="S264" i="25"/>
  <c r="K264" i="25" s="1"/>
  <c r="Q264" i="25"/>
  <c r="BZ264" i="25"/>
  <c r="AO264" i="25"/>
  <c r="R194" i="25"/>
  <c r="S194" i="25"/>
  <c r="K194" i="25" s="1"/>
  <c r="V194" i="25" s="1"/>
  <c r="Q194" i="25"/>
  <c r="AO194" i="25"/>
  <c r="BZ194" i="25"/>
  <c r="U23" i="25"/>
  <c r="R268" i="25"/>
  <c r="S268" i="25"/>
  <c r="K268" i="25" s="1"/>
  <c r="Q268" i="25"/>
  <c r="AO268" i="25"/>
  <c r="BZ268" i="25"/>
  <c r="V283" i="24"/>
  <c r="W283" i="24"/>
  <c r="V306" i="25"/>
  <c r="X306" i="25" s="1"/>
  <c r="W180" i="24"/>
  <c r="Y180" i="24" s="1"/>
  <c r="R98" i="25"/>
  <c r="S98" i="25"/>
  <c r="K98" i="25" s="1"/>
  <c r="Q98" i="25"/>
  <c r="AO98" i="25"/>
  <c r="BZ98" i="25"/>
  <c r="AE237" i="24"/>
  <c r="AI237" i="24"/>
  <c r="X237" i="24"/>
  <c r="AA237" i="24" s="1"/>
  <c r="AB237" i="24" s="1"/>
  <c r="AC237" i="24" s="1"/>
  <c r="AE196" i="24"/>
  <c r="AI196" i="24"/>
  <c r="X196" i="24"/>
  <c r="AA196" i="24" s="1"/>
  <c r="AB196" i="24" s="1"/>
  <c r="AC196" i="24" s="1"/>
  <c r="U72" i="25"/>
  <c r="AE30" i="24"/>
  <c r="AI30" i="24"/>
  <c r="X30" i="24"/>
  <c r="AA30" i="24" s="1"/>
  <c r="AB30" i="24" s="1"/>
  <c r="AC30" i="24" s="1"/>
  <c r="W118" i="24"/>
  <c r="Y118" i="24" s="1"/>
  <c r="AE234" i="24"/>
  <c r="AI234" i="24"/>
  <c r="X234" i="24"/>
  <c r="AA234" i="24" s="1"/>
  <c r="AB234" i="24" s="1"/>
  <c r="AC234" i="24" s="1"/>
  <c r="AE290" i="24"/>
  <c r="AI290" i="24"/>
  <c r="X290" i="24"/>
  <c r="AA290" i="24" s="1"/>
  <c r="AB290" i="24" s="1"/>
  <c r="AC290" i="24" s="1"/>
  <c r="Q39" i="24"/>
  <c r="R39" i="24" s="1"/>
  <c r="P39" i="24"/>
  <c r="AP39" i="24"/>
  <c r="AE64" i="24"/>
  <c r="AI64" i="24"/>
  <c r="X64" i="24"/>
  <c r="AA64" i="24" s="1"/>
  <c r="AB64" i="24" s="1"/>
  <c r="AC64" i="24" s="1"/>
  <c r="V229" i="24"/>
  <c r="W229" i="24"/>
  <c r="W155" i="24"/>
  <c r="Y155" i="24" s="1"/>
  <c r="U183" i="25"/>
  <c r="S83" i="25"/>
  <c r="K83" i="25" s="1"/>
  <c r="R83" i="25"/>
  <c r="Q83" i="25"/>
  <c r="BZ83" i="25"/>
  <c r="AO83" i="25"/>
  <c r="AE185" i="24"/>
  <c r="AI185" i="24"/>
  <c r="X185" i="24"/>
  <c r="AA185" i="24" s="1"/>
  <c r="AB185" i="24" s="1"/>
  <c r="AC185" i="24" s="1"/>
  <c r="AE300" i="24"/>
  <c r="AI300" i="24"/>
  <c r="X300" i="24"/>
  <c r="AA300" i="24" s="1"/>
  <c r="AB300" i="24" s="1"/>
  <c r="AC300" i="24" s="1"/>
  <c r="V299" i="24"/>
  <c r="W299" i="24"/>
  <c r="AE261" i="24"/>
  <c r="AI261" i="24"/>
  <c r="X261" i="24"/>
  <c r="AA261" i="24" s="1"/>
  <c r="AB261" i="24" s="1"/>
  <c r="AC261" i="24" s="1"/>
  <c r="U38" i="25"/>
  <c r="AE269" i="24"/>
  <c r="AI269" i="24"/>
  <c r="X269" i="24"/>
  <c r="AA269" i="24" s="1"/>
  <c r="AB269" i="24" s="1"/>
  <c r="AC269" i="24" s="1"/>
  <c r="U140" i="25"/>
  <c r="AE144" i="24"/>
  <c r="AI144" i="24"/>
  <c r="X144" i="24"/>
  <c r="AA144" i="24" s="1"/>
  <c r="AB144" i="24" s="1"/>
  <c r="AC144" i="24" s="1"/>
  <c r="AE58" i="24"/>
  <c r="AI58" i="24"/>
  <c r="X58" i="24"/>
  <c r="AA58" i="24" s="1"/>
  <c r="AB58" i="24" s="1"/>
  <c r="AC58" i="24" s="1"/>
  <c r="AE219" i="24"/>
  <c r="AI219" i="24"/>
  <c r="X219" i="24"/>
  <c r="AA219" i="24" s="1"/>
  <c r="AB219" i="24" s="1"/>
  <c r="AC219" i="24" s="1"/>
  <c r="V58" i="24"/>
  <c r="W58" i="24"/>
  <c r="AE134" i="24"/>
  <c r="AI134" i="24"/>
  <c r="W134" i="24"/>
  <c r="Y134" i="24" s="1"/>
  <c r="X134" i="24"/>
  <c r="AA134" i="24" s="1"/>
  <c r="AB134" i="24" s="1"/>
  <c r="AC134" i="24" s="1"/>
  <c r="S16" i="25"/>
  <c r="K16" i="25" s="1"/>
  <c r="R16" i="25"/>
  <c r="Q16" i="25"/>
  <c r="BZ16" i="25"/>
  <c r="AO16" i="25"/>
  <c r="W159" i="24"/>
  <c r="V159" i="24"/>
  <c r="AD283" i="25"/>
  <c r="W283" i="25"/>
  <c r="Z283" i="25" s="1"/>
  <c r="AA283" i="25" s="1"/>
  <c r="AB283" i="25" s="1"/>
  <c r="AI283" i="25" s="1"/>
  <c r="S38" i="25"/>
  <c r="K38" i="25" s="1"/>
  <c r="V38" i="25" s="1"/>
  <c r="R38" i="25"/>
  <c r="Q38" i="25"/>
  <c r="BZ38" i="25"/>
  <c r="AO38" i="25"/>
  <c r="AJ22" i="24"/>
  <c r="R128" i="25"/>
  <c r="S128" i="25"/>
  <c r="K128" i="25" s="1"/>
  <c r="Q128" i="25"/>
  <c r="AO128" i="25"/>
  <c r="BZ128" i="25"/>
  <c r="W245" i="24"/>
  <c r="V245" i="24"/>
  <c r="R140" i="25"/>
  <c r="S140" i="25"/>
  <c r="K140" i="25" s="1"/>
  <c r="V140" i="25" s="1"/>
  <c r="Q140" i="25"/>
  <c r="BZ140" i="25"/>
  <c r="AO140" i="25"/>
  <c r="S227" i="25"/>
  <c r="K227" i="25" s="1"/>
  <c r="R227" i="25"/>
  <c r="Q227" i="25"/>
  <c r="AO227" i="25"/>
  <c r="BZ227" i="25"/>
  <c r="AE42" i="24"/>
  <c r="AI42" i="24"/>
  <c r="X42" i="24"/>
  <c r="AA42" i="24" s="1"/>
  <c r="AB42" i="24" s="1"/>
  <c r="AC42" i="24" s="1"/>
  <c r="R37" i="25"/>
  <c r="S37" i="25"/>
  <c r="K37" i="25" s="1"/>
  <c r="Q37" i="25"/>
  <c r="AO37" i="25"/>
  <c r="BZ37" i="25"/>
  <c r="AE220" i="24"/>
  <c r="AI220" i="24"/>
  <c r="X220" i="24"/>
  <c r="AA220" i="24" s="1"/>
  <c r="AB220" i="24" s="1"/>
  <c r="AC220" i="24" s="1"/>
  <c r="Q58" i="24"/>
  <c r="R58" i="24" s="1"/>
  <c r="P58" i="24"/>
  <c r="AP58" i="24"/>
  <c r="AE83" i="24"/>
  <c r="AI83" i="24"/>
  <c r="X83" i="24"/>
  <c r="AA83" i="24" s="1"/>
  <c r="AB83" i="24" s="1"/>
  <c r="AC83" i="24" s="1"/>
  <c r="V260" i="24"/>
  <c r="W260" i="24"/>
  <c r="W289" i="24"/>
  <c r="Y289" i="24" s="1"/>
  <c r="R311" i="25"/>
  <c r="S311" i="25"/>
  <c r="K311" i="25" s="1"/>
  <c r="Q311" i="25"/>
  <c r="BZ311" i="25"/>
  <c r="AO311" i="25"/>
  <c r="R309" i="25"/>
  <c r="S309" i="25"/>
  <c r="K309" i="25" s="1"/>
  <c r="Q309" i="25"/>
  <c r="BZ309" i="25"/>
  <c r="AO309" i="25"/>
  <c r="AE224" i="24"/>
  <c r="AI224" i="24"/>
  <c r="X224" i="24"/>
  <c r="AA224" i="24" s="1"/>
  <c r="AB224" i="24" s="1"/>
  <c r="AC224" i="24" s="1"/>
  <c r="AD282" i="25"/>
  <c r="W282" i="25"/>
  <c r="Z282" i="25" s="1"/>
  <c r="AA282" i="25" s="1"/>
  <c r="AB282" i="25" s="1"/>
  <c r="AI282" i="25" s="1"/>
  <c r="R35" i="25"/>
  <c r="S35" i="25"/>
  <c r="K35" i="25" s="1"/>
  <c r="Q35" i="25"/>
  <c r="BZ35" i="25"/>
  <c r="AO35" i="25"/>
  <c r="AE9" i="24"/>
  <c r="AI9" i="24"/>
  <c r="X9" i="24"/>
  <c r="AA9" i="24" s="1"/>
  <c r="AB9" i="24" s="1"/>
  <c r="AC9" i="24" s="1"/>
  <c r="W189" i="24"/>
  <c r="Y189" i="24" s="1"/>
  <c r="U12" i="25"/>
  <c r="W42" i="24"/>
  <c r="V42" i="24"/>
  <c r="B117" i="2"/>
  <c r="U210" i="25"/>
  <c r="U313" i="25"/>
  <c r="AG41" i="24"/>
  <c r="AF41" i="24"/>
  <c r="AE181" i="24"/>
  <c r="AI181" i="24"/>
  <c r="X181" i="24"/>
  <c r="AA181" i="24" s="1"/>
  <c r="AB181" i="24" s="1"/>
  <c r="AC181" i="24" s="1"/>
  <c r="S301" i="25"/>
  <c r="K301" i="25" s="1"/>
  <c r="R301" i="25"/>
  <c r="Q301" i="25"/>
  <c r="AO301" i="25"/>
  <c r="BZ301" i="25"/>
  <c r="W111" i="24"/>
  <c r="V111" i="24"/>
  <c r="W186" i="24"/>
  <c r="V186" i="24"/>
  <c r="AD186" i="25"/>
  <c r="W186" i="25"/>
  <c r="Z186" i="25" s="1"/>
  <c r="AA186" i="25" s="1"/>
  <c r="AB186" i="25" s="1"/>
  <c r="AI186" i="25" s="1"/>
  <c r="V186" i="25"/>
  <c r="X186" i="25" s="1"/>
  <c r="S241" i="25"/>
  <c r="K241" i="25" s="1"/>
  <c r="R241" i="25"/>
  <c r="Q241" i="25"/>
  <c r="BZ241" i="25"/>
  <c r="AO241" i="25"/>
  <c r="AD229" i="25"/>
  <c r="W229" i="25"/>
  <c r="Z229" i="25" s="1"/>
  <c r="AA229" i="25" s="1"/>
  <c r="AB229" i="25" s="1"/>
  <c r="AI229" i="25" s="1"/>
  <c r="W258" i="24"/>
  <c r="Y258" i="24" s="1"/>
  <c r="W135" i="24"/>
  <c r="V135" i="24"/>
  <c r="U217" i="25"/>
  <c r="AE133" i="24"/>
  <c r="AI133" i="24"/>
  <c r="X133" i="24"/>
  <c r="AA133" i="24" s="1"/>
  <c r="AB133" i="24" s="1"/>
  <c r="AC133" i="24" s="1"/>
  <c r="R10" i="25"/>
  <c r="S10" i="25"/>
  <c r="K10" i="25" s="1"/>
  <c r="V10" i="25" s="1"/>
  <c r="Q10" i="25"/>
  <c r="AO10" i="25"/>
  <c r="BZ10" i="25"/>
  <c r="R166" i="25"/>
  <c r="S166" i="25"/>
  <c r="K166" i="25" s="1"/>
  <c r="Q166" i="25"/>
  <c r="BZ166" i="25"/>
  <c r="AO166" i="25"/>
  <c r="U181" i="25"/>
  <c r="AE33" i="24"/>
  <c r="AI33" i="24"/>
  <c r="X33" i="24"/>
  <c r="AA33" i="24" s="1"/>
  <c r="AB33" i="24" s="1"/>
  <c r="AC33" i="24" s="1"/>
  <c r="AD113" i="25"/>
  <c r="W113" i="25"/>
  <c r="Z113" i="25" s="1"/>
  <c r="AA113" i="25" s="1"/>
  <c r="AB113" i="25" s="1"/>
  <c r="AI113" i="25" s="1"/>
  <c r="AE67" i="24"/>
  <c r="AI67" i="24"/>
  <c r="X67" i="24"/>
  <c r="AA67" i="24" s="1"/>
  <c r="AB67" i="24" s="1"/>
  <c r="AC67" i="24" s="1"/>
  <c r="U63" i="25"/>
  <c r="R195" i="25"/>
  <c r="S195" i="25"/>
  <c r="K195" i="25" s="1"/>
  <c r="Q195" i="25"/>
  <c r="AO195" i="25"/>
  <c r="BZ195" i="25"/>
  <c r="V114" i="25"/>
  <c r="X114" i="25" s="1"/>
  <c r="AE98" i="24"/>
  <c r="AI98" i="24"/>
  <c r="X98" i="24"/>
  <c r="AA98" i="24" s="1"/>
  <c r="AB98" i="24" s="1"/>
  <c r="AC98" i="24" s="1"/>
  <c r="AE91" i="24"/>
  <c r="AI91" i="24"/>
  <c r="X91" i="24"/>
  <c r="AA91" i="24" s="1"/>
  <c r="AB91" i="24" s="1"/>
  <c r="AC91" i="24" s="1"/>
  <c r="R219" i="25"/>
  <c r="S219" i="25"/>
  <c r="K219" i="25" s="1"/>
  <c r="Q219" i="25"/>
  <c r="AO219" i="25"/>
  <c r="BZ219" i="25"/>
  <c r="U277" i="25"/>
  <c r="S209" i="25"/>
  <c r="K209" i="25" s="1"/>
  <c r="V209" i="25" s="1"/>
  <c r="R209" i="25"/>
  <c r="Q209" i="25"/>
  <c r="BZ209" i="25"/>
  <c r="AO209" i="25"/>
  <c r="AE86" i="24"/>
  <c r="AI86" i="24"/>
  <c r="X86" i="24"/>
  <c r="AA86" i="24" s="1"/>
  <c r="AB86" i="24" s="1"/>
  <c r="AC86" i="24" s="1"/>
  <c r="AE197" i="24"/>
  <c r="AI197" i="24"/>
  <c r="X197" i="24"/>
  <c r="AA197" i="24" s="1"/>
  <c r="AB197" i="24" s="1"/>
  <c r="AC197" i="24" s="1"/>
  <c r="V184" i="24"/>
  <c r="W184" i="24"/>
  <c r="R123" i="25"/>
  <c r="S123" i="25"/>
  <c r="K123" i="25" s="1"/>
  <c r="V123" i="25" s="1"/>
  <c r="Q123" i="25"/>
  <c r="AO123" i="25"/>
  <c r="BZ123" i="25"/>
  <c r="R307" i="25"/>
  <c r="S307" i="25"/>
  <c r="K307" i="25" s="1"/>
  <c r="V307" i="25" s="1"/>
  <c r="Q307" i="25"/>
  <c r="BZ307" i="25"/>
  <c r="AO307" i="25"/>
  <c r="W76" i="24"/>
  <c r="Y76" i="24" s="1"/>
  <c r="AF129" i="25"/>
  <c r="AE129" i="25"/>
  <c r="V148" i="24"/>
  <c r="W148" i="24"/>
  <c r="R175" i="25"/>
  <c r="S175" i="25"/>
  <c r="K175" i="25" s="1"/>
  <c r="V175" i="25" s="1"/>
  <c r="Q175" i="25"/>
  <c r="BZ175" i="25"/>
  <c r="AO175" i="25"/>
  <c r="AE316" i="24"/>
  <c r="AI316" i="24"/>
  <c r="X316" i="24"/>
  <c r="AA316" i="24" s="1"/>
  <c r="AB316" i="24" s="1"/>
  <c r="AC316" i="24" s="1"/>
  <c r="W228" i="24"/>
  <c r="V228" i="24"/>
  <c r="V259" i="25"/>
  <c r="X259" i="25" s="1"/>
  <c r="AD238" i="25"/>
  <c r="W238" i="25"/>
  <c r="Z238" i="25" s="1"/>
  <c r="AA238" i="25" s="1"/>
  <c r="AB238" i="25" s="1"/>
  <c r="AI238" i="25" s="1"/>
  <c r="AD173" i="25"/>
  <c r="W173" i="25"/>
  <c r="Z173" i="25" s="1"/>
  <c r="AA173" i="25" s="1"/>
  <c r="AB173" i="25" s="1"/>
  <c r="AI173" i="25" s="1"/>
  <c r="W14" i="24"/>
  <c r="Y14" i="24" s="1"/>
  <c r="S24" i="25"/>
  <c r="K24" i="25" s="1"/>
  <c r="R24" i="25"/>
  <c r="Q24" i="25"/>
  <c r="BZ24" i="25"/>
  <c r="AO24" i="25"/>
  <c r="AE301" i="24"/>
  <c r="AI301" i="24"/>
  <c r="X301" i="24"/>
  <c r="AA301" i="24" s="1"/>
  <c r="AB301" i="24" s="1"/>
  <c r="AC301" i="24" s="1"/>
  <c r="AE17" i="24"/>
  <c r="AI17" i="24"/>
  <c r="X17" i="24"/>
  <c r="AA17" i="24" s="1"/>
  <c r="AB17" i="24" s="1"/>
  <c r="AC17" i="24" s="1"/>
  <c r="P232" i="24"/>
  <c r="Q232" i="24"/>
  <c r="AP232" i="24"/>
  <c r="AE315" i="24"/>
  <c r="AI315" i="24"/>
  <c r="X315" i="24"/>
  <c r="AA315" i="24" s="1"/>
  <c r="AB315" i="24" s="1"/>
  <c r="AC315" i="24" s="1"/>
  <c r="AE127" i="24"/>
  <c r="AI127" i="24"/>
  <c r="X127" i="24"/>
  <c r="AA127" i="24" s="1"/>
  <c r="AB127" i="24" s="1"/>
  <c r="AC127" i="24" s="1"/>
  <c r="R176" i="25"/>
  <c r="S176" i="25"/>
  <c r="K176" i="25" s="1"/>
  <c r="Q176" i="25"/>
  <c r="AO176" i="25"/>
  <c r="BZ176" i="25"/>
  <c r="AG292" i="24"/>
  <c r="AF292" i="24"/>
  <c r="AE193" i="24"/>
  <c r="AI193" i="24"/>
  <c r="X193" i="24"/>
  <c r="AA193" i="24" s="1"/>
  <c r="AB193" i="24" s="1"/>
  <c r="AC193" i="24" s="1"/>
  <c r="W188" i="24"/>
  <c r="Y188" i="24" s="1"/>
  <c r="AD62" i="25"/>
  <c r="W62" i="25"/>
  <c r="Z62" i="25" s="1"/>
  <c r="AA62" i="25" s="1"/>
  <c r="AB62" i="25" s="1"/>
  <c r="AI62" i="25" s="1"/>
  <c r="W284" i="24"/>
  <c r="Y284" i="24" s="1"/>
  <c r="V206" i="25"/>
  <c r="X206" i="25" s="1"/>
  <c r="W218" i="24"/>
  <c r="Y218" i="24" s="1"/>
  <c r="U226" i="25"/>
  <c r="R36" i="25"/>
  <c r="S36" i="25"/>
  <c r="K36" i="25" s="1"/>
  <c r="Q36" i="25"/>
  <c r="AO36" i="25"/>
  <c r="BZ36" i="25"/>
  <c r="AE244" i="24"/>
  <c r="AI244" i="24"/>
  <c r="X244" i="24"/>
  <c r="AA244" i="24" s="1"/>
  <c r="AB244" i="24" s="1"/>
  <c r="AC244" i="24" s="1"/>
  <c r="W269" i="24"/>
  <c r="Y269" i="24" s="1"/>
  <c r="AD296" i="25"/>
  <c r="W296" i="25"/>
  <c r="Z296" i="25" s="1"/>
  <c r="AA296" i="25" s="1"/>
  <c r="AB296" i="25" s="1"/>
  <c r="AI296" i="25" s="1"/>
  <c r="V296" i="25"/>
  <c r="X296" i="25" s="1"/>
  <c r="W172" i="24"/>
  <c r="Y172" i="24" s="1"/>
  <c r="Q210" i="24"/>
  <c r="P210" i="24"/>
  <c r="AP210" i="24"/>
  <c r="R137" i="25"/>
  <c r="S137" i="25"/>
  <c r="K137" i="25" s="1"/>
  <c r="Q137" i="25"/>
  <c r="AO137" i="25"/>
  <c r="BZ137" i="25"/>
  <c r="V222" i="24"/>
  <c r="W222" i="24"/>
  <c r="AE262" i="24"/>
  <c r="AI262" i="24"/>
  <c r="X262" i="24"/>
  <c r="AA262" i="24" s="1"/>
  <c r="AB262" i="24" s="1"/>
  <c r="AC262" i="24" s="1"/>
  <c r="AE80" i="24"/>
  <c r="AI80" i="24"/>
  <c r="X80" i="24"/>
  <c r="AA80" i="24" s="1"/>
  <c r="AB80" i="24" s="1"/>
  <c r="AC80" i="24" s="1"/>
  <c r="AJ236" i="24"/>
  <c r="U203" i="25"/>
  <c r="AE306" i="24"/>
  <c r="AI306" i="24"/>
  <c r="X306" i="24"/>
  <c r="AA306" i="24" s="1"/>
  <c r="AB306" i="24" s="1"/>
  <c r="AC306" i="24" s="1"/>
  <c r="P29" i="24"/>
  <c r="Q29" i="24"/>
  <c r="R29" i="24" s="1"/>
  <c r="AP29" i="24"/>
  <c r="P145" i="24"/>
  <c r="Q145" i="24"/>
  <c r="AP145" i="24"/>
  <c r="AE92" i="24"/>
  <c r="AI92" i="24"/>
  <c r="X92" i="24"/>
  <c r="AA92" i="24" s="1"/>
  <c r="AB92" i="24" s="1"/>
  <c r="AC92" i="24" s="1"/>
  <c r="AE51" i="24"/>
  <c r="AI51" i="24"/>
  <c r="X51" i="24"/>
  <c r="AA51" i="24" s="1"/>
  <c r="AB51" i="24" s="1"/>
  <c r="AC51" i="24" s="1"/>
  <c r="R73" i="25"/>
  <c r="S73" i="25"/>
  <c r="K73" i="25" s="1"/>
  <c r="V73" i="25" s="1"/>
  <c r="Q73" i="25"/>
  <c r="AO73" i="25"/>
  <c r="BZ73" i="25"/>
  <c r="R187" i="25"/>
  <c r="S187" i="25"/>
  <c r="K187" i="25" s="1"/>
  <c r="V187" i="25" s="1"/>
  <c r="Q187" i="25"/>
  <c r="BZ187" i="25"/>
  <c r="AO187" i="25"/>
  <c r="AE39" i="24"/>
  <c r="AI39" i="24"/>
  <c r="X39" i="24"/>
  <c r="AA39" i="24" s="1"/>
  <c r="AB39" i="24" s="1"/>
  <c r="AC39" i="24" s="1"/>
  <c r="AJ142" i="24"/>
  <c r="AE229" i="24"/>
  <c r="AI229" i="24"/>
  <c r="X229" i="24"/>
  <c r="AA229" i="24" s="1"/>
  <c r="AB229" i="24" s="1"/>
  <c r="AC229" i="24" s="1"/>
  <c r="AE111" i="24"/>
  <c r="AI111" i="24"/>
  <c r="X111" i="24"/>
  <c r="AA111" i="24" s="1"/>
  <c r="AB111" i="24" s="1"/>
  <c r="AC111" i="24" s="1"/>
  <c r="W116" i="24"/>
  <c r="Y116" i="24" s="1"/>
  <c r="W67" i="24"/>
  <c r="Y67" i="24" s="1"/>
  <c r="W92" i="24"/>
  <c r="V92" i="24"/>
  <c r="AE46" i="24"/>
  <c r="AI46" i="24"/>
  <c r="X46" i="24"/>
  <c r="AA46" i="24" s="1"/>
  <c r="AB46" i="24" s="1"/>
  <c r="AC46" i="24" s="1"/>
  <c r="W6" i="24"/>
  <c r="Y6" i="24" s="1"/>
  <c r="W277" i="24"/>
  <c r="V277" i="24"/>
  <c r="Q239" i="24"/>
  <c r="P239" i="24"/>
  <c r="AP239" i="24"/>
  <c r="W38" i="24"/>
  <c r="V38" i="24"/>
  <c r="R47" i="25"/>
  <c r="S47" i="25"/>
  <c r="K47" i="25" s="1"/>
  <c r="V47" i="25" s="1"/>
  <c r="Q47" i="25"/>
  <c r="AO47" i="25"/>
  <c r="BZ47" i="25"/>
  <c r="AE259" i="24"/>
  <c r="AI259" i="24"/>
  <c r="X259" i="24"/>
  <c r="AA259" i="24" s="1"/>
  <c r="AB259" i="24" s="1"/>
  <c r="AC259" i="24" s="1"/>
  <c r="S23" i="25"/>
  <c r="K23" i="25" s="1"/>
  <c r="R23" i="25"/>
  <c r="Q23" i="25"/>
  <c r="AO23" i="25"/>
  <c r="BZ23" i="25"/>
  <c r="V57" i="24"/>
  <c r="W57" i="24"/>
  <c r="U272" i="25"/>
  <c r="AE126" i="24"/>
  <c r="AI126" i="24"/>
  <c r="X126" i="24"/>
  <c r="AA126" i="24" s="1"/>
  <c r="AB126" i="24" s="1"/>
  <c r="AC126" i="24" s="1"/>
  <c r="V235" i="24"/>
  <c r="W235" i="24"/>
  <c r="W193" i="24"/>
  <c r="Y193" i="24" s="1"/>
  <c r="AD248" i="25"/>
  <c r="W248" i="25"/>
  <c r="Z248" i="25" s="1"/>
  <c r="AA248" i="25" s="1"/>
  <c r="AB248" i="25" s="1"/>
  <c r="AI248" i="25" s="1"/>
  <c r="V174" i="25"/>
  <c r="X174" i="25" s="1"/>
  <c r="AD204" i="25"/>
  <c r="W204" i="25"/>
  <c r="Z204" i="25" s="1"/>
  <c r="AA204" i="25" s="1"/>
  <c r="AB204" i="25" s="1"/>
  <c r="AI204" i="25" s="1"/>
  <c r="S80" i="25"/>
  <c r="K80" i="25" s="1"/>
  <c r="R80" i="25"/>
  <c r="Q80" i="25"/>
  <c r="AO80" i="25"/>
  <c r="BZ80" i="25"/>
  <c r="R310" i="25"/>
  <c r="S310" i="25"/>
  <c r="K310" i="25" s="1"/>
  <c r="Q310" i="25"/>
  <c r="AO310" i="25"/>
  <c r="BZ310" i="25"/>
  <c r="FJ211" i="25"/>
  <c r="R54" i="25"/>
  <c r="S54" i="25"/>
  <c r="K54" i="25" s="1"/>
  <c r="Q54" i="25"/>
  <c r="BZ54" i="25"/>
  <c r="AO54" i="25"/>
  <c r="S72" i="25"/>
  <c r="K72" i="25" s="1"/>
  <c r="R72" i="25"/>
  <c r="Q72" i="25"/>
  <c r="AO72" i="25"/>
  <c r="BZ72" i="25"/>
  <c r="R65" i="25"/>
  <c r="S65" i="25"/>
  <c r="K65" i="25" s="1"/>
  <c r="Q65" i="25"/>
  <c r="BZ65" i="25"/>
  <c r="AO65" i="25"/>
  <c r="U225" i="25"/>
  <c r="W291" i="24"/>
  <c r="V291" i="24"/>
  <c r="V100" i="24"/>
  <c r="W100" i="24"/>
  <c r="W266" i="24"/>
  <c r="V266" i="24"/>
  <c r="Q229" i="24"/>
  <c r="P229" i="24"/>
  <c r="AP229" i="24"/>
  <c r="AE88" i="24"/>
  <c r="AI88" i="24"/>
  <c r="W88" i="24"/>
  <c r="Y88" i="24" s="1"/>
  <c r="X88" i="24"/>
  <c r="AA88" i="24" s="1"/>
  <c r="AB88" i="24" s="1"/>
  <c r="AC88" i="24" s="1"/>
  <c r="AE170" i="24"/>
  <c r="AI170" i="24"/>
  <c r="X170" i="24"/>
  <c r="AA170" i="24" s="1"/>
  <c r="AB170" i="24" s="1"/>
  <c r="AC170" i="24" s="1"/>
  <c r="AD247" i="25"/>
  <c r="W247" i="25"/>
  <c r="Z247" i="25" s="1"/>
  <c r="AA247" i="25" s="1"/>
  <c r="AB247" i="25" s="1"/>
  <c r="AI247" i="25" s="1"/>
  <c r="R149" i="25"/>
  <c r="S149" i="25"/>
  <c r="K149" i="25" s="1"/>
  <c r="Q149" i="25"/>
  <c r="AO149" i="25"/>
  <c r="BZ149" i="25"/>
  <c r="AG22" i="24"/>
  <c r="AF22" i="24"/>
  <c r="W80" i="24"/>
  <c r="V80" i="24"/>
  <c r="AE241" i="24"/>
  <c r="AI241" i="24"/>
  <c r="X241" i="24"/>
  <c r="AA241" i="24" s="1"/>
  <c r="AB241" i="24" s="1"/>
  <c r="AC241" i="24" s="1"/>
  <c r="AE66" i="24"/>
  <c r="AI66" i="24"/>
  <c r="X66" i="24"/>
  <c r="AA66" i="24" s="1"/>
  <c r="AB66" i="24" s="1"/>
  <c r="AC66" i="24" s="1"/>
  <c r="AG190" i="24"/>
  <c r="AF190" i="24"/>
  <c r="R263" i="25"/>
  <c r="S263" i="25"/>
  <c r="K263" i="25" s="1"/>
  <c r="Q263" i="25"/>
  <c r="AO263" i="25"/>
  <c r="BZ263" i="25"/>
  <c r="U90" i="25"/>
  <c r="U125" i="25"/>
  <c r="U297" i="25"/>
  <c r="AE279" i="24"/>
  <c r="AI279" i="24"/>
  <c r="X279" i="24"/>
  <c r="AA279" i="24" s="1"/>
  <c r="AB279" i="24" s="1"/>
  <c r="AC279" i="24" s="1"/>
  <c r="P260" i="24"/>
  <c r="Q260" i="24"/>
  <c r="AP260" i="24"/>
  <c r="S101" i="25"/>
  <c r="K101" i="25" s="1"/>
  <c r="V101" i="25" s="1"/>
  <c r="R101" i="25"/>
  <c r="Q101" i="25"/>
  <c r="AO101" i="25"/>
  <c r="BZ101" i="25"/>
  <c r="AD31" i="25"/>
  <c r="W31" i="25"/>
  <c r="Z31" i="25" s="1"/>
  <c r="AA31" i="25" s="1"/>
  <c r="AB31" i="25" s="1"/>
  <c r="AI31" i="25" s="1"/>
  <c r="V112" i="24"/>
  <c r="W112" i="24"/>
  <c r="AE230" i="24"/>
  <c r="AI230" i="24"/>
  <c r="X230" i="24"/>
  <c r="AA230" i="24" s="1"/>
  <c r="AB230" i="24" s="1"/>
  <c r="AC230" i="24" s="1"/>
  <c r="U75" i="25"/>
  <c r="AE247" i="24"/>
  <c r="AI247" i="24"/>
  <c r="X247" i="24"/>
  <c r="AA247" i="24" s="1"/>
  <c r="AB247" i="24" s="1"/>
  <c r="AC247" i="24" s="1"/>
  <c r="AE182" i="24"/>
  <c r="AI182" i="24"/>
  <c r="X182" i="24"/>
  <c r="AA182" i="24" s="1"/>
  <c r="AB182" i="24" s="1"/>
  <c r="AC182" i="24" s="1"/>
  <c r="V9" i="24"/>
  <c r="W9" i="24"/>
  <c r="S12" i="25"/>
  <c r="K12" i="25" s="1"/>
  <c r="R12" i="25"/>
  <c r="Q12" i="25"/>
  <c r="AO12" i="25"/>
  <c r="BZ12" i="25"/>
  <c r="W131" i="24"/>
  <c r="V131" i="24"/>
  <c r="P42" i="24"/>
  <c r="Q42" i="24"/>
  <c r="R42" i="24" s="1"/>
  <c r="AP42" i="24"/>
  <c r="AE249" i="24"/>
  <c r="AI249" i="24"/>
  <c r="X249" i="24"/>
  <c r="AA249" i="24" s="1"/>
  <c r="AB249" i="24" s="1"/>
  <c r="AC249" i="24" s="1"/>
  <c r="V123" i="24"/>
  <c r="W123" i="24"/>
  <c r="U84" i="25"/>
  <c r="S313" i="25"/>
  <c r="K313" i="25" s="1"/>
  <c r="R313" i="25"/>
  <c r="Q313" i="25"/>
  <c r="AO313" i="25"/>
  <c r="BZ313" i="25"/>
  <c r="AE163" i="24"/>
  <c r="AI163" i="24"/>
  <c r="X163" i="24"/>
  <c r="AA163" i="24" s="1"/>
  <c r="AB163" i="24" s="1"/>
  <c r="AC163" i="24" s="1"/>
  <c r="S48" i="25"/>
  <c r="K48" i="25" s="1"/>
  <c r="R48" i="25"/>
  <c r="Q48" i="25"/>
  <c r="BZ48" i="25"/>
  <c r="AO48" i="25"/>
  <c r="V34" i="25"/>
  <c r="X34" i="25" s="1"/>
  <c r="U228" i="25"/>
  <c r="W280" i="24"/>
  <c r="V280" i="24"/>
  <c r="AD201" i="25"/>
  <c r="W201" i="25"/>
  <c r="Z201" i="25" s="1"/>
  <c r="AA201" i="25" s="1"/>
  <c r="AB201" i="25" s="1"/>
  <c r="AI201" i="25" s="1"/>
  <c r="AE50" i="24"/>
  <c r="AI50" i="24"/>
  <c r="X50" i="24"/>
  <c r="AA50" i="24" s="1"/>
  <c r="AB50" i="24" s="1"/>
  <c r="AC50" i="24" s="1"/>
  <c r="S144" i="25"/>
  <c r="K144" i="25" s="1"/>
  <c r="R144" i="25"/>
  <c r="Q144" i="25"/>
  <c r="AO144" i="25"/>
  <c r="BZ144" i="25"/>
  <c r="S217" i="25"/>
  <c r="K217" i="25" s="1"/>
  <c r="V217" i="25" s="1"/>
  <c r="R217" i="25"/>
  <c r="Q217" i="25"/>
  <c r="AO217" i="25"/>
  <c r="BZ217" i="25"/>
  <c r="R139" i="25"/>
  <c r="S139" i="25"/>
  <c r="K139" i="25" s="1"/>
  <c r="V139" i="25" s="1"/>
  <c r="Q139" i="25"/>
  <c r="AO139" i="25"/>
  <c r="BZ139" i="25"/>
  <c r="AE175" i="24"/>
  <c r="AI175" i="24"/>
  <c r="X175" i="24"/>
  <c r="AA175" i="24" s="1"/>
  <c r="AB175" i="24" s="1"/>
  <c r="AC175" i="24" s="1"/>
  <c r="U234" i="25"/>
  <c r="U26" i="25"/>
  <c r="W141" i="24"/>
  <c r="V141" i="24"/>
  <c r="S250" i="25"/>
  <c r="K250" i="25" s="1"/>
  <c r="R250" i="25"/>
  <c r="Q250" i="25"/>
  <c r="AO250" i="25"/>
  <c r="BZ250" i="25"/>
  <c r="R118" i="25"/>
  <c r="S118" i="25"/>
  <c r="K118" i="25" s="1"/>
  <c r="V118" i="25" s="1"/>
  <c r="Q118" i="25"/>
  <c r="AO118" i="25"/>
  <c r="BZ118" i="25"/>
  <c r="AD255" i="25"/>
  <c r="W255" i="25"/>
  <c r="Z255" i="25" s="1"/>
  <c r="AA255" i="25" s="1"/>
  <c r="AB255" i="25" s="1"/>
  <c r="AI255" i="25" s="1"/>
  <c r="V255" i="25"/>
  <c r="X255" i="25" s="1"/>
  <c r="U74" i="25"/>
  <c r="R151" i="25"/>
  <c r="S151" i="25"/>
  <c r="K151" i="25" s="1"/>
  <c r="Q151" i="25"/>
  <c r="AO151" i="25"/>
  <c r="BZ151" i="25"/>
  <c r="V92" i="25"/>
  <c r="X92" i="25" s="1"/>
  <c r="AE56" i="24"/>
  <c r="AI56" i="24"/>
  <c r="X56" i="24"/>
  <c r="AA56" i="24" s="1"/>
  <c r="AB56" i="24" s="1"/>
  <c r="AC56" i="24" s="1"/>
  <c r="AE70" i="24"/>
  <c r="AI70" i="24"/>
  <c r="X70" i="24"/>
  <c r="AA70" i="24" s="1"/>
  <c r="AB70" i="24" s="1"/>
  <c r="AC70" i="24" s="1"/>
  <c r="S152" i="25"/>
  <c r="K152" i="25" s="1"/>
  <c r="R152" i="25"/>
  <c r="Q152" i="25"/>
  <c r="AO152" i="25"/>
  <c r="BZ152" i="25"/>
  <c r="S50" i="25"/>
  <c r="K50" i="25" s="1"/>
  <c r="R50" i="25"/>
  <c r="Q50" i="25"/>
  <c r="AO50" i="25"/>
  <c r="BZ50" i="25"/>
  <c r="S277" i="25"/>
  <c r="K277" i="25" s="1"/>
  <c r="R277" i="25"/>
  <c r="Q277" i="25"/>
  <c r="AO277" i="25"/>
  <c r="BZ277" i="25"/>
  <c r="P184" i="24"/>
  <c r="Q184" i="24"/>
  <c r="AP184" i="24"/>
  <c r="AE146" i="24"/>
  <c r="AI146" i="24"/>
  <c r="X146" i="24"/>
  <c r="AA146" i="24" s="1"/>
  <c r="AB146" i="24" s="1"/>
  <c r="AC146" i="24" s="1"/>
  <c r="AE153" i="24"/>
  <c r="AI153" i="24"/>
  <c r="X153" i="24"/>
  <c r="AA153" i="24" s="1"/>
  <c r="AB153" i="24" s="1"/>
  <c r="AC153" i="24" s="1"/>
  <c r="AE271" i="24"/>
  <c r="AI271" i="24"/>
  <c r="X271" i="24"/>
  <c r="AA271" i="24" s="1"/>
  <c r="AB271" i="24" s="1"/>
  <c r="AC271" i="24" s="1"/>
  <c r="AE149" i="24"/>
  <c r="AI149" i="24"/>
  <c r="X149" i="24"/>
  <c r="AA149" i="24" s="1"/>
  <c r="AB149" i="24" s="1"/>
  <c r="AC149" i="24" s="1"/>
  <c r="P148" i="24"/>
  <c r="Q148" i="24"/>
  <c r="AP148" i="24"/>
  <c r="AE304" i="24"/>
  <c r="AI304" i="24"/>
  <c r="X304" i="24"/>
  <c r="AA304" i="24" s="1"/>
  <c r="AB304" i="24" s="1"/>
  <c r="AC304" i="24" s="1"/>
  <c r="Q228" i="24"/>
  <c r="P228" i="24"/>
  <c r="AP228" i="24"/>
  <c r="U208" i="25"/>
  <c r="R298" i="25"/>
  <c r="S298" i="25"/>
  <c r="K298" i="25" s="1"/>
  <c r="V298" i="25" s="1"/>
  <c r="Q298" i="25"/>
  <c r="BZ298" i="25"/>
  <c r="AO298" i="25"/>
  <c r="W241" i="24"/>
  <c r="V241" i="24"/>
  <c r="V185" i="24"/>
  <c r="W185" i="24"/>
  <c r="AD21" i="25"/>
  <c r="W21" i="25"/>
  <c r="Z21" i="25" s="1"/>
  <c r="AA21" i="25" s="1"/>
  <c r="AB21" i="25" s="1"/>
  <c r="AI21" i="25" s="1"/>
  <c r="AE35" i="24"/>
  <c r="AI35" i="24"/>
  <c r="X35" i="24"/>
  <c r="AA35" i="24" s="1"/>
  <c r="AB35" i="24" s="1"/>
  <c r="AC35" i="24" s="1"/>
  <c r="W85" i="24"/>
  <c r="V85" i="24"/>
  <c r="U27" i="25"/>
  <c r="U274" i="25"/>
  <c r="U205" i="25"/>
  <c r="AE10" i="24"/>
  <c r="AI10" i="24"/>
  <c r="X10" i="24"/>
  <c r="AA10" i="24" s="1"/>
  <c r="AB10" i="24" s="1"/>
  <c r="AC10" i="24" s="1"/>
  <c r="W65" i="24"/>
  <c r="V65" i="24"/>
  <c r="W82" i="24"/>
  <c r="Y82" i="24" s="1"/>
  <c r="AE43" i="24"/>
  <c r="AI43" i="24"/>
  <c r="X43" i="24"/>
  <c r="AA43" i="24" s="1"/>
  <c r="AB43" i="24" s="1"/>
  <c r="AC43" i="24" s="1"/>
  <c r="AE122" i="24"/>
  <c r="AI122" i="24"/>
  <c r="X122" i="24"/>
  <c r="AA122" i="24" s="1"/>
  <c r="AB122" i="24" s="1"/>
  <c r="AC122" i="24" s="1"/>
  <c r="AE40" i="24"/>
  <c r="AI40" i="24"/>
  <c r="X40" i="24"/>
  <c r="AA40" i="24" s="1"/>
  <c r="AB40" i="24" s="1"/>
  <c r="AC40" i="24" s="1"/>
  <c r="AE239" i="24"/>
  <c r="AI239" i="24"/>
  <c r="X239" i="24"/>
  <c r="AA239" i="24" s="1"/>
  <c r="AB239" i="24" s="1"/>
  <c r="AC239" i="24" s="1"/>
  <c r="AE154" i="24"/>
  <c r="AI154" i="24"/>
  <c r="X154" i="24"/>
  <c r="AA154" i="24" s="1"/>
  <c r="AB154" i="24" s="1"/>
  <c r="AC154" i="24" s="1"/>
  <c r="R203" i="25"/>
  <c r="S203" i="25"/>
  <c r="K203" i="25" s="1"/>
  <c r="V203" i="25" s="1"/>
  <c r="Q203" i="25"/>
  <c r="AO203" i="25"/>
  <c r="BZ203" i="25"/>
  <c r="V197" i="24"/>
  <c r="W197" i="24"/>
  <c r="W207" i="24"/>
  <c r="Y207" i="24" s="1"/>
  <c r="U221" i="25"/>
  <c r="V95" i="24"/>
  <c r="W95" i="24"/>
  <c r="S171" i="25"/>
  <c r="K171" i="25" s="1"/>
  <c r="V171" i="25" s="1"/>
  <c r="R171" i="25"/>
  <c r="Q171" i="25"/>
  <c r="AO171" i="25"/>
  <c r="BZ171" i="25"/>
  <c r="R295" i="25"/>
  <c r="S295" i="25"/>
  <c r="K295" i="25" s="1"/>
  <c r="V295" i="25" s="1"/>
  <c r="Q295" i="25"/>
  <c r="AO295" i="25"/>
  <c r="BZ295" i="25"/>
  <c r="R202" i="25"/>
  <c r="S202" i="25"/>
  <c r="K202" i="25" s="1"/>
  <c r="V202" i="25" s="1"/>
  <c r="Q202" i="25"/>
  <c r="AO202" i="25"/>
  <c r="BZ202" i="25"/>
  <c r="R226" i="25"/>
  <c r="S226" i="25"/>
  <c r="K226" i="25" s="1"/>
  <c r="Q226" i="25"/>
  <c r="AO226" i="25"/>
  <c r="BZ226" i="25"/>
  <c r="AD158" i="25"/>
  <c r="W158" i="25"/>
  <c r="Z158" i="25" s="1"/>
  <c r="AA158" i="25" s="1"/>
  <c r="AB158" i="25" s="1"/>
  <c r="AI158" i="25" s="1"/>
  <c r="AE93" i="24"/>
  <c r="AI93" i="24"/>
  <c r="X93" i="24"/>
  <c r="AA93" i="24" s="1"/>
  <c r="AB93" i="24" s="1"/>
  <c r="AC93" i="24" s="1"/>
  <c r="U68" i="25"/>
  <c r="S244" i="25"/>
  <c r="K244" i="25" s="1"/>
  <c r="R244" i="25"/>
  <c r="Q244" i="25"/>
  <c r="AO244" i="25"/>
  <c r="BZ244" i="25"/>
  <c r="P277" i="24"/>
  <c r="Q277" i="24"/>
  <c r="AP277" i="24"/>
  <c r="W262" i="24"/>
  <c r="V262" i="24"/>
  <c r="W166" i="24"/>
  <c r="Y166" i="24" s="1"/>
  <c r="S69" i="25"/>
  <c r="K69" i="25" s="1"/>
  <c r="R69" i="25"/>
  <c r="Q69" i="25"/>
  <c r="BZ69" i="25"/>
  <c r="AO69" i="25"/>
  <c r="Q38" i="24"/>
  <c r="R38" i="24" s="1"/>
  <c r="P38" i="24"/>
  <c r="AP38" i="24"/>
  <c r="V31" i="25"/>
  <c r="X31" i="25" s="1"/>
  <c r="AE286" i="24"/>
  <c r="AI286" i="24"/>
  <c r="X286" i="24"/>
  <c r="AA286" i="24" s="1"/>
  <c r="AB286" i="24" s="1"/>
  <c r="AC286" i="24" s="1"/>
  <c r="AE100" i="24"/>
  <c r="AI100" i="24"/>
  <c r="X100" i="24"/>
  <c r="AA100" i="24" s="1"/>
  <c r="AB100" i="24" s="1"/>
  <c r="AC100" i="24" s="1"/>
  <c r="AG55" i="24"/>
  <c r="AF55" i="24"/>
  <c r="Q57" i="24"/>
  <c r="R57" i="24" s="1"/>
  <c r="P57" i="24"/>
  <c r="AP57" i="24"/>
  <c r="AE260" i="24"/>
  <c r="AI260" i="24"/>
  <c r="X260" i="24"/>
  <c r="AA260" i="24" s="1"/>
  <c r="AB260" i="24" s="1"/>
  <c r="AC260" i="24" s="1"/>
  <c r="S272" i="25"/>
  <c r="K272" i="25" s="1"/>
  <c r="V272" i="25" s="1"/>
  <c r="R272" i="25"/>
  <c r="Q272" i="25"/>
  <c r="AO272" i="25"/>
  <c r="BZ272" i="25"/>
  <c r="V64" i="24"/>
  <c r="W64" i="24"/>
  <c r="W79" i="24"/>
  <c r="Y79" i="24" s="1"/>
  <c r="V46" i="24"/>
  <c r="W46" i="24"/>
  <c r="R185" i="25"/>
  <c r="S185" i="25"/>
  <c r="K185" i="25" s="1"/>
  <c r="Q185" i="25"/>
  <c r="AO185" i="25"/>
  <c r="BZ185" i="25"/>
  <c r="W281" i="24"/>
  <c r="Y281" i="24" s="1"/>
  <c r="R133" i="25"/>
  <c r="S133" i="25"/>
  <c r="K133" i="25" s="1"/>
  <c r="Q133" i="25"/>
  <c r="BZ133" i="25"/>
  <c r="AO133" i="25"/>
  <c r="U200" i="25"/>
  <c r="AE26" i="24"/>
  <c r="AI26" i="24"/>
  <c r="X26" i="24"/>
  <c r="AA26" i="24" s="1"/>
  <c r="AB26" i="24" s="1"/>
  <c r="AC26" i="24" s="1"/>
  <c r="AE123" i="24"/>
  <c r="AI123" i="24"/>
  <c r="X123" i="24"/>
  <c r="AA123" i="24" s="1"/>
  <c r="AB123" i="24" s="1"/>
  <c r="AC123" i="24" s="1"/>
  <c r="AE77" i="24"/>
  <c r="AI77" i="24"/>
  <c r="X77" i="24"/>
  <c r="AA77" i="24" s="1"/>
  <c r="AB77" i="24" s="1"/>
  <c r="AC77" i="24" s="1"/>
  <c r="W77" i="24"/>
  <c r="Y77" i="24" s="1"/>
  <c r="U242" i="25"/>
  <c r="S225" i="25"/>
  <c r="K225" i="25" s="1"/>
  <c r="V225" i="25" s="1"/>
  <c r="R225" i="25"/>
  <c r="Q225" i="25"/>
  <c r="AO225" i="25"/>
  <c r="BZ225" i="25"/>
  <c r="Q100" i="24"/>
  <c r="R100" i="24" s="1"/>
  <c r="P100" i="24"/>
  <c r="AP100" i="24"/>
  <c r="P266" i="24"/>
  <c r="Q266" i="24"/>
  <c r="AP266" i="24"/>
  <c r="U135" i="25"/>
  <c r="U138" i="25"/>
  <c r="W250" i="24"/>
  <c r="V250" i="24"/>
  <c r="W168" i="24"/>
  <c r="V168" i="24"/>
  <c r="AE87" i="24"/>
  <c r="AI87" i="24"/>
  <c r="X87" i="24"/>
  <c r="AA87" i="24" s="1"/>
  <c r="AB87" i="24" s="1"/>
  <c r="AC87" i="24" s="1"/>
  <c r="U157" i="25"/>
  <c r="AE90" i="24"/>
  <c r="AI90" i="24"/>
  <c r="X90" i="24"/>
  <c r="AA90" i="24" s="1"/>
  <c r="AB90" i="24" s="1"/>
  <c r="AC90" i="24" s="1"/>
  <c r="AE75" i="24"/>
  <c r="AI75" i="24"/>
  <c r="X75" i="24"/>
  <c r="AA75" i="24" s="1"/>
  <c r="AB75" i="24" s="1"/>
  <c r="AC75" i="24" s="1"/>
  <c r="AE8" i="24"/>
  <c r="AI8" i="24"/>
  <c r="X8" i="24"/>
  <c r="AA8" i="24" s="1"/>
  <c r="AB8" i="24" s="1"/>
  <c r="AC8" i="24" s="1"/>
  <c r="AE203" i="24"/>
  <c r="AI203" i="24"/>
  <c r="X203" i="24"/>
  <c r="AA203" i="24" s="1"/>
  <c r="AB203" i="24" s="1"/>
  <c r="AC203" i="24" s="1"/>
  <c r="P80" i="24"/>
  <c r="Q80" i="24"/>
  <c r="R80" i="24" s="1"/>
  <c r="AP80" i="24"/>
  <c r="S300" i="25"/>
  <c r="K300" i="25" s="1"/>
  <c r="R300" i="25"/>
  <c r="Q300" i="25"/>
  <c r="BZ300" i="25"/>
  <c r="AO300" i="25"/>
  <c r="V183" i="24"/>
  <c r="W183" i="24"/>
  <c r="U169" i="25"/>
  <c r="R90" i="25"/>
  <c r="S90" i="25"/>
  <c r="K90" i="25" s="1"/>
  <c r="V90" i="25" s="1"/>
  <c r="Q90" i="25"/>
  <c r="BZ90" i="25"/>
  <c r="AO90" i="25"/>
  <c r="R125" i="25"/>
  <c r="S125" i="25"/>
  <c r="K125" i="25" s="1"/>
  <c r="Q125" i="25"/>
  <c r="BZ125" i="25"/>
  <c r="AO125" i="25"/>
  <c r="U112" i="25"/>
  <c r="V259" i="24"/>
  <c r="W259" i="24"/>
  <c r="R297" i="25"/>
  <c r="S297" i="25"/>
  <c r="K297" i="25" s="1"/>
  <c r="Q297" i="25"/>
  <c r="AO297" i="25"/>
  <c r="BZ297" i="25"/>
  <c r="U76" i="25"/>
  <c r="U22" i="25"/>
  <c r="U103" i="25"/>
  <c r="W96" i="24"/>
  <c r="V96" i="24"/>
  <c r="AE152" i="24"/>
  <c r="AI152" i="24"/>
  <c r="X152" i="24"/>
  <c r="AA152" i="24" s="1"/>
  <c r="AB152" i="24" s="1"/>
  <c r="AC152" i="24" s="1"/>
  <c r="AE143" i="24"/>
  <c r="AI143" i="24"/>
  <c r="X143" i="24"/>
  <c r="AA143" i="24" s="1"/>
  <c r="AB143" i="24" s="1"/>
  <c r="AC143" i="24" s="1"/>
  <c r="U187" i="25"/>
  <c r="AE297" i="24"/>
  <c r="AI297" i="24"/>
  <c r="X297" i="24"/>
  <c r="AA297" i="24" s="1"/>
  <c r="AB297" i="24" s="1"/>
  <c r="AC297" i="24" s="1"/>
  <c r="R75" i="25"/>
  <c r="S75" i="25"/>
  <c r="K75" i="25" s="1"/>
  <c r="Q75" i="25"/>
  <c r="BZ75" i="25"/>
  <c r="AO75" i="25"/>
  <c r="U196" i="25"/>
  <c r="V263" i="24"/>
  <c r="W263" i="24"/>
  <c r="V156" i="24"/>
  <c r="W156" i="24"/>
  <c r="U115" i="25"/>
  <c r="AD305" i="25"/>
  <c r="W305" i="25"/>
  <c r="Z305" i="25" s="1"/>
  <c r="AA305" i="25" s="1"/>
  <c r="AB305" i="25" s="1"/>
  <c r="AI305" i="25" s="1"/>
  <c r="AE169" i="24"/>
  <c r="AI169" i="24"/>
  <c r="X169" i="24"/>
  <c r="AA169" i="24" s="1"/>
  <c r="AB169" i="24" s="1"/>
  <c r="AC169" i="24" s="1"/>
  <c r="Q131" i="24"/>
  <c r="P131" i="24"/>
  <c r="AP131" i="24"/>
  <c r="U118" i="25"/>
  <c r="Q123" i="24"/>
  <c r="P123" i="24"/>
  <c r="AP123" i="24"/>
  <c r="AE253" i="24"/>
  <c r="AI253" i="24"/>
  <c r="X253" i="24"/>
  <c r="AA253" i="24" s="1"/>
  <c r="AB253" i="24" s="1"/>
  <c r="AC253" i="24" s="1"/>
  <c r="S210" i="25"/>
  <c r="K210" i="25" s="1"/>
  <c r="R210" i="25"/>
  <c r="Q210" i="25"/>
  <c r="AO210" i="25"/>
  <c r="BZ210" i="25"/>
  <c r="S84" i="25"/>
  <c r="K84" i="25" s="1"/>
  <c r="V84" i="25" s="1"/>
  <c r="R84" i="25"/>
  <c r="Q84" i="25"/>
  <c r="AO84" i="25"/>
  <c r="BZ84" i="25"/>
  <c r="S180" i="25"/>
  <c r="K180" i="25" s="1"/>
  <c r="R180" i="25"/>
  <c r="Q180" i="25"/>
  <c r="AO180" i="25"/>
  <c r="BZ180" i="25"/>
  <c r="S228" i="25"/>
  <c r="K228" i="25" s="1"/>
  <c r="V228" i="25" s="1"/>
  <c r="R228" i="25"/>
  <c r="Q228" i="25"/>
  <c r="AO228" i="25"/>
  <c r="BZ228" i="25"/>
  <c r="U299" i="25"/>
  <c r="P280" i="24"/>
  <c r="Q280" i="24"/>
  <c r="AP280" i="24"/>
  <c r="V243" i="24"/>
  <c r="W243" i="24"/>
  <c r="AD71" i="25"/>
  <c r="W71" i="25"/>
  <c r="Z71" i="25" s="1"/>
  <c r="AA71" i="25" s="1"/>
  <c r="AB71" i="25" s="1"/>
  <c r="AI71" i="25" s="1"/>
  <c r="AD161" i="25"/>
  <c r="W161" i="25"/>
  <c r="Z161" i="25" s="1"/>
  <c r="AA161" i="25" s="1"/>
  <c r="AB161" i="25" s="1"/>
  <c r="AI161" i="25" s="1"/>
  <c r="S270" i="25"/>
  <c r="K270" i="25" s="1"/>
  <c r="Q270" i="25"/>
  <c r="R270" i="25"/>
  <c r="AO270" i="25"/>
  <c r="BZ270" i="25"/>
  <c r="AG257" i="24"/>
  <c r="AF257" i="24"/>
  <c r="U142" i="25"/>
  <c r="AD190" i="25"/>
  <c r="W190" i="25"/>
  <c r="Z190" i="25" s="1"/>
  <c r="AA190" i="25" s="1"/>
  <c r="AB190" i="25" s="1"/>
  <c r="AI190" i="25" s="1"/>
  <c r="V190" i="25"/>
  <c r="X190" i="25" s="1"/>
  <c r="W89" i="24"/>
  <c r="V89" i="24"/>
  <c r="S26" i="25"/>
  <c r="K26" i="25" s="1"/>
  <c r="V26" i="25" s="1"/>
  <c r="R26" i="25"/>
  <c r="Q26" i="25"/>
  <c r="AO26" i="25"/>
  <c r="BZ26" i="25"/>
  <c r="W66" i="24"/>
  <c r="Y66" i="24" s="1"/>
  <c r="AE62" i="24"/>
  <c r="AI62" i="24"/>
  <c r="X62" i="24"/>
  <c r="AA62" i="24" s="1"/>
  <c r="AB62" i="24" s="1"/>
  <c r="AC62" i="24" s="1"/>
  <c r="Q141" i="24"/>
  <c r="P141" i="24"/>
  <c r="AP141" i="24"/>
  <c r="S74" i="25"/>
  <c r="K74" i="25" s="1"/>
  <c r="V74" i="25" s="1"/>
  <c r="R74" i="25"/>
  <c r="Q74" i="25"/>
  <c r="BZ74" i="25"/>
  <c r="AO74" i="25"/>
  <c r="U304" i="25"/>
  <c r="S193" i="25"/>
  <c r="K193" i="25" s="1"/>
  <c r="R193" i="25"/>
  <c r="Q193" i="25"/>
  <c r="AO193" i="25"/>
  <c r="BZ193" i="25"/>
  <c r="AE245" i="24"/>
  <c r="AI245" i="24"/>
  <c r="X245" i="24"/>
  <c r="AA245" i="24" s="1"/>
  <c r="AB245" i="24" s="1"/>
  <c r="AC245" i="24" s="1"/>
  <c r="AE171" i="24"/>
  <c r="AI171" i="24"/>
  <c r="X171" i="24"/>
  <c r="AA171" i="24" s="1"/>
  <c r="AB171" i="24" s="1"/>
  <c r="AC171" i="24" s="1"/>
  <c r="AE314" i="24"/>
  <c r="AI314" i="24"/>
  <c r="X314" i="24"/>
  <c r="AA314" i="24" s="1"/>
  <c r="AB314" i="24" s="1"/>
  <c r="AC314" i="24" s="1"/>
  <c r="V194" i="24"/>
  <c r="W194" i="24"/>
  <c r="AE48" i="24"/>
  <c r="AI48" i="24"/>
  <c r="X48" i="24"/>
  <c r="AA48" i="24" s="1"/>
  <c r="AB48" i="24" s="1"/>
  <c r="AC48" i="24" s="1"/>
  <c r="U41" i="25"/>
  <c r="V203" i="24"/>
  <c r="W203" i="24"/>
  <c r="S33" i="25"/>
  <c r="K33" i="25" s="1"/>
  <c r="R33" i="25"/>
  <c r="Q33" i="25"/>
  <c r="AO33" i="25"/>
  <c r="BZ33" i="25"/>
  <c r="S99" i="25"/>
  <c r="K99" i="25" s="1"/>
  <c r="V99" i="25" s="1"/>
  <c r="R99" i="25"/>
  <c r="Q99" i="25"/>
  <c r="BZ99" i="25"/>
  <c r="AO99" i="25"/>
  <c r="R208" i="25"/>
  <c r="S208" i="25"/>
  <c r="K208" i="25" s="1"/>
  <c r="V208" i="25" s="1"/>
  <c r="Q208" i="25"/>
  <c r="AO208" i="25"/>
  <c r="BZ208" i="25"/>
  <c r="V143" i="24"/>
  <c r="W143" i="24"/>
  <c r="AD30" i="25"/>
  <c r="W30" i="25"/>
  <c r="Z30" i="25" s="1"/>
  <c r="AA30" i="25" s="1"/>
  <c r="AB30" i="25" s="1"/>
  <c r="AI30" i="25" s="1"/>
  <c r="Q85" i="24"/>
  <c r="R85" i="24" s="1"/>
  <c r="P85" i="24"/>
  <c r="AP85" i="24"/>
  <c r="AE302" i="24"/>
  <c r="AI302" i="24"/>
  <c r="X302" i="24"/>
  <c r="AA302" i="24" s="1"/>
  <c r="AB302" i="24" s="1"/>
  <c r="AC302" i="24" s="1"/>
  <c r="AG119" i="24"/>
  <c r="AF119" i="24"/>
  <c r="R27" i="25"/>
  <c r="S27" i="25"/>
  <c r="K27" i="25" s="1"/>
  <c r="V27" i="25" s="1"/>
  <c r="Q27" i="25"/>
  <c r="AO27" i="25"/>
  <c r="BZ27" i="25"/>
  <c r="AE263" i="24"/>
  <c r="AI263" i="24"/>
  <c r="X263" i="24"/>
  <c r="AA263" i="24" s="1"/>
  <c r="AB263" i="24" s="1"/>
  <c r="AC263" i="24" s="1"/>
  <c r="U47" i="25"/>
  <c r="S274" i="25"/>
  <c r="K274" i="25" s="1"/>
  <c r="R274" i="25"/>
  <c r="Q274" i="25"/>
  <c r="AO274" i="25"/>
  <c r="BZ274" i="25"/>
  <c r="U39" i="25"/>
  <c r="AE13" i="24"/>
  <c r="AI13" i="24"/>
  <c r="X13" i="24"/>
  <c r="AA13" i="24" s="1"/>
  <c r="AB13" i="24" s="1"/>
  <c r="AC13" i="24" s="1"/>
  <c r="AE84" i="24"/>
  <c r="AI84" i="24"/>
  <c r="X84" i="24"/>
  <c r="AA84" i="24" s="1"/>
  <c r="AB84" i="24" s="1"/>
  <c r="AC84" i="24" s="1"/>
  <c r="W84" i="24"/>
  <c r="Y84" i="24" s="1"/>
  <c r="AE285" i="24"/>
  <c r="AI285" i="24"/>
  <c r="W285" i="24"/>
  <c r="Y285" i="24" s="1"/>
  <c r="X285" i="24"/>
  <c r="AA285" i="24" s="1"/>
  <c r="AB285" i="24" s="1"/>
  <c r="AC285" i="24" s="1"/>
  <c r="W13" i="24"/>
  <c r="Y13" i="24" s="1"/>
  <c r="AG294" i="24"/>
  <c r="AF294" i="24"/>
  <c r="U216" i="25"/>
  <c r="R245" i="25"/>
  <c r="S245" i="25"/>
  <c r="K245" i="25" s="1"/>
  <c r="Q245" i="25"/>
  <c r="AO245" i="25"/>
  <c r="BZ245" i="25"/>
  <c r="U81" i="25"/>
  <c r="AE136" i="24"/>
  <c r="AI136" i="24"/>
  <c r="X136" i="24"/>
  <c r="AA136" i="24" s="1"/>
  <c r="AB136" i="24" s="1"/>
  <c r="AC136" i="24" s="1"/>
  <c r="AE156" i="24"/>
  <c r="AI156" i="24"/>
  <c r="X156" i="24"/>
  <c r="AA156" i="24" s="1"/>
  <c r="AB156" i="24" s="1"/>
  <c r="AC156" i="24" s="1"/>
  <c r="AD293" i="25"/>
  <c r="W293" i="25"/>
  <c r="Z293" i="25" s="1"/>
  <c r="AA293" i="25" s="1"/>
  <c r="AB293" i="25" s="1"/>
  <c r="AI293" i="25" s="1"/>
  <c r="V293" i="25"/>
  <c r="X293" i="25" s="1"/>
  <c r="AG236" i="24"/>
  <c r="AF236" i="24"/>
  <c r="AE295" i="24"/>
  <c r="AI295" i="24"/>
  <c r="X295" i="24"/>
  <c r="AA295" i="24" s="1"/>
  <c r="AB295" i="24" s="1"/>
  <c r="AC295" i="24" s="1"/>
  <c r="S221" i="25"/>
  <c r="K221" i="25" s="1"/>
  <c r="V221" i="25" s="1"/>
  <c r="R221" i="25"/>
  <c r="Q221" i="25"/>
  <c r="BZ221" i="25"/>
  <c r="AO221" i="25"/>
  <c r="W122" i="24"/>
  <c r="V122" i="24"/>
  <c r="Q95" i="24"/>
  <c r="R95" i="24" s="1"/>
  <c r="P95" i="24"/>
  <c r="AP95" i="24"/>
  <c r="AG142" i="24"/>
  <c r="AF142" i="24"/>
  <c r="AE94" i="24"/>
  <c r="AI94" i="24"/>
  <c r="X94" i="24"/>
  <c r="AA94" i="24" s="1"/>
  <c r="AB94" i="24" s="1"/>
  <c r="AC94" i="24" s="1"/>
  <c r="AD87" i="25"/>
  <c r="W87" i="25"/>
  <c r="Z87" i="25" s="1"/>
  <c r="AA87" i="25" s="1"/>
  <c r="AB87" i="25" s="1"/>
  <c r="AI87" i="25" s="1"/>
  <c r="AE74" i="24"/>
  <c r="AI74" i="24"/>
  <c r="X74" i="24"/>
  <c r="AA74" i="24" s="1"/>
  <c r="AB74" i="24" s="1"/>
  <c r="AC74" i="24" s="1"/>
  <c r="S68" i="25"/>
  <c r="K68" i="25" s="1"/>
  <c r="R68" i="25"/>
  <c r="Q68" i="25"/>
  <c r="AO68" i="25"/>
  <c r="BZ68" i="25"/>
  <c r="Q262" i="24"/>
  <c r="P262" i="24"/>
  <c r="AP262" i="24"/>
  <c r="AD198" i="25"/>
  <c r="W198" i="25"/>
  <c r="Z198" i="25" s="1"/>
  <c r="AA198" i="25" s="1"/>
  <c r="AB198" i="25" s="1"/>
  <c r="AI198" i="25" s="1"/>
  <c r="AE157" i="24"/>
  <c r="AI157" i="24"/>
  <c r="X157" i="24"/>
  <c r="AA157" i="24" s="1"/>
  <c r="AB157" i="24" s="1"/>
  <c r="AC157" i="24" s="1"/>
  <c r="AE303" i="24"/>
  <c r="AI303" i="24"/>
  <c r="X303" i="24"/>
  <c r="AA303" i="24" s="1"/>
  <c r="AB303" i="24" s="1"/>
  <c r="AC303" i="24" s="1"/>
  <c r="R184" i="25"/>
  <c r="S184" i="25"/>
  <c r="K184" i="25" s="1"/>
  <c r="Q184" i="25"/>
  <c r="BZ184" i="25"/>
  <c r="AO184" i="25"/>
  <c r="V198" i="25"/>
  <c r="X198" i="25" s="1"/>
  <c r="AE293" i="24"/>
  <c r="AI293" i="24"/>
  <c r="X293" i="24"/>
  <c r="AA293" i="24" s="1"/>
  <c r="AB293" i="24" s="1"/>
  <c r="AC293" i="24" s="1"/>
  <c r="W139" i="24"/>
  <c r="V139" i="24"/>
  <c r="U207" i="25"/>
  <c r="AE78" i="24"/>
  <c r="AI78" i="24"/>
  <c r="X78" i="24"/>
  <c r="AA78" i="24" s="1"/>
  <c r="AB78" i="24" s="1"/>
  <c r="AC78" i="24" s="1"/>
  <c r="R285" i="25"/>
  <c r="S285" i="25"/>
  <c r="K285" i="25" s="1"/>
  <c r="Q285" i="25"/>
  <c r="AO285" i="25"/>
  <c r="BZ285" i="25"/>
  <c r="P64" i="24"/>
  <c r="Q64" i="24"/>
  <c r="R64" i="24" s="1"/>
  <c r="AP64" i="24"/>
  <c r="S289" i="25"/>
  <c r="K289" i="25" s="1"/>
  <c r="R289" i="25"/>
  <c r="Q289" i="25"/>
  <c r="AO289" i="25"/>
  <c r="BZ289" i="25"/>
  <c r="P46" i="24"/>
  <c r="Q46" i="24"/>
  <c r="R46" i="24" s="1"/>
  <c r="AP46" i="24"/>
  <c r="AE208" i="24"/>
  <c r="AI208" i="24"/>
  <c r="X208" i="24"/>
  <c r="AA208" i="24" s="1"/>
  <c r="AB208" i="24" s="1"/>
  <c r="AC208" i="24" s="1"/>
  <c r="AE135" i="24"/>
  <c r="AI135" i="24"/>
  <c r="X135" i="24"/>
  <c r="AA135" i="24" s="1"/>
  <c r="AB135" i="24" s="1"/>
  <c r="AC135" i="24" s="1"/>
  <c r="U222" i="25"/>
  <c r="R200" i="25"/>
  <c r="S200" i="25"/>
  <c r="K200" i="25" s="1"/>
  <c r="Q200" i="25"/>
  <c r="BZ200" i="25"/>
  <c r="AO200" i="25"/>
  <c r="W54" i="24"/>
  <c r="V54" i="24"/>
  <c r="AE97" i="24"/>
  <c r="AI97" i="24"/>
  <c r="X97" i="24"/>
  <c r="AA97" i="24" s="1"/>
  <c r="AB97" i="24" s="1"/>
  <c r="AC97" i="24" s="1"/>
  <c r="U116" i="25"/>
  <c r="S242" i="25"/>
  <c r="K242" i="25" s="1"/>
  <c r="V242" i="25" s="1"/>
  <c r="R242" i="25"/>
  <c r="Q242" i="25"/>
  <c r="BZ242" i="25"/>
  <c r="AO242" i="25"/>
  <c r="U188" i="25"/>
  <c r="W35" i="24"/>
  <c r="Y35" i="24" s="1"/>
  <c r="R135" i="25"/>
  <c r="S135" i="25"/>
  <c r="K135" i="25" s="1"/>
  <c r="Q135" i="25"/>
  <c r="BZ135" i="25"/>
  <c r="AO135" i="25"/>
  <c r="R138" i="25"/>
  <c r="S138" i="25"/>
  <c r="K138" i="25" s="1"/>
  <c r="V138" i="25" s="1"/>
  <c r="Q138" i="25"/>
  <c r="BZ138" i="25"/>
  <c r="AO138" i="25"/>
  <c r="V220" i="24"/>
  <c r="W220" i="24"/>
  <c r="R42" i="25"/>
  <c r="S42" i="25"/>
  <c r="K42" i="25" s="1"/>
  <c r="Q42" i="25"/>
  <c r="AO42" i="25"/>
  <c r="BZ42" i="25"/>
  <c r="AD240" i="25"/>
  <c r="W240" i="25"/>
  <c r="Z240" i="25" s="1"/>
  <c r="AA240" i="25" s="1"/>
  <c r="AB240" i="25" s="1"/>
  <c r="AI240" i="25" s="1"/>
  <c r="U44" i="25"/>
  <c r="AD314" i="25"/>
  <c r="W314" i="25"/>
  <c r="Z314" i="25" s="1"/>
  <c r="AA314" i="25" s="1"/>
  <c r="AB314" i="25" s="1"/>
  <c r="AI314" i="25" s="1"/>
  <c r="W221" i="24"/>
  <c r="V221" i="24"/>
  <c r="AE137" i="24"/>
  <c r="AI137" i="24"/>
  <c r="X137" i="24"/>
  <c r="AA137" i="24" s="1"/>
  <c r="AB137" i="24" s="1"/>
  <c r="AC137" i="24" s="1"/>
  <c r="S45" i="25"/>
  <c r="K45" i="25" s="1"/>
  <c r="R45" i="25"/>
  <c r="Q45" i="25"/>
  <c r="AO45" i="25"/>
  <c r="BZ45" i="25"/>
  <c r="P183" i="24"/>
  <c r="Q183" i="24"/>
  <c r="AP183" i="24"/>
  <c r="W26" i="24"/>
  <c r="V26" i="24"/>
  <c r="AE59" i="24"/>
  <c r="AI59" i="24"/>
  <c r="X59" i="24"/>
  <c r="AA59" i="24" s="1"/>
  <c r="AB59" i="24" s="1"/>
  <c r="AC59" i="24" s="1"/>
  <c r="W196" i="24"/>
  <c r="V196" i="24"/>
  <c r="AE27" i="24"/>
  <c r="AI27" i="24"/>
  <c r="X27" i="24"/>
  <c r="AA27" i="24" s="1"/>
  <c r="AB27" i="24" s="1"/>
  <c r="AC27" i="24" s="1"/>
  <c r="W158" i="24"/>
  <c r="V158" i="24"/>
  <c r="Q259" i="24"/>
  <c r="P259" i="24"/>
  <c r="AP259" i="24"/>
  <c r="S76" i="25"/>
  <c r="K76" i="25" s="1"/>
  <c r="R76" i="25"/>
  <c r="Q76" i="25"/>
  <c r="BZ76" i="25"/>
  <c r="AO76" i="25"/>
  <c r="AE228" i="24"/>
  <c r="AI228" i="24"/>
  <c r="X228" i="24"/>
  <c r="AA228" i="24" s="1"/>
  <c r="AB228" i="24" s="1"/>
  <c r="AC228" i="24" s="1"/>
  <c r="S22" i="25"/>
  <c r="K22" i="25" s="1"/>
  <c r="V22" i="25" s="1"/>
  <c r="R22" i="25"/>
  <c r="Q22" i="25"/>
  <c r="BZ22" i="25"/>
  <c r="AO22" i="25"/>
  <c r="U40" i="25"/>
  <c r="AD192" i="25"/>
  <c r="V192" i="25"/>
  <c r="X192" i="25" s="1"/>
  <c r="W192" i="25"/>
  <c r="Z192" i="25" s="1"/>
  <c r="AA192" i="25" s="1"/>
  <c r="AB192" i="25" s="1"/>
  <c r="AI192" i="25" s="1"/>
  <c r="AD13" i="25"/>
  <c r="V13" i="25"/>
  <c r="X13" i="25" s="1"/>
  <c r="W13" i="25"/>
  <c r="Z13" i="25" s="1"/>
  <c r="AA13" i="25" s="1"/>
  <c r="AB13" i="25" s="1"/>
  <c r="AI13" i="25" s="1"/>
  <c r="AD199" i="25"/>
  <c r="W199" i="25"/>
  <c r="Z199" i="25" s="1"/>
  <c r="AA199" i="25" s="1"/>
  <c r="AB199" i="25" s="1"/>
  <c r="AI199" i="25" s="1"/>
  <c r="AE275" i="24"/>
  <c r="AI275" i="24"/>
  <c r="X275" i="24"/>
  <c r="AA275" i="24" s="1"/>
  <c r="AB275" i="24" s="1"/>
  <c r="AC275" i="24" s="1"/>
  <c r="V103" i="24"/>
  <c r="W103" i="24"/>
  <c r="R196" i="25"/>
  <c r="S196" i="25"/>
  <c r="K196" i="25" s="1"/>
  <c r="V196" i="25" s="1"/>
  <c r="Q196" i="25"/>
  <c r="BZ196" i="25"/>
  <c r="AO196" i="25"/>
  <c r="AE71" i="24"/>
  <c r="AI71" i="24"/>
  <c r="X71" i="24"/>
  <c r="AA71" i="24" s="1"/>
  <c r="AB71" i="24" s="1"/>
  <c r="AC71" i="24" s="1"/>
  <c r="P263" i="24"/>
  <c r="Q263" i="24"/>
  <c r="AP263" i="24"/>
  <c r="R115" i="25"/>
  <c r="S115" i="25"/>
  <c r="K115" i="25" s="1"/>
  <c r="Q115" i="25"/>
  <c r="AO115" i="25"/>
  <c r="BZ115" i="25"/>
  <c r="AE194" i="24"/>
  <c r="AI194" i="24"/>
  <c r="X194" i="24"/>
  <c r="AA194" i="24" s="1"/>
  <c r="AB194" i="24" s="1"/>
  <c r="AC194" i="24" s="1"/>
  <c r="V255" i="24"/>
  <c r="W255" i="24"/>
  <c r="V93" i="24"/>
  <c r="W93" i="24"/>
  <c r="S20" i="25"/>
  <c r="K20" i="25" s="1"/>
  <c r="R20" i="25"/>
  <c r="Q20" i="25"/>
  <c r="AO20" i="25"/>
  <c r="BZ20" i="25"/>
  <c r="U298" i="25"/>
  <c r="R299" i="25"/>
  <c r="S299" i="25"/>
  <c r="K299" i="25" s="1"/>
  <c r="Q299" i="25"/>
  <c r="AO299" i="25"/>
  <c r="BZ299" i="25"/>
  <c r="AG44" i="24"/>
  <c r="AF44" i="24"/>
  <c r="AD82" i="25"/>
  <c r="W82" i="25"/>
  <c r="Z82" i="25" s="1"/>
  <c r="AA82" i="25" s="1"/>
  <c r="AB82" i="25" s="1"/>
  <c r="AI82" i="25" s="1"/>
  <c r="V34" i="24"/>
  <c r="W34" i="24"/>
  <c r="AE12" i="24"/>
  <c r="AI12" i="24"/>
  <c r="X12" i="24"/>
  <c r="AA12" i="24" s="1"/>
  <c r="AB12" i="24" s="1"/>
  <c r="AC12" i="24" s="1"/>
  <c r="R51" i="25"/>
  <c r="S51" i="25"/>
  <c r="K51" i="25" s="1"/>
  <c r="Q51" i="25"/>
  <c r="AO51" i="25"/>
  <c r="BZ51" i="25"/>
  <c r="U18" i="25"/>
  <c r="S124" i="25"/>
  <c r="K124" i="25" s="1"/>
  <c r="R124" i="25"/>
  <c r="Q124" i="25"/>
  <c r="BZ124" i="25"/>
  <c r="AO124" i="25"/>
  <c r="U66" i="25"/>
  <c r="R142" i="25"/>
  <c r="S142" i="25"/>
  <c r="K142" i="25" s="1"/>
  <c r="Q142" i="25"/>
  <c r="AO142" i="25"/>
  <c r="BZ142" i="25"/>
  <c r="S236" i="25"/>
  <c r="K236" i="25" s="1"/>
  <c r="R236" i="25"/>
  <c r="Q236" i="25"/>
  <c r="AO236" i="25"/>
  <c r="BZ236" i="25"/>
  <c r="AE242" i="24"/>
  <c r="AI242" i="24"/>
  <c r="X242" i="24"/>
  <c r="AA242" i="24" s="1"/>
  <c r="AB242" i="24" s="1"/>
  <c r="AC242" i="24" s="1"/>
  <c r="P89" i="24"/>
  <c r="Q89" i="24"/>
  <c r="R89" i="24" s="1"/>
  <c r="AP89" i="24"/>
  <c r="W150" i="24"/>
  <c r="Y150" i="24" s="1"/>
  <c r="R150" i="25"/>
  <c r="S150" i="25"/>
  <c r="K150" i="25" s="1"/>
  <c r="Q150" i="25"/>
  <c r="AO150" i="25"/>
  <c r="BZ150" i="25"/>
  <c r="R304" i="25"/>
  <c r="S304" i="25"/>
  <c r="K304" i="25" s="1"/>
  <c r="Q304" i="25"/>
  <c r="AO304" i="25"/>
  <c r="BZ304" i="25"/>
  <c r="S162" i="25"/>
  <c r="K162" i="25" s="1"/>
  <c r="R162" i="25"/>
  <c r="Q162" i="25"/>
  <c r="AO162" i="25"/>
  <c r="BZ162" i="25"/>
  <c r="AD267" i="25"/>
  <c r="W267" i="25"/>
  <c r="Z267" i="25" s="1"/>
  <c r="AA267" i="25" s="1"/>
  <c r="AB267" i="25" s="1"/>
  <c r="AI267" i="25" s="1"/>
  <c r="AD246" i="25"/>
  <c r="W246" i="25"/>
  <c r="Z246" i="25" s="1"/>
  <c r="AA246" i="25" s="1"/>
  <c r="AB246" i="25" s="1"/>
  <c r="AI246" i="25" s="1"/>
  <c r="W102" i="24"/>
  <c r="V102" i="24"/>
  <c r="W117" i="24"/>
  <c r="V117" i="24"/>
  <c r="W293" i="24"/>
  <c r="V293" i="24"/>
  <c r="U56" i="25"/>
  <c r="V187" i="24"/>
  <c r="W187" i="24"/>
  <c r="V301" i="24"/>
  <c r="W301" i="24"/>
  <c r="U251" i="25"/>
  <c r="P194" i="24"/>
  <c r="Q194" i="24"/>
  <c r="AP194" i="24"/>
  <c r="S41" i="25"/>
  <c r="K41" i="25" s="1"/>
  <c r="V41" i="25" s="1"/>
  <c r="R41" i="25"/>
  <c r="Q41" i="25"/>
  <c r="AO41" i="25"/>
  <c r="BZ41" i="25"/>
  <c r="P203" i="24"/>
  <c r="Q203" i="24"/>
  <c r="AP203" i="24"/>
  <c r="U281" i="25"/>
  <c r="AE312" i="24"/>
  <c r="AI312" i="24"/>
  <c r="X312" i="24"/>
  <c r="AA312" i="24" s="1"/>
  <c r="AB312" i="24" s="1"/>
  <c r="AC312" i="24" s="1"/>
  <c r="U249" i="25"/>
  <c r="AE310" i="24"/>
  <c r="AI310" i="24"/>
  <c r="X310" i="24"/>
  <c r="AA310" i="24" s="1"/>
  <c r="AB310" i="24" s="1"/>
  <c r="AC310" i="24" s="1"/>
  <c r="S134" i="25"/>
  <c r="K134" i="25" s="1"/>
  <c r="R134" i="25"/>
  <c r="Q134" i="25"/>
  <c r="BZ134" i="25"/>
  <c r="AO134" i="25"/>
  <c r="AD147" i="25"/>
  <c r="W147" i="25"/>
  <c r="Z147" i="25" s="1"/>
  <c r="AA147" i="25" s="1"/>
  <c r="AB147" i="25" s="1"/>
  <c r="AI147" i="25" s="1"/>
  <c r="AE37" i="24"/>
  <c r="AI37" i="24"/>
  <c r="X37" i="24"/>
  <c r="AA37" i="24" s="1"/>
  <c r="AB37" i="24" s="1"/>
  <c r="AC37" i="24" s="1"/>
  <c r="V71" i="25"/>
  <c r="X71" i="25" s="1"/>
  <c r="V167" i="25"/>
  <c r="X167" i="25" s="1"/>
  <c r="V304" i="24"/>
  <c r="W304" i="24"/>
  <c r="AE272" i="24"/>
  <c r="AI272" i="24"/>
  <c r="X272" i="24"/>
  <c r="AA272" i="24" s="1"/>
  <c r="AB272" i="24" s="1"/>
  <c r="AC272" i="24" s="1"/>
  <c r="R39" i="25"/>
  <c r="S39" i="25"/>
  <c r="K39" i="25" s="1"/>
  <c r="Q39" i="25"/>
  <c r="AO39" i="25"/>
  <c r="BZ39" i="25"/>
  <c r="AG233" i="24"/>
  <c r="AF233" i="24"/>
  <c r="AJ132" i="24"/>
  <c r="S205" i="25"/>
  <c r="K205" i="25" s="1"/>
  <c r="V205" i="25" s="1"/>
  <c r="R205" i="25"/>
  <c r="Q205" i="25"/>
  <c r="AO205" i="25"/>
  <c r="BZ205" i="25"/>
  <c r="U25" i="25"/>
  <c r="AE95" i="24"/>
  <c r="AI95" i="24"/>
  <c r="X95" i="24"/>
  <c r="AA95" i="24" s="1"/>
  <c r="AB95" i="24" s="1"/>
  <c r="AC95" i="24" s="1"/>
  <c r="R102" i="25"/>
  <c r="S102" i="25"/>
  <c r="K102" i="25" s="1"/>
  <c r="Q102" i="25"/>
  <c r="AO102" i="25"/>
  <c r="BZ102" i="25"/>
  <c r="AE226" i="24"/>
  <c r="AI226" i="24"/>
  <c r="X226" i="24"/>
  <c r="AA226" i="24" s="1"/>
  <c r="AB226" i="24" s="1"/>
  <c r="AC226" i="24" s="1"/>
  <c r="S216" i="25"/>
  <c r="K216" i="25" s="1"/>
  <c r="R216" i="25"/>
  <c r="AO216" i="25"/>
  <c r="Q216" i="25"/>
  <c r="BZ216" i="25"/>
  <c r="S181" i="25"/>
  <c r="K181" i="25" s="1"/>
  <c r="R181" i="25"/>
  <c r="Q181" i="25"/>
  <c r="BZ181" i="25"/>
  <c r="AO181" i="25"/>
  <c r="W90" i="24"/>
  <c r="Y90" i="24" s="1"/>
  <c r="S81" i="25"/>
  <c r="K81" i="25" s="1"/>
  <c r="R81" i="25"/>
  <c r="Q81" i="25"/>
  <c r="AO81" i="25"/>
  <c r="BZ81" i="25"/>
  <c r="AE138" i="24"/>
  <c r="AI138" i="24"/>
  <c r="X138" i="24"/>
  <c r="AA138" i="24" s="1"/>
  <c r="AB138" i="24" s="1"/>
  <c r="AC138" i="24" s="1"/>
  <c r="AE201" i="24"/>
  <c r="AI201" i="24"/>
  <c r="X201" i="24"/>
  <c r="AA201" i="24" s="1"/>
  <c r="AB201" i="24" s="1"/>
  <c r="AC201" i="24" s="1"/>
  <c r="S157" i="25"/>
  <c r="K157" i="25" s="1"/>
  <c r="R157" i="25"/>
  <c r="Q157" i="25"/>
  <c r="BZ157" i="25"/>
  <c r="AO157" i="25"/>
  <c r="AE53" i="24"/>
  <c r="AI53" i="24"/>
  <c r="X53" i="24"/>
  <c r="AA53" i="24" s="1"/>
  <c r="AB53" i="24" s="1"/>
  <c r="AC53" i="24" s="1"/>
  <c r="AE176" i="24"/>
  <c r="AI176" i="24"/>
  <c r="X176" i="24"/>
  <c r="AA176" i="24" s="1"/>
  <c r="AB176" i="24" s="1"/>
  <c r="AC176" i="24" s="1"/>
  <c r="S145" i="25"/>
  <c r="K145" i="25" s="1"/>
  <c r="R145" i="25"/>
  <c r="Q145" i="25"/>
  <c r="AO145" i="25"/>
  <c r="BZ145" i="25"/>
  <c r="AE112" i="24"/>
  <c r="AI112" i="24"/>
  <c r="X112" i="24"/>
  <c r="AA112" i="24" s="1"/>
  <c r="AB112" i="24" s="1"/>
  <c r="AC112" i="24" s="1"/>
  <c r="AJ264" i="24"/>
  <c r="V146" i="24"/>
  <c r="W146" i="24"/>
  <c r="AE16" i="24"/>
  <c r="AI16" i="24"/>
  <c r="X16" i="24"/>
  <c r="AA16" i="24" s="1"/>
  <c r="AB16" i="24" s="1"/>
  <c r="AC16" i="24" s="1"/>
  <c r="W71" i="24"/>
  <c r="V71" i="24"/>
  <c r="V153" i="24"/>
  <c r="W153" i="24"/>
  <c r="V242" i="24"/>
  <c r="W242" i="24"/>
  <c r="Q122" i="24"/>
  <c r="P122" i="24"/>
  <c r="AP122" i="24"/>
  <c r="R269" i="25"/>
  <c r="S269" i="25"/>
  <c r="K269" i="25" s="1"/>
  <c r="Q269" i="25"/>
  <c r="AO269" i="25"/>
  <c r="BZ269" i="25"/>
  <c r="AE63" i="24"/>
  <c r="AI63" i="24"/>
  <c r="X63" i="24"/>
  <c r="AA63" i="24" s="1"/>
  <c r="AB63" i="24" s="1"/>
  <c r="AC63" i="24" s="1"/>
  <c r="U295" i="25"/>
  <c r="AD89" i="25"/>
  <c r="W89" i="25"/>
  <c r="Z89" i="25" s="1"/>
  <c r="AA89" i="25" s="1"/>
  <c r="AB89" i="25" s="1"/>
  <c r="AI89" i="25" s="1"/>
  <c r="S111" i="25"/>
  <c r="K111" i="25" s="1"/>
  <c r="R111" i="25"/>
  <c r="Q111" i="25"/>
  <c r="AO111" i="25"/>
  <c r="BZ111" i="25"/>
  <c r="U220" i="25"/>
  <c r="AE89" i="24"/>
  <c r="AI89" i="24"/>
  <c r="X89" i="24"/>
  <c r="AA89" i="24" s="1"/>
  <c r="AB89" i="24" s="1"/>
  <c r="AC89" i="24" s="1"/>
  <c r="AE198" i="24"/>
  <c r="AI198" i="24"/>
  <c r="X198" i="24"/>
  <c r="AA198" i="24" s="1"/>
  <c r="AB198" i="24" s="1"/>
  <c r="AC198" i="24" s="1"/>
  <c r="U260" i="25"/>
  <c r="AE223" i="24"/>
  <c r="AI223" i="24"/>
  <c r="X223" i="24"/>
  <c r="AA223" i="24" s="1"/>
  <c r="AB223" i="24" s="1"/>
  <c r="AC223" i="24" s="1"/>
  <c r="W127" i="24"/>
  <c r="Y127" i="24" s="1"/>
  <c r="AG45" i="24"/>
  <c r="AF45" i="24"/>
  <c r="P139" i="24"/>
  <c r="Q139" i="24"/>
  <c r="AP139" i="24"/>
  <c r="V63" i="24"/>
  <c r="W63" i="24"/>
  <c r="V240" i="24"/>
  <c r="W240" i="24"/>
  <c r="U78" i="25"/>
  <c r="W27" i="24"/>
  <c r="Y27" i="24" s="1"/>
  <c r="R121" i="25"/>
  <c r="S121" i="25"/>
  <c r="K121" i="25" s="1"/>
  <c r="Q121" i="25"/>
  <c r="BZ121" i="25"/>
  <c r="AO121" i="25"/>
  <c r="S168" i="25"/>
  <c r="K168" i="25" s="1"/>
  <c r="R168" i="25"/>
  <c r="Q168" i="25"/>
  <c r="AO168" i="25"/>
  <c r="BZ168" i="25"/>
  <c r="AE186" i="24"/>
  <c r="AI186" i="24"/>
  <c r="X186" i="24"/>
  <c r="AA186" i="24" s="1"/>
  <c r="AB186" i="24" s="1"/>
  <c r="AC186" i="24" s="1"/>
  <c r="U239" i="25"/>
  <c r="AE85" i="24"/>
  <c r="AI85" i="24"/>
  <c r="X85" i="24"/>
  <c r="AA85" i="24" s="1"/>
  <c r="AB85" i="24" s="1"/>
  <c r="AC85" i="24" s="1"/>
  <c r="W15" i="24"/>
  <c r="Y15" i="24" s="1"/>
  <c r="R222" i="25"/>
  <c r="S222" i="25"/>
  <c r="K222" i="25" s="1"/>
  <c r="Q222" i="25"/>
  <c r="AO222" i="25"/>
  <c r="BZ222" i="25"/>
  <c r="AE177" i="24"/>
  <c r="AI177" i="24"/>
  <c r="X177" i="24"/>
  <c r="AA177" i="24" s="1"/>
  <c r="AB177" i="24" s="1"/>
  <c r="AC177" i="24" s="1"/>
  <c r="P54" i="24"/>
  <c r="Q54" i="24"/>
  <c r="R54" i="24" s="1"/>
  <c r="AP54" i="24"/>
  <c r="AE124" i="24"/>
  <c r="AI124" i="24"/>
  <c r="X124" i="24"/>
  <c r="AA124" i="24" s="1"/>
  <c r="AB124" i="24" s="1"/>
  <c r="AC124" i="24" s="1"/>
  <c r="S116" i="25"/>
  <c r="K116" i="25" s="1"/>
  <c r="V116" i="25" s="1"/>
  <c r="R116" i="25"/>
  <c r="Q116" i="25"/>
  <c r="AO116" i="25"/>
  <c r="BZ116" i="25"/>
  <c r="S253" i="25"/>
  <c r="K253" i="25" s="1"/>
  <c r="R253" i="25"/>
  <c r="Q253" i="25"/>
  <c r="BZ253" i="25"/>
  <c r="AO253" i="25"/>
  <c r="V246" i="25"/>
  <c r="X246" i="25" s="1"/>
  <c r="AE96" i="24"/>
  <c r="AI96" i="24"/>
  <c r="X96" i="24"/>
  <c r="AA96" i="24" s="1"/>
  <c r="AB96" i="24" s="1"/>
  <c r="AC96" i="24" s="1"/>
  <c r="R188" i="25"/>
  <c r="S188" i="25"/>
  <c r="K188" i="25" s="1"/>
  <c r="V188" i="25" s="1"/>
  <c r="Q188" i="25"/>
  <c r="AO188" i="25"/>
  <c r="BZ188" i="25"/>
  <c r="AE204" i="24"/>
  <c r="AI204" i="24"/>
  <c r="X204" i="24"/>
  <c r="AA204" i="24" s="1"/>
  <c r="AB204" i="24" s="1"/>
  <c r="AC204" i="24" s="1"/>
  <c r="Q220" i="24"/>
  <c r="P220" i="24"/>
  <c r="AP220" i="24"/>
  <c r="W262" i="25" l="1"/>
  <c r="Z262" i="25" s="1"/>
  <c r="AA262" i="25" s="1"/>
  <c r="AB262" i="25" s="1"/>
  <c r="AI262" i="25" s="1"/>
  <c r="AD262" i="25"/>
  <c r="AD280" i="25"/>
  <c r="AE280" i="25" s="1"/>
  <c r="X187" i="25"/>
  <c r="X63" i="25"/>
  <c r="W280" i="25"/>
  <c r="Z280" i="25" s="1"/>
  <c r="AA280" i="25" s="1"/>
  <c r="AB280" i="25" s="1"/>
  <c r="AI280" i="25" s="1"/>
  <c r="AS280" i="25" s="1"/>
  <c r="X281" i="25"/>
  <c r="X251" i="25"/>
  <c r="Y124" i="24"/>
  <c r="Y221" i="24"/>
  <c r="Y243" i="24"/>
  <c r="Y141" i="24"/>
  <c r="Y291" i="24"/>
  <c r="Y177" i="24"/>
  <c r="X260" i="25"/>
  <c r="X105" i="25"/>
  <c r="W11" i="25"/>
  <c r="Z11" i="25" s="1"/>
  <c r="AA11" i="25" s="1"/>
  <c r="AB11" i="25" s="1"/>
  <c r="AI11" i="25" s="1"/>
  <c r="AS11" i="25" s="1"/>
  <c r="X78" i="25"/>
  <c r="X53" i="25"/>
  <c r="X18" i="25"/>
  <c r="X118" i="25"/>
  <c r="X249" i="25"/>
  <c r="X112" i="25"/>
  <c r="Y185" i="24"/>
  <c r="Y184" i="24"/>
  <c r="Y161" i="24"/>
  <c r="Y153" i="24"/>
  <c r="Y197" i="24"/>
  <c r="Y136" i="24"/>
  <c r="X234" i="25"/>
  <c r="Y280" i="24"/>
  <c r="Y156" i="24"/>
  <c r="Y297" i="24"/>
  <c r="X25" i="25"/>
  <c r="Y293" i="24"/>
  <c r="X183" i="25"/>
  <c r="Y174" i="24"/>
  <c r="Y282" i="24"/>
  <c r="Y179" i="24"/>
  <c r="Y288" i="24"/>
  <c r="Y145" i="24"/>
  <c r="Y154" i="24"/>
  <c r="Y245" i="24"/>
  <c r="Y256" i="24"/>
  <c r="X220" i="25"/>
  <c r="X169" i="25"/>
  <c r="X40" i="25"/>
  <c r="Y159" i="24"/>
  <c r="Y315" i="24"/>
  <c r="Y235" i="24"/>
  <c r="Y209" i="24"/>
  <c r="Y309" i="24"/>
  <c r="Y204" i="24"/>
  <c r="Y126" i="24"/>
  <c r="Y123" i="24"/>
  <c r="Y308" i="24"/>
  <c r="Y111" i="24"/>
  <c r="Y228" i="24"/>
  <c r="Y203" i="24"/>
  <c r="Y259" i="24"/>
  <c r="Y301" i="24"/>
  <c r="Y299" i="24"/>
  <c r="Y255" i="24"/>
  <c r="Y263" i="24"/>
  <c r="Y36" i="24"/>
  <c r="Y261" i="24"/>
  <c r="Y149" i="24"/>
  <c r="X239" i="25"/>
  <c r="X103" i="25"/>
  <c r="X44" i="25"/>
  <c r="X56" i="25"/>
  <c r="X298" i="25"/>
  <c r="X295" i="25"/>
  <c r="Y187" i="24"/>
  <c r="Y194" i="24"/>
  <c r="Y222" i="24"/>
  <c r="X55" i="25"/>
  <c r="Y151" i="24"/>
  <c r="Y144" i="24"/>
  <c r="Y295" i="24"/>
  <c r="Y158" i="24"/>
  <c r="Y143" i="24"/>
  <c r="Y183" i="24"/>
  <c r="Y266" i="24"/>
  <c r="Y135" i="24"/>
  <c r="X38" i="25"/>
  <c r="Y247" i="24"/>
  <c r="Y115" i="24"/>
  <c r="Y275" i="24"/>
  <c r="Y164" i="24"/>
  <c r="Y316" i="24"/>
  <c r="Y206" i="24"/>
  <c r="Y168" i="24"/>
  <c r="Y131" i="24"/>
  <c r="Y277" i="24"/>
  <c r="Y242" i="24"/>
  <c r="Y300" i="24"/>
  <c r="Y171" i="24"/>
  <c r="Y170" i="24"/>
  <c r="Y244" i="24"/>
  <c r="Y146" i="24"/>
  <c r="Y304" i="24"/>
  <c r="Y117" i="24"/>
  <c r="X66" i="25"/>
  <c r="X207" i="25"/>
  <c r="Y250" i="24"/>
  <c r="Y262" i="24"/>
  <c r="Y241" i="24"/>
  <c r="Y148" i="24"/>
  <c r="Y260" i="24"/>
  <c r="Y192" i="24"/>
  <c r="Y114" i="24"/>
  <c r="Y195" i="24"/>
  <c r="Y220" i="24"/>
  <c r="Y139" i="24"/>
  <c r="Y122" i="24"/>
  <c r="X47" i="25"/>
  <c r="Y229" i="24"/>
  <c r="Y283" i="24"/>
  <c r="Y138" i="24"/>
  <c r="Y113" i="24"/>
  <c r="Y140" i="24"/>
  <c r="Y298" i="24"/>
  <c r="Y240" i="24"/>
  <c r="Y196" i="24"/>
  <c r="Y112" i="24"/>
  <c r="Y186" i="24"/>
  <c r="Y239" i="24"/>
  <c r="Y210" i="24"/>
  <c r="Y232" i="24"/>
  <c r="Y176" i="24"/>
  <c r="Y249" i="24"/>
  <c r="X272" i="25"/>
  <c r="X140" i="25"/>
  <c r="X10" i="25"/>
  <c r="X266" i="25"/>
  <c r="X223" i="25"/>
  <c r="X138" i="25"/>
  <c r="X90" i="25"/>
  <c r="X307" i="25"/>
  <c r="X209" i="25"/>
  <c r="X101" i="25"/>
  <c r="X116" i="25"/>
  <c r="X74" i="25"/>
  <c r="X26" i="25"/>
  <c r="X225" i="25"/>
  <c r="X203" i="25"/>
  <c r="X123" i="25"/>
  <c r="X139" i="25"/>
  <c r="X99" i="25"/>
  <c r="X288" i="25"/>
  <c r="X196" i="25"/>
  <c r="X205" i="25"/>
  <c r="X217" i="25"/>
  <c r="X73" i="25"/>
  <c r="X165" i="25"/>
  <c r="X160" i="25"/>
  <c r="X175" i="25"/>
  <c r="X231" i="25"/>
  <c r="X122" i="25"/>
  <c r="X188" i="25"/>
  <c r="X84" i="25"/>
  <c r="X202" i="25"/>
  <c r="X171" i="25"/>
  <c r="X194" i="25"/>
  <c r="X197" i="25"/>
  <c r="X221" i="25"/>
  <c r="X27" i="25"/>
  <c r="X228" i="25"/>
  <c r="X41" i="25"/>
  <c r="X22" i="25"/>
  <c r="X242" i="25"/>
  <c r="X208" i="25"/>
  <c r="X218" i="25"/>
  <c r="X79" i="25"/>
  <c r="X302" i="25"/>
  <c r="X303" i="25"/>
  <c r="X159" i="25"/>
  <c r="X287" i="25"/>
  <c r="Y78" i="24"/>
  <c r="Y33" i="24"/>
  <c r="Y102" i="24"/>
  <c r="Y26" i="24"/>
  <c r="Y89" i="24"/>
  <c r="Y93" i="24"/>
  <c r="Y65" i="24"/>
  <c r="Y28" i="24"/>
  <c r="Y31" i="24"/>
  <c r="Y69" i="24"/>
  <c r="Y34" i="24"/>
  <c r="Y95" i="24"/>
  <c r="Y9" i="24"/>
  <c r="Y58" i="24"/>
  <c r="Y64" i="24"/>
  <c r="Y54" i="24"/>
  <c r="Y38" i="24"/>
  <c r="Y29" i="24"/>
  <c r="Y104" i="24"/>
  <c r="Y94" i="24"/>
  <c r="Y63" i="24"/>
  <c r="Y73" i="24"/>
  <c r="Y51" i="24"/>
  <c r="Y71" i="24"/>
  <c r="Y80" i="24"/>
  <c r="Y23" i="24"/>
  <c r="Y17" i="24"/>
  <c r="Y100" i="24"/>
  <c r="Y96" i="24"/>
  <c r="Y103" i="24"/>
  <c r="Y39" i="24"/>
  <c r="Y46" i="24"/>
  <c r="Y85" i="24"/>
  <c r="Y57" i="24"/>
  <c r="Y42" i="24"/>
  <c r="Y75" i="24"/>
  <c r="Y59" i="24"/>
  <c r="Y92" i="24"/>
  <c r="Y98" i="24"/>
  <c r="Y8" i="24"/>
  <c r="Y37" i="24"/>
  <c r="AD11" i="25"/>
  <c r="AE11" i="25" s="1"/>
  <c r="V155" i="25"/>
  <c r="X155" i="25" s="1"/>
  <c r="AJ194" i="24"/>
  <c r="AT194" i="24" s="1"/>
  <c r="AJ208" i="24"/>
  <c r="AT208" i="24" s="1"/>
  <c r="AJ205" i="24"/>
  <c r="AT205" i="24" s="1"/>
  <c r="AJ186" i="24"/>
  <c r="AT186" i="24" s="1"/>
  <c r="AJ192" i="24"/>
  <c r="AT192" i="24" s="1"/>
  <c r="AJ209" i="24"/>
  <c r="AT209" i="24" s="1"/>
  <c r="AJ201" i="24"/>
  <c r="AT201" i="24" s="1"/>
  <c r="AJ195" i="24"/>
  <c r="AT195" i="24" s="1"/>
  <c r="AJ189" i="24"/>
  <c r="AT189" i="24" s="1"/>
  <c r="AJ207" i="24"/>
  <c r="AT207" i="24" s="1"/>
  <c r="AJ202" i="24"/>
  <c r="AT202" i="24" s="1"/>
  <c r="AJ199" i="24"/>
  <c r="AT199" i="24" s="1"/>
  <c r="AD155" i="25"/>
  <c r="AF155" i="25" s="1"/>
  <c r="AV45" i="24"/>
  <c r="AV41" i="24"/>
  <c r="AT21" i="24"/>
  <c r="BA21" i="24" s="1"/>
  <c r="AV101" i="24"/>
  <c r="AV55" i="24"/>
  <c r="AT44" i="24"/>
  <c r="BA44" i="24" s="1"/>
  <c r="AV7" i="24"/>
  <c r="AJ204" i="24"/>
  <c r="AT204" i="24" s="1"/>
  <c r="AJ198" i="24"/>
  <c r="AT198" i="24" s="1"/>
  <c r="AJ203" i="24"/>
  <c r="AT203" i="24" s="1"/>
  <c r="AJ196" i="24"/>
  <c r="AT196" i="24" s="1"/>
  <c r="AJ206" i="24"/>
  <c r="AT206" i="24" s="1"/>
  <c r="AJ200" i="24"/>
  <c r="AT200" i="24" s="1"/>
  <c r="AJ185" i="24"/>
  <c r="AT185" i="24" s="1"/>
  <c r="AJ197" i="24"/>
  <c r="AT197" i="24" s="1"/>
  <c r="AJ188" i="24"/>
  <c r="AT188" i="24" s="1"/>
  <c r="AJ210" i="24"/>
  <c r="AT210" i="24" s="1"/>
  <c r="AJ187" i="24"/>
  <c r="AT187" i="24" s="1"/>
  <c r="AJ193" i="24"/>
  <c r="AT193" i="24" s="1"/>
  <c r="AJ184" i="24"/>
  <c r="AT184" i="24" s="1"/>
  <c r="V96" i="25"/>
  <c r="X96" i="25" s="1"/>
  <c r="W96" i="25"/>
  <c r="Z96" i="25" s="1"/>
  <c r="AA96" i="25" s="1"/>
  <c r="AB96" i="25" s="1"/>
  <c r="AI96" i="25" s="1"/>
  <c r="AS96" i="25" s="1"/>
  <c r="AJ178" i="24"/>
  <c r="AT178" i="24" s="1"/>
  <c r="AJ174" i="24"/>
  <c r="AT174" i="24" s="1"/>
  <c r="AJ173" i="24"/>
  <c r="AT173" i="24" s="1"/>
  <c r="AJ181" i="24"/>
  <c r="AT181" i="24" s="1"/>
  <c r="AJ171" i="24"/>
  <c r="AT171" i="24" s="1"/>
  <c r="AJ175" i="24"/>
  <c r="AT175" i="24" s="1"/>
  <c r="AJ180" i="24"/>
  <c r="AT180" i="24" s="1"/>
  <c r="AJ177" i="24"/>
  <c r="AT177" i="24" s="1"/>
  <c r="AJ103" i="24"/>
  <c r="AJ105" i="24"/>
  <c r="AJ96" i="24"/>
  <c r="AJ94" i="24"/>
  <c r="AJ99" i="24"/>
  <c r="W258" i="25"/>
  <c r="Z258" i="25" s="1"/>
  <c r="AA258" i="25" s="1"/>
  <c r="AB258" i="25" s="1"/>
  <c r="AI258" i="25" s="1"/>
  <c r="AS258" i="25" s="1"/>
  <c r="AD258" i="25"/>
  <c r="AE258" i="25" s="1"/>
  <c r="AV44" i="24"/>
  <c r="AF143" i="25"/>
  <c r="AM143" i="25" s="1"/>
  <c r="BG143" i="25" s="1"/>
  <c r="AJ170" i="24"/>
  <c r="AT170" i="24" s="1"/>
  <c r="AJ161" i="24"/>
  <c r="AT161" i="24" s="1"/>
  <c r="AJ85" i="24"/>
  <c r="AJ89" i="24"/>
  <c r="AJ165" i="24"/>
  <c r="AT165" i="24" s="1"/>
  <c r="W154" i="25"/>
  <c r="Z154" i="25" s="1"/>
  <c r="AA154" i="25" s="1"/>
  <c r="AB154" i="25" s="1"/>
  <c r="AI154" i="25" s="1"/>
  <c r="AS154" i="25" s="1"/>
  <c r="AD154" i="25"/>
  <c r="AJ176" i="24"/>
  <c r="AT176" i="24" s="1"/>
  <c r="AJ91" i="24"/>
  <c r="AJ158" i="24"/>
  <c r="AT158" i="24" s="1"/>
  <c r="AJ168" i="24"/>
  <c r="AT168" i="24" s="1"/>
  <c r="AT101" i="24"/>
  <c r="BA101" i="24" s="1"/>
  <c r="AJ163" i="24"/>
  <c r="AT163" i="24" s="1"/>
  <c r="AJ169" i="24"/>
  <c r="AT169" i="24" s="1"/>
  <c r="AJ167" i="24"/>
  <c r="AT167" i="24" s="1"/>
  <c r="AJ182" i="24"/>
  <c r="AT182" i="24" s="1"/>
  <c r="AJ183" i="24"/>
  <c r="AT183" i="24" s="1"/>
  <c r="AJ172" i="24"/>
  <c r="AT172" i="24" s="1"/>
  <c r="AJ164" i="24"/>
  <c r="AT164" i="24" s="1"/>
  <c r="AJ179" i="24"/>
  <c r="AT179" i="24" s="1"/>
  <c r="AD189" i="25"/>
  <c r="AF189" i="25" s="1"/>
  <c r="AT41" i="24"/>
  <c r="BA41" i="24" s="1"/>
  <c r="AJ69" i="24"/>
  <c r="AJ66" i="24"/>
  <c r="W97" i="25"/>
  <c r="Z97" i="25" s="1"/>
  <c r="AA97" i="25" s="1"/>
  <c r="AB97" i="25" s="1"/>
  <c r="AI97" i="25" s="1"/>
  <c r="AS97" i="25" s="1"/>
  <c r="AD97" i="25"/>
  <c r="AE97" i="25" s="1"/>
  <c r="AJ75" i="24"/>
  <c r="AJ93" i="24"/>
  <c r="AJ95" i="24"/>
  <c r="AJ84" i="24"/>
  <c r="AJ62" i="24"/>
  <c r="AJ157" i="24"/>
  <c r="AT157" i="24" s="1"/>
  <c r="AJ102" i="24"/>
  <c r="AJ90" i="24"/>
  <c r="AJ97" i="24"/>
  <c r="AJ74" i="24"/>
  <c r="AT7" i="24"/>
  <c r="BA7" i="24" s="1"/>
  <c r="AJ100" i="24"/>
  <c r="AJ98" i="24"/>
  <c r="AJ104" i="24"/>
  <c r="AJ81" i="24"/>
  <c r="AJ67" i="24"/>
  <c r="AJ79" i="24"/>
  <c r="AJ73" i="24"/>
  <c r="AJ92" i="24"/>
  <c r="AJ80" i="24"/>
  <c r="AJ86" i="24"/>
  <c r="AJ65" i="24"/>
  <c r="AJ70" i="24"/>
  <c r="AJ87" i="24"/>
  <c r="AJ88" i="24"/>
  <c r="AJ82" i="24"/>
  <c r="AJ68" i="24"/>
  <c r="AJ83" i="24"/>
  <c r="AJ72" i="24"/>
  <c r="AJ316" i="24"/>
  <c r="AT316" i="24" s="1"/>
  <c r="AT55" i="24"/>
  <c r="BA55" i="24" s="1"/>
  <c r="W179" i="25"/>
  <c r="Z179" i="25" s="1"/>
  <c r="AA179" i="25" s="1"/>
  <c r="AB179" i="25" s="1"/>
  <c r="AI179" i="25" s="1"/>
  <c r="AS179" i="25" s="1"/>
  <c r="AD179" i="25"/>
  <c r="AE179" i="25" s="1"/>
  <c r="V29" i="25"/>
  <c r="X29" i="25" s="1"/>
  <c r="W29" i="25"/>
  <c r="Z29" i="25" s="1"/>
  <c r="AA29" i="25" s="1"/>
  <c r="AB29" i="25" s="1"/>
  <c r="AI29" i="25" s="1"/>
  <c r="AS29" i="25" s="1"/>
  <c r="V28" i="25"/>
  <c r="X28" i="25" s="1"/>
  <c r="W291" i="25"/>
  <c r="Z291" i="25" s="1"/>
  <c r="AA291" i="25" s="1"/>
  <c r="AB291" i="25" s="1"/>
  <c r="AI291" i="25" s="1"/>
  <c r="AS291" i="25" s="1"/>
  <c r="W28" i="25"/>
  <c r="Z28" i="25" s="1"/>
  <c r="AA28" i="25" s="1"/>
  <c r="AB28" i="25" s="1"/>
  <c r="AI28" i="25" s="1"/>
  <c r="AS28" i="25" s="1"/>
  <c r="AD291" i="25"/>
  <c r="AE291" i="25" s="1"/>
  <c r="V265" i="25"/>
  <c r="X265" i="25" s="1"/>
  <c r="W265" i="25"/>
  <c r="Z265" i="25" s="1"/>
  <c r="AA265" i="25" s="1"/>
  <c r="AB265" i="25" s="1"/>
  <c r="AI265" i="25" s="1"/>
  <c r="AS265" i="25" s="1"/>
  <c r="AT45" i="24"/>
  <c r="BA45" i="24" s="1"/>
  <c r="AJ314" i="24"/>
  <c r="AT314" i="24" s="1"/>
  <c r="AV21" i="24"/>
  <c r="V189" i="25"/>
  <c r="X189" i="25" s="1"/>
  <c r="V104" i="25"/>
  <c r="X104" i="25" s="1"/>
  <c r="AD104" i="25"/>
  <c r="AF104" i="25" s="1"/>
  <c r="AJ311" i="24"/>
  <c r="AT311" i="24" s="1"/>
  <c r="AJ309" i="24"/>
  <c r="AT309" i="24" s="1"/>
  <c r="AJ307" i="24"/>
  <c r="AT307" i="24" s="1"/>
  <c r="AJ308" i="24"/>
  <c r="AT308" i="24" s="1"/>
  <c r="AJ156" i="24"/>
  <c r="AT156" i="24" s="1"/>
  <c r="AJ159" i="24"/>
  <c r="AT159" i="24" s="1"/>
  <c r="AJ76" i="24"/>
  <c r="AJ166" i="24"/>
  <c r="AT166" i="24" s="1"/>
  <c r="AJ312" i="24"/>
  <c r="AT312" i="24" s="1"/>
  <c r="AJ71" i="24"/>
  <c r="AJ315" i="24"/>
  <c r="AT315" i="24" s="1"/>
  <c r="AJ310" i="24"/>
  <c r="AT310" i="24" s="1"/>
  <c r="AJ78" i="24"/>
  <c r="AJ77" i="24"/>
  <c r="AJ64" i="24"/>
  <c r="AJ313" i="24"/>
  <c r="AT313" i="24" s="1"/>
  <c r="AD237" i="25"/>
  <c r="AE237" i="25" s="1"/>
  <c r="W237" i="25"/>
  <c r="Z237" i="25" s="1"/>
  <c r="AA237" i="25" s="1"/>
  <c r="AB237" i="25" s="1"/>
  <c r="AI237" i="25" s="1"/>
  <c r="AS237" i="25" s="1"/>
  <c r="AJ63" i="24"/>
  <c r="AJ61" i="24"/>
  <c r="AJ116" i="24"/>
  <c r="AT116" i="24" s="1"/>
  <c r="N212" i="25"/>
  <c r="BI212" i="25"/>
  <c r="AH212" i="25"/>
  <c r="BQ212" i="25"/>
  <c r="AJ252" i="24"/>
  <c r="AT252" i="24" s="1"/>
  <c r="AJ151" i="24"/>
  <c r="AT151" i="24" s="1"/>
  <c r="AJ115" i="24"/>
  <c r="AT115" i="24" s="1"/>
  <c r="AJ303" i="24"/>
  <c r="AT303" i="24" s="1"/>
  <c r="AJ275" i="24"/>
  <c r="AT275" i="24" s="1"/>
  <c r="AJ53" i="24"/>
  <c r="AJ47" i="24"/>
  <c r="AJ289" i="24"/>
  <c r="AT289" i="24" s="1"/>
  <c r="AJ254" i="24"/>
  <c r="AT254" i="24" s="1"/>
  <c r="AJ268" i="24"/>
  <c r="AT268" i="24" s="1"/>
  <c r="AJ141" i="24"/>
  <c r="AT141" i="24" s="1"/>
  <c r="AJ251" i="24"/>
  <c r="AT251" i="24" s="1"/>
  <c r="AJ60" i="24"/>
  <c r="V77" i="25"/>
  <c r="X77" i="25" s="1"/>
  <c r="AD77" i="25"/>
  <c r="W77" i="25"/>
  <c r="Z77" i="25" s="1"/>
  <c r="AA77" i="25" s="1"/>
  <c r="AB77" i="25" s="1"/>
  <c r="AI77" i="25" s="1"/>
  <c r="AS77" i="25" s="1"/>
  <c r="AW77" i="25" s="1"/>
  <c r="AJ272" i="24"/>
  <c r="AT272" i="24" s="1"/>
  <c r="AJ288" i="24"/>
  <c r="AT288" i="24" s="1"/>
  <c r="AJ40" i="24"/>
  <c r="AJ23" i="24"/>
  <c r="AJ276" i="24"/>
  <c r="AT276" i="24" s="1"/>
  <c r="AJ42" i="24"/>
  <c r="AJ286" i="24"/>
  <c r="AT286" i="24" s="1"/>
  <c r="AJ231" i="24"/>
  <c r="AT231" i="24" s="1"/>
  <c r="AJ143" i="24"/>
  <c r="AT143" i="24" s="1"/>
  <c r="AJ139" i="24"/>
  <c r="AT139" i="24" s="1"/>
  <c r="AJ11" i="24"/>
  <c r="AJ52" i="24"/>
  <c r="AJ144" i="24"/>
  <c r="AT144" i="24" s="1"/>
  <c r="AJ39" i="24"/>
  <c r="AJ127" i="24"/>
  <c r="AT127" i="24" s="1"/>
  <c r="AJ36" i="24"/>
  <c r="AJ137" i="24"/>
  <c r="AT137" i="24" s="1"/>
  <c r="AJ245" i="24"/>
  <c r="AT245" i="24" s="1"/>
  <c r="AJ149" i="24"/>
  <c r="AT149" i="24" s="1"/>
  <c r="AJ140" i="24"/>
  <c r="AT140" i="24" s="1"/>
  <c r="AJ285" i="24"/>
  <c r="AT285" i="24" s="1"/>
  <c r="AJ223" i="24"/>
  <c r="AT223" i="24" s="1"/>
  <c r="AJ13" i="24"/>
  <c r="AJ239" i="24"/>
  <c r="AT239" i="24" s="1"/>
  <c r="AJ262" i="24"/>
  <c r="AT262" i="24" s="1"/>
  <c r="AJ291" i="24"/>
  <c r="AT291" i="24" s="1"/>
  <c r="AJ277" i="24"/>
  <c r="AT277" i="24" s="1"/>
  <c r="AJ234" i="24"/>
  <c r="AT234" i="24" s="1"/>
  <c r="AJ217" i="24"/>
  <c r="AT217" i="24" s="1"/>
  <c r="AJ31" i="24"/>
  <c r="AJ293" i="24"/>
  <c r="AT293" i="24" s="1"/>
  <c r="AJ154" i="24"/>
  <c r="AT154" i="24" s="1"/>
  <c r="AJ50" i="24"/>
  <c r="AJ306" i="24"/>
  <c r="AT306" i="24" s="1"/>
  <c r="AJ49" i="24"/>
  <c r="AJ230" i="24"/>
  <c r="AT230" i="24" s="1"/>
  <c r="AJ241" i="24"/>
  <c r="AT241" i="24" s="1"/>
  <c r="AJ46" i="24"/>
  <c r="AJ150" i="24"/>
  <c r="AT150" i="24" s="1"/>
  <c r="AJ38" i="24"/>
  <c r="AJ226" i="24"/>
  <c r="AT226" i="24" s="1"/>
  <c r="AJ302" i="24"/>
  <c r="AT302" i="24" s="1"/>
  <c r="AJ122" i="24"/>
  <c r="AT122" i="24" s="1"/>
  <c r="AJ229" i="24"/>
  <c r="AT229" i="24" s="1"/>
  <c r="AJ244" i="24"/>
  <c r="AT244" i="24" s="1"/>
  <c r="AJ15" i="24"/>
  <c r="AJ256" i="24"/>
  <c r="AT256" i="24" s="1"/>
  <c r="AJ287" i="24"/>
  <c r="AT287" i="24" s="1"/>
  <c r="AJ270" i="24"/>
  <c r="AT270" i="24" s="1"/>
  <c r="AJ304" i="24"/>
  <c r="AT304" i="24" s="1"/>
  <c r="AJ146" i="24"/>
  <c r="AT146" i="24" s="1"/>
  <c r="AJ134" i="24"/>
  <c r="AT134" i="24" s="1"/>
  <c r="AJ138" i="24"/>
  <c r="AT138" i="24" s="1"/>
  <c r="AJ27" i="24"/>
  <c r="AJ136" i="24"/>
  <c r="AT136" i="24" s="1"/>
  <c r="AJ43" i="24"/>
  <c r="AJ10" i="24"/>
  <c r="AJ300" i="24"/>
  <c r="AT300" i="24" s="1"/>
  <c r="AJ29" i="24"/>
  <c r="AJ255" i="24"/>
  <c r="AT255" i="24" s="1"/>
  <c r="AJ278" i="24"/>
  <c r="AT278" i="24" s="1"/>
  <c r="AJ246" i="24"/>
  <c r="AT246" i="24" s="1"/>
  <c r="AJ250" i="24"/>
  <c r="AT250" i="24" s="1"/>
  <c r="AJ16" i="24"/>
  <c r="AJ227" i="24"/>
  <c r="AT227" i="24" s="1"/>
  <c r="AJ222" i="24"/>
  <c r="AT222" i="24" s="1"/>
  <c r="AJ124" i="24"/>
  <c r="AT124" i="24" s="1"/>
  <c r="AJ14" i="24"/>
  <c r="AJ118" i="24"/>
  <c r="AT118" i="24" s="1"/>
  <c r="AJ113" i="24"/>
  <c r="AT113" i="24" s="1"/>
  <c r="AJ220" i="24"/>
  <c r="AT220" i="24" s="1"/>
  <c r="AJ131" i="24"/>
  <c r="AT131" i="24" s="1"/>
  <c r="AJ25" i="24"/>
  <c r="AJ221" i="24"/>
  <c r="AT221" i="24" s="1"/>
  <c r="AD253" i="25"/>
  <c r="W253" i="25"/>
  <c r="Z253" i="25" s="1"/>
  <c r="AA253" i="25" s="1"/>
  <c r="AB253" i="25" s="1"/>
  <c r="AI253" i="25" s="1"/>
  <c r="V253" i="25"/>
  <c r="X253" i="25" s="1"/>
  <c r="AG223" i="24"/>
  <c r="AF223" i="24"/>
  <c r="AD102" i="25"/>
  <c r="W102" i="25"/>
  <c r="Z102" i="25" s="1"/>
  <c r="AA102" i="25" s="1"/>
  <c r="AB102" i="25" s="1"/>
  <c r="AI102" i="25" s="1"/>
  <c r="V102" i="25"/>
  <c r="X102" i="25" s="1"/>
  <c r="AF192" i="25"/>
  <c r="AE192" i="25"/>
  <c r="AG124" i="24"/>
  <c r="AF124" i="24"/>
  <c r="AD222" i="25"/>
  <c r="W222" i="25"/>
  <c r="Z222" i="25" s="1"/>
  <c r="AA222" i="25" s="1"/>
  <c r="AB222" i="25" s="1"/>
  <c r="AI222" i="25" s="1"/>
  <c r="AN45" i="24"/>
  <c r="AK45" i="24"/>
  <c r="AG89" i="24"/>
  <c r="AF89" i="24"/>
  <c r="AD111" i="25"/>
  <c r="W111" i="25"/>
  <c r="Z111" i="25" s="1"/>
  <c r="AA111" i="25" s="1"/>
  <c r="AB111" i="25" s="1"/>
  <c r="AI111" i="25" s="1"/>
  <c r="V111" i="25"/>
  <c r="X111" i="25" s="1"/>
  <c r="AD157" i="25"/>
  <c r="W157" i="25"/>
  <c r="Z157" i="25" s="1"/>
  <c r="AA157" i="25" s="1"/>
  <c r="AB157" i="25" s="1"/>
  <c r="AI157" i="25" s="1"/>
  <c r="AD181" i="25"/>
  <c r="W181" i="25"/>
  <c r="Z181" i="25" s="1"/>
  <c r="AA181" i="25" s="1"/>
  <c r="AB181" i="25" s="1"/>
  <c r="AI181" i="25" s="1"/>
  <c r="AG37" i="24"/>
  <c r="AF37" i="24"/>
  <c r="AD134" i="25"/>
  <c r="W134" i="25"/>
  <c r="Z134" i="25" s="1"/>
  <c r="AA134" i="25" s="1"/>
  <c r="AB134" i="25" s="1"/>
  <c r="AI134" i="25" s="1"/>
  <c r="V134" i="25"/>
  <c r="X134" i="25" s="1"/>
  <c r="AG312" i="24"/>
  <c r="AF312" i="24"/>
  <c r="AS267" i="25"/>
  <c r="AG242" i="24"/>
  <c r="AF242" i="24"/>
  <c r="AG12" i="24"/>
  <c r="AF12" i="24"/>
  <c r="AS82" i="25"/>
  <c r="AD299" i="25"/>
  <c r="W299" i="25"/>
  <c r="Z299" i="25" s="1"/>
  <c r="AA299" i="25" s="1"/>
  <c r="AB299" i="25" s="1"/>
  <c r="AI299" i="25" s="1"/>
  <c r="AF199" i="25"/>
  <c r="AE199" i="25"/>
  <c r="AJ228" i="24"/>
  <c r="AD76" i="25"/>
  <c r="W76" i="25"/>
  <c r="Z76" i="25" s="1"/>
  <c r="AA76" i="25" s="1"/>
  <c r="AB76" i="25" s="1"/>
  <c r="AI76" i="25" s="1"/>
  <c r="AF314" i="25"/>
  <c r="AE314" i="25"/>
  <c r="AJ135" i="24"/>
  <c r="AG78" i="24"/>
  <c r="AF78" i="24"/>
  <c r="AK142" i="24"/>
  <c r="AN142" i="24"/>
  <c r="AG295" i="24"/>
  <c r="AF295" i="24"/>
  <c r="AK119" i="24"/>
  <c r="AN119" i="24"/>
  <c r="AK257" i="24"/>
  <c r="AN257" i="24"/>
  <c r="BI257" i="24" s="1"/>
  <c r="AS161" i="25"/>
  <c r="AG253" i="24"/>
  <c r="AF253" i="24"/>
  <c r="AE28" i="25"/>
  <c r="AG152" i="24"/>
  <c r="AF152" i="24"/>
  <c r="AD125" i="25"/>
  <c r="W125" i="25"/>
  <c r="Z125" i="25" s="1"/>
  <c r="AA125" i="25" s="1"/>
  <c r="AB125" i="25" s="1"/>
  <c r="AI125" i="25" s="1"/>
  <c r="AJ26" i="24"/>
  <c r="AG100" i="24"/>
  <c r="AF100" i="24"/>
  <c r="AD295" i="25"/>
  <c r="W295" i="25"/>
  <c r="Z295" i="25" s="1"/>
  <c r="AA295" i="25" s="1"/>
  <c r="AB295" i="25" s="1"/>
  <c r="AI295" i="25" s="1"/>
  <c r="BA119" i="24"/>
  <c r="AJ35" i="24"/>
  <c r="AD298" i="25"/>
  <c r="W298" i="25"/>
  <c r="Z298" i="25" s="1"/>
  <c r="AA298" i="25" s="1"/>
  <c r="AB298" i="25" s="1"/>
  <c r="AI298" i="25" s="1"/>
  <c r="AJ153" i="24"/>
  <c r="AD277" i="25"/>
  <c r="W277" i="25"/>
  <c r="Z277" i="25" s="1"/>
  <c r="AA277" i="25" s="1"/>
  <c r="AB277" i="25" s="1"/>
  <c r="AI277" i="25" s="1"/>
  <c r="AD152" i="25"/>
  <c r="W152" i="25"/>
  <c r="Z152" i="25" s="1"/>
  <c r="AA152" i="25" s="1"/>
  <c r="AB152" i="25" s="1"/>
  <c r="AI152" i="25" s="1"/>
  <c r="V152" i="25"/>
  <c r="X152" i="25" s="1"/>
  <c r="AD250" i="25"/>
  <c r="W250" i="25"/>
  <c r="Z250" i="25" s="1"/>
  <c r="AA250" i="25" s="1"/>
  <c r="AB250" i="25" s="1"/>
  <c r="AI250" i="25" s="1"/>
  <c r="V250" i="25"/>
  <c r="X250" i="25" s="1"/>
  <c r="AD48" i="25"/>
  <c r="W48" i="25"/>
  <c r="Z48" i="25" s="1"/>
  <c r="AA48" i="25" s="1"/>
  <c r="AB48" i="25" s="1"/>
  <c r="AI48" i="25" s="1"/>
  <c r="V48" i="25"/>
  <c r="X48" i="25" s="1"/>
  <c r="AJ249" i="24"/>
  <c r="AF31" i="25"/>
  <c r="AE31" i="25"/>
  <c r="AG66" i="24"/>
  <c r="AF66" i="24"/>
  <c r="AS247" i="25"/>
  <c r="AF204" i="25"/>
  <c r="AE204" i="25"/>
  <c r="AJ111" i="24"/>
  <c r="AD187" i="25"/>
  <c r="W187" i="25"/>
  <c r="Z187" i="25" s="1"/>
  <c r="AA187" i="25" s="1"/>
  <c r="AB187" i="25" s="1"/>
  <c r="AI187" i="25" s="1"/>
  <c r="AJ51" i="24"/>
  <c r="AG306" i="24"/>
  <c r="AF306" i="24"/>
  <c r="AG80" i="24"/>
  <c r="AF80" i="24"/>
  <c r="AG244" i="24"/>
  <c r="AF244" i="24"/>
  <c r="AS62" i="25"/>
  <c r="AJ301" i="24"/>
  <c r="AD24" i="25"/>
  <c r="W24" i="25"/>
  <c r="Z24" i="25" s="1"/>
  <c r="AA24" i="25" s="1"/>
  <c r="AB24" i="25" s="1"/>
  <c r="AI24" i="25" s="1"/>
  <c r="V24" i="25"/>
  <c r="X24" i="25" s="1"/>
  <c r="AJ129" i="25"/>
  <c r="AM129" i="25"/>
  <c r="BG129" i="25" s="1"/>
  <c r="AG91" i="24"/>
  <c r="AF91" i="24"/>
  <c r="AG67" i="24"/>
  <c r="AF67" i="24"/>
  <c r="AD166" i="25"/>
  <c r="W166" i="25"/>
  <c r="Z166" i="25" s="1"/>
  <c r="AA166" i="25" s="1"/>
  <c r="AB166" i="25" s="1"/>
  <c r="AI166" i="25" s="1"/>
  <c r="V166" i="25"/>
  <c r="X166" i="25" s="1"/>
  <c r="AJ133" i="24"/>
  <c r="AN41" i="24"/>
  <c r="AK41" i="24"/>
  <c r="AF282" i="25"/>
  <c r="AE282" i="25"/>
  <c r="AD37" i="25"/>
  <c r="W37" i="25"/>
  <c r="Z37" i="25" s="1"/>
  <c r="AA37" i="25" s="1"/>
  <c r="AB37" i="25" s="1"/>
  <c r="AI37" i="25" s="1"/>
  <c r="V37" i="25"/>
  <c r="X37" i="25" s="1"/>
  <c r="AJ58" i="24"/>
  <c r="AJ269" i="24"/>
  <c r="AJ54" i="24"/>
  <c r="AD278" i="25"/>
  <c r="W278" i="25"/>
  <c r="Z278" i="25" s="1"/>
  <c r="AA278" i="25" s="1"/>
  <c r="AB278" i="25" s="1"/>
  <c r="AI278" i="25" s="1"/>
  <c r="AJ125" i="24"/>
  <c r="AD63" i="25"/>
  <c r="W63" i="25"/>
  <c r="Z63" i="25" s="1"/>
  <c r="AA63" i="25" s="1"/>
  <c r="AB63" i="25" s="1"/>
  <c r="AI63" i="25" s="1"/>
  <c r="AJ24" i="24"/>
  <c r="AF178" i="25"/>
  <c r="AE178" i="25"/>
  <c r="AG231" i="24"/>
  <c r="AF231" i="24"/>
  <c r="AG192" i="24"/>
  <c r="AF192" i="24"/>
  <c r="AS6" i="25"/>
  <c r="AS292" i="25"/>
  <c r="AJ148" i="24"/>
  <c r="AG130" i="24"/>
  <c r="AF130" i="24"/>
  <c r="AJ117" i="24"/>
  <c r="AG243" i="24"/>
  <c r="AF243" i="24"/>
  <c r="AG60" i="24"/>
  <c r="AF60" i="24"/>
  <c r="AD271" i="25"/>
  <c r="W271" i="25"/>
  <c r="Z271" i="25" s="1"/>
  <c r="AA271" i="25" s="1"/>
  <c r="AB271" i="25" s="1"/>
  <c r="AI271" i="25" s="1"/>
  <c r="V271" i="25"/>
  <c r="X271" i="25" s="1"/>
  <c r="AD44" i="25"/>
  <c r="W44" i="25"/>
  <c r="Z44" i="25" s="1"/>
  <c r="AA44" i="25" s="1"/>
  <c r="AB44" i="25" s="1"/>
  <c r="AI44" i="25" s="1"/>
  <c r="AG248" i="24"/>
  <c r="AF248" i="24"/>
  <c r="AD286" i="25"/>
  <c r="W286" i="25"/>
  <c r="Z286" i="25" s="1"/>
  <c r="AA286" i="25" s="1"/>
  <c r="AB286" i="25" s="1"/>
  <c r="AI286" i="25" s="1"/>
  <c r="AF170" i="25"/>
  <c r="AE170" i="25"/>
  <c r="AD70" i="25"/>
  <c r="W70" i="25"/>
  <c r="Z70" i="25" s="1"/>
  <c r="AA70" i="25" s="1"/>
  <c r="AB70" i="25" s="1"/>
  <c r="AI70" i="25" s="1"/>
  <c r="AM110" i="25"/>
  <c r="AJ110" i="25"/>
  <c r="AG139" i="24"/>
  <c r="AF139" i="24"/>
  <c r="AG23" i="24"/>
  <c r="AF23" i="24"/>
  <c r="AG147" i="24"/>
  <c r="AF147" i="24"/>
  <c r="AG103" i="24"/>
  <c r="AF103" i="24"/>
  <c r="AS94" i="25"/>
  <c r="AD235" i="25"/>
  <c r="W235" i="25"/>
  <c r="Z235" i="25" s="1"/>
  <c r="AA235" i="25" s="1"/>
  <c r="AB235" i="25" s="1"/>
  <c r="AI235" i="25" s="1"/>
  <c r="V235" i="25"/>
  <c r="X235" i="25" s="1"/>
  <c r="AG168" i="24"/>
  <c r="AF168" i="24"/>
  <c r="AD85" i="25"/>
  <c r="W85" i="25"/>
  <c r="Z85" i="25" s="1"/>
  <c r="AA85" i="25" s="1"/>
  <c r="AB85" i="25" s="1"/>
  <c r="AI85" i="25" s="1"/>
  <c r="V85" i="25"/>
  <c r="X85" i="25" s="1"/>
  <c r="AJ121" i="24"/>
  <c r="AG102" i="24"/>
  <c r="AF102" i="24"/>
  <c r="AG99" i="24"/>
  <c r="AF99" i="24"/>
  <c r="AJ281" i="24"/>
  <c r="AD230" i="25"/>
  <c r="W230" i="25"/>
  <c r="Z230" i="25" s="1"/>
  <c r="AA230" i="25" s="1"/>
  <c r="AB230" i="25" s="1"/>
  <c r="AI230" i="25" s="1"/>
  <c r="AD308" i="25"/>
  <c r="W308" i="25"/>
  <c r="Z308" i="25" s="1"/>
  <c r="AA308" i="25" s="1"/>
  <c r="AB308" i="25" s="1"/>
  <c r="AI308" i="25" s="1"/>
  <c r="V308" i="25"/>
  <c r="X308" i="25" s="1"/>
  <c r="AJ296" i="24"/>
  <c r="AG273" i="24"/>
  <c r="AF273" i="24"/>
  <c r="AG76" i="24"/>
  <c r="AF76" i="24"/>
  <c r="AK191" i="24"/>
  <c r="AN191" i="24"/>
  <c r="AJ218" i="24"/>
  <c r="AD191" i="25"/>
  <c r="W191" i="25"/>
  <c r="Z191" i="25" s="1"/>
  <c r="AA191" i="25" s="1"/>
  <c r="AB191" i="25" s="1"/>
  <c r="AI191" i="25" s="1"/>
  <c r="V191" i="25"/>
  <c r="X191" i="25" s="1"/>
  <c r="AJ28" i="24"/>
  <c r="AD141" i="25"/>
  <c r="W141" i="25"/>
  <c r="Z141" i="25" s="1"/>
  <c r="AA141" i="25" s="1"/>
  <c r="AB141" i="25" s="1"/>
  <c r="AI141" i="25" s="1"/>
  <c r="V141" i="25"/>
  <c r="X141" i="25" s="1"/>
  <c r="AS259" i="25"/>
  <c r="AJ298" i="24"/>
  <c r="AF232" i="25"/>
  <c r="AE232" i="25"/>
  <c r="AD66" i="25"/>
  <c r="W66" i="25"/>
  <c r="Z66" i="25" s="1"/>
  <c r="AA66" i="25" s="1"/>
  <c r="AB66" i="25" s="1"/>
  <c r="AI66" i="25" s="1"/>
  <c r="AG79" i="24"/>
  <c r="AF79" i="24"/>
  <c r="AG165" i="24"/>
  <c r="AF165" i="24"/>
  <c r="AJ280" i="24"/>
  <c r="AG73" i="24"/>
  <c r="AF73" i="24"/>
  <c r="AJ305" i="24"/>
  <c r="AG232" i="24"/>
  <c r="AF232" i="24"/>
  <c r="AD88" i="25"/>
  <c r="W88" i="25"/>
  <c r="Z88" i="25" s="1"/>
  <c r="AA88" i="25" s="1"/>
  <c r="AB88" i="25" s="1"/>
  <c r="AI88" i="25" s="1"/>
  <c r="V88" i="25"/>
  <c r="X88" i="25" s="1"/>
  <c r="AG16" i="24"/>
  <c r="AF16" i="24"/>
  <c r="AD81" i="25"/>
  <c r="W81" i="25"/>
  <c r="Z81" i="25" s="1"/>
  <c r="AA81" i="25" s="1"/>
  <c r="AB81" i="25" s="1"/>
  <c r="AI81" i="25" s="1"/>
  <c r="AN233" i="24"/>
  <c r="AK233" i="24"/>
  <c r="AS147" i="25"/>
  <c r="AF267" i="25"/>
  <c r="AE267" i="25"/>
  <c r="AF82" i="25"/>
  <c r="AE82" i="25"/>
  <c r="AD20" i="25"/>
  <c r="W20" i="25"/>
  <c r="Z20" i="25" s="1"/>
  <c r="AA20" i="25" s="1"/>
  <c r="AB20" i="25" s="1"/>
  <c r="AI20" i="25" s="1"/>
  <c r="V20" i="25"/>
  <c r="X20" i="25" s="1"/>
  <c r="AD115" i="25"/>
  <c r="W115" i="25"/>
  <c r="Z115" i="25" s="1"/>
  <c r="AA115" i="25" s="1"/>
  <c r="AB115" i="25" s="1"/>
  <c r="AI115" i="25" s="1"/>
  <c r="AG71" i="24"/>
  <c r="AF71" i="24"/>
  <c r="AG27" i="24"/>
  <c r="AF27" i="24"/>
  <c r="AG293" i="24"/>
  <c r="AF293" i="24"/>
  <c r="AS198" i="25"/>
  <c r="AG74" i="24"/>
  <c r="AF74" i="24"/>
  <c r="AG13" i="24"/>
  <c r="AF13" i="24"/>
  <c r="AS30" i="25"/>
  <c r="AG171" i="24"/>
  <c r="AF171" i="24"/>
  <c r="AF161" i="25"/>
  <c r="AE161" i="25"/>
  <c r="AD180" i="25"/>
  <c r="W180" i="25"/>
  <c r="Z180" i="25" s="1"/>
  <c r="AA180" i="25" s="1"/>
  <c r="AB180" i="25" s="1"/>
  <c r="AI180" i="25" s="1"/>
  <c r="V180" i="25"/>
  <c r="X180" i="25" s="1"/>
  <c r="AS305" i="25"/>
  <c r="V76" i="25"/>
  <c r="X76" i="25" s="1"/>
  <c r="AG75" i="24"/>
  <c r="AF75" i="24"/>
  <c r="AG87" i="24"/>
  <c r="AF87" i="24"/>
  <c r="AG93" i="24"/>
  <c r="AF93" i="24"/>
  <c r="AD226" i="25"/>
  <c r="W226" i="25"/>
  <c r="Z226" i="25" s="1"/>
  <c r="AA226" i="25" s="1"/>
  <c r="AB226" i="25" s="1"/>
  <c r="AI226" i="25" s="1"/>
  <c r="AG154" i="24"/>
  <c r="AF154" i="24"/>
  <c r="AG40" i="24"/>
  <c r="AF40" i="24"/>
  <c r="AG43" i="24"/>
  <c r="AF43" i="24"/>
  <c r="BA294" i="24"/>
  <c r="AD50" i="25"/>
  <c r="W50" i="25"/>
  <c r="Z50" i="25" s="1"/>
  <c r="AA50" i="25" s="1"/>
  <c r="AB50" i="25" s="1"/>
  <c r="AI50" i="25" s="1"/>
  <c r="V50" i="25"/>
  <c r="X50" i="25" s="1"/>
  <c r="AD118" i="25"/>
  <c r="W118" i="25"/>
  <c r="Z118" i="25" s="1"/>
  <c r="AA118" i="25" s="1"/>
  <c r="AB118" i="25" s="1"/>
  <c r="AI118" i="25" s="1"/>
  <c r="AG175" i="24"/>
  <c r="AF175" i="24"/>
  <c r="AG50" i="24"/>
  <c r="AF50" i="24"/>
  <c r="AD313" i="25"/>
  <c r="W313" i="25"/>
  <c r="Z313" i="25" s="1"/>
  <c r="AA313" i="25" s="1"/>
  <c r="AB313" i="25" s="1"/>
  <c r="AI313" i="25" s="1"/>
  <c r="V125" i="25"/>
  <c r="X125" i="25" s="1"/>
  <c r="AD263" i="25"/>
  <c r="W263" i="25"/>
  <c r="Z263" i="25" s="1"/>
  <c r="AA263" i="25" s="1"/>
  <c r="AB263" i="25" s="1"/>
  <c r="AI263" i="25" s="1"/>
  <c r="V263" i="25"/>
  <c r="X263" i="25" s="1"/>
  <c r="AK22" i="24"/>
  <c r="AN22" i="24"/>
  <c r="BI22" i="24" s="1"/>
  <c r="AF247" i="25"/>
  <c r="AE247" i="25"/>
  <c r="AF62" i="25"/>
  <c r="AE62" i="25"/>
  <c r="AD311" i="25"/>
  <c r="W311" i="25"/>
  <c r="Z311" i="25" s="1"/>
  <c r="AA311" i="25" s="1"/>
  <c r="AB311" i="25" s="1"/>
  <c r="AI311" i="25" s="1"/>
  <c r="V311" i="25"/>
  <c r="X311" i="25" s="1"/>
  <c r="AG220" i="24"/>
  <c r="AF220" i="24"/>
  <c r="BA190" i="24"/>
  <c r="AG134" i="24"/>
  <c r="AF134" i="24"/>
  <c r="AG185" i="24"/>
  <c r="AF185" i="24"/>
  <c r="AG234" i="24"/>
  <c r="AF234" i="24"/>
  <c r="AD268" i="25"/>
  <c r="W268" i="25"/>
  <c r="Z268" i="25" s="1"/>
  <c r="AA268" i="25" s="1"/>
  <c r="AB268" i="25" s="1"/>
  <c r="AI268" i="25" s="1"/>
  <c r="AD100" i="25"/>
  <c r="W100" i="25"/>
  <c r="Z100" i="25" s="1"/>
  <c r="AA100" i="25" s="1"/>
  <c r="AB100" i="25" s="1"/>
  <c r="AI100" i="25" s="1"/>
  <c r="AD165" i="25"/>
  <c r="W165" i="25"/>
  <c r="Z165" i="25" s="1"/>
  <c r="AA165" i="25" s="1"/>
  <c r="AB165" i="25" s="1"/>
  <c r="AI165" i="25" s="1"/>
  <c r="AG217" i="24"/>
  <c r="AF217" i="24"/>
  <c r="AD224" i="25"/>
  <c r="W224" i="25"/>
  <c r="Z224" i="25" s="1"/>
  <c r="AA224" i="25" s="1"/>
  <c r="AB224" i="25" s="1"/>
  <c r="AI224" i="25" s="1"/>
  <c r="AJ274" i="24"/>
  <c r="AF292" i="25"/>
  <c r="AE292" i="25"/>
  <c r="AJ258" i="24"/>
  <c r="AD256" i="25"/>
  <c r="W256" i="25"/>
  <c r="Z256" i="25" s="1"/>
  <c r="AA256" i="25" s="1"/>
  <c r="AB256" i="25" s="1"/>
  <c r="AI256" i="25" s="1"/>
  <c r="V256" i="25"/>
  <c r="X256" i="25" s="1"/>
  <c r="AG205" i="24"/>
  <c r="AF205" i="24"/>
  <c r="AD93" i="25"/>
  <c r="W93" i="25"/>
  <c r="Z93" i="25" s="1"/>
  <c r="AA93" i="25" s="1"/>
  <c r="AB93" i="25" s="1"/>
  <c r="AI93" i="25" s="1"/>
  <c r="V268" i="25"/>
  <c r="X268" i="25" s="1"/>
  <c r="AG184" i="24"/>
  <c r="AF184" i="24"/>
  <c r="AG47" i="24"/>
  <c r="AF47" i="24"/>
  <c r="AD281" i="25"/>
  <c r="W281" i="25"/>
  <c r="Z281" i="25" s="1"/>
  <c r="AA281" i="25" s="1"/>
  <c r="AB281" i="25" s="1"/>
  <c r="AI281" i="25" s="1"/>
  <c r="AG36" i="24"/>
  <c r="AF36" i="24"/>
  <c r="AG227" i="24"/>
  <c r="AF227" i="24"/>
  <c r="AG150" i="24"/>
  <c r="AF150" i="24"/>
  <c r="AG206" i="24"/>
  <c r="AF206" i="24"/>
  <c r="AF94" i="25"/>
  <c r="AE94" i="25"/>
  <c r="AD9" i="25"/>
  <c r="W9" i="25"/>
  <c r="Z9" i="25" s="1"/>
  <c r="AA9" i="25" s="1"/>
  <c r="AB9" i="25" s="1"/>
  <c r="AI9" i="25" s="1"/>
  <c r="V9" i="25"/>
  <c r="X9" i="25" s="1"/>
  <c r="AN264" i="24"/>
  <c r="AK264" i="24"/>
  <c r="AD197" i="25"/>
  <c r="W197" i="25"/>
  <c r="Z197" i="25" s="1"/>
  <c r="AA197" i="25" s="1"/>
  <c r="AB197" i="25" s="1"/>
  <c r="AI197" i="25" s="1"/>
  <c r="V70" i="25"/>
  <c r="X70" i="25" s="1"/>
  <c r="AG221" i="24"/>
  <c r="AF221" i="24"/>
  <c r="AG49" i="24"/>
  <c r="AF49" i="24"/>
  <c r="AD183" i="25"/>
  <c r="W183" i="25"/>
  <c r="Z183" i="25" s="1"/>
  <c r="AA183" i="25" s="1"/>
  <c r="AB183" i="25" s="1"/>
  <c r="AI183" i="25" s="1"/>
  <c r="AF259" i="25"/>
  <c r="AE259" i="25"/>
  <c r="AG141" i="24"/>
  <c r="AF141" i="24"/>
  <c r="AG251" i="24"/>
  <c r="AF251" i="24"/>
  <c r="AD239" i="25"/>
  <c r="W239" i="25"/>
  <c r="Z239" i="25" s="1"/>
  <c r="AA239" i="25" s="1"/>
  <c r="AB239" i="25" s="1"/>
  <c r="AI239" i="25" s="1"/>
  <c r="AD260" i="25"/>
  <c r="W260" i="25"/>
  <c r="Z260" i="25" s="1"/>
  <c r="AA260" i="25" s="1"/>
  <c r="AB260" i="25" s="1"/>
  <c r="AI260" i="25" s="1"/>
  <c r="AG38" i="24"/>
  <c r="AF38" i="24"/>
  <c r="AD49" i="25"/>
  <c r="W49" i="25"/>
  <c r="Z49" i="25" s="1"/>
  <c r="AA49" i="25" s="1"/>
  <c r="AB49" i="25" s="1"/>
  <c r="AI49" i="25" s="1"/>
  <c r="V49" i="25"/>
  <c r="X49" i="25" s="1"/>
  <c r="AK162" i="24"/>
  <c r="AN162" i="24"/>
  <c r="AG278" i="24"/>
  <c r="AF278" i="24"/>
  <c r="AS114" i="25"/>
  <c r="AS262" i="25"/>
  <c r="AG226" i="24"/>
  <c r="AF226" i="24"/>
  <c r="AT264" i="24"/>
  <c r="FI285" i="25"/>
  <c r="FI232" i="25"/>
  <c r="FI256" i="25"/>
  <c r="FI286" i="25"/>
  <c r="FI227" i="25"/>
  <c r="FI216" i="25"/>
  <c r="FI295" i="25"/>
  <c r="FI218" i="25"/>
  <c r="FI294" i="25"/>
  <c r="FI258" i="25"/>
  <c r="FI301" i="25"/>
  <c r="FI220" i="25"/>
  <c r="FI308" i="25"/>
  <c r="FI272" i="25"/>
  <c r="FI278" i="25"/>
  <c r="FI221" i="25"/>
  <c r="FI290" i="25"/>
  <c r="FI228" i="25"/>
  <c r="FI257" i="25"/>
  <c r="FI245" i="25"/>
  <c r="FI303" i="25"/>
  <c r="FI283" i="25"/>
  <c r="FI316" i="25"/>
  <c r="FI289" i="25"/>
  <c r="FI274" i="25"/>
  <c r="FI266" i="25"/>
  <c r="FI267" i="25"/>
  <c r="FI293" i="25"/>
  <c r="FI299" i="25"/>
  <c r="FI311" i="25"/>
  <c r="FI234" i="25"/>
  <c r="FI281" i="25"/>
  <c r="FI304" i="25"/>
  <c r="FI279" i="25"/>
  <c r="FI246" i="25"/>
  <c r="FI244" i="25"/>
  <c r="FI312" i="25"/>
  <c r="FI260" i="25"/>
  <c r="FI248" i="25"/>
  <c r="FI261" i="25"/>
  <c r="FI314" i="25"/>
  <c r="FI309" i="25"/>
  <c r="FI302" i="25"/>
  <c r="FI264" i="25"/>
  <c r="FI230" i="25"/>
  <c r="FI238" i="25"/>
  <c r="FI268" i="25"/>
  <c r="FI287" i="25"/>
  <c r="FI313" i="25"/>
  <c r="FI222" i="25"/>
  <c r="FI307" i="25"/>
  <c r="FI305" i="25"/>
  <c r="FI291" i="25"/>
  <c r="FI225" i="25"/>
  <c r="FI237" i="25"/>
  <c r="FI249" i="25"/>
  <c r="FI300" i="25"/>
  <c r="FI296" i="25"/>
  <c r="FI288" i="25"/>
  <c r="FI240" i="25"/>
  <c r="FI276" i="25"/>
  <c r="FI235" i="25"/>
  <c r="FI251" i="25"/>
  <c r="FI275" i="25"/>
  <c r="FI253" i="25"/>
  <c r="FI223" i="25"/>
  <c r="FI226" i="25"/>
  <c r="FI297" i="25"/>
  <c r="FI306" i="25"/>
  <c r="FI310" i="25"/>
  <c r="FI265" i="25"/>
  <c r="FI241" i="25"/>
  <c r="FI239" i="25"/>
  <c r="FI242" i="25"/>
  <c r="FI315" i="25"/>
  <c r="FI262" i="25"/>
  <c r="FI284" i="25"/>
  <c r="FI243" i="25"/>
  <c r="FI298" i="25"/>
  <c r="FI252" i="25"/>
  <c r="FI270" i="25"/>
  <c r="FI277" i="25"/>
  <c r="FI273" i="25"/>
  <c r="FI224" i="25"/>
  <c r="FI236" i="25"/>
  <c r="FI263" i="25"/>
  <c r="FI231" i="25"/>
  <c r="FI217" i="25"/>
  <c r="FI254" i="25"/>
  <c r="FI271" i="25"/>
  <c r="FI250" i="25"/>
  <c r="FI282" i="25"/>
  <c r="FI247" i="25"/>
  <c r="FI219" i="25"/>
  <c r="FI229" i="25"/>
  <c r="FI255" i="25"/>
  <c r="FI280" i="25"/>
  <c r="FI269" i="25"/>
  <c r="FI259" i="25"/>
  <c r="FI292" i="25"/>
  <c r="FI233" i="25"/>
  <c r="CE252" i="25"/>
  <c r="CE231" i="25"/>
  <c r="CE260" i="25"/>
  <c r="CE314" i="25"/>
  <c r="CE258" i="25"/>
  <c r="CE265" i="25"/>
  <c r="CE241" i="25"/>
  <c r="CE278" i="25"/>
  <c r="CE293" i="25"/>
  <c r="CE304" i="25"/>
  <c r="CE271" i="25"/>
  <c r="CE253" i="25"/>
  <c r="CE301" i="25"/>
  <c r="CE244" i="25"/>
  <c r="CE262" i="25"/>
  <c r="CE255" i="25"/>
  <c r="CE256" i="25"/>
  <c r="CE225" i="25"/>
  <c r="CE254" i="25"/>
  <c r="CE276" i="25"/>
  <c r="CE290" i="25"/>
  <c r="CE298" i="25"/>
  <c r="CE275" i="25"/>
  <c r="CE282" i="25"/>
  <c r="CE224" i="25"/>
  <c r="CE249" i="25"/>
  <c r="CE240" i="25"/>
  <c r="CE277" i="25"/>
  <c r="CE238" i="25"/>
  <c r="CE266" i="25"/>
  <c r="CE226" i="25"/>
  <c r="CE250" i="25"/>
  <c r="CE234" i="25"/>
  <c r="CE285" i="25"/>
  <c r="CE264" i="25"/>
  <c r="CE297" i="25"/>
  <c r="CE273" i="25"/>
  <c r="CE259" i="25"/>
  <c r="CE263" i="25"/>
  <c r="CE291" i="25"/>
  <c r="CE227" i="25"/>
  <c r="CE230" i="25"/>
  <c r="CE229" i="25"/>
  <c r="CE247" i="25"/>
  <c r="CE251" i="25"/>
  <c r="CE232" i="25"/>
  <c r="CE237" i="25"/>
  <c r="CE288" i="25"/>
  <c r="CE233" i="25"/>
  <c r="CE308" i="25"/>
  <c r="CE220" i="25"/>
  <c r="CE281" i="25"/>
  <c r="CE246" i="25"/>
  <c r="CE239" i="25"/>
  <c r="AD39" i="25"/>
  <c r="W39" i="25"/>
  <c r="Z39" i="25" s="1"/>
  <c r="AA39" i="25" s="1"/>
  <c r="AB39" i="25" s="1"/>
  <c r="AI39" i="25" s="1"/>
  <c r="AF147" i="25"/>
  <c r="AE147" i="25"/>
  <c r="AS13" i="25"/>
  <c r="AG228" i="24"/>
  <c r="AF228" i="24"/>
  <c r="AD42" i="25"/>
  <c r="W42" i="25"/>
  <c r="Z42" i="25" s="1"/>
  <c r="AA42" i="25" s="1"/>
  <c r="AB42" i="25" s="1"/>
  <c r="AI42" i="25" s="1"/>
  <c r="V42" i="25"/>
  <c r="X42" i="25" s="1"/>
  <c r="AD242" i="25"/>
  <c r="W242" i="25"/>
  <c r="Z242" i="25" s="1"/>
  <c r="AA242" i="25" s="1"/>
  <c r="AB242" i="25" s="1"/>
  <c r="AI242" i="25" s="1"/>
  <c r="AG97" i="24"/>
  <c r="AF97" i="24"/>
  <c r="AG135" i="24"/>
  <c r="AF135" i="24"/>
  <c r="AD289" i="25"/>
  <c r="W289" i="25"/>
  <c r="Z289" i="25" s="1"/>
  <c r="AA289" i="25" s="1"/>
  <c r="AB289" i="25" s="1"/>
  <c r="AI289" i="25" s="1"/>
  <c r="AF198" i="25"/>
  <c r="AE198" i="25"/>
  <c r="AS87" i="25"/>
  <c r="AS293" i="25"/>
  <c r="AG285" i="24"/>
  <c r="AF285" i="24"/>
  <c r="V39" i="25"/>
  <c r="X39" i="25" s="1"/>
  <c r="AD274" i="25"/>
  <c r="W274" i="25"/>
  <c r="Z274" i="25" s="1"/>
  <c r="AA274" i="25" s="1"/>
  <c r="AB274" i="25" s="1"/>
  <c r="AI274" i="25" s="1"/>
  <c r="AF30" i="25"/>
  <c r="AE30" i="25"/>
  <c r="AD193" i="25"/>
  <c r="W193" i="25"/>
  <c r="Z193" i="25" s="1"/>
  <c r="AA193" i="25" s="1"/>
  <c r="AB193" i="25" s="1"/>
  <c r="AI193" i="25" s="1"/>
  <c r="V193" i="25"/>
  <c r="X193" i="25" s="1"/>
  <c r="AS190" i="25"/>
  <c r="AS71" i="25"/>
  <c r="AD228" i="25"/>
  <c r="W228" i="25"/>
  <c r="Z228" i="25" s="1"/>
  <c r="AA228" i="25" s="1"/>
  <c r="AB228" i="25" s="1"/>
  <c r="AI228" i="25" s="1"/>
  <c r="AF305" i="25"/>
  <c r="AE305" i="25"/>
  <c r="AD75" i="25"/>
  <c r="W75" i="25"/>
  <c r="Z75" i="25" s="1"/>
  <c r="AA75" i="25" s="1"/>
  <c r="AB75" i="25" s="1"/>
  <c r="AI75" i="25" s="1"/>
  <c r="AE29" i="25"/>
  <c r="AG26" i="24"/>
  <c r="AF26" i="24"/>
  <c r="AG35" i="24"/>
  <c r="AF35" i="24"/>
  <c r="AG153" i="24"/>
  <c r="AF153" i="24"/>
  <c r="AS201" i="25"/>
  <c r="AG249" i="24"/>
  <c r="AF249" i="24"/>
  <c r="AD72" i="25"/>
  <c r="W72" i="25"/>
  <c r="Z72" i="25" s="1"/>
  <c r="AA72" i="25" s="1"/>
  <c r="AB72" i="25" s="1"/>
  <c r="AI72" i="25" s="1"/>
  <c r="AG111" i="24"/>
  <c r="AF111" i="24"/>
  <c r="AG51" i="24"/>
  <c r="AF51" i="24"/>
  <c r="AD137" i="25"/>
  <c r="W137" i="25"/>
  <c r="Z137" i="25" s="1"/>
  <c r="AA137" i="25" s="1"/>
  <c r="AB137" i="25" s="1"/>
  <c r="AI137" i="25" s="1"/>
  <c r="V137" i="25"/>
  <c r="X137" i="25" s="1"/>
  <c r="V226" i="25"/>
  <c r="X226" i="25" s="1"/>
  <c r="AK292" i="24"/>
  <c r="AN292" i="24"/>
  <c r="AG301" i="24"/>
  <c r="AF301" i="24"/>
  <c r="AD195" i="25"/>
  <c r="W195" i="25"/>
  <c r="Z195" i="25" s="1"/>
  <c r="AA195" i="25" s="1"/>
  <c r="AB195" i="25" s="1"/>
  <c r="AI195" i="25" s="1"/>
  <c r="V195" i="25"/>
  <c r="X195" i="25" s="1"/>
  <c r="AS113" i="25"/>
  <c r="V181" i="25"/>
  <c r="X181" i="25" s="1"/>
  <c r="AG133" i="24"/>
  <c r="AF133" i="24"/>
  <c r="AD301" i="25"/>
  <c r="W301" i="25"/>
  <c r="Z301" i="25" s="1"/>
  <c r="AA301" i="25" s="1"/>
  <c r="AB301" i="25" s="1"/>
  <c r="AI301" i="25" s="1"/>
  <c r="V313" i="25"/>
  <c r="X313" i="25" s="1"/>
  <c r="AG83" i="24"/>
  <c r="AF83" i="24"/>
  <c r="AD140" i="25"/>
  <c r="W140" i="25"/>
  <c r="Z140" i="25" s="1"/>
  <c r="AA140" i="25" s="1"/>
  <c r="AB140" i="25" s="1"/>
  <c r="AI140" i="25" s="1"/>
  <c r="AD128" i="25"/>
  <c r="W128" i="25"/>
  <c r="Z128" i="25" s="1"/>
  <c r="AA128" i="25" s="1"/>
  <c r="AB128" i="25" s="1"/>
  <c r="AI128" i="25" s="1"/>
  <c r="V128" i="25"/>
  <c r="X128" i="25" s="1"/>
  <c r="AG58" i="24"/>
  <c r="AF58" i="24"/>
  <c r="AG269" i="24"/>
  <c r="AF269" i="24"/>
  <c r="AG54" i="24"/>
  <c r="AF54" i="24"/>
  <c r="AG125" i="24"/>
  <c r="AF125" i="24"/>
  <c r="AG178" i="24"/>
  <c r="AF178" i="24"/>
  <c r="AD130" i="25"/>
  <c r="W130" i="25"/>
  <c r="Z130" i="25" s="1"/>
  <c r="AA130" i="25" s="1"/>
  <c r="AB130" i="25" s="1"/>
  <c r="AI130" i="25" s="1"/>
  <c r="V130" i="25"/>
  <c r="X130" i="25" s="1"/>
  <c r="AD136" i="25"/>
  <c r="W136" i="25"/>
  <c r="Z136" i="25" s="1"/>
  <c r="AA136" i="25" s="1"/>
  <c r="AB136" i="25" s="1"/>
  <c r="AI136" i="25" s="1"/>
  <c r="V136" i="25"/>
  <c r="X136" i="25" s="1"/>
  <c r="AG24" i="24"/>
  <c r="AF24" i="24"/>
  <c r="V289" i="25"/>
  <c r="X289" i="25" s="1"/>
  <c r="AF6" i="25"/>
  <c r="AE6" i="25"/>
  <c r="V301" i="25"/>
  <c r="X301" i="25" s="1"/>
  <c r="AG148" i="24"/>
  <c r="AF148" i="24"/>
  <c r="AG117" i="24"/>
  <c r="AF117" i="24"/>
  <c r="AG183" i="24"/>
  <c r="AF183" i="24"/>
  <c r="AG246" i="24"/>
  <c r="AF246" i="24"/>
  <c r="AS243" i="25"/>
  <c r="AD7" i="25"/>
  <c r="W7" i="25"/>
  <c r="Z7" i="25" s="1"/>
  <c r="AA7" i="25" s="1"/>
  <c r="AB7" i="25" s="1"/>
  <c r="AI7" i="25" s="1"/>
  <c r="V7" i="25"/>
  <c r="X7" i="25" s="1"/>
  <c r="AD79" i="25"/>
  <c r="W79" i="25"/>
  <c r="Z79" i="25" s="1"/>
  <c r="AA79" i="25" s="1"/>
  <c r="AB79" i="25" s="1"/>
  <c r="AI79" i="25" s="1"/>
  <c r="AG189" i="24"/>
  <c r="AF189" i="24"/>
  <c r="AD156" i="25"/>
  <c r="W156" i="25"/>
  <c r="Z156" i="25" s="1"/>
  <c r="AA156" i="25" s="1"/>
  <c r="AB156" i="25" s="1"/>
  <c r="AI156" i="25" s="1"/>
  <c r="AG200" i="24"/>
  <c r="AF200" i="24"/>
  <c r="AD316" i="25"/>
  <c r="W316" i="25"/>
  <c r="Z316" i="25" s="1"/>
  <c r="AA316" i="25" s="1"/>
  <c r="AB316" i="25" s="1"/>
  <c r="AI316" i="25" s="1"/>
  <c r="V316" i="25"/>
  <c r="X316" i="25" s="1"/>
  <c r="AD164" i="25"/>
  <c r="W164" i="25"/>
  <c r="Z164" i="25" s="1"/>
  <c r="AA164" i="25" s="1"/>
  <c r="AB164" i="25" s="1"/>
  <c r="AI164" i="25" s="1"/>
  <c r="V164" i="25"/>
  <c r="X164" i="25" s="1"/>
  <c r="AD315" i="25"/>
  <c r="W315" i="25"/>
  <c r="Z315" i="25" s="1"/>
  <c r="AA315" i="25" s="1"/>
  <c r="AB315" i="25" s="1"/>
  <c r="AI315" i="25" s="1"/>
  <c r="AD86" i="25"/>
  <c r="W86" i="25"/>
  <c r="Z86" i="25" s="1"/>
  <c r="AA86" i="25" s="1"/>
  <c r="AB86" i="25" s="1"/>
  <c r="AI86" i="25" s="1"/>
  <c r="AG121" i="24"/>
  <c r="AF121" i="24"/>
  <c r="AE96" i="25"/>
  <c r="AG281" i="24"/>
  <c r="AF281" i="24"/>
  <c r="AG296" i="24"/>
  <c r="AF296" i="24"/>
  <c r="AS189" i="25"/>
  <c r="AD119" i="25"/>
  <c r="W119" i="25"/>
  <c r="Z119" i="25" s="1"/>
  <c r="AA119" i="25" s="1"/>
  <c r="AB119" i="25" s="1"/>
  <c r="AI119" i="25" s="1"/>
  <c r="V119" i="25"/>
  <c r="X119" i="25" s="1"/>
  <c r="AG218" i="24"/>
  <c r="AF218" i="24"/>
  <c r="AG28" i="24"/>
  <c r="AF28" i="24"/>
  <c r="AS148" i="25"/>
  <c r="AG298" i="24"/>
  <c r="AF298" i="24"/>
  <c r="AD220" i="25"/>
  <c r="W220" i="25"/>
  <c r="Z220" i="25" s="1"/>
  <c r="AA220" i="25" s="1"/>
  <c r="AB220" i="25" s="1"/>
  <c r="AI220" i="25" s="1"/>
  <c r="AG280" i="24"/>
  <c r="AF280" i="24"/>
  <c r="AD25" i="25"/>
  <c r="W25" i="25"/>
  <c r="Z25" i="25" s="1"/>
  <c r="AA25" i="25" s="1"/>
  <c r="AB25" i="25" s="1"/>
  <c r="AI25" i="25" s="1"/>
  <c r="AN21" i="24"/>
  <c r="BI21" i="24" s="1"/>
  <c r="AK21" i="24"/>
  <c r="AG305" i="24"/>
  <c r="AF305" i="24"/>
  <c r="AF114" i="25"/>
  <c r="AE114" i="25"/>
  <c r="AG96" i="24"/>
  <c r="AF96" i="24"/>
  <c r="AG53" i="24"/>
  <c r="AF53" i="24"/>
  <c r="AS89" i="25"/>
  <c r="AG177" i="24"/>
  <c r="AF177" i="24"/>
  <c r="AF89" i="25"/>
  <c r="AE89" i="25"/>
  <c r="AJ112" i="24"/>
  <c r="AD145" i="25"/>
  <c r="W145" i="25"/>
  <c r="Z145" i="25" s="1"/>
  <c r="AA145" i="25" s="1"/>
  <c r="AB145" i="25" s="1"/>
  <c r="AI145" i="25" s="1"/>
  <c r="V145" i="25"/>
  <c r="X145" i="25" s="1"/>
  <c r="AG201" i="24"/>
  <c r="AF201" i="24"/>
  <c r="AG95" i="24"/>
  <c r="AF95" i="24"/>
  <c r="AG310" i="24"/>
  <c r="AF310" i="24"/>
  <c r="BA162" i="24"/>
  <c r="AD142" i="25"/>
  <c r="W142" i="25"/>
  <c r="Z142" i="25" s="1"/>
  <c r="AA142" i="25" s="1"/>
  <c r="AB142" i="25" s="1"/>
  <c r="AI142" i="25" s="1"/>
  <c r="AK44" i="24"/>
  <c r="AN44" i="24"/>
  <c r="AD45" i="25"/>
  <c r="W45" i="25"/>
  <c r="Z45" i="25" s="1"/>
  <c r="AA45" i="25" s="1"/>
  <c r="AB45" i="25" s="1"/>
  <c r="AI45" i="25" s="1"/>
  <c r="V45" i="25"/>
  <c r="X45" i="25" s="1"/>
  <c r="AD285" i="25"/>
  <c r="W285" i="25"/>
  <c r="Z285" i="25" s="1"/>
  <c r="AA285" i="25" s="1"/>
  <c r="AB285" i="25" s="1"/>
  <c r="AI285" i="25" s="1"/>
  <c r="V285" i="25"/>
  <c r="X285" i="25" s="1"/>
  <c r="AG303" i="24"/>
  <c r="AF303" i="24"/>
  <c r="AF87" i="25"/>
  <c r="AE87" i="25"/>
  <c r="AK236" i="24"/>
  <c r="AN236" i="24"/>
  <c r="CE236" i="24" s="1"/>
  <c r="BA160" i="24"/>
  <c r="AF293" i="25"/>
  <c r="AE293" i="25"/>
  <c r="AG302" i="24"/>
  <c r="AF302" i="24"/>
  <c r="AF190" i="25"/>
  <c r="AE190" i="25"/>
  <c r="AF71" i="25"/>
  <c r="AE71" i="25"/>
  <c r="V299" i="25"/>
  <c r="X299" i="25" s="1"/>
  <c r="AD300" i="25"/>
  <c r="W300" i="25"/>
  <c r="Z300" i="25" s="1"/>
  <c r="AA300" i="25" s="1"/>
  <c r="AB300" i="25" s="1"/>
  <c r="AI300" i="25" s="1"/>
  <c r="V300" i="25"/>
  <c r="X300" i="25" s="1"/>
  <c r="AG203" i="24"/>
  <c r="AF203" i="24"/>
  <c r="AD272" i="25"/>
  <c r="W272" i="25"/>
  <c r="Z272" i="25" s="1"/>
  <c r="AA272" i="25" s="1"/>
  <c r="AB272" i="25" s="1"/>
  <c r="AI272" i="25" s="1"/>
  <c r="AS158" i="25"/>
  <c r="AG10" i="24"/>
  <c r="AF10" i="24"/>
  <c r="AS21" i="25"/>
  <c r="AG149" i="24"/>
  <c r="AF149" i="24"/>
  <c r="AS255" i="25"/>
  <c r="AF201" i="25"/>
  <c r="AE201" i="25"/>
  <c r="AG163" i="24"/>
  <c r="AF163" i="24"/>
  <c r="AG182" i="24"/>
  <c r="AF182" i="24"/>
  <c r="AG230" i="24"/>
  <c r="AF230" i="24"/>
  <c r="AG241" i="24"/>
  <c r="AF241" i="24"/>
  <c r="AD65" i="25"/>
  <c r="W65" i="25"/>
  <c r="Z65" i="25" s="1"/>
  <c r="AA65" i="25" s="1"/>
  <c r="AB65" i="25" s="1"/>
  <c r="AI65" i="25" s="1"/>
  <c r="V65" i="25"/>
  <c r="X65" i="25" s="1"/>
  <c r="AS248" i="25"/>
  <c r="AE265" i="25"/>
  <c r="AD23" i="25"/>
  <c r="W23" i="25"/>
  <c r="Z23" i="25" s="1"/>
  <c r="AA23" i="25" s="1"/>
  <c r="AB23" i="25" s="1"/>
  <c r="AI23" i="25" s="1"/>
  <c r="AD47" i="25"/>
  <c r="W47" i="25"/>
  <c r="Z47" i="25" s="1"/>
  <c r="AA47" i="25" s="1"/>
  <c r="AB47" i="25" s="1"/>
  <c r="AI47" i="25" s="1"/>
  <c r="AG46" i="24"/>
  <c r="AF46" i="24"/>
  <c r="AG39" i="24"/>
  <c r="AF39" i="24"/>
  <c r="AT236" i="24"/>
  <c r="AG262" i="24"/>
  <c r="AF262" i="24"/>
  <c r="AS296" i="25"/>
  <c r="AG127" i="24"/>
  <c r="AF127" i="24"/>
  <c r="AS173" i="25"/>
  <c r="AD175" i="25"/>
  <c r="W175" i="25"/>
  <c r="Z175" i="25" s="1"/>
  <c r="AA175" i="25" s="1"/>
  <c r="AB175" i="25" s="1"/>
  <c r="AI175" i="25" s="1"/>
  <c r="AG197" i="24"/>
  <c r="AF197" i="24"/>
  <c r="AD219" i="25"/>
  <c r="W219" i="25"/>
  <c r="Z219" i="25" s="1"/>
  <c r="AA219" i="25" s="1"/>
  <c r="AB219" i="25" s="1"/>
  <c r="AI219" i="25" s="1"/>
  <c r="AG98" i="24"/>
  <c r="AF98" i="24"/>
  <c r="AF113" i="25"/>
  <c r="AE113" i="25"/>
  <c r="AD241" i="25"/>
  <c r="W241" i="25"/>
  <c r="Z241" i="25" s="1"/>
  <c r="AA241" i="25" s="1"/>
  <c r="AB241" i="25" s="1"/>
  <c r="AI241" i="25" s="1"/>
  <c r="V241" i="25"/>
  <c r="X241" i="25" s="1"/>
  <c r="AD309" i="25"/>
  <c r="W309" i="25"/>
  <c r="Z309" i="25" s="1"/>
  <c r="AA309" i="25" s="1"/>
  <c r="AB309" i="25" s="1"/>
  <c r="AI309" i="25" s="1"/>
  <c r="V309" i="25"/>
  <c r="X309" i="25" s="1"/>
  <c r="AG196" i="24"/>
  <c r="AF196" i="24"/>
  <c r="AS174" i="25"/>
  <c r="AG69" i="24"/>
  <c r="AF69" i="24"/>
  <c r="AG313" i="24"/>
  <c r="AF313" i="24"/>
  <c r="AG274" i="24"/>
  <c r="AF274" i="24"/>
  <c r="AD126" i="25"/>
  <c r="W126" i="25"/>
  <c r="Z126" i="25" s="1"/>
  <c r="AA126" i="25" s="1"/>
  <c r="AB126" i="25" s="1"/>
  <c r="AI126" i="25" s="1"/>
  <c r="V126" i="25"/>
  <c r="X126" i="25" s="1"/>
  <c r="AS177" i="25"/>
  <c r="AD19" i="25"/>
  <c r="W19" i="25"/>
  <c r="Z19" i="25" s="1"/>
  <c r="AA19" i="25" s="1"/>
  <c r="AB19" i="25" s="1"/>
  <c r="AI19" i="25" s="1"/>
  <c r="V19" i="25"/>
  <c r="X19" i="25" s="1"/>
  <c r="AD57" i="25"/>
  <c r="W57" i="25"/>
  <c r="Z57" i="25" s="1"/>
  <c r="AA57" i="25" s="1"/>
  <c r="AB57" i="25" s="1"/>
  <c r="AI57" i="25" s="1"/>
  <c r="V57" i="25"/>
  <c r="X57" i="25" s="1"/>
  <c r="AG258" i="24"/>
  <c r="AF258" i="24"/>
  <c r="AD52" i="25"/>
  <c r="W52" i="25"/>
  <c r="Z52" i="25" s="1"/>
  <c r="AA52" i="25" s="1"/>
  <c r="AB52" i="25" s="1"/>
  <c r="AI52" i="25" s="1"/>
  <c r="V52" i="25"/>
  <c r="X52" i="25" s="1"/>
  <c r="AF243" i="25"/>
  <c r="AE243" i="25"/>
  <c r="AK101" i="24"/>
  <c r="AN101" i="24"/>
  <c r="AD284" i="25"/>
  <c r="W284" i="25"/>
  <c r="Z284" i="25" s="1"/>
  <c r="AA284" i="25" s="1"/>
  <c r="AB284" i="25" s="1"/>
  <c r="AI284" i="25" s="1"/>
  <c r="V284" i="25"/>
  <c r="X284" i="25" s="1"/>
  <c r="AG29" i="24"/>
  <c r="AF29" i="24"/>
  <c r="AD8" i="25"/>
  <c r="W8" i="25"/>
  <c r="Z8" i="25" s="1"/>
  <c r="AA8" i="25" s="1"/>
  <c r="AB8" i="25" s="1"/>
  <c r="AI8" i="25" s="1"/>
  <c r="V8" i="25"/>
  <c r="X8" i="25" s="1"/>
  <c r="AD127" i="25"/>
  <c r="W127" i="25"/>
  <c r="Z127" i="25" s="1"/>
  <c r="AA127" i="25" s="1"/>
  <c r="AB127" i="25" s="1"/>
  <c r="AI127" i="25" s="1"/>
  <c r="V127" i="25"/>
  <c r="X127" i="25" s="1"/>
  <c r="AG52" i="24"/>
  <c r="AF52" i="24"/>
  <c r="AS275" i="25"/>
  <c r="AG311" i="24"/>
  <c r="AF311" i="24"/>
  <c r="AG104" i="24"/>
  <c r="AF104" i="24"/>
  <c r="AD105" i="25"/>
  <c r="W105" i="25"/>
  <c r="Z105" i="25" s="1"/>
  <c r="AA105" i="25" s="1"/>
  <c r="AB105" i="25" s="1"/>
  <c r="AI105" i="25" s="1"/>
  <c r="AG14" i="24"/>
  <c r="AF14" i="24"/>
  <c r="AF148" i="25"/>
  <c r="AE148" i="25"/>
  <c r="AG131" i="24"/>
  <c r="AF131" i="24"/>
  <c r="AG172" i="24"/>
  <c r="AF172" i="24"/>
  <c r="AG179" i="24"/>
  <c r="AF179" i="24"/>
  <c r="AG276" i="24"/>
  <c r="AF276" i="24"/>
  <c r="AS14" i="25"/>
  <c r="AD78" i="25"/>
  <c r="W78" i="25"/>
  <c r="Z78" i="25" s="1"/>
  <c r="AA78" i="25" s="1"/>
  <c r="AB78" i="25" s="1"/>
  <c r="AI78" i="25" s="1"/>
  <c r="AD15" i="25"/>
  <c r="W15" i="25"/>
  <c r="Z15" i="25" s="1"/>
  <c r="AA15" i="25" s="1"/>
  <c r="AB15" i="25" s="1"/>
  <c r="AI15" i="25" s="1"/>
  <c r="V15" i="25"/>
  <c r="X15" i="25" s="1"/>
  <c r="AG254" i="24"/>
  <c r="AF254" i="24"/>
  <c r="AG65" i="24"/>
  <c r="AF65" i="24"/>
  <c r="AS155" i="25"/>
  <c r="AG308" i="24"/>
  <c r="AF308" i="24"/>
  <c r="V230" i="25"/>
  <c r="X230" i="25" s="1"/>
  <c r="AD294" i="25"/>
  <c r="W294" i="25"/>
  <c r="Z294" i="25" s="1"/>
  <c r="AA294" i="25" s="1"/>
  <c r="AB294" i="25" s="1"/>
  <c r="AI294" i="25" s="1"/>
  <c r="V294" i="25"/>
  <c r="X294" i="25" s="1"/>
  <c r="AG81" i="24"/>
  <c r="AF81" i="24"/>
  <c r="AG250" i="24"/>
  <c r="AF250" i="24"/>
  <c r="AD121" i="25"/>
  <c r="W121" i="25"/>
  <c r="Z121" i="25" s="1"/>
  <c r="AA121" i="25" s="1"/>
  <c r="AB121" i="25" s="1"/>
  <c r="AI121" i="25" s="1"/>
  <c r="AG138" i="24"/>
  <c r="AF138" i="24"/>
  <c r="AD188" i="25"/>
  <c r="W188" i="25"/>
  <c r="Z188" i="25" s="1"/>
  <c r="AA188" i="25" s="1"/>
  <c r="AB188" i="25" s="1"/>
  <c r="AI188" i="25" s="1"/>
  <c r="AF262" i="25"/>
  <c r="AE262" i="25"/>
  <c r="AG63" i="24"/>
  <c r="AF63" i="24"/>
  <c r="AG204" i="24"/>
  <c r="AF204" i="24"/>
  <c r="AG186" i="24"/>
  <c r="AF186" i="24"/>
  <c r="AD168" i="25"/>
  <c r="W168" i="25"/>
  <c r="Z168" i="25" s="1"/>
  <c r="AA168" i="25" s="1"/>
  <c r="AB168" i="25" s="1"/>
  <c r="AI168" i="25" s="1"/>
  <c r="V168" i="25"/>
  <c r="X168" i="25" s="1"/>
  <c r="AD205" i="25"/>
  <c r="W205" i="25"/>
  <c r="Z205" i="25" s="1"/>
  <c r="AA205" i="25" s="1"/>
  <c r="AB205" i="25" s="1"/>
  <c r="AI205" i="25" s="1"/>
  <c r="AD41" i="25"/>
  <c r="W41" i="25"/>
  <c r="Z41" i="25" s="1"/>
  <c r="AA41" i="25" s="1"/>
  <c r="AB41" i="25" s="1"/>
  <c r="AI41" i="25" s="1"/>
  <c r="AD304" i="25"/>
  <c r="W304" i="25"/>
  <c r="Z304" i="25" s="1"/>
  <c r="AA304" i="25" s="1"/>
  <c r="AB304" i="25" s="1"/>
  <c r="AI304" i="25" s="1"/>
  <c r="AD150" i="25"/>
  <c r="W150" i="25"/>
  <c r="Z150" i="25" s="1"/>
  <c r="AA150" i="25" s="1"/>
  <c r="AB150" i="25" s="1"/>
  <c r="AI150" i="25" s="1"/>
  <c r="V150" i="25"/>
  <c r="X150" i="25" s="1"/>
  <c r="AD124" i="25"/>
  <c r="W124" i="25"/>
  <c r="Z124" i="25" s="1"/>
  <c r="AA124" i="25" s="1"/>
  <c r="AB124" i="25" s="1"/>
  <c r="AI124" i="25" s="1"/>
  <c r="V124" i="25"/>
  <c r="X124" i="25" s="1"/>
  <c r="AD51" i="25"/>
  <c r="W51" i="25"/>
  <c r="Z51" i="25" s="1"/>
  <c r="AA51" i="25" s="1"/>
  <c r="AB51" i="25" s="1"/>
  <c r="AI51" i="25" s="1"/>
  <c r="V51" i="25"/>
  <c r="X51" i="25" s="1"/>
  <c r="AG194" i="24"/>
  <c r="AF194" i="24"/>
  <c r="AG275" i="24"/>
  <c r="AF275" i="24"/>
  <c r="AF13" i="25"/>
  <c r="AE13" i="25"/>
  <c r="AJ59" i="24"/>
  <c r="AS240" i="25"/>
  <c r="AD200" i="25"/>
  <c r="W200" i="25"/>
  <c r="Z200" i="25" s="1"/>
  <c r="AA200" i="25" s="1"/>
  <c r="AB200" i="25" s="1"/>
  <c r="AI200" i="25" s="1"/>
  <c r="AN294" i="24"/>
  <c r="AK294" i="24"/>
  <c r="AD33" i="25"/>
  <c r="W33" i="25"/>
  <c r="Z33" i="25" s="1"/>
  <c r="AA33" i="25" s="1"/>
  <c r="AB33" i="25" s="1"/>
  <c r="AI33" i="25" s="1"/>
  <c r="V33" i="25"/>
  <c r="X33" i="25" s="1"/>
  <c r="AG245" i="24"/>
  <c r="AF245" i="24"/>
  <c r="AD74" i="25"/>
  <c r="W74" i="25"/>
  <c r="Z74" i="25" s="1"/>
  <c r="AA74" i="25" s="1"/>
  <c r="AB74" i="25" s="1"/>
  <c r="AI74" i="25" s="1"/>
  <c r="AD26" i="25"/>
  <c r="W26" i="25"/>
  <c r="Z26" i="25" s="1"/>
  <c r="AA26" i="25" s="1"/>
  <c r="AB26" i="25" s="1"/>
  <c r="AI26" i="25" s="1"/>
  <c r="V142" i="25"/>
  <c r="X142" i="25" s="1"/>
  <c r="V115" i="25"/>
  <c r="X115" i="25" s="1"/>
  <c r="AJ8" i="24"/>
  <c r="AG90" i="24"/>
  <c r="AF90" i="24"/>
  <c r="AG77" i="24"/>
  <c r="AF77" i="24"/>
  <c r="AJ260" i="24"/>
  <c r="AG286" i="24"/>
  <c r="AF286" i="24"/>
  <c r="AD244" i="25"/>
  <c r="W244" i="25"/>
  <c r="Z244" i="25" s="1"/>
  <c r="AA244" i="25" s="1"/>
  <c r="AB244" i="25" s="1"/>
  <c r="AI244" i="25" s="1"/>
  <c r="V244" i="25"/>
  <c r="X244" i="25" s="1"/>
  <c r="AF158" i="25"/>
  <c r="AE158" i="25"/>
  <c r="AG239" i="24"/>
  <c r="AF239" i="24"/>
  <c r="AF21" i="25"/>
  <c r="AE21" i="25"/>
  <c r="AG304" i="24"/>
  <c r="AF304" i="24"/>
  <c r="AJ271" i="24"/>
  <c r="AG70" i="24"/>
  <c r="AF70" i="24"/>
  <c r="AF255" i="25"/>
  <c r="AE255" i="25"/>
  <c r="BA257" i="24"/>
  <c r="AJ247" i="24"/>
  <c r="AJ279" i="24"/>
  <c r="AG170" i="24"/>
  <c r="AF170" i="24"/>
  <c r="AF248" i="25"/>
  <c r="AE248" i="25"/>
  <c r="AJ126" i="24"/>
  <c r="AJ259" i="24"/>
  <c r="AF296" i="25"/>
  <c r="AE296" i="25"/>
  <c r="AF173" i="25"/>
  <c r="AE173" i="25"/>
  <c r="AD123" i="25"/>
  <c r="W123" i="25"/>
  <c r="Z123" i="25" s="1"/>
  <c r="AA123" i="25" s="1"/>
  <c r="AB123" i="25" s="1"/>
  <c r="AI123" i="25" s="1"/>
  <c r="AD209" i="25"/>
  <c r="W209" i="25"/>
  <c r="Z209" i="25" s="1"/>
  <c r="AA209" i="25" s="1"/>
  <c r="AB209" i="25" s="1"/>
  <c r="AI209" i="25" s="1"/>
  <c r="AJ33" i="24"/>
  <c r="AS229" i="25"/>
  <c r="AJ224" i="24"/>
  <c r="AV22" i="24"/>
  <c r="AT22" i="24"/>
  <c r="AD16" i="25"/>
  <c r="W16" i="25"/>
  <c r="Z16" i="25" s="1"/>
  <c r="AA16" i="25" s="1"/>
  <c r="AB16" i="25" s="1"/>
  <c r="AI16" i="25" s="1"/>
  <c r="V16" i="25"/>
  <c r="X16" i="25" s="1"/>
  <c r="AJ290" i="24"/>
  <c r="AJ30" i="24"/>
  <c r="AJ237" i="24"/>
  <c r="AD98" i="25"/>
  <c r="W98" i="25"/>
  <c r="Z98" i="25" s="1"/>
  <c r="AA98" i="25" s="1"/>
  <c r="AB98" i="25" s="1"/>
  <c r="AI98" i="25" s="1"/>
  <c r="AF174" i="25"/>
  <c r="AE174" i="25"/>
  <c r="AD160" i="25"/>
  <c r="W160" i="25"/>
  <c r="Z160" i="25" s="1"/>
  <c r="AA160" i="25" s="1"/>
  <c r="AB160" i="25" s="1"/>
  <c r="AI160" i="25" s="1"/>
  <c r="AD266" i="25"/>
  <c r="W266" i="25"/>
  <c r="Z266" i="25" s="1"/>
  <c r="AA266" i="25" s="1"/>
  <c r="AB266" i="25" s="1"/>
  <c r="AI266" i="25" s="1"/>
  <c r="AJ145" i="24"/>
  <c r="AJ20" i="24"/>
  <c r="AG82" i="24"/>
  <c r="AF82" i="24"/>
  <c r="V219" i="25"/>
  <c r="X219" i="25" s="1"/>
  <c r="AD60" i="25"/>
  <c r="W60" i="25"/>
  <c r="Z60" i="25" s="1"/>
  <c r="AA60" i="25" s="1"/>
  <c r="AB60" i="25" s="1"/>
  <c r="AI60" i="25" s="1"/>
  <c r="V60" i="25"/>
  <c r="X60" i="25" s="1"/>
  <c r="AD172" i="25"/>
  <c r="W172" i="25"/>
  <c r="Z172" i="25" s="1"/>
  <c r="AA172" i="25" s="1"/>
  <c r="AB172" i="25" s="1"/>
  <c r="AI172" i="25" s="1"/>
  <c r="V172" i="25"/>
  <c r="X172" i="25" s="1"/>
  <c r="AF177" i="25"/>
  <c r="AE177" i="25"/>
  <c r="AJ225" i="24"/>
  <c r="AJ18" i="24"/>
  <c r="AS34" i="25"/>
  <c r="AG158" i="24"/>
  <c r="AF158" i="24"/>
  <c r="AJ238" i="24"/>
  <c r="AJ266" i="24"/>
  <c r="AG116" i="24"/>
  <c r="AF116" i="24"/>
  <c r="AG268" i="24"/>
  <c r="AF268" i="24"/>
  <c r="V278" i="25"/>
  <c r="X278" i="25" s="1"/>
  <c r="AJ6" i="24"/>
  <c r="AJ57" i="24"/>
  <c r="AG195" i="24"/>
  <c r="AF195" i="24"/>
  <c r="AJ235" i="24"/>
  <c r="AG309" i="24"/>
  <c r="AF309" i="24"/>
  <c r="AG255" i="24"/>
  <c r="AF255" i="24"/>
  <c r="AG307" i="24"/>
  <c r="AF307" i="24"/>
  <c r="AJ129" i="24"/>
  <c r="AD233" i="25"/>
  <c r="W233" i="25"/>
  <c r="Z233" i="25" s="1"/>
  <c r="AA233" i="25" s="1"/>
  <c r="AB233" i="25" s="1"/>
  <c r="AI233" i="25" s="1"/>
  <c r="V233" i="25"/>
  <c r="X233" i="25" s="1"/>
  <c r="AJ34" i="24"/>
  <c r="AS92" i="25"/>
  <c r="AD43" i="25"/>
  <c r="W43" i="25"/>
  <c r="Z43" i="25" s="1"/>
  <c r="AA43" i="25" s="1"/>
  <c r="AB43" i="25" s="1"/>
  <c r="AI43" i="25" s="1"/>
  <c r="V43" i="25"/>
  <c r="X43" i="25" s="1"/>
  <c r="AG187" i="24"/>
  <c r="AF187" i="24"/>
  <c r="AS95" i="25"/>
  <c r="AG140" i="24"/>
  <c r="AF140" i="24"/>
  <c r="AD231" i="25"/>
  <c r="W231" i="25"/>
  <c r="Z231" i="25" s="1"/>
  <c r="AA231" i="25" s="1"/>
  <c r="AB231" i="25" s="1"/>
  <c r="AI231" i="25" s="1"/>
  <c r="AG25" i="24"/>
  <c r="AF25" i="24"/>
  <c r="AJ19" i="24"/>
  <c r="AF275" i="25"/>
  <c r="AE275" i="25"/>
  <c r="AD64" i="25"/>
  <c r="W64" i="25"/>
  <c r="Z64" i="25" s="1"/>
  <c r="AA64" i="25" s="1"/>
  <c r="AB64" i="25" s="1"/>
  <c r="AI64" i="25" s="1"/>
  <c r="V64" i="25"/>
  <c r="X64" i="25" s="1"/>
  <c r="AG270" i="24"/>
  <c r="AF270" i="24"/>
  <c r="AW110" i="25"/>
  <c r="AX110" i="25"/>
  <c r="AG277" i="24"/>
  <c r="AF277" i="24"/>
  <c r="AG161" i="24"/>
  <c r="AF161" i="24"/>
  <c r="AS261" i="25"/>
  <c r="AJ240" i="24"/>
  <c r="AG118" i="24"/>
  <c r="AF118" i="24"/>
  <c r="AF14" i="25"/>
  <c r="AE14" i="25"/>
  <c r="AS306" i="25"/>
  <c r="AJ114" i="24"/>
  <c r="AS206" i="25"/>
  <c r="AG210" i="24"/>
  <c r="AF210" i="24"/>
  <c r="AD116" i="25"/>
  <c r="W116" i="25"/>
  <c r="Z116" i="25" s="1"/>
  <c r="AA116" i="25" s="1"/>
  <c r="AB116" i="25" s="1"/>
  <c r="AI116" i="25" s="1"/>
  <c r="AG85" i="24"/>
  <c r="AF85" i="24"/>
  <c r="AG198" i="24"/>
  <c r="AF198" i="24"/>
  <c r="AG112" i="24"/>
  <c r="AF112" i="24"/>
  <c r="AT132" i="24"/>
  <c r="AS246" i="25"/>
  <c r="BA191" i="24"/>
  <c r="AS192" i="25"/>
  <c r="AF240" i="25"/>
  <c r="AE240" i="25"/>
  <c r="AG208" i="24"/>
  <c r="AF208" i="24"/>
  <c r="AD68" i="25"/>
  <c r="W68" i="25"/>
  <c r="Z68" i="25" s="1"/>
  <c r="AA68" i="25" s="1"/>
  <c r="AB68" i="25" s="1"/>
  <c r="AI68" i="25" s="1"/>
  <c r="AD221" i="25"/>
  <c r="W221" i="25"/>
  <c r="Z221" i="25" s="1"/>
  <c r="AA221" i="25" s="1"/>
  <c r="AB221" i="25" s="1"/>
  <c r="AI221" i="25" s="1"/>
  <c r="AG136" i="24"/>
  <c r="AF136" i="24"/>
  <c r="AD245" i="25"/>
  <c r="W245" i="25"/>
  <c r="Z245" i="25" s="1"/>
  <c r="AA245" i="25" s="1"/>
  <c r="AB245" i="25" s="1"/>
  <c r="AI245" i="25" s="1"/>
  <c r="V245" i="25"/>
  <c r="X245" i="25" s="1"/>
  <c r="AJ263" i="24"/>
  <c r="AD27" i="25"/>
  <c r="W27" i="25"/>
  <c r="Z27" i="25" s="1"/>
  <c r="AA27" i="25" s="1"/>
  <c r="AB27" i="25" s="1"/>
  <c r="AI27" i="25" s="1"/>
  <c r="AJ48" i="24"/>
  <c r="AG62" i="24"/>
  <c r="AF62" i="24"/>
  <c r="AD210" i="25"/>
  <c r="W210" i="25"/>
  <c r="Z210" i="25" s="1"/>
  <c r="AA210" i="25" s="1"/>
  <c r="AB210" i="25" s="1"/>
  <c r="AI210" i="25" s="1"/>
  <c r="AG169" i="24"/>
  <c r="AF169" i="24"/>
  <c r="AJ297" i="24"/>
  <c r="AG143" i="24"/>
  <c r="AF143" i="24"/>
  <c r="AD225" i="25"/>
  <c r="W225" i="25"/>
  <c r="Z225" i="25" s="1"/>
  <c r="AA225" i="25" s="1"/>
  <c r="AB225" i="25" s="1"/>
  <c r="AI225" i="25" s="1"/>
  <c r="AJ123" i="24"/>
  <c r="AD133" i="25"/>
  <c r="W133" i="25"/>
  <c r="Z133" i="25" s="1"/>
  <c r="AA133" i="25" s="1"/>
  <c r="AB133" i="25" s="1"/>
  <c r="AI133" i="25" s="1"/>
  <c r="V133" i="25"/>
  <c r="X133" i="25" s="1"/>
  <c r="AN55" i="24"/>
  <c r="AK55" i="24"/>
  <c r="AD203" i="25"/>
  <c r="W203" i="25"/>
  <c r="Z203" i="25" s="1"/>
  <c r="AA203" i="25" s="1"/>
  <c r="AB203" i="25" s="1"/>
  <c r="AI203" i="25" s="1"/>
  <c r="AG122" i="24"/>
  <c r="AF122" i="24"/>
  <c r="AG146" i="24"/>
  <c r="AF146" i="24"/>
  <c r="AJ56" i="24"/>
  <c r="AD151" i="25"/>
  <c r="W151" i="25"/>
  <c r="Z151" i="25" s="1"/>
  <c r="AA151" i="25" s="1"/>
  <c r="AB151" i="25" s="1"/>
  <c r="AI151" i="25" s="1"/>
  <c r="V151" i="25"/>
  <c r="X151" i="25" s="1"/>
  <c r="AK190" i="24"/>
  <c r="AN190" i="24"/>
  <c r="BI190" i="24" s="1"/>
  <c r="AG88" i="24"/>
  <c r="AF88" i="24"/>
  <c r="AG229" i="24"/>
  <c r="AF229" i="24"/>
  <c r="AG92" i="24"/>
  <c r="AF92" i="24"/>
  <c r="AD36" i="25"/>
  <c r="W36" i="25"/>
  <c r="Z36" i="25" s="1"/>
  <c r="AA36" i="25" s="1"/>
  <c r="AB36" i="25" s="1"/>
  <c r="AI36" i="25" s="1"/>
  <c r="V36" i="25"/>
  <c r="X36" i="25" s="1"/>
  <c r="AJ17" i="24"/>
  <c r="AS238" i="25"/>
  <c r="AG316" i="24"/>
  <c r="AF316" i="24"/>
  <c r="AF229" i="25"/>
  <c r="AE229" i="25"/>
  <c r="AS186" i="25"/>
  <c r="AJ9" i="24"/>
  <c r="AD35" i="25"/>
  <c r="W35" i="25"/>
  <c r="Z35" i="25" s="1"/>
  <c r="AA35" i="25" s="1"/>
  <c r="AB35" i="25" s="1"/>
  <c r="AI35" i="25" s="1"/>
  <c r="V35" i="25"/>
  <c r="X35" i="25" s="1"/>
  <c r="AG42" i="24"/>
  <c r="AF42" i="24"/>
  <c r="AD227" i="25"/>
  <c r="W227" i="25"/>
  <c r="Z227" i="25" s="1"/>
  <c r="AA227" i="25" s="1"/>
  <c r="AB227" i="25" s="1"/>
  <c r="AI227" i="25" s="1"/>
  <c r="V227" i="25"/>
  <c r="X227" i="25" s="1"/>
  <c r="AD38" i="25"/>
  <c r="W38" i="25"/>
  <c r="Z38" i="25" s="1"/>
  <c r="AA38" i="25" s="1"/>
  <c r="AB38" i="25" s="1"/>
  <c r="AI38" i="25" s="1"/>
  <c r="AJ219" i="24"/>
  <c r="AG144" i="24"/>
  <c r="AF144" i="24"/>
  <c r="AJ261" i="24"/>
  <c r="AG300" i="24"/>
  <c r="AF300" i="24"/>
  <c r="AD194" i="25"/>
  <c r="W194" i="25"/>
  <c r="Z194" i="25" s="1"/>
  <c r="AA194" i="25" s="1"/>
  <c r="AB194" i="25" s="1"/>
  <c r="AI194" i="25" s="1"/>
  <c r="AD67" i="25"/>
  <c r="W67" i="25"/>
  <c r="Z67" i="25" s="1"/>
  <c r="AA67" i="25" s="1"/>
  <c r="AB67" i="25" s="1"/>
  <c r="AI67" i="25" s="1"/>
  <c r="AX129" i="25"/>
  <c r="AW129" i="25"/>
  <c r="AJ128" i="24"/>
  <c r="AS257" i="25"/>
  <c r="AJ283" i="24"/>
  <c r="AD103" i="25"/>
  <c r="W103" i="25"/>
  <c r="Z103" i="25" s="1"/>
  <c r="AA103" i="25" s="1"/>
  <c r="AB103" i="25" s="1"/>
  <c r="AI103" i="25" s="1"/>
  <c r="AD163" i="25"/>
  <c r="W163" i="25"/>
  <c r="Z163" i="25" s="1"/>
  <c r="AA163" i="25" s="1"/>
  <c r="AB163" i="25" s="1"/>
  <c r="AI163" i="25" s="1"/>
  <c r="V163" i="25"/>
  <c r="X163" i="25" s="1"/>
  <c r="AG15" i="24"/>
  <c r="AF15" i="24"/>
  <c r="AG159" i="24"/>
  <c r="AF159" i="24"/>
  <c r="AG256" i="24"/>
  <c r="AF256" i="24"/>
  <c r="AF34" i="25"/>
  <c r="AE34" i="25"/>
  <c r="AD254" i="25"/>
  <c r="W254" i="25"/>
  <c r="Z254" i="25" s="1"/>
  <c r="AA254" i="25" s="1"/>
  <c r="AB254" i="25" s="1"/>
  <c r="AI254" i="25" s="1"/>
  <c r="V254" i="25"/>
  <c r="X254" i="25" s="1"/>
  <c r="AD234" i="25"/>
  <c r="W234" i="25"/>
  <c r="Z234" i="25" s="1"/>
  <c r="AA234" i="25" s="1"/>
  <c r="AB234" i="25" s="1"/>
  <c r="AI234" i="25" s="1"/>
  <c r="AG180" i="24"/>
  <c r="AF180" i="24"/>
  <c r="AD252" i="25"/>
  <c r="W252" i="25"/>
  <c r="Z252" i="25" s="1"/>
  <c r="AA252" i="25" s="1"/>
  <c r="AB252" i="25" s="1"/>
  <c r="AI252" i="25" s="1"/>
  <c r="V252" i="25"/>
  <c r="X252" i="25" s="1"/>
  <c r="AG252" i="24"/>
  <c r="AF252" i="24"/>
  <c r="AJ299" i="24"/>
  <c r="AD223" i="25"/>
  <c r="W223" i="25"/>
  <c r="Z223" i="25" s="1"/>
  <c r="AA223" i="25" s="1"/>
  <c r="AB223" i="25" s="1"/>
  <c r="AI223" i="25" s="1"/>
  <c r="AD91" i="25"/>
  <c r="W91" i="25"/>
  <c r="Z91" i="25" s="1"/>
  <c r="AA91" i="25" s="1"/>
  <c r="AB91" i="25" s="1"/>
  <c r="AI91" i="25" s="1"/>
  <c r="V91" i="25"/>
  <c r="X91" i="25" s="1"/>
  <c r="AG287" i="24"/>
  <c r="AF287" i="24"/>
  <c r="AG173" i="24"/>
  <c r="AF173" i="24"/>
  <c r="AG11" i="24"/>
  <c r="AF11" i="24"/>
  <c r="AF92" i="25"/>
  <c r="AE92" i="25"/>
  <c r="AG291" i="24"/>
  <c r="AF291" i="24"/>
  <c r="AF95" i="25"/>
  <c r="AE95" i="25"/>
  <c r="AD287" i="25"/>
  <c r="W287" i="25"/>
  <c r="Z287" i="25" s="1"/>
  <c r="AA287" i="25" s="1"/>
  <c r="AB287" i="25" s="1"/>
  <c r="AI287" i="25" s="1"/>
  <c r="AG288" i="24"/>
  <c r="AF288" i="24"/>
  <c r="AJ267" i="24"/>
  <c r="AG222" i="24"/>
  <c r="AF222" i="24"/>
  <c r="AG202" i="24"/>
  <c r="AF202" i="24"/>
  <c r="AD17" i="25"/>
  <c r="W17" i="25"/>
  <c r="Z17" i="25" s="1"/>
  <c r="AA17" i="25" s="1"/>
  <c r="AB17" i="25" s="1"/>
  <c r="AI17" i="25" s="1"/>
  <c r="V17" i="25"/>
  <c r="X17" i="25" s="1"/>
  <c r="AF261" i="25"/>
  <c r="AE261" i="25"/>
  <c r="AD132" i="25"/>
  <c r="W132" i="25"/>
  <c r="Z132" i="25" s="1"/>
  <c r="AA132" i="25" s="1"/>
  <c r="AB132" i="25" s="1"/>
  <c r="AI132" i="25" s="1"/>
  <c r="V132" i="25"/>
  <c r="X132" i="25" s="1"/>
  <c r="AG199" i="24"/>
  <c r="AF199" i="24"/>
  <c r="AS59" i="25"/>
  <c r="AG31" i="24"/>
  <c r="AF31" i="24"/>
  <c r="AG289" i="24"/>
  <c r="AF289" i="24"/>
  <c r="AJ265" i="24"/>
  <c r="AD312" i="25"/>
  <c r="W312" i="25"/>
  <c r="Z312" i="25" s="1"/>
  <c r="AA312" i="25" s="1"/>
  <c r="AB312" i="25" s="1"/>
  <c r="AI312" i="25" s="1"/>
  <c r="V312" i="25"/>
  <c r="X312" i="25" s="1"/>
  <c r="AN7" i="24"/>
  <c r="CE7" i="24" s="1"/>
  <c r="AK7" i="24"/>
  <c r="AJ32" i="24"/>
  <c r="AG105" i="24"/>
  <c r="AF105" i="24"/>
  <c r="AG166" i="24"/>
  <c r="AF166" i="24"/>
  <c r="AF306" i="25"/>
  <c r="AE306" i="25"/>
  <c r="AG113" i="24"/>
  <c r="AF113" i="24"/>
  <c r="AG151" i="24"/>
  <c r="AF151" i="24"/>
  <c r="AG115" i="24"/>
  <c r="AF115" i="24"/>
  <c r="AF206" i="25"/>
  <c r="AE206" i="25"/>
  <c r="AJ282" i="24"/>
  <c r="AS167" i="25"/>
  <c r="AJ155" i="24"/>
  <c r="AJ120" i="24"/>
  <c r="AJ284" i="24"/>
  <c r="AG176" i="24"/>
  <c r="AF176" i="24"/>
  <c r="AD216" i="25"/>
  <c r="W216" i="25"/>
  <c r="Z216" i="25" s="1"/>
  <c r="AA216" i="25" s="1"/>
  <c r="AB216" i="25" s="1"/>
  <c r="AI216" i="25" s="1"/>
  <c r="AJ37" i="24"/>
  <c r="AF246" i="25"/>
  <c r="AE246" i="25"/>
  <c r="AJ242" i="24"/>
  <c r="AD236" i="25"/>
  <c r="W236" i="25"/>
  <c r="Z236" i="25" s="1"/>
  <c r="AA236" i="25" s="1"/>
  <c r="AB236" i="25" s="1"/>
  <c r="AI236" i="25" s="1"/>
  <c r="V236" i="25"/>
  <c r="X236" i="25" s="1"/>
  <c r="AJ12" i="24"/>
  <c r="AD196" i="25"/>
  <c r="W196" i="25"/>
  <c r="Z196" i="25" s="1"/>
  <c r="AA196" i="25" s="1"/>
  <c r="AB196" i="25" s="1"/>
  <c r="AI196" i="25" s="1"/>
  <c r="AG59" i="24"/>
  <c r="AF59" i="24"/>
  <c r="AD135" i="25"/>
  <c r="W135" i="25"/>
  <c r="Z135" i="25" s="1"/>
  <c r="AA135" i="25" s="1"/>
  <c r="AB135" i="25" s="1"/>
  <c r="AI135" i="25" s="1"/>
  <c r="AG157" i="24"/>
  <c r="AF157" i="24"/>
  <c r="AG94" i="24"/>
  <c r="AF94" i="24"/>
  <c r="AJ295" i="24"/>
  <c r="BA233" i="24"/>
  <c r="AG84" i="24"/>
  <c r="AF84" i="24"/>
  <c r="AD208" i="25"/>
  <c r="W208" i="25"/>
  <c r="Z208" i="25" s="1"/>
  <c r="AA208" i="25" s="1"/>
  <c r="AB208" i="25" s="1"/>
  <c r="AI208" i="25" s="1"/>
  <c r="AD99" i="25"/>
  <c r="W99" i="25"/>
  <c r="Z99" i="25" s="1"/>
  <c r="AA99" i="25" s="1"/>
  <c r="AB99" i="25" s="1"/>
  <c r="AI99" i="25" s="1"/>
  <c r="AG314" i="24"/>
  <c r="AF314" i="24"/>
  <c r="V304" i="25"/>
  <c r="X304" i="25" s="1"/>
  <c r="AD270" i="25"/>
  <c r="W270" i="25"/>
  <c r="Z270" i="25" s="1"/>
  <c r="AA270" i="25" s="1"/>
  <c r="AB270" i="25" s="1"/>
  <c r="AI270" i="25" s="1"/>
  <c r="V270" i="25"/>
  <c r="X270" i="25" s="1"/>
  <c r="AJ253" i="24"/>
  <c r="AJ152" i="24"/>
  <c r="AD297" i="25"/>
  <c r="W297" i="25"/>
  <c r="Z297" i="25" s="1"/>
  <c r="AA297" i="25" s="1"/>
  <c r="AB297" i="25" s="1"/>
  <c r="AI297" i="25" s="1"/>
  <c r="AG8" i="24"/>
  <c r="AF8" i="24"/>
  <c r="V157" i="25"/>
  <c r="X157" i="25" s="1"/>
  <c r="V200" i="25"/>
  <c r="X200" i="25" s="1"/>
  <c r="AG260" i="24"/>
  <c r="AF260" i="24"/>
  <c r="V68" i="25"/>
  <c r="X68" i="25" s="1"/>
  <c r="V274" i="25"/>
  <c r="X274" i="25" s="1"/>
  <c r="AG271" i="24"/>
  <c r="AF271" i="24"/>
  <c r="AD139" i="25"/>
  <c r="W139" i="25"/>
  <c r="Z139" i="25" s="1"/>
  <c r="AA139" i="25" s="1"/>
  <c r="AB139" i="25" s="1"/>
  <c r="AI139" i="25" s="1"/>
  <c r="AD144" i="25"/>
  <c r="W144" i="25"/>
  <c r="Z144" i="25" s="1"/>
  <c r="AA144" i="25" s="1"/>
  <c r="AB144" i="25" s="1"/>
  <c r="AI144" i="25" s="1"/>
  <c r="V144" i="25"/>
  <c r="X144" i="25" s="1"/>
  <c r="AD12" i="25"/>
  <c r="W12" i="25"/>
  <c r="Z12" i="25" s="1"/>
  <c r="AA12" i="25" s="1"/>
  <c r="AB12" i="25" s="1"/>
  <c r="AI12" i="25" s="1"/>
  <c r="AG247" i="24"/>
  <c r="AF247" i="24"/>
  <c r="AD101" i="25"/>
  <c r="W101" i="25"/>
  <c r="Z101" i="25" s="1"/>
  <c r="AA101" i="25" s="1"/>
  <c r="AB101" i="25" s="1"/>
  <c r="AI101" i="25" s="1"/>
  <c r="AG279" i="24"/>
  <c r="AF279" i="24"/>
  <c r="AD149" i="25"/>
  <c r="W149" i="25"/>
  <c r="Z149" i="25" s="1"/>
  <c r="AA149" i="25" s="1"/>
  <c r="AB149" i="25" s="1"/>
  <c r="AI149" i="25" s="1"/>
  <c r="V149" i="25"/>
  <c r="X149" i="25" s="1"/>
  <c r="AD80" i="25"/>
  <c r="W80" i="25"/>
  <c r="Z80" i="25" s="1"/>
  <c r="AA80" i="25" s="1"/>
  <c r="AB80" i="25" s="1"/>
  <c r="AI80" i="25" s="1"/>
  <c r="V80" i="25"/>
  <c r="X80" i="25" s="1"/>
  <c r="AG126" i="24"/>
  <c r="AF126" i="24"/>
  <c r="AG259" i="24"/>
  <c r="AF259" i="24"/>
  <c r="AT142" i="24"/>
  <c r="AD73" i="25"/>
  <c r="W73" i="25"/>
  <c r="Z73" i="25" s="1"/>
  <c r="AA73" i="25" s="1"/>
  <c r="AB73" i="25" s="1"/>
  <c r="AI73" i="25" s="1"/>
  <c r="AG193" i="24"/>
  <c r="AF193" i="24"/>
  <c r="AG315" i="24"/>
  <c r="AF315" i="24"/>
  <c r="AF238" i="25"/>
  <c r="AE238" i="25"/>
  <c r="AD307" i="25"/>
  <c r="W307" i="25"/>
  <c r="Z307" i="25" s="1"/>
  <c r="AA307" i="25" s="1"/>
  <c r="AB307" i="25" s="1"/>
  <c r="AI307" i="25" s="1"/>
  <c r="AG86" i="24"/>
  <c r="AF86" i="24"/>
  <c r="V277" i="25"/>
  <c r="X277" i="25" s="1"/>
  <c r="AG33" i="24"/>
  <c r="AF33" i="24"/>
  <c r="AD10" i="25"/>
  <c r="W10" i="25"/>
  <c r="Z10" i="25" s="1"/>
  <c r="AA10" i="25" s="1"/>
  <c r="AB10" i="25" s="1"/>
  <c r="AI10" i="25" s="1"/>
  <c r="AF186" i="25"/>
  <c r="AE186" i="25"/>
  <c r="AG181" i="24"/>
  <c r="AF181" i="24"/>
  <c r="V210" i="25"/>
  <c r="X210" i="25" s="1"/>
  <c r="V12" i="25"/>
  <c r="X12" i="25" s="1"/>
  <c r="AG224" i="24"/>
  <c r="AF224" i="24"/>
  <c r="AS283" i="25"/>
  <c r="AG64" i="24"/>
  <c r="AF64" i="24"/>
  <c r="AG290" i="24"/>
  <c r="AF290" i="24"/>
  <c r="AG30" i="24"/>
  <c r="AF30" i="24"/>
  <c r="AG237" i="24"/>
  <c r="AF237" i="24"/>
  <c r="V23" i="25"/>
  <c r="X23" i="25" s="1"/>
  <c r="AD264" i="25"/>
  <c r="W264" i="25"/>
  <c r="Z264" i="25" s="1"/>
  <c r="AA264" i="25" s="1"/>
  <c r="AB264" i="25" s="1"/>
  <c r="AI264" i="25" s="1"/>
  <c r="AD159" i="25"/>
  <c r="W159" i="25"/>
  <c r="Z159" i="25" s="1"/>
  <c r="AA159" i="25" s="1"/>
  <c r="AB159" i="25" s="1"/>
  <c r="AI159" i="25" s="1"/>
  <c r="AG174" i="24"/>
  <c r="AF174" i="24"/>
  <c r="AG145" i="24"/>
  <c r="AF145" i="24"/>
  <c r="AG20" i="24"/>
  <c r="AF20" i="24"/>
  <c r="AF257" i="25"/>
  <c r="AE257" i="25"/>
  <c r="AS276" i="25"/>
  <c r="AG18" i="24"/>
  <c r="AF18" i="24"/>
  <c r="AJ130" i="24"/>
  <c r="AJ243" i="24"/>
  <c r="AJ248" i="24"/>
  <c r="AG238" i="24"/>
  <c r="AF238" i="24"/>
  <c r="V98" i="25"/>
  <c r="X98" i="25" s="1"/>
  <c r="AG266" i="24"/>
  <c r="AF266" i="24"/>
  <c r="V264" i="25"/>
  <c r="X264" i="25" s="1"/>
  <c r="V100" i="25"/>
  <c r="X100" i="25" s="1"/>
  <c r="AD146" i="25"/>
  <c r="W146" i="25"/>
  <c r="Z146" i="25" s="1"/>
  <c r="AA146" i="25" s="1"/>
  <c r="AB146" i="25" s="1"/>
  <c r="AI146" i="25" s="1"/>
  <c r="V146" i="25"/>
  <c r="X146" i="25" s="1"/>
  <c r="AG6" i="24"/>
  <c r="AF6" i="24"/>
  <c r="AG57" i="24"/>
  <c r="AF57" i="24"/>
  <c r="AG235" i="24"/>
  <c r="AF235" i="24"/>
  <c r="V67" i="25"/>
  <c r="X67" i="25" s="1"/>
  <c r="AJ147" i="24"/>
  <c r="V224" i="25"/>
  <c r="X224" i="25" s="1"/>
  <c r="AG72" i="24"/>
  <c r="AF72" i="24"/>
  <c r="AG129" i="24"/>
  <c r="AF129" i="24"/>
  <c r="AG34" i="24"/>
  <c r="AF34" i="24"/>
  <c r="AS131" i="25"/>
  <c r="V121" i="25"/>
  <c r="X121" i="25" s="1"/>
  <c r="AD58" i="25"/>
  <c r="W58" i="25"/>
  <c r="Z58" i="25" s="1"/>
  <c r="AA58" i="25" s="1"/>
  <c r="AB58" i="25" s="1"/>
  <c r="AI58" i="25" s="1"/>
  <c r="V58" i="25"/>
  <c r="X58" i="25" s="1"/>
  <c r="AD117" i="25"/>
  <c r="W117" i="25"/>
  <c r="Z117" i="25" s="1"/>
  <c r="AA117" i="25" s="1"/>
  <c r="AB117" i="25" s="1"/>
  <c r="AI117" i="25" s="1"/>
  <c r="V117" i="25"/>
  <c r="X117" i="25" s="1"/>
  <c r="AG19" i="24"/>
  <c r="AF19" i="24"/>
  <c r="V286" i="25"/>
  <c r="X286" i="25" s="1"/>
  <c r="AS32" i="25"/>
  <c r="AD55" i="25"/>
  <c r="W55" i="25"/>
  <c r="Z55" i="25" s="1"/>
  <c r="AA55" i="25" s="1"/>
  <c r="AB55" i="25" s="1"/>
  <c r="AI55" i="25" s="1"/>
  <c r="AS273" i="25"/>
  <c r="AJ273" i="24"/>
  <c r="AG240" i="24"/>
  <c r="AF240" i="24"/>
  <c r="AF59" i="25"/>
  <c r="AE59" i="25"/>
  <c r="AD303" i="25"/>
  <c r="W303" i="25"/>
  <c r="Z303" i="25" s="1"/>
  <c r="AA303" i="25" s="1"/>
  <c r="AB303" i="25" s="1"/>
  <c r="AI303" i="25" s="1"/>
  <c r="AD288" i="25"/>
  <c r="W288" i="25"/>
  <c r="Z288" i="25" s="1"/>
  <c r="AA288" i="25" s="1"/>
  <c r="AB288" i="25" s="1"/>
  <c r="AI288" i="25" s="1"/>
  <c r="AD120" i="25"/>
  <c r="W120" i="25"/>
  <c r="Z120" i="25" s="1"/>
  <c r="AA120" i="25" s="1"/>
  <c r="AB120" i="25" s="1"/>
  <c r="AI120" i="25" s="1"/>
  <c r="V120" i="25"/>
  <c r="X120" i="25" s="1"/>
  <c r="V156" i="25"/>
  <c r="X156" i="25" s="1"/>
  <c r="AD279" i="25"/>
  <c r="W279" i="25"/>
  <c r="Z279" i="25" s="1"/>
  <c r="AA279" i="25" s="1"/>
  <c r="AB279" i="25" s="1"/>
  <c r="AI279" i="25" s="1"/>
  <c r="V279" i="25"/>
  <c r="X279" i="25" s="1"/>
  <c r="AS232" i="25"/>
  <c r="AD169" i="25"/>
  <c r="W169" i="25"/>
  <c r="Z169" i="25" s="1"/>
  <c r="AA169" i="25" s="1"/>
  <c r="AB169" i="25" s="1"/>
  <c r="AI169" i="25" s="1"/>
  <c r="V86" i="25"/>
  <c r="X86" i="25" s="1"/>
  <c r="AD207" i="25"/>
  <c r="W207" i="25"/>
  <c r="Z207" i="25" s="1"/>
  <c r="AA207" i="25" s="1"/>
  <c r="AB207" i="25" s="1"/>
  <c r="AI207" i="25" s="1"/>
  <c r="AK132" i="24"/>
  <c r="AN132" i="24"/>
  <c r="AG188" i="24"/>
  <c r="AF188" i="24"/>
  <c r="AG114" i="24"/>
  <c r="AF114" i="24"/>
  <c r="AD249" i="25"/>
  <c r="W249" i="25"/>
  <c r="Z249" i="25" s="1"/>
  <c r="AA249" i="25" s="1"/>
  <c r="AB249" i="25" s="1"/>
  <c r="AI249" i="25" s="1"/>
  <c r="AD251" i="25"/>
  <c r="W251" i="25"/>
  <c r="Z251" i="25" s="1"/>
  <c r="AA251" i="25" s="1"/>
  <c r="AB251" i="25" s="1"/>
  <c r="AI251" i="25" s="1"/>
  <c r="AJ232" i="24"/>
  <c r="AD56" i="25"/>
  <c r="W56" i="25"/>
  <c r="Z56" i="25" s="1"/>
  <c r="AA56" i="25" s="1"/>
  <c r="AB56" i="25" s="1"/>
  <c r="AI56" i="25" s="1"/>
  <c r="AF167" i="25"/>
  <c r="AE167" i="25"/>
  <c r="AD18" i="25"/>
  <c r="W18" i="25"/>
  <c r="Z18" i="25" s="1"/>
  <c r="AA18" i="25" s="1"/>
  <c r="AB18" i="25" s="1"/>
  <c r="AI18" i="25" s="1"/>
  <c r="AD269" i="25"/>
  <c r="W269" i="25"/>
  <c r="Z269" i="25" s="1"/>
  <c r="AA269" i="25" s="1"/>
  <c r="AB269" i="25" s="1"/>
  <c r="AI269" i="25" s="1"/>
  <c r="V269" i="25"/>
  <c r="X269" i="25" s="1"/>
  <c r="AG272" i="24"/>
  <c r="AF272" i="24"/>
  <c r="AD162" i="25"/>
  <c r="W162" i="25"/>
  <c r="Z162" i="25" s="1"/>
  <c r="AA162" i="25" s="1"/>
  <c r="AB162" i="25" s="1"/>
  <c r="AI162" i="25" s="1"/>
  <c r="V162" i="25"/>
  <c r="X162" i="25" s="1"/>
  <c r="AS199" i="25"/>
  <c r="AD22" i="25"/>
  <c r="W22" i="25"/>
  <c r="Z22" i="25" s="1"/>
  <c r="AA22" i="25" s="1"/>
  <c r="AB22" i="25" s="1"/>
  <c r="AI22" i="25" s="1"/>
  <c r="AG137" i="24"/>
  <c r="AF137" i="24"/>
  <c r="AS314" i="25"/>
  <c r="AD138" i="25"/>
  <c r="W138" i="25"/>
  <c r="Z138" i="25" s="1"/>
  <c r="AA138" i="25" s="1"/>
  <c r="AB138" i="25" s="1"/>
  <c r="AI138" i="25" s="1"/>
  <c r="V222" i="25"/>
  <c r="X222" i="25" s="1"/>
  <c r="AD184" i="25"/>
  <c r="W184" i="25"/>
  <c r="Z184" i="25" s="1"/>
  <c r="AA184" i="25" s="1"/>
  <c r="AB184" i="25" s="1"/>
  <c r="AI184" i="25" s="1"/>
  <c r="V184" i="25"/>
  <c r="X184" i="25" s="1"/>
  <c r="AG156" i="24"/>
  <c r="AF156" i="24"/>
  <c r="V81" i="25"/>
  <c r="X81" i="25" s="1"/>
  <c r="V216" i="25"/>
  <c r="X216" i="25" s="1"/>
  <c r="AG263" i="24"/>
  <c r="AF263" i="24"/>
  <c r="AG48" i="24"/>
  <c r="AF48" i="24"/>
  <c r="AD84" i="25"/>
  <c r="W84" i="25"/>
  <c r="Z84" i="25" s="1"/>
  <c r="AA84" i="25" s="1"/>
  <c r="AB84" i="25" s="1"/>
  <c r="AI84" i="25" s="1"/>
  <c r="AG297" i="24"/>
  <c r="AF297" i="24"/>
  <c r="AD90" i="25"/>
  <c r="W90" i="25"/>
  <c r="Z90" i="25" s="1"/>
  <c r="AA90" i="25" s="1"/>
  <c r="AB90" i="25" s="1"/>
  <c r="AI90" i="25" s="1"/>
  <c r="V135" i="25"/>
  <c r="X135" i="25" s="1"/>
  <c r="AG123" i="24"/>
  <c r="AF123" i="24"/>
  <c r="AD185" i="25"/>
  <c r="W185" i="25"/>
  <c r="Z185" i="25" s="1"/>
  <c r="AA185" i="25" s="1"/>
  <c r="AB185" i="25" s="1"/>
  <c r="AI185" i="25" s="1"/>
  <c r="V185" i="25"/>
  <c r="X185" i="25" s="1"/>
  <c r="AD69" i="25"/>
  <c r="W69" i="25"/>
  <c r="Z69" i="25" s="1"/>
  <c r="AA69" i="25" s="1"/>
  <c r="AB69" i="25" s="1"/>
  <c r="AI69" i="25" s="1"/>
  <c r="V69" i="25"/>
  <c r="X69" i="25" s="1"/>
  <c r="AD202" i="25"/>
  <c r="W202" i="25"/>
  <c r="Z202" i="25" s="1"/>
  <c r="AA202" i="25" s="1"/>
  <c r="AB202" i="25" s="1"/>
  <c r="AI202" i="25" s="1"/>
  <c r="AD171" i="25"/>
  <c r="W171" i="25"/>
  <c r="Z171" i="25" s="1"/>
  <c r="AA171" i="25" s="1"/>
  <c r="AB171" i="25" s="1"/>
  <c r="AI171" i="25" s="1"/>
  <c r="AG56" i="24"/>
  <c r="AF56" i="24"/>
  <c r="AD217" i="25"/>
  <c r="W217" i="25"/>
  <c r="Z217" i="25" s="1"/>
  <c r="AA217" i="25" s="1"/>
  <c r="AB217" i="25" s="1"/>
  <c r="AI217" i="25" s="1"/>
  <c r="V75" i="25"/>
  <c r="X75" i="25" s="1"/>
  <c r="AS31" i="25"/>
  <c r="V297" i="25"/>
  <c r="X297" i="25" s="1"/>
  <c r="AD54" i="25"/>
  <c r="W54" i="25"/>
  <c r="Z54" i="25" s="1"/>
  <c r="AA54" i="25" s="1"/>
  <c r="AB54" i="25" s="1"/>
  <c r="AI54" i="25" s="1"/>
  <c r="V54" i="25"/>
  <c r="X54" i="25" s="1"/>
  <c r="AD310" i="25"/>
  <c r="W310" i="25"/>
  <c r="Z310" i="25" s="1"/>
  <c r="AA310" i="25" s="1"/>
  <c r="AB310" i="25" s="1"/>
  <c r="AI310" i="25" s="1"/>
  <c r="V310" i="25"/>
  <c r="X310" i="25" s="1"/>
  <c r="AS204" i="25"/>
  <c r="AD176" i="25"/>
  <c r="W176" i="25"/>
  <c r="Z176" i="25" s="1"/>
  <c r="AA176" i="25" s="1"/>
  <c r="AB176" i="25" s="1"/>
  <c r="AI176" i="25" s="1"/>
  <c r="V176" i="25"/>
  <c r="X176" i="25" s="1"/>
  <c r="AG17" i="24"/>
  <c r="AF17" i="24"/>
  <c r="AG9" i="24"/>
  <c r="AF9" i="24"/>
  <c r="AS282" i="25"/>
  <c r="AF283" i="25"/>
  <c r="AE283" i="25"/>
  <c r="AG219" i="24"/>
  <c r="AF219" i="24"/>
  <c r="AG261" i="24"/>
  <c r="AF261" i="24"/>
  <c r="AD83" i="25"/>
  <c r="W83" i="25"/>
  <c r="Z83" i="25" s="1"/>
  <c r="AA83" i="25" s="1"/>
  <c r="AB83" i="25" s="1"/>
  <c r="AI83" i="25" s="1"/>
  <c r="V83" i="25"/>
  <c r="X83" i="25" s="1"/>
  <c r="V72" i="25"/>
  <c r="X72" i="25" s="1"/>
  <c r="AG167" i="24"/>
  <c r="AF167" i="24"/>
  <c r="AD153" i="25"/>
  <c r="W153" i="25"/>
  <c r="Z153" i="25" s="1"/>
  <c r="AA153" i="25" s="1"/>
  <c r="AB153" i="25" s="1"/>
  <c r="AI153" i="25" s="1"/>
  <c r="V153" i="25"/>
  <c r="X153" i="25" s="1"/>
  <c r="AD61" i="25"/>
  <c r="W61" i="25"/>
  <c r="Z61" i="25" s="1"/>
  <c r="AA61" i="25" s="1"/>
  <c r="AB61" i="25" s="1"/>
  <c r="AI61" i="25" s="1"/>
  <c r="V61" i="25"/>
  <c r="X61" i="25" s="1"/>
  <c r="AG164" i="24"/>
  <c r="AF164" i="24"/>
  <c r="AX143" i="25"/>
  <c r="AW143" i="25"/>
  <c r="AT292" i="24"/>
  <c r="AD290" i="25"/>
  <c r="W290" i="25"/>
  <c r="Z290" i="25" s="1"/>
  <c r="AA290" i="25" s="1"/>
  <c r="AB290" i="25" s="1"/>
  <c r="AI290" i="25" s="1"/>
  <c r="V290" i="25"/>
  <c r="X290" i="25" s="1"/>
  <c r="AG128" i="24"/>
  <c r="AF128" i="24"/>
  <c r="AS178" i="25"/>
  <c r="AG283" i="24"/>
  <c r="AF283" i="24"/>
  <c r="AG225" i="24"/>
  <c r="AF225" i="24"/>
  <c r="AF276" i="25"/>
  <c r="AE276" i="25"/>
  <c r="AD182" i="25"/>
  <c r="W182" i="25"/>
  <c r="Z182" i="25" s="1"/>
  <c r="AA182" i="25" s="1"/>
  <c r="AB182" i="25" s="1"/>
  <c r="AI182" i="25" s="1"/>
  <c r="V182" i="25"/>
  <c r="X182" i="25" s="1"/>
  <c r="AD218" i="25"/>
  <c r="W218" i="25"/>
  <c r="Z218" i="25" s="1"/>
  <c r="AA218" i="25" s="1"/>
  <c r="AB218" i="25" s="1"/>
  <c r="AI218" i="25" s="1"/>
  <c r="AG61" i="24"/>
  <c r="AF61" i="24"/>
  <c r="AS170" i="25"/>
  <c r="AG299" i="24"/>
  <c r="AF299" i="24"/>
  <c r="AG68" i="24"/>
  <c r="AF68" i="24"/>
  <c r="AG207" i="24"/>
  <c r="AF207" i="24"/>
  <c r="AF131" i="25"/>
  <c r="AE131" i="25"/>
  <c r="AD40" i="25"/>
  <c r="W40" i="25"/>
  <c r="Z40" i="25" s="1"/>
  <c r="AA40" i="25" s="1"/>
  <c r="AB40" i="25" s="1"/>
  <c r="AI40" i="25" s="1"/>
  <c r="AD302" i="25"/>
  <c r="W302" i="25"/>
  <c r="Z302" i="25" s="1"/>
  <c r="AA302" i="25" s="1"/>
  <c r="AB302" i="25" s="1"/>
  <c r="AI302" i="25" s="1"/>
  <c r="V93" i="25"/>
  <c r="X93" i="25" s="1"/>
  <c r="AD53" i="25"/>
  <c r="W53" i="25"/>
  <c r="Z53" i="25" s="1"/>
  <c r="AA53" i="25" s="1"/>
  <c r="AB53" i="25" s="1"/>
  <c r="AI53" i="25" s="1"/>
  <c r="AD122" i="25"/>
  <c r="W122" i="25"/>
  <c r="Z122" i="25" s="1"/>
  <c r="AA122" i="25" s="1"/>
  <c r="AB122" i="25" s="1"/>
  <c r="AI122" i="25" s="1"/>
  <c r="AG209" i="24"/>
  <c r="AF209" i="24"/>
  <c r="AF32" i="25"/>
  <c r="AE32" i="25"/>
  <c r="AG267" i="24"/>
  <c r="AF267" i="24"/>
  <c r="AF273" i="25"/>
  <c r="AE273" i="25"/>
  <c r="AD46" i="25"/>
  <c r="W46" i="25"/>
  <c r="Z46" i="25" s="1"/>
  <c r="AA46" i="25" s="1"/>
  <c r="AB46" i="25" s="1"/>
  <c r="AI46" i="25" s="1"/>
  <c r="V46" i="25"/>
  <c r="X46" i="25" s="1"/>
  <c r="AG265" i="24"/>
  <c r="AF265" i="24"/>
  <c r="AD112" i="25"/>
  <c r="W112" i="25"/>
  <c r="Z112" i="25" s="1"/>
  <c r="AA112" i="25" s="1"/>
  <c r="AB112" i="25" s="1"/>
  <c r="AI112" i="25" s="1"/>
  <c r="V315" i="25"/>
  <c r="X315" i="25" s="1"/>
  <c r="AG32" i="24"/>
  <c r="AF32" i="24"/>
  <c r="AS104" i="25"/>
  <c r="AK160" i="24"/>
  <c r="AN160" i="24"/>
  <c r="BI160" i="24" s="1"/>
  <c r="AG282" i="24"/>
  <c r="AF282" i="24"/>
  <c r="AG155" i="24"/>
  <c r="AF155" i="24"/>
  <c r="AG120" i="24"/>
  <c r="AF120" i="24"/>
  <c r="AG284" i="24"/>
  <c r="AF284" i="24"/>
  <c r="BG110" i="25" l="1"/>
  <c r="CE110" i="25"/>
  <c r="BI294" i="24"/>
  <c r="BL294" i="24" s="1"/>
  <c r="CE294" i="24"/>
  <c r="AN222" i="24"/>
  <c r="BI222" i="24" s="1"/>
  <c r="AX264" i="24"/>
  <c r="BI264" i="24"/>
  <c r="BL264" i="24" s="1"/>
  <c r="CE119" i="24"/>
  <c r="BI119" i="24"/>
  <c r="BL119" i="24" s="1"/>
  <c r="CE233" i="24"/>
  <c r="BI233" i="24"/>
  <c r="BL233" i="24" s="1"/>
  <c r="AX142" i="24"/>
  <c r="BI142" i="24"/>
  <c r="BL142" i="24" s="1"/>
  <c r="BU236" i="24"/>
  <c r="BI236" i="24"/>
  <c r="BL236" i="24" s="1"/>
  <c r="CE132" i="24"/>
  <c r="BI132" i="24"/>
  <c r="BL132" i="24" s="1"/>
  <c r="CE162" i="24"/>
  <c r="BI162" i="24"/>
  <c r="BL162" i="24" s="1"/>
  <c r="BU292" i="24"/>
  <c r="BI292" i="24"/>
  <c r="BL292" i="24" s="1"/>
  <c r="CE191" i="24"/>
  <c r="BI191" i="24"/>
  <c r="BL191" i="24" s="1"/>
  <c r="BU7" i="24"/>
  <c r="BI7" i="24"/>
  <c r="BL7" i="24" s="1"/>
  <c r="BU44" i="24"/>
  <c r="BI44" i="24"/>
  <c r="BL44" i="24" s="1"/>
  <c r="CE45" i="24"/>
  <c r="BI45" i="24"/>
  <c r="BL45" i="24" s="1"/>
  <c r="BU41" i="24"/>
  <c r="BI41" i="24"/>
  <c r="BL41" i="24" s="1"/>
  <c r="BU101" i="24"/>
  <c r="BI101" i="24"/>
  <c r="BL101" i="24" s="1"/>
  <c r="CE55" i="24"/>
  <c r="BI55" i="24"/>
  <c r="BL55" i="24" s="1"/>
  <c r="BU21" i="24"/>
  <c r="CE21" i="24"/>
  <c r="AX22" i="24"/>
  <c r="CE22" i="24"/>
  <c r="AT67" i="24"/>
  <c r="BA67" i="24" s="1"/>
  <c r="BU22" i="24"/>
  <c r="BU45" i="24"/>
  <c r="BU55" i="24"/>
  <c r="AF280" i="25"/>
  <c r="AJ280" i="25" s="1"/>
  <c r="CE101" i="24"/>
  <c r="AF11" i="25"/>
  <c r="AJ11" i="25" s="1"/>
  <c r="AE155" i="25"/>
  <c r="AJ155" i="25" s="1"/>
  <c r="AF96" i="25"/>
  <c r="AJ96" i="25" s="1"/>
  <c r="AV27" i="24"/>
  <c r="AT81" i="24"/>
  <c r="BA81" i="24" s="1"/>
  <c r="AT49" i="24"/>
  <c r="BA49" i="24" s="1"/>
  <c r="AT39" i="24"/>
  <c r="BA39" i="24" s="1"/>
  <c r="AV77" i="24"/>
  <c r="AV65" i="24"/>
  <c r="AV104" i="24"/>
  <c r="AV66" i="24"/>
  <c r="AV103" i="24"/>
  <c r="AV64" i="24"/>
  <c r="AV102" i="24"/>
  <c r="AV23" i="24"/>
  <c r="AV61" i="24"/>
  <c r="AV78" i="24"/>
  <c r="AT72" i="24"/>
  <c r="BA72" i="24" s="1"/>
  <c r="AV86" i="24"/>
  <c r="AV98" i="24"/>
  <c r="AT62" i="24"/>
  <c r="BA62" i="24" s="1"/>
  <c r="AV69" i="24"/>
  <c r="AV10" i="24"/>
  <c r="AV15" i="24"/>
  <c r="AV38" i="24"/>
  <c r="AV50" i="24"/>
  <c r="AV40" i="24"/>
  <c r="AV60" i="24"/>
  <c r="AV47" i="24"/>
  <c r="AV63" i="24"/>
  <c r="AV83" i="24"/>
  <c r="AV80" i="24"/>
  <c r="AV100" i="24"/>
  <c r="AV84" i="24"/>
  <c r="AV76" i="24"/>
  <c r="AV70" i="24"/>
  <c r="AV91" i="24"/>
  <c r="AV43" i="24"/>
  <c r="AV68" i="24"/>
  <c r="AT92" i="24"/>
  <c r="BA92" i="24" s="1"/>
  <c r="AT95" i="24"/>
  <c r="BA95" i="24" s="1"/>
  <c r="AV16" i="24"/>
  <c r="AV105" i="24"/>
  <c r="AV46" i="24"/>
  <c r="AV52" i="24"/>
  <c r="AV53" i="24"/>
  <c r="AV71" i="24"/>
  <c r="AV82" i="24"/>
  <c r="AV73" i="24"/>
  <c r="AT74" i="24"/>
  <c r="BA74" i="24" s="1"/>
  <c r="AT93" i="24"/>
  <c r="BA93" i="24" s="1"/>
  <c r="AV89" i="24"/>
  <c r="AV99" i="24"/>
  <c r="AT14" i="24"/>
  <c r="BA14" i="24" s="1"/>
  <c r="AV11" i="24"/>
  <c r="AV88" i="24"/>
  <c r="AV79" i="24"/>
  <c r="AT97" i="24"/>
  <c r="BA97" i="24" s="1"/>
  <c r="AV75" i="24"/>
  <c r="AV85" i="24"/>
  <c r="AV94" i="24"/>
  <c r="AT25" i="24"/>
  <c r="BA25" i="24" s="1"/>
  <c r="AV29" i="24"/>
  <c r="AV31" i="24"/>
  <c r="AV13" i="24"/>
  <c r="AV36" i="24"/>
  <c r="AV42" i="24"/>
  <c r="AV87" i="24"/>
  <c r="AV67" i="24"/>
  <c r="AV90" i="24"/>
  <c r="AV96" i="24"/>
  <c r="AT103" i="24"/>
  <c r="BA103" i="24" s="1"/>
  <c r="AJ143" i="25"/>
  <c r="AT105" i="24"/>
  <c r="BA105" i="24" s="1"/>
  <c r="AT99" i="24"/>
  <c r="BA99" i="24" s="1"/>
  <c r="AF258" i="25"/>
  <c r="AJ258" i="25" s="1"/>
  <c r="AE189" i="25"/>
  <c r="AJ189" i="25" s="1"/>
  <c r="AT90" i="24"/>
  <c r="BA90" i="24" s="1"/>
  <c r="AT96" i="24"/>
  <c r="BA96" i="24" s="1"/>
  <c r="AT42" i="24"/>
  <c r="BA42" i="24" s="1"/>
  <c r="AT94" i="24"/>
  <c r="BA94" i="24" s="1"/>
  <c r="AT85" i="24"/>
  <c r="BA85" i="24" s="1"/>
  <c r="AT89" i="24"/>
  <c r="BA89" i="24" s="1"/>
  <c r="AV72" i="24"/>
  <c r="AV62" i="24"/>
  <c r="AT69" i="24"/>
  <c r="BA69" i="24" s="1"/>
  <c r="AT80" i="24"/>
  <c r="BA80" i="24" s="1"/>
  <c r="AT100" i="24"/>
  <c r="BA100" i="24" s="1"/>
  <c r="AT84" i="24"/>
  <c r="BA84" i="24" s="1"/>
  <c r="AV81" i="24"/>
  <c r="AF154" i="25"/>
  <c r="BU142" i="24"/>
  <c r="AT66" i="24"/>
  <c r="BA66" i="24" s="1"/>
  <c r="AT91" i="24"/>
  <c r="BA91" i="24" s="1"/>
  <c r="AF97" i="25"/>
  <c r="AJ97" i="25" s="1"/>
  <c r="AT102" i="24"/>
  <c r="BA102" i="24" s="1"/>
  <c r="AT70" i="24"/>
  <c r="BA70" i="24" s="1"/>
  <c r="AT86" i="24"/>
  <c r="BA86" i="24" s="1"/>
  <c r="AE154" i="25"/>
  <c r="AT98" i="24"/>
  <c r="BA98" i="24" s="1"/>
  <c r="AT75" i="24"/>
  <c r="BA75" i="24" s="1"/>
  <c r="AV97" i="24"/>
  <c r="AT79" i="24"/>
  <c r="BA79" i="24" s="1"/>
  <c r="AT88" i="24"/>
  <c r="BA88" i="24" s="1"/>
  <c r="AV74" i="24"/>
  <c r="AV93" i="24"/>
  <c r="AV95" i="24"/>
  <c r="AT87" i="24"/>
  <c r="BA87" i="24" s="1"/>
  <c r="AE104" i="25"/>
  <c r="AJ104" i="25" s="1"/>
  <c r="AV92" i="24"/>
  <c r="AT68" i="24"/>
  <c r="BA68" i="24" s="1"/>
  <c r="AT43" i="24"/>
  <c r="BA43" i="24" s="1"/>
  <c r="AF179" i="25"/>
  <c r="AJ179" i="25" s="1"/>
  <c r="AT65" i="24"/>
  <c r="BA65" i="24" s="1"/>
  <c r="AT104" i="24"/>
  <c r="BA104" i="24" s="1"/>
  <c r="AF265" i="25"/>
  <c r="AJ265" i="25" s="1"/>
  <c r="AT53" i="24"/>
  <c r="BA53" i="24" s="1"/>
  <c r="AT82" i="24"/>
  <c r="BA82" i="24" s="1"/>
  <c r="AT73" i="24"/>
  <c r="BA73" i="24" s="1"/>
  <c r="AT83" i="24"/>
  <c r="BA83" i="24" s="1"/>
  <c r="AF29" i="25"/>
  <c r="AM29" i="25" s="1"/>
  <c r="BG29" i="25" s="1"/>
  <c r="AT78" i="24"/>
  <c r="BA78" i="24" s="1"/>
  <c r="AT23" i="24"/>
  <c r="BA23" i="24" s="1"/>
  <c r="AT61" i="24"/>
  <c r="BA61" i="24" s="1"/>
  <c r="AV39" i="24"/>
  <c r="AF291" i="25"/>
  <c r="AM291" i="25" s="1"/>
  <c r="BG291" i="25" s="1"/>
  <c r="AT77" i="24"/>
  <c r="BA77" i="24" s="1"/>
  <c r="AV49" i="24"/>
  <c r="BW142" i="24"/>
  <c r="AV14" i="24"/>
  <c r="BW22" i="24"/>
  <c r="AT64" i="24"/>
  <c r="BA64" i="24" s="1"/>
  <c r="BH142" i="24"/>
  <c r="AT76" i="24"/>
  <c r="BA76" i="24" s="1"/>
  <c r="AF28" i="25"/>
  <c r="AM28" i="25" s="1"/>
  <c r="BG28" i="25" s="1"/>
  <c r="AT46" i="24"/>
  <c r="BA46" i="24" s="1"/>
  <c r="AT50" i="24"/>
  <c r="BA50" i="24" s="1"/>
  <c r="AT47" i="24"/>
  <c r="BA47" i="24" s="1"/>
  <c r="AT60" i="24"/>
  <c r="BA60" i="24" s="1"/>
  <c r="AT40" i="24"/>
  <c r="BA40" i="24" s="1"/>
  <c r="AT38" i="24"/>
  <c r="BA38" i="24" s="1"/>
  <c r="AT15" i="24"/>
  <c r="BA15" i="24" s="1"/>
  <c r="BH292" i="24"/>
  <c r="AX292" i="24"/>
  <c r="BW292" i="24"/>
  <c r="BW264" i="24"/>
  <c r="AT10" i="24"/>
  <c r="BA10" i="24" s="1"/>
  <c r="AT71" i="24"/>
  <c r="BA71" i="24" s="1"/>
  <c r="AT63" i="24"/>
  <c r="BA63" i="24" s="1"/>
  <c r="AT52" i="24"/>
  <c r="BA52" i="24" s="1"/>
  <c r="AT11" i="24"/>
  <c r="BA11" i="24" s="1"/>
  <c r="AV25" i="24"/>
  <c r="AT13" i="24"/>
  <c r="BA13" i="24" s="1"/>
  <c r="AT16" i="24"/>
  <c r="BA16" i="24" s="1"/>
  <c r="AT29" i="24"/>
  <c r="BA29" i="24" s="1"/>
  <c r="AT36" i="24"/>
  <c r="BA36" i="24" s="1"/>
  <c r="AT27" i="24"/>
  <c r="BA27" i="24" s="1"/>
  <c r="AT31" i="24"/>
  <c r="BA31" i="24" s="1"/>
  <c r="AF237" i="25"/>
  <c r="O212" i="25"/>
  <c r="P212" i="25"/>
  <c r="T212" i="25"/>
  <c r="U212" i="25" s="1"/>
  <c r="BH22" i="24"/>
  <c r="AX77" i="25"/>
  <c r="AF77" i="25"/>
  <c r="AE77" i="25"/>
  <c r="BU264" i="24"/>
  <c r="BH236" i="24"/>
  <c r="BW236" i="24"/>
  <c r="BH264" i="24"/>
  <c r="AX236" i="24"/>
  <c r="AJ131" i="25"/>
  <c r="AM131" i="25"/>
  <c r="BG131" i="25" s="1"/>
  <c r="AN284" i="24"/>
  <c r="BI284" i="24" s="1"/>
  <c r="AK284" i="24"/>
  <c r="AS53" i="25"/>
  <c r="AF40" i="25"/>
  <c r="AE40" i="25"/>
  <c r="AK128" i="24"/>
  <c r="AN128" i="24"/>
  <c r="AN261" i="24"/>
  <c r="CE261" i="24" s="1"/>
  <c r="AK261" i="24"/>
  <c r="BA220" i="24"/>
  <c r="AX31" i="25"/>
  <c r="AW31" i="25"/>
  <c r="BA154" i="24"/>
  <c r="AS202" i="25"/>
  <c r="AS185" i="25"/>
  <c r="AN48" i="24"/>
  <c r="CE48" i="24" s="1"/>
  <c r="AK48" i="24"/>
  <c r="AS269" i="25"/>
  <c r="AT232" i="24"/>
  <c r="BA165" i="24"/>
  <c r="AS120" i="25"/>
  <c r="AJ59" i="25"/>
  <c r="AM59" i="25"/>
  <c r="BG59" i="25" s="1"/>
  <c r="AS58" i="25"/>
  <c r="AX131" i="25"/>
  <c r="AW131" i="25"/>
  <c r="AN235" i="24"/>
  <c r="AK235" i="24"/>
  <c r="AF146" i="25"/>
  <c r="AE146" i="25"/>
  <c r="AT248" i="24"/>
  <c r="AJ257" i="25"/>
  <c r="AM257" i="25"/>
  <c r="AS159" i="25"/>
  <c r="AN224" i="24"/>
  <c r="AK224" i="24"/>
  <c r="AF10" i="25"/>
  <c r="AE10" i="25"/>
  <c r="AN86" i="24"/>
  <c r="AK86" i="24"/>
  <c r="AN193" i="24"/>
  <c r="AK193" i="24"/>
  <c r="BA142" i="24"/>
  <c r="AS12" i="25"/>
  <c r="AK271" i="24"/>
  <c r="AN271" i="24"/>
  <c r="AT253" i="24"/>
  <c r="AS99" i="25"/>
  <c r="AS196" i="25"/>
  <c r="AF236" i="25"/>
  <c r="AE236" i="25"/>
  <c r="AK176" i="24"/>
  <c r="AN176" i="24"/>
  <c r="BI176" i="24" s="1"/>
  <c r="AT155" i="24"/>
  <c r="AT282" i="24"/>
  <c r="AS312" i="25"/>
  <c r="AK199" i="24"/>
  <c r="AN199" i="24"/>
  <c r="AF17" i="25"/>
  <c r="AE17" i="25"/>
  <c r="AT267" i="24"/>
  <c r="BA207" i="24"/>
  <c r="AM92" i="25"/>
  <c r="AJ92" i="25"/>
  <c r="AS254" i="25"/>
  <c r="AS67" i="25"/>
  <c r="BA164" i="24"/>
  <c r="AV9" i="24"/>
  <c r="AT9" i="24"/>
  <c r="AN316" i="24"/>
  <c r="BI316" i="24" s="1"/>
  <c r="AK316" i="24"/>
  <c r="AV17" i="24"/>
  <c r="AT17" i="24"/>
  <c r="AF225" i="25"/>
  <c r="AE225" i="25"/>
  <c r="AT263" i="24"/>
  <c r="AS221" i="25"/>
  <c r="BA272" i="24"/>
  <c r="BA132" i="24"/>
  <c r="BA223" i="24"/>
  <c r="AS116" i="25"/>
  <c r="AK25" i="24"/>
  <c r="AN25" i="24"/>
  <c r="AT145" i="24"/>
  <c r="AJ174" i="25"/>
  <c r="AM174" i="25"/>
  <c r="AT290" i="24"/>
  <c r="AF123" i="25"/>
  <c r="AE123" i="25"/>
  <c r="AT126" i="24"/>
  <c r="AT279" i="24"/>
  <c r="AJ255" i="25"/>
  <c r="AM255" i="25"/>
  <c r="BG255" i="25" s="1"/>
  <c r="AM21" i="25"/>
  <c r="AJ21" i="25"/>
  <c r="AS244" i="25"/>
  <c r="AS33" i="25"/>
  <c r="AF200" i="25"/>
  <c r="AE200" i="25"/>
  <c r="AK275" i="24"/>
  <c r="AN275" i="24"/>
  <c r="AS121" i="25"/>
  <c r="AX155" i="25"/>
  <c r="AW155" i="25"/>
  <c r="AK276" i="24"/>
  <c r="AN276" i="24"/>
  <c r="BI276" i="24" s="1"/>
  <c r="AK104" i="24"/>
  <c r="AN104" i="24"/>
  <c r="AS127" i="25"/>
  <c r="AK29" i="24"/>
  <c r="AN29" i="24"/>
  <c r="AS101" i="24"/>
  <c r="BJ101" i="24"/>
  <c r="AQ101" i="24"/>
  <c r="AX101" i="24"/>
  <c r="BH101" i="24"/>
  <c r="BW101" i="24"/>
  <c r="BA256" i="24"/>
  <c r="AF57" i="25"/>
  <c r="AE57" i="25"/>
  <c r="AN197" i="24"/>
  <c r="BI197" i="24" s="1"/>
  <c r="AK197" i="24"/>
  <c r="BA316" i="24"/>
  <c r="AK230" i="24"/>
  <c r="AN230" i="24"/>
  <c r="BI230" i="24" s="1"/>
  <c r="BA122" i="24"/>
  <c r="AS272" i="25"/>
  <c r="AS300" i="25"/>
  <c r="BA208" i="24"/>
  <c r="AS45" i="25"/>
  <c r="AJ89" i="25"/>
  <c r="AM89" i="25"/>
  <c r="BA204" i="24"/>
  <c r="AN96" i="24"/>
  <c r="AK96" i="24"/>
  <c r="AF220" i="25"/>
  <c r="AE220" i="25"/>
  <c r="BA187" i="24"/>
  <c r="AF79" i="25"/>
  <c r="AE79" i="25"/>
  <c r="BA268" i="24"/>
  <c r="BA116" i="24"/>
  <c r="AM6" i="25"/>
  <c r="AJ6" i="25"/>
  <c r="AS136" i="25"/>
  <c r="AK125" i="24"/>
  <c r="AN125" i="24"/>
  <c r="AN58" i="24"/>
  <c r="AK58" i="24"/>
  <c r="AN83" i="24"/>
  <c r="CE83" i="24" s="1"/>
  <c r="AK83" i="24"/>
  <c r="AF195" i="25"/>
  <c r="AE195" i="25"/>
  <c r="AF137" i="25"/>
  <c r="AE137" i="25"/>
  <c r="AK26" i="24"/>
  <c r="AN26" i="24"/>
  <c r="BA245" i="24"/>
  <c r="AS274" i="25"/>
  <c r="AS289" i="25"/>
  <c r="AW13" i="25"/>
  <c r="AX13" i="25"/>
  <c r="AF39" i="25"/>
  <c r="AE39" i="25"/>
  <c r="AF49" i="25"/>
  <c r="AE49" i="25"/>
  <c r="AS239" i="25"/>
  <c r="AM259" i="25"/>
  <c r="BG259" i="25" s="1"/>
  <c r="AJ259" i="25"/>
  <c r="BA311" i="24"/>
  <c r="AS9" i="25"/>
  <c r="AS281" i="25"/>
  <c r="AS93" i="25"/>
  <c r="AK234" i="24"/>
  <c r="AN234" i="24"/>
  <c r="BI234" i="24" s="1"/>
  <c r="AN220" i="24"/>
  <c r="BI220" i="24" s="1"/>
  <c r="AK220" i="24"/>
  <c r="BA241" i="24"/>
  <c r="AK175" i="24"/>
  <c r="AN175" i="24"/>
  <c r="AX29" i="25"/>
  <c r="AW29" i="25"/>
  <c r="AN171" i="24"/>
  <c r="BI171" i="24" s="1"/>
  <c r="AK171" i="24"/>
  <c r="AW198" i="25"/>
  <c r="AX198" i="25"/>
  <c r="AS20" i="25"/>
  <c r="AS233" i="24"/>
  <c r="AQ233" i="24"/>
  <c r="BJ233" i="24"/>
  <c r="BU233" i="24"/>
  <c r="AX233" i="24"/>
  <c r="BH233" i="24"/>
  <c r="BW233" i="24"/>
  <c r="AK79" i="24"/>
  <c r="AN79" i="24"/>
  <c r="AF191" i="25"/>
  <c r="AE191" i="25"/>
  <c r="AF230" i="25"/>
  <c r="AE230" i="25"/>
  <c r="AT121" i="24"/>
  <c r="AS70" i="25"/>
  <c r="AN248" i="24"/>
  <c r="AK248" i="24"/>
  <c r="AS41" i="24"/>
  <c r="AQ41" i="24"/>
  <c r="BJ41" i="24"/>
  <c r="AX41" i="24"/>
  <c r="BH41" i="24"/>
  <c r="BW41" i="24"/>
  <c r="AT301" i="24"/>
  <c r="AF187" i="25"/>
  <c r="AE187" i="25"/>
  <c r="AS277" i="25"/>
  <c r="AF125" i="25"/>
  <c r="AE125" i="25"/>
  <c r="AT135" i="24"/>
  <c r="AK37" i="24"/>
  <c r="AN37" i="24"/>
  <c r="AF111" i="25"/>
  <c r="AE111" i="25"/>
  <c r="AS102" i="25"/>
  <c r="AK209" i="24"/>
  <c r="AN209" i="24"/>
  <c r="AN155" i="24"/>
  <c r="AK155" i="24"/>
  <c r="AX104" i="25"/>
  <c r="AW104" i="25"/>
  <c r="AS46" i="25"/>
  <c r="AJ32" i="25"/>
  <c r="AM32" i="25"/>
  <c r="BG32" i="25" s="1"/>
  <c r="AF53" i="25"/>
  <c r="AE53" i="25"/>
  <c r="AN299" i="24"/>
  <c r="BI299" i="24" s="1"/>
  <c r="AK299" i="24"/>
  <c r="BA184" i="24"/>
  <c r="AN61" i="24"/>
  <c r="BI61" i="24" s="1"/>
  <c r="AK61" i="24"/>
  <c r="AN164" i="24"/>
  <c r="BI164" i="24" s="1"/>
  <c r="AK164" i="24"/>
  <c r="AN167" i="24"/>
  <c r="BI167" i="24" s="1"/>
  <c r="AK167" i="24"/>
  <c r="AK17" i="24"/>
  <c r="AN17" i="24"/>
  <c r="AX204" i="25"/>
  <c r="AW204" i="25"/>
  <c r="AS54" i="25"/>
  <c r="AK56" i="24"/>
  <c r="AN56" i="24"/>
  <c r="AF202" i="25"/>
  <c r="AE202" i="25"/>
  <c r="AF185" i="25"/>
  <c r="AE185" i="25"/>
  <c r="AX28" i="25"/>
  <c r="AW28" i="25"/>
  <c r="AS162" i="25"/>
  <c r="BA226" i="24"/>
  <c r="AF269" i="25"/>
  <c r="AE269" i="25"/>
  <c r="AS251" i="25"/>
  <c r="AK188" i="24"/>
  <c r="AN188" i="24"/>
  <c r="AF120" i="25"/>
  <c r="AE120" i="25"/>
  <c r="AF58" i="25"/>
  <c r="AE58" i="25"/>
  <c r="BA139" i="24"/>
  <c r="AF159" i="25"/>
  <c r="AE159" i="25"/>
  <c r="AN30" i="24"/>
  <c r="BI30" i="24" s="1"/>
  <c r="AK30" i="24"/>
  <c r="BA134" i="24"/>
  <c r="AS307" i="25"/>
  <c r="AN126" i="24"/>
  <c r="BI126" i="24" s="1"/>
  <c r="AK126" i="24"/>
  <c r="AF12" i="25"/>
  <c r="AE12" i="25"/>
  <c r="AF99" i="25"/>
  <c r="AE99" i="25"/>
  <c r="AT295" i="24"/>
  <c r="AF196" i="25"/>
  <c r="AE196" i="25"/>
  <c r="AT242" i="24"/>
  <c r="BA124" i="24"/>
  <c r="AN105" i="24"/>
  <c r="AK105" i="24"/>
  <c r="AF312" i="25"/>
  <c r="AE312" i="25"/>
  <c r="AS287" i="25"/>
  <c r="AS91" i="25"/>
  <c r="AK252" i="24"/>
  <c r="AN252" i="24"/>
  <c r="BI252" i="24" s="1"/>
  <c r="AF254" i="25"/>
  <c r="AE254" i="25"/>
  <c r="AK15" i="24"/>
  <c r="AN15" i="24"/>
  <c r="AF67" i="25"/>
  <c r="AE67" i="25"/>
  <c r="AK300" i="24"/>
  <c r="AN300" i="24"/>
  <c r="BI300" i="24" s="1"/>
  <c r="AS227" i="25"/>
  <c r="BA156" i="24"/>
  <c r="AF221" i="25"/>
  <c r="AE221" i="25"/>
  <c r="AK112" i="24"/>
  <c r="AN112" i="24"/>
  <c r="CE112" i="24" s="1"/>
  <c r="AF116" i="25"/>
  <c r="AE116" i="25"/>
  <c r="AX206" i="25"/>
  <c r="AW206" i="25"/>
  <c r="AJ14" i="25"/>
  <c r="AM14" i="25"/>
  <c r="AS43" i="25"/>
  <c r="AN307" i="24"/>
  <c r="AK307" i="24"/>
  <c r="AN195" i="24"/>
  <c r="BI195" i="24" s="1"/>
  <c r="AK195" i="24"/>
  <c r="AN116" i="24"/>
  <c r="BI116" i="24" s="1"/>
  <c r="AK116" i="24"/>
  <c r="AT225" i="24"/>
  <c r="AS60" i="25"/>
  <c r="AS266" i="25"/>
  <c r="AT247" i="24"/>
  <c r="AF244" i="25"/>
  <c r="AE244" i="25"/>
  <c r="AK90" i="24"/>
  <c r="AN90" i="24"/>
  <c r="AS26" i="25"/>
  <c r="AF33" i="25"/>
  <c r="AE33" i="25"/>
  <c r="AW179" i="25"/>
  <c r="AX179" i="25"/>
  <c r="BA157" i="24"/>
  <c r="AS124" i="25"/>
  <c r="AS41" i="25"/>
  <c r="AK63" i="24"/>
  <c r="AN63" i="24"/>
  <c r="AF121" i="25"/>
  <c r="AE121" i="25"/>
  <c r="AS294" i="25"/>
  <c r="BA151" i="24"/>
  <c r="AK254" i="24"/>
  <c r="AN254" i="24"/>
  <c r="BI254" i="24" s="1"/>
  <c r="AF127" i="25"/>
  <c r="AE127" i="25"/>
  <c r="BA291" i="24"/>
  <c r="BA252" i="24"/>
  <c r="AX177" i="25"/>
  <c r="AW177" i="25"/>
  <c r="AK274" i="24"/>
  <c r="AN274" i="24"/>
  <c r="AN39" i="24"/>
  <c r="AK39" i="24"/>
  <c r="AF272" i="25"/>
  <c r="AE272" i="25"/>
  <c r="AF300" i="25"/>
  <c r="AE300" i="25"/>
  <c r="AJ190" i="25"/>
  <c r="AM190" i="25"/>
  <c r="AJ293" i="25"/>
  <c r="AM293" i="25"/>
  <c r="BG293" i="25" s="1"/>
  <c r="AK303" i="24"/>
  <c r="AN303" i="24"/>
  <c r="BI303" i="24" s="1"/>
  <c r="AF45" i="25"/>
  <c r="AE45" i="25"/>
  <c r="AN201" i="24"/>
  <c r="AK201" i="24"/>
  <c r="AW89" i="25"/>
  <c r="AX89" i="25"/>
  <c r="AK218" i="24"/>
  <c r="AN218" i="24"/>
  <c r="BI218" i="24" s="1"/>
  <c r="BA161" i="24"/>
  <c r="AX189" i="25"/>
  <c r="AW189" i="25"/>
  <c r="AS86" i="25"/>
  <c r="AK200" i="24"/>
  <c r="AN200" i="24"/>
  <c r="AN183" i="24"/>
  <c r="BI183" i="24" s="1"/>
  <c r="AK183" i="24"/>
  <c r="AF136" i="25"/>
  <c r="AE136" i="25"/>
  <c r="BA239" i="24"/>
  <c r="BA286" i="24"/>
  <c r="AJ305" i="25"/>
  <c r="AM305" i="25"/>
  <c r="AF274" i="25"/>
  <c r="AE274" i="25"/>
  <c r="AX87" i="25"/>
  <c r="AW87" i="25"/>
  <c r="AF289" i="25"/>
  <c r="AE289" i="25"/>
  <c r="AS42" i="25"/>
  <c r="BA264" i="24"/>
  <c r="AK226" i="24"/>
  <c r="AN226" i="24"/>
  <c r="BI226" i="24" s="1"/>
  <c r="AF239" i="25"/>
  <c r="AE239" i="25"/>
  <c r="AS183" i="25"/>
  <c r="AF9" i="25"/>
  <c r="AE9" i="25"/>
  <c r="AN150" i="24"/>
  <c r="AK150" i="24"/>
  <c r="AF281" i="25"/>
  <c r="AE281" i="25"/>
  <c r="AF93" i="25"/>
  <c r="AE93" i="25"/>
  <c r="AM292" i="25"/>
  <c r="AJ292" i="25"/>
  <c r="AN217" i="24"/>
  <c r="AK217" i="24"/>
  <c r="AS100" i="25"/>
  <c r="BA197" i="24"/>
  <c r="AJ62" i="25"/>
  <c r="AM62" i="25"/>
  <c r="AS118" i="25"/>
  <c r="AS226" i="25"/>
  <c r="AS180" i="25"/>
  <c r="AF20" i="25"/>
  <c r="AE20" i="25"/>
  <c r="AT305" i="24"/>
  <c r="AS66" i="25"/>
  <c r="AT218" i="24"/>
  <c r="AS235" i="25"/>
  <c r="BA200" i="24"/>
  <c r="BA189" i="24"/>
  <c r="AF70" i="25"/>
  <c r="AE70" i="25"/>
  <c r="AS44" i="25"/>
  <c r="AN243" i="24"/>
  <c r="AK243" i="24"/>
  <c r="AX6" i="25"/>
  <c r="AW6" i="25"/>
  <c r="AN231" i="24"/>
  <c r="BI231" i="24" s="1"/>
  <c r="AK231" i="24"/>
  <c r="AS63" i="25"/>
  <c r="AS37" i="25"/>
  <c r="AN91" i="24"/>
  <c r="AK91" i="24"/>
  <c r="AK244" i="24"/>
  <c r="AN244" i="24"/>
  <c r="BI244" i="24" s="1"/>
  <c r="AT111" i="24"/>
  <c r="AJ31" i="25"/>
  <c r="AM31" i="25"/>
  <c r="AF277" i="25"/>
  <c r="AE277" i="25"/>
  <c r="AS295" i="25"/>
  <c r="AN253" i="24"/>
  <c r="AK253" i="24"/>
  <c r="AJ199" i="25"/>
  <c r="AM199" i="25"/>
  <c r="BG199" i="25" s="1"/>
  <c r="AS181" i="25"/>
  <c r="AK124" i="24"/>
  <c r="AN124" i="24"/>
  <c r="BI124" i="24" s="1"/>
  <c r="AF102" i="25"/>
  <c r="AE102" i="25"/>
  <c r="AK282" i="24"/>
  <c r="AN282" i="24"/>
  <c r="AS112" i="25"/>
  <c r="AF46" i="25"/>
  <c r="AE46" i="25"/>
  <c r="BA206" i="24"/>
  <c r="BA227" i="24"/>
  <c r="AW170" i="25"/>
  <c r="AX170" i="25"/>
  <c r="AS218" i="25"/>
  <c r="AS290" i="25"/>
  <c r="BA185" i="24"/>
  <c r="AN219" i="24"/>
  <c r="AK219" i="24"/>
  <c r="AF54" i="25"/>
  <c r="AE54" i="25"/>
  <c r="AS90" i="25"/>
  <c r="BA171" i="24"/>
  <c r="BA285" i="24"/>
  <c r="AN156" i="24"/>
  <c r="AK156" i="24"/>
  <c r="BA293" i="24"/>
  <c r="AS138" i="25"/>
  <c r="AF162" i="25"/>
  <c r="AE162" i="25"/>
  <c r="AS18" i="25"/>
  <c r="AF251" i="25"/>
  <c r="AE251" i="25"/>
  <c r="AS132" i="24"/>
  <c r="AU132" i="24" s="1"/>
  <c r="BB132" i="24" s="1"/>
  <c r="BJ132" i="24"/>
  <c r="AQ132" i="24"/>
  <c r="AS169" i="25"/>
  <c r="AK57" i="24"/>
  <c r="AN57" i="24"/>
  <c r="BA192" i="24"/>
  <c r="BA231" i="24"/>
  <c r="AK20" i="24"/>
  <c r="AN20" i="24"/>
  <c r="AN33" i="24"/>
  <c r="AK33" i="24"/>
  <c r="AF307" i="25"/>
  <c r="AE307" i="25"/>
  <c r="AS270" i="25"/>
  <c r="AS208" i="25"/>
  <c r="AS135" i="25"/>
  <c r="AK113" i="24"/>
  <c r="AN113" i="24"/>
  <c r="BI113" i="24" s="1"/>
  <c r="AV32" i="24"/>
  <c r="AT32" i="24"/>
  <c r="AT265" i="24"/>
  <c r="AS132" i="25"/>
  <c r="AK288" i="24"/>
  <c r="AN288" i="24"/>
  <c r="BI288" i="24" s="1"/>
  <c r="AF287" i="25"/>
  <c r="AE287" i="25"/>
  <c r="AN11" i="24"/>
  <c r="AK11" i="24"/>
  <c r="AF91" i="25"/>
  <c r="AE91" i="25"/>
  <c r="AS234" i="25"/>
  <c r="AT261" i="24"/>
  <c r="AF227" i="25"/>
  <c r="AE227" i="25"/>
  <c r="AS36" i="25"/>
  <c r="AK229" i="24"/>
  <c r="AN229" i="24"/>
  <c r="BI229" i="24" s="1"/>
  <c r="AN146" i="24"/>
  <c r="AK146" i="24"/>
  <c r="AS55" i="24"/>
  <c r="AQ55" i="24"/>
  <c r="BJ55" i="24"/>
  <c r="AX55" i="24"/>
  <c r="BW55" i="24"/>
  <c r="BH55" i="24"/>
  <c r="AN169" i="24"/>
  <c r="BI169" i="24" s="1"/>
  <c r="AK169" i="24"/>
  <c r="AN62" i="24"/>
  <c r="BI62" i="24" s="1"/>
  <c r="AK62" i="24"/>
  <c r="AS245" i="25"/>
  <c r="AS68" i="25"/>
  <c r="AM240" i="25"/>
  <c r="BG240" i="25" s="1"/>
  <c r="AJ240" i="25"/>
  <c r="BA188" i="24"/>
  <c r="AT240" i="24"/>
  <c r="AJ275" i="25"/>
  <c r="AM275" i="25"/>
  <c r="BG275" i="25" s="1"/>
  <c r="AS231" i="25"/>
  <c r="AX95" i="25"/>
  <c r="AW95" i="25"/>
  <c r="AF43" i="25"/>
  <c r="AE43" i="25"/>
  <c r="AV57" i="24"/>
  <c r="AT57" i="24"/>
  <c r="AT266" i="24"/>
  <c r="AX34" i="25"/>
  <c r="AW34" i="25"/>
  <c r="AF60" i="25"/>
  <c r="AE60" i="25"/>
  <c r="AF266" i="25"/>
  <c r="AE266" i="25"/>
  <c r="BA22" i="24"/>
  <c r="AT224" i="24"/>
  <c r="AJ173" i="25"/>
  <c r="AM173" i="25"/>
  <c r="AM248" i="25"/>
  <c r="AJ248" i="25"/>
  <c r="AK70" i="24"/>
  <c r="AN70" i="24"/>
  <c r="AV8" i="24"/>
  <c r="AT8" i="24"/>
  <c r="AF26" i="25"/>
  <c r="AE26" i="25"/>
  <c r="BA314" i="24"/>
  <c r="AV59" i="24"/>
  <c r="AT59" i="24"/>
  <c r="AF124" i="25"/>
  <c r="AE124" i="25"/>
  <c r="AF41" i="25"/>
  <c r="AE41" i="25"/>
  <c r="AS168" i="25"/>
  <c r="AF294" i="25"/>
  <c r="AE294" i="25"/>
  <c r="BA113" i="24"/>
  <c r="AN179" i="24"/>
  <c r="AK179" i="24"/>
  <c r="AS284" i="25"/>
  <c r="AS19" i="25"/>
  <c r="AK196" i="24"/>
  <c r="AN196" i="24"/>
  <c r="BI196" i="24" s="1"/>
  <c r="AJ113" i="25"/>
  <c r="AM113" i="25"/>
  <c r="AS175" i="25"/>
  <c r="BA236" i="24"/>
  <c r="AK182" i="24"/>
  <c r="AN182" i="24"/>
  <c r="BA177" i="24"/>
  <c r="AM114" i="25"/>
  <c r="BG114" i="25" s="1"/>
  <c r="AJ114" i="25"/>
  <c r="BL21" i="24"/>
  <c r="AS21" i="24"/>
  <c r="BJ21" i="24"/>
  <c r="AQ21" i="24"/>
  <c r="AX21" i="24"/>
  <c r="BW21" i="24"/>
  <c r="BH21" i="24"/>
  <c r="AK281" i="24"/>
  <c r="AN281" i="24"/>
  <c r="AF86" i="25"/>
  <c r="AE86" i="25"/>
  <c r="AS164" i="25"/>
  <c r="BA140" i="24"/>
  <c r="AS156" i="25"/>
  <c r="AS7" i="25"/>
  <c r="BA195" i="24"/>
  <c r="AW154" i="25"/>
  <c r="AX154" i="25"/>
  <c r="AN54" i="24"/>
  <c r="CE54" i="24" s="1"/>
  <c r="AK54" i="24"/>
  <c r="AS301" i="25"/>
  <c r="AW113" i="25"/>
  <c r="AX113" i="25"/>
  <c r="AN301" i="24"/>
  <c r="AK301" i="24"/>
  <c r="AW201" i="25"/>
  <c r="AX201" i="25"/>
  <c r="AN153" i="24"/>
  <c r="AK153" i="24"/>
  <c r="AS228" i="25"/>
  <c r="AF42" i="25"/>
  <c r="AE42" i="25"/>
  <c r="AK38" i="24"/>
  <c r="AN38" i="24"/>
  <c r="BA131" i="24"/>
  <c r="AF183" i="25"/>
  <c r="AE183" i="25"/>
  <c r="AF100" i="25"/>
  <c r="AE100" i="25"/>
  <c r="BA196" i="24"/>
  <c r="AK185" i="24"/>
  <c r="AN185" i="24"/>
  <c r="AS311" i="25"/>
  <c r="AM247" i="25"/>
  <c r="BG247" i="25" s="1"/>
  <c r="AJ247" i="25"/>
  <c r="AS313" i="25"/>
  <c r="AF118" i="25"/>
  <c r="AE118" i="25"/>
  <c r="BA149" i="24"/>
  <c r="AF226" i="25"/>
  <c r="AE226" i="25"/>
  <c r="BA203" i="24"/>
  <c r="AF180" i="25"/>
  <c r="AE180" i="25"/>
  <c r="AN13" i="24"/>
  <c r="AK13" i="24"/>
  <c r="AK27" i="24"/>
  <c r="AN27" i="24"/>
  <c r="AW147" i="25"/>
  <c r="AX147" i="25"/>
  <c r="AS88" i="25"/>
  <c r="AF66" i="25"/>
  <c r="AE66" i="25"/>
  <c r="AS191" i="24"/>
  <c r="BJ191" i="24"/>
  <c r="AQ191" i="24"/>
  <c r="AX191" i="24"/>
  <c r="BH191" i="24"/>
  <c r="BW191" i="24"/>
  <c r="BU191" i="24"/>
  <c r="AT281" i="24"/>
  <c r="AF235" i="25"/>
  <c r="AE235" i="25"/>
  <c r="BA183" i="24"/>
  <c r="AF44" i="25"/>
  <c r="AE44" i="25"/>
  <c r="AT117" i="24"/>
  <c r="AF63" i="25"/>
  <c r="AE63" i="25"/>
  <c r="AF37" i="25"/>
  <c r="AE37" i="25"/>
  <c r="AT133" i="24"/>
  <c r="AS250" i="25"/>
  <c r="AT153" i="24"/>
  <c r="AF295" i="25"/>
  <c r="AE295" i="25"/>
  <c r="BL257" i="24"/>
  <c r="AS257" i="24"/>
  <c r="BJ257" i="24"/>
  <c r="AQ257" i="24"/>
  <c r="BW257" i="24"/>
  <c r="BU257" i="24"/>
  <c r="AX257" i="24"/>
  <c r="BH257" i="24"/>
  <c r="AN295" i="24"/>
  <c r="AK295" i="24"/>
  <c r="AS299" i="25"/>
  <c r="AF181" i="25"/>
  <c r="AE181" i="25"/>
  <c r="AN89" i="24"/>
  <c r="AK89" i="24"/>
  <c r="AJ276" i="25"/>
  <c r="AM276" i="25"/>
  <c r="BG276" i="25" s="1"/>
  <c r="AF290" i="25"/>
  <c r="AE290" i="25"/>
  <c r="AS176" i="25"/>
  <c r="BA175" i="24"/>
  <c r="AF90" i="25"/>
  <c r="AE90" i="25"/>
  <c r="AN263" i="24"/>
  <c r="AK263" i="24"/>
  <c r="AF138" i="25"/>
  <c r="AE138" i="25"/>
  <c r="AX199" i="25"/>
  <c r="AW199" i="25"/>
  <c r="AF18" i="25"/>
  <c r="AE18" i="25"/>
  <c r="AS249" i="25"/>
  <c r="AF169" i="25"/>
  <c r="AE169" i="25"/>
  <c r="AS288" i="25"/>
  <c r="AK240" i="24"/>
  <c r="AN240" i="24"/>
  <c r="AX32" i="25"/>
  <c r="AW32" i="25"/>
  <c r="AK19" i="24"/>
  <c r="AN19" i="24"/>
  <c r="AK72" i="24"/>
  <c r="AN72" i="24"/>
  <c r="AX97" i="25"/>
  <c r="AW97" i="25"/>
  <c r="AT243" i="24"/>
  <c r="AS264" i="25"/>
  <c r="AN290" i="24"/>
  <c r="BI290" i="24" s="1"/>
  <c r="AK290" i="24"/>
  <c r="AS73" i="25"/>
  <c r="AS80" i="25"/>
  <c r="AN279" i="24"/>
  <c r="AK279" i="24"/>
  <c r="AS144" i="25"/>
  <c r="AF270" i="25"/>
  <c r="AE270" i="25"/>
  <c r="AF208" i="25"/>
  <c r="AE208" i="25"/>
  <c r="AF135" i="25"/>
  <c r="AE135" i="25"/>
  <c r="AJ246" i="25"/>
  <c r="AM246" i="25"/>
  <c r="BG246" i="25" s="1"/>
  <c r="AM206" i="25"/>
  <c r="BG206" i="25" s="1"/>
  <c r="AJ206" i="25"/>
  <c r="AX59" i="25"/>
  <c r="AW59" i="25"/>
  <c r="AF132" i="25"/>
  <c r="AE132" i="25"/>
  <c r="AK202" i="24"/>
  <c r="AN202" i="24"/>
  <c r="AS252" i="25"/>
  <c r="AF234" i="25"/>
  <c r="AE234" i="25"/>
  <c r="AM34" i="25"/>
  <c r="BG34" i="25" s="1"/>
  <c r="AJ34" i="25"/>
  <c r="AS163" i="25"/>
  <c r="AM229" i="25"/>
  <c r="BG229" i="25" s="1"/>
  <c r="AJ229" i="25"/>
  <c r="AF36" i="25"/>
  <c r="AE36" i="25"/>
  <c r="AS210" i="25"/>
  <c r="AF245" i="25"/>
  <c r="AE245" i="25"/>
  <c r="AF68" i="25"/>
  <c r="AE68" i="25"/>
  <c r="BW132" i="24"/>
  <c r="AF231" i="25"/>
  <c r="AE231" i="25"/>
  <c r="AV34" i="24"/>
  <c r="AT34" i="24"/>
  <c r="AV6" i="24"/>
  <c r="AT6" i="24"/>
  <c r="AT238" i="24"/>
  <c r="AM177" i="25"/>
  <c r="AJ177" i="25"/>
  <c r="AV33" i="24"/>
  <c r="AT33" i="24"/>
  <c r="AT271" i="24"/>
  <c r="AK239" i="24"/>
  <c r="AN239" i="24"/>
  <c r="BI239" i="24" s="1"/>
  <c r="AK286" i="24"/>
  <c r="AN286" i="24"/>
  <c r="BI286" i="24" s="1"/>
  <c r="AS74" i="25"/>
  <c r="AK194" i="24"/>
  <c r="AN194" i="24"/>
  <c r="BI194" i="24" s="1"/>
  <c r="BA176" i="24"/>
  <c r="AF168" i="25"/>
  <c r="AE168" i="25"/>
  <c r="AM262" i="25"/>
  <c r="BG262" i="25" s="1"/>
  <c r="AJ262" i="25"/>
  <c r="AS15" i="25"/>
  <c r="AX14" i="25"/>
  <c r="AW14" i="25"/>
  <c r="BA289" i="24"/>
  <c r="B158" i="2"/>
  <c r="AS105" i="25"/>
  <c r="AK311" i="24"/>
  <c r="AN311" i="24"/>
  <c r="BI311" i="24" s="1"/>
  <c r="AF284" i="25"/>
  <c r="AE284" i="25"/>
  <c r="BA180" i="24"/>
  <c r="AM243" i="25"/>
  <c r="AJ243" i="25"/>
  <c r="AF19" i="25"/>
  <c r="AE19" i="25"/>
  <c r="AX174" i="25"/>
  <c r="AW174" i="25"/>
  <c r="AS241" i="25"/>
  <c r="AF175" i="25"/>
  <c r="AE175" i="25"/>
  <c r="AK46" i="24"/>
  <c r="AN46" i="24"/>
  <c r="AS65" i="25"/>
  <c r="AK149" i="24"/>
  <c r="AN149" i="24"/>
  <c r="BI149" i="24" s="1"/>
  <c r="AX158" i="25"/>
  <c r="AW158" i="25"/>
  <c r="BA136" i="24"/>
  <c r="AS285" i="25"/>
  <c r="AS44" i="24"/>
  <c r="BJ44" i="24"/>
  <c r="AQ44" i="24"/>
  <c r="AX44" i="24"/>
  <c r="BH44" i="24"/>
  <c r="BW44" i="24"/>
  <c r="AK310" i="24"/>
  <c r="AN310" i="24"/>
  <c r="AS145" i="25"/>
  <c r="AS25" i="25"/>
  <c r="AN298" i="24"/>
  <c r="CE298" i="24" s="1"/>
  <c r="AK298" i="24"/>
  <c r="AW148" i="25"/>
  <c r="AX148" i="25"/>
  <c r="AF164" i="25"/>
  <c r="AE164" i="25"/>
  <c r="AF156" i="25"/>
  <c r="AE156" i="25"/>
  <c r="AF7" i="25"/>
  <c r="AE7" i="25"/>
  <c r="AK117" i="24"/>
  <c r="AN117" i="24"/>
  <c r="BI117" i="24" s="1"/>
  <c r="AS130" i="25"/>
  <c r="AS128" i="25"/>
  <c r="AF301" i="25"/>
  <c r="AE301" i="25"/>
  <c r="AS292" i="24"/>
  <c r="AU292" i="24" s="1"/>
  <c r="BB292" i="24" s="1"/>
  <c r="AQ292" i="24"/>
  <c r="BJ292" i="24"/>
  <c r="AK51" i="24"/>
  <c r="AN51" i="24"/>
  <c r="AF228" i="25"/>
  <c r="AE228" i="25"/>
  <c r="AS193" i="25"/>
  <c r="AN135" i="24"/>
  <c r="AK135" i="24"/>
  <c r="BA186" i="24"/>
  <c r="AK278" i="24"/>
  <c r="AN278" i="24"/>
  <c r="BI278" i="24" s="1"/>
  <c r="AK251" i="24"/>
  <c r="AN251" i="24"/>
  <c r="BI251" i="24" s="1"/>
  <c r="AS197" i="25"/>
  <c r="AW96" i="25"/>
  <c r="AX96" i="25"/>
  <c r="AJ94" i="25"/>
  <c r="AM94" i="25"/>
  <c r="BG94" i="25" s="1"/>
  <c r="AK47" i="24"/>
  <c r="AN47" i="24"/>
  <c r="AN205" i="24"/>
  <c r="AK205" i="24"/>
  <c r="BA313" i="24"/>
  <c r="AS165" i="25"/>
  <c r="AF311" i="25"/>
  <c r="AE311" i="25"/>
  <c r="BA127" i="24"/>
  <c r="BL22" i="24"/>
  <c r="AS22" i="24"/>
  <c r="AU22" i="24" s="1"/>
  <c r="BB22" i="24" s="1"/>
  <c r="BJ22" i="24"/>
  <c r="AQ22" i="24"/>
  <c r="BA230" i="24"/>
  <c r="AF313" i="25"/>
  <c r="AE313" i="25"/>
  <c r="AN43" i="24"/>
  <c r="AK43" i="24"/>
  <c r="BA302" i="24"/>
  <c r="AJ82" i="25"/>
  <c r="AM82" i="25"/>
  <c r="BA310" i="24"/>
  <c r="AS81" i="25"/>
  <c r="AF88" i="25"/>
  <c r="AE88" i="25"/>
  <c r="AK165" i="24"/>
  <c r="AN165" i="24"/>
  <c r="AS141" i="25"/>
  <c r="AT296" i="24"/>
  <c r="AS85" i="25"/>
  <c r="AN23" i="24"/>
  <c r="BI23" i="24" s="1"/>
  <c r="AK23" i="24"/>
  <c r="AM170" i="25"/>
  <c r="AJ170" i="25"/>
  <c r="AT125" i="24"/>
  <c r="AT269" i="24"/>
  <c r="AR129" i="25"/>
  <c r="BJ129" i="25"/>
  <c r="AP129" i="25"/>
  <c r="BH129" i="25"/>
  <c r="BW129" i="25"/>
  <c r="BU129" i="25"/>
  <c r="BF129" i="25"/>
  <c r="AK80" i="24"/>
  <c r="AN80" i="24"/>
  <c r="AF250" i="25"/>
  <c r="AE250" i="25"/>
  <c r="AS298" i="25"/>
  <c r="AK152" i="24"/>
  <c r="AN152" i="24"/>
  <c r="CE152" i="24" s="1"/>
  <c r="AS142" i="24"/>
  <c r="AU142" i="24" s="1"/>
  <c r="BB142" i="24" s="1"/>
  <c r="BJ142" i="24"/>
  <c r="AQ142" i="24"/>
  <c r="AJ314" i="25"/>
  <c r="AM314" i="25"/>
  <c r="BG314" i="25" s="1"/>
  <c r="AF299" i="25"/>
  <c r="AE299" i="25"/>
  <c r="AN312" i="24"/>
  <c r="BI312" i="24" s="1"/>
  <c r="AK312" i="24"/>
  <c r="AS157" i="25"/>
  <c r="AK223" i="24"/>
  <c r="AN223" i="24"/>
  <c r="AF218" i="25"/>
  <c r="AE218" i="25"/>
  <c r="AS61" i="25"/>
  <c r="BA278" i="24"/>
  <c r="AM273" i="25"/>
  <c r="BG273" i="25" s="1"/>
  <c r="AJ273" i="25"/>
  <c r="AS302" i="25"/>
  <c r="BA246" i="24"/>
  <c r="AX178" i="25"/>
  <c r="AW178" i="25"/>
  <c r="AF61" i="25"/>
  <c r="AE61" i="25"/>
  <c r="AM283" i="25"/>
  <c r="AJ283" i="25"/>
  <c r="AF176" i="25"/>
  <c r="AE176" i="25"/>
  <c r="AK123" i="24"/>
  <c r="AN123" i="24"/>
  <c r="AK137" i="24"/>
  <c r="AN137" i="24"/>
  <c r="AN272" i="24"/>
  <c r="BI272" i="24" s="1"/>
  <c r="AK272" i="24"/>
  <c r="AF249" i="25"/>
  <c r="AE249" i="25"/>
  <c r="AS279" i="25"/>
  <c r="AF288" i="25"/>
  <c r="AE288" i="25"/>
  <c r="AT273" i="24"/>
  <c r="AN6" i="24"/>
  <c r="BI6" i="24" s="1"/>
  <c r="AK6" i="24"/>
  <c r="AK266" i="24"/>
  <c r="AN266" i="24"/>
  <c r="AN145" i="24"/>
  <c r="AK145" i="24"/>
  <c r="AF264" i="25"/>
  <c r="AE264" i="25"/>
  <c r="AK181" i="24"/>
  <c r="AN181" i="24"/>
  <c r="AJ238" i="25"/>
  <c r="AM238" i="25"/>
  <c r="BG238" i="25" s="1"/>
  <c r="BA244" i="24"/>
  <c r="AF73" i="25"/>
  <c r="AE73" i="25"/>
  <c r="AF80" i="25"/>
  <c r="AE80" i="25"/>
  <c r="AS101" i="25"/>
  <c r="AF144" i="25"/>
  <c r="AE144" i="25"/>
  <c r="AN8" i="24"/>
  <c r="AK8" i="24"/>
  <c r="AN94" i="24"/>
  <c r="AK94" i="24"/>
  <c r="AV12" i="24"/>
  <c r="AT12" i="24"/>
  <c r="AV37" i="24"/>
  <c r="AT37" i="24"/>
  <c r="AW167" i="25"/>
  <c r="AX167" i="25"/>
  <c r="AJ306" i="25"/>
  <c r="AM306" i="25"/>
  <c r="AK289" i="24"/>
  <c r="AN289" i="24"/>
  <c r="BI289" i="24" s="1"/>
  <c r="AJ95" i="25"/>
  <c r="AM95" i="25"/>
  <c r="BG95" i="25" s="1"/>
  <c r="AS223" i="25"/>
  <c r="AF252" i="25"/>
  <c r="AE252" i="25"/>
  <c r="AF163" i="25"/>
  <c r="AE163" i="25"/>
  <c r="AK144" i="24"/>
  <c r="AN144" i="24"/>
  <c r="BI144" i="24" s="1"/>
  <c r="AK42" i="24"/>
  <c r="AN42" i="24"/>
  <c r="AN122" i="24"/>
  <c r="BI122" i="24" s="1"/>
  <c r="AK122" i="24"/>
  <c r="AS133" i="25"/>
  <c r="AF210" i="25"/>
  <c r="AE210" i="25"/>
  <c r="BU132" i="24"/>
  <c r="AK198" i="24"/>
  <c r="AN198" i="24"/>
  <c r="BI198" i="24" s="1"/>
  <c r="AK210" i="24"/>
  <c r="AN210" i="24"/>
  <c r="AK161" i="24"/>
  <c r="AN161" i="24"/>
  <c r="AN270" i="24"/>
  <c r="AK270" i="24"/>
  <c r="AN255" i="24"/>
  <c r="BI255" i="24" s="1"/>
  <c r="AK255" i="24"/>
  <c r="AS98" i="25"/>
  <c r="AS209" i="25"/>
  <c r="AT260" i="24"/>
  <c r="AF74" i="25"/>
  <c r="AE74" i="25"/>
  <c r="AS150" i="25"/>
  <c r="AS188" i="25"/>
  <c r="AF15" i="25"/>
  <c r="AE15" i="25"/>
  <c r="AK172" i="24"/>
  <c r="AN172" i="24"/>
  <c r="AJ148" i="25"/>
  <c r="AM148" i="25"/>
  <c r="BG148" i="25" s="1"/>
  <c r="AF105" i="25"/>
  <c r="AE105" i="25"/>
  <c r="AN52" i="24"/>
  <c r="AK52" i="24"/>
  <c r="BA173" i="24"/>
  <c r="BA287" i="24"/>
  <c r="AK258" i="24"/>
  <c r="AN258" i="24"/>
  <c r="BA159" i="24"/>
  <c r="AF241" i="25"/>
  <c r="AE241" i="25"/>
  <c r="AK98" i="24"/>
  <c r="AN98" i="24"/>
  <c r="AN127" i="24"/>
  <c r="AK127" i="24"/>
  <c r="AS47" i="25"/>
  <c r="AF65" i="25"/>
  <c r="AE65" i="25"/>
  <c r="AK10" i="24"/>
  <c r="AN10" i="24"/>
  <c r="AS236" i="24"/>
  <c r="AU236" i="24" s="1"/>
  <c r="BB236" i="24" s="1"/>
  <c r="BJ236" i="24"/>
  <c r="AQ236" i="24"/>
  <c r="AF285" i="25"/>
  <c r="AE285" i="25"/>
  <c r="AF145" i="25"/>
  <c r="AE145" i="25"/>
  <c r="AN177" i="24"/>
  <c r="BI177" i="24" s="1"/>
  <c r="AK177" i="24"/>
  <c r="BA210" i="24"/>
  <c r="AF25" i="25"/>
  <c r="AE25" i="25"/>
  <c r="AS119" i="25"/>
  <c r="AS315" i="25"/>
  <c r="AF130" i="25"/>
  <c r="AE130" i="25"/>
  <c r="AF128" i="25"/>
  <c r="AE128" i="25"/>
  <c r="AN35" i="24"/>
  <c r="AK35" i="24"/>
  <c r="AF193" i="25"/>
  <c r="AE193" i="25"/>
  <c r="AK285" i="24"/>
  <c r="AN285" i="24"/>
  <c r="BI285" i="24" s="1"/>
  <c r="AN228" i="24"/>
  <c r="AK228" i="24"/>
  <c r="BA250" i="24"/>
  <c r="AS162" i="24"/>
  <c r="BJ162" i="24"/>
  <c r="AQ162" i="24"/>
  <c r="BW162" i="24"/>
  <c r="AX162" i="24"/>
  <c r="BH162" i="24"/>
  <c r="BU162" i="24"/>
  <c r="AS260" i="25"/>
  <c r="AF197" i="25"/>
  <c r="AE197" i="25"/>
  <c r="AN227" i="24"/>
  <c r="BI227" i="24" s="1"/>
  <c r="AK227" i="24"/>
  <c r="AT274" i="24"/>
  <c r="AF165" i="25"/>
  <c r="AE165" i="25"/>
  <c r="AS268" i="25"/>
  <c r="AK134" i="24"/>
  <c r="AN134" i="24"/>
  <c r="BI134" i="24" s="1"/>
  <c r="BA182" i="24"/>
  <c r="AN93" i="24"/>
  <c r="AK93" i="24"/>
  <c r="AJ161" i="25"/>
  <c r="AM161" i="25"/>
  <c r="AX30" i="25"/>
  <c r="AW30" i="25"/>
  <c r="AN74" i="24"/>
  <c r="AK74" i="24"/>
  <c r="AK71" i="24"/>
  <c r="AN71" i="24"/>
  <c r="AF81" i="25"/>
  <c r="AE81" i="25"/>
  <c r="AF141" i="25"/>
  <c r="AE141" i="25"/>
  <c r="AK99" i="24"/>
  <c r="AN99" i="24"/>
  <c r="AF85" i="25"/>
  <c r="AE85" i="25"/>
  <c r="AN103" i="24"/>
  <c r="AK103" i="24"/>
  <c r="AS286" i="25"/>
  <c r="AS271" i="25"/>
  <c r="AN130" i="24"/>
  <c r="AK130" i="24"/>
  <c r="AM178" i="25"/>
  <c r="BG178" i="25" s="1"/>
  <c r="AJ178" i="25"/>
  <c r="BA178" i="24"/>
  <c r="AS278" i="25"/>
  <c r="AV58" i="24"/>
  <c r="AT58" i="24"/>
  <c r="AS166" i="25"/>
  <c r="AX62" i="25"/>
  <c r="AW62" i="25"/>
  <c r="AM204" i="25"/>
  <c r="BG204" i="25" s="1"/>
  <c r="AJ204" i="25"/>
  <c r="AT249" i="24"/>
  <c r="AF298" i="25"/>
  <c r="AE298" i="25"/>
  <c r="AK100" i="24"/>
  <c r="AN100" i="24"/>
  <c r="AS76" i="25"/>
  <c r="AK12" i="24"/>
  <c r="AN12" i="24"/>
  <c r="CE12" i="24" s="1"/>
  <c r="AF157" i="25"/>
  <c r="AE157" i="25"/>
  <c r="AS45" i="24"/>
  <c r="AQ45" i="24"/>
  <c r="BJ45" i="24"/>
  <c r="BH45" i="24"/>
  <c r="BW45" i="24"/>
  <c r="AX45" i="24"/>
  <c r="AJ192" i="25"/>
  <c r="AM192" i="25"/>
  <c r="AF112" i="25"/>
  <c r="AE112" i="25"/>
  <c r="BA251" i="24"/>
  <c r="AK68" i="24"/>
  <c r="AN68" i="24"/>
  <c r="AK225" i="24"/>
  <c r="AN225" i="24"/>
  <c r="BI225" i="24" s="1"/>
  <c r="AS83" i="25"/>
  <c r="AN9" i="24"/>
  <c r="AK9" i="24"/>
  <c r="AS69" i="25"/>
  <c r="AK297" i="24"/>
  <c r="AN297" i="24"/>
  <c r="BI297" i="24" s="1"/>
  <c r="AS84" i="25"/>
  <c r="AS184" i="25"/>
  <c r="AM167" i="25"/>
  <c r="BG167" i="25" s="1"/>
  <c r="AJ167" i="25"/>
  <c r="AF279" i="25"/>
  <c r="AE279" i="25"/>
  <c r="AS303" i="25"/>
  <c r="BA168" i="24"/>
  <c r="AS117" i="25"/>
  <c r="AN34" i="24"/>
  <c r="AK34" i="24"/>
  <c r="AT147" i="24"/>
  <c r="AT130" i="24"/>
  <c r="AK64" i="24"/>
  <c r="AN64" i="24"/>
  <c r="AF101" i="25"/>
  <c r="AE101" i="25"/>
  <c r="AS139" i="25"/>
  <c r="AS297" i="25"/>
  <c r="AS216" i="25"/>
  <c r="AN115" i="24"/>
  <c r="BI115" i="24" s="1"/>
  <c r="AK115" i="24"/>
  <c r="AJ261" i="25"/>
  <c r="AM261" i="25"/>
  <c r="AK222" i="24"/>
  <c r="AK173" i="24"/>
  <c r="AN173" i="24"/>
  <c r="AF223" i="25"/>
  <c r="AE223" i="25"/>
  <c r="AK256" i="24"/>
  <c r="AN256" i="24"/>
  <c r="BI256" i="24" s="1"/>
  <c r="AS103" i="25"/>
  <c r="AS194" i="25"/>
  <c r="AT219" i="24"/>
  <c r="AR143" i="25"/>
  <c r="BJ143" i="25"/>
  <c r="AP143" i="25"/>
  <c r="BH143" i="25"/>
  <c r="BF143" i="25"/>
  <c r="BU143" i="25"/>
  <c r="BW143" i="25"/>
  <c r="AS151" i="25"/>
  <c r="AS203" i="25"/>
  <c r="AF133" i="25"/>
  <c r="AE133" i="25"/>
  <c r="AN143" i="24"/>
  <c r="BI143" i="24" s="1"/>
  <c r="AK143" i="24"/>
  <c r="AV48" i="24"/>
  <c r="AT48" i="24"/>
  <c r="AK136" i="24"/>
  <c r="AN136" i="24"/>
  <c r="BI136" i="24" s="1"/>
  <c r="BH132" i="24"/>
  <c r="AT114" i="24"/>
  <c r="AN118" i="24"/>
  <c r="AK118" i="24"/>
  <c r="AN140" i="24"/>
  <c r="BI140" i="24" s="1"/>
  <c r="AK140" i="24"/>
  <c r="AS233" i="25"/>
  <c r="AN158" i="24"/>
  <c r="BI158" i="24" s="1"/>
  <c r="AK158" i="24"/>
  <c r="AS160" i="25"/>
  <c r="BA167" i="24"/>
  <c r="AF98" i="25"/>
  <c r="AE98" i="25"/>
  <c r="AS16" i="25"/>
  <c r="AF209" i="25"/>
  <c r="AE209" i="25"/>
  <c r="BA193" i="24"/>
  <c r="AJ296" i="25"/>
  <c r="AM296" i="25"/>
  <c r="AN170" i="24"/>
  <c r="AK170" i="24"/>
  <c r="AK304" i="24"/>
  <c r="AN304" i="24"/>
  <c r="AS294" i="24"/>
  <c r="BJ294" i="24"/>
  <c r="AQ294" i="24"/>
  <c r="AX294" i="24"/>
  <c r="BH294" i="24"/>
  <c r="BW294" i="24"/>
  <c r="BU294" i="24"/>
  <c r="AF150" i="25"/>
  <c r="AE150" i="25"/>
  <c r="AS205" i="25"/>
  <c r="AN186" i="24"/>
  <c r="AK186" i="24"/>
  <c r="AF188" i="25"/>
  <c r="AE188" i="25"/>
  <c r="AK250" i="24"/>
  <c r="AN250" i="24"/>
  <c r="AN308" i="24"/>
  <c r="BI308" i="24" s="1"/>
  <c r="AK308" i="24"/>
  <c r="BA166" i="24"/>
  <c r="BA199" i="24"/>
  <c r="BA202" i="24"/>
  <c r="BA222" i="24"/>
  <c r="AS8" i="25"/>
  <c r="AN313" i="24"/>
  <c r="BI313" i="24" s="1"/>
  <c r="AK313" i="24"/>
  <c r="AS219" i="25"/>
  <c r="BA229" i="24"/>
  <c r="AF47" i="25"/>
  <c r="AE47" i="25"/>
  <c r="AN163" i="24"/>
  <c r="AK163" i="24"/>
  <c r="BA146" i="24"/>
  <c r="AS142" i="25"/>
  <c r="AT112" i="24"/>
  <c r="BA198" i="24"/>
  <c r="BA118" i="24"/>
  <c r="AF119" i="25"/>
  <c r="AE119" i="25"/>
  <c r="AF315" i="25"/>
  <c r="AE315" i="25"/>
  <c r="BA158" i="24"/>
  <c r="AK148" i="24"/>
  <c r="AN148" i="24"/>
  <c r="AK24" i="24"/>
  <c r="AN24" i="24"/>
  <c r="AS140" i="25"/>
  <c r="AK133" i="24"/>
  <c r="AN133" i="24"/>
  <c r="BA170" i="24"/>
  <c r="AN97" i="24"/>
  <c r="AK97" i="24"/>
  <c r="BA201" i="24"/>
  <c r="AX114" i="25"/>
  <c r="AW114" i="25"/>
  <c r="AF260" i="25"/>
  <c r="AE260" i="25"/>
  <c r="BA276" i="24"/>
  <c r="BA179" i="24"/>
  <c r="AN141" i="24"/>
  <c r="BI141" i="24" s="1"/>
  <c r="AK141" i="24"/>
  <c r="AK49" i="24"/>
  <c r="AN49" i="24"/>
  <c r="CE49" i="24" s="1"/>
  <c r="AK184" i="24"/>
  <c r="AN184" i="24"/>
  <c r="BI184" i="24" s="1"/>
  <c r="AS256" i="25"/>
  <c r="AF268" i="25"/>
  <c r="AE268" i="25"/>
  <c r="AK50" i="24"/>
  <c r="AN50" i="24"/>
  <c r="AS50" i="25"/>
  <c r="AK40" i="24"/>
  <c r="AN40" i="24"/>
  <c r="AN87" i="24"/>
  <c r="AK87" i="24"/>
  <c r="AK293" i="24"/>
  <c r="AN293" i="24"/>
  <c r="BI293" i="24" s="1"/>
  <c r="AS115" i="25"/>
  <c r="AN73" i="24"/>
  <c r="AK73" i="24"/>
  <c r="AM232" i="25"/>
  <c r="BG232" i="25" s="1"/>
  <c r="AJ232" i="25"/>
  <c r="AV28" i="24"/>
  <c r="AT28" i="24"/>
  <c r="AN76" i="24"/>
  <c r="AK76" i="24"/>
  <c r="AS308" i="25"/>
  <c r="AK139" i="24"/>
  <c r="AN139" i="24"/>
  <c r="AF286" i="25"/>
  <c r="AE286" i="25"/>
  <c r="AF271" i="25"/>
  <c r="AE271" i="25"/>
  <c r="AT148" i="24"/>
  <c r="AF278" i="25"/>
  <c r="AE278" i="25"/>
  <c r="AF166" i="25"/>
  <c r="AE166" i="25"/>
  <c r="AN306" i="24"/>
  <c r="AK306" i="24"/>
  <c r="AV35" i="24"/>
  <c r="AT35" i="24"/>
  <c r="AV26" i="24"/>
  <c r="AT26" i="24"/>
  <c r="AS119" i="24"/>
  <c r="AQ119" i="24"/>
  <c r="BJ119" i="24"/>
  <c r="AX119" i="24"/>
  <c r="BH119" i="24"/>
  <c r="BW119" i="24"/>
  <c r="BU119" i="24"/>
  <c r="AF76" i="25"/>
  <c r="AE76" i="25"/>
  <c r="AS134" i="25"/>
  <c r="BA138" i="24"/>
  <c r="AW11" i="25"/>
  <c r="AX11" i="25"/>
  <c r="BL160" i="24"/>
  <c r="AS160" i="24"/>
  <c r="BJ160" i="24"/>
  <c r="AQ160" i="24"/>
  <c r="BW160" i="24"/>
  <c r="BU160" i="24"/>
  <c r="AX160" i="24"/>
  <c r="BH160" i="24"/>
  <c r="AF302" i="25"/>
  <c r="AE302" i="25"/>
  <c r="AN207" i="24"/>
  <c r="BI207" i="24" s="1"/>
  <c r="AK207" i="24"/>
  <c r="BA205" i="24"/>
  <c r="AS122" i="25"/>
  <c r="AS153" i="25"/>
  <c r="AF83" i="25"/>
  <c r="AE83" i="25"/>
  <c r="AS310" i="25"/>
  <c r="AS217" i="25"/>
  <c r="AS171" i="25"/>
  <c r="AF69" i="25"/>
  <c r="AE69" i="25"/>
  <c r="AF84" i="25"/>
  <c r="AE84" i="25"/>
  <c r="AF184" i="25"/>
  <c r="AE184" i="25"/>
  <c r="AS22" i="25"/>
  <c r="AS56" i="25"/>
  <c r="AK114" i="24"/>
  <c r="AN114" i="24"/>
  <c r="AS207" i="25"/>
  <c r="AF303" i="25"/>
  <c r="AE303" i="25"/>
  <c r="AS55" i="25"/>
  <c r="AF117" i="25"/>
  <c r="AE117" i="25"/>
  <c r="AJ186" i="25"/>
  <c r="AM186" i="25"/>
  <c r="AN315" i="24"/>
  <c r="BI315" i="24" s="1"/>
  <c r="AK315" i="24"/>
  <c r="BA306" i="24"/>
  <c r="AK259" i="24"/>
  <c r="AN259" i="24"/>
  <c r="AS149" i="25"/>
  <c r="AF139" i="25"/>
  <c r="AE139" i="25"/>
  <c r="AK260" i="24"/>
  <c r="AN260" i="24"/>
  <c r="BI260" i="24" s="1"/>
  <c r="AF297" i="25"/>
  <c r="AE297" i="25"/>
  <c r="AN84" i="24"/>
  <c r="CE84" i="24" s="1"/>
  <c r="AK84" i="24"/>
  <c r="AK157" i="24"/>
  <c r="AN157" i="24"/>
  <c r="AF216" i="25"/>
  <c r="AE216" i="25"/>
  <c r="AT284" i="24"/>
  <c r="AN166" i="24"/>
  <c r="AK166" i="24"/>
  <c r="AS7" i="24"/>
  <c r="BJ7" i="24"/>
  <c r="AQ7" i="24"/>
  <c r="BW7" i="24"/>
  <c r="AX7" i="24"/>
  <c r="BH7" i="24"/>
  <c r="AK31" i="24"/>
  <c r="AN31" i="24"/>
  <c r="BA209" i="24"/>
  <c r="AK291" i="24"/>
  <c r="AN291" i="24"/>
  <c r="BI291" i="24" s="1"/>
  <c r="AT299" i="24"/>
  <c r="AN180" i="24"/>
  <c r="AK180" i="24"/>
  <c r="AF103" i="25"/>
  <c r="AE103" i="25"/>
  <c r="AF194" i="25"/>
  <c r="AE194" i="25"/>
  <c r="AS38" i="25"/>
  <c r="AS35" i="25"/>
  <c r="AX186" i="25"/>
  <c r="AW186" i="25"/>
  <c r="AK88" i="24"/>
  <c r="AN88" i="24"/>
  <c r="AF151" i="25"/>
  <c r="AE151" i="25"/>
  <c r="AF203" i="25"/>
  <c r="AE203" i="25"/>
  <c r="AT123" i="24"/>
  <c r="AT297" i="24"/>
  <c r="AS27" i="25"/>
  <c r="AN208" i="24"/>
  <c r="AK208" i="24"/>
  <c r="BA137" i="24"/>
  <c r="AW192" i="25"/>
  <c r="AX192" i="25"/>
  <c r="AX132" i="24"/>
  <c r="AK85" i="24"/>
  <c r="AN85" i="24"/>
  <c r="AS64" i="25"/>
  <c r="AV19" i="24"/>
  <c r="AT19" i="24"/>
  <c r="AF233" i="25"/>
  <c r="AE233" i="25"/>
  <c r="AN309" i="24"/>
  <c r="BI309" i="24" s="1"/>
  <c r="AK309" i="24"/>
  <c r="AS172" i="25"/>
  <c r="AN82" i="24"/>
  <c r="AK82" i="24"/>
  <c r="BA174" i="24"/>
  <c r="AF160" i="25"/>
  <c r="AE160" i="25"/>
  <c r="AT237" i="24"/>
  <c r="AF16" i="25"/>
  <c r="AE16" i="25"/>
  <c r="AM158" i="25"/>
  <c r="BG158" i="25" s="1"/>
  <c r="AJ158" i="25"/>
  <c r="AK77" i="24"/>
  <c r="AN77" i="24"/>
  <c r="AK245" i="24"/>
  <c r="AN245" i="24"/>
  <c r="AM13" i="25"/>
  <c r="BG13" i="25" s="1"/>
  <c r="AJ13" i="25"/>
  <c r="AS51" i="25"/>
  <c r="AS304" i="25"/>
  <c r="AF205" i="25"/>
  <c r="AE205" i="25"/>
  <c r="AN65" i="24"/>
  <c r="CE65" i="24" s="1"/>
  <c r="AK65" i="24"/>
  <c r="AS78" i="25"/>
  <c r="AK14" i="24"/>
  <c r="AN14" i="24"/>
  <c r="BI14" i="24" s="1"/>
  <c r="AF8" i="25"/>
  <c r="AE8" i="25"/>
  <c r="AS52" i="25"/>
  <c r="AS126" i="25"/>
  <c r="BA300" i="24"/>
  <c r="BA144" i="24"/>
  <c r="AS309" i="25"/>
  <c r="AF219" i="25"/>
  <c r="AE219" i="25"/>
  <c r="AK262" i="24"/>
  <c r="AN262" i="24"/>
  <c r="BI262" i="24" s="1"/>
  <c r="AS23" i="25"/>
  <c r="AN241" i="24"/>
  <c r="BI241" i="24" s="1"/>
  <c r="AK241" i="24"/>
  <c r="AN203" i="24"/>
  <c r="AK203" i="24"/>
  <c r="AK302" i="24"/>
  <c r="AN302" i="24"/>
  <c r="AF142" i="25"/>
  <c r="AE142" i="25"/>
  <c r="AK95" i="24"/>
  <c r="AN95" i="24"/>
  <c r="AK53" i="24"/>
  <c r="AN53" i="24"/>
  <c r="AK280" i="24"/>
  <c r="AN280" i="24"/>
  <c r="AN28" i="24"/>
  <c r="AK28" i="24"/>
  <c r="AN296" i="24"/>
  <c r="BI296" i="24" s="1"/>
  <c r="AK296" i="24"/>
  <c r="BA277" i="24"/>
  <c r="BA270" i="24"/>
  <c r="AK121" i="24"/>
  <c r="AN121" i="24"/>
  <c r="AS316" i="25"/>
  <c r="AN189" i="24"/>
  <c r="BI189" i="24" s="1"/>
  <c r="AK189" i="24"/>
  <c r="AN178" i="24"/>
  <c r="AK178" i="24"/>
  <c r="AK269" i="24"/>
  <c r="AN269" i="24"/>
  <c r="CE269" i="24" s="1"/>
  <c r="AF140" i="25"/>
  <c r="AE140" i="25"/>
  <c r="AN111" i="24"/>
  <c r="AK111" i="24"/>
  <c r="AS72" i="25"/>
  <c r="AN249" i="24"/>
  <c r="AK249" i="24"/>
  <c r="BA304" i="24"/>
  <c r="AS75" i="25"/>
  <c r="AW190" i="25"/>
  <c r="AX190" i="25"/>
  <c r="AJ198" i="25"/>
  <c r="AM198" i="25"/>
  <c r="BG198" i="25" s="1"/>
  <c r="AS242" i="25"/>
  <c r="AJ147" i="25"/>
  <c r="AM147" i="25"/>
  <c r="BA308" i="24"/>
  <c r="AK206" i="24"/>
  <c r="AN206" i="24"/>
  <c r="AN36" i="24"/>
  <c r="AK36" i="24"/>
  <c r="AF256" i="25"/>
  <c r="AE256" i="25"/>
  <c r="AS224" i="25"/>
  <c r="AS263" i="25"/>
  <c r="AF50" i="25"/>
  <c r="AE50" i="25"/>
  <c r="AF115" i="25"/>
  <c r="AE115" i="25"/>
  <c r="AK16" i="24"/>
  <c r="AN16" i="24"/>
  <c r="AT298" i="24"/>
  <c r="AF308" i="25"/>
  <c r="AE308" i="25"/>
  <c r="AN102" i="24"/>
  <c r="AK102" i="24"/>
  <c r="AX94" i="25"/>
  <c r="AW94" i="25"/>
  <c r="AJ282" i="25"/>
  <c r="AM282" i="25"/>
  <c r="BG282" i="25" s="1"/>
  <c r="AS24" i="25"/>
  <c r="AV51" i="24"/>
  <c r="AT51" i="24"/>
  <c r="AN66" i="24"/>
  <c r="BI66" i="24" s="1"/>
  <c r="AK66" i="24"/>
  <c r="AS48" i="25"/>
  <c r="AS152" i="25"/>
  <c r="AX161" i="25"/>
  <c r="AW161" i="25"/>
  <c r="AT228" i="24"/>
  <c r="AF134" i="25"/>
  <c r="AE134" i="25"/>
  <c r="AS222" i="25"/>
  <c r="AS253" i="25"/>
  <c r="BA221" i="24"/>
  <c r="AK265" i="24"/>
  <c r="AN265" i="24"/>
  <c r="BI265" i="24" s="1"/>
  <c r="AK32" i="24"/>
  <c r="AN32" i="24"/>
  <c r="CE32" i="24" s="1"/>
  <c r="AK267" i="24"/>
  <c r="AN267" i="24"/>
  <c r="AS182" i="25"/>
  <c r="AK120" i="24"/>
  <c r="AN120" i="24"/>
  <c r="BA141" i="24"/>
  <c r="AF122" i="25"/>
  <c r="AE122" i="25"/>
  <c r="AS40" i="25"/>
  <c r="BA150" i="24"/>
  <c r="AF182" i="25"/>
  <c r="AE182" i="25"/>
  <c r="AN283" i="24"/>
  <c r="AK283" i="24"/>
  <c r="BA217" i="24"/>
  <c r="BA292" i="24"/>
  <c r="AF153" i="25"/>
  <c r="AE153" i="25"/>
  <c r="BA234" i="24"/>
  <c r="AF310" i="25"/>
  <c r="AE310" i="25"/>
  <c r="AF217" i="25"/>
  <c r="AE217" i="25"/>
  <c r="AF171" i="25"/>
  <c r="AE171" i="25"/>
  <c r="AF22" i="25"/>
  <c r="AE22" i="25"/>
  <c r="AF56" i="25"/>
  <c r="AE56" i="25"/>
  <c r="AF207" i="25"/>
  <c r="AE207" i="25"/>
  <c r="AF55" i="25"/>
  <c r="AE55" i="25"/>
  <c r="AK129" i="24"/>
  <c r="AN129" i="24"/>
  <c r="AS146" i="25"/>
  <c r="AN238" i="24"/>
  <c r="BI238" i="24" s="1"/>
  <c r="AK238" i="24"/>
  <c r="AK18" i="24"/>
  <c r="AN18" i="24"/>
  <c r="AN174" i="24"/>
  <c r="AK174" i="24"/>
  <c r="AN237" i="24"/>
  <c r="AK237" i="24"/>
  <c r="AS10" i="25"/>
  <c r="AF149" i="25"/>
  <c r="AE149" i="25"/>
  <c r="AK247" i="24"/>
  <c r="AN247" i="24"/>
  <c r="AT152" i="24"/>
  <c r="AK314" i="24"/>
  <c r="AN314" i="24"/>
  <c r="AN59" i="24"/>
  <c r="AK59" i="24"/>
  <c r="AS236" i="25"/>
  <c r="BA312" i="24"/>
  <c r="AT120" i="24"/>
  <c r="AK151" i="24"/>
  <c r="AN151" i="24"/>
  <c r="AS17" i="25"/>
  <c r="AK287" i="24"/>
  <c r="AN287" i="24"/>
  <c r="AK159" i="24"/>
  <c r="AN159" i="24"/>
  <c r="BI159" i="24" s="1"/>
  <c r="AT283" i="24"/>
  <c r="AT128" i="24"/>
  <c r="AF38" i="25"/>
  <c r="AE38" i="25"/>
  <c r="AF35" i="25"/>
  <c r="AE35" i="25"/>
  <c r="AK92" i="24"/>
  <c r="AN92" i="24"/>
  <c r="AS190" i="24"/>
  <c r="BL190" i="24"/>
  <c r="AQ190" i="24"/>
  <c r="BJ190" i="24"/>
  <c r="BH190" i="24"/>
  <c r="BU190" i="24"/>
  <c r="BW190" i="24"/>
  <c r="AX190" i="24"/>
  <c r="AV56" i="24"/>
  <c r="AT56" i="24"/>
  <c r="AS225" i="25"/>
  <c r="AF27" i="25"/>
  <c r="AE27" i="25"/>
  <c r="AK277" i="24"/>
  <c r="AN277" i="24"/>
  <c r="AF64" i="25"/>
  <c r="AE64" i="25"/>
  <c r="AN187" i="24"/>
  <c r="BI187" i="24" s="1"/>
  <c r="AK187" i="24"/>
  <c r="AX92" i="25"/>
  <c r="AW92" i="25"/>
  <c r="AT129" i="24"/>
  <c r="AT235" i="24"/>
  <c r="AK268" i="24"/>
  <c r="AN268" i="24"/>
  <c r="BI268" i="24" s="1"/>
  <c r="AV18" i="24"/>
  <c r="AT18" i="24"/>
  <c r="AF172" i="25"/>
  <c r="AE172" i="25"/>
  <c r="AV20" i="24"/>
  <c r="AT20" i="24"/>
  <c r="AV30" i="24"/>
  <c r="AT30" i="24"/>
  <c r="BA181" i="24"/>
  <c r="AS123" i="25"/>
  <c r="BA315" i="24"/>
  <c r="AT259" i="24"/>
  <c r="AS200" i="25"/>
  <c r="AF51" i="25"/>
  <c r="AE51" i="25"/>
  <c r="AF304" i="25"/>
  <c r="AE304" i="25"/>
  <c r="AK204" i="24"/>
  <c r="AN204" i="24"/>
  <c r="AK138" i="24"/>
  <c r="AN138" i="24"/>
  <c r="BI138" i="24" s="1"/>
  <c r="AN81" i="24"/>
  <c r="AK81" i="24"/>
  <c r="BA115" i="24"/>
  <c r="AF78" i="25"/>
  <c r="AE78" i="25"/>
  <c r="AN131" i="24"/>
  <c r="BI131" i="24" s="1"/>
  <c r="AK131" i="24"/>
  <c r="BA288" i="24"/>
  <c r="AF52" i="25"/>
  <c r="AE52" i="25"/>
  <c r="AS57" i="25"/>
  <c r="AF126" i="25"/>
  <c r="AE126" i="25"/>
  <c r="AN69" i="24"/>
  <c r="CE69" i="24" s="1"/>
  <c r="AK69" i="24"/>
  <c r="AF309" i="25"/>
  <c r="AE309" i="25"/>
  <c r="AW173" i="25"/>
  <c r="AX173" i="25"/>
  <c r="AF23" i="25"/>
  <c r="AE23" i="25"/>
  <c r="AM201" i="25"/>
  <c r="BG201" i="25" s="1"/>
  <c r="AJ201" i="25"/>
  <c r="AX21" i="25"/>
  <c r="AW21" i="25"/>
  <c r="BA143" i="24"/>
  <c r="BA169" i="24"/>
  <c r="AJ71" i="25"/>
  <c r="AM71" i="25"/>
  <c r="AJ87" i="25"/>
  <c r="AM87" i="25"/>
  <c r="BG87" i="25" s="1"/>
  <c r="AK305" i="24"/>
  <c r="AN305" i="24"/>
  <c r="CE305" i="24" s="1"/>
  <c r="AS220" i="25"/>
  <c r="AF316" i="25"/>
  <c r="AE316" i="25"/>
  <c r="AS79" i="25"/>
  <c r="BA307" i="24"/>
  <c r="BA255" i="24"/>
  <c r="BA309" i="24"/>
  <c r="AN246" i="24"/>
  <c r="BI246" i="24" s="1"/>
  <c r="AK246" i="24"/>
  <c r="AS195" i="25"/>
  <c r="AS137" i="25"/>
  <c r="AF72" i="25"/>
  <c r="AE72" i="25"/>
  <c r="AF75" i="25"/>
  <c r="AE75" i="25"/>
  <c r="AX71" i="25"/>
  <c r="AW71" i="25"/>
  <c r="AJ30" i="25"/>
  <c r="AM30" i="25"/>
  <c r="AF242" i="25"/>
  <c r="AE242" i="25"/>
  <c r="BA275" i="24"/>
  <c r="BA194" i="24"/>
  <c r="AS39" i="25"/>
  <c r="AS49" i="25"/>
  <c r="BA254" i="24"/>
  <c r="BA172" i="24"/>
  <c r="AK221" i="24"/>
  <c r="AN221" i="24"/>
  <c r="BI221" i="24" s="1"/>
  <c r="AS264" i="24"/>
  <c r="AU264" i="24" s="1"/>
  <c r="BB264" i="24" s="1"/>
  <c r="AQ264" i="24"/>
  <c r="BJ264" i="24"/>
  <c r="AT258" i="24"/>
  <c r="AF224" i="25"/>
  <c r="AE224" i="25"/>
  <c r="BA262" i="24"/>
  <c r="AF263" i="25"/>
  <c r="AE263" i="25"/>
  <c r="BA163" i="24"/>
  <c r="AN154" i="24"/>
  <c r="BI154" i="24" s="1"/>
  <c r="AK154" i="24"/>
  <c r="AN75" i="24"/>
  <c r="AK75" i="24"/>
  <c r="BA303" i="24"/>
  <c r="AM267" i="25"/>
  <c r="AJ267" i="25"/>
  <c r="AK232" i="24"/>
  <c r="AN232" i="24"/>
  <c r="AT280" i="24"/>
  <c r="AS191" i="25"/>
  <c r="AN273" i="24"/>
  <c r="AK273" i="24"/>
  <c r="AS230" i="25"/>
  <c r="AN168" i="24"/>
  <c r="AK168" i="24"/>
  <c r="AK147" i="24"/>
  <c r="AN147" i="24"/>
  <c r="BI147" i="24" s="1"/>
  <c r="AR110" i="25"/>
  <c r="BJ110" i="25"/>
  <c r="BH110" i="25"/>
  <c r="AP110" i="25"/>
  <c r="BU110" i="25"/>
  <c r="BW110" i="25"/>
  <c r="BF110" i="25"/>
  <c r="AK60" i="24"/>
  <c r="AN60" i="24"/>
  <c r="AN192" i="24"/>
  <c r="BI192" i="24" s="1"/>
  <c r="AK192" i="24"/>
  <c r="AV24" i="24"/>
  <c r="AT24" i="24"/>
  <c r="AV54" i="24"/>
  <c r="AT54" i="24"/>
  <c r="AK67" i="24"/>
  <c r="AN67" i="24"/>
  <c r="AF24" i="25"/>
  <c r="AE24" i="25"/>
  <c r="AS187" i="25"/>
  <c r="AF48" i="25"/>
  <c r="AE48" i="25"/>
  <c r="AF152" i="25"/>
  <c r="AE152" i="25"/>
  <c r="AS125" i="25"/>
  <c r="AK78" i="24"/>
  <c r="AN78" i="24"/>
  <c r="BI78" i="24" s="1"/>
  <c r="AX82" i="25"/>
  <c r="AW82" i="25"/>
  <c r="AN242" i="24"/>
  <c r="AK242" i="24"/>
  <c r="AS111" i="25"/>
  <c r="AF222" i="25"/>
  <c r="AE222" i="25"/>
  <c r="AF253" i="25"/>
  <c r="AE253" i="25"/>
  <c r="BI181" i="24" l="1"/>
  <c r="CE181" i="24"/>
  <c r="BI146" i="24"/>
  <c r="CE146" i="24"/>
  <c r="BG261" i="25"/>
  <c r="CE261" i="25"/>
  <c r="BI223" i="24"/>
  <c r="BL223" i="24" s="1"/>
  <c r="CE223" i="24"/>
  <c r="BG248" i="25"/>
  <c r="BJ248" i="25" s="1"/>
  <c r="CE248" i="25"/>
  <c r="BI217" i="24"/>
  <c r="CE217" i="24"/>
  <c r="BI314" i="24"/>
  <c r="BL314" i="24" s="1"/>
  <c r="CE314" i="24"/>
  <c r="BG31" i="25"/>
  <c r="BJ31" i="25" s="1"/>
  <c r="CE31" i="25"/>
  <c r="BI245" i="24"/>
  <c r="BL245" i="24" s="1"/>
  <c r="CE245" i="24"/>
  <c r="BG243" i="25"/>
  <c r="CE243" i="25"/>
  <c r="BG296" i="25"/>
  <c r="BJ296" i="25" s="1"/>
  <c r="CE296" i="25"/>
  <c r="AM189" i="25"/>
  <c r="BG189" i="25" s="1"/>
  <c r="BJ189" i="25" s="1"/>
  <c r="BG257" i="25"/>
  <c r="BJ257" i="25" s="1"/>
  <c r="CE257" i="25"/>
  <c r="AM155" i="25"/>
  <c r="BG155" i="25" s="1"/>
  <c r="BJ155" i="25" s="1"/>
  <c r="BI174" i="24"/>
  <c r="BL174" i="24" s="1"/>
  <c r="CE174" i="24"/>
  <c r="BI188" i="24"/>
  <c r="BL188" i="24" s="1"/>
  <c r="CE188" i="24"/>
  <c r="BI172" i="24"/>
  <c r="BL172" i="24" s="1"/>
  <c r="CE172" i="24"/>
  <c r="BI175" i="24"/>
  <c r="BL175" i="24" s="1"/>
  <c r="CE175" i="24"/>
  <c r="BG267" i="25"/>
  <c r="CE267" i="25"/>
  <c r="BI270" i="24"/>
  <c r="BL270" i="24" s="1"/>
  <c r="CE270" i="24"/>
  <c r="BI150" i="24"/>
  <c r="BL150" i="24" s="1"/>
  <c r="CE150" i="24"/>
  <c r="BI118" i="24"/>
  <c r="BL118" i="24" s="1"/>
  <c r="CE118" i="24"/>
  <c r="BG113" i="25"/>
  <c r="BJ113" i="25" s="1"/>
  <c r="CE113" i="25"/>
  <c r="AX155" i="24"/>
  <c r="BI155" i="24"/>
  <c r="BL155" i="24" s="1"/>
  <c r="CE277" i="24"/>
  <c r="BI277" i="24"/>
  <c r="BL277" i="24" s="1"/>
  <c r="CE287" i="24"/>
  <c r="BI287" i="24"/>
  <c r="BL287" i="24" s="1"/>
  <c r="AX267" i="24"/>
  <c r="BI267" i="24"/>
  <c r="BL267" i="24" s="1"/>
  <c r="CE302" i="24"/>
  <c r="BI302" i="24"/>
  <c r="BL302" i="24" s="1"/>
  <c r="BH259" i="24"/>
  <c r="BI259" i="24"/>
  <c r="BL259" i="24" s="1"/>
  <c r="CE139" i="24"/>
  <c r="BI139" i="24"/>
  <c r="BL139" i="24" s="1"/>
  <c r="CE250" i="24"/>
  <c r="BI250" i="24"/>
  <c r="BL250" i="24" s="1"/>
  <c r="CE161" i="25"/>
  <c r="BG161" i="25"/>
  <c r="BJ161" i="25" s="1"/>
  <c r="BU123" i="24"/>
  <c r="BI123" i="24"/>
  <c r="BL123" i="24" s="1"/>
  <c r="CE170" i="25"/>
  <c r="BG170" i="25"/>
  <c r="BJ170" i="25" s="1"/>
  <c r="CE310" i="24"/>
  <c r="BI310" i="24"/>
  <c r="BL310" i="24" s="1"/>
  <c r="BH279" i="24"/>
  <c r="BI279" i="24"/>
  <c r="BL279" i="24" s="1"/>
  <c r="AX282" i="24"/>
  <c r="BI282" i="24"/>
  <c r="BL282" i="24" s="1"/>
  <c r="CE305" i="25"/>
  <c r="BG305" i="25"/>
  <c r="BJ305" i="25" s="1"/>
  <c r="CE174" i="25"/>
  <c r="BG174" i="25"/>
  <c r="BJ174" i="25" s="1"/>
  <c r="AX235" i="24"/>
  <c r="BI235" i="24"/>
  <c r="BL235" i="24" s="1"/>
  <c r="AX129" i="24"/>
  <c r="BI129" i="24"/>
  <c r="BL129" i="24" s="1"/>
  <c r="BU153" i="24"/>
  <c r="BI153" i="24"/>
  <c r="BL153" i="24" s="1"/>
  <c r="BU224" i="24"/>
  <c r="BI224" i="24"/>
  <c r="BL224" i="24" s="1"/>
  <c r="CE168" i="24"/>
  <c r="BI168" i="24"/>
  <c r="BL168" i="24" s="1"/>
  <c r="AX247" i="24"/>
  <c r="BI247" i="24"/>
  <c r="BL247" i="24" s="1"/>
  <c r="BU283" i="24"/>
  <c r="BI283" i="24"/>
  <c r="BL283" i="24" s="1"/>
  <c r="AX269" i="24"/>
  <c r="BI269" i="24"/>
  <c r="BL269" i="24" s="1"/>
  <c r="CE157" i="24"/>
  <c r="BI157" i="24"/>
  <c r="BL157" i="24" s="1"/>
  <c r="BU114" i="24"/>
  <c r="BI114" i="24"/>
  <c r="BL114" i="24" s="1"/>
  <c r="CE185" i="24"/>
  <c r="BI185" i="24"/>
  <c r="BL185" i="24" s="1"/>
  <c r="AX219" i="24"/>
  <c r="BI219" i="24"/>
  <c r="BL219" i="24" s="1"/>
  <c r="BW228" i="24"/>
  <c r="BI228" i="24"/>
  <c r="BL228" i="24" s="1"/>
  <c r="CE292" i="25"/>
  <c r="BG292" i="25"/>
  <c r="BJ292" i="25" s="1"/>
  <c r="CE186" i="25"/>
  <c r="BG186" i="25"/>
  <c r="BJ186" i="25" s="1"/>
  <c r="CE186" i="24"/>
  <c r="BI186" i="24"/>
  <c r="BL186" i="24" s="1"/>
  <c r="CE304" i="24"/>
  <c r="BI304" i="24"/>
  <c r="BL304" i="24" s="1"/>
  <c r="BW130" i="24"/>
  <c r="BI130" i="24"/>
  <c r="BL130" i="24" s="1"/>
  <c r="CE161" i="24"/>
  <c r="BI161" i="24"/>
  <c r="BL161" i="24" s="1"/>
  <c r="CE283" i="25"/>
  <c r="BG283" i="25"/>
  <c r="BJ283" i="25" s="1"/>
  <c r="CE173" i="25"/>
  <c r="BG173" i="25"/>
  <c r="BJ173" i="25" s="1"/>
  <c r="CE209" i="24"/>
  <c r="BI209" i="24"/>
  <c r="BL209" i="24" s="1"/>
  <c r="CE199" i="24"/>
  <c r="BI199" i="24"/>
  <c r="BL199" i="24" s="1"/>
  <c r="BW271" i="24"/>
  <c r="BI271" i="24"/>
  <c r="BL271" i="24" s="1"/>
  <c r="BH248" i="24"/>
  <c r="BI248" i="24"/>
  <c r="BL248" i="24" s="1"/>
  <c r="AX280" i="24"/>
  <c r="BI280" i="24"/>
  <c r="BL280" i="24" s="1"/>
  <c r="BU232" i="24"/>
  <c r="BI232" i="24"/>
  <c r="BL232" i="24" s="1"/>
  <c r="CE306" i="25"/>
  <c r="BG306" i="25"/>
  <c r="BJ306" i="25" s="1"/>
  <c r="CE165" i="24"/>
  <c r="BI165" i="24"/>
  <c r="BL165" i="24" s="1"/>
  <c r="CE205" i="24"/>
  <c r="BI205" i="24"/>
  <c r="BL205" i="24" s="1"/>
  <c r="CE177" i="25"/>
  <c r="BG177" i="25"/>
  <c r="BJ177" i="25" s="1"/>
  <c r="CE202" i="24"/>
  <c r="BI202" i="24"/>
  <c r="BL202" i="24" s="1"/>
  <c r="CE156" i="24"/>
  <c r="BI156" i="24"/>
  <c r="BL156" i="24" s="1"/>
  <c r="CE151" i="24"/>
  <c r="BI151" i="24"/>
  <c r="BL151" i="24" s="1"/>
  <c r="CE173" i="24"/>
  <c r="BI173" i="24"/>
  <c r="BL173" i="24" s="1"/>
  <c r="AX258" i="24"/>
  <c r="BI258" i="24"/>
  <c r="BL258" i="24" s="1"/>
  <c r="AX263" i="24"/>
  <c r="BI263" i="24"/>
  <c r="BL263" i="24" s="1"/>
  <c r="AX243" i="24"/>
  <c r="BI243" i="24"/>
  <c r="BL243" i="24" s="1"/>
  <c r="CE206" i="24"/>
  <c r="BI206" i="24"/>
  <c r="BL206" i="24" s="1"/>
  <c r="CE189" i="25"/>
  <c r="CE180" i="24"/>
  <c r="BI180" i="24"/>
  <c r="BL180" i="24" s="1"/>
  <c r="AX305" i="24"/>
  <c r="BI305" i="24"/>
  <c r="BL305" i="24" s="1"/>
  <c r="BH237" i="24"/>
  <c r="BI237" i="24"/>
  <c r="BL237" i="24" s="1"/>
  <c r="AX249" i="24"/>
  <c r="BI249" i="24"/>
  <c r="BL249" i="24" s="1"/>
  <c r="CE210" i="24"/>
  <c r="BI210" i="24"/>
  <c r="BL210" i="24" s="1"/>
  <c r="AX152" i="24"/>
  <c r="BI152" i="24"/>
  <c r="BL152" i="24" s="1"/>
  <c r="BH295" i="24"/>
  <c r="BI295" i="24"/>
  <c r="BL295" i="24" s="1"/>
  <c r="BU301" i="24"/>
  <c r="BI301" i="24"/>
  <c r="BL301" i="24" s="1"/>
  <c r="CE201" i="24"/>
  <c r="BI201" i="24"/>
  <c r="BL201" i="24" s="1"/>
  <c r="BU112" i="24"/>
  <c r="BI112" i="24"/>
  <c r="BL112" i="24" s="1"/>
  <c r="BW261" i="24"/>
  <c r="BI261" i="24"/>
  <c r="BL261" i="24" s="1"/>
  <c r="CE204" i="24"/>
  <c r="BI204" i="24"/>
  <c r="BL204" i="24" s="1"/>
  <c r="BW121" i="24"/>
  <c r="BI121" i="24"/>
  <c r="BL121" i="24" s="1"/>
  <c r="CE170" i="24"/>
  <c r="BI170" i="24"/>
  <c r="BL170" i="24" s="1"/>
  <c r="CE135" i="24"/>
  <c r="BI135" i="24"/>
  <c r="BL135" i="24" s="1"/>
  <c r="CE200" i="24"/>
  <c r="BI200" i="24"/>
  <c r="BL200" i="24" s="1"/>
  <c r="BW128" i="24"/>
  <c r="BI128" i="24"/>
  <c r="BL128" i="24" s="1"/>
  <c r="CE203" i="24"/>
  <c r="BI203" i="24"/>
  <c r="BL203" i="24" s="1"/>
  <c r="CE166" i="24"/>
  <c r="BI166" i="24"/>
  <c r="BL166" i="24" s="1"/>
  <c r="BH148" i="24"/>
  <c r="BI148" i="24"/>
  <c r="BL148" i="24" s="1"/>
  <c r="AX145" i="24"/>
  <c r="BI145" i="24"/>
  <c r="BL145" i="24" s="1"/>
  <c r="AX298" i="24"/>
  <c r="BI298" i="24"/>
  <c r="BL298" i="24" s="1"/>
  <c r="CE179" i="24"/>
  <c r="BI179" i="24"/>
  <c r="BL179" i="24" s="1"/>
  <c r="CE275" i="24"/>
  <c r="BI275" i="24"/>
  <c r="BL275" i="24" s="1"/>
  <c r="CE190" i="25"/>
  <c r="BG190" i="25"/>
  <c r="BJ190" i="25" s="1"/>
  <c r="AX273" i="24"/>
  <c r="BI273" i="24"/>
  <c r="BL273" i="24" s="1"/>
  <c r="BU133" i="24"/>
  <c r="BI133" i="24"/>
  <c r="BL133" i="24" s="1"/>
  <c r="BU120" i="24"/>
  <c r="BI120" i="24"/>
  <c r="BL120" i="24" s="1"/>
  <c r="CE147" i="25"/>
  <c r="BG147" i="25"/>
  <c r="BJ147" i="25" s="1"/>
  <c r="CE111" i="24"/>
  <c r="BI111" i="24"/>
  <c r="BL111" i="24" s="1"/>
  <c r="CE163" i="24"/>
  <c r="BI163" i="24"/>
  <c r="BL163" i="24" s="1"/>
  <c r="CE192" i="25"/>
  <c r="BG192" i="25"/>
  <c r="BJ192" i="25" s="1"/>
  <c r="CE127" i="24"/>
  <c r="BI127" i="24"/>
  <c r="BL127" i="24" s="1"/>
  <c r="BU266" i="24"/>
  <c r="BI266" i="24"/>
  <c r="BL266" i="24" s="1"/>
  <c r="CE137" i="24"/>
  <c r="BI137" i="24"/>
  <c r="BL137" i="24" s="1"/>
  <c r="AX281" i="24"/>
  <c r="BI281" i="24"/>
  <c r="BL281" i="24" s="1"/>
  <c r="CE182" i="24"/>
  <c r="BI182" i="24"/>
  <c r="BL182" i="24" s="1"/>
  <c r="AX253" i="24"/>
  <c r="BI253" i="24"/>
  <c r="BL253" i="24" s="1"/>
  <c r="BU274" i="24"/>
  <c r="BI274" i="24"/>
  <c r="BL274" i="24" s="1"/>
  <c r="CE193" i="24"/>
  <c r="BI193" i="24"/>
  <c r="BL193" i="24" s="1"/>
  <c r="CE306" i="24"/>
  <c r="BI306" i="24"/>
  <c r="BL306" i="24" s="1"/>
  <c r="CE242" i="24"/>
  <c r="BI242" i="24"/>
  <c r="BL242" i="24" s="1"/>
  <c r="BW240" i="24"/>
  <c r="BI240" i="24"/>
  <c r="BL240" i="24" s="1"/>
  <c r="CE178" i="24"/>
  <c r="BI178" i="24"/>
  <c r="BL178" i="24" s="1"/>
  <c r="CE208" i="24"/>
  <c r="BI208" i="24"/>
  <c r="BL208" i="24" s="1"/>
  <c r="CE307" i="24"/>
  <c r="BI307" i="24"/>
  <c r="BL307" i="24" s="1"/>
  <c r="AX125" i="24"/>
  <c r="BI125" i="24"/>
  <c r="BL125" i="24" s="1"/>
  <c r="BU59" i="24"/>
  <c r="BI59" i="24"/>
  <c r="BL59" i="24" s="1"/>
  <c r="AX12" i="24"/>
  <c r="BI12" i="24"/>
  <c r="BL12" i="24" s="1"/>
  <c r="BU103" i="24"/>
  <c r="BI103" i="24"/>
  <c r="BL103" i="24" s="1"/>
  <c r="CE74" i="24"/>
  <c r="BI74" i="24"/>
  <c r="BL74" i="24" s="1"/>
  <c r="BU52" i="24"/>
  <c r="BI52" i="24"/>
  <c r="BL52" i="24" s="1"/>
  <c r="BU72" i="24"/>
  <c r="BI72" i="24"/>
  <c r="BL72" i="24" s="1"/>
  <c r="BU27" i="24"/>
  <c r="BI27" i="24"/>
  <c r="BL27" i="24" s="1"/>
  <c r="BU38" i="24"/>
  <c r="BI38" i="24"/>
  <c r="BL38" i="24" s="1"/>
  <c r="BU91" i="24"/>
  <c r="BI91" i="24"/>
  <c r="BL91" i="24" s="1"/>
  <c r="BU18" i="24"/>
  <c r="BI18" i="24"/>
  <c r="BL18" i="24" s="1"/>
  <c r="BU73" i="24"/>
  <c r="BI73" i="24"/>
  <c r="BL73" i="24" s="1"/>
  <c r="BU39" i="24"/>
  <c r="BI39" i="24"/>
  <c r="BL39" i="24" s="1"/>
  <c r="AX17" i="24"/>
  <c r="BI17" i="24"/>
  <c r="BL17" i="24" s="1"/>
  <c r="BU83" i="24"/>
  <c r="BI83" i="24"/>
  <c r="BL83" i="24" s="1"/>
  <c r="BU31" i="24"/>
  <c r="BI31" i="24"/>
  <c r="BL31" i="24" s="1"/>
  <c r="BH34" i="24"/>
  <c r="BI34" i="24"/>
  <c r="BL34" i="24" s="1"/>
  <c r="BU98" i="24"/>
  <c r="BI98" i="24"/>
  <c r="BL98" i="24" s="1"/>
  <c r="AX19" i="24"/>
  <c r="BI19" i="24"/>
  <c r="BL19" i="24" s="1"/>
  <c r="BU33" i="24"/>
  <c r="BI33" i="24"/>
  <c r="BL33" i="24" s="1"/>
  <c r="BU90" i="24"/>
  <c r="BI90" i="24"/>
  <c r="BL90" i="24" s="1"/>
  <c r="BW37" i="24"/>
  <c r="BI37" i="24"/>
  <c r="BL37" i="24" s="1"/>
  <c r="CE79" i="24"/>
  <c r="BI79" i="24"/>
  <c r="BL79" i="24" s="1"/>
  <c r="CE71" i="25"/>
  <c r="BG71" i="25"/>
  <c r="BJ71" i="25" s="1"/>
  <c r="BU60" i="24"/>
  <c r="BI60" i="24"/>
  <c r="BL60" i="24" s="1"/>
  <c r="BU75" i="24"/>
  <c r="BI75" i="24"/>
  <c r="BL75" i="24" s="1"/>
  <c r="CE30" i="25"/>
  <c r="BG30" i="25"/>
  <c r="BJ30" i="25" s="1"/>
  <c r="BU100" i="24"/>
  <c r="BI100" i="24"/>
  <c r="BL100" i="24" s="1"/>
  <c r="BU99" i="24"/>
  <c r="BI99" i="24"/>
  <c r="BL99" i="24" s="1"/>
  <c r="BU80" i="24"/>
  <c r="BI80" i="24"/>
  <c r="BL80" i="24" s="1"/>
  <c r="CE82" i="25"/>
  <c r="BG82" i="25"/>
  <c r="BJ82" i="25" s="1"/>
  <c r="BH51" i="24"/>
  <c r="BI51" i="24"/>
  <c r="BL51" i="24" s="1"/>
  <c r="BU13" i="24"/>
  <c r="BI13" i="24"/>
  <c r="BL13" i="24" s="1"/>
  <c r="BW54" i="24"/>
  <c r="BI54" i="24"/>
  <c r="BL54" i="24" s="1"/>
  <c r="BH20" i="24"/>
  <c r="BI20" i="24"/>
  <c r="BL20" i="24" s="1"/>
  <c r="BW58" i="24"/>
  <c r="BI58" i="24"/>
  <c r="BL58" i="24" s="1"/>
  <c r="BW9" i="24"/>
  <c r="BI9" i="24"/>
  <c r="BL9" i="24" s="1"/>
  <c r="BU70" i="24"/>
  <c r="BI70" i="24"/>
  <c r="BL70" i="24" s="1"/>
  <c r="BU63" i="24"/>
  <c r="BI63" i="24"/>
  <c r="BL63" i="24" s="1"/>
  <c r="BU65" i="24"/>
  <c r="BI65" i="24"/>
  <c r="BL65" i="24" s="1"/>
  <c r="BU69" i="24"/>
  <c r="BI69" i="24"/>
  <c r="BL69" i="24" s="1"/>
  <c r="CE92" i="24"/>
  <c r="BI92" i="24"/>
  <c r="BL92" i="24" s="1"/>
  <c r="BH32" i="24"/>
  <c r="BI32" i="24"/>
  <c r="BL32" i="24" s="1"/>
  <c r="CE102" i="24"/>
  <c r="BI102" i="24"/>
  <c r="BL102" i="24" s="1"/>
  <c r="BU49" i="24"/>
  <c r="BI49" i="24"/>
  <c r="BL49" i="24" s="1"/>
  <c r="BU97" i="24"/>
  <c r="BI97" i="24"/>
  <c r="BL97" i="24" s="1"/>
  <c r="BU89" i="24"/>
  <c r="BI89" i="24"/>
  <c r="BL89" i="24" s="1"/>
  <c r="CE14" i="25"/>
  <c r="BG14" i="25"/>
  <c r="BJ14" i="25" s="1"/>
  <c r="BU96" i="24"/>
  <c r="BI96" i="24"/>
  <c r="BL96" i="24" s="1"/>
  <c r="BU29" i="24"/>
  <c r="BI29" i="24"/>
  <c r="BL29" i="24" s="1"/>
  <c r="BU48" i="24"/>
  <c r="BI48" i="24"/>
  <c r="BL48" i="24" s="1"/>
  <c r="BU81" i="24"/>
  <c r="BI81" i="24"/>
  <c r="BL81" i="24" s="1"/>
  <c r="BU28" i="24"/>
  <c r="BI28" i="24"/>
  <c r="BL28" i="24" s="1"/>
  <c r="BU87" i="24"/>
  <c r="BI87" i="24"/>
  <c r="BL87" i="24" s="1"/>
  <c r="BU93" i="24"/>
  <c r="BI93" i="24"/>
  <c r="BL93" i="24" s="1"/>
  <c r="BU94" i="24"/>
  <c r="BI94" i="24"/>
  <c r="BL94" i="24" s="1"/>
  <c r="BW26" i="24"/>
  <c r="BI26" i="24"/>
  <c r="BL26" i="24" s="1"/>
  <c r="CE92" i="25"/>
  <c r="BG92" i="25"/>
  <c r="BJ92" i="25" s="1"/>
  <c r="BU86" i="24"/>
  <c r="BI86" i="24"/>
  <c r="BL86" i="24" s="1"/>
  <c r="BU67" i="24"/>
  <c r="BI67" i="24"/>
  <c r="BL67" i="24" s="1"/>
  <c r="BU85" i="24"/>
  <c r="BI85" i="24"/>
  <c r="BL85" i="24" s="1"/>
  <c r="BU84" i="24"/>
  <c r="BI84" i="24"/>
  <c r="BL84" i="24" s="1"/>
  <c r="BU76" i="24"/>
  <c r="BI76" i="24"/>
  <c r="BL76" i="24" s="1"/>
  <c r="BU40" i="24"/>
  <c r="BI40" i="24"/>
  <c r="BL40" i="24" s="1"/>
  <c r="BU10" i="24"/>
  <c r="BI10" i="24"/>
  <c r="BL10" i="24" s="1"/>
  <c r="BU43" i="24"/>
  <c r="BI43" i="24"/>
  <c r="BL43" i="24" s="1"/>
  <c r="BU46" i="24"/>
  <c r="BI46" i="24"/>
  <c r="BL46" i="24" s="1"/>
  <c r="BW57" i="24"/>
  <c r="BI57" i="24"/>
  <c r="BL57" i="24" s="1"/>
  <c r="CE89" i="25"/>
  <c r="BG89" i="25"/>
  <c r="BJ89" i="25" s="1"/>
  <c r="BU36" i="24"/>
  <c r="BI36" i="24"/>
  <c r="BL36" i="24" s="1"/>
  <c r="BU68" i="24"/>
  <c r="BI68" i="24"/>
  <c r="BL68" i="24" s="1"/>
  <c r="BU42" i="24"/>
  <c r="BI42" i="24"/>
  <c r="BL42" i="24" s="1"/>
  <c r="BW8" i="24"/>
  <c r="BI8" i="24"/>
  <c r="BL8" i="24" s="1"/>
  <c r="BU105" i="24"/>
  <c r="BI105" i="24"/>
  <c r="BL105" i="24" s="1"/>
  <c r="BU56" i="24"/>
  <c r="BI56" i="24"/>
  <c r="BL56" i="24" s="1"/>
  <c r="CE6" i="25"/>
  <c r="BG6" i="25"/>
  <c r="BJ6" i="25" s="1"/>
  <c r="BU104" i="24"/>
  <c r="BI104" i="24"/>
  <c r="BL104" i="24" s="1"/>
  <c r="BU16" i="24"/>
  <c r="BI16" i="24"/>
  <c r="BL16" i="24" s="1"/>
  <c r="BU53" i="24"/>
  <c r="BI53" i="24"/>
  <c r="BL53" i="24" s="1"/>
  <c r="BU64" i="24"/>
  <c r="BI64" i="24"/>
  <c r="BL64" i="24" s="1"/>
  <c r="BU71" i="24"/>
  <c r="BI71" i="24"/>
  <c r="BL71" i="24" s="1"/>
  <c r="BU11" i="24"/>
  <c r="BI11" i="24"/>
  <c r="BL11" i="24" s="1"/>
  <c r="BU15" i="24"/>
  <c r="BI15" i="24"/>
  <c r="BL15" i="24" s="1"/>
  <c r="BU25" i="24"/>
  <c r="BI25" i="24"/>
  <c r="BL25" i="24" s="1"/>
  <c r="BU82" i="24"/>
  <c r="BI82" i="24"/>
  <c r="BL82" i="24" s="1"/>
  <c r="BU88" i="24"/>
  <c r="BI88" i="24"/>
  <c r="BL88" i="24" s="1"/>
  <c r="BU50" i="24"/>
  <c r="BI50" i="24"/>
  <c r="BL50" i="24" s="1"/>
  <c r="BU24" i="24"/>
  <c r="BI24" i="24"/>
  <c r="BL24" i="24" s="1"/>
  <c r="BU47" i="24"/>
  <c r="BI47" i="24"/>
  <c r="BL47" i="24" s="1"/>
  <c r="CE21" i="25"/>
  <c r="BG21" i="25"/>
  <c r="BJ21" i="25" s="1"/>
  <c r="BU95" i="24"/>
  <c r="BI95" i="24"/>
  <c r="BL95" i="24" s="1"/>
  <c r="BU77" i="24"/>
  <c r="BI77" i="24"/>
  <c r="BL77" i="24" s="1"/>
  <c r="AX35" i="24"/>
  <c r="BI35" i="24"/>
  <c r="BL35" i="24" s="1"/>
  <c r="CE62" i="25"/>
  <c r="BG62" i="25"/>
  <c r="BJ62" i="25" s="1"/>
  <c r="BH238" i="24"/>
  <c r="CE238" i="24"/>
  <c r="BU23" i="24"/>
  <c r="CE23" i="24"/>
  <c r="BW30" i="24"/>
  <c r="CE30" i="24"/>
  <c r="AM280" i="25"/>
  <c r="AR280" i="25" s="1"/>
  <c r="AX126" i="24"/>
  <c r="CE126" i="24"/>
  <c r="BU78" i="24"/>
  <c r="CE78" i="24"/>
  <c r="BU62" i="24"/>
  <c r="CE62" i="24"/>
  <c r="BU61" i="24"/>
  <c r="CE61" i="24"/>
  <c r="BU284" i="24"/>
  <c r="CE284" i="24"/>
  <c r="AX117" i="24"/>
  <c r="CE117" i="24"/>
  <c r="BU14" i="24"/>
  <c r="CE14" i="24"/>
  <c r="AX225" i="24"/>
  <c r="CE225" i="24"/>
  <c r="BW297" i="24"/>
  <c r="CE297" i="24"/>
  <c r="BU66" i="24"/>
  <c r="CE66" i="24"/>
  <c r="AX6" i="24"/>
  <c r="CE6" i="24"/>
  <c r="BW218" i="24"/>
  <c r="CE218" i="24"/>
  <c r="BU37" i="24"/>
  <c r="BU30" i="24"/>
  <c r="BU102" i="24"/>
  <c r="BU19" i="24"/>
  <c r="BU79" i="24"/>
  <c r="BU92" i="24"/>
  <c r="BU57" i="24"/>
  <c r="BU74" i="24"/>
  <c r="BU17" i="24"/>
  <c r="BU58" i="24"/>
  <c r="BU9" i="24"/>
  <c r="BU35" i="24"/>
  <c r="BU26" i="24"/>
  <c r="BU34" i="24"/>
  <c r="BU51" i="24"/>
  <c r="BU54" i="24"/>
  <c r="BU20" i="24"/>
  <c r="BU8" i="24"/>
  <c r="BU6" i="24"/>
  <c r="BU12" i="24"/>
  <c r="BU32" i="24"/>
  <c r="AM11" i="25"/>
  <c r="CE87" i="24"/>
  <c r="CE97" i="24"/>
  <c r="AP206" i="25"/>
  <c r="CE206" i="25"/>
  <c r="CE73" i="24"/>
  <c r="AX56" i="24"/>
  <c r="CE56" i="24"/>
  <c r="AP198" i="25"/>
  <c r="CE198" i="25"/>
  <c r="BW299" i="24"/>
  <c r="CE299" i="24"/>
  <c r="CE80" i="24"/>
  <c r="CE88" i="24"/>
  <c r="CE104" i="24"/>
  <c r="AP204" i="25"/>
  <c r="CE204" i="25"/>
  <c r="CE81" i="24"/>
  <c r="CE98" i="24"/>
  <c r="AM96" i="25"/>
  <c r="BG96" i="25" s="1"/>
  <c r="CE103" i="24"/>
  <c r="B48" i="2"/>
  <c r="D48" i="2" s="1"/>
  <c r="AP199" i="25"/>
  <c r="CE199" i="25"/>
  <c r="AP201" i="25"/>
  <c r="CE201" i="25"/>
  <c r="AM104" i="25"/>
  <c r="CE105" i="24"/>
  <c r="BH290" i="24"/>
  <c r="CE290" i="24"/>
  <c r="AM258" i="25"/>
  <c r="BW281" i="24"/>
  <c r="AM154" i="25"/>
  <c r="BG154" i="25" s="1"/>
  <c r="AM97" i="25"/>
  <c r="BU125" i="24"/>
  <c r="BW125" i="24"/>
  <c r="BH125" i="24"/>
  <c r="AJ154" i="25"/>
  <c r="BH224" i="24"/>
  <c r="AJ29" i="25"/>
  <c r="AM179" i="25"/>
  <c r="BG179" i="25" s="1"/>
  <c r="AX224" i="24"/>
  <c r="BW224" i="24"/>
  <c r="AM265" i="25"/>
  <c r="AX20" i="24"/>
  <c r="BH123" i="24"/>
  <c r="AX123" i="24"/>
  <c r="BW123" i="24"/>
  <c r="BH112" i="24"/>
  <c r="AX112" i="24"/>
  <c r="BW112" i="24"/>
  <c r="AJ291" i="25"/>
  <c r="BU219" i="24"/>
  <c r="AX51" i="24"/>
  <c r="BW280" i="24"/>
  <c r="AX33" i="24"/>
  <c r="AX58" i="24"/>
  <c r="BH228" i="24"/>
  <c r="BW284" i="24"/>
  <c r="BW235" i="24"/>
  <c r="AX218" i="24"/>
  <c r="BU259" i="24"/>
  <c r="AX259" i="24"/>
  <c r="BW152" i="24"/>
  <c r="BU152" i="24"/>
  <c r="BW20" i="24"/>
  <c r="AJ28" i="25"/>
  <c r="BW51" i="24"/>
  <c r="BH152" i="24"/>
  <c r="BW24" i="24"/>
  <c r="BH24" i="24"/>
  <c r="BH128" i="24"/>
  <c r="AX24" i="24"/>
  <c r="BW56" i="24"/>
  <c r="BH56" i="24"/>
  <c r="BH274" i="24"/>
  <c r="AX274" i="24"/>
  <c r="BW274" i="24"/>
  <c r="BH261" i="24"/>
  <c r="BH284" i="24"/>
  <c r="AX284" i="24"/>
  <c r="BU243" i="24"/>
  <c r="BW219" i="24"/>
  <c r="BH58" i="24"/>
  <c r="BW243" i="24"/>
  <c r="AX261" i="24"/>
  <c r="BU261" i="24"/>
  <c r="BH219" i="24"/>
  <c r="BH243" i="24"/>
  <c r="BW259" i="24"/>
  <c r="AW292" i="24"/>
  <c r="BD292" i="24" s="1"/>
  <c r="BW19" i="24"/>
  <c r="BW48" i="24"/>
  <c r="AX128" i="24"/>
  <c r="AX228" i="24"/>
  <c r="BH26" i="24"/>
  <c r="AX26" i="24"/>
  <c r="BU148" i="24"/>
  <c r="BU128" i="24"/>
  <c r="BU228" i="24"/>
  <c r="BH19" i="24"/>
  <c r="AJ237" i="25"/>
  <c r="AM237" i="25"/>
  <c r="BG237" i="25" s="1"/>
  <c r="BH297" i="24"/>
  <c r="BH33" i="24"/>
  <c r="AX297" i="24"/>
  <c r="BW283" i="24"/>
  <c r="BU297" i="24"/>
  <c r="BW33" i="24"/>
  <c r="BU280" i="24"/>
  <c r="BH30" i="24"/>
  <c r="BW18" i="24"/>
  <c r="BH271" i="24"/>
  <c r="AX30" i="24"/>
  <c r="BH48" i="24"/>
  <c r="AX271" i="24"/>
  <c r="AX48" i="24"/>
  <c r="BH37" i="24"/>
  <c r="BU271" i="24"/>
  <c r="BW153" i="24"/>
  <c r="BH280" i="24"/>
  <c r="BW35" i="24"/>
  <c r="S212" i="25"/>
  <c r="K212" i="25" s="1"/>
  <c r="R212" i="25"/>
  <c r="Q212" i="25"/>
  <c r="BZ212" i="25"/>
  <c r="AO212" i="25"/>
  <c r="BH153" i="24"/>
  <c r="AX153" i="24"/>
  <c r="BU298" i="24"/>
  <c r="BU258" i="24"/>
  <c r="BW298" i="24"/>
  <c r="BU130" i="24"/>
  <c r="BW148" i="24"/>
  <c r="BW129" i="24"/>
  <c r="BH298" i="24"/>
  <c r="BH18" i="24"/>
  <c r="BH218" i="24"/>
  <c r="BU218" i="24"/>
  <c r="AJ77" i="25"/>
  <c r="AM77" i="25"/>
  <c r="BU129" i="24"/>
  <c r="AX283" i="24"/>
  <c r="AX18" i="24"/>
  <c r="BH129" i="24"/>
  <c r="BH35" i="24"/>
  <c r="BH54" i="24"/>
  <c r="BW258" i="24"/>
  <c r="BU235" i="24"/>
  <c r="BH299" i="24"/>
  <c r="BU281" i="24"/>
  <c r="AX37" i="24"/>
  <c r="BH120" i="24"/>
  <c r="BU299" i="24"/>
  <c r="AX54" i="24"/>
  <c r="AX299" i="24"/>
  <c r="BH258" i="24"/>
  <c r="BH235" i="24"/>
  <c r="BW120" i="24"/>
  <c r="BH130" i="24"/>
  <c r="BH281" i="24"/>
  <c r="AX148" i="24"/>
  <c r="BH57" i="24"/>
  <c r="AX57" i="24"/>
  <c r="AS242" i="24"/>
  <c r="AU242" i="24" s="1"/>
  <c r="BB242" i="24" s="1"/>
  <c r="BJ242" i="24"/>
  <c r="AQ242" i="24"/>
  <c r="BL192" i="24"/>
  <c r="AS192" i="24"/>
  <c r="AQ192" i="24"/>
  <c r="BJ192" i="24"/>
  <c r="BH192" i="24"/>
  <c r="BU192" i="24"/>
  <c r="BW192" i="24"/>
  <c r="AX192" i="24"/>
  <c r="AJ48" i="25"/>
  <c r="AM48" i="25"/>
  <c r="AS60" i="24"/>
  <c r="BJ60" i="24"/>
  <c r="AQ60" i="24"/>
  <c r="BW60" i="24"/>
  <c r="AX60" i="24"/>
  <c r="BH60" i="24"/>
  <c r="AT110" i="25"/>
  <c r="AY110" i="25" s="1"/>
  <c r="AU110" i="25"/>
  <c r="AR267" i="25"/>
  <c r="BJ267" i="25"/>
  <c r="AP267" i="25"/>
  <c r="BH267" i="25"/>
  <c r="BU267" i="25"/>
  <c r="BW267" i="25"/>
  <c r="BF267" i="25"/>
  <c r="AM52" i="25"/>
  <c r="AJ52" i="25"/>
  <c r="AW111" i="25"/>
  <c r="AX111" i="25"/>
  <c r="AX125" i="25"/>
  <c r="AW125" i="25"/>
  <c r="AJ24" i="25"/>
  <c r="AM24" i="25"/>
  <c r="BG24" i="25" s="1"/>
  <c r="BL147" i="24"/>
  <c r="AS147" i="24"/>
  <c r="AU147" i="24" s="1"/>
  <c r="BB147" i="24" s="1"/>
  <c r="BJ147" i="24"/>
  <c r="AQ147" i="24"/>
  <c r="AX191" i="25"/>
  <c r="AW191" i="25"/>
  <c r="BL221" i="24"/>
  <c r="AS221" i="24"/>
  <c r="BJ221" i="24"/>
  <c r="AQ221" i="24"/>
  <c r="BU221" i="24"/>
  <c r="BW221" i="24"/>
  <c r="AX221" i="24"/>
  <c r="BH221" i="24"/>
  <c r="AR201" i="25"/>
  <c r="BJ201" i="25"/>
  <c r="BH201" i="25"/>
  <c r="BF201" i="25"/>
  <c r="BW201" i="25"/>
  <c r="BU201" i="25"/>
  <c r="AM309" i="25"/>
  <c r="AJ309" i="25"/>
  <c r="AM304" i="25"/>
  <c r="BG304" i="25" s="1"/>
  <c r="AJ304" i="25"/>
  <c r="BA56" i="24"/>
  <c r="AS287" i="24"/>
  <c r="AQ287" i="24"/>
  <c r="BJ287" i="24"/>
  <c r="BU287" i="24"/>
  <c r="AX287" i="24"/>
  <c r="BH287" i="24"/>
  <c r="BW287" i="24"/>
  <c r="AS174" i="24"/>
  <c r="BJ174" i="24"/>
  <c r="AQ174" i="24"/>
  <c r="AX174" i="24"/>
  <c r="BH174" i="24"/>
  <c r="BW174" i="24"/>
  <c r="BU174" i="24"/>
  <c r="AX146" i="25"/>
  <c r="AW146" i="25"/>
  <c r="AM122" i="25"/>
  <c r="BG122" i="25" s="1"/>
  <c r="AJ122" i="25"/>
  <c r="AW182" i="25"/>
  <c r="AX182" i="25"/>
  <c r="AS265" i="24"/>
  <c r="AU265" i="24" s="1"/>
  <c r="BB265" i="24" s="1"/>
  <c r="BL265" i="24"/>
  <c r="AQ265" i="24"/>
  <c r="BJ265" i="24"/>
  <c r="AJ50" i="25"/>
  <c r="AM50" i="25"/>
  <c r="BG50" i="25" s="1"/>
  <c r="AJ256" i="25"/>
  <c r="AM256" i="25"/>
  <c r="BG256" i="25" s="1"/>
  <c r="AS111" i="24"/>
  <c r="AU111" i="24" s="1"/>
  <c r="BB111" i="24" s="1"/>
  <c r="AQ111" i="24"/>
  <c r="BJ111" i="24"/>
  <c r="AS95" i="24"/>
  <c r="BJ95" i="24"/>
  <c r="AQ95" i="24"/>
  <c r="BW95" i="24"/>
  <c r="AX95" i="24"/>
  <c r="BH95" i="24"/>
  <c r="AJ205" i="25"/>
  <c r="AM205" i="25"/>
  <c r="BG205" i="25" s="1"/>
  <c r="AR13" i="25"/>
  <c r="BJ13" i="25"/>
  <c r="AP13" i="25"/>
  <c r="BH13" i="25"/>
  <c r="BF13" i="25"/>
  <c r="BU13" i="25"/>
  <c r="BW13" i="25"/>
  <c r="BA237" i="24"/>
  <c r="AM203" i="25"/>
  <c r="BG203" i="25" s="1"/>
  <c r="AJ203" i="25"/>
  <c r="BL260" i="24"/>
  <c r="AS260" i="24"/>
  <c r="AU260" i="24" s="1"/>
  <c r="BB260" i="24" s="1"/>
  <c r="BJ260" i="24"/>
  <c r="AQ260" i="24"/>
  <c r="BA35" i="24"/>
  <c r="AS139" i="24"/>
  <c r="BJ139" i="24"/>
  <c r="AQ139" i="24"/>
  <c r="BH139" i="24"/>
  <c r="BW139" i="24"/>
  <c r="BU139" i="24"/>
  <c r="AX139" i="24"/>
  <c r="AS50" i="24"/>
  <c r="BJ50" i="24"/>
  <c r="AQ50" i="24"/>
  <c r="AX50" i="24"/>
  <c r="BH50" i="24"/>
  <c r="BW50" i="24"/>
  <c r="AS141" i="24"/>
  <c r="BL141" i="24"/>
  <c r="BJ141" i="24"/>
  <c r="AQ141" i="24"/>
  <c r="AX141" i="24"/>
  <c r="BH141" i="24"/>
  <c r="BU141" i="24"/>
  <c r="BW141" i="24"/>
  <c r="AS97" i="24"/>
  <c r="BJ97" i="24"/>
  <c r="AQ97" i="24"/>
  <c r="AX97" i="24"/>
  <c r="BH97" i="24"/>
  <c r="BW97" i="24"/>
  <c r="AX140" i="25"/>
  <c r="AW140" i="25"/>
  <c r="AW205" i="25"/>
  <c r="AX205" i="25"/>
  <c r="AM98" i="25"/>
  <c r="BG98" i="25" s="1"/>
  <c r="AJ98" i="25"/>
  <c r="AS118" i="24"/>
  <c r="AQ118" i="24"/>
  <c r="BJ118" i="24"/>
  <c r="BU118" i="24"/>
  <c r="BW118" i="24"/>
  <c r="AX118" i="24"/>
  <c r="BH118" i="24"/>
  <c r="AX203" i="25"/>
  <c r="AW203" i="25"/>
  <c r="BL256" i="24"/>
  <c r="AS256" i="24"/>
  <c r="BJ256" i="24"/>
  <c r="AQ256" i="24"/>
  <c r="BH256" i="24"/>
  <c r="BU256" i="24"/>
  <c r="BW256" i="24"/>
  <c r="AX256" i="24"/>
  <c r="AR261" i="25"/>
  <c r="BJ261" i="25"/>
  <c r="BH261" i="25"/>
  <c r="AP261" i="25"/>
  <c r="BF261" i="25"/>
  <c r="BW261" i="25"/>
  <c r="BU261" i="25"/>
  <c r="AS64" i="24"/>
  <c r="BJ64" i="24"/>
  <c r="AQ64" i="24"/>
  <c r="BW64" i="24"/>
  <c r="AX64" i="24"/>
  <c r="BH64" i="24"/>
  <c r="AX76" i="25"/>
  <c r="AW76" i="25"/>
  <c r="BU249" i="24"/>
  <c r="AM165" i="25"/>
  <c r="AJ165" i="25"/>
  <c r="AS98" i="24"/>
  <c r="AQ98" i="24"/>
  <c r="BJ98" i="24"/>
  <c r="AX98" i="24"/>
  <c r="BH98" i="24"/>
  <c r="BW98" i="24"/>
  <c r="AR148" i="25"/>
  <c r="BJ148" i="25"/>
  <c r="AP148" i="25"/>
  <c r="BH148" i="25"/>
  <c r="BF148" i="25"/>
  <c r="BW148" i="25"/>
  <c r="BU148" i="25"/>
  <c r="BH260" i="24"/>
  <c r="BL289" i="24"/>
  <c r="AS289" i="24"/>
  <c r="AQ289" i="24"/>
  <c r="BJ289" i="24"/>
  <c r="BU289" i="24"/>
  <c r="BW289" i="24"/>
  <c r="AX289" i="24"/>
  <c r="BH289" i="24"/>
  <c r="BH12" i="24"/>
  <c r="BH273" i="24"/>
  <c r="BL272" i="24"/>
  <c r="AS272" i="24"/>
  <c r="AQ272" i="24"/>
  <c r="BJ272" i="24"/>
  <c r="AX272" i="24"/>
  <c r="BH272" i="24"/>
  <c r="BU272" i="24"/>
  <c r="BW272" i="24"/>
  <c r="AR283" i="25"/>
  <c r="BH283" i="25"/>
  <c r="AP283" i="25"/>
  <c r="BF283" i="25"/>
  <c r="BW283" i="25"/>
  <c r="BU283" i="25"/>
  <c r="BA125" i="24"/>
  <c r="AR170" i="25"/>
  <c r="AP170" i="25"/>
  <c r="BH170" i="25"/>
  <c r="BF170" i="25"/>
  <c r="BU170" i="25"/>
  <c r="BW170" i="25"/>
  <c r="AX141" i="25"/>
  <c r="AW141" i="25"/>
  <c r="AS135" i="24"/>
  <c r="AU135" i="24" s="1"/>
  <c r="BB135" i="24" s="1"/>
  <c r="BJ135" i="24"/>
  <c r="AQ135" i="24"/>
  <c r="AW130" i="25"/>
  <c r="AX130" i="25"/>
  <c r="AS46" i="24"/>
  <c r="BJ46" i="24"/>
  <c r="AQ46" i="24"/>
  <c r="AX46" i="24"/>
  <c r="BH46" i="24"/>
  <c r="BW46" i="24"/>
  <c r="AX15" i="25"/>
  <c r="AW15" i="25"/>
  <c r="AX74" i="25"/>
  <c r="AW74" i="25"/>
  <c r="BW238" i="24"/>
  <c r="AS89" i="24"/>
  <c r="BJ89" i="24"/>
  <c r="AQ89" i="24"/>
  <c r="AX89" i="24"/>
  <c r="BH89" i="24"/>
  <c r="BW89" i="24"/>
  <c r="BW133" i="24"/>
  <c r="AJ63" i="25"/>
  <c r="AM63" i="25"/>
  <c r="BG63" i="25" s="1"/>
  <c r="BW117" i="24"/>
  <c r="AJ66" i="25"/>
  <c r="AM66" i="25"/>
  <c r="BG66" i="25" s="1"/>
  <c r="AJ180" i="25"/>
  <c r="AM180" i="25"/>
  <c r="AM118" i="25"/>
  <c r="AJ118" i="25"/>
  <c r="AJ42" i="25"/>
  <c r="AM42" i="25"/>
  <c r="BG42" i="25" s="1"/>
  <c r="AS182" i="24"/>
  <c r="BJ182" i="24"/>
  <c r="AQ182" i="24"/>
  <c r="BU182" i="24"/>
  <c r="BW182" i="24"/>
  <c r="AX182" i="24"/>
  <c r="BH182" i="24"/>
  <c r="AS179" i="24"/>
  <c r="AQ179" i="24"/>
  <c r="BJ179" i="24"/>
  <c r="BW179" i="24"/>
  <c r="BU179" i="24"/>
  <c r="AX179" i="24"/>
  <c r="BH179" i="24"/>
  <c r="AX168" i="25"/>
  <c r="AW168" i="25"/>
  <c r="BH59" i="24"/>
  <c r="BA8" i="24"/>
  <c r="BA266" i="24"/>
  <c r="BA57" i="24"/>
  <c r="AU55" i="24"/>
  <c r="BB55" i="24" s="1"/>
  <c r="AW55" i="24"/>
  <c r="BA32" i="24"/>
  <c r="AM307" i="25"/>
  <c r="AJ307" i="25"/>
  <c r="AX169" i="25"/>
  <c r="AW169" i="25"/>
  <c r="AX138" i="25"/>
  <c r="AW138" i="25"/>
  <c r="AS219" i="24"/>
  <c r="AU219" i="24" s="1"/>
  <c r="BB219" i="24" s="1"/>
  <c r="AQ219" i="24"/>
  <c r="BJ219" i="24"/>
  <c r="AS124" i="24"/>
  <c r="BL124" i="24"/>
  <c r="BJ124" i="24"/>
  <c r="AQ124" i="24"/>
  <c r="BH124" i="24"/>
  <c r="BU124" i="24"/>
  <c r="BW124" i="24"/>
  <c r="AX124" i="24"/>
  <c r="AW37" i="25"/>
  <c r="AX37" i="25"/>
  <c r="AJ20" i="25"/>
  <c r="AM20" i="25"/>
  <c r="BG20" i="25" s="1"/>
  <c r="AJ281" i="25"/>
  <c r="AM281" i="25"/>
  <c r="BG281" i="25" s="1"/>
  <c r="BL226" i="24"/>
  <c r="AS226" i="24"/>
  <c r="BJ226" i="24"/>
  <c r="AQ226" i="24"/>
  <c r="BH226" i="24"/>
  <c r="BU226" i="24"/>
  <c r="BW226" i="24"/>
  <c r="AX226" i="24"/>
  <c r="AS200" i="24"/>
  <c r="AQ200" i="24"/>
  <c r="BJ200" i="24"/>
  <c r="BH200" i="24"/>
  <c r="BU200" i="24"/>
  <c r="BW200" i="24"/>
  <c r="AX200" i="24"/>
  <c r="AJ272" i="25"/>
  <c r="AM272" i="25"/>
  <c r="AX26" i="25"/>
  <c r="AW26" i="25"/>
  <c r="BH247" i="24"/>
  <c r="BW225" i="24"/>
  <c r="AM221" i="25"/>
  <c r="AJ221" i="25"/>
  <c r="BH242" i="24"/>
  <c r="BU295" i="24"/>
  <c r="AM58" i="25"/>
  <c r="BG58" i="25" s="1"/>
  <c r="AJ58" i="25"/>
  <c r="AM185" i="25"/>
  <c r="AJ185" i="25"/>
  <c r="AM187" i="25"/>
  <c r="BG187" i="25" s="1"/>
  <c r="AJ187" i="25"/>
  <c r="AU41" i="24"/>
  <c r="BB41" i="24" s="1"/>
  <c r="AW41" i="24"/>
  <c r="AS26" i="24"/>
  <c r="AU26" i="24" s="1"/>
  <c r="BB26" i="24" s="1"/>
  <c r="BJ26" i="24"/>
  <c r="AQ26" i="24"/>
  <c r="AS96" i="24"/>
  <c r="AQ96" i="24"/>
  <c r="BJ96" i="24"/>
  <c r="AX96" i="24"/>
  <c r="BH96" i="24"/>
  <c r="BW96" i="24"/>
  <c r="AX45" i="25"/>
  <c r="AW45" i="25"/>
  <c r="AX121" i="25"/>
  <c r="AW121" i="25"/>
  <c r="AR21" i="25"/>
  <c r="AP21" i="25"/>
  <c r="BH21" i="25"/>
  <c r="BF21" i="25"/>
  <c r="BW21" i="25"/>
  <c r="BU21" i="25"/>
  <c r="BA290" i="24"/>
  <c r="BH263" i="24"/>
  <c r="BA9" i="24"/>
  <c r="BH282" i="24"/>
  <c r="BH155" i="24"/>
  <c r="AS176" i="24"/>
  <c r="BL176" i="24"/>
  <c r="AQ176" i="24"/>
  <c r="BJ176" i="24"/>
  <c r="BW176" i="24"/>
  <c r="BU176" i="24"/>
  <c r="AX176" i="24"/>
  <c r="BH176" i="24"/>
  <c r="AS86" i="24"/>
  <c r="AQ86" i="24"/>
  <c r="BJ86" i="24"/>
  <c r="BH86" i="24"/>
  <c r="BW86" i="24"/>
  <c r="AX86" i="24"/>
  <c r="BU248" i="24"/>
  <c r="AX185" i="25"/>
  <c r="AW185" i="25"/>
  <c r="AX53" i="25"/>
  <c r="AW53" i="25"/>
  <c r="AM263" i="25"/>
  <c r="BG263" i="25" s="1"/>
  <c r="AJ263" i="25"/>
  <c r="AX39" i="25"/>
  <c r="AW39" i="25"/>
  <c r="AJ75" i="25"/>
  <c r="AM75" i="25"/>
  <c r="BG75" i="25" s="1"/>
  <c r="BA235" i="24"/>
  <c r="BA129" i="24"/>
  <c r="AM35" i="25"/>
  <c r="BG35" i="25" s="1"/>
  <c r="AJ35" i="25"/>
  <c r="AS151" i="24"/>
  <c r="BJ151" i="24"/>
  <c r="AQ151" i="24"/>
  <c r="BH151" i="24"/>
  <c r="BU151" i="24"/>
  <c r="BW151" i="24"/>
  <c r="AX151" i="24"/>
  <c r="AX10" i="25"/>
  <c r="AW10" i="25"/>
  <c r="AS18" i="24"/>
  <c r="AU18" i="24" s="1"/>
  <c r="BB18" i="24" s="1"/>
  <c r="BJ18" i="24"/>
  <c r="AQ18" i="24"/>
  <c r="AM310" i="25"/>
  <c r="AJ310" i="25"/>
  <c r="AX40" i="25"/>
  <c r="AW40" i="25"/>
  <c r="AX48" i="25"/>
  <c r="AW48" i="25"/>
  <c r="AM308" i="25"/>
  <c r="BG308" i="25" s="1"/>
  <c r="AJ308" i="25"/>
  <c r="AS296" i="24"/>
  <c r="AU296" i="24" s="1"/>
  <c r="BB296" i="24" s="1"/>
  <c r="BL296" i="24"/>
  <c r="AQ296" i="24"/>
  <c r="BJ296" i="24"/>
  <c r="BL241" i="24"/>
  <c r="AS241" i="24"/>
  <c r="BJ241" i="24"/>
  <c r="AQ241" i="24"/>
  <c r="AX241" i="24"/>
  <c r="BH241" i="24"/>
  <c r="BW241" i="24"/>
  <c r="BU241" i="24"/>
  <c r="AS262" i="24"/>
  <c r="BL262" i="24"/>
  <c r="BJ262" i="24"/>
  <c r="AQ262" i="24"/>
  <c r="AX262" i="24"/>
  <c r="BH262" i="24"/>
  <c r="BW262" i="24"/>
  <c r="BU262" i="24"/>
  <c r="AX78" i="25"/>
  <c r="AW78" i="25"/>
  <c r="AR158" i="25"/>
  <c r="BJ158" i="25"/>
  <c r="BH158" i="25"/>
  <c r="AP158" i="25"/>
  <c r="BW158" i="25"/>
  <c r="BU158" i="25"/>
  <c r="BF158" i="25"/>
  <c r="BU237" i="24"/>
  <c r="BA123" i="24"/>
  <c r="AJ103" i="25"/>
  <c r="AM103" i="25"/>
  <c r="BA284" i="24"/>
  <c r="AJ216" i="25"/>
  <c r="AM216" i="25"/>
  <c r="AS315" i="24"/>
  <c r="BL315" i="24"/>
  <c r="BJ315" i="24"/>
  <c r="AQ315" i="24"/>
  <c r="AX315" i="24"/>
  <c r="BH315" i="24"/>
  <c r="BW315" i="24"/>
  <c r="BU315" i="24"/>
  <c r="AX55" i="25"/>
  <c r="AW55" i="25"/>
  <c r="AX171" i="25"/>
  <c r="AW171" i="25"/>
  <c r="AX122" i="25"/>
  <c r="AW122" i="25"/>
  <c r="AM166" i="25"/>
  <c r="AJ166" i="25"/>
  <c r="AS73" i="24"/>
  <c r="BJ73" i="24"/>
  <c r="AQ73" i="24"/>
  <c r="BH73" i="24"/>
  <c r="BW73" i="24"/>
  <c r="AX73" i="24"/>
  <c r="AX115" i="25"/>
  <c r="AW115" i="25"/>
  <c r="AJ47" i="25"/>
  <c r="AM47" i="25"/>
  <c r="BG47" i="25" s="1"/>
  <c r="AX8" i="25"/>
  <c r="AW8" i="25"/>
  <c r="AS170" i="24"/>
  <c r="BJ170" i="24"/>
  <c r="AQ170" i="24"/>
  <c r="BW170" i="24"/>
  <c r="AX170" i="24"/>
  <c r="BH170" i="24"/>
  <c r="BU170" i="24"/>
  <c r="BH114" i="24"/>
  <c r="AT143" i="25"/>
  <c r="AY143" i="25" s="1"/>
  <c r="AU143" i="25"/>
  <c r="AJ279" i="25"/>
  <c r="AM279" i="25"/>
  <c r="AS68" i="24"/>
  <c r="AQ68" i="24"/>
  <c r="BJ68" i="24"/>
  <c r="AX68" i="24"/>
  <c r="BH68" i="24"/>
  <c r="BW68" i="24"/>
  <c r="AJ298" i="25"/>
  <c r="AM298" i="25"/>
  <c r="BG298" i="25" s="1"/>
  <c r="BA58" i="24"/>
  <c r="AR178" i="25"/>
  <c r="BJ178" i="25"/>
  <c r="AP178" i="25"/>
  <c r="BH178" i="25"/>
  <c r="BW178" i="25"/>
  <c r="BU178" i="25"/>
  <c r="BF178" i="25"/>
  <c r="AJ141" i="25"/>
  <c r="AM141" i="25"/>
  <c r="AS74" i="24"/>
  <c r="BJ74" i="24"/>
  <c r="AQ74" i="24"/>
  <c r="AX74" i="24"/>
  <c r="BH74" i="24"/>
  <c r="BW74" i="24"/>
  <c r="AS93" i="24"/>
  <c r="BJ93" i="24"/>
  <c r="AQ93" i="24"/>
  <c r="BW93" i="24"/>
  <c r="AX93" i="24"/>
  <c r="BH93" i="24"/>
  <c r="AM130" i="25"/>
  <c r="AJ130" i="25"/>
  <c r="AJ145" i="25"/>
  <c r="AM145" i="25"/>
  <c r="BG145" i="25" s="1"/>
  <c r="AX150" i="25"/>
  <c r="AW150" i="25"/>
  <c r="AX260" i="24"/>
  <c r="AS255" i="24"/>
  <c r="BL255" i="24"/>
  <c r="BJ255" i="24"/>
  <c r="AQ255" i="24"/>
  <c r="AX255" i="24"/>
  <c r="BH255" i="24"/>
  <c r="BW255" i="24"/>
  <c r="BU255" i="24"/>
  <c r="BL198" i="24"/>
  <c r="AS198" i="24"/>
  <c r="BJ198" i="24"/>
  <c r="AQ198" i="24"/>
  <c r="BU198" i="24"/>
  <c r="AX198" i="24"/>
  <c r="BH198" i="24"/>
  <c r="BW198" i="24"/>
  <c r="AX133" i="25"/>
  <c r="AW133" i="25"/>
  <c r="AS144" i="24"/>
  <c r="BL144" i="24"/>
  <c r="AQ144" i="24"/>
  <c r="BJ144" i="24"/>
  <c r="AX144" i="24"/>
  <c r="BH144" i="24"/>
  <c r="BU144" i="24"/>
  <c r="BW144" i="24"/>
  <c r="AJ73" i="25"/>
  <c r="AM73" i="25"/>
  <c r="AJ264" i="25"/>
  <c r="AM264" i="25"/>
  <c r="BG264" i="25" s="1"/>
  <c r="AS137" i="24"/>
  <c r="BJ137" i="24"/>
  <c r="AQ137" i="24"/>
  <c r="AX137" i="24"/>
  <c r="BH137" i="24"/>
  <c r="BW137" i="24"/>
  <c r="BU137" i="24"/>
  <c r="CE97" i="25"/>
  <c r="AW61" i="25"/>
  <c r="AX61" i="25"/>
  <c r="AS312" i="24"/>
  <c r="BL312" i="24"/>
  <c r="AQ312" i="24"/>
  <c r="BJ312" i="24"/>
  <c r="AX312" i="24"/>
  <c r="BH312" i="24"/>
  <c r="BU312" i="24"/>
  <c r="BW312" i="24"/>
  <c r="BA269" i="24"/>
  <c r="BW296" i="24"/>
  <c r="AS165" i="24"/>
  <c r="AQ165" i="24"/>
  <c r="BJ165" i="24"/>
  <c r="AX165" i="24"/>
  <c r="BH165" i="24"/>
  <c r="BU165" i="24"/>
  <c r="BW165" i="24"/>
  <c r="BL251" i="24"/>
  <c r="AS251" i="24"/>
  <c r="BJ251" i="24"/>
  <c r="AQ251" i="24"/>
  <c r="BW251" i="24"/>
  <c r="AX251" i="24"/>
  <c r="BH251" i="24"/>
  <c r="BU251" i="24"/>
  <c r="AM228" i="25"/>
  <c r="AJ228" i="25"/>
  <c r="AX128" i="25"/>
  <c r="AW128" i="25"/>
  <c r="AJ156" i="25"/>
  <c r="AM156" i="25"/>
  <c r="AS310" i="24"/>
  <c r="AQ310" i="24"/>
  <c r="BJ310" i="24"/>
  <c r="BW310" i="24"/>
  <c r="BU310" i="24"/>
  <c r="AX310" i="24"/>
  <c r="BH310" i="24"/>
  <c r="AR243" i="25"/>
  <c r="BJ243" i="25"/>
  <c r="AP243" i="25"/>
  <c r="BH243" i="25"/>
  <c r="BF243" i="25"/>
  <c r="BU243" i="25"/>
  <c r="BW243" i="25"/>
  <c r="BU238" i="24"/>
  <c r="BW34" i="24"/>
  <c r="AM68" i="25"/>
  <c r="AJ68" i="25"/>
  <c r="BJ34" i="25"/>
  <c r="AR34" i="25"/>
  <c r="BH34" i="25"/>
  <c r="AP34" i="25"/>
  <c r="BF34" i="25"/>
  <c r="BU34" i="25"/>
  <c r="BW34" i="25"/>
  <c r="AJ208" i="25"/>
  <c r="AM208" i="25"/>
  <c r="BG208" i="25" s="1"/>
  <c r="AX80" i="25"/>
  <c r="AW80" i="25"/>
  <c r="AW73" i="25"/>
  <c r="AX73" i="25"/>
  <c r="BA243" i="24"/>
  <c r="BA153" i="24"/>
  <c r="BH117" i="24"/>
  <c r="AR247" i="25"/>
  <c r="BJ247" i="25"/>
  <c r="AP247" i="25"/>
  <c r="BH247" i="25"/>
  <c r="BF247" i="25"/>
  <c r="BU247" i="25"/>
  <c r="BW247" i="25"/>
  <c r="AS185" i="24"/>
  <c r="BJ185" i="24"/>
  <c r="AQ185" i="24"/>
  <c r="BH185" i="24"/>
  <c r="BW185" i="24"/>
  <c r="BU185" i="24"/>
  <c r="AX185" i="24"/>
  <c r="AS153" i="24"/>
  <c r="AU153" i="24" s="1"/>
  <c r="BB153" i="24" s="1"/>
  <c r="BJ153" i="24"/>
  <c r="AQ153" i="24"/>
  <c r="AM86" i="25"/>
  <c r="AJ86" i="25"/>
  <c r="AW175" i="25"/>
  <c r="AX175" i="25"/>
  <c r="AR248" i="25"/>
  <c r="BH248" i="25"/>
  <c r="AP248" i="25"/>
  <c r="BU248" i="25"/>
  <c r="BF248" i="25"/>
  <c r="BW248" i="25"/>
  <c r="AM60" i="25"/>
  <c r="AJ60" i="25"/>
  <c r="BW266" i="24"/>
  <c r="BU240" i="24"/>
  <c r="AS169" i="24"/>
  <c r="BL169" i="24"/>
  <c r="AQ169" i="24"/>
  <c r="BJ169" i="24"/>
  <c r="AX169" i="24"/>
  <c r="BH169" i="24"/>
  <c r="BW169" i="24"/>
  <c r="BU169" i="24"/>
  <c r="AX36" i="25"/>
  <c r="AW36" i="25"/>
  <c r="AS11" i="24"/>
  <c r="AQ11" i="24"/>
  <c r="BJ11" i="24"/>
  <c r="AX11" i="24"/>
  <c r="BW11" i="24"/>
  <c r="BH11" i="24"/>
  <c r="AW132" i="25"/>
  <c r="AX132" i="25"/>
  <c r="AS57" i="24"/>
  <c r="AU57" i="24" s="1"/>
  <c r="BB57" i="24" s="1"/>
  <c r="BJ57" i="24"/>
  <c r="AQ57" i="24"/>
  <c r="AR199" i="25"/>
  <c r="BJ199" i="25"/>
  <c r="BH199" i="25"/>
  <c r="BU199" i="25"/>
  <c r="BW199" i="25"/>
  <c r="BF199" i="25"/>
  <c r="BH111" i="24"/>
  <c r="BL244" i="24"/>
  <c r="AS244" i="24"/>
  <c r="AQ244" i="24"/>
  <c r="BJ244" i="24"/>
  <c r="BW244" i="24"/>
  <c r="BU244" i="24"/>
  <c r="AX244" i="24"/>
  <c r="BH244" i="24"/>
  <c r="AS243" i="24"/>
  <c r="AU243" i="24" s="1"/>
  <c r="BB243" i="24" s="1"/>
  <c r="AQ243" i="24"/>
  <c r="BJ243" i="24"/>
  <c r="BA218" i="24"/>
  <c r="AX66" i="25"/>
  <c r="AW66" i="25"/>
  <c r="AW183" i="25"/>
  <c r="AX183" i="25"/>
  <c r="BJ293" i="25"/>
  <c r="AR293" i="25"/>
  <c r="BH293" i="25"/>
  <c r="AP293" i="25"/>
  <c r="BF293" i="25"/>
  <c r="BW293" i="25"/>
  <c r="BU293" i="25"/>
  <c r="AM127" i="25"/>
  <c r="BG127" i="25" s="1"/>
  <c r="AJ127" i="25"/>
  <c r="AS254" i="24"/>
  <c r="BL254" i="24"/>
  <c r="AQ254" i="24"/>
  <c r="BJ254" i="24"/>
  <c r="AX254" i="24"/>
  <c r="BH254" i="24"/>
  <c r="BW254" i="24"/>
  <c r="BU254" i="24"/>
  <c r="BH225" i="24"/>
  <c r="AM254" i="25"/>
  <c r="BG254" i="25" s="1"/>
  <c r="AJ254" i="25"/>
  <c r="AJ196" i="25"/>
  <c r="AM196" i="25"/>
  <c r="BG196" i="25" s="1"/>
  <c r="AJ111" i="25"/>
  <c r="AM111" i="25"/>
  <c r="BA135" i="24"/>
  <c r="BH301" i="24"/>
  <c r="BJ259" i="25"/>
  <c r="AR259" i="25"/>
  <c r="AP259" i="25"/>
  <c r="BH259" i="25"/>
  <c r="BF259" i="25"/>
  <c r="BW259" i="25"/>
  <c r="BU259" i="25"/>
  <c r="AS58" i="24"/>
  <c r="AU58" i="24" s="1"/>
  <c r="BB58" i="24" s="1"/>
  <c r="BJ58" i="24"/>
  <c r="AQ58" i="24"/>
  <c r="AU101" i="24"/>
  <c r="BB101" i="24" s="1"/>
  <c r="AW101" i="24"/>
  <c r="AR255" i="25"/>
  <c r="BJ255" i="25"/>
  <c r="BH255" i="25"/>
  <c r="AP255" i="25"/>
  <c r="BW255" i="25"/>
  <c r="BU255" i="25"/>
  <c r="BF255" i="25"/>
  <c r="BW279" i="24"/>
  <c r="BW126" i="24"/>
  <c r="AJ225" i="25"/>
  <c r="AM225" i="25"/>
  <c r="BG225" i="25" s="1"/>
  <c r="AR59" i="25"/>
  <c r="BJ59" i="25"/>
  <c r="BH59" i="25"/>
  <c r="AP59" i="25"/>
  <c r="BW59" i="25"/>
  <c r="BU59" i="25"/>
  <c r="BF59" i="25"/>
  <c r="BW232" i="24"/>
  <c r="AS67" i="24"/>
  <c r="AQ67" i="24"/>
  <c r="BJ67" i="24"/>
  <c r="AX67" i="24"/>
  <c r="BH67" i="24"/>
  <c r="BW67" i="24"/>
  <c r="AJ253" i="25"/>
  <c r="AM253" i="25"/>
  <c r="BG253" i="25" s="1"/>
  <c r="AJ316" i="25"/>
  <c r="AM316" i="25"/>
  <c r="AS305" i="24"/>
  <c r="AU305" i="24" s="1"/>
  <c r="BB305" i="24" s="1"/>
  <c r="AQ305" i="24"/>
  <c r="BJ305" i="24"/>
  <c r="AJ23" i="25"/>
  <c r="AM23" i="25"/>
  <c r="BG23" i="25" s="1"/>
  <c r="AX57" i="25"/>
  <c r="AW57" i="25"/>
  <c r="AS81" i="24"/>
  <c r="AQ81" i="24"/>
  <c r="BJ81" i="24"/>
  <c r="AX81" i="24"/>
  <c r="BW81" i="24"/>
  <c r="BH81" i="24"/>
  <c r="AJ51" i="25"/>
  <c r="AM51" i="25"/>
  <c r="BG51" i="25" s="1"/>
  <c r="BA30" i="24"/>
  <c r="AJ172" i="25"/>
  <c r="AM172" i="25"/>
  <c r="BL187" i="24"/>
  <c r="AS187" i="24"/>
  <c r="BJ187" i="24"/>
  <c r="AQ187" i="24"/>
  <c r="AX187" i="24"/>
  <c r="BH187" i="24"/>
  <c r="BW187" i="24"/>
  <c r="BU187" i="24"/>
  <c r="AS247" i="24"/>
  <c r="AU247" i="24" s="1"/>
  <c r="BB247" i="24" s="1"/>
  <c r="BJ247" i="24"/>
  <c r="AQ247" i="24"/>
  <c r="AM207" i="25"/>
  <c r="BG207" i="25" s="1"/>
  <c r="AJ207" i="25"/>
  <c r="AX152" i="25"/>
  <c r="AW152" i="25"/>
  <c r="BA51" i="24"/>
  <c r="AJ140" i="25"/>
  <c r="AM140" i="25"/>
  <c r="BG140" i="25" s="1"/>
  <c r="BL189" i="24"/>
  <c r="AS189" i="24"/>
  <c r="AQ189" i="24"/>
  <c r="BJ189" i="24"/>
  <c r="BH189" i="24"/>
  <c r="BU189" i="24"/>
  <c r="BW189" i="24"/>
  <c r="AX189" i="24"/>
  <c r="AS121" i="24"/>
  <c r="AU121" i="24" s="1"/>
  <c r="BB121" i="24" s="1"/>
  <c r="AQ121" i="24"/>
  <c r="BJ121" i="24"/>
  <c r="AX52" i="25"/>
  <c r="AW52" i="25"/>
  <c r="BW237" i="24"/>
  <c r="AS82" i="24"/>
  <c r="BJ82" i="24"/>
  <c r="AQ82" i="24"/>
  <c r="AX82" i="24"/>
  <c r="BH82" i="24"/>
  <c r="BW82" i="24"/>
  <c r="AW64" i="25"/>
  <c r="AX64" i="25"/>
  <c r="BA297" i="24"/>
  <c r="AJ151" i="25"/>
  <c r="AM151" i="25"/>
  <c r="AX38" i="25"/>
  <c r="AW38" i="25"/>
  <c r="AS31" i="24"/>
  <c r="BJ31" i="24"/>
  <c r="AQ31" i="24"/>
  <c r="AX31" i="24"/>
  <c r="BH31" i="24"/>
  <c r="BW31" i="24"/>
  <c r="AS157" i="24"/>
  <c r="BJ157" i="24"/>
  <c r="AQ157" i="24"/>
  <c r="AX157" i="24"/>
  <c r="BH157" i="24"/>
  <c r="BU157" i="24"/>
  <c r="BW157" i="24"/>
  <c r="AR186" i="25"/>
  <c r="BH186" i="25"/>
  <c r="AP186" i="25"/>
  <c r="BF186" i="25"/>
  <c r="BU186" i="25"/>
  <c r="BW186" i="25"/>
  <c r="AW207" i="25"/>
  <c r="AX207" i="25"/>
  <c r="AX22" i="25"/>
  <c r="AW22" i="25"/>
  <c r="AX153" i="25"/>
  <c r="AW153" i="25"/>
  <c r="AS207" i="24"/>
  <c r="BL207" i="24"/>
  <c r="BJ207" i="24"/>
  <c r="AQ207" i="24"/>
  <c r="AX207" i="24"/>
  <c r="BH207" i="24"/>
  <c r="BU207" i="24"/>
  <c r="BW207" i="24"/>
  <c r="AU119" i="24"/>
  <c r="BB119" i="24" s="1"/>
  <c r="AW119" i="24"/>
  <c r="AS76" i="24"/>
  <c r="BJ76" i="24"/>
  <c r="AQ76" i="24"/>
  <c r="BW76" i="24"/>
  <c r="AX76" i="24"/>
  <c r="BH76" i="24"/>
  <c r="AJ188" i="25"/>
  <c r="AM188" i="25"/>
  <c r="BG188" i="25" s="1"/>
  <c r="AR296" i="25"/>
  <c r="AP296" i="25"/>
  <c r="BH296" i="25"/>
  <c r="BF296" i="25"/>
  <c r="BW296" i="25"/>
  <c r="BU296" i="25"/>
  <c r="AX114" i="24"/>
  <c r="BL143" i="24"/>
  <c r="AS143" i="24"/>
  <c r="AQ143" i="24"/>
  <c r="BJ143" i="24"/>
  <c r="AX143" i="24"/>
  <c r="BH143" i="24"/>
  <c r="BW143" i="24"/>
  <c r="BU143" i="24"/>
  <c r="AM101" i="25"/>
  <c r="BG101" i="25" s="1"/>
  <c r="AJ101" i="25"/>
  <c r="BU147" i="24"/>
  <c r="BL297" i="24"/>
  <c r="AS297" i="24"/>
  <c r="AU297" i="24" s="1"/>
  <c r="BB297" i="24" s="1"/>
  <c r="AQ297" i="24"/>
  <c r="BJ297" i="24"/>
  <c r="AX83" i="25"/>
  <c r="AW83" i="25"/>
  <c r="AM157" i="25"/>
  <c r="BG157" i="25" s="1"/>
  <c r="AJ157" i="25"/>
  <c r="BH249" i="24"/>
  <c r="AX166" i="25"/>
  <c r="AW166" i="25"/>
  <c r="AS227" i="24"/>
  <c r="BL227" i="24"/>
  <c r="AQ227" i="24"/>
  <c r="BJ227" i="24"/>
  <c r="BH227" i="24"/>
  <c r="BW227" i="24"/>
  <c r="AX227" i="24"/>
  <c r="BU227" i="24"/>
  <c r="AS10" i="24"/>
  <c r="BJ10" i="24"/>
  <c r="AQ10" i="24"/>
  <c r="AX10" i="24"/>
  <c r="BW10" i="24"/>
  <c r="BH10" i="24"/>
  <c r="AX47" i="25"/>
  <c r="AW47" i="25"/>
  <c r="AR306" i="25"/>
  <c r="BH306" i="25"/>
  <c r="AP306" i="25"/>
  <c r="BU306" i="25"/>
  <c r="BW306" i="25"/>
  <c r="BF306" i="25"/>
  <c r="BA37" i="24"/>
  <c r="AS94" i="24"/>
  <c r="BJ94" i="24"/>
  <c r="AQ94" i="24"/>
  <c r="AX94" i="24"/>
  <c r="BH94" i="24"/>
  <c r="BW94" i="24"/>
  <c r="AX101" i="25"/>
  <c r="AW101" i="25"/>
  <c r="AM61" i="25"/>
  <c r="BG61" i="25" s="1"/>
  <c r="AJ61" i="25"/>
  <c r="AS152" i="24"/>
  <c r="AU152" i="24" s="1"/>
  <c r="BB152" i="24" s="1"/>
  <c r="BJ152" i="24"/>
  <c r="AQ152" i="24"/>
  <c r="AS23" i="24"/>
  <c r="BL23" i="24"/>
  <c r="BJ23" i="24"/>
  <c r="AQ23" i="24"/>
  <c r="AX23" i="24"/>
  <c r="BH23" i="24"/>
  <c r="BW23" i="24"/>
  <c r="BH296" i="24"/>
  <c r="AS205" i="24"/>
  <c r="AQ205" i="24"/>
  <c r="BJ205" i="24"/>
  <c r="BW205" i="24"/>
  <c r="AX205" i="24"/>
  <c r="BH205" i="24"/>
  <c r="BU205" i="24"/>
  <c r="AS298" i="24"/>
  <c r="AU298" i="24" s="1"/>
  <c r="BB298" i="24" s="1"/>
  <c r="BJ298" i="24"/>
  <c r="AQ298" i="24"/>
  <c r="AU44" i="24"/>
  <c r="BB44" i="24" s="1"/>
  <c r="AW44" i="24"/>
  <c r="AR177" i="25"/>
  <c r="BH177" i="25"/>
  <c r="AP177" i="25"/>
  <c r="BF177" i="25"/>
  <c r="BW177" i="25"/>
  <c r="BU177" i="25"/>
  <c r="AS72" i="24"/>
  <c r="AQ72" i="24"/>
  <c r="BJ72" i="24"/>
  <c r="AX72" i="24"/>
  <c r="BH72" i="24"/>
  <c r="BW72" i="24"/>
  <c r="AM181" i="25"/>
  <c r="AJ181" i="25"/>
  <c r="AU257" i="24"/>
  <c r="BB257" i="24" s="1"/>
  <c r="AW257" i="24"/>
  <c r="BA133" i="24"/>
  <c r="AM44" i="25"/>
  <c r="BG44" i="25" s="1"/>
  <c r="AJ44" i="25"/>
  <c r="BA281" i="24"/>
  <c r="AM183" i="25"/>
  <c r="AJ183" i="25"/>
  <c r="AS281" i="24"/>
  <c r="AU281" i="24" s="1"/>
  <c r="BB281" i="24" s="1"/>
  <c r="AQ281" i="24"/>
  <c r="BJ281" i="24"/>
  <c r="AU21" i="24"/>
  <c r="BB21" i="24" s="1"/>
  <c r="AW21" i="24"/>
  <c r="AX59" i="24"/>
  <c r="AR173" i="25"/>
  <c r="BH173" i="25"/>
  <c r="AP173" i="25"/>
  <c r="BF173" i="25"/>
  <c r="BW173" i="25"/>
  <c r="BU173" i="25"/>
  <c r="BJ275" i="25"/>
  <c r="AR275" i="25"/>
  <c r="AP275" i="25"/>
  <c r="BH275" i="25"/>
  <c r="BF275" i="25"/>
  <c r="BU275" i="25"/>
  <c r="BW275" i="25"/>
  <c r="BA261" i="24"/>
  <c r="BW265" i="24"/>
  <c r="AS33" i="24"/>
  <c r="AU33" i="24" s="1"/>
  <c r="BB33" i="24" s="1"/>
  <c r="BJ33" i="24"/>
  <c r="AQ33" i="24"/>
  <c r="AJ70" i="25"/>
  <c r="AM70" i="25"/>
  <c r="BG70" i="25" s="1"/>
  <c r="BA305" i="24"/>
  <c r="AX118" i="25"/>
  <c r="AW118" i="25"/>
  <c r="BL217" i="24"/>
  <c r="AS217" i="24"/>
  <c r="BJ217" i="24"/>
  <c r="AQ217" i="24"/>
  <c r="AX217" i="24"/>
  <c r="BH217" i="24"/>
  <c r="BW217" i="24"/>
  <c r="BU217" i="24"/>
  <c r="AM274" i="25"/>
  <c r="AJ274" i="25"/>
  <c r="AJ136" i="25"/>
  <c r="AM136" i="25"/>
  <c r="BG136" i="25" s="1"/>
  <c r="AW124" i="25"/>
  <c r="AX124" i="25"/>
  <c r="AS116" i="24"/>
  <c r="BL116" i="24"/>
  <c r="AQ116" i="24"/>
  <c r="BJ116" i="24"/>
  <c r="AX116" i="24"/>
  <c r="BH116" i="24"/>
  <c r="BU116" i="24"/>
  <c r="BW116" i="24"/>
  <c r="AX43" i="25"/>
  <c r="AW43" i="25"/>
  <c r="BL300" i="24"/>
  <c r="AS300" i="24"/>
  <c r="BJ300" i="24"/>
  <c r="AQ300" i="24"/>
  <c r="AX300" i="24"/>
  <c r="BH300" i="24"/>
  <c r="BW300" i="24"/>
  <c r="BU300" i="24"/>
  <c r="BL252" i="24"/>
  <c r="AS252" i="24"/>
  <c r="AQ252" i="24"/>
  <c r="BJ252" i="24"/>
  <c r="BH252" i="24"/>
  <c r="BW252" i="24"/>
  <c r="BU252" i="24"/>
  <c r="AX252" i="24"/>
  <c r="BA242" i="24"/>
  <c r="BL30" i="24"/>
  <c r="AS30" i="24"/>
  <c r="AU30" i="24" s="1"/>
  <c r="BB30" i="24" s="1"/>
  <c r="BJ30" i="24"/>
  <c r="AQ30" i="24"/>
  <c r="AJ202" i="25"/>
  <c r="AM202" i="25"/>
  <c r="BG202" i="25" s="1"/>
  <c r="BL167" i="24"/>
  <c r="AS167" i="24"/>
  <c r="AQ167" i="24"/>
  <c r="BJ167" i="24"/>
  <c r="BW167" i="24"/>
  <c r="AX167" i="24"/>
  <c r="BH167" i="24"/>
  <c r="BU167" i="24"/>
  <c r="BL299" i="24"/>
  <c r="AS299" i="24"/>
  <c r="AU299" i="24" s="1"/>
  <c r="BB299" i="24" s="1"/>
  <c r="AQ299" i="24"/>
  <c r="BJ299" i="24"/>
  <c r="AX46" i="25"/>
  <c r="AW46" i="25"/>
  <c r="AX102" i="25"/>
  <c r="AW102" i="25"/>
  <c r="BW135" i="24"/>
  <c r="AS248" i="24"/>
  <c r="AU248" i="24" s="1"/>
  <c r="BB248" i="24" s="1"/>
  <c r="BJ248" i="24"/>
  <c r="AQ248" i="24"/>
  <c r="BH121" i="24"/>
  <c r="AW9" i="25"/>
  <c r="AX9" i="25"/>
  <c r="AM49" i="25"/>
  <c r="BG49" i="25" s="1"/>
  <c r="AJ49" i="25"/>
  <c r="AS125" i="24"/>
  <c r="AU125" i="24" s="1"/>
  <c r="BB125" i="24" s="1"/>
  <c r="AQ125" i="24"/>
  <c r="BJ125" i="24"/>
  <c r="AM79" i="25"/>
  <c r="AJ79" i="25"/>
  <c r="AS29" i="24"/>
  <c r="BJ29" i="24"/>
  <c r="AQ29" i="24"/>
  <c r="BH29" i="24"/>
  <c r="BW29" i="24"/>
  <c r="AX29" i="24"/>
  <c r="BW290" i="24"/>
  <c r="BA145" i="24"/>
  <c r="BH17" i="24"/>
  <c r="BW17" i="24"/>
  <c r="BH267" i="24"/>
  <c r="BH253" i="24"/>
  <c r="AS271" i="24"/>
  <c r="AU271" i="24" s="1"/>
  <c r="BB271" i="24" s="1"/>
  <c r="AQ271" i="24"/>
  <c r="BJ271" i="24"/>
  <c r="AJ146" i="25"/>
  <c r="AM146" i="25"/>
  <c r="BG146" i="25" s="1"/>
  <c r="BL78" i="24"/>
  <c r="AS78" i="24"/>
  <c r="BJ78" i="24"/>
  <c r="AQ78" i="24"/>
  <c r="BH78" i="24"/>
  <c r="BW78" i="24"/>
  <c r="AX78" i="24"/>
  <c r="AJ224" i="25"/>
  <c r="AM224" i="25"/>
  <c r="BG224" i="25" s="1"/>
  <c r="AW49" i="25"/>
  <c r="AX49" i="25"/>
  <c r="AJ242" i="25"/>
  <c r="AM242" i="25"/>
  <c r="AS75" i="24"/>
  <c r="BJ75" i="24"/>
  <c r="AQ75" i="24"/>
  <c r="AX75" i="24"/>
  <c r="BW75" i="24"/>
  <c r="BH75" i="24"/>
  <c r="AR30" i="25"/>
  <c r="AP30" i="25"/>
  <c r="BH30" i="25"/>
  <c r="BU30" i="25"/>
  <c r="BW30" i="25"/>
  <c r="BF30" i="25"/>
  <c r="BL246" i="24"/>
  <c r="AS246" i="24"/>
  <c r="BJ246" i="24"/>
  <c r="AQ246" i="24"/>
  <c r="BH246" i="24"/>
  <c r="BU246" i="24"/>
  <c r="BW246" i="24"/>
  <c r="AX246" i="24"/>
  <c r="BL138" i="24"/>
  <c r="AS138" i="24"/>
  <c r="BJ138" i="24"/>
  <c r="AQ138" i="24"/>
  <c r="BU138" i="24"/>
  <c r="AX138" i="24"/>
  <c r="BH138" i="24"/>
  <c r="BW138" i="24"/>
  <c r="BA20" i="24"/>
  <c r="AM38" i="25"/>
  <c r="BG38" i="25" s="1"/>
  <c r="AJ38" i="25"/>
  <c r="BA152" i="24"/>
  <c r="AJ171" i="25"/>
  <c r="AM171" i="25"/>
  <c r="AS283" i="24"/>
  <c r="AU283" i="24" s="1"/>
  <c r="BB283" i="24" s="1"/>
  <c r="AQ283" i="24"/>
  <c r="BJ283" i="24"/>
  <c r="AS120" i="24"/>
  <c r="AU120" i="24" s="1"/>
  <c r="BB120" i="24" s="1"/>
  <c r="AQ120" i="24"/>
  <c r="BJ120" i="24"/>
  <c r="AJ134" i="25"/>
  <c r="AM134" i="25"/>
  <c r="BG134" i="25" s="1"/>
  <c r="AX24" i="25"/>
  <c r="AW24" i="25"/>
  <c r="AS16" i="24"/>
  <c r="BJ16" i="24"/>
  <c r="AQ16" i="24"/>
  <c r="AX16" i="24"/>
  <c r="BH16" i="24"/>
  <c r="BW16" i="24"/>
  <c r="AS36" i="24"/>
  <c r="BJ36" i="24"/>
  <c r="AQ36" i="24"/>
  <c r="BH36" i="24"/>
  <c r="BW36" i="24"/>
  <c r="AX36" i="24"/>
  <c r="AX72" i="25"/>
  <c r="AW72" i="25"/>
  <c r="AS269" i="24"/>
  <c r="AU269" i="24" s="1"/>
  <c r="BB269" i="24" s="1"/>
  <c r="AQ269" i="24"/>
  <c r="BJ269" i="24"/>
  <c r="AS28" i="24"/>
  <c r="AU28" i="24" s="1"/>
  <c r="BB28" i="24" s="1"/>
  <c r="BJ28" i="24"/>
  <c r="AQ28" i="24"/>
  <c r="AJ142" i="25"/>
  <c r="AM142" i="25"/>
  <c r="AX126" i="25"/>
  <c r="AW126" i="25"/>
  <c r="AX51" i="25"/>
  <c r="AW51" i="25"/>
  <c r="BL309" i="24"/>
  <c r="AS309" i="24"/>
  <c r="BJ309" i="24"/>
  <c r="AQ309" i="24"/>
  <c r="AX309" i="24"/>
  <c r="BH309" i="24"/>
  <c r="BU309" i="24"/>
  <c r="BW309" i="24"/>
  <c r="AX27" i="25"/>
  <c r="AW27" i="25"/>
  <c r="AS88" i="24"/>
  <c r="AQ88" i="24"/>
  <c r="BJ88" i="24"/>
  <c r="BW88" i="24"/>
  <c r="AX88" i="24"/>
  <c r="BH88" i="24"/>
  <c r="AX35" i="25"/>
  <c r="AW35" i="25"/>
  <c r="AS180" i="24"/>
  <c r="BJ180" i="24"/>
  <c r="AQ180" i="24"/>
  <c r="BW180" i="24"/>
  <c r="BU180" i="24"/>
  <c r="AX180" i="24"/>
  <c r="BH180" i="24"/>
  <c r="AU7" i="24"/>
  <c r="BB7" i="24" s="1"/>
  <c r="AW7" i="24"/>
  <c r="AM139" i="25"/>
  <c r="BG139" i="25" s="1"/>
  <c r="AJ139" i="25"/>
  <c r="AS259" i="24"/>
  <c r="AU259" i="24" s="1"/>
  <c r="BB259" i="24" s="1"/>
  <c r="BJ259" i="24"/>
  <c r="AQ259" i="24"/>
  <c r="AX56" i="25"/>
  <c r="AW56" i="25"/>
  <c r="AJ84" i="25"/>
  <c r="AM84" i="25"/>
  <c r="BG84" i="25" s="1"/>
  <c r="AU160" i="24"/>
  <c r="BB160" i="24" s="1"/>
  <c r="AW160" i="24"/>
  <c r="AJ76" i="25"/>
  <c r="AM76" i="25"/>
  <c r="BG76" i="25" s="1"/>
  <c r="AJ278" i="25"/>
  <c r="AM278" i="25"/>
  <c r="BG278" i="25" s="1"/>
  <c r="BH28" i="24"/>
  <c r="AS293" i="24"/>
  <c r="BL293" i="24"/>
  <c r="BJ293" i="24"/>
  <c r="AQ293" i="24"/>
  <c r="BH293" i="24"/>
  <c r="BU293" i="24"/>
  <c r="BW293" i="24"/>
  <c r="AX293" i="24"/>
  <c r="AJ268" i="25"/>
  <c r="AM268" i="25"/>
  <c r="AS184" i="24"/>
  <c r="BL184" i="24"/>
  <c r="BJ184" i="24"/>
  <c r="AQ184" i="24"/>
  <c r="AX184" i="24"/>
  <c r="BH184" i="24"/>
  <c r="BU184" i="24"/>
  <c r="BW184" i="24"/>
  <c r="AS133" i="24"/>
  <c r="AU133" i="24" s="1"/>
  <c r="BB133" i="24" s="1"/>
  <c r="AQ133" i="24"/>
  <c r="BJ133" i="24"/>
  <c r="AM315" i="25"/>
  <c r="AJ315" i="25"/>
  <c r="AS313" i="24"/>
  <c r="BL313" i="24"/>
  <c r="BJ313" i="24"/>
  <c r="AQ313" i="24"/>
  <c r="BU313" i="24"/>
  <c r="BW313" i="24"/>
  <c r="AX313" i="24"/>
  <c r="BH313" i="24"/>
  <c r="AW16" i="25"/>
  <c r="AX16" i="25"/>
  <c r="BL158" i="24"/>
  <c r="AS158" i="24"/>
  <c r="BJ158" i="24"/>
  <c r="AQ158" i="24"/>
  <c r="AX158" i="24"/>
  <c r="BH158" i="24"/>
  <c r="BU158" i="24"/>
  <c r="BW158" i="24"/>
  <c r="BA48" i="24"/>
  <c r="AM223" i="25"/>
  <c r="AJ223" i="25"/>
  <c r="AS115" i="24"/>
  <c r="BL115" i="24"/>
  <c r="AQ115" i="24"/>
  <c r="BJ115" i="24"/>
  <c r="AX115" i="24"/>
  <c r="BH115" i="24"/>
  <c r="BU115" i="24"/>
  <c r="BW115" i="24"/>
  <c r="BW147" i="24"/>
  <c r="AX117" i="25"/>
  <c r="AW117" i="25"/>
  <c r="BJ167" i="25"/>
  <c r="AR167" i="25"/>
  <c r="AP167" i="25"/>
  <c r="BH167" i="25"/>
  <c r="BW167" i="25"/>
  <c r="BU167" i="25"/>
  <c r="BF167" i="25"/>
  <c r="AS12" i="24"/>
  <c r="AU12" i="24" s="1"/>
  <c r="BB12" i="24" s="1"/>
  <c r="AQ12" i="24"/>
  <c r="BJ12" i="24"/>
  <c r="AR204" i="25"/>
  <c r="BJ204" i="25"/>
  <c r="BH204" i="25"/>
  <c r="BF204" i="25"/>
  <c r="BW204" i="25"/>
  <c r="BU204" i="25"/>
  <c r="AS130" i="24"/>
  <c r="AU130" i="24" s="1"/>
  <c r="BB130" i="24" s="1"/>
  <c r="AQ130" i="24"/>
  <c r="BJ130" i="24"/>
  <c r="AS103" i="24"/>
  <c r="BJ103" i="24"/>
  <c r="AQ103" i="24"/>
  <c r="AX103" i="24"/>
  <c r="BH103" i="24"/>
  <c r="BW103" i="24"/>
  <c r="AJ81" i="25"/>
  <c r="AM81" i="25"/>
  <c r="AS228" i="24"/>
  <c r="AU228" i="24" s="1"/>
  <c r="BB228" i="24" s="1"/>
  <c r="BJ228" i="24"/>
  <c r="AQ228" i="24"/>
  <c r="AS35" i="24"/>
  <c r="AU35" i="24" s="1"/>
  <c r="BB35" i="24" s="1"/>
  <c r="BJ35" i="24"/>
  <c r="AQ35" i="24"/>
  <c r="AM25" i="25"/>
  <c r="BG25" i="25" s="1"/>
  <c r="AJ25" i="25"/>
  <c r="AJ285" i="25"/>
  <c r="AM285" i="25"/>
  <c r="BG285" i="25" s="1"/>
  <c r="AM241" i="25"/>
  <c r="BG241" i="25" s="1"/>
  <c r="AJ241" i="25"/>
  <c r="AW188" i="25"/>
  <c r="AX188" i="25"/>
  <c r="BA260" i="24"/>
  <c r="AW209" i="25"/>
  <c r="AX209" i="25"/>
  <c r="AS270" i="24"/>
  <c r="AQ270" i="24"/>
  <c r="BJ270" i="24"/>
  <c r="AX270" i="24"/>
  <c r="BH270" i="24"/>
  <c r="BW270" i="24"/>
  <c r="BU270" i="24"/>
  <c r="BA12" i="24"/>
  <c r="AS145" i="24"/>
  <c r="AU145" i="24" s="1"/>
  <c r="BB145" i="24" s="1"/>
  <c r="BJ145" i="24"/>
  <c r="AQ145" i="24"/>
  <c r="BA273" i="24"/>
  <c r="AM288" i="25"/>
  <c r="BG288" i="25" s="1"/>
  <c r="AJ288" i="25"/>
  <c r="AS123" i="24"/>
  <c r="AU123" i="24" s="1"/>
  <c r="BB123" i="24" s="1"/>
  <c r="BJ123" i="24"/>
  <c r="AQ123" i="24"/>
  <c r="AR273" i="25"/>
  <c r="BJ273" i="25"/>
  <c r="AP273" i="25"/>
  <c r="BH273" i="25"/>
  <c r="BF273" i="25"/>
  <c r="BU273" i="25"/>
  <c r="BW273" i="25"/>
  <c r="AJ299" i="25"/>
  <c r="AM299" i="25"/>
  <c r="BU269" i="24"/>
  <c r="AS43" i="24"/>
  <c r="BJ43" i="24"/>
  <c r="AQ43" i="24"/>
  <c r="AX43" i="24"/>
  <c r="BH43" i="24"/>
  <c r="BW43" i="24"/>
  <c r="AW165" i="25"/>
  <c r="AX165" i="25"/>
  <c r="AS47" i="24"/>
  <c r="BJ47" i="24"/>
  <c r="AQ47" i="24"/>
  <c r="AX47" i="24"/>
  <c r="BH47" i="24"/>
  <c r="BW47" i="24"/>
  <c r="AS278" i="24"/>
  <c r="BL278" i="24"/>
  <c r="BJ278" i="24"/>
  <c r="AQ278" i="24"/>
  <c r="BW278" i="24"/>
  <c r="BU278" i="24"/>
  <c r="AX278" i="24"/>
  <c r="BH278" i="24"/>
  <c r="AR29" i="25"/>
  <c r="BJ29" i="25"/>
  <c r="BH29" i="25"/>
  <c r="AP29" i="25"/>
  <c r="BF29" i="25"/>
  <c r="BW29" i="25"/>
  <c r="BU29" i="25"/>
  <c r="AM164" i="25"/>
  <c r="AJ164" i="25"/>
  <c r="AM175" i="25"/>
  <c r="AJ175" i="25"/>
  <c r="AW105" i="25"/>
  <c r="B126" i="2" s="1"/>
  <c r="E33" i="1" s="1"/>
  <c r="AX105" i="25"/>
  <c r="B136" i="2" s="1"/>
  <c r="L33" i="1" s="1"/>
  <c r="BL194" i="24"/>
  <c r="AS194" i="24"/>
  <c r="BJ194" i="24"/>
  <c r="AQ194" i="24"/>
  <c r="AX194" i="24"/>
  <c r="BH194" i="24"/>
  <c r="BW194" i="24"/>
  <c r="BU194" i="24"/>
  <c r="BA271" i="24"/>
  <c r="BA33" i="24"/>
  <c r="BH6" i="24"/>
  <c r="BW6" i="24"/>
  <c r="AJ245" i="25"/>
  <c r="AM245" i="25"/>
  <c r="AJ234" i="25"/>
  <c r="AM234" i="25"/>
  <c r="BG234" i="25" s="1"/>
  <c r="AS202" i="24"/>
  <c r="AQ202" i="24"/>
  <c r="BJ202" i="24"/>
  <c r="BU202" i="24"/>
  <c r="AX202" i="24"/>
  <c r="BH202" i="24"/>
  <c r="BW202" i="24"/>
  <c r="AR206" i="25"/>
  <c r="BJ206" i="25"/>
  <c r="BH206" i="25"/>
  <c r="BF206" i="25"/>
  <c r="BW206" i="25"/>
  <c r="BU206" i="25"/>
  <c r="AM270" i="25"/>
  <c r="AJ270" i="25"/>
  <c r="AS240" i="24"/>
  <c r="AU240" i="24" s="1"/>
  <c r="BB240" i="24" s="1"/>
  <c r="BJ240" i="24"/>
  <c r="AQ240" i="24"/>
  <c r="AM138" i="25"/>
  <c r="AJ138" i="25"/>
  <c r="AS295" i="24"/>
  <c r="AU295" i="24" s="1"/>
  <c r="BB295" i="24" s="1"/>
  <c r="BJ295" i="24"/>
  <c r="AQ295" i="24"/>
  <c r="AS27" i="24"/>
  <c r="BJ27" i="24"/>
  <c r="AQ27" i="24"/>
  <c r="BH27" i="24"/>
  <c r="BW27" i="24"/>
  <c r="AX27" i="24"/>
  <c r="AS54" i="24"/>
  <c r="AU54" i="24" s="1"/>
  <c r="BB54" i="24" s="1"/>
  <c r="BJ54" i="24"/>
  <c r="AQ54" i="24"/>
  <c r="AX7" i="25"/>
  <c r="AW7" i="25"/>
  <c r="AX156" i="25"/>
  <c r="AW156" i="25"/>
  <c r="BA59" i="24"/>
  <c r="AX68" i="25"/>
  <c r="AW68" i="25"/>
  <c r="BL146" i="24"/>
  <c r="AS146" i="24"/>
  <c r="BJ146" i="24"/>
  <c r="AQ146" i="24"/>
  <c r="BW146" i="24"/>
  <c r="AX146" i="24"/>
  <c r="BH146" i="24"/>
  <c r="BU146" i="24"/>
  <c r="AJ287" i="25"/>
  <c r="AM287" i="25"/>
  <c r="BU265" i="24"/>
  <c r="AX135" i="25"/>
  <c r="AW135" i="25"/>
  <c r="AS20" i="24"/>
  <c r="AU20" i="24" s="1"/>
  <c r="BB20" i="24" s="1"/>
  <c r="BJ20" i="24"/>
  <c r="AQ20" i="24"/>
  <c r="AM251" i="25"/>
  <c r="BG251" i="25" s="1"/>
  <c r="AJ251" i="25"/>
  <c r="AM46" i="25"/>
  <c r="BG46" i="25" s="1"/>
  <c r="AJ46" i="25"/>
  <c r="AX111" i="24"/>
  <c r="AW264" i="24"/>
  <c r="AR305" i="25"/>
  <c r="AP305" i="25"/>
  <c r="BH305" i="25"/>
  <c r="BU305" i="25"/>
  <c r="BW305" i="25"/>
  <c r="BF305" i="25"/>
  <c r="AR190" i="25"/>
  <c r="BH190" i="25"/>
  <c r="AP190" i="25"/>
  <c r="BW190" i="25"/>
  <c r="BF190" i="25"/>
  <c r="BU190" i="25"/>
  <c r="AX41" i="25"/>
  <c r="AW41" i="25"/>
  <c r="BA247" i="24"/>
  <c r="AJ312" i="25"/>
  <c r="AM312" i="25"/>
  <c r="AX242" i="24"/>
  <c r="AJ99" i="25"/>
  <c r="AM99" i="25"/>
  <c r="AJ120" i="25"/>
  <c r="AM120" i="25"/>
  <c r="BG120" i="25" s="1"/>
  <c r="AS56" i="24"/>
  <c r="AU56" i="24" s="1"/>
  <c r="BB56" i="24" s="1"/>
  <c r="BJ56" i="24"/>
  <c r="AQ56" i="24"/>
  <c r="BU135" i="24"/>
  <c r="AX301" i="24"/>
  <c r="AM230" i="25"/>
  <c r="BG230" i="25" s="1"/>
  <c r="AJ230" i="25"/>
  <c r="AX20" i="25"/>
  <c r="AW20" i="25"/>
  <c r="AS171" i="24"/>
  <c r="BL171" i="24"/>
  <c r="AQ171" i="24"/>
  <c r="BJ171" i="24"/>
  <c r="BH171" i="24"/>
  <c r="BW171" i="24"/>
  <c r="BU171" i="24"/>
  <c r="AX171" i="24"/>
  <c r="AJ137" i="25"/>
  <c r="AM137" i="25"/>
  <c r="BG137" i="25" s="1"/>
  <c r="AR89" i="25"/>
  <c r="AP89" i="25"/>
  <c r="BH89" i="25"/>
  <c r="BF89" i="25"/>
  <c r="BU89" i="25"/>
  <c r="BW89" i="25"/>
  <c r="BL197" i="24"/>
  <c r="AS197" i="24"/>
  <c r="BJ197" i="24"/>
  <c r="AQ197" i="24"/>
  <c r="BH197" i="24"/>
  <c r="BU197" i="24"/>
  <c r="BW197" i="24"/>
  <c r="AX197" i="24"/>
  <c r="AS104" i="24"/>
  <c r="BJ104" i="24"/>
  <c r="AQ104" i="24"/>
  <c r="AX104" i="24"/>
  <c r="BW104" i="24"/>
  <c r="BH104" i="24"/>
  <c r="AS275" i="24"/>
  <c r="AQ275" i="24"/>
  <c r="BJ275" i="24"/>
  <c r="AX275" i="24"/>
  <c r="BH275" i="24"/>
  <c r="BW275" i="24"/>
  <c r="BU275" i="24"/>
  <c r="BH126" i="24"/>
  <c r="BU290" i="24"/>
  <c r="BW145" i="24"/>
  <c r="BA263" i="24"/>
  <c r="AX67" i="25"/>
  <c r="AW67" i="25"/>
  <c r="AM17" i="25"/>
  <c r="BG17" i="25" s="1"/>
  <c r="AJ17" i="25"/>
  <c r="BA282" i="24"/>
  <c r="BA155" i="24"/>
  <c r="AJ236" i="25"/>
  <c r="AM236" i="25"/>
  <c r="AX248" i="24"/>
  <c r="AW187" i="25"/>
  <c r="AX187" i="25"/>
  <c r="AS168" i="24"/>
  <c r="AQ168" i="24"/>
  <c r="BJ168" i="24"/>
  <c r="BU168" i="24"/>
  <c r="AX168" i="24"/>
  <c r="BH168" i="24"/>
  <c r="BW168" i="24"/>
  <c r="AM72" i="25"/>
  <c r="AJ72" i="25"/>
  <c r="AJ222" i="25"/>
  <c r="AM222" i="25"/>
  <c r="BJ28" i="25"/>
  <c r="AR28" i="25"/>
  <c r="BH28" i="25"/>
  <c r="AP28" i="25"/>
  <c r="BF28" i="25"/>
  <c r="BW28" i="25"/>
  <c r="BU28" i="25"/>
  <c r="AS273" i="24"/>
  <c r="AU273" i="24" s="1"/>
  <c r="BB273" i="24" s="1"/>
  <c r="AQ273" i="24"/>
  <c r="BJ273" i="24"/>
  <c r="AS232" i="24"/>
  <c r="AU232" i="24" s="1"/>
  <c r="BB232" i="24" s="1"/>
  <c r="BJ232" i="24"/>
  <c r="AQ232" i="24"/>
  <c r="AR87" i="25"/>
  <c r="BJ87" i="25"/>
  <c r="BH87" i="25"/>
  <c r="AP87" i="25"/>
  <c r="BF87" i="25"/>
  <c r="BW87" i="25"/>
  <c r="BU87" i="25"/>
  <c r="AS69" i="24"/>
  <c r="BJ69" i="24"/>
  <c r="AQ69" i="24"/>
  <c r="BH69" i="24"/>
  <c r="BW69" i="24"/>
  <c r="AX69" i="24"/>
  <c r="BL131" i="24"/>
  <c r="AS131" i="24"/>
  <c r="BJ131" i="24"/>
  <c r="AQ131" i="24"/>
  <c r="BH131" i="24"/>
  <c r="BW131" i="24"/>
  <c r="BU131" i="24"/>
  <c r="AX131" i="24"/>
  <c r="BL268" i="24"/>
  <c r="AS268" i="24"/>
  <c r="AQ268" i="24"/>
  <c r="BJ268" i="24"/>
  <c r="AX268" i="24"/>
  <c r="BH268" i="24"/>
  <c r="BW268" i="24"/>
  <c r="BU268" i="24"/>
  <c r="AJ64" i="25"/>
  <c r="AM64" i="25"/>
  <c r="BH283" i="24"/>
  <c r="BL159" i="24"/>
  <c r="AS159" i="24"/>
  <c r="AQ159" i="24"/>
  <c r="BJ159" i="24"/>
  <c r="BW159" i="24"/>
  <c r="AX159" i="24"/>
  <c r="BH159" i="24"/>
  <c r="BU159" i="24"/>
  <c r="AX120" i="24"/>
  <c r="BL238" i="24"/>
  <c r="AS238" i="24"/>
  <c r="AU238" i="24" s="1"/>
  <c r="BB238" i="24" s="1"/>
  <c r="AQ238" i="24"/>
  <c r="BJ238" i="24"/>
  <c r="AS129" i="24"/>
  <c r="AU129" i="24" s="1"/>
  <c r="BB129" i="24" s="1"/>
  <c r="AQ129" i="24"/>
  <c r="BJ129" i="24"/>
  <c r="AM56" i="25"/>
  <c r="AJ56" i="25"/>
  <c r="AS267" i="24"/>
  <c r="AU267" i="24" s="1"/>
  <c r="BB267" i="24" s="1"/>
  <c r="AQ267" i="24"/>
  <c r="BJ267" i="24"/>
  <c r="AS206" i="24"/>
  <c r="BJ206" i="24"/>
  <c r="AQ206" i="24"/>
  <c r="BH206" i="24"/>
  <c r="BW206" i="24"/>
  <c r="BU206" i="24"/>
  <c r="AX206" i="24"/>
  <c r="AS280" i="24"/>
  <c r="AU280" i="24" s="1"/>
  <c r="BB280" i="24" s="1"/>
  <c r="BJ280" i="24"/>
  <c r="AQ280" i="24"/>
  <c r="AS302" i="24"/>
  <c r="BJ302" i="24"/>
  <c r="AQ302" i="24"/>
  <c r="BW302" i="24"/>
  <c r="BU302" i="24"/>
  <c r="AX302" i="24"/>
  <c r="BH302" i="24"/>
  <c r="AJ219" i="25"/>
  <c r="AM219" i="25"/>
  <c r="BL14" i="24"/>
  <c r="AS14" i="24"/>
  <c r="BJ14" i="24"/>
  <c r="AQ14" i="24"/>
  <c r="AX14" i="24"/>
  <c r="BH14" i="24"/>
  <c r="BW14" i="24"/>
  <c r="AS245" i="24"/>
  <c r="AQ245" i="24"/>
  <c r="BJ245" i="24"/>
  <c r="AX245" i="24"/>
  <c r="BH245" i="24"/>
  <c r="BW245" i="24"/>
  <c r="BU245" i="24"/>
  <c r="AJ16" i="25"/>
  <c r="AM16" i="25"/>
  <c r="BG16" i="25" s="1"/>
  <c r="AM302" i="25"/>
  <c r="AJ302" i="25"/>
  <c r="AX28" i="24"/>
  <c r="AX50" i="25"/>
  <c r="AW50" i="25"/>
  <c r="AS24" i="24"/>
  <c r="AU24" i="24" s="1"/>
  <c r="BB24" i="24" s="1"/>
  <c r="BJ24" i="24"/>
  <c r="AQ24" i="24"/>
  <c r="AS186" i="24"/>
  <c r="AQ186" i="24"/>
  <c r="BJ186" i="24"/>
  <c r="BW186" i="24"/>
  <c r="BU186" i="24"/>
  <c r="AX186" i="24"/>
  <c r="BH186" i="24"/>
  <c r="BA114" i="24"/>
  <c r="AM133" i="25"/>
  <c r="AJ133" i="25"/>
  <c r="AS173" i="24"/>
  <c r="BJ173" i="24"/>
  <c r="AQ173" i="24"/>
  <c r="BU173" i="24"/>
  <c r="BW173" i="24"/>
  <c r="AX173" i="24"/>
  <c r="BH173" i="24"/>
  <c r="AX130" i="24"/>
  <c r="BH147" i="24"/>
  <c r="BA274" i="24"/>
  <c r="AJ197" i="25"/>
  <c r="AM197" i="25"/>
  <c r="CE197" i="25" s="1"/>
  <c r="AS285" i="24"/>
  <c r="BL285" i="24"/>
  <c r="AQ285" i="24"/>
  <c r="BJ285" i="24"/>
  <c r="BH285" i="24"/>
  <c r="BU285" i="24"/>
  <c r="BW285" i="24"/>
  <c r="AX285" i="24"/>
  <c r="AS172" i="24"/>
  <c r="AQ172" i="24"/>
  <c r="BJ172" i="24"/>
  <c r="AX172" i="24"/>
  <c r="BH172" i="24"/>
  <c r="BW172" i="24"/>
  <c r="BU172" i="24"/>
  <c r="BW260" i="24"/>
  <c r="AX98" i="25"/>
  <c r="AW98" i="25"/>
  <c r="AS161" i="24"/>
  <c r="BJ161" i="24"/>
  <c r="AQ161" i="24"/>
  <c r="BH161" i="24"/>
  <c r="BW161" i="24"/>
  <c r="BU161" i="24"/>
  <c r="AX161" i="24"/>
  <c r="AM163" i="25"/>
  <c r="AJ163" i="25"/>
  <c r="AS8" i="24"/>
  <c r="AU8" i="24" s="1"/>
  <c r="BB8" i="24" s="1"/>
  <c r="BJ8" i="24"/>
  <c r="AQ8" i="24"/>
  <c r="AR238" i="25"/>
  <c r="BJ238" i="25"/>
  <c r="AP238" i="25"/>
  <c r="BH238" i="25"/>
  <c r="BU238" i="25"/>
  <c r="BW238" i="25"/>
  <c r="BF238" i="25"/>
  <c r="AS266" i="24"/>
  <c r="AU266" i="24" s="1"/>
  <c r="BB266" i="24" s="1"/>
  <c r="BJ266" i="24"/>
  <c r="AQ266" i="24"/>
  <c r="BW273" i="24"/>
  <c r="AW157" i="25"/>
  <c r="AX157" i="25"/>
  <c r="AR314" i="25"/>
  <c r="BJ314" i="25"/>
  <c r="AP314" i="25"/>
  <c r="BH314" i="25"/>
  <c r="BF314" i="25"/>
  <c r="BU314" i="25"/>
  <c r="BW314" i="25"/>
  <c r="AJ250" i="25"/>
  <c r="AM250" i="25"/>
  <c r="BG250" i="25" s="1"/>
  <c r="BW269" i="24"/>
  <c r="AX296" i="24"/>
  <c r="AJ88" i="25"/>
  <c r="AM88" i="25"/>
  <c r="AX193" i="25"/>
  <c r="AW193" i="25"/>
  <c r="BL117" i="24"/>
  <c r="AS117" i="24"/>
  <c r="AU117" i="24" s="1"/>
  <c r="BB117" i="24" s="1"/>
  <c r="BJ117" i="24"/>
  <c r="AQ117" i="24"/>
  <c r="AX65" i="25"/>
  <c r="AW65" i="25"/>
  <c r="BL286" i="24"/>
  <c r="AS286" i="24"/>
  <c r="AQ286" i="24"/>
  <c r="BJ286" i="24"/>
  <c r="AX286" i="24"/>
  <c r="BH286" i="24"/>
  <c r="BU286" i="24"/>
  <c r="BW286" i="24"/>
  <c r="AJ36" i="25"/>
  <c r="AM36" i="25"/>
  <c r="BG36" i="25" s="1"/>
  <c r="AX163" i="25"/>
  <c r="AW163" i="25"/>
  <c r="AR246" i="25"/>
  <c r="BJ246" i="25"/>
  <c r="AP246" i="25"/>
  <c r="BH246" i="25"/>
  <c r="BF246" i="25"/>
  <c r="BW246" i="25"/>
  <c r="BU246" i="25"/>
  <c r="AS279" i="24"/>
  <c r="AU279" i="24" s="1"/>
  <c r="BB279" i="24" s="1"/>
  <c r="BJ279" i="24"/>
  <c r="AQ279" i="24"/>
  <c r="AS19" i="24"/>
  <c r="AU19" i="24" s="1"/>
  <c r="BB19" i="24" s="1"/>
  <c r="BJ19" i="24"/>
  <c r="AQ19" i="24"/>
  <c r="AJ290" i="25"/>
  <c r="AM290" i="25"/>
  <c r="BG290" i="25" s="1"/>
  <c r="BA117" i="24"/>
  <c r="AW88" i="25"/>
  <c r="AX88" i="25"/>
  <c r="AM226" i="25"/>
  <c r="BG226" i="25" s="1"/>
  <c r="AJ226" i="25"/>
  <c r="AX164" i="25"/>
  <c r="AW164" i="25"/>
  <c r="AX19" i="25"/>
  <c r="AW19" i="25"/>
  <c r="AJ294" i="25"/>
  <c r="AM294" i="25"/>
  <c r="AJ26" i="25"/>
  <c r="AM26" i="25"/>
  <c r="BG26" i="25" s="1"/>
  <c r="AX8" i="24"/>
  <c r="BH240" i="24"/>
  <c r="AS229" i="24"/>
  <c r="BL229" i="24"/>
  <c r="BJ229" i="24"/>
  <c r="AQ229" i="24"/>
  <c r="BW229" i="24"/>
  <c r="BU229" i="24"/>
  <c r="AX229" i="24"/>
  <c r="BH229" i="24"/>
  <c r="AS288" i="24"/>
  <c r="BL288" i="24"/>
  <c r="BJ288" i="24"/>
  <c r="AQ288" i="24"/>
  <c r="AX288" i="24"/>
  <c r="BH288" i="24"/>
  <c r="BU288" i="24"/>
  <c r="BW288" i="24"/>
  <c r="BW32" i="24"/>
  <c r="AW208" i="25"/>
  <c r="AX208" i="25"/>
  <c r="AJ162" i="25"/>
  <c r="AM162" i="25"/>
  <c r="AS282" i="24"/>
  <c r="AU282" i="24" s="1"/>
  <c r="BB282" i="24" s="1"/>
  <c r="BJ282" i="24"/>
  <c r="AQ282" i="24"/>
  <c r="AS253" i="24"/>
  <c r="AU253" i="24" s="1"/>
  <c r="BB253" i="24" s="1"/>
  <c r="AQ253" i="24"/>
  <c r="BJ253" i="24"/>
  <c r="BA111" i="24"/>
  <c r="AS91" i="24"/>
  <c r="AQ91" i="24"/>
  <c r="BJ91" i="24"/>
  <c r="AX91" i="24"/>
  <c r="BH91" i="24"/>
  <c r="BW91" i="24"/>
  <c r="AS231" i="24"/>
  <c r="BL231" i="24"/>
  <c r="AQ231" i="24"/>
  <c r="BJ231" i="24"/>
  <c r="BH231" i="24"/>
  <c r="BU231" i="24"/>
  <c r="BW231" i="24"/>
  <c r="AX231" i="24"/>
  <c r="BW305" i="24"/>
  <c r="AX180" i="25"/>
  <c r="AW180" i="25"/>
  <c r="AX100" i="25"/>
  <c r="AW100" i="25"/>
  <c r="AR292" i="25"/>
  <c r="BH292" i="25"/>
  <c r="AP292" i="25"/>
  <c r="BU292" i="25"/>
  <c r="BW292" i="25"/>
  <c r="BF292" i="25"/>
  <c r="AS150" i="24"/>
  <c r="AQ150" i="24"/>
  <c r="BJ150" i="24"/>
  <c r="AX150" i="24"/>
  <c r="BH150" i="24"/>
  <c r="BW150" i="24"/>
  <c r="BU150" i="24"/>
  <c r="AJ289" i="25"/>
  <c r="AM289" i="25"/>
  <c r="AS201" i="24"/>
  <c r="BJ201" i="24"/>
  <c r="AQ201" i="24"/>
  <c r="BW201" i="24"/>
  <c r="AX201" i="24"/>
  <c r="BH201" i="24"/>
  <c r="BU201" i="24"/>
  <c r="AS39" i="24"/>
  <c r="BJ39" i="24"/>
  <c r="AQ39" i="24"/>
  <c r="AX39" i="24"/>
  <c r="BH39" i="24"/>
  <c r="BW39" i="24"/>
  <c r="AJ33" i="25"/>
  <c r="AM33" i="25"/>
  <c r="BG33" i="25" s="1"/>
  <c r="AS90" i="24"/>
  <c r="BJ90" i="24"/>
  <c r="AQ90" i="24"/>
  <c r="AX90" i="24"/>
  <c r="BH90" i="24"/>
  <c r="BW90" i="24"/>
  <c r="BA225" i="24"/>
  <c r="AS195" i="24"/>
  <c r="BL195" i="24"/>
  <c r="BJ195" i="24"/>
  <c r="AQ195" i="24"/>
  <c r="BH195" i="24"/>
  <c r="BU195" i="24"/>
  <c r="BW195" i="24"/>
  <c r="AX195" i="24"/>
  <c r="AJ116" i="25"/>
  <c r="AM116" i="25"/>
  <c r="AX295" i="24"/>
  <c r="AJ159" i="25"/>
  <c r="AM159" i="25"/>
  <c r="AS188" i="24"/>
  <c r="BJ188" i="24"/>
  <c r="AQ188" i="24"/>
  <c r="BH188" i="24"/>
  <c r="BU188" i="24"/>
  <c r="BW188" i="24"/>
  <c r="AX188" i="24"/>
  <c r="BL164" i="24"/>
  <c r="AS164" i="24"/>
  <c r="BJ164" i="24"/>
  <c r="AQ164" i="24"/>
  <c r="AX164" i="24"/>
  <c r="BH164" i="24"/>
  <c r="BW164" i="24"/>
  <c r="BU164" i="24"/>
  <c r="AJ53" i="25"/>
  <c r="AM53" i="25"/>
  <c r="BG53" i="25" s="1"/>
  <c r="AS155" i="24"/>
  <c r="AU155" i="24" s="1"/>
  <c r="BB155" i="24" s="1"/>
  <c r="BJ155" i="24"/>
  <c r="AQ155" i="24"/>
  <c r="AS37" i="24"/>
  <c r="AU37" i="24" s="1"/>
  <c r="BB37" i="24" s="1"/>
  <c r="BJ37" i="24"/>
  <c r="AQ37" i="24"/>
  <c r="BA301" i="24"/>
  <c r="AX121" i="24"/>
  <c r="AX93" i="25"/>
  <c r="AW93" i="25"/>
  <c r="AJ39" i="25"/>
  <c r="AM39" i="25"/>
  <c r="BG39" i="25" s="1"/>
  <c r="AR6" i="25"/>
  <c r="BH6" i="25"/>
  <c r="AP6" i="25"/>
  <c r="BF6" i="25"/>
  <c r="BW6" i="25"/>
  <c r="BU6" i="25"/>
  <c r="AX33" i="25"/>
  <c r="AW33" i="25"/>
  <c r="AX279" i="24"/>
  <c r="AM123" i="25"/>
  <c r="BG123" i="25" s="1"/>
  <c r="AJ123" i="25"/>
  <c r="BA17" i="24"/>
  <c r="AS316" i="24"/>
  <c r="BL316" i="24"/>
  <c r="BJ316" i="24"/>
  <c r="AQ316" i="24"/>
  <c r="AX316" i="24"/>
  <c r="BH316" i="24"/>
  <c r="BW316" i="24"/>
  <c r="BU316" i="24"/>
  <c r="AS199" i="24"/>
  <c r="AQ199" i="24"/>
  <c r="BJ199" i="24"/>
  <c r="AX199" i="24"/>
  <c r="BH199" i="24"/>
  <c r="BW199" i="24"/>
  <c r="BU199" i="24"/>
  <c r="BU282" i="24"/>
  <c r="AW142" i="24"/>
  <c r="AJ10" i="25"/>
  <c r="AM10" i="25"/>
  <c r="BA248" i="24"/>
  <c r="BH232" i="24"/>
  <c r="AS48" i="24"/>
  <c r="AU48" i="24" s="1"/>
  <c r="BB48" i="24" s="1"/>
  <c r="BJ48" i="24"/>
  <c r="AQ48" i="24"/>
  <c r="AJ40" i="25"/>
  <c r="AM40" i="25"/>
  <c r="BG40" i="25" s="1"/>
  <c r="AS154" i="24"/>
  <c r="BL154" i="24"/>
  <c r="BJ154" i="24"/>
  <c r="AQ154" i="24"/>
  <c r="AX154" i="24"/>
  <c r="BH154" i="24"/>
  <c r="BW154" i="24"/>
  <c r="BU154" i="24"/>
  <c r="AX79" i="25"/>
  <c r="AW79" i="25"/>
  <c r="AS204" i="24"/>
  <c r="BJ204" i="24"/>
  <c r="AQ204" i="24"/>
  <c r="AX204" i="24"/>
  <c r="BH204" i="24"/>
  <c r="BU204" i="24"/>
  <c r="BW204" i="24"/>
  <c r="BA259" i="24"/>
  <c r="AS277" i="24"/>
  <c r="BJ277" i="24"/>
  <c r="AQ277" i="24"/>
  <c r="AX277" i="24"/>
  <c r="BH277" i="24"/>
  <c r="BU277" i="24"/>
  <c r="BW277" i="24"/>
  <c r="AM27" i="25"/>
  <c r="AJ27" i="25"/>
  <c r="AU190" i="24"/>
  <c r="BB190" i="24" s="1"/>
  <c r="AW190" i="24"/>
  <c r="AW17" i="25"/>
  <c r="AX17" i="25"/>
  <c r="AS59" i="24"/>
  <c r="AU59" i="24" s="1"/>
  <c r="BB59" i="24" s="1"/>
  <c r="BJ59" i="24"/>
  <c r="AQ59" i="24"/>
  <c r="AJ149" i="25"/>
  <c r="AM149" i="25"/>
  <c r="AM153" i="25"/>
  <c r="AJ153" i="25"/>
  <c r="AJ182" i="25"/>
  <c r="AM182" i="25"/>
  <c r="AR147" i="25"/>
  <c r="AP147" i="25"/>
  <c r="BH147" i="25"/>
  <c r="BW147" i="25"/>
  <c r="BU147" i="25"/>
  <c r="BF147" i="25"/>
  <c r="AW23" i="25"/>
  <c r="AX23" i="25"/>
  <c r="AM233" i="25"/>
  <c r="BG233" i="25" s="1"/>
  <c r="AJ233" i="25"/>
  <c r="AS166" i="24"/>
  <c r="AQ166" i="24"/>
  <c r="BJ166" i="24"/>
  <c r="BW166" i="24"/>
  <c r="BU166" i="24"/>
  <c r="AX166" i="24"/>
  <c r="BH166" i="24"/>
  <c r="AS84" i="24"/>
  <c r="AQ84" i="24"/>
  <c r="BJ84" i="24"/>
  <c r="BW84" i="24"/>
  <c r="AX84" i="24"/>
  <c r="BH84" i="24"/>
  <c r="AM117" i="25"/>
  <c r="AJ117" i="25"/>
  <c r="AM69" i="25"/>
  <c r="BG69" i="25" s="1"/>
  <c r="AJ69" i="25"/>
  <c r="AW134" i="25"/>
  <c r="AX134" i="25"/>
  <c r="AJ271" i="25"/>
  <c r="AM271" i="25"/>
  <c r="BG271" i="25" s="1"/>
  <c r="BJ232" i="25"/>
  <c r="AR232" i="25"/>
  <c r="AP232" i="25"/>
  <c r="BH232" i="25"/>
  <c r="BF232" i="25"/>
  <c r="BW232" i="25"/>
  <c r="BU232" i="25"/>
  <c r="AS49" i="24"/>
  <c r="BJ49" i="24"/>
  <c r="AQ49" i="24"/>
  <c r="AX49" i="24"/>
  <c r="BH49" i="24"/>
  <c r="BW49" i="24"/>
  <c r="AM119" i="25"/>
  <c r="BG119" i="25" s="1"/>
  <c r="AJ119" i="25"/>
  <c r="AJ150" i="25"/>
  <c r="AM150" i="25"/>
  <c r="BG150" i="25" s="1"/>
  <c r="AU294" i="24"/>
  <c r="BB294" i="24" s="1"/>
  <c r="AW294" i="24"/>
  <c r="BA219" i="24"/>
  <c r="AX194" i="25"/>
  <c r="AW194" i="25"/>
  <c r="AX103" i="25"/>
  <c r="AW103" i="25"/>
  <c r="AX139" i="25"/>
  <c r="AW139" i="25"/>
  <c r="BA130" i="24"/>
  <c r="AX147" i="24"/>
  <c r="AS34" i="24"/>
  <c r="AU34" i="24" s="1"/>
  <c r="BB34" i="24" s="1"/>
  <c r="BJ34" i="24"/>
  <c r="AQ34" i="24"/>
  <c r="BA249" i="24"/>
  <c r="AM85" i="25"/>
  <c r="BG85" i="25" s="1"/>
  <c r="AJ85" i="25"/>
  <c r="AR161" i="25"/>
  <c r="BH161" i="25"/>
  <c r="AP161" i="25"/>
  <c r="BF161" i="25"/>
  <c r="BW161" i="25"/>
  <c r="BU161" i="25"/>
  <c r="AU162" i="24"/>
  <c r="BB162" i="24" s="1"/>
  <c r="AW162" i="24"/>
  <c r="AS52" i="24"/>
  <c r="AQ52" i="24"/>
  <c r="BJ52" i="24"/>
  <c r="AX52" i="24"/>
  <c r="BH52" i="24"/>
  <c r="BW52" i="24"/>
  <c r="BU260" i="24"/>
  <c r="AM210" i="25"/>
  <c r="BG210" i="25" s="1"/>
  <c r="AJ210" i="25"/>
  <c r="AS80" i="24"/>
  <c r="BJ80" i="24"/>
  <c r="AQ80" i="24"/>
  <c r="BW80" i="24"/>
  <c r="AX80" i="24"/>
  <c r="BH80" i="24"/>
  <c r="AT129" i="25"/>
  <c r="AY129" i="25" s="1"/>
  <c r="AU129" i="25"/>
  <c r="BA296" i="24"/>
  <c r="AM313" i="25"/>
  <c r="AJ313" i="25"/>
  <c r="AR94" i="25"/>
  <c r="BJ94" i="25"/>
  <c r="BH94" i="25"/>
  <c r="AP94" i="25"/>
  <c r="BU94" i="25"/>
  <c r="BF94" i="25"/>
  <c r="BW94" i="25"/>
  <c r="AX197" i="25"/>
  <c r="AW197" i="25"/>
  <c r="AJ301" i="25"/>
  <c r="AM301" i="25"/>
  <c r="BG301" i="25" s="1"/>
  <c r="AW145" i="25"/>
  <c r="AX145" i="25"/>
  <c r="AJ284" i="25"/>
  <c r="AM284" i="25"/>
  <c r="BJ262" i="25"/>
  <c r="AR262" i="25"/>
  <c r="BH262" i="25"/>
  <c r="AP262" i="25"/>
  <c r="BW262" i="25"/>
  <c r="BU262" i="25"/>
  <c r="BF262" i="25"/>
  <c r="AX238" i="24"/>
  <c r="AJ169" i="25"/>
  <c r="AM169" i="25"/>
  <c r="AS263" i="24"/>
  <c r="AU263" i="24" s="1"/>
  <c r="BB263" i="24" s="1"/>
  <c r="BJ263" i="24"/>
  <c r="AQ263" i="24"/>
  <c r="BJ276" i="25"/>
  <c r="AR276" i="25"/>
  <c r="BH276" i="25"/>
  <c r="AP276" i="25"/>
  <c r="BW276" i="25"/>
  <c r="BU276" i="25"/>
  <c r="BF276" i="25"/>
  <c r="AJ295" i="25"/>
  <c r="AM295" i="25"/>
  <c r="BH133" i="24"/>
  <c r="AU191" i="24"/>
  <c r="BB191" i="24" s="1"/>
  <c r="AW191" i="24"/>
  <c r="AS38" i="24"/>
  <c r="BJ38" i="24"/>
  <c r="AQ38" i="24"/>
  <c r="AX38" i="24"/>
  <c r="BW38" i="24"/>
  <c r="BH38" i="24"/>
  <c r="AR114" i="25"/>
  <c r="BJ114" i="25"/>
  <c r="BH114" i="25"/>
  <c r="AP114" i="25"/>
  <c r="BW114" i="25"/>
  <c r="BU114" i="25"/>
  <c r="BF114" i="25"/>
  <c r="AW236" i="24"/>
  <c r="AR113" i="25"/>
  <c r="AP113" i="25"/>
  <c r="BH113" i="25"/>
  <c r="BF113" i="25"/>
  <c r="BW113" i="25"/>
  <c r="BU113" i="25"/>
  <c r="AM41" i="25"/>
  <c r="BG41" i="25" s="1"/>
  <c r="AJ41" i="25"/>
  <c r="BH8" i="24"/>
  <c r="AW22" i="24"/>
  <c r="BH266" i="24"/>
  <c r="BH265" i="24"/>
  <c r="AX181" i="25"/>
  <c r="AW181" i="25"/>
  <c r="AJ277" i="25"/>
  <c r="AM277" i="25"/>
  <c r="BG277" i="25" s="1"/>
  <c r="AX44" i="25"/>
  <c r="AW44" i="25"/>
  <c r="BU305" i="24"/>
  <c r="AW86" i="25"/>
  <c r="AX86" i="25"/>
  <c r="AJ121" i="25"/>
  <c r="AM121" i="25"/>
  <c r="BU247" i="24"/>
  <c r="AW60" i="25"/>
  <c r="AX60" i="25"/>
  <c r="AS112" i="24"/>
  <c r="AU112" i="24" s="1"/>
  <c r="BB112" i="24" s="1"/>
  <c r="AQ112" i="24"/>
  <c r="BJ112" i="24"/>
  <c r="AM67" i="25"/>
  <c r="BG67" i="25" s="1"/>
  <c r="AJ67" i="25"/>
  <c r="AX91" i="25"/>
  <c r="AW91" i="25"/>
  <c r="AS105" i="24"/>
  <c r="BJ105" i="24"/>
  <c r="AQ105" i="24"/>
  <c r="AX105" i="24"/>
  <c r="BH105" i="24"/>
  <c r="BW105" i="24"/>
  <c r="BW242" i="24"/>
  <c r="BA295" i="24"/>
  <c r="AJ12" i="25"/>
  <c r="AM12" i="25"/>
  <c r="AR32" i="25"/>
  <c r="BJ32" i="25"/>
  <c r="AP32" i="25"/>
  <c r="BH32" i="25"/>
  <c r="BW32" i="25"/>
  <c r="BU32" i="25"/>
  <c r="BF32" i="25"/>
  <c r="AS209" i="24"/>
  <c r="BJ209" i="24"/>
  <c r="AQ209" i="24"/>
  <c r="AX209" i="24"/>
  <c r="BH209" i="24"/>
  <c r="BU209" i="24"/>
  <c r="BW209" i="24"/>
  <c r="BW301" i="24"/>
  <c r="BA121" i="24"/>
  <c r="AM191" i="25"/>
  <c r="AJ191" i="25"/>
  <c r="AJ195" i="25"/>
  <c r="AM195" i="25"/>
  <c r="BL276" i="24"/>
  <c r="AS276" i="24"/>
  <c r="AQ276" i="24"/>
  <c r="BJ276" i="24"/>
  <c r="BU276" i="24"/>
  <c r="BW276" i="24"/>
  <c r="AX276" i="24"/>
  <c r="BH276" i="24"/>
  <c r="AR174" i="25"/>
  <c r="AP174" i="25"/>
  <c r="BH174" i="25"/>
  <c r="BW174" i="25"/>
  <c r="BU174" i="25"/>
  <c r="BF174" i="25"/>
  <c r="BU145" i="24"/>
  <c r="AW132" i="24"/>
  <c r="BW263" i="24"/>
  <c r="BH9" i="24"/>
  <c r="BA267" i="24"/>
  <c r="BA253" i="24"/>
  <c r="AX58" i="25"/>
  <c r="AW58" i="25"/>
  <c r="AX232" i="24"/>
  <c r="AS284" i="24"/>
  <c r="AU284" i="24" s="1"/>
  <c r="BB284" i="24" s="1"/>
  <c r="BL284" i="24"/>
  <c r="AQ284" i="24"/>
  <c r="BJ284" i="24"/>
  <c r="AJ152" i="25"/>
  <c r="AM152" i="25"/>
  <c r="AX195" i="25"/>
  <c r="AW195" i="25"/>
  <c r="AR71" i="25"/>
  <c r="BH71" i="25"/>
  <c r="AP71" i="25"/>
  <c r="BF71" i="25"/>
  <c r="BW71" i="25"/>
  <c r="BU71" i="25"/>
  <c r="AJ126" i="25"/>
  <c r="AM126" i="25"/>
  <c r="BG126" i="25" s="1"/>
  <c r="AM78" i="25"/>
  <c r="BG78" i="25" s="1"/>
  <c r="AJ78" i="25"/>
  <c r="AW200" i="25"/>
  <c r="AX200" i="25"/>
  <c r="AX123" i="25"/>
  <c r="AW123" i="25"/>
  <c r="BA18" i="24"/>
  <c r="AS92" i="24"/>
  <c r="BJ92" i="24"/>
  <c r="AQ92" i="24"/>
  <c r="BH92" i="24"/>
  <c r="BW92" i="24"/>
  <c r="AX92" i="24"/>
  <c r="BA120" i="24"/>
  <c r="AS314" i="24"/>
  <c r="AQ314" i="24"/>
  <c r="BJ314" i="24"/>
  <c r="BH314" i="24"/>
  <c r="BW314" i="24"/>
  <c r="BU314" i="24"/>
  <c r="AX314" i="24"/>
  <c r="AS237" i="24"/>
  <c r="AU237" i="24" s="1"/>
  <c r="BB237" i="24" s="1"/>
  <c r="BJ237" i="24"/>
  <c r="AQ237" i="24"/>
  <c r="AM22" i="25"/>
  <c r="AJ22" i="25"/>
  <c r="AS32" i="24"/>
  <c r="AU32" i="24" s="1"/>
  <c r="BB32" i="24" s="1"/>
  <c r="AQ32" i="24"/>
  <c r="BJ32" i="24"/>
  <c r="AS66" i="24"/>
  <c r="BL66" i="24"/>
  <c r="AQ66" i="24"/>
  <c r="BJ66" i="24"/>
  <c r="BW66" i="24"/>
  <c r="AX66" i="24"/>
  <c r="BH66" i="24"/>
  <c r="BA298" i="24"/>
  <c r="AJ115" i="25"/>
  <c r="AM115" i="25"/>
  <c r="AR198" i="25"/>
  <c r="BJ198" i="25"/>
  <c r="BH198" i="25"/>
  <c r="BF198" i="25"/>
  <c r="BW198" i="25"/>
  <c r="BU198" i="25"/>
  <c r="AW75" i="25"/>
  <c r="AX75" i="25"/>
  <c r="AS178" i="24"/>
  <c r="AQ178" i="24"/>
  <c r="BJ178" i="24"/>
  <c r="BW178" i="24"/>
  <c r="BU178" i="24"/>
  <c r="AX178" i="24"/>
  <c r="BH178" i="24"/>
  <c r="AS53" i="24"/>
  <c r="AQ53" i="24"/>
  <c r="BJ53" i="24"/>
  <c r="AX53" i="24"/>
  <c r="BH53" i="24"/>
  <c r="BW53" i="24"/>
  <c r="AS65" i="24"/>
  <c r="AQ65" i="24"/>
  <c r="BJ65" i="24"/>
  <c r="BW65" i="24"/>
  <c r="AX65" i="24"/>
  <c r="BH65" i="24"/>
  <c r="AS77" i="24"/>
  <c r="BJ77" i="24"/>
  <c r="AQ77" i="24"/>
  <c r="AX77" i="24"/>
  <c r="BW77" i="24"/>
  <c r="BH77" i="24"/>
  <c r="AX237" i="24"/>
  <c r="AJ160" i="25"/>
  <c r="AM160" i="25"/>
  <c r="AX172" i="25"/>
  <c r="AW172" i="25"/>
  <c r="AS85" i="24"/>
  <c r="BJ85" i="24"/>
  <c r="AQ85" i="24"/>
  <c r="AX85" i="24"/>
  <c r="BW85" i="24"/>
  <c r="BH85" i="24"/>
  <c r="AS291" i="24"/>
  <c r="BL291" i="24"/>
  <c r="BJ291" i="24"/>
  <c r="AQ291" i="24"/>
  <c r="BU291" i="24"/>
  <c r="BW291" i="24"/>
  <c r="AX291" i="24"/>
  <c r="BH291" i="24"/>
  <c r="AJ303" i="25"/>
  <c r="AM303" i="25"/>
  <c r="AS114" i="24"/>
  <c r="AU114" i="24" s="1"/>
  <c r="BB114" i="24" s="1"/>
  <c r="BJ114" i="24"/>
  <c r="AQ114" i="24"/>
  <c r="AJ83" i="25"/>
  <c r="AM83" i="25"/>
  <c r="BA28" i="24"/>
  <c r="AS87" i="24"/>
  <c r="AQ87" i="24"/>
  <c r="BJ87" i="24"/>
  <c r="BH87" i="24"/>
  <c r="BW87" i="24"/>
  <c r="AX87" i="24"/>
  <c r="AM260" i="25"/>
  <c r="BG260" i="25" s="1"/>
  <c r="AJ260" i="25"/>
  <c r="AS148" i="24"/>
  <c r="AU148" i="24" s="1"/>
  <c r="BB148" i="24" s="1"/>
  <c r="BJ148" i="24"/>
  <c r="AQ148" i="24"/>
  <c r="AS163" i="24"/>
  <c r="AQ163" i="24"/>
  <c r="BJ163" i="24"/>
  <c r="AX163" i="24"/>
  <c r="BH163" i="24"/>
  <c r="BU163" i="24"/>
  <c r="BW163" i="24"/>
  <c r="AS308" i="24"/>
  <c r="BL308" i="24"/>
  <c r="BJ308" i="24"/>
  <c r="AQ308" i="24"/>
  <c r="BU308" i="24"/>
  <c r="AX308" i="24"/>
  <c r="BH308" i="24"/>
  <c r="BW308" i="24"/>
  <c r="AS304" i="24"/>
  <c r="BJ304" i="24"/>
  <c r="AQ304" i="24"/>
  <c r="AX304" i="24"/>
  <c r="BH304" i="24"/>
  <c r="BU304" i="24"/>
  <c r="BW304" i="24"/>
  <c r="AX160" i="25"/>
  <c r="AW160" i="25"/>
  <c r="BL140" i="24"/>
  <c r="AS140" i="24"/>
  <c r="BJ140" i="24"/>
  <c r="AQ140" i="24"/>
  <c r="BU140" i="24"/>
  <c r="BW140" i="24"/>
  <c r="AX140" i="24"/>
  <c r="BH140" i="24"/>
  <c r="BW114" i="24"/>
  <c r="BL136" i="24"/>
  <c r="AS136" i="24"/>
  <c r="BJ136" i="24"/>
  <c r="AQ136" i="24"/>
  <c r="BW136" i="24"/>
  <c r="BU136" i="24"/>
  <c r="AX136" i="24"/>
  <c r="BH136" i="24"/>
  <c r="AS222" i="24"/>
  <c r="BL222" i="24"/>
  <c r="AQ222" i="24"/>
  <c r="BJ222" i="24"/>
  <c r="BW222" i="24"/>
  <c r="BU222" i="24"/>
  <c r="AX222" i="24"/>
  <c r="BH222" i="24"/>
  <c r="AX84" i="25"/>
  <c r="AW84" i="25"/>
  <c r="AS9" i="24"/>
  <c r="AU9" i="24" s="1"/>
  <c r="BB9" i="24" s="1"/>
  <c r="BJ9" i="24"/>
  <c r="AQ9" i="24"/>
  <c r="AJ112" i="25"/>
  <c r="AM112" i="25"/>
  <c r="AS100" i="24"/>
  <c r="BJ100" i="24"/>
  <c r="AQ100" i="24"/>
  <c r="AX100" i="24"/>
  <c r="BW100" i="24"/>
  <c r="BH100" i="24"/>
  <c r="AS99" i="24"/>
  <c r="AQ99" i="24"/>
  <c r="BJ99" i="24"/>
  <c r="BH99" i="24"/>
  <c r="BW99" i="24"/>
  <c r="AX99" i="24"/>
  <c r="AS71" i="24"/>
  <c r="BJ71" i="24"/>
  <c r="AQ71" i="24"/>
  <c r="AX71" i="24"/>
  <c r="BH71" i="24"/>
  <c r="BW71" i="24"/>
  <c r="BL134" i="24"/>
  <c r="AS134" i="24"/>
  <c r="BJ134" i="24"/>
  <c r="AQ134" i="24"/>
  <c r="AX134" i="24"/>
  <c r="BH134" i="24"/>
  <c r="BW134" i="24"/>
  <c r="BU134" i="24"/>
  <c r="AX119" i="25"/>
  <c r="AW119" i="25"/>
  <c r="AJ65" i="25"/>
  <c r="AM65" i="25"/>
  <c r="AS258" i="24"/>
  <c r="AU258" i="24" s="1"/>
  <c r="BB258" i="24" s="1"/>
  <c r="AQ258" i="24"/>
  <c r="BJ258" i="24"/>
  <c r="BL122" i="24"/>
  <c r="AS122" i="24"/>
  <c r="BJ122" i="24"/>
  <c r="AQ122" i="24"/>
  <c r="AX122" i="24"/>
  <c r="BH122" i="24"/>
  <c r="BW122" i="24"/>
  <c r="BU122" i="24"/>
  <c r="AJ252" i="25"/>
  <c r="AM252" i="25"/>
  <c r="BG252" i="25" s="1"/>
  <c r="BJ95" i="25"/>
  <c r="AR95" i="25"/>
  <c r="BH95" i="25"/>
  <c r="AP95" i="25"/>
  <c r="BF95" i="25"/>
  <c r="BU95" i="25"/>
  <c r="BW95" i="25"/>
  <c r="AM144" i="25"/>
  <c r="BG144" i="25" s="1"/>
  <c r="AJ144" i="25"/>
  <c r="BL181" i="24"/>
  <c r="AS181" i="24"/>
  <c r="AQ181" i="24"/>
  <c r="BJ181" i="24"/>
  <c r="AX181" i="24"/>
  <c r="BH181" i="24"/>
  <c r="BW181" i="24"/>
  <c r="BU181" i="24"/>
  <c r="BU273" i="24"/>
  <c r="AJ249" i="25"/>
  <c r="AM249" i="25"/>
  <c r="BG249" i="25" s="1"/>
  <c r="AM176" i="25"/>
  <c r="AJ176" i="25"/>
  <c r="AJ218" i="25"/>
  <c r="AM218" i="25"/>
  <c r="BH269" i="24"/>
  <c r="AX85" i="25"/>
  <c r="AW85" i="25"/>
  <c r="AR82" i="25"/>
  <c r="AP82" i="25"/>
  <c r="BH82" i="25"/>
  <c r="BF82" i="25"/>
  <c r="BU82" i="25"/>
  <c r="BW82" i="25"/>
  <c r="AS51" i="24"/>
  <c r="AU51" i="24" s="1"/>
  <c r="BB51" i="24" s="1"/>
  <c r="BJ51" i="24"/>
  <c r="AQ51" i="24"/>
  <c r="AX25" i="25"/>
  <c r="AW25" i="25"/>
  <c r="AS311" i="24"/>
  <c r="BL311" i="24"/>
  <c r="BJ311" i="24"/>
  <c r="AQ311" i="24"/>
  <c r="AX311" i="24"/>
  <c r="BH311" i="24"/>
  <c r="BU311" i="24"/>
  <c r="BW311" i="24"/>
  <c r="AS239" i="24"/>
  <c r="BL239" i="24"/>
  <c r="BJ239" i="24"/>
  <c r="AQ239" i="24"/>
  <c r="AX239" i="24"/>
  <c r="BH239" i="24"/>
  <c r="BW239" i="24"/>
  <c r="BU239" i="24"/>
  <c r="BA238" i="24"/>
  <c r="BA6" i="24"/>
  <c r="AX34" i="24"/>
  <c r="AM231" i="25"/>
  <c r="BG231" i="25" s="1"/>
  <c r="AJ231" i="25"/>
  <c r="AJ132" i="25"/>
  <c r="AM132" i="25"/>
  <c r="BL290" i="24"/>
  <c r="AS290" i="24"/>
  <c r="AU290" i="24" s="1"/>
  <c r="BB290" i="24" s="1"/>
  <c r="BJ290" i="24"/>
  <c r="AQ290" i="24"/>
  <c r="AM18" i="25"/>
  <c r="BG18" i="25" s="1"/>
  <c r="AJ18" i="25"/>
  <c r="AM37" i="25"/>
  <c r="BG37" i="25" s="1"/>
  <c r="AJ37" i="25"/>
  <c r="AM235" i="25"/>
  <c r="AJ235" i="25"/>
  <c r="AS13" i="24"/>
  <c r="BJ13" i="24"/>
  <c r="AQ13" i="24"/>
  <c r="AX13" i="24"/>
  <c r="BH13" i="24"/>
  <c r="BW13" i="24"/>
  <c r="AJ100" i="25"/>
  <c r="AM100" i="25"/>
  <c r="BW59" i="24"/>
  <c r="AS70" i="24"/>
  <c r="BJ70" i="24"/>
  <c r="AQ70" i="24"/>
  <c r="BW70" i="24"/>
  <c r="AX70" i="24"/>
  <c r="BH70" i="24"/>
  <c r="AX240" i="24"/>
  <c r="AM227" i="25"/>
  <c r="BG227" i="25" s="1"/>
  <c r="AJ227" i="25"/>
  <c r="AX265" i="24"/>
  <c r="AX32" i="24"/>
  <c r="BL113" i="24"/>
  <c r="AS113" i="24"/>
  <c r="BJ113" i="24"/>
  <c r="AQ113" i="24"/>
  <c r="BH113" i="24"/>
  <c r="BW113" i="24"/>
  <c r="BU113" i="24"/>
  <c r="AX113" i="24"/>
  <c r="AM54" i="25"/>
  <c r="AJ54" i="25"/>
  <c r="AR31" i="25"/>
  <c r="AP31" i="25"/>
  <c r="BH31" i="25"/>
  <c r="BF31" i="25"/>
  <c r="BW31" i="25"/>
  <c r="BU31" i="25"/>
  <c r="BU111" i="24"/>
  <c r="AR291" i="25"/>
  <c r="BJ291" i="25"/>
  <c r="BH291" i="25"/>
  <c r="AP291" i="25"/>
  <c r="BF291" i="25"/>
  <c r="BU291" i="25"/>
  <c r="BW291" i="25"/>
  <c r="AR62" i="25"/>
  <c r="AP62" i="25"/>
  <c r="BH62" i="25"/>
  <c r="BW62" i="25"/>
  <c r="BU62" i="25"/>
  <c r="BF62" i="25"/>
  <c r="AJ93" i="25"/>
  <c r="AM93" i="25"/>
  <c r="BG93" i="25" s="1"/>
  <c r="AM9" i="25"/>
  <c r="BG9" i="25" s="1"/>
  <c r="AJ9" i="25"/>
  <c r="BL183" i="24"/>
  <c r="AS183" i="24"/>
  <c r="BJ183" i="24"/>
  <c r="AQ183" i="24"/>
  <c r="BH183" i="24"/>
  <c r="BU183" i="24"/>
  <c r="BW183" i="24"/>
  <c r="AX183" i="24"/>
  <c r="BL218" i="24"/>
  <c r="AS218" i="24"/>
  <c r="AU218" i="24" s="1"/>
  <c r="BB218" i="24" s="1"/>
  <c r="BJ218" i="24"/>
  <c r="AQ218" i="24"/>
  <c r="AM45" i="25"/>
  <c r="AJ45" i="25"/>
  <c r="AM300" i="25"/>
  <c r="AJ300" i="25"/>
  <c r="AS63" i="24"/>
  <c r="BJ63" i="24"/>
  <c r="AQ63" i="24"/>
  <c r="AX63" i="24"/>
  <c r="BH63" i="24"/>
  <c r="BW63" i="24"/>
  <c r="BW247" i="24"/>
  <c r="AS307" i="24"/>
  <c r="AQ307" i="24"/>
  <c r="BJ307" i="24"/>
  <c r="AX307" i="24"/>
  <c r="BH307" i="24"/>
  <c r="BU307" i="24"/>
  <c r="BW307" i="24"/>
  <c r="AR14" i="25"/>
  <c r="BH14" i="25"/>
  <c r="AP14" i="25"/>
  <c r="BW14" i="25"/>
  <c r="BU14" i="25"/>
  <c r="BF14" i="25"/>
  <c r="AS15" i="24"/>
  <c r="BJ15" i="24"/>
  <c r="AQ15" i="24"/>
  <c r="AX15" i="24"/>
  <c r="BH15" i="24"/>
  <c r="BW15" i="24"/>
  <c r="BU242" i="24"/>
  <c r="AJ269" i="25"/>
  <c r="AM269" i="25"/>
  <c r="AX162" i="25"/>
  <c r="AW162" i="25"/>
  <c r="AS61" i="24"/>
  <c r="BL61" i="24"/>
  <c r="AQ61" i="24"/>
  <c r="BJ61" i="24"/>
  <c r="AX61" i="24"/>
  <c r="BW61" i="24"/>
  <c r="BH61" i="24"/>
  <c r="BH135" i="24"/>
  <c r="AX70" i="25"/>
  <c r="AW70" i="25"/>
  <c r="AS79" i="24"/>
  <c r="AQ79" i="24"/>
  <c r="BJ79" i="24"/>
  <c r="BW79" i="24"/>
  <c r="AX79" i="24"/>
  <c r="BH79" i="24"/>
  <c r="AU233" i="24"/>
  <c r="BB233" i="24" s="1"/>
  <c r="AW233" i="24"/>
  <c r="AS220" i="24"/>
  <c r="BL220" i="24"/>
  <c r="BJ220" i="24"/>
  <c r="AQ220" i="24"/>
  <c r="AX220" i="24"/>
  <c r="BH220" i="24"/>
  <c r="BW220" i="24"/>
  <c r="BU220" i="24"/>
  <c r="AJ220" i="25"/>
  <c r="AM220" i="25"/>
  <c r="BG220" i="25" s="1"/>
  <c r="BL230" i="24"/>
  <c r="AS230" i="24"/>
  <c r="BJ230" i="24"/>
  <c r="AQ230" i="24"/>
  <c r="BW230" i="24"/>
  <c r="BU230" i="24"/>
  <c r="AX230" i="24"/>
  <c r="BH230" i="24"/>
  <c r="AJ200" i="25"/>
  <c r="AM200" i="25"/>
  <c r="BG200" i="25" s="1"/>
  <c r="BA279" i="24"/>
  <c r="BA126" i="24"/>
  <c r="AX290" i="24"/>
  <c r="AW116" i="25"/>
  <c r="AX116" i="25"/>
  <c r="BU263" i="24"/>
  <c r="BU267" i="24"/>
  <c r="BU155" i="24"/>
  <c r="AX99" i="25"/>
  <c r="AW99" i="25"/>
  <c r="BW253" i="24"/>
  <c r="AS193" i="24"/>
  <c r="AQ193" i="24"/>
  <c r="BJ193" i="24"/>
  <c r="AX193" i="24"/>
  <c r="BH193" i="24"/>
  <c r="BW193" i="24"/>
  <c r="BU193" i="24"/>
  <c r="AS224" i="24"/>
  <c r="AU224" i="24" s="1"/>
  <c r="BB224" i="24" s="1"/>
  <c r="AQ224" i="24"/>
  <c r="BJ224" i="24"/>
  <c r="AX159" i="25"/>
  <c r="AW159" i="25"/>
  <c r="BW248" i="24"/>
  <c r="AS235" i="24"/>
  <c r="AU235" i="24" s="1"/>
  <c r="BB235" i="24" s="1"/>
  <c r="AQ235" i="24"/>
  <c r="BJ235" i="24"/>
  <c r="AW120" i="25"/>
  <c r="AX120" i="25"/>
  <c r="AS261" i="24"/>
  <c r="AU261" i="24" s="1"/>
  <c r="BB261" i="24" s="1"/>
  <c r="AQ261" i="24"/>
  <c r="BJ261" i="24"/>
  <c r="BJ131" i="25"/>
  <c r="AR131" i="25"/>
  <c r="BH131" i="25"/>
  <c r="AP131" i="25"/>
  <c r="BF131" i="25"/>
  <c r="BW131" i="25"/>
  <c r="BU131" i="25"/>
  <c r="BA258" i="24"/>
  <c r="BA54" i="24"/>
  <c r="BA24" i="24"/>
  <c r="BA280" i="24"/>
  <c r="AW137" i="25"/>
  <c r="AX137" i="25"/>
  <c r="BA128" i="24"/>
  <c r="BA283" i="24"/>
  <c r="AJ55" i="25"/>
  <c r="AM55" i="25"/>
  <c r="AJ217" i="25"/>
  <c r="AM217" i="25"/>
  <c r="BA228" i="24"/>
  <c r="AR282" i="25"/>
  <c r="BJ282" i="25"/>
  <c r="AP282" i="25"/>
  <c r="BH282" i="25"/>
  <c r="BF282" i="25"/>
  <c r="BW282" i="25"/>
  <c r="BU282" i="25"/>
  <c r="AS102" i="24"/>
  <c r="BJ102" i="24"/>
  <c r="AQ102" i="24"/>
  <c r="AX102" i="24"/>
  <c r="BW102" i="24"/>
  <c r="BH102" i="24"/>
  <c r="AS249" i="24"/>
  <c r="AU249" i="24" s="1"/>
  <c r="BB249" i="24" s="1"/>
  <c r="BJ249" i="24"/>
  <c r="AQ249" i="24"/>
  <c r="AS203" i="24"/>
  <c r="BJ203" i="24"/>
  <c r="AQ203" i="24"/>
  <c r="BU203" i="24"/>
  <c r="BW203" i="24"/>
  <c r="AX203" i="24"/>
  <c r="BH203" i="24"/>
  <c r="AJ8" i="25"/>
  <c r="AM8" i="25"/>
  <c r="BG8" i="25" s="1"/>
  <c r="BA19" i="24"/>
  <c r="AS208" i="24"/>
  <c r="AQ208" i="24"/>
  <c r="BJ208" i="24"/>
  <c r="AX208" i="24"/>
  <c r="BH208" i="24"/>
  <c r="BW208" i="24"/>
  <c r="BU208" i="24"/>
  <c r="AM194" i="25"/>
  <c r="AJ194" i="25"/>
  <c r="BA299" i="24"/>
  <c r="AJ297" i="25"/>
  <c r="AM297" i="25"/>
  <c r="BG297" i="25" s="1"/>
  <c r="AX149" i="25"/>
  <c r="AW149" i="25"/>
  <c r="AM184" i="25"/>
  <c r="AJ184" i="25"/>
  <c r="BA26" i="24"/>
  <c r="AS306" i="24"/>
  <c r="BJ306" i="24"/>
  <c r="AQ306" i="24"/>
  <c r="AX306" i="24"/>
  <c r="BH306" i="24"/>
  <c r="BU306" i="24"/>
  <c r="BW306" i="24"/>
  <c r="BA148" i="24"/>
  <c r="AJ286" i="25"/>
  <c r="AM286" i="25"/>
  <c r="BW28" i="24"/>
  <c r="AS40" i="24"/>
  <c r="BJ40" i="24"/>
  <c r="AQ40" i="24"/>
  <c r="AX40" i="24"/>
  <c r="BH40" i="24"/>
  <c r="BW40" i="24"/>
  <c r="BA112" i="24"/>
  <c r="AX142" i="25"/>
  <c r="AW142" i="25"/>
  <c r="AS250" i="24"/>
  <c r="AQ250" i="24"/>
  <c r="BJ250" i="24"/>
  <c r="BW250" i="24"/>
  <c r="AX250" i="24"/>
  <c r="BH250" i="24"/>
  <c r="BU250" i="24"/>
  <c r="AM209" i="25"/>
  <c r="BG209" i="25" s="1"/>
  <c r="AJ209" i="25"/>
  <c r="AX151" i="25"/>
  <c r="AW151" i="25"/>
  <c r="BA147" i="24"/>
  <c r="AX184" i="25"/>
  <c r="AW184" i="25"/>
  <c r="AX69" i="25"/>
  <c r="AW69" i="25"/>
  <c r="BL225" i="24"/>
  <c r="AS225" i="24"/>
  <c r="AU225" i="24" s="1"/>
  <c r="BB225" i="24" s="1"/>
  <c r="AQ225" i="24"/>
  <c r="BJ225" i="24"/>
  <c r="AR192" i="25"/>
  <c r="AP192" i="25"/>
  <c r="BH192" i="25"/>
  <c r="BF192" i="25"/>
  <c r="BW192" i="25"/>
  <c r="BU192" i="25"/>
  <c r="AU45" i="24"/>
  <c r="BB45" i="24" s="1"/>
  <c r="AW45" i="24"/>
  <c r="BW249" i="24"/>
  <c r="AJ193" i="25"/>
  <c r="AM193" i="25"/>
  <c r="BG193" i="25" s="1"/>
  <c r="AJ128" i="25"/>
  <c r="AM128" i="25"/>
  <c r="BG128" i="25" s="1"/>
  <c r="BL177" i="24"/>
  <c r="AS177" i="24"/>
  <c r="BJ177" i="24"/>
  <c r="AQ177" i="24"/>
  <c r="BH177" i="24"/>
  <c r="BU177" i="24"/>
  <c r="BW177" i="24"/>
  <c r="AX177" i="24"/>
  <c r="AS127" i="24"/>
  <c r="BJ127" i="24"/>
  <c r="AQ127" i="24"/>
  <c r="BW127" i="24"/>
  <c r="BU127" i="24"/>
  <c r="AX127" i="24"/>
  <c r="BH127" i="24"/>
  <c r="AM105" i="25"/>
  <c r="BG105" i="25" s="1"/>
  <c r="AJ105" i="25"/>
  <c r="AJ15" i="25"/>
  <c r="AM15" i="25"/>
  <c r="BG15" i="25" s="1"/>
  <c r="AJ74" i="25"/>
  <c r="AM74" i="25"/>
  <c r="AS210" i="24"/>
  <c r="BJ210" i="24"/>
  <c r="AQ210" i="24"/>
  <c r="BU210" i="24"/>
  <c r="AX210" i="24"/>
  <c r="BH210" i="24"/>
  <c r="BW210" i="24"/>
  <c r="AS42" i="24"/>
  <c r="BJ42" i="24"/>
  <c r="AQ42" i="24"/>
  <c r="AX42" i="24"/>
  <c r="BH42" i="24"/>
  <c r="BW42" i="24"/>
  <c r="BW12" i="24"/>
  <c r="AM80" i="25"/>
  <c r="AJ80" i="25"/>
  <c r="AS6" i="24"/>
  <c r="AU6" i="24" s="1"/>
  <c r="BB6" i="24" s="1"/>
  <c r="BL6" i="24"/>
  <c r="BJ6" i="24"/>
  <c r="AQ6" i="24"/>
  <c r="AS223" i="24"/>
  <c r="BJ223" i="24"/>
  <c r="AQ223" i="24"/>
  <c r="AX223" i="24"/>
  <c r="BH223" i="24"/>
  <c r="BW223" i="24"/>
  <c r="BU223" i="24"/>
  <c r="BU296" i="24"/>
  <c r="AX81" i="25"/>
  <c r="AW81" i="25"/>
  <c r="AM311" i="25"/>
  <c r="AJ311" i="25"/>
  <c r="AJ7" i="25"/>
  <c r="AM7" i="25"/>
  <c r="BL149" i="24"/>
  <c r="AS149" i="24"/>
  <c r="BJ149" i="24"/>
  <c r="AQ149" i="24"/>
  <c r="BH149" i="24"/>
  <c r="BU149" i="24"/>
  <c r="BW149" i="24"/>
  <c r="AX149" i="24"/>
  <c r="AM19" i="25"/>
  <c r="BG19" i="25" s="1"/>
  <c r="AJ19" i="25"/>
  <c r="AM168" i="25"/>
  <c r="AJ168" i="25"/>
  <c r="BA34" i="24"/>
  <c r="AX210" i="25"/>
  <c r="AW210" i="25"/>
  <c r="AR229" i="25"/>
  <c r="BJ229" i="25"/>
  <c r="BH229" i="25"/>
  <c r="AP229" i="25"/>
  <c r="BF229" i="25"/>
  <c r="BU229" i="25"/>
  <c r="BW229" i="25"/>
  <c r="AJ135" i="25"/>
  <c r="AM135" i="25"/>
  <c r="AX144" i="25"/>
  <c r="AW144" i="25"/>
  <c r="AM90" i="25"/>
  <c r="AJ90" i="25"/>
  <c r="AX176" i="25"/>
  <c r="AW176" i="25"/>
  <c r="AX133" i="24"/>
  <c r="BU117" i="24"/>
  <c r="AS301" i="24"/>
  <c r="AU301" i="24" s="1"/>
  <c r="BB301" i="24" s="1"/>
  <c r="AQ301" i="24"/>
  <c r="BJ301" i="24"/>
  <c r="AS196" i="24"/>
  <c r="BL196" i="24"/>
  <c r="BJ196" i="24"/>
  <c r="AQ196" i="24"/>
  <c r="BH196" i="24"/>
  <c r="BU196" i="24"/>
  <c r="BW196" i="24"/>
  <c r="AX196" i="24"/>
  <c r="AJ124" i="25"/>
  <c r="AM124" i="25"/>
  <c r="BG124" i="25" s="1"/>
  <c r="BA224" i="24"/>
  <c r="AJ266" i="25"/>
  <c r="AM266" i="25"/>
  <c r="BG266" i="25" s="1"/>
  <c r="AX266" i="24"/>
  <c r="AJ43" i="25"/>
  <c r="AM43" i="25"/>
  <c r="BG43" i="25" s="1"/>
  <c r="BA240" i="24"/>
  <c r="AR240" i="25"/>
  <c r="BJ240" i="25"/>
  <c r="BH240" i="25"/>
  <c r="AP240" i="25"/>
  <c r="BF240" i="25"/>
  <c r="BW240" i="25"/>
  <c r="BU240" i="25"/>
  <c r="BL62" i="24"/>
  <c r="AS62" i="24"/>
  <c r="AQ62" i="24"/>
  <c r="BJ62" i="24"/>
  <c r="AX62" i="24"/>
  <c r="BW62" i="24"/>
  <c r="BH62" i="24"/>
  <c r="AJ91" i="25"/>
  <c r="AM91" i="25"/>
  <c r="BG91" i="25" s="1"/>
  <c r="BA265" i="24"/>
  <c r="AX18" i="25"/>
  <c r="AW18" i="25"/>
  <c r="AS156" i="24"/>
  <c r="BJ156" i="24"/>
  <c r="AQ156" i="24"/>
  <c r="BH156" i="24"/>
  <c r="BU156" i="24"/>
  <c r="BW156" i="24"/>
  <c r="AX156" i="24"/>
  <c r="AW90" i="25"/>
  <c r="AX90" i="25"/>
  <c r="AW112" i="25"/>
  <c r="AX112" i="25"/>
  <c r="AJ102" i="25"/>
  <c r="AM102" i="25"/>
  <c r="BG102" i="25" s="1"/>
  <c r="BW111" i="24"/>
  <c r="AW63" i="25"/>
  <c r="AX63" i="25"/>
  <c r="BH305" i="24"/>
  <c r="AJ239" i="25"/>
  <c r="AM239" i="25"/>
  <c r="BG239" i="25" s="1"/>
  <c r="AW42" i="25"/>
  <c r="AX42" i="25"/>
  <c r="BL303" i="24"/>
  <c r="AS303" i="24"/>
  <c r="BJ303" i="24"/>
  <c r="AQ303" i="24"/>
  <c r="AX303" i="24"/>
  <c r="BH303" i="24"/>
  <c r="BW303" i="24"/>
  <c r="BU303" i="24"/>
  <c r="AS274" i="24"/>
  <c r="AU274" i="24" s="1"/>
  <c r="BB274" i="24" s="1"/>
  <c r="AQ274" i="24"/>
  <c r="BJ274" i="24"/>
  <c r="AJ244" i="25"/>
  <c r="AM244" i="25"/>
  <c r="BG244" i="25" s="1"/>
  <c r="BU225" i="24"/>
  <c r="BW295" i="24"/>
  <c r="AS126" i="24"/>
  <c r="AU126" i="24" s="1"/>
  <c r="BB126" i="24" s="1"/>
  <c r="BL126" i="24"/>
  <c r="BJ126" i="24"/>
  <c r="AQ126" i="24"/>
  <c r="AX54" i="25"/>
  <c r="AW54" i="25"/>
  <c r="AS17" i="24"/>
  <c r="AU17" i="24" s="1"/>
  <c r="BB17" i="24" s="1"/>
  <c r="BJ17" i="24"/>
  <c r="AQ17" i="24"/>
  <c r="AX135" i="24"/>
  <c r="AJ125" i="25"/>
  <c r="AM125" i="25"/>
  <c r="BU121" i="24"/>
  <c r="AS175" i="24"/>
  <c r="AQ175" i="24"/>
  <c r="BJ175" i="24"/>
  <c r="BW175" i="24"/>
  <c r="BU175" i="24"/>
  <c r="AX175" i="24"/>
  <c r="BH175" i="24"/>
  <c r="BL234" i="24"/>
  <c r="AS234" i="24"/>
  <c r="AQ234" i="24"/>
  <c r="BJ234" i="24"/>
  <c r="AX234" i="24"/>
  <c r="BH234" i="24"/>
  <c r="BU234" i="24"/>
  <c r="BW234" i="24"/>
  <c r="AS83" i="24"/>
  <c r="BJ83" i="24"/>
  <c r="AQ83" i="24"/>
  <c r="AX83" i="24"/>
  <c r="BW83" i="24"/>
  <c r="BH83" i="24"/>
  <c r="AX136" i="25"/>
  <c r="AW136" i="25"/>
  <c r="AM57" i="25"/>
  <c r="AJ57" i="25"/>
  <c r="AX127" i="25"/>
  <c r="AW127" i="25"/>
  <c r="BU279" i="24"/>
  <c r="BU126" i="24"/>
  <c r="BH145" i="24"/>
  <c r="AS25" i="24"/>
  <c r="AQ25" i="24"/>
  <c r="BJ25" i="24"/>
  <c r="BW25" i="24"/>
  <c r="AX25" i="24"/>
  <c r="BH25" i="24"/>
  <c r="AX9" i="24"/>
  <c r="AR92" i="25"/>
  <c r="AP92" i="25"/>
  <c r="BH92" i="25"/>
  <c r="BF92" i="25"/>
  <c r="BU92" i="25"/>
  <c r="BW92" i="25"/>
  <c r="BW267" i="24"/>
  <c r="BW282" i="24"/>
  <c r="BW155" i="24"/>
  <c r="AX196" i="25"/>
  <c r="AW196" i="25"/>
  <c r="BU253" i="24"/>
  <c r="AW12" i="25"/>
  <c r="AX12" i="25"/>
  <c r="AR257" i="25"/>
  <c r="BH257" i="25"/>
  <c r="AP257" i="25"/>
  <c r="BW257" i="25"/>
  <c r="BU257" i="25"/>
  <c r="BF257" i="25"/>
  <c r="BA232" i="24"/>
  <c r="AX202" i="25"/>
  <c r="AW202" i="25"/>
  <c r="AS128" i="24"/>
  <c r="AU128" i="24" s="1"/>
  <c r="BB128" i="24" s="1"/>
  <c r="AQ128" i="24"/>
  <c r="BJ128" i="24"/>
  <c r="BF189" i="25" l="1"/>
  <c r="AP189" i="25"/>
  <c r="BH189" i="25"/>
  <c r="AR189" i="25"/>
  <c r="BU189" i="25"/>
  <c r="BW189" i="25"/>
  <c r="BG141" i="25"/>
  <c r="BJ141" i="25" s="1"/>
  <c r="CE141" i="25"/>
  <c r="BG54" i="25"/>
  <c r="CE54" i="25"/>
  <c r="BG12" i="25"/>
  <c r="CE12" i="25"/>
  <c r="BG222" i="25"/>
  <c r="BJ222" i="25" s="1"/>
  <c r="CE222" i="25"/>
  <c r="BG142" i="25"/>
  <c r="BJ142" i="25" s="1"/>
  <c r="CE142" i="25"/>
  <c r="BG217" i="25"/>
  <c r="CE217" i="25"/>
  <c r="BG216" i="25"/>
  <c r="BJ216" i="25" s="1"/>
  <c r="CE216" i="25"/>
  <c r="BG133" i="25"/>
  <c r="CE133" i="25"/>
  <c r="BW280" i="25"/>
  <c r="BU155" i="25"/>
  <c r="BU280" i="25"/>
  <c r="BF280" i="25"/>
  <c r="BH280" i="25"/>
  <c r="BW155" i="25"/>
  <c r="BF155" i="25"/>
  <c r="BH155" i="25"/>
  <c r="AP155" i="25"/>
  <c r="AR155" i="25"/>
  <c r="AU155" i="25" s="1"/>
  <c r="BG7" i="25"/>
  <c r="BJ7" i="25" s="1"/>
  <c r="CE7" i="25"/>
  <c r="BG83" i="25"/>
  <c r="BJ83" i="25" s="1"/>
  <c r="CE83" i="25"/>
  <c r="BG289" i="25"/>
  <c r="CE289" i="25"/>
  <c r="BG315" i="25"/>
  <c r="BJ315" i="25" s="1"/>
  <c r="CE315" i="25"/>
  <c r="BG118" i="25"/>
  <c r="BJ118" i="25" s="1"/>
  <c r="CE118" i="25"/>
  <c r="BG236" i="25"/>
  <c r="BJ236" i="25" s="1"/>
  <c r="CE236" i="25"/>
  <c r="BG149" i="25"/>
  <c r="CE149" i="25"/>
  <c r="BG48" i="25"/>
  <c r="BJ48" i="25" s="1"/>
  <c r="CE48" i="25"/>
  <c r="BG68" i="25"/>
  <c r="BJ68" i="25" s="1"/>
  <c r="CE68" i="25"/>
  <c r="BG73" i="25"/>
  <c r="BJ73" i="25" s="1"/>
  <c r="CE73" i="25"/>
  <c r="BG299" i="25"/>
  <c r="BJ299" i="25" s="1"/>
  <c r="CE299" i="25"/>
  <c r="BG312" i="25"/>
  <c r="BJ312" i="25" s="1"/>
  <c r="CE312" i="25"/>
  <c r="AP280" i="25"/>
  <c r="BG57" i="25"/>
  <c r="BJ57" i="25" s="1"/>
  <c r="CE57" i="25"/>
  <c r="BG112" i="25"/>
  <c r="BJ112" i="25" s="1"/>
  <c r="CE112" i="25"/>
  <c r="BG219" i="25"/>
  <c r="BJ219" i="25" s="1"/>
  <c r="CE219" i="25"/>
  <c r="CE270" i="25"/>
  <c r="BG270" i="25"/>
  <c r="BJ270" i="25" s="1"/>
  <c r="CE274" i="25"/>
  <c r="BG274" i="25"/>
  <c r="BJ274" i="25" s="1"/>
  <c r="AP194" i="25"/>
  <c r="BG194" i="25"/>
  <c r="BJ194" i="25" s="1"/>
  <c r="CE313" i="25"/>
  <c r="BG313" i="25"/>
  <c r="BJ313" i="25" s="1"/>
  <c r="CE116" i="25"/>
  <c r="BG116" i="25"/>
  <c r="BJ116" i="25" s="1"/>
  <c r="CE287" i="25"/>
  <c r="BG287" i="25"/>
  <c r="BJ287" i="25" s="1"/>
  <c r="CE228" i="25"/>
  <c r="BG228" i="25"/>
  <c r="BJ228" i="25" s="1"/>
  <c r="CE307" i="25"/>
  <c r="BG307" i="25"/>
  <c r="BJ307" i="25" s="1"/>
  <c r="CE316" i="25"/>
  <c r="BG316" i="25"/>
  <c r="BJ316" i="25" s="1"/>
  <c r="CE184" i="25"/>
  <c r="BG184" i="25"/>
  <c r="BJ184" i="25" s="1"/>
  <c r="CE182" i="25"/>
  <c r="BG182" i="25"/>
  <c r="BJ182" i="25" s="1"/>
  <c r="CE175" i="25"/>
  <c r="BG175" i="25"/>
  <c r="BJ175" i="25" s="1"/>
  <c r="CE152" i="25"/>
  <c r="BG152" i="25"/>
  <c r="BJ152" i="25" s="1"/>
  <c r="CE164" i="25"/>
  <c r="BG164" i="25"/>
  <c r="BJ164" i="25" s="1"/>
  <c r="CE221" i="25"/>
  <c r="BG221" i="25"/>
  <c r="BJ221" i="25" s="1"/>
  <c r="BH265" i="25"/>
  <c r="BG265" i="25"/>
  <c r="BJ265" i="25" s="1"/>
  <c r="CE125" i="25"/>
  <c r="BG125" i="25"/>
  <c r="BJ125" i="25" s="1"/>
  <c r="CE300" i="25"/>
  <c r="BG300" i="25"/>
  <c r="BJ300" i="25" s="1"/>
  <c r="CE160" i="25"/>
  <c r="BG160" i="25"/>
  <c r="BJ160" i="25" s="1"/>
  <c r="CE163" i="25"/>
  <c r="BG163" i="25"/>
  <c r="BJ163" i="25" s="1"/>
  <c r="CE302" i="25"/>
  <c r="BG302" i="25"/>
  <c r="BJ302" i="25" s="1"/>
  <c r="CE309" i="25"/>
  <c r="BG309" i="25"/>
  <c r="BJ309" i="25" s="1"/>
  <c r="CE153" i="25"/>
  <c r="BG153" i="25"/>
  <c r="BJ153" i="25" s="1"/>
  <c r="CE235" i="25"/>
  <c r="BG235" i="25"/>
  <c r="BJ235" i="25" s="1"/>
  <c r="CE218" i="25"/>
  <c r="BG218" i="25"/>
  <c r="BJ218" i="25" s="1"/>
  <c r="CE156" i="25"/>
  <c r="BG156" i="25"/>
  <c r="BJ156" i="25" s="1"/>
  <c r="CE135" i="25"/>
  <c r="BG135" i="25"/>
  <c r="BJ135" i="25" s="1"/>
  <c r="AP195" i="25"/>
  <c r="BG195" i="25"/>
  <c r="BJ195" i="25" s="1"/>
  <c r="CE284" i="25"/>
  <c r="BG284" i="25"/>
  <c r="BJ284" i="25" s="1"/>
  <c r="CE245" i="25"/>
  <c r="BG245" i="25"/>
  <c r="BJ245" i="25" s="1"/>
  <c r="CE172" i="25"/>
  <c r="BG172" i="25"/>
  <c r="BJ172" i="25" s="1"/>
  <c r="CE180" i="25"/>
  <c r="BG180" i="25"/>
  <c r="BJ180" i="25" s="1"/>
  <c r="CE130" i="25"/>
  <c r="BG130" i="25"/>
  <c r="BJ130" i="25" s="1"/>
  <c r="CE151" i="25"/>
  <c r="BG151" i="25"/>
  <c r="BJ151" i="25" s="1"/>
  <c r="CE168" i="25"/>
  <c r="BG168" i="25"/>
  <c r="BJ168" i="25" s="1"/>
  <c r="CE269" i="25"/>
  <c r="BG269" i="25"/>
  <c r="BJ269" i="25" s="1"/>
  <c r="CE295" i="25"/>
  <c r="BG295" i="25"/>
  <c r="BJ295" i="25" s="1"/>
  <c r="CE159" i="25"/>
  <c r="BG159" i="25"/>
  <c r="BJ159" i="25" s="1"/>
  <c r="CE162" i="25"/>
  <c r="BG162" i="25"/>
  <c r="BJ162" i="25" s="1"/>
  <c r="CE138" i="25"/>
  <c r="BG138" i="25"/>
  <c r="BJ138" i="25" s="1"/>
  <c r="CE183" i="25"/>
  <c r="BG183" i="25"/>
  <c r="BJ183" i="25" s="1"/>
  <c r="CE279" i="25"/>
  <c r="BG279" i="25"/>
  <c r="BJ279" i="25" s="1"/>
  <c r="CE310" i="25"/>
  <c r="BG310" i="25"/>
  <c r="BJ310" i="25" s="1"/>
  <c r="CE272" i="25"/>
  <c r="BG272" i="25"/>
  <c r="BJ272" i="25" s="1"/>
  <c r="CE280" i="25"/>
  <c r="BG280" i="25"/>
  <c r="BJ280" i="25" s="1"/>
  <c r="CE268" i="25"/>
  <c r="BG268" i="25"/>
  <c r="BJ268" i="25" s="1"/>
  <c r="CE242" i="25"/>
  <c r="BG242" i="25"/>
  <c r="BJ242" i="25" s="1"/>
  <c r="CE286" i="25"/>
  <c r="BG286" i="25"/>
  <c r="BJ286" i="25" s="1"/>
  <c r="CE223" i="25"/>
  <c r="BG223" i="25"/>
  <c r="BJ223" i="25" s="1"/>
  <c r="CE165" i="25"/>
  <c r="BG165" i="25"/>
  <c r="BJ165" i="25" s="1"/>
  <c r="BF258" i="25"/>
  <c r="BG258" i="25"/>
  <c r="BJ258" i="25" s="1"/>
  <c r="CE176" i="25"/>
  <c r="BG176" i="25"/>
  <c r="BJ176" i="25" s="1"/>
  <c r="CE115" i="25"/>
  <c r="BG115" i="25"/>
  <c r="BJ115" i="25" s="1"/>
  <c r="CE169" i="25"/>
  <c r="BG169" i="25"/>
  <c r="BJ169" i="25" s="1"/>
  <c r="CE117" i="25"/>
  <c r="BG117" i="25"/>
  <c r="BJ117" i="25" s="1"/>
  <c r="CE294" i="25"/>
  <c r="BG294" i="25"/>
  <c r="BJ294" i="25" s="1"/>
  <c r="AP197" i="25"/>
  <c r="BG197" i="25"/>
  <c r="BJ197" i="25" s="1"/>
  <c r="CE185" i="25"/>
  <c r="BG185" i="25"/>
  <c r="BJ185" i="25" s="1"/>
  <c r="CE171" i="25"/>
  <c r="BG171" i="25"/>
  <c r="BJ171" i="25" s="1"/>
  <c r="CE121" i="25"/>
  <c r="BG121" i="25"/>
  <c r="BJ121" i="25" s="1"/>
  <c r="CE132" i="25"/>
  <c r="BG132" i="25"/>
  <c r="BJ132" i="25" s="1"/>
  <c r="CE181" i="25"/>
  <c r="BG181" i="25"/>
  <c r="BJ181" i="25" s="1"/>
  <c r="CE311" i="25"/>
  <c r="BG311" i="25"/>
  <c r="BJ311" i="25" s="1"/>
  <c r="CE303" i="25"/>
  <c r="BG303" i="25"/>
  <c r="BJ303" i="25" s="1"/>
  <c r="CE191" i="25"/>
  <c r="BG191" i="25"/>
  <c r="BJ191" i="25" s="1"/>
  <c r="CE111" i="25"/>
  <c r="BG111" i="25"/>
  <c r="BJ111" i="25" s="1"/>
  <c r="CE166" i="25"/>
  <c r="BG166" i="25"/>
  <c r="BJ166" i="25" s="1"/>
  <c r="CE74" i="25"/>
  <c r="BG74" i="25"/>
  <c r="BJ74" i="25" s="1"/>
  <c r="CE88" i="25"/>
  <c r="BG88" i="25"/>
  <c r="BJ88" i="25" s="1"/>
  <c r="CE64" i="25"/>
  <c r="BG64" i="25"/>
  <c r="BJ64" i="25" s="1"/>
  <c r="CE86" i="25"/>
  <c r="BG86" i="25"/>
  <c r="BJ86" i="25" s="1"/>
  <c r="BU11" i="25"/>
  <c r="BG11" i="25"/>
  <c r="BJ11" i="25" s="1"/>
  <c r="CE45" i="25"/>
  <c r="BG45" i="25"/>
  <c r="BJ45" i="25" s="1"/>
  <c r="CE72" i="25"/>
  <c r="BG72" i="25"/>
  <c r="BJ72" i="25" s="1"/>
  <c r="CE60" i="25"/>
  <c r="BG60" i="25"/>
  <c r="BJ60" i="25" s="1"/>
  <c r="CE79" i="25"/>
  <c r="BG79" i="25"/>
  <c r="BJ79" i="25" s="1"/>
  <c r="CE55" i="25"/>
  <c r="BG55" i="25"/>
  <c r="BJ55" i="25" s="1"/>
  <c r="AP100" i="25"/>
  <c r="BG100" i="25"/>
  <c r="BJ100" i="25" s="1"/>
  <c r="CE65" i="25"/>
  <c r="BG65" i="25"/>
  <c r="BJ65" i="25" s="1"/>
  <c r="AP97" i="25"/>
  <c r="BG97" i="25"/>
  <c r="BJ97" i="25" s="1"/>
  <c r="CE56" i="25"/>
  <c r="BG56" i="25"/>
  <c r="BJ56" i="25" s="1"/>
  <c r="CE81" i="25"/>
  <c r="BG81" i="25"/>
  <c r="BJ81" i="25" s="1"/>
  <c r="CE77" i="25"/>
  <c r="BG77" i="25"/>
  <c r="BJ77" i="25" s="1"/>
  <c r="CE27" i="25"/>
  <c r="BG27" i="25"/>
  <c r="BJ27" i="25" s="1"/>
  <c r="CE10" i="25"/>
  <c r="BG10" i="25"/>
  <c r="BJ10" i="25" s="1"/>
  <c r="AP99" i="25"/>
  <c r="BG99" i="25"/>
  <c r="BJ99" i="25" s="1"/>
  <c r="CE80" i="25"/>
  <c r="BG80" i="25"/>
  <c r="BJ80" i="25" s="1"/>
  <c r="CE90" i="25"/>
  <c r="BG90" i="25"/>
  <c r="BJ90" i="25" s="1"/>
  <c r="CE22" i="25"/>
  <c r="BG22" i="25"/>
  <c r="BJ22" i="25" s="1"/>
  <c r="AP103" i="25"/>
  <c r="BG103" i="25"/>
  <c r="BJ103" i="25" s="1"/>
  <c r="CE52" i="25"/>
  <c r="BG52" i="25"/>
  <c r="BJ52" i="25" s="1"/>
  <c r="BG104" i="25"/>
  <c r="BJ104" i="25" s="1"/>
  <c r="BH11" i="25"/>
  <c r="AP11" i="25"/>
  <c r="AR11" i="25"/>
  <c r="AT11" i="25" s="1"/>
  <c r="AY11" i="25" s="1"/>
  <c r="BW11" i="25"/>
  <c r="BF11" i="25"/>
  <c r="BW96" i="25"/>
  <c r="CE96" i="25"/>
  <c r="AP205" i="25"/>
  <c r="CE205" i="25"/>
  <c r="AP200" i="25"/>
  <c r="CE200" i="25"/>
  <c r="AP193" i="25"/>
  <c r="CE193" i="25"/>
  <c r="BU96" i="25"/>
  <c r="AP96" i="25"/>
  <c r="BH96" i="25"/>
  <c r="BJ96" i="25"/>
  <c r="AR96" i="25"/>
  <c r="AU96" i="25" s="1"/>
  <c r="BF96" i="25"/>
  <c r="AP101" i="25"/>
  <c r="CE101" i="25"/>
  <c r="AP98" i="25"/>
  <c r="CE98" i="25"/>
  <c r="AP179" i="25"/>
  <c r="CE179" i="25"/>
  <c r="AP203" i="25"/>
  <c r="CE203" i="25"/>
  <c r="AP104" i="25"/>
  <c r="CE104" i="25"/>
  <c r="AP202" i="25"/>
  <c r="CE202" i="25"/>
  <c r="BF104" i="25"/>
  <c r="BH104" i="25"/>
  <c r="AR104" i="25"/>
  <c r="AU104" i="25" s="1"/>
  <c r="BW104" i="25"/>
  <c r="BU104" i="25"/>
  <c r="BW154" i="25"/>
  <c r="CE154" i="25"/>
  <c r="BU258" i="25"/>
  <c r="AP258" i="25"/>
  <c r="AP196" i="25"/>
  <c r="CE196" i="25"/>
  <c r="BU97" i="25"/>
  <c r="BW97" i="25"/>
  <c r="BH97" i="25"/>
  <c r="AP105" i="25"/>
  <c r="B19" i="29" s="1"/>
  <c r="CE105" i="25"/>
  <c r="AR97" i="25"/>
  <c r="AT97" i="25" s="1"/>
  <c r="AY97" i="25" s="1"/>
  <c r="BF97" i="25"/>
  <c r="BW258" i="25"/>
  <c r="BH258" i="25"/>
  <c r="AR258" i="25"/>
  <c r="AU258" i="25" s="1"/>
  <c r="AP207" i="25"/>
  <c r="CE207" i="25"/>
  <c r="AP209" i="25"/>
  <c r="CE209" i="25"/>
  <c r="BF154" i="25"/>
  <c r="BH179" i="25"/>
  <c r="BH154" i="25"/>
  <c r="BJ179" i="25"/>
  <c r="AP154" i="25"/>
  <c r="AR179" i="25"/>
  <c r="AU179" i="25" s="1"/>
  <c r="BJ154" i="25"/>
  <c r="AR154" i="25"/>
  <c r="AT154" i="25" s="1"/>
  <c r="AY154" i="25" s="1"/>
  <c r="BU179" i="25"/>
  <c r="BW179" i="25"/>
  <c r="BU154" i="25"/>
  <c r="BF179" i="25"/>
  <c r="BE292" i="24"/>
  <c r="BT292" i="24" s="1"/>
  <c r="AW147" i="24"/>
  <c r="BE147" i="24" s="1"/>
  <c r="BT147" i="24" s="1"/>
  <c r="AW219" i="24"/>
  <c r="AY219" i="24" s="1"/>
  <c r="AZ219" i="24" s="1"/>
  <c r="AP208" i="25"/>
  <c r="CE208" i="25"/>
  <c r="BW265" i="25"/>
  <c r="AW283" i="24"/>
  <c r="AY283" i="24" s="1"/>
  <c r="AZ283" i="24" s="1"/>
  <c r="AW260" i="24"/>
  <c r="BD260" i="24" s="1"/>
  <c r="AW240" i="24"/>
  <c r="BD240" i="24" s="1"/>
  <c r="AR265" i="25"/>
  <c r="AT265" i="25" s="1"/>
  <c r="AW18" i="24"/>
  <c r="BE18" i="24" s="1"/>
  <c r="BT18" i="24" s="1"/>
  <c r="BU265" i="25"/>
  <c r="AW242" i="24"/>
  <c r="AY242" i="24" s="1"/>
  <c r="AZ242" i="24" s="1"/>
  <c r="BF265" i="25"/>
  <c r="AP265" i="25"/>
  <c r="AW19" i="24"/>
  <c r="BD19" i="24" s="1"/>
  <c r="AW135" i="24"/>
  <c r="BD135" i="24" s="1"/>
  <c r="AW120" i="24"/>
  <c r="AY120" i="24" s="1"/>
  <c r="AZ120" i="24" s="1"/>
  <c r="AW259" i="24"/>
  <c r="BD259" i="24" s="1"/>
  <c r="AY292" i="24"/>
  <c r="AZ292" i="24" s="1"/>
  <c r="AP102" i="25"/>
  <c r="CE102" i="25"/>
  <c r="AW121" i="24"/>
  <c r="AY121" i="24" s="1"/>
  <c r="AZ121" i="24" s="1"/>
  <c r="AW265" i="24"/>
  <c r="AY265" i="24" s="1"/>
  <c r="AZ265" i="24" s="1"/>
  <c r="AW279" i="24"/>
  <c r="BE279" i="24" s="1"/>
  <c r="BT279" i="24" s="1"/>
  <c r="AW111" i="24"/>
  <c r="BD111" i="24" s="1"/>
  <c r="AW296" i="24"/>
  <c r="AY296" i="24" s="1"/>
  <c r="AZ296" i="24" s="1"/>
  <c r="AW26" i="24"/>
  <c r="AY26" i="24" s="1"/>
  <c r="AZ26" i="24" s="1"/>
  <c r="BF237" i="25"/>
  <c r="AR237" i="25"/>
  <c r="BJ237" i="25"/>
  <c r="AP237" i="25"/>
  <c r="BH237" i="25"/>
  <c r="BU237" i="25"/>
  <c r="BW237" i="25"/>
  <c r="V212" i="25"/>
  <c r="X212" i="25" s="1"/>
  <c r="AD212" i="25"/>
  <c r="W212" i="25"/>
  <c r="Z212" i="25" s="1"/>
  <c r="AA212" i="25" s="1"/>
  <c r="AB212" i="25" s="1"/>
  <c r="AI212" i="25" s="1"/>
  <c r="AW34" i="24"/>
  <c r="AY34" i="24" s="1"/>
  <c r="AZ34" i="24" s="1"/>
  <c r="AW152" i="24"/>
  <c r="AY152" i="24" s="1"/>
  <c r="AZ152" i="24" s="1"/>
  <c r="AP210" i="25"/>
  <c r="CE210" i="25"/>
  <c r="BH77" i="25"/>
  <c r="AP77" i="25"/>
  <c r="BF77" i="25"/>
  <c r="BW77" i="25"/>
  <c r="BU77" i="25"/>
  <c r="AR77" i="25"/>
  <c r="AW112" i="24"/>
  <c r="AY112" i="24" s="1"/>
  <c r="AZ112" i="24" s="1"/>
  <c r="AW253" i="24"/>
  <c r="BE253" i="24" s="1"/>
  <c r="BT253" i="24" s="1"/>
  <c r="AW224" i="24"/>
  <c r="BE224" i="24" s="1"/>
  <c r="BT224" i="24" s="1"/>
  <c r="AW247" i="24"/>
  <c r="AY247" i="24" s="1"/>
  <c r="AZ247" i="24" s="1"/>
  <c r="AW28" i="24"/>
  <c r="BE28" i="24" s="1"/>
  <c r="BT28" i="24" s="1"/>
  <c r="AW33" i="24"/>
  <c r="BD33" i="24" s="1"/>
  <c r="L15" i="1"/>
  <c r="AW117" i="24"/>
  <c r="AY117" i="24" s="1"/>
  <c r="AZ117" i="24" s="1"/>
  <c r="AW248" i="24"/>
  <c r="BD248" i="24" s="1"/>
  <c r="AW299" i="24"/>
  <c r="AY299" i="24" s="1"/>
  <c r="AZ299" i="24" s="1"/>
  <c r="AW298" i="24"/>
  <c r="BE298" i="24" s="1"/>
  <c r="BT298" i="24" s="1"/>
  <c r="AW232" i="24"/>
  <c r="BE232" i="24" s="1"/>
  <c r="BT232" i="24" s="1"/>
  <c r="AW228" i="24"/>
  <c r="BE228" i="24" s="1"/>
  <c r="BT228" i="24" s="1"/>
  <c r="AW280" i="24"/>
  <c r="BE280" i="24" s="1"/>
  <c r="BT280" i="24" s="1"/>
  <c r="AW54" i="24"/>
  <c r="BE54" i="24" s="1"/>
  <c r="BT54" i="24" s="1"/>
  <c r="AW6" i="24"/>
  <c r="BD6" i="24" s="1"/>
  <c r="AW12" i="24"/>
  <c r="BE12" i="24" s="1"/>
  <c r="BT12" i="24" s="1"/>
  <c r="AW148" i="24"/>
  <c r="BE148" i="24" s="1"/>
  <c r="BT148" i="24" s="1"/>
  <c r="AW295" i="24"/>
  <c r="AY295" i="24" s="1"/>
  <c r="AZ295" i="24" s="1"/>
  <c r="AW20" i="24"/>
  <c r="BE20" i="24" s="1"/>
  <c r="BT20" i="24" s="1"/>
  <c r="AW238" i="24"/>
  <c r="AY238" i="24" s="1"/>
  <c r="AZ238" i="24" s="1"/>
  <c r="AW130" i="24"/>
  <c r="AY130" i="24" s="1"/>
  <c r="AZ130" i="24" s="1"/>
  <c r="AW24" i="24"/>
  <c r="BE24" i="24" s="1"/>
  <c r="BT24" i="24" s="1"/>
  <c r="AW282" i="24"/>
  <c r="BE282" i="24" s="1"/>
  <c r="BT282" i="24" s="1"/>
  <c r="AW305" i="24"/>
  <c r="BE305" i="24" s="1"/>
  <c r="BT305" i="24" s="1"/>
  <c r="AW58" i="24"/>
  <c r="BD58" i="24" s="1"/>
  <c r="AR193" i="25"/>
  <c r="BJ193" i="25"/>
  <c r="BH193" i="25"/>
  <c r="BW193" i="25"/>
  <c r="BU193" i="25"/>
  <c r="BF193" i="25"/>
  <c r="AU25" i="24"/>
  <c r="BB25" i="24" s="1"/>
  <c r="AW25" i="24"/>
  <c r="BJ239" i="25"/>
  <c r="AR239" i="25"/>
  <c r="BH239" i="25"/>
  <c r="AP239" i="25"/>
  <c r="BW239" i="25"/>
  <c r="BU239" i="25"/>
  <c r="BF239" i="25"/>
  <c r="AR102" i="25"/>
  <c r="BJ102" i="25"/>
  <c r="BH102" i="25"/>
  <c r="BF102" i="25"/>
  <c r="BW102" i="25"/>
  <c r="BU102" i="25"/>
  <c r="AR90" i="25"/>
  <c r="BH90" i="25"/>
  <c r="AP90" i="25"/>
  <c r="BF90" i="25"/>
  <c r="BW90" i="25"/>
  <c r="BU90" i="25"/>
  <c r="AR19" i="25"/>
  <c r="BJ19" i="25"/>
  <c r="BH19" i="25"/>
  <c r="AP19" i="25"/>
  <c r="BW19" i="25"/>
  <c r="BU19" i="25"/>
  <c r="BF19" i="25"/>
  <c r="AR15" i="25"/>
  <c r="BJ15" i="25"/>
  <c r="BH15" i="25"/>
  <c r="AP15" i="25"/>
  <c r="BF15" i="25"/>
  <c r="BU15" i="25"/>
  <c r="BW15" i="25"/>
  <c r="AU63" i="24"/>
  <c r="BB63" i="24" s="1"/>
  <c r="AW63" i="24"/>
  <c r="AR18" i="25"/>
  <c r="BJ18" i="25"/>
  <c r="BH18" i="25"/>
  <c r="AP18" i="25"/>
  <c r="BF18" i="25"/>
  <c r="BW18" i="25"/>
  <c r="BU18" i="25"/>
  <c r="AR231" i="25"/>
  <c r="BJ231" i="25"/>
  <c r="BH231" i="25"/>
  <c r="AP231" i="25"/>
  <c r="BF231" i="25"/>
  <c r="BU231" i="25"/>
  <c r="BW231" i="25"/>
  <c r="AR249" i="25"/>
  <c r="BJ249" i="25"/>
  <c r="BH249" i="25"/>
  <c r="AP249" i="25"/>
  <c r="BF249" i="25"/>
  <c r="BU249" i="25"/>
  <c r="BW249" i="25"/>
  <c r="BJ43" i="25"/>
  <c r="AR43" i="25"/>
  <c r="BH43" i="25"/>
  <c r="AP43" i="25"/>
  <c r="BF43" i="25"/>
  <c r="BW43" i="25"/>
  <c r="BU43" i="25"/>
  <c r="AR124" i="25"/>
  <c r="BJ124" i="25"/>
  <c r="BH124" i="25"/>
  <c r="AP124" i="25"/>
  <c r="BF124" i="25"/>
  <c r="BW124" i="25"/>
  <c r="BU124" i="25"/>
  <c r="AR8" i="25"/>
  <c r="BJ8" i="25"/>
  <c r="BH8" i="25"/>
  <c r="AP8" i="25"/>
  <c r="BF8" i="25"/>
  <c r="BW8" i="25"/>
  <c r="BU8" i="25"/>
  <c r="AU203" i="24"/>
  <c r="BB203" i="24" s="1"/>
  <c r="AW203" i="24"/>
  <c r="AT280" i="25"/>
  <c r="AU280" i="25"/>
  <c r="AW258" i="24"/>
  <c r="AT131" i="25"/>
  <c r="AY131" i="25" s="1"/>
  <c r="AU131" i="25"/>
  <c r="AU220" i="24"/>
  <c r="BB220" i="24" s="1"/>
  <c r="AW220" i="24"/>
  <c r="AU181" i="24"/>
  <c r="BB181" i="24" s="1"/>
  <c r="AW181" i="24"/>
  <c r="AU100" i="24"/>
  <c r="BB100" i="24" s="1"/>
  <c r="AW100" i="24"/>
  <c r="AR22" i="25"/>
  <c r="BH22" i="25"/>
  <c r="AP22" i="25"/>
  <c r="BF22" i="25"/>
  <c r="BW22" i="25"/>
  <c r="BU22" i="25"/>
  <c r="AU92" i="24"/>
  <c r="BB92" i="24" s="1"/>
  <c r="AW92" i="24"/>
  <c r="AU209" i="24"/>
  <c r="BB209" i="24" s="1"/>
  <c r="AW209" i="24"/>
  <c r="AR12" i="25"/>
  <c r="BJ12" i="25"/>
  <c r="BH12" i="25"/>
  <c r="AP12" i="25"/>
  <c r="BF12" i="25"/>
  <c r="BW12" i="25"/>
  <c r="BU12" i="25"/>
  <c r="AT113" i="25"/>
  <c r="AY113" i="25" s="1"/>
  <c r="AU113" i="25"/>
  <c r="AT114" i="25"/>
  <c r="AY114" i="25" s="1"/>
  <c r="AU114" i="25"/>
  <c r="AU38" i="24"/>
  <c r="BB38" i="24" s="1"/>
  <c r="AW38" i="24"/>
  <c r="AU52" i="24"/>
  <c r="BB52" i="24" s="1"/>
  <c r="AW52" i="24"/>
  <c r="AR119" i="25"/>
  <c r="BJ119" i="25"/>
  <c r="BH119" i="25"/>
  <c r="AP119" i="25"/>
  <c r="BU119" i="25"/>
  <c r="BF119" i="25"/>
  <c r="BW119" i="25"/>
  <c r="AT232" i="25"/>
  <c r="AU232" i="25"/>
  <c r="AR27" i="25"/>
  <c r="BH27" i="25"/>
  <c r="AP27" i="25"/>
  <c r="BW27" i="25"/>
  <c r="BU27" i="25"/>
  <c r="BF27" i="25"/>
  <c r="AR53" i="25"/>
  <c r="BJ53" i="25"/>
  <c r="BH53" i="25"/>
  <c r="AP53" i="25"/>
  <c r="BF53" i="25"/>
  <c r="BU53" i="25"/>
  <c r="BW53" i="25"/>
  <c r="AU164" i="24"/>
  <c r="BB164" i="24" s="1"/>
  <c r="AW164" i="24"/>
  <c r="AW225" i="24"/>
  <c r="AU90" i="24"/>
  <c r="BB90" i="24" s="1"/>
  <c r="AW90" i="24"/>
  <c r="AR36" i="25"/>
  <c r="BJ36" i="25"/>
  <c r="BH36" i="25"/>
  <c r="AP36" i="25"/>
  <c r="BF36" i="25"/>
  <c r="BW36" i="25"/>
  <c r="BU36" i="25"/>
  <c r="AU286" i="24"/>
  <c r="BB286" i="24" s="1"/>
  <c r="AW286" i="24"/>
  <c r="AT238" i="25"/>
  <c r="AU238" i="25"/>
  <c r="AR16" i="25"/>
  <c r="BJ16" i="25"/>
  <c r="BH16" i="25"/>
  <c r="AP16" i="25"/>
  <c r="BW16" i="25"/>
  <c r="BU16" i="25"/>
  <c r="BF16" i="25"/>
  <c r="AU245" i="24"/>
  <c r="BB245" i="24" s="1"/>
  <c r="AW245" i="24"/>
  <c r="AR222" i="25"/>
  <c r="BH222" i="25"/>
  <c r="AP222" i="25"/>
  <c r="BU222" i="25"/>
  <c r="BF222" i="25"/>
  <c r="BW222" i="25"/>
  <c r="AR241" i="25"/>
  <c r="BJ241" i="25"/>
  <c r="BH241" i="25"/>
  <c r="AP241" i="25"/>
  <c r="BF241" i="25"/>
  <c r="BU241" i="25"/>
  <c r="BW241" i="25"/>
  <c r="AU103" i="24"/>
  <c r="BB103" i="24" s="1"/>
  <c r="AW103" i="24"/>
  <c r="AU36" i="24"/>
  <c r="BB36" i="24" s="1"/>
  <c r="AW36" i="24"/>
  <c r="AU138" i="24"/>
  <c r="BB138" i="24" s="1"/>
  <c r="AW138" i="24"/>
  <c r="AU246" i="24"/>
  <c r="BB246" i="24" s="1"/>
  <c r="AW246" i="24"/>
  <c r="AT30" i="25"/>
  <c r="AY30" i="25" s="1"/>
  <c r="AU30" i="25"/>
  <c r="AU78" i="24"/>
  <c r="BB78" i="24" s="1"/>
  <c r="AW78" i="24"/>
  <c r="AU116" i="24"/>
  <c r="BB116" i="24" s="1"/>
  <c r="AW116" i="24"/>
  <c r="AR274" i="25"/>
  <c r="BH274" i="25"/>
  <c r="AP274" i="25"/>
  <c r="BF274" i="25"/>
  <c r="BU274" i="25"/>
  <c r="BW274" i="25"/>
  <c r="AW261" i="24"/>
  <c r="AT275" i="25"/>
  <c r="AU275" i="25"/>
  <c r="AT173" i="25"/>
  <c r="AY173" i="25" s="1"/>
  <c r="AU173" i="25"/>
  <c r="AW133" i="24"/>
  <c r="AW37" i="24"/>
  <c r="AR188" i="25"/>
  <c r="BJ188" i="25"/>
  <c r="BH188" i="25"/>
  <c r="AP188" i="25"/>
  <c r="BU188" i="25"/>
  <c r="BW188" i="25"/>
  <c r="BF188" i="25"/>
  <c r="AR207" i="25"/>
  <c r="BJ207" i="25"/>
  <c r="BH207" i="25"/>
  <c r="BF207" i="25"/>
  <c r="BW207" i="25"/>
  <c r="BU207" i="25"/>
  <c r="AR23" i="25"/>
  <c r="BJ23" i="25"/>
  <c r="BH23" i="25"/>
  <c r="AP23" i="25"/>
  <c r="BW23" i="25"/>
  <c r="BU23" i="25"/>
  <c r="BF23" i="25"/>
  <c r="AU254" i="24"/>
  <c r="BB254" i="24" s="1"/>
  <c r="AW254" i="24"/>
  <c r="AW218" i="24"/>
  <c r="AR86" i="25"/>
  <c r="BH86" i="25"/>
  <c r="AP86" i="25"/>
  <c r="BU86" i="25"/>
  <c r="BF86" i="25"/>
  <c r="BW86" i="25"/>
  <c r="AW153" i="24"/>
  <c r="AU255" i="24"/>
  <c r="BB255" i="24" s="1"/>
  <c r="AW255" i="24"/>
  <c r="AU93" i="24"/>
  <c r="BB93" i="24" s="1"/>
  <c r="AW93" i="24"/>
  <c r="AU74" i="24"/>
  <c r="BB74" i="24" s="1"/>
  <c r="AW74" i="24"/>
  <c r="AU73" i="24"/>
  <c r="BB73" i="24" s="1"/>
  <c r="AW73" i="24"/>
  <c r="AU241" i="24"/>
  <c r="BB241" i="24" s="1"/>
  <c r="AW241" i="24"/>
  <c r="AR310" i="25"/>
  <c r="BH310" i="25"/>
  <c r="AP310" i="25"/>
  <c r="BF310" i="25"/>
  <c r="BW310" i="25"/>
  <c r="BU310" i="25"/>
  <c r="AW235" i="24"/>
  <c r="AR263" i="25"/>
  <c r="BJ263" i="25"/>
  <c r="BH263" i="25"/>
  <c r="AP263" i="25"/>
  <c r="BW263" i="25"/>
  <c r="BU263" i="25"/>
  <c r="BF263" i="25"/>
  <c r="AR20" i="25"/>
  <c r="BJ20" i="25"/>
  <c r="BH20" i="25"/>
  <c r="AP20" i="25"/>
  <c r="BU20" i="25"/>
  <c r="BW20" i="25"/>
  <c r="BF20" i="25"/>
  <c r="AW57" i="24"/>
  <c r="AU179" i="24"/>
  <c r="BB179" i="24" s="1"/>
  <c r="AW179" i="24"/>
  <c r="AT13" i="25"/>
  <c r="AY13" i="25" s="1"/>
  <c r="AU13" i="25"/>
  <c r="AR256" i="25"/>
  <c r="BJ256" i="25"/>
  <c r="BH256" i="25"/>
  <c r="AP256" i="25"/>
  <c r="BF256" i="25"/>
  <c r="BW256" i="25"/>
  <c r="BU256" i="25"/>
  <c r="AR24" i="25"/>
  <c r="BJ24" i="25"/>
  <c r="BH24" i="25"/>
  <c r="AP24" i="25"/>
  <c r="BW24" i="25"/>
  <c r="BU24" i="25"/>
  <c r="BF24" i="25"/>
  <c r="AU234" i="24"/>
  <c r="BB234" i="24" s="1"/>
  <c r="AW234" i="24"/>
  <c r="AR7" i="25"/>
  <c r="BH7" i="25"/>
  <c r="AP7" i="25"/>
  <c r="BW7" i="25"/>
  <c r="BU7" i="25"/>
  <c r="BF7" i="25"/>
  <c r="AU177" i="24"/>
  <c r="BB177" i="24" s="1"/>
  <c r="AW177" i="24"/>
  <c r="AU40" i="24"/>
  <c r="BB40" i="24" s="1"/>
  <c r="AW40" i="24"/>
  <c r="BG292" i="24"/>
  <c r="BS292" i="24"/>
  <c r="BE233" i="24"/>
  <c r="BT233" i="24" s="1"/>
  <c r="BD233" i="24"/>
  <c r="AY233" i="24"/>
  <c r="AZ233" i="24" s="1"/>
  <c r="AU79" i="24"/>
  <c r="BB79" i="24" s="1"/>
  <c r="AW79" i="24"/>
  <c r="AR300" i="25"/>
  <c r="BH300" i="25"/>
  <c r="AP300" i="25"/>
  <c r="BF300" i="25"/>
  <c r="BW300" i="25"/>
  <c r="BU300" i="25"/>
  <c r="AR9" i="25"/>
  <c r="BJ9" i="25"/>
  <c r="BH9" i="25"/>
  <c r="AP9" i="25"/>
  <c r="BF9" i="25"/>
  <c r="BU9" i="25"/>
  <c r="BW9" i="25"/>
  <c r="AT291" i="25"/>
  <c r="AU291" i="25"/>
  <c r="AR227" i="25"/>
  <c r="BJ227" i="25"/>
  <c r="BH227" i="25"/>
  <c r="AP227" i="25"/>
  <c r="BW227" i="25"/>
  <c r="BF227" i="25"/>
  <c r="BU227" i="25"/>
  <c r="AR235" i="25"/>
  <c r="BH235" i="25"/>
  <c r="AP235" i="25"/>
  <c r="BF235" i="25"/>
  <c r="BW235" i="25"/>
  <c r="BU235" i="25"/>
  <c r="AT95" i="25"/>
  <c r="AY95" i="25" s="1"/>
  <c r="AU95" i="25"/>
  <c r="AR65" i="25"/>
  <c r="BH65" i="25"/>
  <c r="AP65" i="25"/>
  <c r="BW65" i="25"/>
  <c r="BU65" i="25"/>
  <c r="BF65" i="25"/>
  <c r="AR112" i="25"/>
  <c r="BH112" i="25"/>
  <c r="AP112" i="25"/>
  <c r="BF112" i="25"/>
  <c r="BW112" i="25"/>
  <c r="BU112" i="25"/>
  <c r="AU136" i="24"/>
  <c r="BB136" i="24" s="1"/>
  <c r="AW136" i="24"/>
  <c r="AR303" i="25"/>
  <c r="BH303" i="25"/>
  <c r="AP303" i="25"/>
  <c r="BW303" i="25"/>
  <c r="BU303" i="25"/>
  <c r="BF303" i="25"/>
  <c r="AR160" i="25"/>
  <c r="BH160" i="25"/>
  <c r="AP160" i="25"/>
  <c r="BF160" i="25"/>
  <c r="BU160" i="25"/>
  <c r="BW160" i="25"/>
  <c r="AU66" i="24"/>
  <c r="BB66" i="24" s="1"/>
  <c r="AW66" i="24"/>
  <c r="AR195" i="25"/>
  <c r="BH195" i="25"/>
  <c r="BF195" i="25"/>
  <c r="BW195" i="25"/>
  <c r="BU195" i="25"/>
  <c r="Y12" i="2"/>
  <c r="Y15" i="2" s="1"/>
  <c r="Y16" i="2" s="1"/>
  <c r="Y17" i="2" s="1"/>
  <c r="B4" i="29" s="1"/>
  <c r="AR67" i="25"/>
  <c r="BJ67" i="25"/>
  <c r="BH67" i="25"/>
  <c r="AP67" i="25"/>
  <c r="BW67" i="25"/>
  <c r="BU67" i="25"/>
  <c r="BF67" i="25"/>
  <c r="AR41" i="25"/>
  <c r="BJ41" i="25"/>
  <c r="BH41" i="25"/>
  <c r="AP41" i="25"/>
  <c r="BU41" i="25"/>
  <c r="BW41" i="25"/>
  <c r="BF41" i="25"/>
  <c r="BD236" i="24"/>
  <c r="AY236" i="24"/>
  <c r="AZ236" i="24" s="1"/>
  <c r="BE236" i="24"/>
  <c r="BT236" i="24" s="1"/>
  <c r="AR313" i="25"/>
  <c r="BH313" i="25"/>
  <c r="AP313" i="25"/>
  <c r="BU313" i="25"/>
  <c r="BW313" i="25"/>
  <c r="BF313" i="25"/>
  <c r="AR40" i="25"/>
  <c r="BJ40" i="25"/>
  <c r="BH40" i="25"/>
  <c r="AP40" i="25"/>
  <c r="BU40" i="25"/>
  <c r="BW40" i="25"/>
  <c r="BF40" i="25"/>
  <c r="AU188" i="24"/>
  <c r="BB188" i="24" s="1"/>
  <c r="AW188" i="24"/>
  <c r="AR33" i="25"/>
  <c r="BJ33" i="25"/>
  <c r="BH33" i="25"/>
  <c r="AP33" i="25"/>
  <c r="BU33" i="25"/>
  <c r="BW33" i="25"/>
  <c r="BF33" i="25"/>
  <c r="AR294" i="25"/>
  <c r="BH294" i="25"/>
  <c r="AP294" i="25"/>
  <c r="BF294" i="25"/>
  <c r="BW294" i="25"/>
  <c r="BU294" i="25"/>
  <c r="BJ250" i="25"/>
  <c r="AR250" i="25"/>
  <c r="BH250" i="25"/>
  <c r="AP250" i="25"/>
  <c r="BF250" i="25"/>
  <c r="BU250" i="25"/>
  <c r="BW250" i="25"/>
  <c r="AT314" i="25"/>
  <c r="AU314" i="25"/>
  <c r="AW114" i="24"/>
  <c r="AU186" i="24"/>
  <c r="BB186" i="24" s="1"/>
  <c r="AW186" i="24"/>
  <c r="AU14" i="24"/>
  <c r="BB14" i="24" s="1"/>
  <c r="AW14" i="24"/>
  <c r="AU206" i="24"/>
  <c r="BB206" i="24" s="1"/>
  <c r="AW206" i="24"/>
  <c r="AR56" i="25"/>
  <c r="BH56" i="25"/>
  <c r="AP56" i="25"/>
  <c r="BW56" i="25"/>
  <c r="BU56" i="25"/>
  <c r="BF56" i="25"/>
  <c r="AU159" i="24"/>
  <c r="BB159" i="24" s="1"/>
  <c r="AW159" i="24"/>
  <c r="AR17" i="25"/>
  <c r="BJ17" i="25"/>
  <c r="BH17" i="25"/>
  <c r="AP17" i="25"/>
  <c r="BU17" i="25"/>
  <c r="BF17" i="25"/>
  <c r="BW17" i="25"/>
  <c r="AU104" i="24"/>
  <c r="BB104" i="24" s="1"/>
  <c r="AW104" i="24"/>
  <c r="AU197" i="24"/>
  <c r="BB197" i="24" s="1"/>
  <c r="AW197" i="24"/>
  <c r="AT89" i="25"/>
  <c r="AY89" i="25" s="1"/>
  <c r="AU89" i="25"/>
  <c r="AR312" i="25"/>
  <c r="BH312" i="25"/>
  <c r="AP312" i="25"/>
  <c r="BF312" i="25"/>
  <c r="BW312" i="25"/>
  <c r="BU312" i="25"/>
  <c r="AU202" i="24"/>
  <c r="BB202" i="24" s="1"/>
  <c r="AW202" i="24"/>
  <c r="AR175" i="25"/>
  <c r="BH175" i="25"/>
  <c r="AP175" i="25"/>
  <c r="BF175" i="25"/>
  <c r="BU175" i="25"/>
  <c r="BW175" i="25"/>
  <c r="AU47" i="24"/>
  <c r="BB47" i="24" s="1"/>
  <c r="AW47" i="24"/>
  <c r="AR285" i="25"/>
  <c r="BJ285" i="25"/>
  <c r="BH285" i="25"/>
  <c r="AP285" i="25"/>
  <c r="BF285" i="25"/>
  <c r="BW285" i="25"/>
  <c r="BU285" i="25"/>
  <c r="AU184" i="24"/>
  <c r="BB184" i="24" s="1"/>
  <c r="AW184" i="24"/>
  <c r="AY160" i="24"/>
  <c r="AZ160" i="24" s="1"/>
  <c r="BD160" i="24"/>
  <c r="BE160" i="24"/>
  <c r="BT160" i="24" s="1"/>
  <c r="AU88" i="24"/>
  <c r="BB88" i="24" s="1"/>
  <c r="AW88" i="24"/>
  <c r="AU16" i="24"/>
  <c r="BB16" i="24" s="1"/>
  <c r="AW16" i="24"/>
  <c r="AR171" i="25"/>
  <c r="BH171" i="25"/>
  <c r="AP171" i="25"/>
  <c r="BF171" i="25"/>
  <c r="BW171" i="25"/>
  <c r="BU171" i="25"/>
  <c r="AR49" i="25"/>
  <c r="BJ49" i="25"/>
  <c r="BH49" i="25"/>
  <c r="AP49" i="25"/>
  <c r="BF49" i="25"/>
  <c r="BW49" i="25"/>
  <c r="BU49" i="25"/>
  <c r="AR183" i="25"/>
  <c r="BH183" i="25"/>
  <c r="AP183" i="25"/>
  <c r="BF183" i="25"/>
  <c r="BW183" i="25"/>
  <c r="BU183" i="25"/>
  <c r="AY257" i="24"/>
  <c r="AZ257" i="24" s="1"/>
  <c r="BD257" i="24"/>
  <c r="BE257" i="24"/>
  <c r="BT257" i="24" s="1"/>
  <c r="BE119" i="24"/>
  <c r="BT119" i="24" s="1"/>
  <c r="AY119" i="24"/>
  <c r="AZ119" i="24" s="1"/>
  <c r="BD119" i="24"/>
  <c r="AW30" i="24"/>
  <c r="AR253" i="25"/>
  <c r="BJ253" i="25"/>
  <c r="BH253" i="25"/>
  <c r="AP253" i="25"/>
  <c r="BF253" i="25"/>
  <c r="BW253" i="25"/>
  <c r="BU253" i="25"/>
  <c r="AU67" i="24"/>
  <c r="BB67" i="24" s="1"/>
  <c r="AW67" i="24"/>
  <c r="AT34" i="25"/>
  <c r="AY34" i="25" s="1"/>
  <c r="AU34" i="25"/>
  <c r="AU137" i="24"/>
  <c r="BB137" i="24" s="1"/>
  <c r="AW137" i="24"/>
  <c r="AR141" i="25"/>
  <c r="BH141" i="25"/>
  <c r="AP141" i="25"/>
  <c r="BW141" i="25"/>
  <c r="BU141" i="25"/>
  <c r="BF141" i="25"/>
  <c r="AT178" i="25"/>
  <c r="AY178" i="25" s="1"/>
  <c r="AU178" i="25"/>
  <c r="BB143" i="25"/>
  <c r="BS143" i="25" s="1"/>
  <c r="BC143" i="25"/>
  <c r="BT143" i="25" s="1"/>
  <c r="BA143" i="25"/>
  <c r="AW284" i="24"/>
  <c r="AU262" i="24"/>
  <c r="BB262" i="24" s="1"/>
  <c r="AW262" i="24"/>
  <c r="BE41" i="24"/>
  <c r="BT41" i="24" s="1"/>
  <c r="AY41" i="24"/>
  <c r="AZ41" i="24" s="1"/>
  <c r="BD41" i="24"/>
  <c r="BJ58" i="25"/>
  <c r="AR58" i="25"/>
  <c r="BH58" i="25"/>
  <c r="AP58" i="25"/>
  <c r="BW58" i="25"/>
  <c r="BF58" i="25"/>
  <c r="BU58" i="25"/>
  <c r="AR307" i="25"/>
  <c r="BH307" i="25"/>
  <c r="AP307" i="25"/>
  <c r="BU307" i="25"/>
  <c r="BW307" i="25"/>
  <c r="BF307" i="25"/>
  <c r="AR42" i="25"/>
  <c r="BJ42" i="25"/>
  <c r="BH42" i="25"/>
  <c r="AP42" i="25"/>
  <c r="BF42" i="25"/>
  <c r="BW42" i="25"/>
  <c r="BU42" i="25"/>
  <c r="AU46" i="24"/>
  <c r="BB46" i="24" s="1"/>
  <c r="AW46" i="24"/>
  <c r="AW237" i="24"/>
  <c r="AR205" i="25"/>
  <c r="BJ205" i="25"/>
  <c r="BH205" i="25"/>
  <c r="BF205" i="25"/>
  <c r="BW205" i="25"/>
  <c r="BU205" i="25"/>
  <c r="AR309" i="25"/>
  <c r="BH309" i="25"/>
  <c r="AP309" i="25"/>
  <c r="BF309" i="25"/>
  <c r="BU309" i="25"/>
  <c r="BW309" i="25"/>
  <c r="AU196" i="24"/>
  <c r="BB196" i="24" s="1"/>
  <c r="AW196" i="24"/>
  <c r="AU83" i="24"/>
  <c r="BB83" i="24" s="1"/>
  <c r="AW83" i="24"/>
  <c r="AU175" i="24"/>
  <c r="BB175" i="24" s="1"/>
  <c r="AW175" i="24"/>
  <c r="AR80" i="25"/>
  <c r="BH80" i="25"/>
  <c r="AP80" i="25"/>
  <c r="BF80" i="25"/>
  <c r="BU80" i="25"/>
  <c r="BW80" i="25"/>
  <c r="AR105" i="25"/>
  <c r="BJ105" i="25"/>
  <c r="BH105" i="25"/>
  <c r="BW105" i="25"/>
  <c r="BU105" i="25"/>
  <c r="BF105" i="25"/>
  <c r="BE45" i="24"/>
  <c r="BT45" i="24" s="1"/>
  <c r="BD45" i="24"/>
  <c r="AY45" i="24"/>
  <c r="AZ45" i="24" s="1"/>
  <c r="AR184" i="25"/>
  <c r="BH184" i="25"/>
  <c r="AP184" i="25"/>
  <c r="BF184" i="25"/>
  <c r="BU184" i="25"/>
  <c r="BW184" i="25"/>
  <c r="AW126" i="24"/>
  <c r="AR269" i="25"/>
  <c r="BH269" i="25"/>
  <c r="AP269" i="25"/>
  <c r="BF269" i="25"/>
  <c r="BW269" i="25"/>
  <c r="BU269" i="25"/>
  <c r="AR93" i="25"/>
  <c r="BJ93" i="25"/>
  <c r="BH93" i="25"/>
  <c r="AP93" i="25"/>
  <c r="BU93" i="25"/>
  <c r="BW93" i="25"/>
  <c r="BF93" i="25"/>
  <c r="AT62" i="25"/>
  <c r="AY62" i="25" s="1"/>
  <c r="AU62" i="25"/>
  <c r="AT31" i="25"/>
  <c r="AY31" i="25" s="1"/>
  <c r="AU31" i="25"/>
  <c r="AR218" i="25"/>
  <c r="BH218" i="25"/>
  <c r="AP218" i="25"/>
  <c r="BW218" i="25"/>
  <c r="BF218" i="25"/>
  <c r="BU218" i="25"/>
  <c r="AU222" i="24"/>
  <c r="BB222" i="24" s="1"/>
  <c r="AW222" i="24"/>
  <c r="AU140" i="24"/>
  <c r="BB140" i="24" s="1"/>
  <c r="AW140" i="24"/>
  <c r="AU77" i="24"/>
  <c r="BB77" i="24" s="1"/>
  <c r="AW77" i="24"/>
  <c r="AU53" i="24"/>
  <c r="BB53" i="24" s="1"/>
  <c r="AW53" i="24"/>
  <c r="AR121" i="25"/>
  <c r="BH121" i="25"/>
  <c r="AP121" i="25"/>
  <c r="BF121" i="25"/>
  <c r="BU121" i="25"/>
  <c r="BW121" i="25"/>
  <c r="AY162" i="24"/>
  <c r="AZ162" i="24" s="1"/>
  <c r="BD162" i="24"/>
  <c r="BE162" i="24"/>
  <c r="BT162" i="24" s="1"/>
  <c r="AT161" i="25"/>
  <c r="AY161" i="25" s="1"/>
  <c r="AU161" i="25"/>
  <c r="AU49" i="24"/>
  <c r="BB49" i="24" s="1"/>
  <c r="AW49" i="24"/>
  <c r="AR233" i="25"/>
  <c r="BJ233" i="25"/>
  <c r="BH233" i="25"/>
  <c r="AP233" i="25"/>
  <c r="BF233" i="25"/>
  <c r="BU233" i="25"/>
  <c r="BW233" i="25"/>
  <c r="AR153" i="25"/>
  <c r="BH153" i="25"/>
  <c r="AP153" i="25"/>
  <c r="BF153" i="25"/>
  <c r="BW153" i="25"/>
  <c r="BU153" i="25"/>
  <c r="AR10" i="25"/>
  <c r="BH10" i="25"/>
  <c r="AP10" i="25"/>
  <c r="BF10" i="25"/>
  <c r="BU10" i="25"/>
  <c r="BW10" i="25"/>
  <c r="AR123" i="25"/>
  <c r="BJ123" i="25"/>
  <c r="BH123" i="25"/>
  <c r="AP123" i="25"/>
  <c r="BF123" i="25"/>
  <c r="BU123" i="25"/>
  <c r="BW123" i="25"/>
  <c r="AR159" i="25"/>
  <c r="BH159" i="25"/>
  <c r="AP159" i="25"/>
  <c r="BU159" i="25"/>
  <c r="BW159" i="25"/>
  <c r="BF159" i="25"/>
  <c r="AU39" i="24"/>
  <c r="BB39" i="24" s="1"/>
  <c r="AW39" i="24"/>
  <c r="AU173" i="24"/>
  <c r="BB173" i="24" s="1"/>
  <c r="AW173" i="24"/>
  <c r="AR236" i="25"/>
  <c r="BH236" i="25"/>
  <c r="AP236" i="25"/>
  <c r="BF236" i="25"/>
  <c r="BU236" i="25"/>
  <c r="BW236" i="25"/>
  <c r="AU275" i="24"/>
  <c r="BB275" i="24" s="1"/>
  <c r="AW275" i="24"/>
  <c r="AR137" i="25"/>
  <c r="BJ137" i="25"/>
  <c r="BH137" i="25"/>
  <c r="AP137" i="25"/>
  <c r="BF137" i="25"/>
  <c r="BW137" i="25"/>
  <c r="BU137" i="25"/>
  <c r="AR230" i="25"/>
  <c r="BJ230" i="25"/>
  <c r="BH230" i="25"/>
  <c r="AP230" i="25"/>
  <c r="BF230" i="25"/>
  <c r="BW230" i="25"/>
  <c r="BU230" i="25"/>
  <c r="AR46" i="25"/>
  <c r="BJ46" i="25"/>
  <c r="BH46" i="25"/>
  <c r="AP46" i="25"/>
  <c r="BF46" i="25"/>
  <c r="BW46" i="25"/>
  <c r="BU46" i="25"/>
  <c r="AT206" i="25"/>
  <c r="AY206" i="25" s="1"/>
  <c r="AU206" i="25"/>
  <c r="AT29" i="25"/>
  <c r="AY29" i="25" s="1"/>
  <c r="AU29" i="25"/>
  <c r="AU278" i="24"/>
  <c r="BB278" i="24" s="1"/>
  <c r="AW278" i="24"/>
  <c r="AU313" i="24"/>
  <c r="BB313" i="24" s="1"/>
  <c r="AW313" i="24"/>
  <c r="AR268" i="25"/>
  <c r="BH268" i="25"/>
  <c r="AP268" i="25"/>
  <c r="BW268" i="25"/>
  <c r="BU268" i="25"/>
  <c r="BF268" i="25"/>
  <c r="AR242" i="25"/>
  <c r="BH242" i="25"/>
  <c r="AP242" i="25"/>
  <c r="BF242" i="25"/>
  <c r="BU242" i="25"/>
  <c r="BW242" i="25"/>
  <c r="AR146" i="25"/>
  <c r="BJ146" i="25"/>
  <c r="BH146" i="25"/>
  <c r="AP146" i="25"/>
  <c r="BF146" i="25"/>
  <c r="BU146" i="25"/>
  <c r="BW146" i="25"/>
  <c r="AR79" i="25"/>
  <c r="BH79" i="25"/>
  <c r="AP79" i="25"/>
  <c r="BW79" i="25"/>
  <c r="BU79" i="25"/>
  <c r="BF79" i="25"/>
  <c r="BE21" i="24"/>
  <c r="BT21" i="24" s="1"/>
  <c r="AY21" i="24"/>
  <c r="AZ21" i="24" s="1"/>
  <c r="BD21" i="24"/>
  <c r="AU10" i="24"/>
  <c r="BB10" i="24" s="1"/>
  <c r="AW10" i="24"/>
  <c r="AU207" i="24"/>
  <c r="BB207" i="24" s="1"/>
  <c r="AW207" i="24"/>
  <c r="AU157" i="24"/>
  <c r="BB157" i="24" s="1"/>
  <c r="AW157" i="24"/>
  <c r="AU31" i="24"/>
  <c r="BB31" i="24" s="1"/>
  <c r="AW31" i="24"/>
  <c r="AT59" i="25"/>
  <c r="AY59" i="25" s="1"/>
  <c r="AU59" i="25"/>
  <c r="AR111" i="25"/>
  <c r="BH111" i="25"/>
  <c r="AP111" i="25"/>
  <c r="BF111" i="25"/>
  <c r="BU111" i="25"/>
  <c r="BW111" i="25"/>
  <c r="AR127" i="25"/>
  <c r="BJ127" i="25"/>
  <c r="BH127" i="25"/>
  <c r="AP127" i="25"/>
  <c r="BF127" i="25"/>
  <c r="BW127" i="25"/>
  <c r="BU127" i="25"/>
  <c r="AU11" i="24"/>
  <c r="BB11" i="24" s="1"/>
  <c r="AW11" i="24"/>
  <c r="AT248" i="25"/>
  <c r="AU248" i="25"/>
  <c r="AR208" i="25"/>
  <c r="BJ208" i="25"/>
  <c r="BH208" i="25"/>
  <c r="BU208" i="25"/>
  <c r="BW208" i="25"/>
  <c r="BF208" i="25"/>
  <c r="AR264" i="25"/>
  <c r="BJ264" i="25"/>
  <c r="BH264" i="25"/>
  <c r="AP264" i="25"/>
  <c r="BF264" i="25"/>
  <c r="BU264" i="25"/>
  <c r="BW264" i="25"/>
  <c r="AR166" i="25"/>
  <c r="BH166" i="25"/>
  <c r="AP166" i="25"/>
  <c r="BF166" i="25"/>
  <c r="BW166" i="25"/>
  <c r="BU166" i="25"/>
  <c r="AR103" i="25"/>
  <c r="BH103" i="25"/>
  <c r="BW103" i="25"/>
  <c r="BU103" i="25"/>
  <c r="BF103" i="25"/>
  <c r="AR35" i="25"/>
  <c r="BJ35" i="25"/>
  <c r="BH35" i="25"/>
  <c r="AP35" i="25"/>
  <c r="BW35" i="25"/>
  <c r="BU35" i="25"/>
  <c r="BF35" i="25"/>
  <c r="AR75" i="25"/>
  <c r="BJ75" i="25"/>
  <c r="BH75" i="25"/>
  <c r="AP75" i="25"/>
  <c r="BU75" i="25"/>
  <c r="BF75" i="25"/>
  <c r="BW75" i="25"/>
  <c r="AW266" i="24"/>
  <c r="AR63" i="25"/>
  <c r="BJ63" i="25"/>
  <c r="BH63" i="25"/>
  <c r="AP63" i="25"/>
  <c r="BF63" i="25"/>
  <c r="BW63" i="25"/>
  <c r="BU63" i="25"/>
  <c r="AT170" i="25"/>
  <c r="AY170" i="25" s="1"/>
  <c r="AU170" i="25"/>
  <c r="AR165" i="25"/>
  <c r="BH165" i="25"/>
  <c r="AP165" i="25"/>
  <c r="BU165" i="25"/>
  <c r="BW165" i="25"/>
  <c r="BF165" i="25"/>
  <c r="AU118" i="24"/>
  <c r="BB118" i="24" s="1"/>
  <c r="AW118" i="24"/>
  <c r="AU139" i="24"/>
  <c r="BB139" i="24" s="1"/>
  <c r="AW139" i="24"/>
  <c r="AU95" i="24"/>
  <c r="BB95" i="24" s="1"/>
  <c r="AW95" i="24"/>
  <c r="AR50" i="25"/>
  <c r="BJ50" i="25"/>
  <c r="BH50" i="25"/>
  <c r="AP50" i="25"/>
  <c r="BW50" i="25"/>
  <c r="BU50" i="25"/>
  <c r="BF50" i="25"/>
  <c r="AW56" i="24"/>
  <c r="AT267" i="25"/>
  <c r="AU267" i="25"/>
  <c r="AU303" i="24"/>
  <c r="BB303" i="24" s="1"/>
  <c r="AW303" i="24"/>
  <c r="AU127" i="24"/>
  <c r="BB127" i="24" s="1"/>
  <c r="AW127" i="24"/>
  <c r="AU250" i="24"/>
  <c r="BB250" i="24" s="1"/>
  <c r="AW250" i="24"/>
  <c r="AR286" i="25"/>
  <c r="BH286" i="25"/>
  <c r="AP286" i="25"/>
  <c r="BU286" i="25"/>
  <c r="BF286" i="25"/>
  <c r="BW286" i="25"/>
  <c r="AT257" i="25"/>
  <c r="AU257" i="25"/>
  <c r="AU42" i="24"/>
  <c r="BB42" i="24" s="1"/>
  <c r="AW42" i="24"/>
  <c r="BJ128" i="25"/>
  <c r="AR128" i="25"/>
  <c r="BH128" i="25"/>
  <c r="AP128" i="25"/>
  <c r="BF128" i="25"/>
  <c r="BU128" i="25"/>
  <c r="BW128" i="25"/>
  <c r="AR209" i="25"/>
  <c r="BJ209" i="25"/>
  <c r="BH209" i="25"/>
  <c r="BU209" i="25"/>
  <c r="BW209" i="25"/>
  <c r="BF209" i="25"/>
  <c r="AR217" i="25"/>
  <c r="BJ217" i="25"/>
  <c r="BH217" i="25"/>
  <c r="AP217" i="25"/>
  <c r="BF217" i="25"/>
  <c r="BW217" i="25"/>
  <c r="BU217" i="25"/>
  <c r="AU70" i="24"/>
  <c r="BB70" i="24" s="1"/>
  <c r="AW70" i="24"/>
  <c r="AR252" i="25"/>
  <c r="BJ252" i="25"/>
  <c r="BH252" i="25"/>
  <c r="AP252" i="25"/>
  <c r="BF252" i="25"/>
  <c r="BU252" i="25"/>
  <c r="BW252" i="25"/>
  <c r="AU122" i="24"/>
  <c r="BB122" i="24" s="1"/>
  <c r="AW122" i="24"/>
  <c r="AU87" i="24"/>
  <c r="BB87" i="24" s="1"/>
  <c r="AW87" i="24"/>
  <c r="AR83" i="25"/>
  <c r="BH83" i="25"/>
  <c r="AP83" i="25"/>
  <c r="BF83" i="25"/>
  <c r="BW83" i="25"/>
  <c r="BU83" i="25"/>
  <c r="AU314" i="24"/>
  <c r="BB314" i="24" s="1"/>
  <c r="AW314" i="24"/>
  <c r="AR152" i="25"/>
  <c r="BH152" i="25"/>
  <c r="AP152" i="25"/>
  <c r="BF152" i="25"/>
  <c r="BU152" i="25"/>
  <c r="BW152" i="25"/>
  <c r="AR277" i="25"/>
  <c r="BJ277" i="25"/>
  <c r="BH277" i="25"/>
  <c r="AP277" i="25"/>
  <c r="BW277" i="25"/>
  <c r="BU277" i="25"/>
  <c r="BF277" i="25"/>
  <c r="AY191" i="24"/>
  <c r="AZ191" i="24" s="1"/>
  <c r="BE191" i="24"/>
  <c r="BT191" i="24" s="1"/>
  <c r="BD191" i="24"/>
  <c r="BD294" i="24"/>
  <c r="AY294" i="24"/>
  <c r="AZ294" i="24" s="1"/>
  <c r="BE294" i="24"/>
  <c r="BT294" i="24" s="1"/>
  <c r="BJ271" i="25"/>
  <c r="AR271" i="25"/>
  <c r="BH271" i="25"/>
  <c r="AP271" i="25"/>
  <c r="BF271" i="25"/>
  <c r="BU271" i="25"/>
  <c r="BW271" i="25"/>
  <c r="AT147" i="25"/>
  <c r="AY147" i="25" s="1"/>
  <c r="AU147" i="25"/>
  <c r="AR149" i="25"/>
  <c r="BJ149" i="25"/>
  <c r="BH149" i="25"/>
  <c r="AP149" i="25"/>
  <c r="BF149" i="25"/>
  <c r="BW149" i="25"/>
  <c r="BU149" i="25"/>
  <c r="AU201" i="24"/>
  <c r="BB201" i="24" s="1"/>
  <c r="AW201" i="24"/>
  <c r="AU231" i="24"/>
  <c r="BB231" i="24" s="1"/>
  <c r="AW231" i="24"/>
  <c r="AU91" i="24"/>
  <c r="BB91" i="24" s="1"/>
  <c r="AW91" i="24"/>
  <c r="AU288" i="24"/>
  <c r="BB288" i="24" s="1"/>
  <c r="AW288" i="24"/>
  <c r="AU229" i="24"/>
  <c r="BB229" i="24" s="1"/>
  <c r="AW229" i="24"/>
  <c r="AU172" i="24"/>
  <c r="BB172" i="24" s="1"/>
  <c r="AW172" i="24"/>
  <c r="AU285" i="24"/>
  <c r="BB285" i="24" s="1"/>
  <c r="AW285" i="24"/>
  <c r="AR219" i="25"/>
  <c r="BH219" i="25"/>
  <c r="AP219" i="25"/>
  <c r="BF219" i="25"/>
  <c r="BW219" i="25"/>
  <c r="BU219" i="25"/>
  <c r="AU302" i="24"/>
  <c r="BB302" i="24" s="1"/>
  <c r="AW302" i="24"/>
  <c r="AR120" i="25"/>
  <c r="BJ120" i="25"/>
  <c r="BH120" i="25"/>
  <c r="AP120" i="25"/>
  <c r="BW120" i="25"/>
  <c r="BF120" i="25"/>
  <c r="BU120" i="25"/>
  <c r="AR234" i="25"/>
  <c r="BJ234" i="25"/>
  <c r="BH234" i="25"/>
  <c r="AP234" i="25"/>
  <c r="BF234" i="25"/>
  <c r="BW234" i="25"/>
  <c r="BU234" i="25"/>
  <c r="AU194" i="24"/>
  <c r="BB194" i="24" s="1"/>
  <c r="AW194" i="24"/>
  <c r="AR164" i="25"/>
  <c r="BH164" i="25"/>
  <c r="AP164" i="25"/>
  <c r="BW164" i="25"/>
  <c r="BU164" i="25"/>
  <c r="BF164" i="25"/>
  <c r="AT204" i="25"/>
  <c r="AY204" i="25" s="1"/>
  <c r="AU204" i="25"/>
  <c r="AU115" i="24"/>
  <c r="BB115" i="24" s="1"/>
  <c r="AW115" i="24"/>
  <c r="AU293" i="24"/>
  <c r="BB293" i="24" s="1"/>
  <c r="AW293" i="24"/>
  <c r="BJ84" i="25"/>
  <c r="AR84" i="25"/>
  <c r="BH84" i="25"/>
  <c r="AP84" i="25"/>
  <c r="BU84" i="25"/>
  <c r="BF84" i="25"/>
  <c r="BW84" i="25"/>
  <c r="AR61" i="25"/>
  <c r="BJ61" i="25"/>
  <c r="BH61" i="25"/>
  <c r="AP61" i="25"/>
  <c r="BF61" i="25"/>
  <c r="BU61" i="25"/>
  <c r="BW61" i="25"/>
  <c r="AR157" i="25"/>
  <c r="BJ157" i="25"/>
  <c r="BH157" i="25"/>
  <c r="AP157" i="25"/>
  <c r="BU157" i="25"/>
  <c r="BW157" i="25"/>
  <c r="BF157" i="25"/>
  <c r="AT186" i="25"/>
  <c r="AY186" i="25" s="1"/>
  <c r="AU186" i="25"/>
  <c r="AW297" i="24"/>
  <c r="AW51" i="24"/>
  <c r="AR51" i="25"/>
  <c r="BJ51" i="25"/>
  <c r="BH51" i="25"/>
  <c r="AP51" i="25"/>
  <c r="BU51" i="25"/>
  <c r="BW51" i="25"/>
  <c r="BF51" i="25"/>
  <c r="AT259" i="25"/>
  <c r="AU259" i="25"/>
  <c r="AU244" i="24"/>
  <c r="BB244" i="24" s="1"/>
  <c r="AW244" i="24"/>
  <c r="AT199" i="25"/>
  <c r="AY199" i="25" s="1"/>
  <c r="AU199" i="25"/>
  <c r="AR60" i="25"/>
  <c r="BH60" i="25"/>
  <c r="AP60" i="25"/>
  <c r="BU60" i="25"/>
  <c r="BF60" i="25"/>
  <c r="BW60" i="25"/>
  <c r="AT247" i="25"/>
  <c r="AU247" i="25"/>
  <c r="AW243" i="24"/>
  <c r="AU251" i="24"/>
  <c r="BB251" i="24" s="1"/>
  <c r="AW251" i="24"/>
  <c r="AU165" i="24"/>
  <c r="BB165" i="24" s="1"/>
  <c r="AW165" i="24"/>
  <c r="AW9" i="24"/>
  <c r="AU96" i="24"/>
  <c r="BB96" i="24" s="1"/>
  <c r="AW96" i="24"/>
  <c r="AW32" i="24"/>
  <c r="AT283" i="25"/>
  <c r="AU283" i="25"/>
  <c r="AU272" i="24"/>
  <c r="BB272" i="24" s="1"/>
  <c r="AW272" i="24"/>
  <c r="AU97" i="24"/>
  <c r="BB97" i="24" s="1"/>
  <c r="AW97" i="24"/>
  <c r="AU141" i="24"/>
  <c r="BB141" i="24" s="1"/>
  <c r="AW141" i="24"/>
  <c r="AU50" i="24"/>
  <c r="BB50" i="24" s="1"/>
  <c r="AW50" i="24"/>
  <c r="AR52" i="25"/>
  <c r="BH52" i="25"/>
  <c r="AP52" i="25"/>
  <c r="BF52" i="25"/>
  <c r="BW52" i="25"/>
  <c r="BU52" i="25"/>
  <c r="BA110" i="25"/>
  <c r="BC110" i="25"/>
  <c r="BT110" i="25" s="1"/>
  <c r="BB110" i="25"/>
  <c r="BS110" i="25" s="1"/>
  <c r="AT192" i="25"/>
  <c r="AY192" i="25" s="1"/>
  <c r="AU192" i="25"/>
  <c r="AU223" i="24"/>
  <c r="BB223" i="24" s="1"/>
  <c r="AW223" i="24"/>
  <c r="AR194" i="25"/>
  <c r="BH194" i="25"/>
  <c r="CE194" i="25"/>
  <c r="BW194" i="25"/>
  <c r="BU194" i="25"/>
  <c r="BF194" i="25"/>
  <c r="AT282" i="25"/>
  <c r="AU282" i="25"/>
  <c r="AW128" i="24"/>
  <c r="AR45" i="25"/>
  <c r="BH45" i="25"/>
  <c r="AP45" i="25"/>
  <c r="BF45" i="25"/>
  <c r="BW45" i="25"/>
  <c r="BU45" i="25"/>
  <c r="AR37" i="25"/>
  <c r="BJ37" i="25"/>
  <c r="BH37" i="25"/>
  <c r="AP37" i="25"/>
  <c r="BF37" i="25"/>
  <c r="BU37" i="25"/>
  <c r="BW37" i="25"/>
  <c r="AR144" i="25"/>
  <c r="BJ144" i="25"/>
  <c r="BH144" i="25"/>
  <c r="AP144" i="25"/>
  <c r="BF144" i="25"/>
  <c r="BW144" i="25"/>
  <c r="BU144" i="25"/>
  <c r="AU65" i="24"/>
  <c r="BB65" i="24" s="1"/>
  <c r="AW65" i="24"/>
  <c r="AT92" i="25"/>
  <c r="AY92" i="25" s="1"/>
  <c r="AU92" i="25"/>
  <c r="AR125" i="25"/>
  <c r="BH125" i="25"/>
  <c r="AP125" i="25"/>
  <c r="BF125" i="25"/>
  <c r="BU125" i="25"/>
  <c r="BW125" i="25"/>
  <c r="AR244" i="25"/>
  <c r="BJ244" i="25"/>
  <c r="BH244" i="25"/>
  <c r="AP244" i="25"/>
  <c r="BU244" i="25"/>
  <c r="BW244" i="25"/>
  <c r="BF244" i="25"/>
  <c r="AR91" i="25"/>
  <c r="BJ91" i="25"/>
  <c r="BH91" i="25"/>
  <c r="AP91" i="25"/>
  <c r="BF91" i="25"/>
  <c r="BW91" i="25"/>
  <c r="BU91" i="25"/>
  <c r="BJ266" i="25"/>
  <c r="AR266" i="25"/>
  <c r="BH266" i="25"/>
  <c r="AP266" i="25"/>
  <c r="BU266" i="25"/>
  <c r="BF266" i="25"/>
  <c r="BW266" i="25"/>
  <c r="AR135" i="25"/>
  <c r="BH135" i="25"/>
  <c r="AP135" i="25"/>
  <c r="BU135" i="25"/>
  <c r="BW135" i="25"/>
  <c r="BF135" i="25"/>
  <c r="AR311" i="25"/>
  <c r="BH311" i="25"/>
  <c r="AP311" i="25"/>
  <c r="BW311" i="25"/>
  <c r="BU311" i="25"/>
  <c r="BF311" i="25"/>
  <c r="AU210" i="24"/>
  <c r="BB210" i="24" s="1"/>
  <c r="AW210" i="24"/>
  <c r="AU208" i="24"/>
  <c r="BB208" i="24" s="1"/>
  <c r="AW208" i="24"/>
  <c r="AU102" i="24"/>
  <c r="BB102" i="24" s="1"/>
  <c r="AW102" i="24"/>
  <c r="AU193" i="24"/>
  <c r="BB193" i="24" s="1"/>
  <c r="AW193" i="24"/>
  <c r="AU15" i="24"/>
  <c r="BB15" i="24" s="1"/>
  <c r="AW15" i="24"/>
  <c r="AT14" i="25"/>
  <c r="AY14" i="25" s="1"/>
  <c r="AU14" i="25"/>
  <c r="AU307" i="24"/>
  <c r="BB307" i="24" s="1"/>
  <c r="AW307" i="24"/>
  <c r="AU113" i="24"/>
  <c r="BB113" i="24" s="1"/>
  <c r="AW113" i="24"/>
  <c r="AR132" i="25"/>
  <c r="BH132" i="25"/>
  <c r="AP132" i="25"/>
  <c r="BF132" i="25"/>
  <c r="BW132" i="25"/>
  <c r="BU132" i="25"/>
  <c r="AU239" i="24"/>
  <c r="BB239" i="24" s="1"/>
  <c r="AW239" i="24"/>
  <c r="AU311" i="24"/>
  <c r="BB311" i="24" s="1"/>
  <c r="AW311" i="24"/>
  <c r="AT82" i="25"/>
  <c r="AY82" i="25" s="1"/>
  <c r="AU82" i="25"/>
  <c r="AU134" i="24"/>
  <c r="BB134" i="24" s="1"/>
  <c r="AW134" i="24"/>
  <c r="AU71" i="24"/>
  <c r="BB71" i="24" s="1"/>
  <c r="AW71" i="24"/>
  <c r="AR260" i="25"/>
  <c r="BJ260" i="25"/>
  <c r="BH260" i="25"/>
  <c r="AP260" i="25"/>
  <c r="BF260" i="25"/>
  <c r="BU260" i="25"/>
  <c r="BW260" i="25"/>
  <c r="AU291" i="24"/>
  <c r="BB291" i="24" s="1"/>
  <c r="AW291" i="24"/>
  <c r="AU85" i="24"/>
  <c r="BB85" i="24" s="1"/>
  <c r="AW85" i="24"/>
  <c r="AU178" i="24"/>
  <c r="BB178" i="24" s="1"/>
  <c r="AW178" i="24"/>
  <c r="AW267" i="24"/>
  <c r="AU105" i="24"/>
  <c r="BB105" i="24" s="1"/>
  <c r="B150" i="2" s="1"/>
  <c r="B151" i="2" s="1"/>
  <c r="E29" i="1" s="1"/>
  <c r="AW105" i="24"/>
  <c r="AR169" i="25"/>
  <c r="BH169" i="25"/>
  <c r="AP169" i="25"/>
  <c r="BF169" i="25"/>
  <c r="BW169" i="25"/>
  <c r="BU169" i="25"/>
  <c r="AT262" i="25"/>
  <c r="AU262" i="25"/>
  <c r="AR301" i="25"/>
  <c r="BJ301" i="25"/>
  <c r="BH301" i="25"/>
  <c r="AP301" i="25"/>
  <c r="BF301" i="25"/>
  <c r="BW301" i="25"/>
  <c r="BU301" i="25"/>
  <c r="BC129" i="25"/>
  <c r="BT129" i="25" s="1"/>
  <c r="BB129" i="25"/>
  <c r="BS129" i="25" s="1"/>
  <c r="BA129" i="25"/>
  <c r="AR85" i="25"/>
  <c r="BJ85" i="25"/>
  <c r="BH85" i="25"/>
  <c r="AP85" i="25"/>
  <c r="BU85" i="25"/>
  <c r="BF85" i="25"/>
  <c r="BW85" i="25"/>
  <c r="AR69" i="25"/>
  <c r="BJ69" i="25"/>
  <c r="BH69" i="25"/>
  <c r="AP69" i="25"/>
  <c r="BF69" i="25"/>
  <c r="BW69" i="25"/>
  <c r="BU69" i="25"/>
  <c r="BE190" i="24"/>
  <c r="BT190" i="24" s="1"/>
  <c r="BD190" i="24"/>
  <c r="AY190" i="24"/>
  <c r="AZ190" i="24" s="1"/>
  <c r="AU204" i="24"/>
  <c r="BB204" i="24" s="1"/>
  <c r="AW204" i="24"/>
  <c r="BE142" i="24"/>
  <c r="BT142" i="24" s="1"/>
  <c r="BD142" i="24"/>
  <c r="AY142" i="24"/>
  <c r="AZ142" i="24" s="1"/>
  <c r="AU199" i="24"/>
  <c r="BB199" i="24" s="1"/>
  <c r="AW199" i="24"/>
  <c r="AR289" i="25"/>
  <c r="BJ289" i="25"/>
  <c r="BH289" i="25"/>
  <c r="AP289" i="25"/>
  <c r="BW289" i="25"/>
  <c r="BU289" i="25"/>
  <c r="BF289" i="25"/>
  <c r="AT292" i="25"/>
  <c r="AU292" i="25"/>
  <c r="AR290" i="25"/>
  <c r="BJ290" i="25"/>
  <c r="BH290" i="25"/>
  <c r="AP290" i="25"/>
  <c r="BU290" i="25"/>
  <c r="BF290" i="25"/>
  <c r="BW290" i="25"/>
  <c r="AT246" i="25"/>
  <c r="AU246" i="25"/>
  <c r="AR197" i="25"/>
  <c r="BH197" i="25"/>
  <c r="BW197" i="25"/>
  <c r="BU197" i="25"/>
  <c r="BF197" i="25"/>
  <c r="AR72" i="25"/>
  <c r="BH72" i="25"/>
  <c r="AP72" i="25"/>
  <c r="BW72" i="25"/>
  <c r="BU72" i="25"/>
  <c r="BF72" i="25"/>
  <c r="AU168" i="24"/>
  <c r="BB168" i="24" s="1"/>
  <c r="AW168" i="24"/>
  <c r="AR251" i="25"/>
  <c r="BJ251" i="25"/>
  <c r="BH251" i="25"/>
  <c r="AP251" i="25"/>
  <c r="BF251" i="25"/>
  <c r="BW251" i="25"/>
  <c r="BU251" i="25"/>
  <c r="AR270" i="25"/>
  <c r="BH270" i="25"/>
  <c r="AP270" i="25"/>
  <c r="BU270" i="25"/>
  <c r="BW270" i="25"/>
  <c r="BF270" i="25"/>
  <c r="AW271" i="24"/>
  <c r="AU43" i="24"/>
  <c r="BB43" i="24" s="1"/>
  <c r="AW43" i="24"/>
  <c r="AR25" i="25"/>
  <c r="BJ25" i="25"/>
  <c r="BH25" i="25"/>
  <c r="AP25" i="25"/>
  <c r="BW25" i="25"/>
  <c r="BF25" i="25"/>
  <c r="BU25" i="25"/>
  <c r="AU309" i="24"/>
  <c r="BB309" i="24" s="1"/>
  <c r="AW309" i="24"/>
  <c r="AR142" i="25"/>
  <c r="BH142" i="25"/>
  <c r="AP142" i="25"/>
  <c r="BF142" i="25"/>
  <c r="BU142" i="25"/>
  <c r="BW142" i="25"/>
  <c r="AU167" i="24"/>
  <c r="BB167" i="24" s="1"/>
  <c r="AW167" i="24"/>
  <c r="AU252" i="24"/>
  <c r="BB252" i="24" s="1"/>
  <c r="AW252" i="24"/>
  <c r="AU300" i="24"/>
  <c r="BB300" i="24" s="1"/>
  <c r="AW300" i="24"/>
  <c r="AW281" i="24"/>
  <c r="AR181" i="25"/>
  <c r="BH181" i="25"/>
  <c r="AP181" i="25"/>
  <c r="BU181" i="25"/>
  <c r="BW181" i="25"/>
  <c r="BF181" i="25"/>
  <c r="AU72" i="24"/>
  <c r="BB72" i="24" s="1"/>
  <c r="AW72" i="24"/>
  <c r="AT177" i="25"/>
  <c r="AY177" i="25" s="1"/>
  <c r="AU177" i="25"/>
  <c r="AU205" i="24"/>
  <c r="BB205" i="24" s="1"/>
  <c r="AW205" i="24"/>
  <c r="AU227" i="24"/>
  <c r="BB227" i="24" s="1"/>
  <c r="AW227" i="24"/>
  <c r="AU187" i="24"/>
  <c r="BB187" i="24" s="1"/>
  <c r="AW187" i="24"/>
  <c r="AU81" i="24"/>
  <c r="BB81" i="24" s="1"/>
  <c r="AW81" i="24"/>
  <c r="BJ225" i="25"/>
  <c r="AR225" i="25"/>
  <c r="BH225" i="25"/>
  <c r="AP225" i="25"/>
  <c r="BF225" i="25"/>
  <c r="BW225" i="25"/>
  <c r="BU225" i="25"/>
  <c r="AR196" i="25"/>
  <c r="BJ196" i="25"/>
  <c r="BH196" i="25"/>
  <c r="BF196" i="25"/>
  <c r="BW196" i="25"/>
  <c r="BU196" i="25"/>
  <c r="AU185" i="24"/>
  <c r="BB185" i="24" s="1"/>
  <c r="AW185" i="24"/>
  <c r="AR68" i="25"/>
  <c r="BH68" i="25"/>
  <c r="AP68" i="25"/>
  <c r="BW68" i="25"/>
  <c r="BU68" i="25"/>
  <c r="BF68" i="25"/>
  <c r="AU310" i="24"/>
  <c r="BB310" i="24" s="1"/>
  <c r="AW310" i="24"/>
  <c r="AR228" i="25"/>
  <c r="BH228" i="25"/>
  <c r="AP228" i="25"/>
  <c r="BU228" i="25"/>
  <c r="BW228" i="25"/>
  <c r="BF228" i="25"/>
  <c r="AR73" i="25"/>
  <c r="BH73" i="25"/>
  <c r="AP73" i="25"/>
  <c r="BF73" i="25"/>
  <c r="BW73" i="25"/>
  <c r="BU73" i="25"/>
  <c r="AR298" i="25"/>
  <c r="BJ298" i="25"/>
  <c r="BH298" i="25"/>
  <c r="AP298" i="25"/>
  <c r="BF298" i="25"/>
  <c r="BU298" i="25"/>
  <c r="BW298" i="25"/>
  <c r="AR47" i="25"/>
  <c r="BJ47" i="25"/>
  <c r="BH47" i="25"/>
  <c r="AP47" i="25"/>
  <c r="BF47" i="25"/>
  <c r="BU47" i="25"/>
  <c r="BW47" i="25"/>
  <c r="AR187" i="25"/>
  <c r="BJ187" i="25"/>
  <c r="BH187" i="25"/>
  <c r="AP187" i="25"/>
  <c r="BW187" i="25"/>
  <c r="BF187" i="25"/>
  <c r="BU187" i="25"/>
  <c r="AR272" i="25"/>
  <c r="BH272" i="25"/>
  <c r="AP272" i="25"/>
  <c r="BF272" i="25"/>
  <c r="BW272" i="25"/>
  <c r="BU272" i="25"/>
  <c r="AU226" i="24"/>
  <c r="BB226" i="24" s="1"/>
  <c r="AW226" i="24"/>
  <c r="AW8" i="24"/>
  <c r="AR118" i="25"/>
  <c r="BH118" i="25"/>
  <c r="AP118" i="25"/>
  <c r="BF118" i="25"/>
  <c r="BW118" i="25"/>
  <c r="BU118" i="25"/>
  <c r="AR98" i="25"/>
  <c r="BJ98" i="25"/>
  <c r="BH98" i="25"/>
  <c r="BW98" i="25"/>
  <c r="BU98" i="25"/>
  <c r="BF98" i="25"/>
  <c r="AR122" i="25"/>
  <c r="BJ122" i="25"/>
  <c r="BH122" i="25"/>
  <c r="AP122" i="25"/>
  <c r="BF122" i="25"/>
  <c r="BU122" i="25"/>
  <c r="BW122" i="25"/>
  <c r="AU60" i="24"/>
  <c r="BB60" i="24" s="1"/>
  <c r="AW60" i="24"/>
  <c r="AT240" i="25"/>
  <c r="AU240" i="25"/>
  <c r="AR74" i="25"/>
  <c r="BH74" i="25"/>
  <c r="AP74" i="25"/>
  <c r="BF74" i="25"/>
  <c r="BU74" i="25"/>
  <c r="BW74" i="25"/>
  <c r="AU306" i="24"/>
  <c r="BB306" i="24" s="1"/>
  <c r="AW306" i="24"/>
  <c r="AR55" i="25"/>
  <c r="BH55" i="25"/>
  <c r="AP55" i="25"/>
  <c r="BF55" i="25"/>
  <c r="BW55" i="25"/>
  <c r="BU55" i="25"/>
  <c r="AR200" i="25"/>
  <c r="BJ200" i="25"/>
  <c r="BH200" i="25"/>
  <c r="BF200" i="25"/>
  <c r="BU200" i="25"/>
  <c r="BW200" i="25"/>
  <c r="AU230" i="24"/>
  <c r="BB230" i="24" s="1"/>
  <c r="AW230" i="24"/>
  <c r="AR54" i="25"/>
  <c r="BJ54" i="25"/>
  <c r="BH54" i="25"/>
  <c r="AP54" i="25"/>
  <c r="BF54" i="25"/>
  <c r="BW54" i="25"/>
  <c r="BU54" i="25"/>
  <c r="AU99" i="24"/>
  <c r="BB99" i="24" s="1"/>
  <c r="AW99" i="24"/>
  <c r="AT198" i="25"/>
  <c r="AY198" i="25" s="1"/>
  <c r="AU198" i="25"/>
  <c r="AR78" i="25"/>
  <c r="BJ78" i="25"/>
  <c r="BH78" i="25"/>
  <c r="AP78" i="25"/>
  <c r="BF78" i="25"/>
  <c r="BW78" i="25"/>
  <c r="BU78" i="25"/>
  <c r="AR191" i="25"/>
  <c r="BH191" i="25"/>
  <c r="AP191" i="25"/>
  <c r="BF191" i="25"/>
  <c r="BU191" i="25"/>
  <c r="BW191" i="25"/>
  <c r="BD22" i="24"/>
  <c r="AY22" i="24"/>
  <c r="AZ22" i="24" s="1"/>
  <c r="BE22" i="24"/>
  <c r="BT22" i="24" s="1"/>
  <c r="AU80" i="24"/>
  <c r="BB80" i="24" s="1"/>
  <c r="AW80" i="24"/>
  <c r="BJ150" i="25"/>
  <c r="AR150" i="25"/>
  <c r="BH150" i="25"/>
  <c r="AP150" i="25"/>
  <c r="BF150" i="25"/>
  <c r="BU150" i="25"/>
  <c r="BW150" i="25"/>
  <c r="AU84" i="24"/>
  <c r="BB84" i="24" s="1"/>
  <c r="AW84" i="24"/>
  <c r="AU166" i="24"/>
  <c r="BB166" i="24" s="1"/>
  <c r="AW166" i="24"/>
  <c r="AU316" i="24"/>
  <c r="BB316" i="24" s="1"/>
  <c r="AW316" i="24"/>
  <c r="AR116" i="25"/>
  <c r="BH116" i="25"/>
  <c r="AP116" i="25"/>
  <c r="BW116" i="25"/>
  <c r="BF116" i="25"/>
  <c r="BU116" i="25"/>
  <c r="AU150" i="24"/>
  <c r="BB150" i="24" s="1"/>
  <c r="AW150" i="24"/>
  <c r="AR226" i="25"/>
  <c r="BJ226" i="25"/>
  <c r="BH226" i="25"/>
  <c r="AP226" i="25"/>
  <c r="BU226" i="25"/>
  <c r="BW226" i="25"/>
  <c r="BF226" i="25"/>
  <c r="AR88" i="25"/>
  <c r="BH88" i="25"/>
  <c r="AP88" i="25"/>
  <c r="BW88" i="25"/>
  <c r="BU88" i="25"/>
  <c r="BF88" i="25"/>
  <c r="AR302" i="25"/>
  <c r="BH302" i="25"/>
  <c r="AP302" i="25"/>
  <c r="BW302" i="25"/>
  <c r="BF302" i="25"/>
  <c r="BU302" i="25"/>
  <c r="AR64" i="25"/>
  <c r="BH64" i="25"/>
  <c r="AP64" i="25"/>
  <c r="BF64" i="25"/>
  <c r="BW64" i="25"/>
  <c r="BU64" i="25"/>
  <c r="AU268" i="24"/>
  <c r="BB268" i="24" s="1"/>
  <c r="AW268" i="24"/>
  <c r="AW155" i="24"/>
  <c r="AU171" i="24"/>
  <c r="BB171" i="24" s="1"/>
  <c r="AW171" i="24"/>
  <c r="AT190" i="25"/>
  <c r="AY190" i="25" s="1"/>
  <c r="AU190" i="25"/>
  <c r="AT305" i="25"/>
  <c r="AU305" i="25"/>
  <c r="AW59" i="24"/>
  <c r="AR245" i="25"/>
  <c r="BH245" i="25"/>
  <c r="AP245" i="25"/>
  <c r="BF245" i="25"/>
  <c r="BW245" i="25"/>
  <c r="BU245" i="25"/>
  <c r="AR288" i="25"/>
  <c r="BJ288" i="25"/>
  <c r="BH288" i="25"/>
  <c r="AP288" i="25"/>
  <c r="BF288" i="25"/>
  <c r="BW288" i="25"/>
  <c r="BU288" i="25"/>
  <c r="AR223" i="25"/>
  <c r="BH223" i="25"/>
  <c r="AP223" i="25"/>
  <c r="BF223" i="25"/>
  <c r="BW223" i="25"/>
  <c r="BU223" i="25"/>
  <c r="AR315" i="25"/>
  <c r="BH315" i="25"/>
  <c r="AP315" i="25"/>
  <c r="BU315" i="25"/>
  <c r="BW315" i="25"/>
  <c r="BF315" i="25"/>
  <c r="AR278" i="25"/>
  <c r="BJ278" i="25"/>
  <c r="BH278" i="25"/>
  <c r="AP278" i="25"/>
  <c r="BF278" i="25"/>
  <c r="BW278" i="25"/>
  <c r="BU278" i="25"/>
  <c r="BJ139" i="25"/>
  <c r="AR139" i="25"/>
  <c r="BH139" i="25"/>
  <c r="AP139" i="25"/>
  <c r="BU139" i="25"/>
  <c r="BW139" i="25"/>
  <c r="BF139" i="25"/>
  <c r="AR136" i="25"/>
  <c r="BJ136" i="25"/>
  <c r="BH136" i="25"/>
  <c r="AP136" i="25"/>
  <c r="BF136" i="25"/>
  <c r="BW136" i="25"/>
  <c r="BU136" i="25"/>
  <c r="AU23" i="24"/>
  <c r="BB23" i="24" s="1"/>
  <c r="AW23" i="24"/>
  <c r="AU94" i="24"/>
  <c r="BB94" i="24" s="1"/>
  <c r="AW94" i="24"/>
  <c r="AU189" i="24"/>
  <c r="BB189" i="24" s="1"/>
  <c r="AW189" i="24"/>
  <c r="AT243" i="25"/>
  <c r="AU243" i="25"/>
  <c r="AU144" i="24"/>
  <c r="BB144" i="24" s="1"/>
  <c r="AW144" i="24"/>
  <c r="AR145" i="25"/>
  <c r="BJ145" i="25"/>
  <c r="BH145" i="25"/>
  <c r="AP145" i="25"/>
  <c r="BW145" i="25"/>
  <c r="BU145" i="25"/>
  <c r="BF145" i="25"/>
  <c r="AU170" i="24"/>
  <c r="BB170" i="24" s="1"/>
  <c r="AW170" i="24"/>
  <c r="AU315" i="24"/>
  <c r="BB315" i="24" s="1"/>
  <c r="AW315" i="24"/>
  <c r="AW123" i="24"/>
  <c r="AT21" i="25"/>
  <c r="AY21" i="25" s="1"/>
  <c r="AU21" i="25"/>
  <c r="AR221" i="25"/>
  <c r="BH221" i="25"/>
  <c r="AP221" i="25"/>
  <c r="BU221" i="25"/>
  <c r="BW221" i="25"/>
  <c r="BF221" i="25"/>
  <c r="AU200" i="24"/>
  <c r="BB200" i="24" s="1"/>
  <c r="AW200" i="24"/>
  <c r="AU124" i="24"/>
  <c r="BB124" i="24" s="1"/>
  <c r="AW124" i="24"/>
  <c r="BE55" i="24"/>
  <c r="BT55" i="24" s="1"/>
  <c r="BD55" i="24"/>
  <c r="AY55" i="24"/>
  <c r="AZ55" i="24" s="1"/>
  <c r="AR180" i="25"/>
  <c r="BH180" i="25"/>
  <c r="AP180" i="25"/>
  <c r="BU180" i="25"/>
  <c r="BW180" i="25"/>
  <c r="BF180" i="25"/>
  <c r="AU89" i="24"/>
  <c r="BB89" i="24" s="1"/>
  <c r="AW89" i="24"/>
  <c r="AW125" i="24"/>
  <c r="AU256" i="24"/>
  <c r="BB256" i="24" s="1"/>
  <c r="AW256" i="24"/>
  <c r="AW35" i="24"/>
  <c r="AR203" i="25"/>
  <c r="BJ203" i="25"/>
  <c r="BH203" i="25"/>
  <c r="BF203" i="25"/>
  <c r="BW203" i="25"/>
  <c r="BU203" i="25"/>
  <c r="AU62" i="24"/>
  <c r="BB62" i="24" s="1"/>
  <c r="AW62" i="24"/>
  <c r="AR168" i="25"/>
  <c r="BH168" i="25"/>
  <c r="AP168" i="25"/>
  <c r="BF168" i="25"/>
  <c r="BW168" i="25"/>
  <c r="BU168" i="25"/>
  <c r="AR297" i="25"/>
  <c r="BJ297" i="25"/>
  <c r="BH297" i="25"/>
  <c r="AP297" i="25"/>
  <c r="BW297" i="25"/>
  <c r="BF297" i="25"/>
  <c r="BU297" i="25"/>
  <c r="AU61" i="24"/>
  <c r="BB61" i="24" s="1"/>
  <c r="AW61" i="24"/>
  <c r="AU183" i="24"/>
  <c r="BB183" i="24" s="1"/>
  <c r="AW183" i="24"/>
  <c r="AR100" i="25"/>
  <c r="BH100" i="25"/>
  <c r="BW100" i="25"/>
  <c r="BF100" i="25"/>
  <c r="BU100" i="25"/>
  <c r="AU13" i="24"/>
  <c r="BB13" i="24" s="1"/>
  <c r="AW13" i="24"/>
  <c r="AR176" i="25"/>
  <c r="BH176" i="25"/>
  <c r="AP176" i="25"/>
  <c r="BF176" i="25"/>
  <c r="BU176" i="25"/>
  <c r="BW176" i="25"/>
  <c r="AU304" i="24"/>
  <c r="BB304" i="24" s="1"/>
  <c r="AW304" i="24"/>
  <c r="AU308" i="24"/>
  <c r="BB308" i="24" s="1"/>
  <c r="AW308" i="24"/>
  <c r="AU163" i="24"/>
  <c r="BB163" i="24" s="1"/>
  <c r="AW163" i="24"/>
  <c r="AR115" i="25"/>
  <c r="BH115" i="25"/>
  <c r="AP115" i="25"/>
  <c r="BW115" i="25"/>
  <c r="BF115" i="25"/>
  <c r="BU115" i="25"/>
  <c r="AR126" i="25"/>
  <c r="BJ126" i="25"/>
  <c r="BH126" i="25"/>
  <c r="AP126" i="25"/>
  <c r="BU126" i="25"/>
  <c r="BW126" i="25"/>
  <c r="BF126" i="25"/>
  <c r="AT71" i="25"/>
  <c r="AY71" i="25" s="1"/>
  <c r="AU71" i="25"/>
  <c r="AU276" i="24"/>
  <c r="BB276" i="24" s="1"/>
  <c r="AW276" i="24"/>
  <c r="AR295" i="25"/>
  <c r="BH295" i="25"/>
  <c r="AP295" i="25"/>
  <c r="BF295" i="25"/>
  <c r="BW295" i="25"/>
  <c r="BU295" i="25"/>
  <c r="AT276" i="25"/>
  <c r="AU276" i="25"/>
  <c r="AR284" i="25"/>
  <c r="BH284" i="25"/>
  <c r="AP284" i="25"/>
  <c r="BW284" i="25"/>
  <c r="BU284" i="25"/>
  <c r="BF284" i="25"/>
  <c r="AW249" i="24"/>
  <c r="AR117" i="25"/>
  <c r="BH117" i="25"/>
  <c r="AP117" i="25"/>
  <c r="BW117" i="25"/>
  <c r="BU117" i="25"/>
  <c r="BF117" i="25"/>
  <c r="AT6" i="25"/>
  <c r="AY6" i="25" s="1"/>
  <c r="AU6" i="25"/>
  <c r="AU195" i="24"/>
  <c r="BB195" i="24" s="1"/>
  <c r="AW195" i="24"/>
  <c r="AR162" i="25"/>
  <c r="BH162" i="25"/>
  <c r="AP162" i="25"/>
  <c r="BU162" i="25"/>
  <c r="BF162" i="25"/>
  <c r="BW162" i="25"/>
  <c r="AU161" i="24"/>
  <c r="BB161" i="24" s="1"/>
  <c r="AW161" i="24"/>
  <c r="AR133" i="25"/>
  <c r="BJ133" i="25"/>
  <c r="BH133" i="25"/>
  <c r="AP133" i="25"/>
  <c r="BF133" i="25"/>
  <c r="BU133" i="25"/>
  <c r="BW133" i="25"/>
  <c r="AU131" i="24"/>
  <c r="BB131" i="24" s="1"/>
  <c r="AW131" i="24"/>
  <c r="AT87" i="25"/>
  <c r="AY87" i="25" s="1"/>
  <c r="AU87" i="25"/>
  <c r="AT28" i="25"/>
  <c r="AY28" i="25" s="1"/>
  <c r="AU28" i="25"/>
  <c r="AW263" i="24"/>
  <c r="AR99" i="25"/>
  <c r="BH99" i="25"/>
  <c r="BU99" i="25"/>
  <c r="BF99" i="25"/>
  <c r="BW99" i="25"/>
  <c r="AY264" i="24"/>
  <c r="AZ264" i="24" s="1"/>
  <c r="BD264" i="24"/>
  <c r="BE264" i="24"/>
  <c r="BT264" i="24" s="1"/>
  <c r="AR287" i="25"/>
  <c r="BH287" i="25"/>
  <c r="AP287" i="25"/>
  <c r="BU287" i="25"/>
  <c r="BF287" i="25"/>
  <c r="BW287" i="25"/>
  <c r="AU146" i="24"/>
  <c r="BB146" i="24" s="1"/>
  <c r="AW146" i="24"/>
  <c r="AR138" i="25"/>
  <c r="BH138" i="25"/>
  <c r="AP138" i="25"/>
  <c r="BF138" i="25"/>
  <c r="BW138" i="25"/>
  <c r="BU138" i="25"/>
  <c r="AU270" i="24"/>
  <c r="BB270" i="24" s="1"/>
  <c r="AW270" i="24"/>
  <c r="AT167" i="25"/>
  <c r="AY167" i="25" s="1"/>
  <c r="AU167" i="25"/>
  <c r="AU158" i="24"/>
  <c r="BB158" i="24" s="1"/>
  <c r="AW158" i="24"/>
  <c r="AY7" i="24"/>
  <c r="AZ7" i="24" s="1"/>
  <c r="BE7" i="24"/>
  <c r="BT7" i="24" s="1"/>
  <c r="BD7" i="24"/>
  <c r="AU180" i="24"/>
  <c r="BB180" i="24" s="1"/>
  <c r="AW180" i="24"/>
  <c r="AW145" i="24"/>
  <c r="AU29" i="24"/>
  <c r="BB29" i="24" s="1"/>
  <c r="AW29" i="24"/>
  <c r="AR202" i="25"/>
  <c r="BJ202" i="25"/>
  <c r="BH202" i="25"/>
  <c r="BF202" i="25"/>
  <c r="BW202" i="25"/>
  <c r="BU202" i="25"/>
  <c r="AR44" i="25"/>
  <c r="BJ44" i="25"/>
  <c r="BH44" i="25"/>
  <c r="AP44" i="25"/>
  <c r="BW44" i="25"/>
  <c r="BU44" i="25"/>
  <c r="BF44" i="25"/>
  <c r="AT306" i="25"/>
  <c r="AU306" i="25"/>
  <c r="BJ101" i="25"/>
  <c r="AR101" i="25"/>
  <c r="BH101" i="25"/>
  <c r="BF101" i="25"/>
  <c r="BW101" i="25"/>
  <c r="BU101" i="25"/>
  <c r="AU143" i="24"/>
  <c r="BB143" i="24" s="1"/>
  <c r="AW143" i="24"/>
  <c r="AU82" i="24"/>
  <c r="BB82" i="24" s="1"/>
  <c r="AW82" i="24"/>
  <c r="AR172" i="25"/>
  <c r="BH172" i="25"/>
  <c r="AP172" i="25"/>
  <c r="BF172" i="25"/>
  <c r="BW172" i="25"/>
  <c r="BU172" i="25"/>
  <c r="AR316" i="25"/>
  <c r="BH316" i="25"/>
  <c r="AP316" i="25"/>
  <c r="BF316" i="25"/>
  <c r="BU316" i="25"/>
  <c r="BW316" i="25"/>
  <c r="AT255" i="25"/>
  <c r="AU255" i="25"/>
  <c r="AU169" i="24"/>
  <c r="BB169" i="24" s="1"/>
  <c r="AW169" i="24"/>
  <c r="AR156" i="25"/>
  <c r="BH156" i="25"/>
  <c r="AP156" i="25"/>
  <c r="BU156" i="25"/>
  <c r="BW156" i="25"/>
  <c r="BF156" i="25"/>
  <c r="AU68" i="24"/>
  <c r="BB68" i="24" s="1"/>
  <c r="AW68" i="24"/>
  <c r="AR216" i="25"/>
  <c r="BH216" i="25"/>
  <c r="AP216" i="25"/>
  <c r="BF216" i="25"/>
  <c r="BW216" i="25"/>
  <c r="BU216" i="25"/>
  <c r="AT158" i="25"/>
  <c r="AY158" i="25" s="1"/>
  <c r="AU158" i="25"/>
  <c r="AW129" i="24"/>
  <c r="AU86" i="24"/>
  <c r="BB86" i="24" s="1"/>
  <c r="AW86" i="24"/>
  <c r="AW290" i="24"/>
  <c r="AR185" i="25"/>
  <c r="BH185" i="25"/>
  <c r="AP185" i="25"/>
  <c r="BF185" i="25"/>
  <c r="BW185" i="25"/>
  <c r="BU185" i="25"/>
  <c r="AR281" i="25"/>
  <c r="BJ281" i="25"/>
  <c r="BH281" i="25"/>
  <c r="AP281" i="25"/>
  <c r="BU281" i="25"/>
  <c r="BW281" i="25"/>
  <c r="BF281" i="25"/>
  <c r="AU289" i="24"/>
  <c r="BB289" i="24" s="1"/>
  <c r="AW289" i="24"/>
  <c r="AU64" i="24"/>
  <c r="BB64" i="24" s="1"/>
  <c r="AW64" i="24"/>
  <c r="AT261" i="25"/>
  <c r="AU261" i="25"/>
  <c r="AU174" i="24"/>
  <c r="BB174" i="24" s="1"/>
  <c r="AW174" i="24"/>
  <c r="AU221" i="24"/>
  <c r="BB221" i="24" s="1"/>
  <c r="AW221" i="24"/>
  <c r="AR48" i="25"/>
  <c r="BH48" i="25"/>
  <c r="AP48" i="25"/>
  <c r="BF48" i="25"/>
  <c r="BU48" i="25"/>
  <c r="BW48" i="25"/>
  <c r="AU192" i="24"/>
  <c r="BB192" i="24" s="1"/>
  <c r="AW192" i="24"/>
  <c r="AT229" i="25"/>
  <c r="AU229" i="25"/>
  <c r="AU156" i="24"/>
  <c r="BB156" i="24" s="1"/>
  <c r="AW156" i="24"/>
  <c r="AR57" i="25"/>
  <c r="BH57" i="25"/>
  <c r="AP57" i="25"/>
  <c r="BF57" i="25"/>
  <c r="BU57" i="25"/>
  <c r="BW57" i="25"/>
  <c r="AU149" i="24"/>
  <c r="BB149" i="24" s="1"/>
  <c r="AW149" i="24"/>
  <c r="AR220" i="25"/>
  <c r="BJ220" i="25"/>
  <c r="BH220" i="25"/>
  <c r="AP220" i="25"/>
  <c r="BF220" i="25"/>
  <c r="BW220" i="25"/>
  <c r="BU220" i="25"/>
  <c r="BE132" i="24"/>
  <c r="BT132" i="24" s="1"/>
  <c r="BD132" i="24"/>
  <c r="AY132" i="24"/>
  <c r="AZ132" i="24" s="1"/>
  <c r="AT174" i="25"/>
  <c r="AY174" i="25" s="1"/>
  <c r="AU174" i="25"/>
  <c r="AT32" i="25"/>
  <c r="AY32" i="25" s="1"/>
  <c r="AU32" i="25"/>
  <c r="AT94" i="25"/>
  <c r="AY94" i="25" s="1"/>
  <c r="AU94" i="25"/>
  <c r="AR210" i="25"/>
  <c r="BJ210" i="25"/>
  <c r="BH210" i="25"/>
  <c r="BF210" i="25"/>
  <c r="BU210" i="25"/>
  <c r="BW210" i="25"/>
  <c r="AR182" i="25"/>
  <c r="BH182" i="25"/>
  <c r="AP182" i="25"/>
  <c r="BF182" i="25"/>
  <c r="BW182" i="25"/>
  <c r="BU182" i="25"/>
  <c r="AU277" i="24"/>
  <c r="BB277" i="24" s="1"/>
  <c r="AW277" i="24"/>
  <c r="AU154" i="24"/>
  <c r="BB154" i="24" s="1"/>
  <c r="AW154" i="24"/>
  <c r="AW17" i="24"/>
  <c r="BJ39" i="25"/>
  <c r="AR39" i="25"/>
  <c r="BH39" i="25"/>
  <c r="AP39" i="25"/>
  <c r="BF39" i="25"/>
  <c r="BU39" i="25"/>
  <c r="BW39" i="25"/>
  <c r="AW301" i="24"/>
  <c r="AR26" i="25"/>
  <c r="BJ26" i="25"/>
  <c r="BH26" i="25"/>
  <c r="AP26" i="25"/>
  <c r="BF26" i="25"/>
  <c r="BW26" i="25"/>
  <c r="BU26" i="25"/>
  <c r="AR163" i="25"/>
  <c r="BH163" i="25"/>
  <c r="AP163" i="25"/>
  <c r="BU163" i="25"/>
  <c r="BW163" i="25"/>
  <c r="BF163" i="25"/>
  <c r="AW274" i="24"/>
  <c r="AU69" i="24"/>
  <c r="BB69" i="24" s="1"/>
  <c r="AW69" i="24"/>
  <c r="AU27" i="24"/>
  <c r="BB27" i="24" s="1"/>
  <c r="AW27" i="24"/>
  <c r="AR299" i="25"/>
  <c r="BH299" i="25"/>
  <c r="AP299" i="25"/>
  <c r="BU299" i="25"/>
  <c r="BF299" i="25"/>
  <c r="BW299" i="25"/>
  <c r="AT273" i="25"/>
  <c r="AU273" i="25"/>
  <c r="AW273" i="24"/>
  <c r="AR81" i="25"/>
  <c r="BH81" i="25"/>
  <c r="AP81" i="25"/>
  <c r="BF81" i="25"/>
  <c r="BW81" i="25"/>
  <c r="BU81" i="25"/>
  <c r="AW48" i="24"/>
  <c r="BJ76" i="25"/>
  <c r="AR76" i="25"/>
  <c r="BH76" i="25"/>
  <c r="AP76" i="25"/>
  <c r="BF76" i="25"/>
  <c r="BU76" i="25"/>
  <c r="BW76" i="25"/>
  <c r="AR134" i="25"/>
  <c r="BJ134" i="25"/>
  <c r="BH134" i="25"/>
  <c r="AP134" i="25"/>
  <c r="BW134" i="25"/>
  <c r="BU134" i="25"/>
  <c r="BF134" i="25"/>
  <c r="AR38" i="25"/>
  <c r="BJ38" i="25"/>
  <c r="BH38" i="25"/>
  <c r="AP38" i="25"/>
  <c r="BF38" i="25"/>
  <c r="BW38" i="25"/>
  <c r="BU38" i="25"/>
  <c r="AU75" i="24"/>
  <c r="BB75" i="24" s="1"/>
  <c r="AW75" i="24"/>
  <c r="AR224" i="25"/>
  <c r="BJ224" i="25"/>
  <c r="BH224" i="25"/>
  <c r="AP224" i="25"/>
  <c r="BU224" i="25"/>
  <c r="BW224" i="25"/>
  <c r="BF224" i="25"/>
  <c r="AU217" i="24"/>
  <c r="BB217" i="24" s="1"/>
  <c r="AW217" i="24"/>
  <c r="AR70" i="25"/>
  <c r="BJ70" i="25"/>
  <c r="BH70" i="25"/>
  <c r="AP70" i="25"/>
  <c r="BF70" i="25"/>
  <c r="BW70" i="25"/>
  <c r="BU70" i="25"/>
  <c r="BD44" i="24"/>
  <c r="BE44" i="24"/>
  <c r="BT44" i="24" s="1"/>
  <c r="AY44" i="24"/>
  <c r="AZ44" i="24" s="1"/>
  <c r="AT296" i="25"/>
  <c r="AU296" i="25"/>
  <c r="AU76" i="24"/>
  <c r="BB76" i="24" s="1"/>
  <c r="AW76" i="24"/>
  <c r="AR151" i="25"/>
  <c r="BH151" i="25"/>
  <c r="AP151" i="25"/>
  <c r="BF151" i="25"/>
  <c r="BU151" i="25"/>
  <c r="BW151" i="25"/>
  <c r="AT189" i="25"/>
  <c r="AY189" i="25" s="1"/>
  <c r="AU189" i="25"/>
  <c r="AR140" i="25"/>
  <c r="BJ140" i="25"/>
  <c r="BH140" i="25"/>
  <c r="AP140" i="25"/>
  <c r="BF140" i="25"/>
  <c r="BU140" i="25"/>
  <c r="BW140" i="25"/>
  <c r="BE101" i="24"/>
  <c r="BT101" i="24" s="1"/>
  <c r="BD101" i="24"/>
  <c r="AY101" i="24"/>
  <c r="AZ101" i="24" s="1"/>
  <c r="AR254" i="25"/>
  <c r="BJ254" i="25"/>
  <c r="BH254" i="25"/>
  <c r="AP254" i="25"/>
  <c r="BF254" i="25"/>
  <c r="BW254" i="25"/>
  <c r="BU254" i="25"/>
  <c r="AT293" i="25"/>
  <c r="AU293" i="25"/>
  <c r="AW269" i="24"/>
  <c r="AU312" i="24"/>
  <c r="BB312" i="24" s="1"/>
  <c r="AW312" i="24"/>
  <c r="AU198" i="24"/>
  <c r="BB198" i="24" s="1"/>
  <c r="AW198" i="24"/>
  <c r="AR130" i="25"/>
  <c r="BH130" i="25"/>
  <c r="AP130" i="25"/>
  <c r="BF130" i="25"/>
  <c r="BU130" i="25"/>
  <c r="BW130" i="25"/>
  <c r="AR279" i="25"/>
  <c r="BH279" i="25"/>
  <c r="AP279" i="25"/>
  <c r="BF279" i="25"/>
  <c r="BU279" i="25"/>
  <c r="BW279" i="25"/>
  <c r="AR308" i="25"/>
  <c r="BJ308" i="25"/>
  <c r="BH308" i="25"/>
  <c r="AP308" i="25"/>
  <c r="BW308" i="25"/>
  <c r="BU308" i="25"/>
  <c r="BF308" i="25"/>
  <c r="AU151" i="24"/>
  <c r="BB151" i="24" s="1"/>
  <c r="AW151" i="24"/>
  <c r="AU176" i="24"/>
  <c r="BB176" i="24" s="1"/>
  <c r="AW176" i="24"/>
  <c r="AU182" i="24"/>
  <c r="BB182" i="24" s="1"/>
  <c r="AW182" i="24"/>
  <c r="BJ66" i="25"/>
  <c r="AR66" i="25"/>
  <c r="BH66" i="25"/>
  <c r="AP66" i="25"/>
  <c r="BF66" i="25"/>
  <c r="BU66" i="25"/>
  <c r="BW66" i="25"/>
  <c r="AT148" i="25"/>
  <c r="AY148" i="25" s="1"/>
  <c r="AU148" i="25"/>
  <c r="AU98" i="24"/>
  <c r="BB98" i="24" s="1"/>
  <c r="AW98" i="24"/>
  <c r="AU287" i="24"/>
  <c r="BB287" i="24" s="1"/>
  <c r="AW287" i="24"/>
  <c r="AR304" i="25"/>
  <c r="BJ304" i="25"/>
  <c r="BH304" i="25"/>
  <c r="AP304" i="25"/>
  <c r="BW304" i="25"/>
  <c r="BU304" i="25"/>
  <c r="BF304" i="25"/>
  <c r="AT201" i="25"/>
  <c r="AY201" i="25" s="1"/>
  <c r="AU201" i="25"/>
  <c r="AT155" i="25" l="1"/>
  <c r="AY155" i="25" s="1"/>
  <c r="E84" i="1"/>
  <c r="E85" i="1" s="1"/>
  <c r="AU11" i="25"/>
  <c r="BC11" i="25" s="1"/>
  <c r="BT11" i="25" s="1"/>
  <c r="AT104" i="25"/>
  <c r="AY104" i="25" s="1"/>
  <c r="AT96" i="25"/>
  <c r="AY96" i="25" s="1"/>
  <c r="AT258" i="25"/>
  <c r="BD12" i="24"/>
  <c r="BG12" i="24" s="1"/>
  <c r="BM12" i="24" s="1"/>
  <c r="AU97" i="25"/>
  <c r="BB97" i="25" s="1"/>
  <c r="BS97" i="25" s="1"/>
  <c r="BE240" i="24"/>
  <c r="BT240" i="24" s="1"/>
  <c r="BD283" i="24"/>
  <c r="BS283" i="24" s="1"/>
  <c r="BD147" i="24"/>
  <c r="BG147" i="24" s="1"/>
  <c r="AY147" i="24"/>
  <c r="AZ147" i="24" s="1"/>
  <c r="BX292" i="24"/>
  <c r="AT179" i="25"/>
  <c r="AY179" i="25" s="1"/>
  <c r="AU265" i="25"/>
  <c r="BB265" i="25" s="1"/>
  <c r="BS265" i="25" s="1"/>
  <c r="BD18" i="24"/>
  <c r="BS18" i="24" s="1"/>
  <c r="BV18" i="24" s="1"/>
  <c r="BX18" i="24" s="1"/>
  <c r="AU154" i="25"/>
  <c r="BB154" i="25" s="1"/>
  <c r="BS154" i="25" s="1"/>
  <c r="BE259" i="24"/>
  <c r="BT259" i="24" s="1"/>
  <c r="BE283" i="24"/>
  <c r="BT283" i="24" s="1"/>
  <c r="BD219" i="24"/>
  <c r="BG219" i="24" s="1"/>
  <c r="BE219" i="24"/>
  <c r="BT219" i="24" s="1"/>
  <c r="BE260" i="24"/>
  <c r="BT260" i="24" s="1"/>
  <c r="BE265" i="24"/>
  <c r="BT265" i="24" s="1"/>
  <c r="AY260" i="24"/>
  <c r="AZ260" i="24" s="1"/>
  <c r="BD265" i="24"/>
  <c r="BG265" i="24" s="1"/>
  <c r="AY12" i="24"/>
  <c r="AZ12" i="24" s="1"/>
  <c r="BE111" i="24"/>
  <c r="BT111" i="24" s="1"/>
  <c r="AY111" i="24"/>
  <c r="AZ111" i="24" s="1"/>
  <c r="BE120" i="24"/>
  <c r="BT120" i="24" s="1"/>
  <c r="AY305" i="24"/>
  <c r="AZ305" i="24" s="1"/>
  <c r="BD120" i="24"/>
  <c r="BS120" i="24" s="1"/>
  <c r="AY18" i="24"/>
  <c r="AZ18" i="24" s="1"/>
  <c r="AY259" i="24"/>
  <c r="AZ259" i="24" s="1"/>
  <c r="AY240" i="24"/>
  <c r="AZ240" i="24" s="1"/>
  <c r="BE242" i="24"/>
  <c r="BT242" i="24" s="1"/>
  <c r="BD242" i="24"/>
  <c r="BG242" i="24" s="1"/>
  <c r="BE135" i="24"/>
  <c r="BT135" i="24" s="1"/>
  <c r="AY135" i="24"/>
  <c r="AZ135" i="24" s="1"/>
  <c r="BD295" i="24"/>
  <c r="BG295" i="24" s="1"/>
  <c r="BE295" i="24"/>
  <c r="BT295" i="24" s="1"/>
  <c r="BD298" i="24"/>
  <c r="BG298" i="24" s="1"/>
  <c r="AY298" i="24"/>
  <c r="AZ298" i="24" s="1"/>
  <c r="BE26" i="24"/>
  <c r="BT26" i="24" s="1"/>
  <c r="BD112" i="24"/>
  <c r="BG112" i="24" s="1"/>
  <c r="AY248" i="24"/>
  <c r="AZ248" i="24" s="1"/>
  <c r="BD121" i="24"/>
  <c r="BS121" i="24" s="1"/>
  <c r="BE121" i="24"/>
  <c r="BT121" i="24" s="1"/>
  <c r="BD34" i="24"/>
  <c r="BG34" i="24" s="1"/>
  <c r="BM34" i="24" s="1"/>
  <c r="AY19" i="24"/>
  <c r="AZ19" i="24" s="1"/>
  <c r="BE247" i="24"/>
  <c r="BT247" i="24" s="1"/>
  <c r="BE19" i="24"/>
  <c r="BT19" i="24" s="1"/>
  <c r="AY279" i="24"/>
  <c r="AZ279" i="24" s="1"/>
  <c r="BD279" i="24"/>
  <c r="BG279" i="24" s="1"/>
  <c r="BE117" i="24"/>
  <c r="BT117" i="24" s="1"/>
  <c r="BD253" i="24"/>
  <c r="BG253" i="24" s="1"/>
  <c r="AY253" i="24"/>
  <c r="AZ253" i="24" s="1"/>
  <c r="BE296" i="24"/>
  <c r="BT296" i="24" s="1"/>
  <c r="BD296" i="24"/>
  <c r="BG296" i="24" s="1"/>
  <c r="BD26" i="24"/>
  <c r="BS26" i="24" s="1"/>
  <c r="AY228" i="24"/>
  <c r="AZ228" i="24" s="1"/>
  <c r="BD20" i="24"/>
  <c r="BG20" i="24" s="1"/>
  <c r="BM20" i="24" s="1"/>
  <c r="BD247" i="24"/>
  <c r="BG247" i="24" s="1"/>
  <c r="BD232" i="24"/>
  <c r="BG232" i="24" s="1"/>
  <c r="AY232" i="24"/>
  <c r="AZ232" i="24" s="1"/>
  <c r="AY20" i="24"/>
  <c r="AZ20" i="24" s="1"/>
  <c r="BE34" i="24"/>
  <c r="BT34" i="24" s="1"/>
  <c r="BD228" i="24"/>
  <c r="BS228" i="24" s="1"/>
  <c r="BX228" i="24" s="1"/>
  <c r="BE130" i="24"/>
  <c r="BT130" i="24" s="1"/>
  <c r="BD130" i="24"/>
  <c r="BG130" i="24" s="1"/>
  <c r="BD28" i="24"/>
  <c r="BS28" i="24" s="1"/>
  <c r="BV28" i="24" s="1"/>
  <c r="BX28" i="24" s="1"/>
  <c r="BD238" i="24"/>
  <c r="BG238" i="24" s="1"/>
  <c r="AY280" i="24"/>
  <c r="AZ280" i="24" s="1"/>
  <c r="AY28" i="24"/>
  <c r="AZ28" i="24" s="1"/>
  <c r="BE238" i="24"/>
  <c r="BT238" i="24" s="1"/>
  <c r="AY33" i="24"/>
  <c r="AZ33" i="24" s="1"/>
  <c r="BD280" i="24"/>
  <c r="BG280" i="24" s="1"/>
  <c r="AY6" i="24"/>
  <c r="AZ6" i="24" s="1"/>
  <c r="BE152" i="24"/>
  <c r="BT152" i="24" s="1"/>
  <c r="BD152" i="24"/>
  <c r="BS152" i="24" s="1"/>
  <c r="AY282" i="24"/>
  <c r="AZ282" i="24" s="1"/>
  <c r="AT237" i="25"/>
  <c r="AU237" i="25"/>
  <c r="AS212" i="25"/>
  <c r="AF212" i="25"/>
  <c r="AE212" i="25"/>
  <c r="BD282" i="24"/>
  <c r="BG282" i="24" s="1"/>
  <c r="BE6" i="24"/>
  <c r="BT6" i="24" s="1"/>
  <c r="BE112" i="24"/>
  <c r="BT112" i="24" s="1"/>
  <c r="AY224" i="24"/>
  <c r="AZ224" i="24" s="1"/>
  <c r="BD117" i="24"/>
  <c r="BG117" i="24" s="1"/>
  <c r="BD224" i="24"/>
  <c r="BS224" i="24" s="1"/>
  <c r="BX224" i="24" s="1"/>
  <c r="BE58" i="24"/>
  <c r="BT58" i="24" s="1"/>
  <c r="BD299" i="24"/>
  <c r="BG299" i="24" s="1"/>
  <c r="BD148" i="24"/>
  <c r="BG148" i="24" s="1"/>
  <c r="AY58" i="24"/>
  <c r="AZ58" i="24" s="1"/>
  <c r="AY148" i="24"/>
  <c r="AZ148" i="24" s="1"/>
  <c r="BE33" i="24"/>
  <c r="BT33" i="24" s="1"/>
  <c r="BE248" i="24"/>
  <c r="BT248" i="24" s="1"/>
  <c r="AT77" i="25"/>
  <c r="AY77" i="25" s="1"/>
  <c r="AU77" i="25"/>
  <c r="BE299" i="24"/>
  <c r="BT299" i="24" s="1"/>
  <c r="BD54" i="24"/>
  <c r="BG54" i="24" s="1"/>
  <c r="BM54" i="24" s="1"/>
  <c r="AY24" i="24"/>
  <c r="AZ24" i="24" s="1"/>
  <c r="AY54" i="24"/>
  <c r="AZ54" i="24" s="1"/>
  <c r="BD24" i="24"/>
  <c r="BG24" i="24" s="1"/>
  <c r="BM24" i="24" s="1"/>
  <c r="BD305" i="24"/>
  <c r="BG305" i="24" s="1"/>
  <c r="BE269" i="24"/>
  <c r="BT269" i="24" s="1"/>
  <c r="AY269" i="24"/>
  <c r="AZ269" i="24" s="1"/>
  <c r="BD269" i="24"/>
  <c r="AT163" i="25"/>
  <c r="AY163" i="25" s="1"/>
  <c r="AU163" i="25"/>
  <c r="AT66" i="25"/>
  <c r="AY66" i="25" s="1"/>
  <c r="AU66" i="25"/>
  <c r="AT130" i="25"/>
  <c r="AY130" i="25" s="1"/>
  <c r="AU130" i="25"/>
  <c r="AT140" i="25"/>
  <c r="AY140" i="25" s="1"/>
  <c r="AU140" i="25"/>
  <c r="BB296" i="25"/>
  <c r="BS296" i="25" s="1"/>
  <c r="BA296" i="25"/>
  <c r="BC296" i="25"/>
  <c r="BT296" i="25" s="1"/>
  <c r="AT224" i="25"/>
  <c r="AU224" i="25"/>
  <c r="AT134" i="25"/>
  <c r="AY134" i="25" s="1"/>
  <c r="AU134" i="25"/>
  <c r="AT26" i="25"/>
  <c r="AY26" i="25" s="1"/>
  <c r="AU26" i="25"/>
  <c r="BE154" i="24"/>
  <c r="BT154" i="24" s="1"/>
  <c r="AY154" i="24"/>
  <c r="AZ154" i="24" s="1"/>
  <c r="BD154" i="24"/>
  <c r="AT220" i="25"/>
  <c r="AU220" i="25"/>
  <c r="L16" i="1"/>
  <c r="BE169" i="24"/>
  <c r="BT169" i="24" s="1"/>
  <c r="BD169" i="24"/>
  <c r="AY169" i="24"/>
  <c r="AZ169" i="24" s="1"/>
  <c r="AT101" i="25"/>
  <c r="AY101" i="25" s="1"/>
  <c r="AU101" i="25"/>
  <c r="AY29" i="24"/>
  <c r="AZ29" i="24" s="1"/>
  <c r="BD29" i="24"/>
  <c r="BE29" i="24"/>
  <c r="BT29" i="24" s="1"/>
  <c r="AT133" i="25"/>
  <c r="AY133" i="25" s="1"/>
  <c r="AU133" i="25"/>
  <c r="AT297" i="25"/>
  <c r="AU297" i="25"/>
  <c r="BD144" i="24"/>
  <c r="BE144" i="24"/>
  <c r="BT144" i="24" s="1"/>
  <c r="AY144" i="24"/>
  <c r="AZ144" i="24" s="1"/>
  <c r="AT139" i="25"/>
  <c r="AY139" i="25" s="1"/>
  <c r="AU139" i="25"/>
  <c r="AT278" i="25"/>
  <c r="AU278" i="25"/>
  <c r="AT315" i="25"/>
  <c r="AU315" i="25"/>
  <c r="BD171" i="24"/>
  <c r="AY171" i="24"/>
  <c r="AZ171" i="24" s="1"/>
  <c r="BE171" i="24"/>
  <c r="BT171" i="24" s="1"/>
  <c r="BD316" i="24"/>
  <c r="BE316" i="24"/>
  <c r="BT316" i="24" s="1"/>
  <c r="AY316" i="24"/>
  <c r="AZ316" i="24" s="1"/>
  <c r="BB198" i="25"/>
  <c r="BS198" i="25" s="1"/>
  <c r="BC198" i="25"/>
  <c r="BT198" i="25" s="1"/>
  <c r="BA198" i="25"/>
  <c r="BD99" i="24"/>
  <c r="AY99" i="24"/>
  <c r="AZ99" i="24" s="1"/>
  <c r="BE99" i="24"/>
  <c r="BT99" i="24" s="1"/>
  <c r="BD306" i="24"/>
  <c r="BE306" i="24"/>
  <c r="BT306" i="24" s="1"/>
  <c r="AY306" i="24"/>
  <c r="AZ306" i="24" s="1"/>
  <c r="AT118" i="25"/>
  <c r="AY118" i="25" s="1"/>
  <c r="AU118" i="25"/>
  <c r="BD310" i="24"/>
  <c r="AY310" i="24"/>
  <c r="AZ310" i="24" s="1"/>
  <c r="BE310" i="24"/>
  <c r="BT310" i="24" s="1"/>
  <c r="AT68" i="25"/>
  <c r="AY68" i="25" s="1"/>
  <c r="AU68" i="25"/>
  <c r="BC177" i="25"/>
  <c r="BT177" i="25" s="1"/>
  <c r="BA177" i="25"/>
  <c r="BB177" i="25"/>
  <c r="BS177" i="25" s="1"/>
  <c r="BA292" i="25"/>
  <c r="BC292" i="25"/>
  <c r="BT292" i="25" s="1"/>
  <c r="BB292" i="25"/>
  <c r="BS292" i="25" s="1"/>
  <c r="AT289" i="25"/>
  <c r="AU289" i="25"/>
  <c r="BG142" i="24"/>
  <c r="BS142" i="24"/>
  <c r="BX142" i="24" s="1"/>
  <c r="AT85" i="25"/>
  <c r="AY85" i="25" s="1"/>
  <c r="AU85" i="25"/>
  <c r="BE105" i="24"/>
  <c r="BT105" i="24" s="1"/>
  <c r="AY105" i="24"/>
  <c r="AZ105" i="24" s="1"/>
  <c r="BD105" i="24"/>
  <c r="BE311" i="24"/>
  <c r="BT311" i="24" s="1"/>
  <c r="AY311" i="24"/>
  <c r="AZ311" i="24" s="1"/>
  <c r="BD311" i="24"/>
  <c r="AT244" i="25"/>
  <c r="AU244" i="25"/>
  <c r="AT60" i="25"/>
  <c r="AY60" i="25" s="1"/>
  <c r="AU60" i="25"/>
  <c r="BD51" i="24"/>
  <c r="AY51" i="24"/>
  <c r="AZ51" i="24" s="1"/>
  <c r="BE51" i="24"/>
  <c r="BT51" i="24" s="1"/>
  <c r="AT157" i="25"/>
  <c r="AY157" i="25" s="1"/>
  <c r="AU157" i="25"/>
  <c r="BD285" i="24"/>
  <c r="AY285" i="24"/>
  <c r="AZ285" i="24" s="1"/>
  <c r="BE285" i="24"/>
  <c r="BT285" i="24" s="1"/>
  <c r="BA257" i="25"/>
  <c r="BC257" i="25"/>
  <c r="BT257" i="25" s="1"/>
  <c r="BB257" i="25"/>
  <c r="BS257" i="25" s="1"/>
  <c r="AT286" i="25"/>
  <c r="AU286" i="25"/>
  <c r="AT264" i="25"/>
  <c r="AU264" i="25"/>
  <c r="BA248" i="25"/>
  <c r="BC248" i="25"/>
  <c r="BT248" i="25" s="1"/>
  <c r="BB248" i="25"/>
  <c r="BS248" i="25" s="1"/>
  <c r="AY31" i="24"/>
  <c r="AZ31" i="24" s="1"/>
  <c r="BE31" i="24"/>
  <c r="BT31" i="24" s="1"/>
  <c r="BD31" i="24"/>
  <c r="AY10" i="24"/>
  <c r="AZ10" i="24" s="1"/>
  <c r="BD10" i="24"/>
  <c r="BE10" i="24"/>
  <c r="BT10" i="24" s="1"/>
  <c r="AY313" i="24"/>
  <c r="AZ313" i="24" s="1"/>
  <c r="BD313" i="24"/>
  <c r="BE313" i="24"/>
  <c r="BT313" i="24" s="1"/>
  <c r="BD140" i="24"/>
  <c r="AY140" i="24"/>
  <c r="AZ140" i="24" s="1"/>
  <c r="BE140" i="24"/>
  <c r="BT140" i="24" s="1"/>
  <c r="BS45" i="24"/>
  <c r="BV45" i="24" s="1"/>
  <c r="BX45" i="24" s="1"/>
  <c r="BG45" i="24"/>
  <c r="BM45" i="24" s="1"/>
  <c r="AT307" i="25"/>
  <c r="AU307" i="25"/>
  <c r="BE143" i="25"/>
  <c r="BR143" i="25"/>
  <c r="BX143" i="25" s="1"/>
  <c r="BG119" i="24"/>
  <c r="BS119" i="24"/>
  <c r="BX119" i="24" s="1"/>
  <c r="AT183" i="25"/>
  <c r="AY183" i="25" s="1"/>
  <c r="AU183" i="25"/>
  <c r="BE16" i="24"/>
  <c r="BT16" i="24" s="1"/>
  <c r="BD16" i="24"/>
  <c r="AY16" i="24"/>
  <c r="AZ16" i="24" s="1"/>
  <c r="BG160" i="24"/>
  <c r="BS160" i="24"/>
  <c r="BX160" i="24" s="1"/>
  <c r="AY104" i="24"/>
  <c r="AZ104" i="24" s="1"/>
  <c r="BD104" i="24"/>
  <c r="BE104" i="24"/>
  <c r="BT104" i="24" s="1"/>
  <c r="AT65" i="25"/>
  <c r="AY65" i="25" s="1"/>
  <c r="AU65" i="25"/>
  <c r="BE40" i="24"/>
  <c r="BT40" i="24" s="1"/>
  <c r="AY40" i="24"/>
  <c r="AZ40" i="24" s="1"/>
  <c r="BD40" i="24"/>
  <c r="BE234" i="24"/>
  <c r="BT234" i="24" s="1"/>
  <c r="BD234" i="24"/>
  <c r="AY234" i="24"/>
  <c r="AZ234" i="24" s="1"/>
  <c r="AT20" i="25"/>
  <c r="AY20" i="25" s="1"/>
  <c r="AU20" i="25"/>
  <c r="BD73" i="24"/>
  <c r="AY73" i="24"/>
  <c r="AZ73" i="24" s="1"/>
  <c r="BE73" i="24"/>
  <c r="BT73" i="24" s="1"/>
  <c r="BC173" i="25"/>
  <c r="BT173" i="25" s="1"/>
  <c r="BB173" i="25"/>
  <c r="BS173" i="25" s="1"/>
  <c r="BA173" i="25"/>
  <c r="BE103" i="24"/>
  <c r="BT103" i="24" s="1"/>
  <c r="BD103" i="24"/>
  <c r="AY103" i="24"/>
  <c r="AZ103" i="24" s="1"/>
  <c r="AT241" i="25"/>
  <c r="AU241" i="25"/>
  <c r="BE100" i="24"/>
  <c r="BT100" i="24" s="1"/>
  <c r="BD100" i="24"/>
  <c r="AY100" i="24"/>
  <c r="AZ100" i="24" s="1"/>
  <c r="BC104" i="25"/>
  <c r="BT104" i="25" s="1"/>
  <c r="BA104" i="25"/>
  <c r="BB104" i="25"/>
  <c r="BS104" i="25" s="1"/>
  <c r="BE151" i="24"/>
  <c r="BT151" i="24" s="1"/>
  <c r="BD151" i="24"/>
  <c r="AY151" i="24"/>
  <c r="AZ151" i="24" s="1"/>
  <c r="AT308" i="25"/>
  <c r="AU308" i="25"/>
  <c r="AT279" i="25"/>
  <c r="AU279" i="25"/>
  <c r="BD75" i="24"/>
  <c r="AY75" i="24"/>
  <c r="AZ75" i="24" s="1"/>
  <c r="BE75" i="24"/>
  <c r="BT75" i="24" s="1"/>
  <c r="AT38" i="25"/>
  <c r="AY38" i="25" s="1"/>
  <c r="AU38" i="25"/>
  <c r="AY48" i="24"/>
  <c r="AZ48" i="24" s="1"/>
  <c r="BE48" i="24"/>
  <c r="BT48" i="24" s="1"/>
  <c r="BD48" i="24"/>
  <c r="AT81" i="25"/>
  <c r="AY81" i="25" s="1"/>
  <c r="AU81" i="25"/>
  <c r="BE129" i="24"/>
  <c r="BT129" i="24" s="1"/>
  <c r="BD129" i="24"/>
  <c r="AY129" i="24"/>
  <c r="AZ129" i="24" s="1"/>
  <c r="BD263" i="24"/>
  <c r="AY263" i="24"/>
  <c r="AZ263" i="24" s="1"/>
  <c r="BE263" i="24"/>
  <c r="BT263" i="24" s="1"/>
  <c r="BD195" i="24"/>
  <c r="AY195" i="24"/>
  <c r="AZ195" i="24" s="1"/>
  <c r="BE195" i="24"/>
  <c r="BT195" i="24" s="1"/>
  <c r="BA276" i="25"/>
  <c r="BB276" i="25"/>
  <c r="BS276" i="25" s="1"/>
  <c r="BC276" i="25"/>
  <c r="BT276" i="25" s="1"/>
  <c r="AT295" i="25"/>
  <c r="AU295" i="25"/>
  <c r="AT115" i="25"/>
  <c r="AY115" i="25" s="1"/>
  <c r="AU115" i="25"/>
  <c r="BE61" i="24"/>
  <c r="BT61" i="24" s="1"/>
  <c r="BD61" i="24"/>
  <c r="AY61" i="24"/>
  <c r="AZ61" i="24" s="1"/>
  <c r="AY62" i="24"/>
  <c r="AZ62" i="24" s="1"/>
  <c r="BE62" i="24"/>
  <c r="BT62" i="24" s="1"/>
  <c r="BD62" i="24"/>
  <c r="BE256" i="24"/>
  <c r="BT256" i="24" s="1"/>
  <c r="AY256" i="24"/>
  <c r="AZ256" i="24" s="1"/>
  <c r="BD256" i="24"/>
  <c r="BS55" i="24"/>
  <c r="BV55" i="24" s="1"/>
  <c r="BX55" i="24" s="1"/>
  <c r="BG55" i="24"/>
  <c r="BM55" i="24" s="1"/>
  <c r="AT288" i="25"/>
  <c r="AU288" i="25"/>
  <c r="AT245" i="25"/>
  <c r="AU245" i="25"/>
  <c r="BG111" i="24"/>
  <c r="BS111" i="24"/>
  <c r="BD8" i="24"/>
  <c r="BE8" i="24"/>
  <c r="BT8" i="24" s="1"/>
  <c r="AY8" i="24"/>
  <c r="AZ8" i="24" s="1"/>
  <c r="AT187" i="25"/>
  <c r="AY187" i="25" s="1"/>
  <c r="AU187" i="25"/>
  <c r="BD185" i="24"/>
  <c r="AY185" i="24"/>
  <c r="AZ185" i="24" s="1"/>
  <c r="BE185" i="24"/>
  <c r="BT185" i="24" s="1"/>
  <c r="AT225" i="25"/>
  <c r="AU225" i="25"/>
  <c r="BE252" i="24"/>
  <c r="BT252" i="24" s="1"/>
  <c r="AY252" i="24"/>
  <c r="AZ252" i="24" s="1"/>
  <c r="BD252" i="24"/>
  <c r="AY271" i="24"/>
  <c r="AZ271" i="24" s="1"/>
  <c r="BD271" i="24"/>
  <c r="BE271" i="24"/>
  <c r="BT271" i="24" s="1"/>
  <c r="AT270" i="25"/>
  <c r="AU270" i="25"/>
  <c r="AT251" i="25"/>
  <c r="AU251" i="25"/>
  <c r="AT197" i="25"/>
  <c r="AY197" i="25" s="1"/>
  <c r="AU197" i="25"/>
  <c r="BG190" i="24"/>
  <c r="BS190" i="24"/>
  <c r="BX190" i="24" s="1"/>
  <c r="AT69" i="25"/>
  <c r="AY69" i="25" s="1"/>
  <c r="AU69" i="25"/>
  <c r="BE71" i="24"/>
  <c r="BT71" i="24" s="1"/>
  <c r="AY71" i="24"/>
  <c r="AZ71" i="24" s="1"/>
  <c r="BD71" i="24"/>
  <c r="AT266" i="25"/>
  <c r="AU266" i="25"/>
  <c r="AT91" i="25"/>
  <c r="AY91" i="25" s="1"/>
  <c r="AU91" i="25"/>
  <c r="BC92" i="25"/>
  <c r="BT92" i="25" s="1"/>
  <c r="BB92" i="25"/>
  <c r="BS92" i="25" s="1"/>
  <c r="BA92" i="25"/>
  <c r="BE128" i="24"/>
  <c r="BT128" i="24" s="1"/>
  <c r="BD128" i="24"/>
  <c r="AY128" i="24"/>
  <c r="AZ128" i="24" s="1"/>
  <c r="BE32" i="24"/>
  <c r="BT32" i="24" s="1"/>
  <c r="BD32" i="24"/>
  <c r="AY32" i="24"/>
  <c r="AZ32" i="24" s="1"/>
  <c r="BA199" i="25"/>
  <c r="BB199" i="25"/>
  <c r="BS199" i="25" s="1"/>
  <c r="BC199" i="25"/>
  <c r="BT199" i="25" s="1"/>
  <c r="BE91" i="24"/>
  <c r="BT91" i="24" s="1"/>
  <c r="BD91" i="24"/>
  <c r="AY91" i="24"/>
  <c r="AZ91" i="24" s="1"/>
  <c r="AT149" i="25"/>
  <c r="AY149" i="25" s="1"/>
  <c r="AU149" i="25"/>
  <c r="AT271" i="25"/>
  <c r="AU271" i="25"/>
  <c r="AT152" i="25"/>
  <c r="AY152" i="25" s="1"/>
  <c r="AU152" i="25"/>
  <c r="BE122" i="24"/>
  <c r="BT122" i="24" s="1"/>
  <c r="BD122" i="24"/>
  <c r="AY122" i="24"/>
  <c r="AZ122" i="24" s="1"/>
  <c r="AT252" i="25"/>
  <c r="AU252" i="25"/>
  <c r="BE56" i="24"/>
  <c r="BT56" i="24" s="1"/>
  <c r="AY56" i="24"/>
  <c r="AZ56" i="24" s="1"/>
  <c r="BD56" i="24"/>
  <c r="AT166" i="25"/>
  <c r="AY166" i="25" s="1"/>
  <c r="AU166" i="25"/>
  <c r="BG162" i="24"/>
  <c r="BS162" i="24"/>
  <c r="BX162" i="24" s="1"/>
  <c r="BC31" i="25"/>
  <c r="BT31" i="25" s="1"/>
  <c r="BB31" i="25"/>
  <c r="BS31" i="25" s="1"/>
  <c r="BA31" i="25"/>
  <c r="BE83" i="24"/>
  <c r="BT83" i="24" s="1"/>
  <c r="BD83" i="24"/>
  <c r="AY83" i="24"/>
  <c r="AZ83" i="24" s="1"/>
  <c r="AT309" i="25"/>
  <c r="AU309" i="25"/>
  <c r="AT205" i="25"/>
  <c r="AY205" i="25" s="1"/>
  <c r="AU205" i="25"/>
  <c r="AT58" i="25"/>
  <c r="AY58" i="25" s="1"/>
  <c r="AU58" i="25"/>
  <c r="BD137" i="24"/>
  <c r="BE137" i="24"/>
  <c r="BT137" i="24" s="1"/>
  <c r="AY137" i="24"/>
  <c r="AZ137" i="24" s="1"/>
  <c r="BG257" i="24"/>
  <c r="BS257" i="24"/>
  <c r="BX257" i="24" s="1"/>
  <c r="AT17" i="25"/>
  <c r="AY17" i="25" s="1"/>
  <c r="AU17" i="25"/>
  <c r="BD14" i="24"/>
  <c r="BE14" i="24"/>
  <c r="BT14" i="24" s="1"/>
  <c r="AY14" i="24"/>
  <c r="AZ14" i="24" s="1"/>
  <c r="AT41" i="25"/>
  <c r="AY41" i="25" s="1"/>
  <c r="AU41" i="25"/>
  <c r="AT67" i="25"/>
  <c r="AY67" i="25" s="1"/>
  <c r="AU67" i="25"/>
  <c r="AT303" i="25"/>
  <c r="AU303" i="25"/>
  <c r="BA95" i="25"/>
  <c r="BC95" i="25"/>
  <c r="BT95" i="25" s="1"/>
  <c r="BB95" i="25"/>
  <c r="BS95" i="25" s="1"/>
  <c r="AT235" i="25"/>
  <c r="AU235" i="25"/>
  <c r="BG233" i="24"/>
  <c r="BS233" i="24"/>
  <c r="BX233" i="24" s="1"/>
  <c r="BE57" i="24"/>
  <c r="BT57" i="24" s="1"/>
  <c r="BD57" i="24"/>
  <c r="AY57" i="24"/>
  <c r="AZ57" i="24" s="1"/>
  <c r="BE255" i="24"/>
  <c r="BT255" i="24" s="1"/>
  <c r="BD255" i="24"/>
  <c r="AY255" i="24"/>
  <c r="AZ255" i="24" s="1"/>
  <c r="AY218" i="24"/>
  <c r="AZ218" i="24" s="1"/>
  <c r="BD218" i="24"/>
  <c r="BE218" i="24"/>
  <c r="BT218" i="24" s="1"/>
  <c r="AY138" i="24"/>
  <c r="AZ138" i="24" s="1"/>
  <c r="BE138" i="24"/>
  <c r="BT138" i="24" s="1"/>
  <c r="BD138" i="24"/>
  <c r="BE90" i="24"/>
  <c r="BT90" i="24" s="1"/>
  <c r="AY90" i="24"/>
  <c r="AZ90" i="24" s="1"/>
  <c r="BD90" i="24"/>
  <c r="BD38" i="24"/>
  <c r="BE38" i="24"/>
  <c r="BT38" i="24" s="1"/>
  <c r="AY38" i="24"/>
  <c r="AZ38" i="24" s="1"/>
  <c r="BE258" i="24"/>
  <c r="BT258" i="24" s="1"/>
  <c r="BD258" i="24"/>
  <c r="AY258" i="24"/>
  <c r="AZ258" i="24" s="1"/>
  <c r="AT124" i="25"/>
  <c r="AY124" i="25" s="1"/>
  <c r="AU124" i="25"/>
  <c r="AT193" i="25"/>
  <c r="AY193" i="25" s="1"/>
  <c r="AU193" i="25"/>
  <c r="BA201" i="25"/>
  <c r="BB201" i="25"/>
  <c r="BS201" i="25" s="1"/>
  <c r="BC201" i="25"/>
  <c r="BT201" i="25" s="1"/>
  <c r="AY182" i="24"/>
  <c r="AZ182" i="24" s="1"/>
  <c r="BE182" i="24"/>
  <c r="BT182" i="24" s="1"/>
  <c r="BD182" i="24"/>
  <c r="BD198" i="24"/>
  <c r="BE198" i="24"/>
  <c r="BT198" i="24" s="1"/>
  <c r="AY198" i="24"/>
  <c r="AZ198" i="24" s="1"/>
  <c r="BC189" i="25"/>
  <c r="BT189" i="25" s="1"/>
  <c r="BA189" i="25"/>
  <c r="BB189" i="25"/>
  <c r="BS189" i="25" s="1"/>
  <c r="AT151" i="25"/>
  <c r="AY151" i="25" s="1"/>
  <c r="AU151" i="25"/>
  <c r="BD273" i="24"/>
  <c r="AY273" i="24"/>
  <c r="AZ273" i="24" s="1"/>
  <c r="BE273" i="24"/>
  <c r="BT273" i="24" s="1"/>
  <c r="BA32" i="25"/>
  <c r="BB32" i="25"/>
  <c r="BS32" i="25" s="1"/>
  <c r="BC32" i="25"/>
  <c r="BT32" i="25" s="1"/>
  <c r="BG132" i="24"/>
  <c r="BS132" i="24"/>
  <c r="BX132" i="24" s="1"/>
  <c r="AT57" i="25"/>
  <c r="AY57" i="25" s="1"/>
  <c r="AU57" i="25"/>
  <c r="AY192" i="24"/>
  <c r="AZ192" i="24" s="1"/>
  <c r="BD192" i="24"/>
  <c r="BE192" i="24"/>
  <c r="BT192" i="24" s="1"/>
  <c r="AT48" i="25"/>
  <c r="AY48" i="25" s="1"/>
  <c r="AU48" i="25"/>
  <c r="BA158" i="25"/>
  <c r="BB158" i="25"/>
  <c r="BS158" i="25" s="1"/>
  <c r="BC158" i="25"/>
  <c r="BT158" i="25" s="1"/>
  <c r="AT216" i="25"/>
  <c r="AU216" i="25"/>
  <c r="BE143" i="24"/>
  <c r="BT143" i="24" s="1"/>
  <c r="BD143" i="24"/>
  <c r="AY143" i="24"/>
  <c r="AZ143" i="24" s="1"/>
  <c r="BD145" i="24"/>
  <c r="AY145" i="24"/>
  <c r="AZ145" i="24" s="1"/>
  <c r="BE145" i="24"/>
  <c r="BT145" i="24" s="1"/>
  <c r="AY158" i="24"/>
  <c r="AZ158" i="24" s="1"/>
  <c r="BD158" i="24"/>
  <c r="BE158" i="24"/>
  <c r="BT158" i="24" s="1"/>
  <c r="AT138" i="25"/>
  <c r="AY138" i="25" s="1"/>
  <c r="AU138" i="25"/>
  <c r="AT287" i="25"/>
  <c r="AU287" i="25"/>
  <c r="BC28" i="25"/>
  <c r="BT28" i="25" s="1"/>
  <c r="BA28" i="25"/>
  <c r="BB28" i="25"/>
  <c r="BS28" i="25" s="1"/>
  <c r="BE161" i="24"/>
  <c r="BT161" i="24" s="1"/>
  <c r="BD161" i="24"/>
  <c r="AY161" i="24"/>
  <c r="AZ161" i="24" s="1"/>
  <c r="BE276" i="24"/>
  <c r="BT276" i="24" s="1"/>
  <c r="BD276" i="24"/>
  <c r="AY276" i="24"/>
  <c r="AZ276" i="24" s="1"/>
  <c r="AT176" i="25"/>
  <c r="AY176" i="25" s="1"/>
  <c r="AU176" i="25"/>
  <c r="AT100" i="25"/>
  <c r="AY100" i="25" s="1"/>
  <c r="AU100" i="25"/>
  <c r="BD123" i="24"/>
  <c r="AY123" i="24"/>
  <c r="AZ123" i="24" s="1"/>
  <c r="BE123" i="24"/>
  <c r="BT123" i="24" s="1"/>
  <c r="AT136" i="25"/>
  <c r="AY136" i="25" s="1"/>
  <c r="AU136" i="25"/>
  <c r="AT302" i="25"/>
  <c r="AU302" i="25"/>
  <c r="BE166" i="24"/>
  <c r="BT166" i="24" s="1"/>
  <c r="BD166" i="24"/>
  <c r="AY166" i="24"/>
  <c r="AZ166" i="24" s="1"/>
  <c r="BG22" i="24"/>
  <c r="BM22" i="24" s="1"/>
  <c r="BS22" i="24"/>
  <c r="BV22" i="24" s="1"/>
  <c r="BX22" i="24" s="1"/>
  <c r="AT191" i="25"/>
  <c r="AY191" i="25" s="1"/>
  <c r="AU191" i="25"/>
  <c r="AT78" i="25"/>
  <c r="AY78" i="25" s="1"/>
  <c r="AU78" i="25"/>
  <c r="BE226" i="24"/>
  <c r="BT226" i="24" s="1"/>
  <c r="BD226" i="24"/>
  <c r="AY226" i="24"/>
  <c r="AZ226" i="24" s="1"/>
  <c r="AT272" i="25"/>
  <c r="AU272" i="25"/>
  <c r="BD72" i="24"/>
  <c r="BE72" i="24"/>
  <c r="BT72" i="24" s="1"/>
  <c r="AY72" i="24"/>
  <c r="AZ72" i="24" s="1"/>
  <c r="AT181" i="25"/>
  <c r="AY181" i="25" s="1"/>
  <c r="AU181" i="25"/>
  <c r="BE204" i="24"/>
  <c r="BT204" i="24" s="1"/>
  <c r="AY204" i="24"/>
  <c r="AZ204" i="24" s="1"/>
  <c r="BD204" i="24"/>
  <c r="BE129" i="25"/>
  <c r="BR129" i="25"/>
  <c r="BX129" i="25" s="1"/>
  <c r="BD85" i="24"/>
  <c r="BE85" i="24"/>
  <c r="BT85" i="24" s="1"/>
  <c r="AY85" i="24"/>
  <c r="AZ85" i="24" s="1"/>
  <c r="AY239" i="24"/>
  <c r="AZ239" i="24" s="1"/>
  <c r="BD239" i="24"/>
  <c r="BE239" i="24"/>
  <c r="BT239" i="24" s="1"/>
  <c r="BB282" i="25"/>
  <c r="BS282" i="25" s="1"/>
  <c r="BC282" i="25"/>
  <c r="BT282" i="25" s="1"/>
  <c r="BA282" i="25"/>
  <c r="AT194" i="25"/>
  <c r="AY194" i="25" s="1"/>
  <c r="AU194" i="25"/>
  <c r="BE50" i="24"/>
  <c r="BT50" i="24" s="1"/>
  <c r="BD50" i="24"/>
  <c r="AY50" i="24"/>
  <c r="AZ50" i="24" s="1"/>
  <c r="BG58" i="24"/>
  <c r="BM58" i="24" s="1"/>
  <c r="BS58" i="24"/>
  <c r="BE165" i="24"/>
  <c r="BT165" i="24" s="1"/>
  <c r="BD165" i="24"/>
  <c r="AY165" i="24"/>
  <c r="AZ165" i="24" s="1"/>
  <c r="BG260" i="24"/>
  <c r="BS260" i="24"/>
  <c r="BE172" i="24"/>
  <c r="BT172" i="24" s="1"/>
  <c r="BD172" i="24"/>
  <c r="AY172" i="24"/>
  <c r="AZ172" i="24" s="1"/>
  <c r="BA147" i="25"/>
  <c r="BC147" i="25"/>
  <c r="BT147" i="25" s="1"/>
  <c r="BB147" i="25"/>
  <c r="BS147" i="25" s="1"/>
  <c r="AY70" i="24"/>
  <c r="AZ70" i="24" s="1"/>
  <c r="BE70" i="24"/>
  <c r="BT70" i="24" s="1"/>
  <c r="BD70" i="24"/>
  <c r="AT128" i="25"/>
  <c r="AY128" i="25" s="1"/>
  <c r="AU128" i="25"/>
  <c r="AY250" i="24"/>
  <c r="AZ250" i="24" s="1"/>
  <c r="BD250" i="24"/>
  <c r="BE250" i="24"/>
  <c r="BT250" i="24" s="1"/>
  <c r="AT50" i="25"/>
  <c r="AY50" i="25" s="1"/>
  <c r="AU50" i="25"/>
  <c r="AT165" i="25"/>
  <c r="AY165" i="25" s="1"/>
  <c r="AU165" i="25"/>
  <c r="AT111" i="25"/>
  <c r="AY111" i="25" s="1"/>
  <c r="AU111" i="25"/>
  <c r="BD157" i="24"/>
  <c r="AY157" i="24"/>
  <c r="AZ157" i="24" s="1"/>
  <c r="BE157" i="24"/>
  <c r="BT157" i="24" s="1"/>
  <c r="BS33" i="24"/>
  <c r="BG33" i="24"/>
  <c r="BM33" i="24" s="1"/>
  <c r="AY53" i="24"/>
  <c r="AZ53" i="24" s="1"/>
  <c r="BD53" i="24"/>
  <c r="BE53" i="24"/>
  <c r="BT53" i="24" s="1"/>
  <c r="BE222" i="24"/>
  <c r="BT222" i="24" s="1"/>
  <c r="BD222" i="24"/>
  <c r="AY222" i="24"/>
  <c r="AZ222" i="24" s="1"/>
  <c r="AT269" i="25"/>
  <c r="AU269" i="25"/>
  <c r="BA258" i="25"/>
  <c r="BC258" i="25"/>
  <c r="BT258" i="25" s="1"/>
  <c r="BB258" i="25"/>
  <c r="BS258" i="25" s="1"/>
  <c r="BE237" i="24"/>
  <c r="BT237" i="24" s="1"/>
  <c r="BD237" i="24"/>
  <c r="AY237" i="24"/>
  <c r="AZ237" i="24" s="1"/>
  <c r="BD184" i="24"/>
  <c r="AY184" i="24"/>
  <c r="AZ184" i="24" s="1"/>
  <c r="BE184" i="24"/>
  <c r="BT184" i="24" s="1"/>
  <c r="AT312" i="25"/>
  <c r="AU312" i="25"/>
  <c r="BG236" i="24"/>
  <c r="BS236" i="24"/>
  <c r="BX236" i="24" s="1"/>
  <c r="AN110" i="29"/>
  <c r="AN84" i="29"/>
  <c r="AN340" i="29"/>
  <c r="AN42" i="29"/>
  <c r="AN412" i="29"/>
  <c r="AN567" i="29"/>
  <c r="AN341" i="29"/>
  <c r="AN140" i="29"/>
  <c r="AN80" i="29"/>
  <c r="AN105" i="29"/>
  <c r="AN22" i="29"/>
  <c r="AN211" i="29"/>
  <c r="AN370" i="29"/>
  <c r="AN69" i="29"/>
  <c r="AN429" i="29"/>
  <c r="AN147" i="29"/>
  <c r="AN363" i="29"/>
  <c r="AN210" i="29"/>
  <c r="AN400" i="29"/>
  <c r="AN307" i="29"/>
  <c r="AN338" i="29"/>
  <c r="AN372" i="29"/>
  <c r="AN364" i="29"/>
  <c r="AN230" i="29"/>
  <c r="AN458" i="29"/>
  <c r="AN117" i="29"/>
  <c r="AN127" i="29"/>
  <c r="AN179" i="29"/>
  <c r="AN104" i="29"/>
  <c r="AN474" i="29"/>
  <c r="AN506" i="29"/>
  <c r="AN337" i="29"/>
  <c r="AN570" i="29"/>
  <c r="AN376" i="29"/>
  <c r="AN598" i="29"/>
  <c r="AN142" i="29"/>
  <c r="AN390" i="29"/>
  <c r="AN182" i="29"/>
  <c r="AN449" i="29"/>
  <c r="AN468" i="29"/>
  <c r="AN382" i="29"/>
  <c r="AN378" i="29"/>
  <c r="AN298" i="29"/>
  <c r="AN260" i="29"/>
  <c r="AN208" i="29"/>
  <c r="AN18" i="29"/>
  <c r="AN490" i="29"/>
  <c r="AN202" i="29"/>
  <c r="AN295" i="29"/>
  <c r="AN52" i="29"/>
  <c r="AN242" i="29"/>
  <c r="AN134" i="29"/>
  <c r="AN359" i="29"/>
  <c r="AN160" i="29"/>
  <c r="AN143" i="29"/>
  <c r="AN346" i="29"/>
  <c r="AN539" i="29"/>
  <c r="AN92" i="29"/>
  <c r="AN233" i="29"/>
  <c r="AN173" i="29"/>
  <c r="AN309" i="29"/>
  <c r="AN314" i="29"/>
  <c r="AN188" i="29"/>
  <c r="AN377" i="29"/>
  <c r="AN484" i="29"/>
  <c r="AN83" i="29"/>
  <c r="AN284" i="29"/>
  <c r="AN47" i="29"/>
  <c r="AN120" i="29"/>
  <c r="AN281" i="29"/>
  <c r="AN574" i="29"/>
  <c r="AN78" i="29"/>
  <c r="AN247" i="29"/>
  <c r="AN183" i="29"/>
  <c r="AN322" i="29"/>
  <c r="AN456" i="29"/>
  <c r="AN555" i="29"/>
  <c r="AN129" i="29"/>
  <c r="AN518" i="29"/>
  <c r="AN315" i="29"/>
  <c r="AN251" i="29"/>
  <c r="AN166" i="29"/>
  <c r="AN493" i="29"/>
  <c r="AN496" i="29"/>
  <c r="AN556" i="29"/>
  <c r="AN375" i="29"/>
  <c r="AN583" i="29"/>
  <c r="AN389" i="29"/>
  <c r="AN392" i="29"/>
  <c r="AN273" i="29"/>
  <c r="AN24" i="29"/>
  <c r="AN286" i="29"/>
  <c r="AN514" i="29"/>
  <c r="AN157" i="29"/>
  <c r="AN20" i="29"/>
  <c r="AN422" i="29"/>
  <c r="AN145" i="29"/>
  <c r="AN297" i="29"/>
  <c r="AN584" i="29"/>
  <c r="AN523" i="29"/>
  <c r="AN151" i="29"/>
  <c r="AN99" i="29"/>
  <c r="AN536" i="29"/>
  <c r="AN332" i="29"/>
  <c r="AN531" i="29"/>
  <c r="AN321" i="29"/>
  <c r="AN229" i="29"/>
  <c r="AN215" i="29"/>
  <c r="AN339" i="29"/>
  <c r="AN218" i="29"/>
  <c r="AN398" i="29"/>
  <c r="AN141" i="29"/>
  <c r="AN528" i="29"/>
  <c r="AN582" i="29"/>
  <c r="AN111" i="29"/>
  <c r="AN473" i="29"/>
  <c r="AN571" i="29"/>
  <c r="AN303" i="29"/>
  <c r="AN479" i="29"/>
  <c r="AN256" i="29"/>
  <c r="AN14" i="29"/>
  <c r="AN154" i="29"/>
  <c r="AN373" i="29"/>
  <c r="AN228" i="29"/>
  <c r="AN35" i="29"/>
  <c r="AN121" i="29"/>
  <c r="AN472" i="29"/>
  <c r="AN445" i="29"/>
  <c r="AN77" i="29"/>
  <c r="AN452" i="29"/>
  <c r="AN194" i="29"/>
  <c r="AN601" i="29"/>
  <c r="AN447" i="29"/>
  <c r="D53" i="29"/>
  <c r="AN552" i="29"/>
  <c r="AN465" i="29"/>
  <c r="AN500" i="29"/>
  <c r="AN395" i="29"/>
  <c r="AN53" i="29"/>
  <c r="AN437" i="29"/>
  <c r="AN236" i="29"/>
  <c r="AN90" i="29"/>
  <c r="AN521" i="29"/>
  <c r="AN100" i="29"/>
  <c r="AN426" i="29"/>
  <c r="AN214" i="29"/>
  <c r="AN257" i="29"/>
  <c r="AN595" i="29"/>
  <c r="AN207" i="29"/>
  <c r="AN65" i="29"/>
  <c r="AN439" i="29"/>
  <c r="AN393" i="29"/>
  <c r="AN149" i="29"/>
  <c r="AN51" i="29"/>
  <c r="AN608" i="29"/>
  <c r="AN109" i="29"/>
  <c r="AN540" i="29"/>
  <c r="AN312" i="29"/>
  <c r="AN119" i="29"/>
  <c r="AN324" i="29"/>
  <c r="AN171" i="29"/>
  <c r="AN313" i="29"/>
  <c r="AN510" i="29"/>
  <c r="AN88" i="29"/>
  <c r="AN448" i="29"/>
  <c r="AN199" i="29"/>
  <c r="AN204" i="29"/>
  <c r="AN195" i="29"/>
  <c r="AN290" i="29"/>
  <c r="AN58" i="29"/>
  <c r="AN471" i="29"/>
  <c r="AN124" i="29"/>
  <c r="AN71" i="29"/>
  <c r="AN593" i="29"/>
  <c r="AN212" i="29"/>
  <c r="AN351" i="29"/>
  <c r="AN287" i="29"/>
  <c r="AN130" i="29"/>
  <c r="AN326" i="29"/>
  <c r="AN282" i="29"/>
  <c r="AN40" i="29"/>
  <c r="AN79" i="29"/>
  <c r="AN75" i="29"/>
  <c r="AN562" i="29"/>
  <c r="AN483" i="29"/>
  <c r="AN244" i="29"/>
  <c r="AN74" i="29"/>
  <c r="AN348" i="29"/>
  <c r="AN402" i="29"/>
  <c r="AN453" i="29"/>
  <c r="AN544" i="29"/>
  <c r="AN423" i="29"/>
  <c r="AN133" i="29"/>
  <c r="AN275" i="29"/>
  <c r="AN161" i="29"/>
  <c r="AN522" i="29"/>
  <c r="AN362" i="29"/>
  <c r="AN153" i="29"/>
  <c r="AN385" i="29"/>
  <c r="AN569" i="29"/>
  <c r="AN425" i="29"/>
  <c r="AN308" i="29"/>
  <c r="AN168" i="29"/>
  <c r="AN401" i="29"/>
  <c r="AN512" i="29"/>
  <c r="AN611" i="29"/>
  <c r="AN489" i="29"/>
  <c r="AN146" i="29"/>
  <c r="AN155" i="29"/>
  <c r="AN97" i="29"/>
  <c r="AN397" i="29"/>
  <c r="AN366" i="29"/>
  <c r="AN499" i="29"/>
  <c r="AN566" i="29"/>
  <c r="AN356" i="29"/>
  <c r="AN114" i="29"/>
  <c r="AN561" i="29"/>
  <c r="AN37" i="29"/>
  <c r="AN361" i="29"/>
  <c r="AN158" i="29"/>
  <c r="AN461" i="29"/>
  <c r="AN463" i="29"/>
  <c r="AN277" i="29"/>
  <c r="AN421" i="29"/>
  <c r="AN477" i="29"/>
  <c r="AN217" i="29"/>
  <c r="AN379" i="29"/>
  <c r="AN311" i="29"/>
  <c r="AN543" i="29"/>
  <c r="AN403" i="29"/>
  <c r="AN513" i="29"/>
  <c r="AN600" i="29"/>
  <c r="AN538" i="29"/>
  <c r="AN252" i="29"/>
  <c r="AN466" i="29"/>
  <c r="AN305" i="29"/>
  <c r="AN118" i="29"/>
  <c r="AN219" i="29"/>
  <c r="AN156" i="29"/>
  <c r="AN504" i="29"/>
  <c r="AN176" i="29"/>
  <c r="AN554" i="29"/>
  <c r="AN443" i="29"/>
  <c r="AN93" i="29"/>
  <c r="AN516" i="29"/>
  <c r="AN594" i="29"/>
  <c r="AN102" i="29"/>
  <c r="AN301" i="29"/>
  <c r="AN581" i="29"/>
  <c r="AN193" i="29"/>
  <c r="AN138" i="29"/>
  <c r="AN509" i="29"/>
  <c r="AN368" i="29"/>
  <c r="AN492" i="29"/>
  <c r="AN591" i="29"/>
  <c r="AN547" i="29"/>
  <c r="AN497" i="29"/>
  <c r="AN272" i="29"/>
  <c r="AN98" i="29"/>
  <c r="AN405" i="29"/>
  <c r="AN316" i="29"/>
  <c r="AN450" i="29"/>
  <c r="AN533" i="29"/>
  <c r="AN592" i="29"/>
  <c r="AN196" i="29"/>
  <c r="AN502" i="29"/>
  <c r="AN613" i="29"/>
  <c r="AN565" i="29"/>
  <c r="AN165" i="29"/>
  <c r="AN68" i="29"/>
  <c r="AN442" i="29"/>
  <c r="AN299" i="29"/>
  <c r="AN276" i="29"/>
  <c r="AN407" i="29"/>
  <c r="AN384" i="29"/>
  <c r="AN498" i="29"/>
  <c r="AN529" i="29"/>
  <c r="AN525" i="29"/>
  <c r="AN292" i="29"/>
  <c r="AN328" i="29"/>
  <c r="AN419" i="29"/>
  <c r="AN285" i="29"/>
  <c r="AN144" i="29"/>
  <c r="AN269" i="29"/>
  <c r="AN136" i="29"/>
  <c r="AN60" i="29"/>
  <c r="AN191" i="29"/>
  <c r="AN122" i="29"/>
  <c r="AN441" i="29"/>
  <c r="AN446" i="29"/>
  <c r="AN475" i="29"/>
  <c r="AN187" i="29"/>
  <c r="AN225" i="29"/>
  <c r="AN383" i="29"/>
  <c r="AN94" i="29"/>
  <c r="AN221" i="29"/>
  <c r="AN245" i="29"/>
  <c r="AN125" i="29"/>
  <c r="AN414" i="29"/>
  <c r="AN262" i="29"/>
  <c r="AN507" i="29"/>
  <c r="AN15" i="29"/>
  <c r="AN576" i="29"/>
  <c r="AN95" i="29"/>
  <c r="AN310" i="29"/>
  <c r="AN81" i="29"/>
  <c r="AN289" i="29"/>
  <c r="AN551" i="29"/>
  <c r="AN39" i="29"/>
  <c r="AN455" i="29"/>
  <c r="AN335" i="29"/>
  <c r="AN517" i="29"/>
  <c r="AN226" i="29"/>
  <c r="AN478" i="29"/>
  <c r="AN91" i="29"/>
  <c r="AN573" i="29"/>
  <c r="AN17" i="29"/>
  <c r="AN135" i="29"/>
  <c r="AN530" i="29"/>
  <c r="AN381" i="29"/>
  <c r="AN255" i="29"/>
  <c r="AN550" i="29"/>
  <c r="AN541" i="29"/>
  <c r="AN469" i="29"/>
  <c r="AN388" i="29"/>
  <c r="AN190" i="29"/>
  <c r="AN482" i="29"/>
  <c r="AN588" i="29"/>
  <c r="AN411" i="29"/>
  <c r="AN67" i="29"/>
  <c r="AN563" i="29"/>
  <c r="AN444" i="29"/>
  <c r="AN612" i="29"/>
  <c r="AN462" i="29"/>
  <c r="AN416" i="29"/>
  <c r="AN163" i="29"/>
  <c r="AN329" i="29"/>
  <c r="AN511" i="29"/>
  <c r="AN49" i="29"/>
  <c r="AN181" i="29"/>
  <c r="AN334" i="29"/>
  <c r="AN336" i="29"/>
  <c r="AN535" i="29"/>
  <c r="AN410" i="29"/>
  <c r="AN568" i="29"/>
  <c r="AN440" i="29"/>
  <c r="AN123" i="29"/>
  <c r="AN607" i="29"/>
  <c r="AN220" i="29"/>
  <c r="AN86" i="29"/>
  <c r="AN380" i="29"/>
  <c r="AN265" i="29"/>
  <c r="AN150" i="29"/>
  <c r="AN70" i="29"/>
  <c r="AN586" i="29"/>
  <c r="AN31" i="29"/>
  <c r="AN50" i="29"/>
  <c r="AN451" i="29"/>
  <c r="AN13" i="29"/>
  <c r="AN243" i="29"/>
  <c r="AN231" i="29"/>
  <c r="AN198" i="29"/>
  <c r="AN596" i="29"/>
  <c r="AN355" i="29"/>
  <c r="AN250" i="29"/>
  <c r="AN476" i="29"/>
  <c r="AN209" i="29"/>
  <c r="AN253" i="29"/>
  <c r="AN302" i="29"/>
  <c r="AN103" i="29"/>
  <c r="AN327" i="29"/>
  <c r="AN280" i="29"/>
  <c r="AN494" i="29"/>
  <c r="AN542" i="29"/>
  <c r="AN527" i="29"/>
  <c r="AN44" i="29"/>
  <c r="AN491" i="29"/>
  <c r="AN294" i="29"/>
  <c r="AN557" i="29"/>
  <c r="AN213" i="29"/>
  <c r="AN330" i="29"/>
  <c r="AN467" i="29"/>
  <c r="AN16" i="29"/>
  <c r="AN116" i="29"/>
  <c r="AN128" i="29"/>
  <c r="AN259" i="29"/>
  <c r="AN152" i="29"/>
  <c r="AN386" i="29"/>
  <c r="AN246" i="29"/>
  <c r="AN267" i="29"/>
  <c r="AN200" i="29"/>
  <c r="AN434" i="29"/>
  <c r="AN464" i="29"/>
  <c r="AN216" i="29"/>
  <c r="AN61" i="29"/>
  <c r="AN201" i="29"/>
  <c r="AN89" i="29"/>
  <c r="AN409" i="29"/>
  <c r="AN63" i="29"/>
  <c r="AN283" i="29"/>
  <c r="AN33" i="29"/>
  <c r="AN353" i="29"/>
  <c r="AN43" i="29"/>
  <c r="AN258" i="29"/>
  <c r="AN488" i="29"/>
  <c r="AN180" i="29"/>
  <c r="AN534" i="29"/>
  <c r="AN345" i="29"/>
  <c r="AN432" i="29"/>
  <c r="AN358" i="29"/>
  <c r="AN577" i="29"/>
  <c r="AN532" i="29"/>
  <c r="AN609" i="29"/>
  <c r="AN278" i="29"/>
  <c r="AN46" i="29"/>
  <c r="AN501" i="29"/>
  <c r="AN170" i="29"/>
  <c r="AN599" i="29"/>
  <c r="AN205" i="29"/>
  <c r="AN288" i="29"/>
  <c r="AN323" i="29"/>
  <c r="AN519" i="29"/>
  <c r="AN408" i="29"/>
  <c r="AN343" i="29"/>
  <c r="AN487" i="29"/>
  <c r="AN264" i="29"/>
  <c r="AN604" i="29"/>
  <c r="AN537" i="29"/>
  <c r="AN418" i="29"/>
  <c r="AN238" i="29"/>
  <c r="AN430" i="29"/>
  <c r="AN106" i="29"/>
  <c r="AN406" i="29"/>
  <c r="AN549" i="29"/>
  <c r="AN606" i="29"/>
  <c r="AN605" i="29"/>
  <c r="AN428" i="29"/>
  <c r="AN223" i="29"/>
  <c r="AN300" i="29"/>
  <c r="AN174" i="29"/>
  <c r="AN126" i="29"/>
  <c r="AN271" i="29"/>
  <c r="AN508" i="29"/>
  <c r="AN460" i="29"/>
  <c r="AN32" i="29"/>
  <c r="AN178" i="29"/>
  <c r="AN177" i="29"/>
  <c r="AN270" i="29"/>
  <c r="AN113" i="29"/>
  <c r="AN480" i="29"/>
  <c r="AN222" i="29"/>
  <c r="AN64" i="29"/>
  <c r="AN505" i="29"/>
  <c r="AN189" i="29"/>
  <c r="AN26" i="29"/>
  <c r="AN331" i="29"/>
  <c r="AN572" i="29"/>
  <c r="AN268" i="29"/>
  <c r="AN107" i="29"/>
  <c r="AN55" i="29"/>
  <c r="AN587" i="29"/>
  <c r="AN62" i="29"/>
  <c r="AN21" i="29"/>
  <c r="AN325" i="29"/>
  <c r="AN431" i="29"/>
  <c r="AN354" i="29"/>
  <c r="AN585" i="29"/>
  <c r="AN28" i="29"/>
  <c r="AN48" i="29"/>
  <c r="AN357" i="29"/>
  <c r="AN317" i="29"/>
  <c r="AN559" i="29"/>
  <c r="AN224" i="29"/>
  <c r="AN342" i="29"/>
  <c r="AN578" i="29"/>
  <c r="AN296" i="29"/>
  <c r="AN319" i="29"/>
  <c r="AN396" i="29"/>
  <c r="AN76" i="29"/>
  <c r="AN548" i="29"/>
  <c r="AN234" i="29"/>
  <c r="AN304" i="29"/>
  <c r="AN391" i="29"/>
  <c r="AN115" i="29"/>
  <c r="AN371" i="29"/>
  <c r="AN318" i="29"/>
  <c r="AN87" i="29"/>
  <c r="AN427" i="29"/>
  <c r="AN436" i="29"/>
  <c r="AN503" i="29"/>
  <c r="AN352" i="29"/>
  <c r="AN85" i="29"/>
  <c r="AN349" i="29"/>
  <c r="AN185" i="29"/>
  <c r="AN415" i="29"/>
  <c r="AN424" i="29"/>
  <c r="AN545" i="29"/>
  <c r="AN404" i="29"/>
  <c r="AN203" i="29"/>
  <c r="AN263" i="29"/>
  <c r="AN186" i="29"/>
  <c r="AN344" i="29"/>
  <c r="AN481" i="29"/>
  <c r="AN306" i="29"/>
  <c r="AN589" i="29"/>
  <c r="AN112" i="29"/>
  <c r="AN293" i="29"/>
  <c r="AN36" i="29"/>
  <c r="AN365" i="29"/>
  <c r="AN131" i="29"/>
  <c r="AN45" i="29"/>
  <c r="AN164" i="29"/>
  <c r="AN29" i="29"/>
  <c r="AN526" i="29"/>
  <c r="AN417" i="29"/>
  <c r="AN30" i="29"/>
  <c r="AN239" i="29"/>
  <c r="AN546" i="29"/>
  <c r="AN240" i="29"/>
  <c r="AN132" i="29"/>
  <c r="AN162" i="29"/>
  <c r="AN347" i="29"/>
  <c r="AN248" i="29"/>
  <c r="AN394" i="29"/>
  <c r="AN387" i="29"/>
  <c r="AN575" i="29"/>
  <c r="AN82" i="29"/>
  <c r="AN27" i="29"/>
  <c r="AN369" i="29"/>
  <c r="AN435" i="29"/>
  <c r="AN515" i="29"/>
  <c r="AN520" i="29"/>
  <c r="AN597" i="29"/>
  <c r="AN232" i="29"/>
  <c r="AM601" i="29"/>
  <c r="AN274" i="29"/>
  <c r="AN41" i="29"/>
  <c r="AN254" i="29"/>
  <c r="AN603" i="29"/>
  <c r="AN192" i="29"/>
  <c r="AN580" i="29"/>
  <c r="AN56" i="29"/>
  <c r="AN227" i="29"/>
  <c r="AN108" i="29"/>
  <c r="AN249" i="29"/>
  <c r="AN25" i="29"/>
  <c r="AN470" i="29"/>
  <c r="AN175" i="29"/>
  <c r="AN438" i="29"/>
  <c r="AN374" i="29"/>
  <c r="AN139" i="29"/>
  <c r="AN167" i="29"/>
  <c r="AN495" i="29"/>
  <c r="AN485" i="29"/>
  <c r="AN558" i="29"/>
  <c r="AN241" i="29"/>
  <c r="AN413" i="29"/>
  <c r="AN360" i="29"/>
  <c r="AN524" i="29"/>
  <c r="AN59" i="29"/>
  <c r="AN197" i="29"/>
  <c r="AN159" i="29"/>
  <c r="AN454" i="29"/>
  <c r="AN610" i="29"/>
  <c r="AN486" i="29"/>
  <c r="AN459" i="29"/>
  <c r="AN457" i="29"/>
  <c r="AN261" i="29"/>
  <c r="AN399" i="29"/>
  <c r="AN433" i="29"/>
  <c r="AN73" i="29"/>
  <c r="AN66" i="29"/>
  <c r="AN169" i="29"/>
  <c r="AN564" i="29"/>
  <c r="AN23" i="29"/>
  <c r="AN206" i="29"/>
  <c r="AN279" i="29"/>
  <c r="AN320" i="29"/>
  <c r="AN367" i="29"/>
  <c r="AN560" i="29"/>
  <c r="AN57" i="29"/>
  <c r="AN137" i="29"/>
  <c r="AN172" i="29"/>
  <c r="AN291" i="29"/>
  <c r="AN72" i="29"/>
  <c r="AN350" i="29"/>
  <c r="AM24" i="29"/>
  <c r="AN420" i="29"/>
  <c r="AN553" i="29"/>
  <c r="AM456" i="29"/>
  <c r="AN96" i="29"/>
  <c r="AN38" i="29"/>
  <c r="AN602" i="29"/>
  <c r="AN34" i="29"/>
  <c r="AN590" i="29"/>
  <c r="AN101" i="29"/>
  <c r="AM138" i="29"/>
  <c r="AM87" i="29"/>
  <c r="AM79" i="29"/>
  <c r="AM594" i="29"/>
  <c r="AN184" i="29"/>
  <c r="AN266" i="29"/>
  <c r="AN54" i="29"/>
  <c r="AM169" i="29"/>
  <c r="AM38" i="29"/>
  <c r="AN333" i="29"/>
  <c r="AN148" i="29"/>
  <c r="AN235" i="29"/>
  <c r="AN579" i="29"/>
  <c r="AN237" i="29"/>
  <c r="AN19" i="29"/>
  <c r="AM257" i="29"/>
  <c r="AM183" i="29"/>
  <c r="AM414" i="29"/>
  <c r="AM245" i="29"/>
  <c r="AM253" i="29"/>
  <c r="AM262" i="29"/>
  <c r="AM348" i="29"/>
  <c r="AM325" i="29"/>
  <c r="AM80" i="29"/>
  <c r="AM260" i="29"/>
  <c r="AM600" i="29"/>
  <c r="AM402" i="29"/>
  <c r="AM337" i="29"/>
  <c r="AM37" i="29"/>
  <c r="AM585" i="29"/>
  <c r="AM455" i="29"/>
  <c r="AM91" i="29"/>
  <c r="AM565" i="29"/>
  <c r="AM341" i="29"/>
  <c r="AM267" i="29"/>
  <c r="AM206" i="29"/>
  <c r="AM373" i="29"/>
  <c r="AM336" i="29"/>
  <c r="AM514" i="29"/>
  <c r="AM167" i="29"/>
  <c r="AM581" i="29"/>
  <c r="AM294" i="29"/>
  <c r="AM593" i="29"/>
  <c r="AM582" i="29"/>
  <c r="AM207" i="29"/>
  <c r="AM295" i="29"/>
  <c r="AM88" i="29"/>
  <c r="AM118" i="29"/>
  <c r="AM200" i="29"/>
  <c r="AM518" i="29"/>
  <c r="AM381" i="29"/>
  <c r="AM292" i="29"/>
  <c r="AM17" i="29"/>
  <c r="AM307" i="29"/>
  <c r="AM469" i="29"/>
  <c r="AM85" i="29"/>
  <c r="AM235" i="29"/>
  <c r="AM353" i="29"/>
  <c r="AM544" i="29"/>
  <c r="AM357" i="29"/>
  <c r="AM483" i="29"/>
  <c r="AM149" i="29"/>
  <c r="AM606" i="29"/>
  <c r="AM501" i="29"/>
  <c r="AM371" i="29"/>
  <c r="AM50" i="29"/>
  <c r="AM250" i="29"/>
  <c r="AM51" i="29"/>
  <c r="AM26" i="29"/>
  <c r="AM145" i="29"/>
  <c r="AM258" i="29"/>
  <c r="AM537" i="29"/>
  <c r="AO537" i="29" s="1"/>
  <c r="AM435" i="29"/>
  <c r="AM33" i="29"/>
  <c r="AM443" i="29"/>
  <c r="AM82" i="29"/>
  <c r="AM338" i="29"/>
  <c r="AM468" i="29"/>
  <c r="AM81" i="29"/>
  <c r="AM135" i="29"/>
  <c r="AM173" i="29"/>
  <c r="AM179" i="29"/>
  <c r="AM302" i="29"/>
  <c r="AM403" i="29"/>
  <c r="AM549" i="29"/>
  <c r="AM573" i="29"/>
  <c r="AM444" i="29"/>
  <c r="AM157" i="29"/>
  <c r="AM531" i="29"/>
  <c r="AM566" i="29"/>
  <c r="AM313" i="29"/>
  <c r="AM163" i="29"/>
  <c r="AM155" i="29"/>
  <c r="AO155" i="29" s="1"/>
  <c r="AM119" i="29"/>
  <c r="AM584" i="29"/>
  <c r="AM524" i="29"/>
  <c r="AM147" i="29"/>
  <c r="AM252" i="29"/>
  <c r="AM528" i="29"/>
  <c r="AM533" i="29"/>
  <c r="AM596" i="29"/>
  <c r="AM416" i="29"/>
  <c r="AM309" i="29"/>
  <c r="AM297" i="29"/>
  <c r="AM199" i="29"/>
  <c r="AM407" i="29"/>
  <c r="AM28" i="29"/>
  <c r="AM370" i="29"/>
  <c r="AM327" i="29"/>
  <c r="AM507" i="29"/>
  <c r="AM568" i="29"/>
  <c r="AM406" i="29"/>
  <c r="AM420" i="29"/>
  <c r="AM264" i="29"/>
  <c r="AM521" i="29"/>
  <c r="AM117" i="29"/>
  <c r="AM233" i="29"/>
  <c r="AM525" i="29"/>
  <c r="AM542" i="29"/>
  <c r="AM426" i="29"/>
  <c r="AM410" i="29"/>
  <c r="AM612" i="29"/>
  <c r="AM89" i="29"/>
  <c r="AM43" i="29"/>
  <c r="AM256" i="29"/>
  <c r="AM58" i="29"/>
  <c r="AO58" i="29" s="1"/>
  <c r="AM355" i="29"/>
  <c r="AM432" i="29"/>
  <c r="AM449" i="29"/>
  <c r="AM436" i="29"/>
  <c r="AM369" i="29"/>
  <c r="AM174" i="29"/>
  <c r="AO174" i="29" s="1"/>
  <c r="AM324" i="29"/>
  <c r="AM471" i="29"/>
  <c r="AM62" i="29"/>
  <c r="AM75" i="29"/>
  <c r="AM527" i="29"/>
  <c r="AM137" i="29"/>
  <c r="AM496" i="29"/>
  <c r="AM570" i="29"/>
  <c r="AM221" i="29"/>
  <c r="AM447" i="29"/>
  <c r="AM474" i="29"/>
  <c r="AM195" i="29"/>
  <c r="AM121" i="29"/>
  <c r="AM18" i="29"/>
  <c r="AO18" i="29" s="1"/>
  <c r="AM576" i="29"/>
  <c r="AM396" i="29"/>
  <c r="AM178" i="29"/>
  <c r="AM319" i="29"/>
  <c r="AM554" i="29"/>
  <c r="AM434" i="29"/>
  <c r="AM289" i="29"/>
  <c r="AM220" i="29"/>
  <c r="AM442" i="29"/>
  <c r="AM288" i="29"/>
  <c r="AM486" i="29"/>
  <c r="AM42" i="29"/>
  <c r="AM405" i="29"/>
  <c r="AM298" i="29"/>
  <c r="AM67" i="29"/>
  <c r="AM40" i="29"/>
  <c r="AM413" i="29"/>
  <c r="AM128" i="29"/>
  <c r="AM315" i="29"/>
  <c r="AM346" i="29"/>
  <c r="AM422" i="29"/>
  <c r="AM504" i="29"/>
  <c r="AM70" i="29"/>
  <c r="AM588" i="29"/>
  <c r="AM401" i="29"/>
  <c r="AM239" i="29"/>
  <c r="AM113" i="29"/>
  <c r="AM209" i="29"/>
  <c r="AM532" i="29"/>
  <c r="AM124" i="29"/>
  <c r="AO124" i="29" s="1"/>
  <c r="AM605" i="29"/>
  <c r="AM237" i="29"/>
  <c r="AM388" i="29"/>
  <c r="AM564" i="29"/>
  <c r="AM386" i="29"/>
  <c r="AM229" i="29"/>
  <c r="AM34" i="29"/>
  <c r="AM509" i="29"/>
  <c r="AO509" i="29" s="1"/>
  <c r="AM127" i="29"/>
  <c r="AM299" i="29"/>
  <c r="AM598" i="29"/>
  <c r="AM59" i="29"/>
  <c r="AM515" i="29"/>
  <c r="AM31" i="29"/>
  <c r="AM270" i="29"/>
  <c r="AM526" i="29"/>
  <c r="AM142" i="29"/>
  <c r="AM177" i="29"/>
  <c r="AM150" i="29"/>
  <c r="AM383" i="29"/>
  <c r="AM130" i="29"/>
  <c r="AM55" i="29"/>
  <c r="AM74" i="29"/>
  <c r="AM552" i="29"/>
  <c r="AM83" i="29"/>
  <c r="AM326" i="29"/>
  <c r="AM441" i="29"/>
  <c r="AM78" i="29"/>
  <c r="AO78" i="29" s="1"/>
  <c r="AM517" i="29"/>
  <c r="AM30" i="29"/>
  <c r="AM428" i="29"/>
  <c r="AM66" i="29"/>
  <c r="AM273" i="29"/>
  <c r="AM387" i="29"/>
  <c r="AM345" i="29"/>
  <c r="AM433" i="29"/>
  <c r="AM361" i="29"/>
  <c r="AM478" i="29"/>
  <c r="AM571" i="29"/>
  <c r="AM84" i="29"/>
  <c r="AM546" i="29"/>
  <c r="AM359" i="29"/>
  <c r="AM409" i="29"/>
  <c r="AM144" i="29"/>
  <c r="AM92" i="29"/>
  <c r="AM574" i="29"/>
  <c r="AM248" i="29"/>
  <c r="AM379" i="29"/>
  <c r="AM21" i="29"/>
  <c r="AM57" i="29"/>
  <c r="AM440" i="29"/>
  <c r="AM586" i="29"/>
  <c r="AM363" i="29"/>
  <c r="AM201" i="29"/>
  <c r="AM166" i="29"/>
  <c r="AM153" i="29"/>
  <c r="AM109" i="29"/>
  <c r="AM247" i="29"/>
  <c r="AM214" i="29"/>
  <c r="AM103" i="29"/>
  <c r="AM421" i="29"/>
  <c r="AM193" i="29"/>
  <c r="AO193" i="29" s="1"/>
  <c r="AM96" i="29"/>
  <c r="AM535" i="29"/>
  <c r="AM107" i="29"/>
  <c r="AM204" i="29"/>
  <c r="AM219" i="29"/>
  <c r="AM610" i="29"/>
  <c r="AM602" i="29"/>
  <c r="AM251" i="29"/>
  <c r="AM491" i="29"/>
  <c r="AM222" i="29"/>
  <c r="AM98" i="29"/>
  <c r="AM226" i="29"/>
  <c r="AM587" i="29"/>
  <c r="AM259" i="29"/>
  <c r="AM331" i="29"/>
  <c r="AM304" i="29"/>
  <c r="AM133" i="29"/>
  <c r="AM424" i="29"/>
  <c r="AM249" i="29"/>
  <c r="AM378" i="29"/>
  <c r="AM301" i="29"/>
  <c r="AM29" i="29"/>
  <c r="AM213" i="29"/>
  <c r="AM599" i="29"/>
  <c r="AO599" i="29" s="1"/>
  <c r="AM477" i="29"/>
  <c r="AM172" i="29"/>
  <c r="AM340" i="29"/>
  <c r="AM461" i="29"/>
  <c r="AM241" i="29"/>
  <c r="AM347" i="29"/>
  <c r="AM557" i="29"/>
  <c r="AM140" i="29"/>
  <c r="AM108" i="29"/>
  <c r="AM583" i="29"/>
  <c r="AM384" i="29"/>
  <c r="AM165" i="29"/>
  <c r="AM100" i="29"/>
  <c r="AM349" i="29"/>
  <c r="AM16" i="29"/>
  <c r="AM69" i="29"/>
  <c r="AM61" i="29"/>
  <c r="AO61" i="29" s="1"/>
  <c r="AM52" i="29"/>
  <c r="AM454" i="29"/>
  <c r="AM282" i="29"/>
  <c r="AM577" i="29"/>
  <c r="AM342" i="29"/>
  <c r="AM321" i="29"/>
  <c r="AM255" i="29"/>
  <c r="AM408" i="29"/>
  <c r="AM437" i="29"/>
  <c r="AO437" i="29" s="1"/>
  <c r="AM306" i="29"/>
  <c r="AM272" i="29"/>
  <c r="AM39" i="29"/>
  <c r="AM448" i="29"/>
  <c r="AM364" i="29"/>
  <c r="AM65" i="29"/>
  <c r="AM508" i="29"/>
  <c r="AM71" i="29"/>
  <c r="AM122" i="29"/>
  <c r="AM366" i="29"/>
  <c r="AM446" i="29"/>
  <c r="AM139" i="29"/>
  <c r="AM350" i="29"/>
  <c r="AM333" i="29"/>
  <c r="AM329" i="29"/>
  <c r="AM277" i="29"/>
  <c r="AM607" i="29"/>
  <c r="AM330" i="29"/>
  <c r="AM368" i="29"/>
  <c r="AM305" i="29"/>
  <c r="AM529" i="29"/>
  <c r="AM48" i="29"/>
  <c r="AM317" i="29"/>
  <c r="AM360" i="29"/>
  <c r="AM498" i="29"/>
  <c r="AM102" i="29"/>
  <c r="AM591" i="29"/>
  <c r="AM466" i="29"/>
  <c r="AM300" i="29"/>
  <c r="AM271" i="29"/>
  <c r="AM392" i="29"/>
  <c r="AM161" i="29"/>
  <c r="AM284" i="29"/>
  <c r="AM398" i="29"/>
  <c r="AM320" i="29"/>
  <c r="AM19" i="29"/>
  <c r="AM372" i="29"/>
  <c r="AM460" i="29"/>
  <c r="AM41" i="29"/>
  <c r="AM534" i="29"/>
  <c r="AM194" i="29"/>
  <c r="AM223" i="29"/>
  <c r="AM563" i="29"/>
  <c r="AM513" i="29"/>
  <c r="AM427" i="29"/>
  <c r="AM285" i="29"/>
  <c r="AO285" i="29" s="1"/>
  <c r="AM356" i="29"/>
  <c r="AM208" i="29"/>
  <c r="AM323" i="29"/>
  <c r="AM597" i="29"/>
  <c r="AM389" i="29"/>
  <c r="AM411" i="29"/>
  <c r="AM519" i="29"/>
  <c r="AM603" i="29"/>
  <c r="AM211" i="29"/>
  <c r="AM90" i="29"/>
  <c r="AM510" i="29"/>
  <c r="AM203" i="29"/>
  <c r="AM185" i="29"/>
  <c r="AM192" i="29"/>
  <c r="AM198" i="29"/>
  <c r="AM592" i="29"/>
  <c r="AM290" i="29"/>
  <c r="AM125" i="29"/>
  <c r="AM225" i="29"/>
  <c r="AM114" i="29"/>
  <c r="AM431" i="29"/>
  <c r="AM328" i="29"/>
  <c r="AO328" i="29" s="1"/>
  <c r="AM246" i="29"/>
  <c r="AM425" i="29"/>
  <c r="AM286" i="29"/>
  <c r="AM429" i="29"/>
  <c r="AM358" i="29"/>
  <c r="AM291" i="29"/>
  <c r="AM473" i="29"/>
  <c r="AM261" i="29"/>
  <c r="AM27" i="29"/>
  <c r="AM562" i="29"/>
  <c r="AM126" i="29"/>
  <c r="AM457" i="29"/>
  <c r="AM269" i="29"/>
  <c r="AM93" i="29"/>
  <c r="AM63" i="29"/>
  <c r="AM106" i="29"/>
  <c r="AM391" i="29"/>
  <c r="AM287" i="29"/>
  <c r="AM548" i="29"/>
  <c r="AM216" i="29"/>
  <c r="AM20" i="29"/>
  <c r="AM604" i="29"/>
  <c r="AM268" i="29"/>
  <c r="AM472" i="29"/>
  <c r="AM45" i="29"/>
  <c r="AM215" i="29"/>
  <c r="AM116" i="29"/>
  <c r="AM160" i="29"/>
  <c r="AM72" i="29"/>
  <c r="AM112" i="29"/>
  <c r="AM380" i="29"/>
  <c r="AM276" i="29"/>
  <c r="AM111" i="29"/>
  <c r="AM575" i="29"/>
  <c r="AM495" i="29"/>
  <c r="AM240" i="29"/>
  <c r="AM23" i="29"/>
  <c r="AM311" i="29"/>
  <c r="AM234" i="29"/>
  <c r="AM205" i="29"/>
  <c r="AM217" i="29"/>
  <c r="AM202" i="29"/>
  <c r="AM430" i="29"/>
  <c r="AM499" i="29"/>
  <c r="AM68" i="29"/>
  <c r="AM191" i="29"/>
  <c r="AM190" i="29"/>
  <c r="AM503" i="29"/>
  <c r="AM56" i="29"/>
  <c r="AM485" i="29"/>
  <c r="AM385" i="29"/>
  <c r="AM458" i="29"/>
  <c r="AM451" i="29"/>
  <c r="AM488" i="29"/>
  <c r="AM608" i="29"/>
  <c r="AM556" i="29"/>
  <c r="AM154" i="29"/>
  <c r="AM32" i="29"/>
  <c r="AM210" i="29"/>
  <c r="AM555" i="29"/>
  <c r="AM15" i="29"/>
  <c r="AM578" i="29"/>
  <c r="AM572" i="29"/>
  <c r="AM450" i="29"/>
  <c r="AM558" i="29"/>
  <c r="AM171" i="29"/>
  <c r="AM335" i="29"/>
  <c r="AM376" i="29"/>
  <c r="AM312" i="29"/>
  <c r="AM162" i="29"/>
  <c r="AM580" i="29"/>
  <c r="AM77" i="29"/>
  <c r="AM522" i="29"/>
  <c r="AM569" i="29"/>
  <c r="AM115" i="29"/>
  <c r="AM278" i="29"/>
  <c r="AM439" i="29"/>
  <c r="AM101" i="29"/>
  <c r="AM540" i="29"/>
  <c r="AM232" i="29"/>
  <c r="AM344" i="29"/>
  <c r="AM417" i="29"/>
  <c r="AM352" i="29"/>
  <c r="AM470" i="29"/>
  <c r="AM561" i="29"/>
  <c r="AM547" i="29"/>
  <c r="AM86" i="29"/>
  <c r="AM242" i="29"/>
  <c r="AM502" i="29"/>
  <c r="AM375" i="29"/>
  <c r="AM143" i="29"/>
  <c r="AM551" i="29"/>
  <c r="AM156" i="29"/>
  <c r="AM334" i="29"/>
  <c r="AM197" i="29"/>
  <c r="AM281" i="29"/>
  <c r="AM279" i="29"/>
  <c r="AM438" i="29"/>
  <c r="AM560" i="29"/>
  <c r="AM354" i="29"/>
  <c r="AM467" i="29"/>
  <c r="AM164" i="29"/>
  <c r="AM332" i="29"/>
  <c r="AM459" i="29"/>
  <c r="AM318" i="29"/>
  <c r="AM182" i="29"/>
  <c r="AM158" i="29"/>
  <c r="AM482" i="29"/>
  <c r="AM545" i="29"/>
  <c r="AM516" i="29"/>
  <c r="AM280" i="29"/>
  <c r="AM339" i="29"/>
  <c r="AM76" i="29"/>
  <c r="AM14" i="29"/>
  <c r="AM224" i="29"/>
  <c r="AM196" i="29"/>
  <c r="AM94" i="29"/>
  <c r="AM399" i="29"/>
  <c r="AM543" i="29"/>
  <c r="AM129" i="29"/>
  <c r="AM283" i="29"/>
  <c r="AM539" i="29"/>
  <c r="AM404" i="29"/>
  <c r="AM343" i="29"/>
  <c r="AM296" i="29"/>
  <c r="AM490" i="29"/>
  <c r="AM308" i="29"/>
  <c r="AM322" i="29"/>
  <c r="AM275" i="29"/>
  <c r="AM99" i="29"/>
  <c r="AM25" i="29"/>
  <c r="AM132" i="29"/>
  <c r="AM188" i="29"/>
  <c r="AM238" i="29"/>
  <c r="AO238" i="29" s="1"/>
  <c r="AM134" i="29"/>
  <c r="AM494" i="29"/>
  <c r="AM227" i="29"/>
  <c r="AM419" i="29"/>
  <c r="AM266" i="29"/>
  <c r="AM487" i="29"/>
  <c r="AM303" i="29"/>
  <c r="AM189" i="29"/>
  <c r="AO189" i="29" s="1"/>
  <c r="AM595" i="29"/>
  <c r="AM512" i="29"/>
  <c r="AM505" i="29"/>
  <c r="AM362" i="29"/>
  <c r="AM541" i="29"/>
  <c r="AM351" i="29"/>
  <c r="AM462" i="29"/>
  <c r="AM520" i="29"/>
  <c r="AM148" i="29"/>
  <c r="AM445" i="29"/>
  <c r="AM131" i="29"/>
  <c r="AM13" i="29"/>
  <c r="AM35" i="29"/>
  <c r="AM184" i="29"/>
  <c r="AM274" i="29"/>
  <c r="AM365" i="29"/>
  <c r="AM44" i="29"/>
  <c r="AM53" i="29"/>
  <c r="AM236" i="29"/>
  <c r="AM530" i="29"/>
  <c r="AM479" i="29"/>
  <c r="AM64" i="29"/>
  <c r="AM314" i="29"/>
  <c r="AM400" i="29"/>
  <c r="AM484" i="29"/>
  <c r="AM151" i="29"/>
  <c r="AM590" i="29"/>
  <c r="AM228" i="29"/>
  <c r="AM104" i="29"/>
  <c r="AM123" i="29"/>
  <c r="AM170" i="29"/>
  <c r="AM60" i="29"/>
  <c r="AO60" i="29" s="1"/>
  <c r="AM212" i="29"/>
  <c r="AM475" i="29"/>
  <c r="AM175" i="29"/>
  <c r="AM481" i="29"/>
  <c r="AM254" i="29"/>
  <c r="AM367" i="29"/>
  <c r="AM382" i="29"/>
  <c r="AM243" i="29"/>
  <c r="AM230" i="29"/>
  <c r="AM493" i="29"/>
  <c r="AM464" i="29"/>
  <c r="AO464" i="29" s="1"/>
  <c r="AM310" i="29"/>
  <c r="AM423" i="29"/>
  <c r="AM589" i="29"/>
  <c r="AM397" i="29"/>
  <c r="AM293" i="29"/>
  <c r="AM538" i="29"/>
  <c r="AM47" i="29"/>
  <c r="AM231" i="29"/>
  <c r="AM176" i="29"/>
  <c r="AM550" i="29"/>
  <c r="AM22" i="29"/>
  <c r="AM567" i="29"/>
  <c r="AM480" i="29"/>
  <c r="AM46" i="29"/>
  <c r="AM613" i="29"/>
  <c r="AM95" i="29"/>
  <c r="AM159" i="29"/>
  <c r="AM316" i="29"/>
  <c r="AM412" i="29"/>
  <c r="AM465" i="29"/>
  <c r="AM374" i="29"/>
  <c r="AM168" i="29"/>
  <c r="AM390" i="29"/>
  <c r="AM553" i="29"/>
  <c r="AM263" i="29"/>
  <c r="AM186" i="29"/>
  <c r="AM146" i="29"/>
  <c r="AM506" i="29"/>
  <c r="AM136" i="29"/>
  <c r="AM609" i="29"/>
  <c r="AM500" i="29"/>
  <c r="AM110" i="29"/>
  <c r="AM97" i="29"/>
  <c r="AO97" i="29" s="1"/>
  <c r="AM395" i="29"/>
  <c r="AM180" i="29"/>
  <c r="AM453" i="29"/>
  <c r="AM187" i="29"/>
  <c r="AM418" i="29"/>
  <c r="AM393" i="29"/>
  <c r="AM120" i="29"/>
  <c r="AM476" i="29"/>
  <c r="AM559" i="29"/>
  <c r="AM73" i="29"/>
  <c r="AM492" i="29"/>
  <c r="AM489" i="29"/>
  <c r="AM579" i="29"/>
  <c r="AM218" i="29"/>
  <c r="AM152" i="29"/>
  <c r="AM265" i="29"/>
  <c r="AM244" i="29"/>
  <c r="AM415" i="29"/>
  <c r="AM49" i="29"/>
  <c r="AM497" i="29"/>
  <c r="AM141" i="29"/>
  <c r="AM54" i="29"/>
  <c r="AM463" i="29"/>
  <c r="AM394" i="29"/>
  <c r="AM105" i="29"/>
  <c r="AM377" i="29"/>
  <c r="AP114" i="29"/>
  <c r="AQ114" i="29" s="1"/>
  <c r="AR114" i="29" s="1"/>
  <c r="AP204" i="29"/>
  <c r="AQ204" i="29" s="1"/>
  <c r="AR204" i="29" s="1"/>
  <c r="AP132" i="29"/>
  <c r="AQ132" i="29" s="1"/>
  <c r="AR132" i="29" s="1"/>
  <c r="AP255" i="29"/>
  <c r="AQ255" i="29" s="1"/>
  <c r="AR255" i="29" s="1"/>
  <c r="AP290" i="29"/>
  <c r="AQ290" i="29" s="1"/>
  <c r="AR290" i="29" s="1"/>
  <c r="AP330" i="29"/>
  <c r="AQ330" i="29" s="1"/>
  <c r="AR330" i="29" s="1"/>
  <c r="AP306" i="29"/>
  <c r="AQ306" i="29" s="1"/>
  <c r="AR306" i="29" s="1"/>
  <c r="AP84" i="29"/>
  <c r="AQ84" i="29" s="1"/>
  <c r="AR84" i="29" s="1"/>
  <c r="AP167" i="29"/>
  <c r="AQ167" i="29" s="1"/>
  <c r="AR167" i="29" s="1"/>
  <c r="AP459" i="29"/>
  <c r="AQ459" i="29" s="1"/>
  <c r="AR459" i="29" s="1"/>
  <c r="AP599" i="29"/>
  <c r="AQ599" i="29" s="1"/>
  <c r="AR599" i="29" s="1"/>
  <c r="AP520" i="29"/>
  <c r="AQ520" i="29" s="1"/>
  <c r="AR520" i="29" s="1"/>
  <c r="AP237" i="29"/>
  <c r="AQ237" i="29" s="1"/>
  <c r="AR237" i="29" s="1"/>
  <c r="AP175" i="29"/>
  <c r="AQ175" i="29" s="1"/>
  <c r="AR175" i="29" s="1"/>
  <c r="AP311" i="29"/>
  <c r="AQ311" i="29" s="1"/>
  <c r="AR311" i="29" s="1"/>
  <c r="AP557" i="29"/>
  <c r="AQ557" i="29" s="1"/>
  <c r="AR557" i="29" s="1"/>
  <c r="AP293" i="29"/>
  <c r="AQ293" i="29" s="1"/>
  <c r="AR293" i="29" s="1"/>
  <c r="AP450" i="29"/>
  <c r="AQ450" i="29" s="1"/>
  <c r="AR450" i="29" s="1"/>
  <c r="AP308" i="29"/>
  <c r="AQ308" i="29" s="1"/>
  <c r="AR308" i="29" s="1"/>
  <c r="AP417" i="29"/>
  <c r="AQ417" i="29" s="1"/>
  <c r="AR417" i="29" s="1"/>
  <c r="AP586" i="29"/>
  <c r="AQ586" i="29" s="1"/>
  <c r="AR586" i="29" s="1"/>
  <c r="AP488" i="29"/>
  <c r="AQ488" i="29" s="1"/>
  <c r="AR488" i="29" s="1"/>
  <c r="AM611" i="29"/>
  <c r="AP86" i="29"/>
  <c r="AQ86" i="29" s="1"/>
  <c r="AR86" i="29" s="1"/>
  <c r="AP213" i="29"/>
  <c r="AQ213" i="29" s="1"/>
  <c r="AR213" i="29" s="1"/>
  <c r="AP54" i="29"/>
  <c r="AQ54" i="29" s="1"/>
  <c r="AR54" i="29" s="1"/>
  <c r="AP233" i="29"/>
  <c r="AQ233" i="29" s="1"/>
  <c r="AR233" i="29" s="1"/>
  <c r="AP593" i="29"/>
  <c r="AQ593" i="29" s="1"/>
  <c r="AR593" i="29" s="1"/>
  <c r="AP502" i="29"/>
  <c r="AQ502" i="29" s="1"/>
  <c r="AR502" i="29" s="1"/>
  <c r="AP195" i="29"/>
  <c r="AQ195" i="29" s="1"/>
  <c r="AR195" i="29" s="1"/>
  <c r="AP168" i="29"/>
  <c r="AQ168" i="29" s="1"/>
  <c r="AR168" i="29" s="1"/>
  <c r="AP82" i="29"/>
  <c r="AQ82" i="29" s="1"/>
  <c r="AR82" i="29" s="1"/>
  <c r="AP321" i="29"/>
  <c r="AQ321" i="29" s="1"/>
  <c r="AR321" i="29" s="1"/>
  <c r="AP382" i="29"/>
  <c r="AQ382" i="29" s="1"/>
  <c r="AR382" i="29" s="1"/>
  <c r="AP253" i="29"/>
  <c r="AQ253" i="29" s="1"/>
  <c r="AR253" i="29" s="1"/>
  <c r="AP294" i="29"/>
  <c r="AQ294" i="29" s="1"/>
  <c r="AR294" i="29" s="1"/>
  <c r="AP567" i="29"/>
  <c r="AQ567" i="29" s="1"/>
  <c r="AR567" i="29" s="1"/>
  <c r="AP236" i="29"/>
  <c r="AQ236" i="29" s="1"/>
  <c r="AR236" i="29" s="1"/>
  <c r="AP507" i="29"/>
  <c r="AQ507" i="29" s="1"/>
  <c r="AR507" i="29" s="1"/>
  <c r="AP198" i="29"/>
  <c r="AQ198" i="29" s="1"/>
  <c r="AR198" i="29" s="1"/>
  <c r="AP367" i="29"/>
  <c r="AQ367" i="29" s="1"/>
  <c r="AR367" i="29" s="1"/>
  <c r="AP98" i="29"/>
  <c r="AQ98" i="29" s="1"/>
  <c r="AR98" i="29" s="1"/>
  <c r="AP383" i="29"/>
  <c r="AQ383" i="29" s="1"/>
  <c r="AR383" i="29" s="1"/>
  <c r="AP454" i="29"/>
  <c r="AQ454" i="29" s="1"/>
  <c r="AR454" i="29" s="1"/>
  <c r="AP379" i="29"/>
  <c r="AQ379" i="29" s="1"/>
  <c r="AR379" i="29" s="1"/>
  <c r="AM452" i="29"/>
  <c r="AO452" i="29" s="1"/>
  <c r="AP349" i="29"/>
  <c r="AQ349" i="29" s="1"/>
  <c r="AR349" i="29" s="1"/>
  <c r="AP248" i="29"/>
  <c r="AQ248" i="29" s="1"/>
  <c r="AR248" i="29" s="1"/>
  <c r="AP577" i="29"/>
  <c r="AQ577" i="29" s="1"/>
  <c r="AR577" i="29" s="1"/>
  <c r="AP281" i="29"/>
  <c r="AQ281" i="29" s="1"/>
  <c r="AR281" i="29" s="1"/>
  <c r="AP485" i="29"/>
  <c r="AQ485" i="29" s="1"/>
  <c r="AR485" i="29" s="1"/>
  <c r="AP572" i="29"/>
  <c r="AQ572" i="29" s="1"/>
  <c r="AR572" i="29" s="1"/>
  <c r="AP201" i="29"/>
  <c r="AQ201" i="29" s="1"/>
  <c r="AR201" i="29" s="1"/>
  <c r="AM36" i="29"/>
  <c r="AP282" i="29"/>
  <c r="AQ282" i="29" s="1"/>
  <c r="AR282" i="29" s="1"/>
  <c r="AP468" i="29"/>
  <c r="AQ468" i="29" s="1"/>
  <c r="AR468" i="29" s="1"/>
  <c r="AP476" i="29"/>
  <c r="AQ476" i="29" s="1"/>
  <c r="AR476" i="29" s="1"/>
  <c r="AP340" i="29"/>
  <c r="AQ340" i="29" s="1"/>
  <c r="AR340" i="29" s="1"/>
  <c r="AP522" i="29"/>
  <c r="AQ522" i="29" s="1"/>
  <c r="AR522" i="29" s="1"/>
  <c r="AP243" i="29"/>
  <c r="AQ243" i="29" s="1"/>
  <c r="AR243" i="29" s="1"/>
  <c r="AP221" i="29"/>
  <c r="AQ221" i="29" s="1"/>
  <c r="AR221" i="29" s="1"/>
  <c r="AP176" i="29"/>
  <c r="AQ176" i="29" s="1"/>
  <c r="AR176" i="29" s="1"/>
  <c r="AP75" i="29"/>
  <c r="AQ75" i="29" s="1"/>
  <c r="AR75" i="29" s="1"/>
  <c r="AP527" i="29"/>
  <c r="AQ527" i="29" s="1"/>
  <c r="AR527" i="29" s="1"/>
  <c r="AP52" i="29"/>
  <c r="AQ52" i="29" s="1"/>
  <c r="AR52" i="29" s="1"/>
  <c r="AP24" i="29"/>
  <c r="AQ24" i="29" s="1"/>
  <c r="AR24" i="29" s="1"/>
  <c r="AP418" i="29"/>
  <c r="AQ418" i="29" s="1"/>
  <c r="AR418" i="29" s="1"/>
  <c r="AP179" i="29"/>
  <c r="AQ179" i="29" s="1"/>
  <c r="AR179" i="29" s="1"/>
  <c r="AP324" i="29"/>
  <c r="AQ324" i="29" s="1"/>
  <c r="AR324" i="29" s="1"/>
  <c r="AP590" i="29"/>
  <c r="AQ590" i="29" s="1"/>
  <c r="AR590" i="29" s="1"/>
  <c r="AP85" i="29"/>
  <c r="AQ85" i="29" s="1"/>
  <c r="AR85" i="29" s="1"/>
  <c r="AP223" i="29"/>
  <c r="AQ223" i="29" s="1"/>
  <c r="AR223" i="29" s="1"/>
  <c r="AP436" i="29"/>
  <c r="AQ436" i="29" s="1"/>
  <c r="AR436" i="29" s="1"/>
  <c r="AP441" i="29"/>
  <c r="AQ441" i="29" s="1"/>
  <c r="AR441" i="29" s="1"/>
  <c r="AP414" i="29"/>
  <c r="AQ414" i="29" s="1"/>
  <c r="AR414" i="29" s="1"/>
  <c r="AP26" i="29"/>
  <c r="AQ26" i="29" s="1"/>
  <c r="AR26" i="29" s="1"/>
  <c r="AP581" i="29"/>
  <c r="AQ581" i="29" s="1"/>
  <c r="AR581" i="29" s="1"/>
  <c r="AP105" i="29"/>
  <c r="AQ105" i="29" s="1"/>
  <c r="AR105" i="29" s="1"/>
  <c r="AP53" i="29"/>
  <c r="AQ53" i="29" s="1"/>
  <c r="AR53" i="29" s="1"/>
  <c r="AP451" i="29"/>
  <c r="AQ451" i="29" s="1"/>
  <c r="AR451" i="29" s="1"/>
  <c r="AP541" i="29"/>
  <c r="AQ541" i="29" s="1"/>
  <c r="AR541" i="29" s="1"/>
  <c r="AP58" i="29"/>
  <c r="AQ58" i="29" s="1"/>
  <c r="AR58" i="29" s="1"/>
  <c r="AP474" i="29"/>
  <c r="AQ474" i="29" s="1"/>
  <c r="AR474" i="29" s="1"/>
  <c r="AP192" i="29"/>
  <c r="AQ192" i="29" s="1"/>
  <c r="AR192" i="29" s="1"/>
  <c r="AP299" i="29"/>
  <c r="AQ299" i="29" s="1"/>
  <c r="AR299" i="29" s="1"/>
  <c r="AP466" i="29"/>
  <c r="AQ466" i="29" s="1"/>
  <c r="AR466" i="29" s="1"/>
  <c r="AP111" i="29"/>
  <c r="AQ111" i="29" s="1"/>
  <c r="AR111" i="29" s="1"/>
  <c r="AP524" i="29"/>
  <c r="AQ524" i="29" s="1"/>
  <c r="AR524" i="29" s="1"/>
  <c r="AP160" i="29"/>
  <c r="AQ160" i="29" s="1"/>
  <c r="AR160" i="29" s="1"/>
  <c r="AP226" i="29"/>
  <c r="AQ226" i="29" s="1"/>
  <c r="AR226" i="29" s="1"/>
  <c r="AM511" i="29"/>
  <c r="AP554" i="29"/>
  <c r="AQ554" i="29" s="1"/>
  <c r="AR554" i="29" s="1"/>
  <c r="AP212" i="29"/>
  <c r="AQ212" i="29" s="1"/>
  <c r="AR212" i="29" s="1"/>
  <c r="AP467" i="29"/>
  <c r="AQ467" i="29" s="1"/>
  <c r="AR467" i="29" s="1"/>
  <c r="AP180" i="29"/>
  <c r="AQ180" i="29" s="1"/>
  <c r="AR180" i="29" s="1"/>
  <c r="AP309" i="29"/>
  <c r="AQ309" i="29" s="1"/>
  <c r="AR309" i="29" s="1"/>
  <c r="AP410" i="29"/>
  <c r="AQ410" i="29" s="1"/>
  <c r="AR410" i="29" s="1"/>
  <c r="AP288" i="29"/>
  <c r="AQ288" i="29" s="1"/>
  <c r="AR288" i="29" s="1"/>
  <c r="AP380" i="29"/>
  <c r="AQ380" i="29" s="1"/>
  <c r="AR380" i="29" s="1"/>
  <c r="AP603" i="29"/>
  <c r="AQ603" i="29" s="1"/>
  <c r="AR603" i="29" s="1"/>
  <c r="AP206" i="29"/>
  <c r="AQ206" i="29" s="1"/>
  <c r="AR206" i="29" s="1"/>
  <c r="AP392" i="29"/>
  <c r="AQ392" i="29" s="1"/>
  <c r="AR392" i="29" s="1"/>
  <c r="AP481" i="29"/>
  <c r="AQ481" i="29" s="1"/>
  <c r="AR481" i="29" s="1"/>
  <c r="AP109" i="29"/>
  <c r="AQ109" i="29" s="1"/>
  <c r="AR109" i="29" s="1"/>
  <c r="AP208" i="29"/>
  <c r="AQ208" i="29" s="1"/>
  <c r="AR208" i="29" s="1"/>
  <c r="AP218" i="29"/>
  <c r="AQ218" i="29" s="1"/>
  <c r="AR218" i="29" s="1"/>
  <c r="AP222" i="29"/>
  <c r="AQ222" i="29" s="1"/>
  <c r="AR222" i="29" s="1"/>
  <c r="AP352" i="29"/>
  <c r="AQ352" i="29" s="1"/>
  <c r="AR352" i="29" s="1"/>
  <c r="AP302" i="29"/>
  <c r="AQ302" i="29" s="1"/>
  <c r="AR302" i="29" s="1"/>
  <c r="AP122" i="29"/>
  <c r="AQ122" i="29" s="1"/>
  <c r="AR122" i="29" s="1"/>
  <c r="AP35" i="29"/>
  <c r="AQ35" i="29" s="1"/>
  <c r="AR35" i="29" s="1"/>
  <c r="AP545" i="29"/>
  <c r="AQ545" i="29" s="1"/>
  <c r="AR545" i="29" s="1"/>
  <c r="AP36" i="29"/>
  <c r="AQ36" i="29" s="1"/>
  <c r="AR36" i="29" s="1"/>
  <c r="D52" i="29"/>
  <c r="D54" i="29" s="1"/>
  <c r="AM536" i="29"/>
  <c r="AP153" i="29"/>
  <c r="AQ153" i="29" s="1"/>
  <c r="AR153" i="29" s="1"/>
  <c r="AP187" i="29"/>
  <c r="AQ187" i="29" s="1"/>
  <c r="AR187" i="29" s="1"/>
  <c r="AP144" i="29"/>
  <c r="AQ144" i="29" s="1"/>
  <c r="AR144" i="29" s="1"/>
  <c r="AP210" i="29"/>
  <c r="AQ210" i="29" s="1"/>
  <c r="AR210" i="29" s="1"/>
  <c r="AP214" i="29"/>
  <c r="AQ214" i="29" s="1"/>
  <c r="AR214" i="29" s="1"/>
  <c r="AP518" i="29"/>
  <c r="AQ518" i="29" s="1"/>
  <c r="AR518" i="29" s="1"/>
  <c r="AP351" i="29"/>
  <c r="AQ351" i="29" s="1"/>
  <c r="AR351" i="29" s="1"/>
  <c r="AP194" i="29"/>
  <c r="AQ194" i="29" s="1"/>
  <c r="AR194" i="29" s="1"/>
  <c r="AP163" i="29"/>
  <c r="AQ163" i="29" s="1"/>
  <c r="AR163" i="29" s="1"/>
  <c r="AP61" i="29"/>
  <c r="AQ61" i="29" s="1"/>
  <c r="AR61" i="29" s="1"/>
  <c r="AP430" i="29"/>
  <c r="AQ430" i="29" s="1"/>
  <c r="AR430" i="29" s="1"/>
  <c r="AP139" i="29"/>
  <c r="AQ139" i="29" s="1"/>
  <c r="AR139" i="29" s="1"/>
  <c r="AP182" i="29"/>
  <c r="AQ182" i="29" s="1"/>
  <c r="AR182" i="29" s="1"/>
  <c r="AP534" i="29"/>
  <c r="AQ534" i="29" s="1"/>
  <c r="AR534" i="29" s="1"/>
  <c r="AP137" i="29"/>
  <c r="AQ137" i="29" s="1"/>
  <c r="AR137" i="29" s="1"/>
  <c r="AP536" i="29"/>
  <c r="AQ536" i="29" s="1"/>
  <c r="AR536" i="29" s="1"/>
  <c r="AP186" i="29"/>
  <c r="AQ186" i="29" s="1"/>
  <c r="AR186" i="29" s="1"/>
  <c r="AP568" i="29"/>
  <c r="AQ568" i="29" s="1"/>
  <c r="AR568" i="29" s="1"/>
  <c r="AP583" i="29"/>
  <c r="AQ583" i="29" s="1"/>
  <c r="AR583" i="29" s="1"/>
  <c r="AP66" i="29"/>
  <c r="AQ66" i="29" s="1"/>
  <c r="AR66" i="29" s="1"/>
  <c r="AP125" i="29"/>
  <c r="AQ125" i="29" s="1"/>
  <c r="AR125" i="29" s="1"/>
  <c r="AP147" i="29"/>
  <c r="AQ147" i="29" s="1"/>
  <c r="AR147" i="29" s="1"/>
  <c r="AP197" i="29"/>
  <c r="AQ197" i="29" s="1"/>
  <c r="AR197" i="29" s="1"/>
  <c r="AP291" i="29"/>
  <c r="AQ291" i="29" s="1"/>
  <c r="AR291" i="29" s="1"/>
  <c r="AP491" i="29"/>
  <c r="AQ491" i="29" s="1"/>
  <c r="AR491" i="29" s="1"/>
  <c r="AP217" i="29"/>
  <c r="AQ217" i="29" s="1"/>
  <c r="AR217" i="29" s="1"/>
  <c r="AP32" i="29"/>
  <c r="AQ32" i="29" s="1"/>
  <c r="AR32" i="29" s="1"/>
  <c r="AP56" i="29"/>
  <c r="AQ56" i="29" s="1"/>
  <c r="AR56" i="29" s="1"/>
  <c r="AP134" i="29"/>
  <c r="AQ134" i="29" s="1"/>
  <c r="AR134" i="29" s="1"/>
  <c r="AP13" i="29"/>
  <c r="AQ13" i="29" s="1"/>
  <c r="AR13" i="29" s="1"/>
  <c r="AP356" i="29"/>
  <c r="AQ356" i="29" s="1"/>
  <c r="AR356" i="29" s="1"/>
  <c r="AP34" i="29"/>
  <c r="AQ34" i="29" s="1"/>
  <c r="AR34" i="29" s="1"/>
  <c r="AP475" i="29"/>
  <c r="AQ475" i="29" s="1"/>
  <c r="AR475" i="29" s="1"/>
  <c r="AP270" i="29"/>
  <c r="AQ270" i="29" s="1"/>
  <c r="AR270" i="29" s="1"/>
  <c r="AP357" i="29"/>
  <c r="AQ357" i="29" s="1"/>
  <c r="AR357" i="29" s="1"/>
  <c r="AP50" i="29"/>
  <c r="AQ50" i="29" s="1"/>
  <c r="AR50" i="29" s="1"/>
  <c r="AP447" i="29"/>
  <c r="AQ447" i="29" s="1"/>
  <c r="AR447" i="29" s="1"/>
  <c r="AP483" i="29"/>
  <c r="AQ483" i="29" s="1"/>
  <c r="AR483" i="29" s="1"/>
  <c r="AP533" i="29"/>
  <c r="AQ533" i="29" s="1"/>
  <c r="AR533" i="29" s="1"/>
  <c r="AP136" i="29"/>
  <c r="AQ136" i="29" s="1"/>
  <c r="AR136" i="29" s="1"/>
  <c r="AP15" i="29"/>
  <c r="AQ15" i="29" s="1"/>
  <c r="AR15" i="29" s="1"/>
  <c r="AP543" i="29"/>
  <c r="AQ543" i="29" s="1"/>
  <c r="AR543" i="29" s="1"/>
  <c r="AP78" i="29"/>
  <c r="AQ78" i="29" s="1"/>
  <c r="AR78" i="29" s="1"/>
  <c r="AP336" i="29"/>
  <c r="AQ336" i="29" s="1"/>
  <c r="AR336" i="29" s="1"/>
  <c r="AM181" i="29"/>
  <c r="AM523" i="29"/>
  <c r="AP347" i="29"/>
  <c r="AQ347" i="29" s="1"/>
  <c r="AR347" i="29" s="1"/>
  <c r="AP610" i="29"/>
  <c r="AQ610" i="29" s="1"/>
  <c r="AR610" i="29" s="1"/>
  <c r="AP241" i="29"/>
  <c r="AQ241" i="29" s="1"/>
  <c r="AR241" i="29" s="1"/>
  <c r="AP96" i="29"/>
  <c r="AQ96" i="29" s="1"/>
  <c r="AR96" i="29" s="1"/>
  <c r="AP280" i="29"/>
  <c r="AQ280" i="29" s="1"/>
  <c r="AR280" i="29" s="1"/>
  <c r="AP440" i="29"/>
  <c r="AQ440" i="29" s="1"/>
  <c r="AR440" i="29" s="1"/>
  <c r="AP33" i="29"/>
  <c r="AQ33" i="29" s="1"/>
  <c r="AR33" i="29" s="1"/>
  <c r="AP434" i="29"/>
  <c r="AQ434" i="29" s="1"/>
  <c r="AR434" i="29" s="1"/>
  <c r="AP276" i="29"/>
  <c r="AQ276" i="29" s="1"/>
  <c r="AR276" i="29" s="1"/>
  <c r="AP322" i="29"/>
  <c r="AQ322" i="29" s="1"/>
  <c r="AR322" i="29" s="1"/>
  <c r="AP133" i="29"/>
  <c r="AQ133" i="29" s="1"/>
  <c r="AR133" i="29" s="1"/>
  <c r="AP227" i="29"/>
  <c r="AQ227" i="29" s="1"/>
  <c r="AR227" i="29" s="1"/>
  <c r="AP516" i="29"/>
  <c r="AQ516" i="29" s="1"/>
  <c r="AR516" i="29" s="1"/>
  <c r="AP360" i="29"/>
  <c r="AQ360" i="29" s="1"/>
  <c r="AR360" i="29" s="1"/>
  <c r="AP131" i="29"/>
  <c r="AQ131" i="29" s="1"/>
  <c r="AR131" i="29" s="1"/>
  <c r="AP44" i="29"/>
  <c r="AQ44" i="29" s="1"/>
  <c r="AR44" i="29" s="1"/>
  <c r="AP224" i="29"/>
  <c r="AQ224" i="29" s="1"/>
  <c r="AR224" i="29" s="1"/>
  <c r="AP539" i="29"/>
  <c r="AQ539" i="29" s="1"/>
  <c r="AR539" i="29" s="1"/>
  <c r="AP207" i="29"/>
  <c r="AQ207" i="29" s="1"/>
  <c r="AR207" i="29" s="1"/>
  <c r="AP424" i="29"/>
  <c r="AQ424" i="29" s="1"/>
  <c r="AR424" i="29" s="1"/>
  <c r="AP529" i="29"/>
  <c r="AQ529" i="29" s="1"/>
  <c r="AR529" i="29" s="1"/>
  <c r="AP129" i="29"/>
  <c r="AQ129" i="29" s="1"/>
  <c r="AR129" i="29" s="1"/>
  <c r="AP613" i="29"/>
  <c r="AQ613" i="29" s="1"/>
  <c r="AR613" i="29" s="1"/>
  <c r="AP265" i="29"/>
  <c r="AQ265" i="29" s="1"/>
  <c r="AR265" i="29" s="1"/>
  <c r="AP433" i="29"/>
  <c r="AQ433" i="29" s="1"/>
  <c r="AR433" i="29" s="1"/>
  <c r="AP505" i="29"/>
  <c r="AQ505" i="29" s="1"/>
  <c r="AR505" i="29" s="1"/>
  <c r="AP57" i="29"/>
  <c r="AQ57" i="29" s="1"/>
  <c r="AR57" i="29" s="1"/>
  <c r="AP178" i="29"/>
  <c r="AQ178" i="29" s="1"/>
  <c r="AR178" i="29" s="1"/>
  <c r="AP277" i="29"/>
  <c r="AQ277" i="29" s="1"/>
  <c r="AR277" i="29" s="1"/>
  <c r="AP200" i="29"/>
  <c r="AQ200" i="29" s="1"/>
  <c r="AR200" i="29" s="1"/>
  <c r="AP449" i="29"/>
  <c r="AQ449" i="29" s="1"/>
  <c r="AR449" i="29" s="1"/>
  <c r="AP113" i="29"/>
  <c r="AQ113" i="29" s="1"/>
  <c r="AR113" i="29" s="1"/>
  <c r="AP73" i="29"/>
  <c r="AQ73" i="29" s="1"/>
  <c r="AR73" i="29" s="1"/>
  <c r="AP59" i="29"/>
  <c r="AQ59" i="29" s="1"/>
  <c r="AR59" i="29" s="1"/>
  <c r="AP540" i="29"/>
  <c r="AQ540" i="29" s="1"/>
  <c r="AR540" i="29" s="1"/>
  <c r="AP92" i="29"/>
  <c r="AQ92" i="29" s="1"/>
  <c r="AR92" i="29" s="1"/>
  <c r="AP335" i="29"/>
  <c r="AQ335" i="29" s="1"/>
  <c r="AR335" i="29" s="1"/>
  <c r="AP251" i="29"/>
  <c r="AQ251" i="29" s="1"/>
  <c r="AR251" i="29" s="1"/>
  <c r="AP438" i="29"/>
  <c r="AQ438" i="29" s="1"/>
  <c r="AR438" i="29" s="1"/>
  <c r="AP108" i="29"/>
  <c r="AQ108" i="29" s="1"/>
  <c r="AR108" i="29" s="1"/>
  <c r="AP183" i="29"/>
  <c r="AQ183" i="29" s="1"/>
  <c r="AR183" i="29" s="1"/>
  <c r="AP283" i="29"/>
  <c r="AQ283" i="29" s="1"/>
  <c r="AR283" i="29" s="1"/>
  <c r="AP170" i="29"/>
  <c r="AQ170" i="29" s="1"/>
  <c r="AR170" i="29" s="1"/>
  <c r="AP530" i="29"/>
  <c r="AQ530" i="29" s="1"/>
  <c r="AR530" i="29" s="1"/>
  <c r="AP388" i="29"/>
  <c r="AQ388" i="29" s="1"/>
  <c r="AR388" i="29" s="1"/>
  <c r="AP18" i="29"/>
  <c r="AQ18" i="29" s="1"/>
  <c r="AR18" i="29" s="1"/>
  <c r="AP284" i="29"/>
  <c r="AQ284" i="29" s="1"/>
  <c r="AR284" i="29" s="1"/>
  <c r="AP307" i="29"/>
  <c r="AQ307" i="29" s="1"/>
  <c r="AR307" i="29" s="1"/>
  <c r="AP310" i="29"/>
  <c r="AQ310" i="29" s="1"/>
  <c r="AR310" i="29" s="1"/>
  <c r="AP273" i="29"/>
  <c r="AQ273" i="29" s="1"/>
  <c r="AR273" i="29" s="1"/>
  <c r="AP215" i="29"/>
  <c r="AQ215" i="29" s="1"/>
  <c r="AR215" i="29" s="1"/>
  <c r="AP582" i="29"/>
  <c r="AQ582" i="29" s="1"/>
  <c r="AR582" i="29" s="1"/>
  <c r="AP478" i="29"/>
  <c r="AQ478" i="29" s="1"/>
  <c r="AR478" i="29" s="1"/>
  <c r="AP67" i="29"/>
  <c r="AQ67" i="29" s="1"/>
  <c r="AR67" i="29" s="1"/>
  <c r="AP546" i="29"/>
  <c r="AQ546" i="29" s="1"/>
  <c r="AR546" i="29" s="1"/>
  <c r="AP551" i="29"/>
  <c r="AQ551" i="29" s="1"/>
  <c r="AR551" i="29" s="1"/>
  <c r="AP46" i="29"/>
  <c r="AQ46" i="29" s="1"/>
  <c r="AR46" i="29" s="1"/>
  <c r="AP161" i="29"/>
  <c r="AQ161" i="29" s="1"/>
  <c r="AR161" i="29" s="1"/>
  <c r="AP393" i="29"/>
  <c r="AQ393" i="29" s="1"/>
  <c r="AR393" i="29" s="1"/>
  <c r="AP193" i="29"/>
  <c r="AQ193" i="29" s="1"/>
  <c r="AR193" i="29" s="1"/>
  <c r="AP526" i="29"/>
  <c r="AQ526" i="29" s="1"/>
  <c r="AR526" i="29" s="1"/>
  <c r="AP239" i="29"/>
  <c r="AQ239" i="29" s="1"/>
  <c r="AR239" i="29" s="1"/>
  <c r="AP37" i="29"/>
  <c r="AQ37" i="29" s="1"/>
  <c r="AR37" i="29" s="1"/>
  <c r="AP523" i="29"/>
  <c r="AQ523" i="29" s="1"/>
  <c r="AR523" i="29" s="1"/>
  <c r="AP40" i="29"/>
  <c r="AQ40" i="29" s="1"/>
  <c r="AR40" i="29" s="1"/>
  <c r="AP370" i="29"/>
  <c r="AQ370" i="29" s="1"/>
  <c r="AR370" i="29" s="1"/>
  <c r="AP188" i="29"/>
  <c r="AQ188" i="29" s="1"/>
  <c r="AR188" i="29" s="1"/>
  <c r="AP72" i="29"/>
  <c r="AQ72" i="29" s="1"/>
  <c r="AR72" i="29" s="1"/>
  <c r="AP547" i="29"/>
  <c r="AQ547" i="29" s="1"/>
  <c r="AR547" i="29" s="1"/>
  <c r="AP445" i="29"/>
  <c r="AQ445" i="29" s="1"/>
  <c r="AR445" i="29" s="1"/>
  <c r="AP573" i="29"/>
  <c r="AQ573" i="29" s="1"/>
  <c r="AR573" i="29" s="1"/>
  <c r="AP456" i="29"/>
  <c r="AQ456" i="29" s="1"/>
  <c r="AR456" i="29" s="1"/>
  <c r="AP318" i="29"/>
  <c r="AQ318" i="29" s="1"/>
  <c r="AR318" i="29" s="1"/>
  <c r="AP298" i="29"/>
  <c r="AQ298" i="29" s="1"/>
  <c r="AR298" i="29" s="1"/>
  <c r="AP49" i="29"/>
  <c r="AQ49" i="29" s="1"/>
  <c r="AR49" i="29" s="1"/>
  <c r="AP446" i="29"/>
  <c r="AQ446" i="29" s="1"/>
  <c r="AR446" i="29" s="1"/>
  <c r="AP189" i="29"/>
  <c r="AQ189" i="29" s="1"/>
  <c r="AR189" i="29" s="1"/>
  <c r="AP70" i="29"/>
  <c r="AQ70" i="29" s="1"/>
  <c r="AR70" i="29" s="1"/>
  <c r="AP531" i="29"/>
  <c r="AQ531" i="29" s="1"/>
  <c r="AR531" i="29" s="1"/>
  <c r="AP329" i="29"/>
  <c r="AQ329" i="29" s="1"/>
  <c r="AR329" i="29" s="1"/>
  <c r="AP240" i="29"/>
  <c r="AQ240" i="29" s="1"/>
  <c r="AR240" i="29" s="1"/>
  <c r="AP146" i="29"/>
  <c r="AQ146" i="29" s="1"/>
  <c r="AR146" i="29" s="1"/>
  <c r="AP320" i="29"/>
  <c r="AQ320" i="29" s="1"/>
  <c r="AR320" i="29" s="1"/>
  <c r="AP448" i="29"/>
  <c r="AQ448" i="29" s="1"/>
  <c r="AR448" i="29" s="1"/>
  <c r="AP39" i="29"/>
  <c r="AQ39" i="29" s="1"/>
  <c r="AR39" i="29" s="1"/>
  <c r="AP381" i="29"/>
  <c r="AQ381" i="29" s="1"/>
  <c r="AR381" i="29" s="1"/>
  <c r="AP138" i="29"/>
  <c r="AQ138" i="29" s="1"/>
  <c r="AR138" i="29" s="1"/>
  <c r="AP313" i="29"/>
  <c r="AQ313" i="29" s="1"/>
  <c r="AR313" i="29" s="1"/>
  <c r="AP558" i="29"/>
  <c r="AQ558" i="29" s="1"/>
  <c r="AR558" i="29" s="1"/>
  <c r="AP415" i="29"/>
  <c r="AQ415" i="29" s="1"/>
  <c r="AR415" i="29" s="1"/>
  <c r="AP519" i="29"/>
  <c r="AQ519" i="29" s="1"/>
  <c r="AR519" i="29" s="1"/>
  <c r="AP257" i="29"/>
  <c r="AQ257" i="29" s="1"/>
  <c r="AR257" i="29" s="1"/>
  <c r="AP225" i="29"/>
  <c r="AQ225" i="29" s="1"/>
  <c r="AR225" i="29" s="1"/>
  <c r="AP235" i="29"/>
  <c r="AQ235" i="29" s="1"/>
  <c r="AR235" i="29" s="1"/>
  <c r="AP559" i="29"/>
  <c r="AQ559" i="29" s="1"/>
  <c r="AR559" i="29" s="1"/>
  <c r="AP597" i="29"/>
  <c r="AQ597" i="29" s="1"/>
  <c r="AR597" i="29" s="1"/>
  <c r="AP171" i="29"/>
  <c r="AQ171" i="29" s="1"/>
  <c r="AR171" i="29" s="1"/>
  <c r="AP65" i="29"/>
  <c r="AQ65" i="29" s="1"/>
  <c r="AR65" i="29" s="1"/>
  <c r="AP141" i="29"/>
  <c r="AQ141" i="29" s="1"/>
  <c r="AR141" i="29" s="1"/>
  <c r="AP107" i="29"/>
  <c r="AQ107" i="29" s="1"/>
  <c r="AR107" i="29" s="1"/>
  <c r="AP348" i="29"/>
  <c r="AQ348" i="29" s="1"/>
  <c r="AR348" i="29" s="1"/>
  <c r="AP71" i="29"/>
  <c r="AQ71" i="29" s="1"/>
  <c r="AR71" i="29" s="1"/>
  <c r="AP428" i="29"/>
  <c r="AQ428" i="29" s="1"/>
  <c r="AR428" i="29" s="1"/>
  <c r="AP337" i="29"/>
  <c r="AQ337" i="29" s="1"/>
  <c r="AR337" i="29" s="1"/>
  <c r="AP538" i="29"/>
  <c r="AQ538" i="29" s="1"/>
  <c r="AR538" i="29" s="1"/>
  <c r="AP552" i="29"/>
  <c r="AQ552" i="29" s="1"/>
  <c r="AR552" i="29" s="1"/>
  <c r="AP115" i="29"/>
  <c r="AQ115" i="29" s="1"/>
  <c r="AR115" i="29" s="1"/>
  <c r="AP396" i="29"/>
  <c r="AQ396" i="29" s="1"/>
  <c r="AR396" i="29" s="1"/>
  <c r="AP574" i="29"/>
  <c r="AQ574" i="29" s="1"/>
  <c r="AR574" i="29" s="1"/>
  <c r="AP423" i="29"/>
  <c r="AQ423" i="29" s="1"/>
  <c r="AR423" i="29" s="1"/>
  <c r="AP354" i="29"/>
  <c r="AQ354" i="29" s="1"/>
  <c r="AR354" i="29" s="1"/>
  <c r="AP358" i="29"/>
  <c r="AQ358" i="29" s="1"/>
  <c r="AR358" i="29" s="1"/>
  <c r="AP612" i="29"/>
  <c r="AQ612" i="29" s="1"/>
  <c r="AR612" i="29" s="1"/>
  <c r="AP94" i="29"/>
  <c r="AQ94" i="29" s="1"/>
  <c r="AR94" i="29" s="1"/>
  <c r="AP196" i="29"/>
  <c r="AQ196" i="29" s="1"/>
  <c r="AR196" i="29" s="1"/>
  <c r="AP611" i="29"/>
  <c r="AQ611" i="29" s="1"/>
  <c r="AR611" i="29" s="1"/>
  <c r="AP262" i="29"/>
  <c r="AQ262" i="29" s="1"/>
  <c r="AR262" i="29" s="1"/>
  <c r="AP267" i="29"/>
  <c r="AQ267" i="29" s="1"/>
  <c r="AR267" i="29" s="1"/>
  <c r="AP595" i="29"/>
  <c r="AQ595" i="29" s="1"/>
  <c r="AR595" i="29" s="1"/>
  <c r="AP405" i="29"/>
  <c r="AQ405" i="29" s="1"/>
  <c r="AR405" i="29" s="1"/>
  <c r="AP231" i="29"/>
  <c r="AQ231" i="29" s="1"/>
  <c r="AR231" i="29" s="1"/>
  <c r="AP490" i="29"/>
  <c r="AQ490" i="29" s="1"/>
  <c r="AR490" i="29" s="1"/>
  <c r="AP461" i="29"/>
  <c r="AQ461" i="29" s="1"/>
  <c r="AR461" i="29" s="1"/>
  <c r="AP355" i="29"/>
  <c r="AQ355" i="29" s="1"/>
  <c r="AR355" i="29" s="1"/>
  <c r="AP435" i="29"/>
  <c r="AQ435" i="29" s="1"/>
  <c r="AR435" i="29" s="1"/>
  <c r="AP442" i="29"/>
  <c r="AQ442" i="29" s="1"/>
  <c r="AR442" i="29" s="1"/>
  <c r="AP106" i="29"/>
  <c r="AQ106" i="29" s="1"/>
  <c r="AR106" i="29" s="1"/>
  <c r="AP157" i="29"/>
  <c r="AQ157" i="29" s="1"/>
  <c r="AR157" i="29" s="1"/>
  <c r="AP101" i="29"/>
  <c r="AQ101" i="29" s="1"/>
  <c r="AR101" i="29" s="1"/>
  <c r="AP350" i="29"/>
  <c r="AQ350" i="29" s="1"/>
  <c r="AR350" i="29" s="1"/>
  <c r="AP130" i="29"/>
  <c r="AQ130" i="29" s="1"/>
  <c r="AR130" i="29" s="1"/>
  <c r="AP47" i="29"/>
  <c r="AQ47" i="29" s="1"/>
  <c r="AR47" i="29" s="1"/>
  <c r="AP173" i="29"/>
  <c r="AQ173" i="29" s="1"/>
  <c r="AR173" i="29" s="1"/>
  <c r="AP589" i="29"/>
  <c r="AQ589" i="29" s="1"/>
  <c r="AR589" i="29" s="1"/>
  <c r="AP17" i="29"/>
  <c r="AQ17" i="29" s="1"/>
  <c r="AR17" i="29" s="1"/>
  <c r="AP604" i="29"/>
  <c r="AQ604" i="29" s="1"/>
  <c r="AR604" i="29" s="1"/>
  <c r="AP104" i="29"/>
  <c r="AQ104" i="29" s="1"/>
  <c r="AR104" i="29" s="1"/>
  <c r="AP376" i="29"/>
  <c r="AQ376" i="29" s="1"/>
  <c r="AR376" i="29" s="1"/>
  <c r="AP498" i="29"/>
  <c r="AQ498" i="29" s="1"/>
  <c r="AR498" i="29" s="1"/>
  <c r="AP608" i="29"/>
  <c r="AQ608" i="29" s="1"/>
  <c r="AR608" i="29" s="1"/>
  <c r="AP334" i="29"/>
  <c r="AQ334" i="29" s="1"/>
  <c r="AR334" i="29" s="1"/>
  <c r="AP135" i="29"/>
  <c r="AQ135" i="29" s="1"/>
  <c r="AR135" i="29" s="1"/>
  <c r="AP166" i="29"/>
  <c r="AQ166" i="29" s="1"/>
  <c r="AR166" i="29" s="1"/>
  <c r="AP81" i="29"/>
  <c r="AQ81" i="29" s="1"/>
  <c r="AR81" i="29" s="1"/>
  <c r="AP169" i="29"/>
  <c r="AQ169" i="29" s="1"/>
  <c r="AR169" i="29" s="1"/>
  <c r="AP570" i="29"/>
  <c r="AQ570" i="29" s="1"/>
  <c r="AR570" i="29" s="1"/>
  <c r="AP158" i="29"/>
  <c r="AQ158" i="29" s="1"/>
  <c r="AR158" i="29" s="1"/>
  <c r="AP261" i="29"/>
  <c r="AQ261" i="29" s="1"/>
  <c r="AR261" i="29" s="1"/>
  <c r="AP317" i="29"/>
  <c r="AQ317" i="29" s="1"/>
  <c r="AR317" i="29" s="1"/>
  <c r="AP344" i="29"/>
  <c r="AQ344" i="29" s="1"/>
  <c r="AR344" i="29" s="1"/>
  <c r="AP301" i="29"/>
  <c r="AQ301" i="29" s="1"/>
  <c r="AR301" i="29" s="1"/>
  <c r="AP342" i="29"/>
  <c r="AQ342" i="29" s="1"/>
  <c r="AR342" i="29" s="1"/>
  <c r="AP278" i="29"/>
  <c r="AQ278" i="29" s="1"/>
  <c r="AR278" i="29" s="1"/>
  <c r="AP292" i="29"/>
  <c r="AQ292" i="29" s="1"/>
  <c r="AR292" i="29" s="1"/>
  <c r="AP398" i="29"/>
  <c r="AQ398" i="29" s="1"/>
  <c r="AR398" i="29" s="1"/>
  <c r="AP31" i="29"/>
  <c r="AQ31" i="29" s="1"/>
  <c r="AR31" i="29" s="1"/>
  <c r="AP90" i="29"/>
  <c r="AQ90" i="29" s="1"/>
  <c r="AR90" i="29" s="1"/>
  <c r="AP28" i="29"/>
  <c r="AQ28" i="29" s="1"/>
  <c r="AR28" i="29" s="1"/>
  <c r="AP544" i="29"/>
  <c r="AQ544" i="29" s="1"/>
  <c r="AR544" i="29" s="1"/>
  <c r="AP245" i="29"/>
  <c r="AQ245" i="29" s="1"/>
  <c r="AR245" i="29" s="1"/>
  <c r="AP19" i="29"/>
  <c r="AQ19" i="29" s="1"/>
  <c r="AR19" i="29" s="1"/>
  <c r="AP25" i="29"/>
  <c r="AQ25" i="29" s="1"/>
  <c r="AR25" i="29" s="1"/>
  <c r="AP124" i="29"/>
  <c r="AQ124" i="29" s="1"/>
  <c r="AR124" i="29" s="1"/>
  <c r="AP68" i="29"/>
  <c r="AQ68" i="29" s="1"/>
  <c r="AR68" i="29" s="1"/>
  <c r="AP140" i="29"/>
  <c r="AQ140" i="29" s="1"/>
  <c r="AR140" i="29" s="1"/>
  <c r="AP332" i="29"/>
  <c r="AQ332" i="29" s="1"/>
  <c r="AR332" i="29" s="1"/>
  <c r="AP203" i="29"/>
  <c r="AQ203" i="29" s="1"/>
  <c r="AR203" i="29" s="1"/>
  <c r="AP88" i="29"/>
  <c r="AQ88" i="29" s="1"/>
  <c r="AR88" i="29" s="1"/>
  <c r="AP494" i="29"/>
  <c r="AQ494" i="29" s="1"/>
  <c r="AR494" i="29" s="1"/>
  <c r="AP63" i="29"/>
  <c r="AQ63" i="29" s="1"/>
  <c r="AR63" i="29" s="1"/>
  <c r="AP87" i="29"/>
  <c r="AQ87" i="29" s="1"/>
  <c r="AR87" i="29" s="1"/>
  <c r="AP29" i="29"/>
  <c r="AQ29" i="29" s="1"/>
  <c r="AR29" i="29" s="1"/>
  <c r="AP605" i="29"/>
  <c r="AQ605" i="29" s="1"/>
  <c r="AR605" i="29" s="1"/>
  <c r="AP585" i="29"/>
  <c r="AQ585" i="29" s="1"/>
  <c r="AR585" i="29" s="1"/>
  <c r="AP346" i="29"/>
  <c r="AQ346" i="29" s="1"/>
  <c r="AR346" i="29" s="1"/>
  <c r="AP601" i="29"/>
  <c r="AQ601" i="29" s="1"/>
  <c r="AR601" i="29" s="1"/>
  <c r="AP202" i="29"/>
  <c r="AQ202" i="29" s="1"/>
  <c r="AR202" i="29" s="1"/>
  <c r="AP432" i="29"/>
  <c r="AQ432" i="29" s="1"/>
  <c r="AR432" i="29" s="1"/>
  <c r="AP496" i="29"/>
  <c r="AQ496" i="29" s="1"/>
  <c r="AR496" i="29" s="1"/>
  <c r="AP229" i="29"/>
  <c r="AQ229" i="29" s="1"/>
  <c r="AR229" i="29" s="1"/>
  <c r="AP561" i="29"/>
  <c r="AQ561" i="29" s="1"/>
  <c r="AR561" i="29" s="1"/>
  <c r="AP521" i="29"/>
  <c r="AQ521" i="29" s="1"/>
  <c r="AR521" i="29" s="1"/>
  <c r="AP254" i="29"/>
  <c r="AQ254" i="29" s="1"/>
  <c r="AR254" i="29" s="1"/>
  <c r="AP487" i="29"/>
  <c r="AQ487" i="29" s="1"/>
  <c r="AR487" i="29" s="1"/>
  <c r="AP560" i="29"/>
  <c r="AQ560" i="29" s="1"/>
  <c r="AR560" i="29" s="1"/>
  <c r="AP575" i="29"/>
  <c r="AQ575" i="29" s="1"/>
  <c r="AR575" i="29" s="1"/>
  <c r="AP462" i="29"/>
  <c r="AQ462" i="29" s="1"/>
  <c r="AR462" i="29" s="1"/>
  <c r="AP305" i="29"/>
  <c r="AQ305" i="29" s="1"/>
  <c r="AR305" i="29" s="1"/>
  <c r="AP151" i="29"/>
  <c r="AQ151" i="29" s="1"/>
  <c r="AR151" i="29" s="1"/>
  <c r="AP287" i="29"/>
  <c r="AQ287" i="29" s="1"/>
  <c r="AR287" i="29" s="1"/>
  <c r="AP588" i="29"/>
  <c r="AQ588" i="29" s="1"/>
  <c r="AR588" i="29" s="1"/>
  <c r="AP319" i="29"/>
  <c r="AQ319" i="29" s="1"/>
  <c r="AR319" i="29" s="1"/>
  <c r="AP279" i="29"/>
  <c r="AQ279" i="29" s="1"/>
  <c r="AR279" i="29" s="1"/>
  <c r="AP437" i="29"/>
  <c r="AQ437" i="29" s="1"/>
  <c r="AR437" i="29" s="1"/>
  <c r="AP100" i="29"/>
  <c r="AQ100" i="29" s="1"/>
  <c r="AR100" i="29" s="1"/>
  <c r="AP500" i="29"/>
  <c r="AQ500" i="29" s="1"/>
  <c r="AR500" i="29" s="1"/>
  <c r="AP400" i="29"/>
  <c r="AQ400" i="29" s="1"/>
  <c r="AR400" i="29" s="1"/>
  <c r="AP495" i="29"/>
  <c r="AQ495" i="29" s="1"/>
  <c r="AR495" i="29" s="1"/>
  <c r="AP569" i="29"/>
  <c r="AQ569" i="29" s="1"/>
  <c r="AR569" i="29" s="1"/>
  <c r="AP411" i="29"/>
  <c r="AQ411" i="29" s="1"/>
  <c r="AR411" i="29" s="1"/>
  <c r="AP439" i="29"/>
  <c r="AQ439" i="29" s="1"/>
  <c r="AR439" i="29" s="1"/>
  <c r="AP409" i="29"/>
  <c r="AQ409" i="29" s="1"/>
  <c r="AR409" i="29" s="1"/>
  <c r="AP41" i="29"/>
  <c r="AQ41" i="29" s="1"/>
  <c r="AR41" i="29" s="1"/>
  <c r="AP247" i="29"/>
  <c r="AQ247" i="29" s="1"/>
  <c r="AR247" i="29" s="1"/>
  <c r="AP562" i="29"/>
  <c r="AQ562" i="29" s="1"/>
  <c r="AR562" i="29" s="1"/>
  <c r="AP42" i="29"/>
  <c r="AQ42" i="29" s="1"/>
  <c r="AR42" i="29" s="1"/>
  <c r="AP60" i="29"/>
  <c r="AQ60" i="29" s="1"/>
  <c r="AR60" i="29" s="1"/>
  <c r="AP579" i="29"/>
  <c r="AQ579" i="29" s="1"/>
  <c r="AR579" i="29" s="1"/>
  <c r="AP359" i="29"/>
  <c r="AQ359" i="29" s="1"/>
  <c r="AR359" i="29" s="1"/>
  <c r="AP578" i="29"/>
  <c r="AQ578" i="29" s="1"/>
  <c r="AR578" i="29" s="1"/>
  <c r="AP260" i="29"/>
  <c r="AQ260" i="29" s="1"/>
  <c r="AR260" i="29" s="1"/>
  <c r="AP20" i="29"/>
  <c r="AQ20" i="29" s="1"/>
  <c r="AR20" i="29" s="1"/>
  <c r="AP43" i="29"/>
  <c r="AQ43" i="29" s="1"/>
  <c r="AR43" i="29" s="1"/>
  <c r="AP484" i="29"/>
  <c r="AQ484" i="29" s="1"/>
  <c r="AR484" i="29" s="1"/>
  <c r="AP457" i="29"/>
  <c r="AQ457" i="29" s="1"/>
  <c r="AR457" i="29" s="1"/>
  <c r="AP413" i="29"/>
  <c r="AQ413" i="29" s="1"/>
  <c r="AR413" i="29" s="1"/>
  <c r="AP91" i="29"/>
  <c r="AQ91" i="29" s="1"/>
  <c r="AR91" i="29" s="1"/>
  <c r="AP150" i="29"/>
  <c r="AQ150" i="29" s="1"/>
  <c r="AR150" i="29" s="1"/>
  <c r="AP238" i="29"/>
  <c r="AQ238" i="29" s="1"/>
  <c r="AR238" i="29" s="1"/>
  <c r="AP374" i="29"/>
  <c r="AQ374" i="29" s="1"/>
  <c r="AR374" i="29" s="1"/>
  <c r="AP564" i="29"/>
  <c r="AQ564" i="29" s="1"/>
  <c r="AR564" i="29" s="1"/>
  <c r="AP327" i="29"/>
  <c r="AQ327" i="29" s="1"/>
  <c r="AR327" i="29" s="1"/>
  <c r="AP263" i="29"/>
  <c r="AQ263" i="29" s="1"/>
  <c r="AR263" i="29" s="1"/>
  <c r="AP315" i="29"/>
  <c r="AQ315" i="29" s="1"/>
  <c r="AR315" i="29" s="1"/>
  <c r="AP492" i="29"/>
  <c r="AQ492" i="29" s="1"/>
  <c r="AR492" i="29" s="1"/>
  <c r="AP325" i="29"/>
  <c r="AQ325" i="29" s="1"/>
  <c r="AR325" i="29" s="1"/>
  <c r="AP339" i="29"/>
  <c r="AQ339" i="29" s="1"/>
  <c r="AR339" i="29" s="1"/>
  <c r="AP256" i="29"/>
  <c r="AQ256" i="29" s="1"/>
  <c r="AR256" i="29" s="1"/>
  <c r="AP542" i="29"/>
  <c r="AQ542" i="29" s="1"/>
  <c r="AR542" i="29" s="1"/>
  <c r="AP164" i="29"/>
  <c r="AQ164" i="29" s="1"/>
  <c r="AR164" i="29" s="1"/>
  <c r="AP386" i="29"/>
  <c r="AQ386" i="29" s="1"/>
  <c r="AR386" i="29" s="1"/>
  <c r="AP470" i="29"/>
  <c r="AQ470" i="29" s="1"/>
  <c r="AR470" i="29" s="1"/>
  <c r="AP312" i="29"/>
  <c r="AQ312" i="29" s="1"/>
  <c r="AR312" i="29" s="1"/>
  <c r="AP295" i="29"/>
  <c r="AQ295" i="29" s="1"/>
  <c r="AR295" i="29" s="1"/>
  <c r="AP116" i="29"/>
  <c r="AQ116" i="29" s="1"/>
  <c r="AR116" i="29" s="1"/>
  <c r="AP482" i="29"/>
  <c r="AQ482" i="29" s="1"/>
  <c r="AR482" i="29" s="1"/>
  <c r="AP83" i="29"/>
  <c r="AQ83" i="29" s="1"/>
  <c r="AR83" i="29" s="1"/>
  <c r="AP285" i="29"/>
  <c r="AQ285" i="29" s="1"/>
  <c r="AR285" i="29" s="1"/>
  <c r="AP128" i="29"/>
  <c r="AQ128" i="29" s="1"/>
  <c r="AR128" i="29" s="1"/>
  <c r="AP272" i="29"/>
  <c r="AQ272" i="29" s="1"/>
  <c r="AR272" i="29" s="1"/>
  <c r="AP97" i="29"/>
  <c r="AQ97" i="29" s="1"/>
  <c r="AR97" i="29" s="1"/>
  <c r="AP422" i="29"/>
  <c r="AQ422" i="29" s="1"/>
  <c r="AR422" i="29" s="1"/>
  <c r="AP556" i="29"/>
  <c r="AQ556" i="29" s="1"/>
  <c r="AR556" i="29" s="1"/>
  <c r="AP252" i="29"/>
  <c r="AQ252" i="29" s="1"/>
  <c r="AR252" i="29" s="1"/>
  <c r="AP244" i="29"/>
  <c r="AQ244" i="29" s="1"/>
  <c r="AR244" i="29" s="1"/>
  <c r="AP452" i="29"/>
  <c r="AQ452" i="29" s="1"/>
  <c r="AR452" i="29" s="1"/>
  <c r="AP21" i="29"/>
  <c r="AQ21" i="29" s="1"/>
  <c r="AR21" i="29" s="1"/>
  <c r="AP30" i="29"/>
  <c r="AQ30" i="29" s="1"/>
  <c r="AR30" i="29" s="1"/>
  <c r="AP102" i="29"/>
  <c r="AQ102" i="29" s="1"/>
  <c r="AR102" i="29" s="1"/>
  <c r="AP580" i="29"/>
  <c r="AQ580" i="29" s="1"/>
  <c r="AR580" i="29" s="1"/>
  <c r="AP268" i="29"/>
  <c r="AQ268" i="29" s="1"/>
  <c r="AR268" i="29" s="1"/>
  <c r="AP460" i="29"/>
  <c r="AQ460" i="29" s="1"/>
  <c r="AR460" i="29" s="1"/>
  <c r="AP497" i="29"/>
  <c r="AQ497" i="29" s="1"/>
  <c r="AR497" i="29" s="1"/>
  <c r="AP345" i="29"/>
  <c r="AQ345" i="29" s="1"/>
  <c r="AR345" i="29" s="1"/>
  <c r="AP220" i="29"/>
  <c r="AQ220" i="29" s="1"/>
  <c r="AR220" i="29" s="1"/>
  <c r="AP609" i="29"/>
  <c r="AQ609" i="29" s="1"/>
  <c r="AR609" i="29" s="1"/>
  <c r="AP504" i="29"/>
  <c r="AQ504" i="29" s="1"/>
  <c r="AR504" i="29" s="1"/>
  <c r="AP512" i="29"/>
  <c r="AQ512" i="29" s="1"/>
  <c r="AR512" i="29" s="1"/>
  <c r="AP587" i="29"/>
  <c r="AQ587" i="29" s="1"/>
  <c r="AR587" i="29" s="1"/>
  <c r="AP443" i="29"/>
  <c r="AQ443" i="29" s="1"/>
  <c r="AR443" i="29" s="1"/>
  <c r="AP506" i="29"/>
  <c r="AQ506" i="29" s="1"/>
  <c r="AR506" i="29" s="1"/>
  <c r="AP16" i="29"/>
  <c r="AQ16" i="29" s="1"/>
  <c r="AR16" i="29" s="1"/>
  <c r="AP112" i="29"/>
  <c r="AQ112" i="29" s="1"/>
  <c r="AR112" i="29" s="1"/>
  <c r="AP387" i="29"/>
  <c r="AQ387" i="29" s="1"/>
  <c r="AR387" i="29" s="1"/>
  <c r="AP148" i="29"/>
  <c r="AQ148" i="29" s="1"/>
  <c r="AR148" i="29" s="1"/>
  <c r="AP373" i="29"/>
  <c r="AQ373" i="29" s="1"/>
  <c r="AR373" i="29" s="1"/>
  <c r="AP420" i="29"/>
  <c r="AQ420" i="29" s="1"/>
  <c r="AR420" i="29" s="1"/>
  <c r="AP145" i="29"/>
  <c r="AQ145" i="29" s="1"/>
  <c r="AR145" i="29" s="1"/>
  <c r="AP246" i="29"/>
  <c r="AQ246" i="29" s="1"/>
  <c r="AR246" i="29" s="1"/>
  <c r="AP174" i="29"/>
  <c r="AQ174" i="29" s="1"/>
  <c r="AR174" i="29" s="1"/>
  <c r="AP421" i="29"/>
  <c r="AQ421" i="29" s="1"/>
  <c r="AR421" i="29" s="1"/>
  <c r="AP80" i="29"/>
  <c r="AQ80" i="29" s="1"/>
  <c r="AR80" i="29" s="1"/>
  <c r="AP403" i="29"/>
  <c r="AQ403" i="29" s="1"/>
  <c r="AR403" i="29" s="1"/>
  <c r="AP509" i="29"/>
  <c r="AQ509" i="29" s="1"/>
  <c r="AR509" i="29" s="1"/>
  <c r="AP477" i="29"/>
  <c r="AQ477" i="29" s="1"/>
  <c r="AR477" i="29" s="1"/>
  <c r="AP479" i="29"/>
  <c r="AQ479" i="29" s="1"/>
  <c r="AR479" i="29" s="1"/>
  <c r="AP566" i="29"/>
  <c r="AQ566" i="29" s="1"/>
  <c r="AR566" i="29" s="1"/>
  <c r="AP172" i="29"/>
  <c r="AQ172" i="29" s="1"/>
  <c r="AR172" i="29" s="1"/>
  <c r="AP471" i="29"/>
  <c r="AQ471" i="29" s="1"/>
  <c r="AR471" i="29" s="1"/>
  <c r="AP553" i="29"/>
  <c r="AQ553" i="29" s="1"/>
  <c r="AR553" i="29" s="1"/>
  <c r="AP121" i="29"/>
  <c r="AQ121" i="29" s="1"/>
  <c r="AR121" i="29" s="1"/>
  <c r="AP363" i="29"/>
  <c r="AQ363" i="29" s="1"/>
  <c r="AR363" i="29" s="1"/>
  <c r="AP549" i="29"/>
  <c r="AQ549" i="29" s="1"/>
  <c r="AR549" i="29" s="1"/>
  <c r="AP274" i="29"/>
  <c r="AQ274" i="29" s="1"/>
  <c r="AR274" i="29" s="1"/>
  <c r="AP425" i="29"/>
  <c r="AQ425" i="29" s="1"/>
  <c r="AR425" i="29" s="1"/>
  <c r="AP316" i="29"/>
  <c r="AQ316" i="29" s="1"/>
  <c r="AR316" i="29" s="1"/>
  <c r="AP343" i="29"/>
  <c r="AQ343" i="29" s="1"/>
  <c r="AR343" i="29" s="1"/>
  <c r="AP508" i="29"/>
  <c r="AQ508" i="29" s="1"/>
  <c r="AR508" i="29" s="1"/>
  <c r="AP366" i="29"/>
  <c r="AQ366" i="29" s="1"/>
  <c r="AR366" i="29" s="1"/>
  <c r="AP297" i="29"/>
  <c r="AQ297" i="29" s="1"/>
  <c r="AR297" i="29" s="1"/>
  <c r="AP48" i="29"/>
  <c r="AQ48" i="29" s="1"/>
  <c r="AR48" i="29" s="1"/>
  <c r="AP142" i="29"/>
  <c r="AQ142" i="29" s="1"/>
  <c r="AR142" i="29" s="1"/>
  <c r="AP127" i="29"/>
  <c r="AQ127" i="29" s="1"/>
  <c r="AR127" i="29" s="1"/>
  <c r="AP408" i="29"/>
  <c r="AQ408" i="29" s="1"/>
  <c r="AR408" i="29" s="1"/>
  <c r="AP511" i="29"/>
  <c r="AQ511" i="29" s="1"/>
  <c r="AR511" i="29" s="1"/>
  <c r="AP69" i="29"/>
  <c r="AQ69" i="29" s="1"/>
  <c r="AR69" i="29" s="1"/>
  <c r="AP205" i="29"/>
  <c r="AQ205" i="29" s="1"/>
  <c r="AR205" i="29" s="1"/>
  <c r="AP377" i="29"/>
  <c r="AQ377" i="29" s="1"/>
  <c r="AR377" i="29" s="1"/>
  <c r="AP93" i="29"/>
  <c r="AQ93" i="29" s="1"/>
  <c r="AR93" i="29" s="1"/>
  <c r="AP331" i="29"/>
  <c r="AQ331" i="29" s="1"/>
  <c r="AR331" i="29" s="1"/>
  <c r="AP76" i="29"/>
  <c r="AQ76" i="29" s="1"/>
  <c r="AR76" i="29" s="1"/>
  <c r="AP395" i="29"/>
  <c r="AQ395" i="29" s="1"/>
  <c r="AR395" i="29" s="1"/>
  <c r="AP14" i="29"/>
  <c r="AQ14" i="29" s="1"/>
  <c r="AR14" i="29" s="1"/>
  <c r="AP602" i="29"/>
  <c r="AQ602" i="29" s="1"/>
  <c r="AR602" i="29" s="1"/>
  <c r="AP242" i="29"/>
  <c r="AQ242" i="29" s="1"/>
  <c r="AR242" i="29" s="1"/>
  <c r="AP230" i="29"/>
  <c r="AQ230" i="29" s="1"/>
  <c r="AR230" i="29" s="1"/>
  <c r="AP486" i="29"/>
  <c r="AQ486" i="29" s="1"/>
  <c r="AR486" i="29" s="1"/>
  <c r="AP23" i="29"/>
  <c r="AQ23" i="29" s="1"/>
  <c r="AR23" i="29" s="1"/>
  <c r="AP211" i="29"/>
  <c r="AQ211" i="29" s="1"/>
  <c r="AR211" i="29" s="1"/>
  <c r="AP453" i="29"/>
  <c r="AQ453" i="29" s="1"/>
  <c r="AR453" i="29" s="1"/>
  <c r="AP528" i="29"/>
  <c r="AQ528" i="29" s="1"/>
  <c r="AR528" i="29" s="1"/>
  <c r="AP77" i="29"/>
  <c r="AQ77" i="29" s="1"/>
  <c r="AR77" i="29" s="1"/>
  <c r="AP271" i="29"/>
  <c r="AQ271" i="29" s="1"/>
  <c r="AR271" i="29" s="1"/>
  <c r="AP385" i="29"/>
  <c r="AQ385" i="29" s="1"/>
  <c r="AR385" i="29" s="1"/>
  <c r="AP232" i="29"/>
  <c r="AQ232" i="29" s="1"/>
  <c r="AR232" i="29" s="1"/>
  <c r="AP74" i="29"/>
  <c r="AQ74" i="29" s="1"/>
  <c r="AR74" i="29" s="1"/>
  <c r="AP384" i="29"/>
  <c r="AQ384" i="29" s="1"/>
  <c r="AR384" i="29" s="1"/>
  <c r="AP514" i="29"/>
  <c r="AQ514" i="29" s="1"/>
  <c r="AR514" i="29" s="1"/>
  <c r="AP427" i="29"/>
  <c r="AQ427" i="29" s="1"/>
  <c r="AR427" i="29" s="1"/>
  <c r="AP328" i="29"/>
  <c r="AQ328" i="29" s="1"/>
  <c r="AR328" i="29" s="1"/>
  <c r="AP517" i="29"/>
  <c r="AQ517" i="29" s="1"/>
  <c r="AR517" i="29" s="1"/>
  <c r="AP404" i="29"/>
  <c r="AQ404" i="29" s="1"/>
  <c r="AR404" i="29" s="1"/>
  <c r="AP389" i="29"/>
  <c r="AQ389" i="29" s="1"/>
  <c r="AR389" i="29" s="1"/>
  <c r="AP372" i="29"/>
  <c r="AQ372" i="29" s="1"/>
  <c r="AR372" i="29" s="1"/>
  <c r="AP300" i="29"/>
  <c r="AQ300" i="29" s="1"/>
  <c r="AR300" i="29" s="1"/>
  <c r="AP493" i="29"/>
  <c r="AQ493" i="29" s="1"/>
  <c r="AR493" i="29" s="1"/>
  <c r="AP219" i="29"/>
  <c r="AQ219" i="29" s="1"/>
  <c r="AR219" i="29" s="1"/>
  <c r="AP123" i="29"/>
  <c r="AQ123" i="29" s="1"/>
  <c r="AR123" i="29" s="1"/>
  <c r="AP22" i="29"/>
  <c r="AQ22" i="29" s="1"/>
  <c r="AR22" i="29" s="1"/>
  <c r="AP431" i="29"/>
  <c r="AQ431" i="29" s="1"/>
  <c r="AR431" i="29" s="1"/>
  <c r="AP156" i="29"/>
  <c r="AQ156" i="29" s="1"/>
  <c r="AR156" i="29" s="1"/>
  <c r="AP472" i="29"/>
  <c r="AQ472" i="29" s="1"/>
  <c r="AR472" i="29" s="1"/>
  <c r="AP364" i="29"/>
  <c r="AQ364" i="29" s="1"/>
  <c r="AR364" i="29" s="1"/>
  <c r="AP489" i="29"/>
  <c r="AQ489" i="29" s="1"/>
  <c r="AR489" i="29" s="1"/>
  <c r="AP444" i="29"/>
  <c r="AQ444" i="29" s="1"/>
  <c r="AR444" i="29" s="1"/>
  <c r="AP209" i="29"/>
  <c r="AQ209" i="29" s="1"/>
  <c r="AR209" i="29" s="1"/>
  <c r="AP304" i="29"/>
  <c r="AQ304" i="29" s="1"/>
  <c r="AR304" i="29" s="1"/>
  <c r="AP537" i="29"/>
  <c r="AQ537" i="29" s="1"/>
  <c r="AR537" i="29" s="1"/>
  <c r="AP264" i="29"/>
  <c r="AQ264" i="29" s="1"/>
  <c r="AR264" i="29" s="1"/>
  <c r="AP79" i="29"/>
  <c r="AQ79" i="29" s="1"/>
  <c r="AR79" i="29" s="1"/>
  <c r="AP473" i="29"/>
  <c r="AQ473" i="29" s="1"/>
  <c r="AR473" i="29" s="1"/>
  <c r="AP532" i="29"/>
  <c r="AQ532" i="29" s="1"/>
  <c r="AR532" i="29" s="1"/>
  <c r="AP592" i="29"/>
  <c r="AQ592" i="29" s="1"/>
  <c r="AR592" i="29" s="1"/>
  <c r="AP399" i="29"/>
  <c r="AQ399" i="29" s="1"/>
  <c r="AR399" i="29" s="1"/>
  <c r="AP362" i="29"/>
  <c r="AQ362" i="29" s="1"/>
  <c r="AR362" i="29" s="1"/>
  <c r="AP390" i="29"/>
  <c r="AQ390" i="29" s="1"/>
  <c r="AR390" i="29" s="1"/>
  <c r="AP64" i="29"/>
  <c r="AQ64" i="29" s="1"/>
  <c r="AR64" i="29" s="1"/>
  <c r="AP314" i="29"/>
  <c r="AQ314" i="29" s="1"/>
  <c r="AR314" i="29" s="1"/>
  <c r="AP576" i="29"/>
  <c r="AQ576" i="29" s="1"/>
  <c r="AR576" i="29" s="1"/>
  <c r="AP45" i="29"/>
  <c r="AQ45" i="29" s="1"/>
  <c r="AR45" i="29" s="1"/>
  <c r="AP391" i="29"/>
  <c r="AQ391" i="29" s="1"/>
  <c r="AR391" i="29" s="1"/>
  <c r="AP368" i="29"/>
  <c r="AQ368" i="29" s="1"/>
  <c r="AR368" i="29" s="1"/>
  <c r="AP118" i="29"/>
  <c r="AQ118" i="29" s="1"/>
  <c r="AR118" i="29" s="1"/>
  <c r="AP296" i="29"/>
  <c r="AQ296" i="29" s="1"/>
  <c r="AR296" i="29" s="1"/>
  <c r="AP177" i="29"/>
  <c r="AQ177" i="29" s="1"/>
  <c r="AR177" i="29" s="1"/>
  <c r="AP375" i="29"/>
  <c r="AQ375" i="29" s="1"/>
  <c r="AR375" i="29" s="1"/>
  <c r="AP563" i="29"/>
  <c r="AQ563" i="29" s="1"/>
  <c r="AR563" i="29" s="1"/>
  <c r="AP89" i="29"/>
  <c r="AQ89" i="29" s="1"/>
  <c r="AR89" i="29" s="1"/>
  <c r="AP465" i="29"/>
  <c r="AQ465" i="29" s="1"/>
  <c r="AR465" i="29" s="1"/>
  <c r="AP234" i="29"/>
  <c r="AQ234" i="29" s="1"/>
  <c r="AR234" i="29" s="1"/>
  <c r="AP397" i="29"/>
  <c r="AQ397" i="29" s="1"/>
  <c r="AR397" i="29" s="1"/>
  <c r="AP591" i="29"/>
  <c r="AQ591" i="29" s="1"/>
  <c r="AR591" i="29" s="1"/>
  <c r="AP338" i="29"/>
  <c r="AQ338" i="29" s="1"/>
  <c r="AR338" i="29" s="1"/>
  <c r="AP190" i="29"/>
  <c r="AQ190" i="29" s="1"/>
  <c r="AR190" i="29" s="1"/>
  <c r="AP269" i="29"/>
  <c r="AQ269" i="29" s="1"/>
  <c r="AR269" i="29" s="1"/>
  <c r="AP600" i="29"/>
  <c r="AQ600" i="29" s="1"/>
  <c r="AR600" i="29" s="1"/>
  <c r="AP250" i="29"/>
  <c r="AQ250" i="29" s="1"/>
  <c r="AR250" i="29" s="1"/>
  <c r="AP378" i="29"/>
  <c r="AQ378" i="29" s="1"/>
  <c r="AR378" i="29" s="1"/>
  <c r="AP361" i="29"/>
  <c r="AQ361" i="29" s="1"/>
  <c r="AR361" i="29" s="1"/>
  <c r="AP249" i="29"/>
  <c r="AQ249" i="29" s="1"/>
  <c r="AR249" i="29" s="1"/>
  <c r="AP407" i="29"/>
  <c r="AQ407" i="29" s="1"/>
  <c r="AR407" i="29" s="1"/>
  <c r="AP323" i="29"/>
  <c r="AQ323" i="29" s="1"/>
  <c r="AR323" i="29" s="1"/>
  <c r="AP184" i="29"/>
  <c r="AQ184" i="29" s="1"/>
  <c r="AR184" i="29" s="1"/>
  <c r="AP458" i="29"/>
  <c r="AQ458" i="29" s="1"/>
  <c r="AR458" i="29" s="1"/>
  <c r="AP120" i="29"/>
  <c r="AQ120" i="29" s="1"/>
  <c r="AR120" i="29" s="1"/>
  <c r="AP38" i="29"/>
  <c r="AQ38" i="29" s="1"/>
  <c r="AR38" i="29" s="1"/>
  <c r="AP119" i="29"/>
  <c r="AQ119" i="29" s="1"/>
  <c r="AR119" i="29" s="1"/>
  <c r="AP303" i="29"/>
  <c r="AQ303" i="29" s="1"/>
  <c r="AR303" i="29" s="1"/>
  <c r="AP266" i="29"/>
  <c r="AQ266" i="29" s="1"/>
  <c r="AR266" i="29" s="1"/>
  <c r="AP27" i="29"/>
  <c r="AQ27" i="29" s="1"/>
  <c r="AR27" i="29" s="1"/>
  <c r="AP416" i="29"/>
  <c r="AQ416" i="29" s="1"/>
  <c r="AR416" i="29" s="1"/>
  <c r="AP463" i="29"/>
  <c r="AQ463" i="29" s="1"/>
  <c r="AR463" i="29" s="1"/>
  <c r="AP584" i="29"/>
  <c r="AQ584" i="29" s="1"/>
  <c r="AR584" i="29" s="1"/>
  <c r="AP149" i="29"/>
  <c r="AQ149" i="29" s="1"/>
  <c r="AR149" i="29" s="1"/>
  <c r="AP503" i="29"/>
  <c r="AQ503" i="29" s="1"/>
  <c r="AR503" i="29" s="1"/>
  <c r="AP464" i="29"/>
  <c r="AQ464" i="29" s="1"/>
  <c r="AR464" i="29" s="1"/>
  <c r="AP199" i="29"/>
  <c r="AQ199" i="29" s="1"/>
  <c r="AR199" i="29" s="1"/>
  <c r="AP341" i="29"/>
  <c r="AQ341" i="29" s="1"/>
  <c r="AR341" i="29" s="1"/>
  <c r="AP165" i="29"/>
  <c r="AQ165" i="29" s="1"/>
  <c r="AR165" i="29" s="1"/>
  <c r="AP426" i="29"/>
  <c r="AQ426" i="29" s="1"/>
  <c r="AR426" i="29" s="1"/>
  <c r="AP103" i="29"/>
  <c r="AQ103" i="29" s="1"/>
  <c r="AR103" i="29" s="1"/>
  <c r="AP110" i="29"/>
  <c r="AQ110" i="29" s="1"/>
  <c r="AR110" i="29" s="1"/>
  <c r="AP159" i="29"/>
  <c r="AQ159" i="29" s="1"/>
  <c r="AR159" i="29" s="1"/>
  <c r="AP469" i="29"/>
  <c r="AQ469" i="29" s="1"/>
  <c r="AR469" i="29" s="1"/>
  <c r="AP152" i="29"/>
  <c r="AQ152" i="29" s="1"/>
  <c r="AR152" i="29" s="1"/>
  <c r="AP185" i="29"/>
  <c r="AQ185" i="29" s="1"/>
  <c r="AR185" i="29" s="1"/>
  <c r="AP594" i="29"/>
  <c r="AQ594" i="29" s="1"/>
  <c r="AR594" i="29" s="1"/>
  <c r="AP181" i="29"/>
  <c r="AQ181" i="29" s="1"/>
  <c r="AR181" i="29" s="1"/>
  <c r="AP155" i="29"/>
  <c r="AQ155" i="29" s="1"/>
  <c r="AR155" i="29" s="1"/>
  <c r="AP369" i="29"/>
  <c r="AQ369" i="29" s="1"/>
  <c r="AR369" i="29" s="1"/>
  <c r="AP394" i="29"/>
  <c r="AQ394" i="29" s="1"/>
  <c r="AR394" i="29" s="1"/>
  <c r="AP607" i="29"/>
  <c r="AQ607" i="29" s="1"/>
  <c r="AR607" i="29" s="1"/>
  <c r="AP333" i="29"/>
  <c r="AQ333" i="29" s="1"/>
  <c r="AR333" i="29" s="1"/>
  <c r="AP401" i="29"/>
  <c r="AQ401" i="29" s="1"/>
  <c r="AR401" i="29" s="1"/>
  <c r="AP429" i="29"/>
  <c r="AQ429" i="29" s="1"/>
  <c r="AR429" i="29" s="1"/>
  <c r="AP258" i="29"/>
  <c r="AQ258" i="29" s="1"/>
  <c r="AR258" i="29" s="1"/>
  <c r="AP606" i="29"/>
  <c r="AQ606" i="29" s="1"/>
  <c r="AR606" i="29" s="1"/>
  <c r="AP62" i="29"/>
  <c r="AQ62" i="29" s="1"/>
  <c r="AR62" i="29" s="1"/>
  <c r="AP548" i="29"/>
  <c r="AQ548" i="29" s="1"/>
  <c r="AR548" i="29" s="1"/>
  <c r="AP154" i="29"/>
  <c r="AQ154" i="29" s="1"/>
  <c r="AR154" i="29" s="1"/>
  <c r="AP275" i="29"/>
  <c r="AQ275" i="29" s="1"/>
  <c r="AR275" i="29" s="1"/>
  <c r="AP216" i="29"/>
  <c r="AQ216" i="29" s="1"/>
  <c r="AR216" i="29" s="1"/>
  <c r="AP326" i="29"/>
  <c r="AQ326" i="29" s="1"/>
  <c r="AR326" i="29" s="1"/>
  <c r="AP513" i="29"/>
  <c r="AQ513" i="29" s="1"/>
  <c r="AR513" i="29" s="1"/>
  <c r="AP419" i="29"/>
  <c r="AQ419" i="29" s="1"/>
  <c r="AR419" i="29" s="1"/>
  <c r="AP499" i="29"/>
  <c r="AQ499" i="29" s="1"/>
  <c r="AR499" i="29" s="1"/>
  <c r="AP353" i="29"/>
  <c r="AQ353" i="29" s="1"/>
  <c r="AR353" i="29" s="1"/>
  <c r="AP55" i="29"/>
  <c r="AQ55" i="29" s="1"/>
  <c r="AR55" i="29" s="1"/>
  <c r="AP455" i="29"/>
  <c r="AQ455" i="29" s="1"/>
  <c r="AR455" i="29" s="1"/>
  <c r="AP555" i="29"/>
  <c r="AQ555" i="29" s="1"/>
  <c r="AR555" i="29" s="1"/>
  <c r="AP565" i="29"/>
  <c r="AQ565" i="29" s="1"/>
  <c r="AR565" i="29" s="1"/>
  <c r="AP550" i="29"/>
  <c r="AQ550" i="29" s="1"/>
  <c r="AR550" i="29" s="1"/>
  <c r="AP535" i="29"/>
  <c r="AQ535" i="29" s="1"/>
  <c r="AR535" i="29" s="1"/>
  <c r="AP406" i="29"/>
  <c r="AQ406" i="29" s="1"/>
  <c r="AR406" i="29" s="1"/>
  <c r="AP596" i="29"/>
  <c r="AQ596" i="29" s="1"/>
  <c r="AR596" i="29" s="1"/>
  <c r="AP162" i="29"/>
  <c r="AQ162" i="29" s="1"/>
  <c r="AR162" i="29" s="1"/>
  <c r="AP571" i="29"/>
  <c r="AQ571" i="29" s="1"/>
  <c r="AR571" i="29" s="1"/>
  <c r="AP515" i="29"/>
  <c r="AQ515" i="29" s="1"/>
  <c r="AR515" i="29" s="1"/>
  <c r="AP480" i="29"/>
  <c r="AQ480" i="29" s="1"/>
  <c r="AR480" i="29" s="1"/>
  <c r="AP126" i="29"/>
  <c r="AQ126" i="29" s="1"/>
  <c r="AR126" i="29" s="1"/>
  <c r="AP501" i="29"/>
  <c r="AQ501" i="29" s="1"/>
  <c r="AR501" i="29" s="1"/>
  <c r="AP289" i="29"/>
  <c r="AQ289" i="29" s="1"/>
  <c r="AR289" i="29" s="1"/>
  <c r="AP402" i="29"/>
  <c r="AQ402" i="29" s="1"/>
  <c r="AR402" i="29" s="1"/>
  <c r="AP228" i="29"/>
  <c r="AQ228" i="29" s="1"/>
  <c r="AR228" i="29" s="1"/>
  <c r="AP259" i="29"/>
  <c r="AQ259" i="29" s="1"/>
  <c r="AR259" i="29" s="1"/>
  <c r="AP598" i="29"/>
  <c r="AQ598" i="29" s="1"/>
  <c r="AR598" i="29" s="1"/>
  <c r="AP371" i="29"/>
  <c r="AQ371" i="29" s="1"/>
  <c r="AR371" i="29" s="1"/>
  <c r="AP510" i="29"/>
  <c r="AQ510" i="29" s="1"/>
  <c r="AR510" i="29" s="1"/>
  <c r="AP51" i="29"/>
  <c r="AQ51" i="29" s="1"/>
  <c r="AR51" i="29" s="1"/>
  <c r="AP95" i="29"/>
  <c r="AQ95" i="29" s="1"/>
  <c r="AR95" i="29" s="1"/>
  <c r="AP365" i="29"/>
  <c r="AQ365" i="29" s="1"/>
  <c r="AR365" i="29" s="1"/>
  <c r="AP286" i="29"/>
  <c r="AQ286" i="29" s="1"/>
  <c r="AR286" i="29" s="1"/>
  <c r="AP117" i="29"/>
  <c r="AQ117" i="29" s="1"/>
  <c r="AR117" i="29" s="1"/>
  <c r="AP99" i="29"/>
  <c r="AQ99" i="29" s="1"/>
  <c r="AR99" i="29" s="1"/>
  <c r="D55" i="29"/>
  <c r="D56" i="29" s="1"/>
  <c r="D57" i="29" s="1"/>
  <c r="AP191" i="29"/>
  <c r="AQ191" i="29" s="1"/>
  <c r="AR191" i="29" s="1"/>
  <c r="AP412" i="29"/>
  <c r="AQ412" i="29" s="1"/>
  <c r="AR412" i="29" s="1"/>
  <c r="AP525" i="29"/>
  <c r="AQ525" i="29" s="1"/>
  <c r="AR525" i="29" s="1"/>
  <c r="AP143" i="29"/>
  <c r="AQ143" i="29" s="1"/>
  <c r="AR143" i="29" s="1"/>
  <c r="AT195" i="25"/>
  <c r="AY195" i="25" s="1"/>
  <c r="AU195" i="25"/>
  <c r="AT160" i="25"/>
  <c r="AY160" i="25" s="1"/>
  <c r="AU160" i="25"/>
  <c r="AT227" i="25"/>
  <c r="AU227" i="25"/>
  <c r="BY292" i="24"/>
  <c r="CA292" i="24" s="1"/>
  <c r="BM292" i="24"/>
  <c r="BN292" i="24" s="1"/>
  <c r="BE254" i="24"/>
  <c r="BT254" i="24" s="1"/>
  <c r="BD254" i="24"/>
  <c r="AY254" i="24"/>
  <c r="AZ254" i="24" s="1"/>
  <c r="BD37" i="24"/>
  <c r="AY37" i="24"/>
  <c r="AZ37" i="24" s="1"/>
  <c r="BE37" i="24"/>
  <c r="BT37" i="24" s="1"/>
  <c r="BB275" i="25"/>
  <c r="BS275" i="25" s="1"/>
  <c r="BC275" i="25"/>
  <c r="BT275" i="25" s="1"/>
  <c r="BA275" i="25"/>
  <c r="BE245" i="24"/>
  <c r="BT245" i="24" s="1"/>
  <c r="AY245" i="24"/>
  <c r="AZ245" i="24" s="1"/>
  <c r="BD245" i="24"/>
  <c r="AT16" i="25"/>
  <c r="AY16" i="25" s="1"/>
  <c r="AU16" i="25"/>
  <c r="BB232" i="25"/>
  <c r="BS232" i="25" s="1"/>
  <c r="BC232" i="25"/>
  <c r="BT232" i="25" s="1"/>
  <c r="BA232" i="25"/>
  <c r="AT119" i="25"/>
  <c r="AY119" i="25" s="1"/>
  <c r="AU119" i="25"/>
  <c r="BE220" i="24"/>
  <c r="BT220" i="24" s="1"/>
  <c r="AY220" i="24"/>
  <c r="AZ220" i="24" s="1"/>
  <c r="BD220" i="24"/>
  <c r="BS19" i="24"/>
  <c r="BG19" i="24"/>
  <c r="BM19" i="24" s="1"/>
  <c r="AT304" i="25"/>
  <c r="AU304" i="25"/>
  <c r="AT299" i="25"/>
  <c r="AU299" i="25"/>
  <c r="AT182" i="25"/>
  <c r="AY182" i="25" s="1"/>
  <c r="AU182" i="25"/>
  <c r="BC261" i="25"/>
  <c r="BT261" i="25" s="1"/>
  <c r="BB261" i="25"/>
  <c r="BS261" i="25" s="1"/>
  <c r="BA261" i="25"/>
  <c r="AT281" i="25"/>
  <c r="AU281" i="25"/>
  <c r="AT185" i="25"/>
  <c r="AY185" i="25" s="1"/>
  <c r="AU185" i="25"/>
  <c r="BC179" i="25"/>
  <c r="BT179" i="25" s="1"/>
  <c r="BA179" i="25"/>
  <c r="BB179" i="25"/>
  <c r="BS179" i="25" s="1"/>
  <c r="AY146" i="24"/>
  <c r="AZ146" i="24" s="1"/>
  <c r="BE146" i="24"/>
  <c r="BT146" i="24" s="1"/>
  <c r="BD146" i="24"/>
  <c r="BB6" i="25"/>
  <c r="BS6" i="25" s="1"/>
  <c r="BA6" i="25"/>
  <c r="BC6" i="25"/>
  <c r="BT6" i="25" s="1"/>
  <c r="BE163" i="24"/>
  <c r="BT163" i="24" s="1"/>
  <c r="BD163" i="24"/>
  <c r="AY163" i="24"/>
  <c r="AZ163" i="24" s="1"/>
  <c r="BD13" i="24"/>
  <c r="AY13" i="24"/>
  <c r="AZ13" i="24" s="1"/>
  <c r="BE13" i="24"/>
  <c r="BT13" i="24" s="1"/>
  <c r="BE124" i="24"/>
  <c r="BT124" i="24" s="1"/>
  <c r="BD124" i="24"/>
  <c r="AY124" i="24"/>
  <c r="AZ124" i="24" s="1"/>
  <c r="BE315" i="24"/>
  <c r="BT315" i="24" s="1"/>
  <c r="BD315" i="24"/>
  <c r="AY315" i="24"/>
  <c r="AZ315" i="24" s="1"/>
  <c r="BB243" i="25"/>
  <c r="BS243" i="25" s="1"/>
  <c r="BA243" i="25"/>
  <c r="BC243" i="25"/>
  <c r="BT243" i="25" s="1"/>
  <c r="BE94" i="24"/>
  <c r="BT94" i="24" s="1"/>
  <c r="AY94" i="24"/>
  <c r="AZ94" i="24" s="1"/>
  <c r="BD94" i="24"/>
  <c r="BD59" i="24"/>
  <c r="BE59" i="24"/>
  <c r="BT59" i="24" s="1"/>
  <c r="AY59" i="24"/>
  <c r="AZ59" i="24" s="1"/>
  <c r="BE150" i="24"/>
  <c r="BT150" i="24" s="1"/>
  <c r="BD150" i="24"/>
  <c r="AY150" i="24"/>
  <c r="AZ150" i="24" s="1"/>
  <c r="AT54" i="25"/>
  <c r="AY54" i="25" s="1"/>
  <c r="AU54" i="25"/>
  <c r="BE60" i="24"/>
  <c r="BT60" i="24" s="1"/>
  <c r="BD60" i="24"/>
  <c r="AY60" i="24"/>
  <c r="AZ60" i="24" s="1"/>
  <c r="AT196" i="25"/>
  <c r="AY196" i="25" s="1"/>
  <c r="AU196" i="25"/>
  <c r="BD227" i="24"/>
  <c r="AY227" i="24"/>
  <c r="AZ227" i="24" s="1"/>
  <c r="BE227" i="24"/>
  <c r="BT227" i="24" s="1"/>
  <c r="BD281" i="24"/>
  <c r="AY281" i="24"/>
  <c r="AZ281" i="24" s="1"/>
  <c r="BE281" i="24"/>
  <c r="BT281" i="24" s="1"/>
  <c r="BD167" i="24"/>
  <c r="BE167" i="24"/>
  <c r="BT167" i="24" s="1"/>
  <c r="AY167" i="24"/>
  <c r="AZ167" i="24" s="1"/>
  <c r="AT301" i="25"/>
  <c r="AU301" i="25"/>
  <c r="BE267" i="24"/>
  <c r="BT267" i="24" s="1"/>
  <c r="BD267" i="24"/>
  <c r="AY267" i="24"/>
  <c r="AZ267" i="24" s="1"/>
  <c r="BD134" i="24"/>
  <c r="AY134" i="24"/>
  <c r="AZ134" i="24" s="1"/>
  <c r="BE134" i="24"/>
  <c r="BT134" i="24" s="1"/>
  <c r="BE307" i="24"/>
  <c r="BT307" i="24" s="1"/>
  <c r="BD307" i="24"/>
  <c r="AY307" i="24"/>
  <c r="AZ307" i="24" s="1"/>
  <c r="AY210" i="24"/>
  <c r="AZ210" i="24" s="1"/>
  <c r="BD210" i="24"/>
  <c r="BE210" i="24"/>
  <c r="BT210" i="24" s="1"/>
  <c r="AT311" i="25"/>
  <c r="AU311" i="25"/>
  <c r="AT135" i="25"/>
  <c r="AY135" i="25" s="1"/>
  <c r="AU135" i="25"/>
  <c r="BE272" i="24"/>
  <c r="BT272" i="24" s="1"/>
  <c r="BD272" i="24"/>
  <c r="AY272" i="24"/>
  <c r="AZ272" i="24" s="1"/>
  <c r="BD96" i="24"/>
  <c r="BE96" i="24"/>
  <c r="BT96" i="24" s="1"/>
  <c r="AY96" i="24"/>
  <c r="AZ96" i="24" s="1"/>
  <c r="AY244" i="24"/>
  <c r="AZ244" i="24" s="1"/>
  <c r="BE244" i="24"/>
  <c r="BT244" i="24" s="1"/>
  <c r="BD244" i="24"/>
  <c r="BD297" i="24"/>
  <c r="AY297" i="24"/>
  <c r="AZ297" i="24" s="1"/>
  <c r="BE297" i="24"/>
  <c r="BT297" i="24" s="1"/>
  <c r="BE115" i="24"/>
  <c r="BT115" i="24" s="1"/>
  <c r="BD115" i="24"/>
  <c r="AY115" i="24"/>
  <c r="AZ115" i="24" s="1"/>
  <c r="AT164" i="25"/>
  <c r="AY164" i="25" s="1"/>
  <c r="AU164" i="25"/>
  <c r="AY231" i="24"/>
  <c r="AZ231" i="24" s="1"/>
  <c r="BD231" i="24"/>
  <c r="BE231" i="24"/>
  <c r="BT231" i="24" s="1"/>
  <c r="AY314" i="24"/>
  <c r="AZ314" i="24" s="1"/>
  <c r="BD314" i="24"/>
  <c r="BE314" i="24"/>
  <c r="BT314" i="24" s="1"/>
  <c r="BE303" i="24"/>
  <c r="BT303" i="24" s="1"/>
  <c r="BD303" i="24"/>
  <c r="AY303" i="24"/>
  <c r="AZ303" i="24" s="1"/>
  <c r="AY95" i="24"/>
  <c r="AZ95" i="24" s="1"/>
  <c r="BE95" i="24"/>
  <c r="BT95" i="24" s="1"/>
  <c r="BD95" i="24"/>
  <c r="AT103" i="25"/>
  <c r="AY103" i="25" s="1"/>
  <c r="AU103" i="25"/>
  <c r="AY11" i="24"/>
  <c r="AZ11" i="24" s="1"/>
  <c r="BE11" i="24"/>
  <c r="BT11" i="24" s="1"/>
  <c r="BD11" i="24"/>
  <c r="AT127" i="25"/>
  <c r="AY127" i="25" s="1"/>
  <c r="AU127" i="25"/>
  <c r="BA59" i="25"/>
  <c r="BC59" i="25"/>
  <c r="BT59" i="25" s="1"/>
  <c r="BB59" i="25"/>
  <c r="BS59" i="25" s="1"/>
  <c r="BG21" i="24"/>
  <c r="BM21" i="24" s="1"/>
  <c r="BS21" i="24"/>
  <c r="BV21" i="24" s="1"/>
  <c r="BX21" i="24" s="1"/>
  <c r="AT242" i="25"/>
  <c r="AU242" i="25"/>
  <c r="BE39" i="24"/>
  <c r="BT39" i="24" s="1"/>
  <c r="AY39" i="24"/>
  <c r="AZ39" i="24" s="1"/>
  <c r="BD39" i="24"/>
  <c r="AT153" i="25"/>
  <c r="AY153" i="25" s="1"/>
  <c r="AU153" i="25"/>
  <c r="AT233" i="25"/>
  <c r="AU233" i="25"/>
  <c r="AT218" i="25"/>
  <c r="AU218" i="25"/>
  <c r="BA62" i="25"/>
  <c r="BC62" i="25"/>
  <c r="BT62" i="25" s="1"/>
  <c r="BB62" i="25"/>
  <c r="BS62" i="25" s="1"/>
  <c r="AT93" i="25"/>
  <c r="AY93" i="25" s="1"/>
  <c r="AU93" i="25"/>
  <c r="BS41" i="24"/>
  <c r="BV41" i="24" s="1"/>
  <c r="BX41" i="24" s="1"/>
  <c r="BG41" i="24"/>
  <c r="BM41" i="24" s="1"/>
  <c r="BE262" i="24"/>
  <c r="BT262" i="24" s="1"/>
  <c r="BD262" i="24"/>
  <c r="AY262" i="24"/>
  <c r="AZ262" i="24" s="1"/>
  <c r="BG135" i="24"/>
  <c r="BS135" i="24"/>
  <c r="AT49" i="25"/>
  <c r="AY49" i="25" s="1"/>
  <c r="AU49" i="25"/>
  <c r="AT285" i="25"/>
  <c r="AU285" i="25"/>
  <c r="BD186" i="24"/>
  <c r="AY186" i="24"/>
  <c r="AZ186" i="24" s="1"/>
  <c r="BE186" i="24"/>
  <c r="BT186" i="24" s="1"/>
  <c r="AT300" i="25"/>
  <c r="AU300" i="25"/>
  <c r="AT263" i="25"/>
  <c r="AU263" i="25"/>
  <c r="AT310" i="25"/>
  <c r="AU310" i="25"/>
  <c r="AT274" i="25"/>
  <c r="AU274" i="25"/>
  <c r="BD78" i="24"/>
  <c r="AY78" i="24"/>
  <c r="AZ78" i="24" s="1"/>
  <c r="BE78" i="24"/>
  <c r="BT78" i="24" s="1"/>
  <c r="AY36" i="24"/>
  <c r="AZ36" i="24" s="1"/>
  <c r="BD36" i="24"/>
  <c r="BE36" i="24"/>
  <c r="BT36" i="24" s="1"/>
  <c r="AY225" i="24"/>
  <c r="AZ225" i="24" s="1"/>
  <c r="BD225" i="24"/>
  <c r="BE225" i="24"/>
  <c r="BT225" i="24" s="1"/>
  <c r="BC114" i="25"/>
  <c r="BT114" i="25" s="1"/>
  <c r="BB114" i="25"/>
  <c r="BS114" i="25" s="1"/>
  <c r="BA114" i="25"/>
  <c r="BD92" i="24"/>
  <c r="AY92" i="24"/>
  <c r="AZ92" i="24" s="1"/>
  <c r="BE92" i="24"/>
  <c r="BT92" i="24" s="1"/>
  <c r="BA280" i="25"/>
  <c r="BC280" i="25"/>
  <c r="BT280" i="25" s="1"/>
  <c r="BB280" i="25"/>
  <c r="BS280" i="25" s="1"/>
  <c r="AT249" i="25"/>
  <c r="AU249" i="25"/>
  <c r="AT18" i="25"/>
  <c r="AY18" i="25" s="1"/>
  <c r="AU18" i="25"/>
  <c r="BB273" i="25"/>
  <c r="BS273" i="25" s="1"/>
  <c r="BA273" i="25"/>
  <c r="BC273" i="25"/>
  <c r="BT273" i="25" s="1"/>
  <c r="BD277" i="24"/>
  <c r="BE277" i="24"/>
  <c r="BT277" i="24" s="1"/>
  <c r="AY277" i="24"/>
  <c r="AZ277" i="24" s="1"/>
  <c r="AT210" i="25"/>
  <c r="AY210" i="25" s="1"/>
  <c r="AU210" i="25"/>
  <c r="BE68" i="24"/>
  <c r="BT68" i="24" s="1"/>
  <c r="BD68" i="24"/>
  <c r="AY68" i="24"/>
  <c r="AZ68" i="24" s="1"/>
  <c r="AY287" i="24"/>
  <c r="AZ287" i="24" s="1"/>
  <c r="BD287" i="24"/>
  <c r="BE287" i="24"/>
  <c r="BT287" i="24" s="1"/>
  <c r="BE312" i="24"/>
  <c r="BT312" i="24" s="1"/>
  <c r="BD312" i="24"/>
  <c r="AY312" i="24"/>
  <c r="AZ312" i="24" s="1"/>
  <c r="BC293" i="25"/>
  <c r="BT293" i="25" s="1"/>
  <c r="BA293" i="25"/>
  <c r="BB293" i="25"/>
  <c r="BS293" i="25" s="1"/>
  <c r="AT254" i="25"/>
  <c r="AU254" i="25"/>
  <c r="AT39" i="25"/>
  <c r="AY39" i="25" s="1"/>
  <c r="AU39" i="25"/>
  <c r="BC229" i="25"/>
  <c r="BT229" i="25" s="1"/>
  <c r="BB229" i="25"/>
  <c r="BS229" i="25" s="1"/>
  <c r="BA229" i="25"/>
  <c r="BD221" i="24"/>
  <c r="AY221" i="24"/>
  <c r="AZ221" i="24" s="1"/>
  <c r="BE221" i="24"/>
  <c r="BT221" i="24" s="1"/>
  <c r="AT156" i="25"/>
  <c r="AY156" i="25" s="1"/>
  <c r="AU156" i="25"/>
  <c r="BA255" i="25"/>
  <c r="BB255" i="25"/>
  <c r="BS255" i="25" s="1"/>
  <c r="BC255" i="25"/>
  <c r="BT255" i="25" s="1"/>
  <c r="AT316" i="25"/>
  <c r="AU316" i="25"/>
  <c r="AT172" i="25"/>
  <c r="AY172" i="25" s="1"/>
  <c r="AU172" i="25"/>
  <c r="BA306" i="25"/>
  <c r="BC306" i="25"/>
  <c r="BT306" i="25" s="1"/>
  <c r="BB306" i="25"/>
  <c r="BS306" i="25" s="1"/>
  <c r="AT99" i="25"/>
  <c r="AY99" i="25" s="1"/>
  <c r="AU99" i="25"/>
  <c r="BB87" i="25"/>
  <c r="BS87" i="25" s="1"/>
  <c r="BA87" i="25"/>
  <c r="BC87" i="25"/>
  <c r="BT87" i="25" s="1"/>
  <c r="AT162" i="25"/>
  <c r="AY162" i="25" s="1"/>
  <c r="AU162" i="25"/>
  <c r="AT117" i="25"/>
  <c r="AY117" i="25" s="1"/>
  <c r="AU117" i="25"/>
  <c r="AY125" i="24"/>
  <c r="AZ125" i="24" s="1"/>
  <c r="BD125" i="24"/>
  <c r="BE125" i="24"/>
  <c r="BT125" i="24" s="1"/>
  <c r="BA305" i="25"/>
  <c r="BC305" i="25"/>
  <c r="BT305" i="25" s="1"/>
  <c r="BB305" i="25"/>
  <c r="BS305" i="25" s="1"/>
  <c r="AT88" i="25"/>
  <c r="AY88" i="25" s="1"/>
  <c r="AU88" i="25"/>
  <c r="AT226" i="25"/>
  <c r="AU226" i="25"/>
  <c r="BE84" i="24"/>
  <c r="BT84" i="24" s="1"/>
  <c r="BD84" i="24"/>
  <c r="AY84" i="24"/>
  <c r="AZ84" i="24" s="1"/>
  <c r="BE80" i="24"/>
  <c r="BT80" i="24" s="1"/>
  <c r="BD80" i="24"/>
  <c r="AY80" i="24"/>
  <c r="AZ80" i="24" s="1"/>
  <c r="AT25" i="25"/>
  <c r="AY25" i="25" s="1"/>
  <c r="AU25" i="25"/>
  <c r="BC246" i="25"/>
  <c r="BT246" i="25" s="1"/>
  <c r="BA246" i="25"/>
  <c r="BB246" i="25"/>
  <c r="BS246" i="25" s="1"/>
  <c r="AT290" i="25"/>
  <c r="AU290" i="25"/>
  <c r="BC262" i="25"/>
  <c r="BT262" i="25" s="1"/>
  <c r="BB262" i="25"/>
  <c r="BS262" i="25" s="1"/>
  <c r="BA262" i="25"/>
  <c r="AT169" i="25"/>
  <c r="AY169" i="25" s="1"/>
  <c r="AU169" i="25"/>
  <c r="AY291" i="24"/>
  <c r="AZ291" i="24" s="1"/>
  <c r="BE291" i="24"/>
  <c r="BT291" i="24" s="1"/>
  <c r="BD291" i="24"/>
  <c r="AT260" i="25"/>
  <c r="AU260" i="25"/>
  <c r="AY102" i="24"/>
  <c r="AZ102" i="24" s="1"/>
  <c r="BD102" i="24"/>
  <c r="BE102" i="24"/>
  <c r="BT102" i="24" s="1"/>
  <c r="BE223" i="24"/>
  <c r="BT223" i="24" s="1"/>
  <c r="AY223" i="24"/>
  <c r="AZ223" i="24" s="1"/>
  <c r="BD223" i="24"/>
  <c r="AT52" i="25"/>
  <c r="AY52" i="25" s="1"/>
  <c r="AU52" i="25"/>
  <c r="BE141" i="24"/>
  <c r="BT141" i="24" s="1"/>
  <c r="AY141" i="24"/>
  <c r="AZ141" i="24" s="1"/>
  <c r="BD141" i="24"/>
  <c r="BD251" i="24"/>
  <c r="BE251" i="24"/>
  <c r="BT251" i="24" s="1"/>
  <c r="AY251" i="24"/>
  <c r="AZ251" i="24" s="1"/>
  <c r="BA186" i="25"/>
  <c r="BC186" i="25"/>
  <c r="BT186" i="25" s="1"/>
  <c r="BB186" i="25"/>
  <c r="BS186" i="25" s="1"/>
  <c r="AT120" i="25"/>
  <c r="AY120" i="25" s="1"/>
  <c r="AU120" i="25"/>
  <c r="BD302" i="24"/>
  <c r="AY302" i="24"/>
  <c r="AZ302" i="24" s="1"/>
  <c r="BE302" i="24"/>
  <c r="BT302" i="24" s="1"/>
  <c r="AT219" i="25"/>
  <c r="AU219" i="25"/>
  <c r="AT217" i="25"/>
  <c r="AU217" i="25"/>
  <c r="AT209" i="25"/>
  <c r="AY209" i="25" s="1"/>
  <c r="AU209" i="25"/>
  <c r="BD127" i="24"/>
  <c r="AY127" i="24"/>
  <c r="AZ127" i="24" s="1"/>
  <c r="BE127" i="24"/>
  <c r="BT127" i="24" s="1"/>
  <c r="BB170" i="25"/>
  <c r="BS170" i="25" s="1"/>
  <c r="BA170" i="25"/>
  <c r="BC170" i="25"/>
  <c r="BT170" i="25" s="1"/>
  <c r="AT63" i="25"/>
  <c r="AY63" i="25" s="1"/>
  <c r="AU63" i="25"/>
  <c r="BE207" i="24"/>
  <c r="BT207" i="24" s="1"/>
  <c r="BD207" i="24"/>
  <c r="AY207" i="24"/>
  <c r="AZ207" i="24" s="1"/>
  <c r="AT79" i="25"/>
  <c r="AY79" i="25" s="1"/>
  <c r="AU79" i="25"/>
  <c r="AT146" i="25"/>
  <c r="AY146" i="25" s="1"/>
  <c r="AU146" i="25"/>
  <c r="BB206" i="25"/>
  <c r="BS206" i="25" s="1"/>
  <c r="BA206" i="25"/>
  <c r="BC206" i="25"/>
  <c r="BT206" i="25" s="1"/>
  <c r="AT137" i="25"/>
  <c r="AY137" i="25" s="1"/>
  <c r="AU137" i="25"/>
  <c r="AY173" i="24"/>
  <c r="AZ173" i="24" s="1"/>
  <c r="BE173" i="24"/>
  <c r="BT173" i="24" s="1"/>
  <c r="BD173" i="24"/>
  <c r="AT159" i="25"/>
  <c r="AY159" i="25" s="1"/>
  <c r="AU159" i="25"/>
  <c r="AT10" i="25"/>
  <c r="AY10" i="25" s="1"/>
  <c r="AU10" i="25"/>
  <c r="AY49" i="24"/>
  <c r="AZ49" i="24" s="1"/>
  <c r="BD49" i="24"/>
  <c r="BE49" i="24"/>
  <c r="BT49" i="24" s="1"/>
  <c r="AT121" i="25"/>
  <c r="AY121" i="25" s="1"/>
  <c r="AU121" i="25"/>
  <c r="BD77" i="24"/>
  <c r="BE77" i="24"/>
  <c r="BT77" i="24" s="1"/>
  <c r="AY77" i="24"/>
  <c r="AZ77" i="24" s="1"/>
  <c r="BS6" i="24"/>
  <c r="BG6" i="24"/>
  <c r="BM6" i="24" s="1"/>
  <c r="AY196" i="24"/>
  <c r="AZ196" i="24" s="1"/>
  <c r="BD196" i="24"/>
  <c r="BE196" i="24"/>
  <c r="BT196" i="24" s="1"/>
  <c r="BA178" i="25"/>
  <c r="BB178" i="25"/>
  <c r="BS178" i="25" s="1"/>
  <c r="BC178" i="25"/>
  <c r="BT178" i="25" s="1"/>
  <c r="AT141" i="25"/>
  <c r="AY141" i="25" s="1"/>
  <c r="AU141" i="25"/>
  <c r="BA34" i="25"/>
  <c r="BC34" i="25"/>
  <c r="BT34" i="25" s="1"/>
  <c r="BB34" i="25"/>
  <c r="BS34" i="25" s="1"/>
  <c r="BE67" i="24"/>
  <c r="BT67" i="24" s="1"/>
  <c r="BD67" i="24"/>
  <c r="AY67" i="24"/>
  <c r="AZ67" i="24" s="1"/>
  <c r="AT253" i="25"/>
  <c r="AU253" i="25"/>
  <c r="AY88" i="24"/>
  <c r="AZ88" i="24" s="1"/>
  <c r="BE88" i="24"/>
  <c r="BT88" i="24" s="1"/>
  <c r="BD88" i="24"/>
  <c r="BB89" i="25"/>
  <c r="BS89" i="25" s="1"/>
  <c r="BA89" i="25"/>
  <c r="BC89" i="25"/>
  <c r="BT89" i="25" s="1"/>
  <c r="AT294" i="25"/>
  <c r="AU294" i="25"/>
  <c r="BS248" i="24"/>
  <c r="BG248" i="24"/>
  <c r="AT40" i="25"/>
  <c r="AY40" i="25" s="1"/>
  <c r="AU40" i="25"/>
  <c r="BA291" i="25"/>
  <c r="BC291" i="25"/>
  <c r="BT291" i="25" s="1"/>
  <c r="BB291" i="25"/>
  <c r="BS291" i="25" s="1"/>
  <c r="AT9" i="25"/>
  <c r="AY9" i="25" s="1"/>
  <c r="AU9" i="25"/>
  <c r="AT24" i="25"/>
  <c r="AY24" i="25" s="1"/>
  <c r="AU24" i="25"/>
  <c r="BE235" i="24"/>
  <c r="BT235" i="24" s="1"/>
  <c r="BD235" i="24"/>
  <c r="AY235" i="24"/>
  <c r="AZ235" i="24" s="1"/>
  <c r="BE241" i="24"/>
  <c r="BT241" i="24" s="1"/>
  <c r="AY241" i="24"/>
  <c r="AZ241" i="24" s="1"/>
  <c r="BD241" i="24"/>
  <c r="BE74" i="24"/>
  <c r="BT74" i="24" s="1"/>
  <c r="BD74" i="24"/>
  <c r="AY74" i="24"/>
  <c r="AZ74" i="24" s="1"/>
  <c r="BD261" i="24"/>
  <c r="AY261" i="24"/>
  <c r="AZ261" i="24" s="1"/>
  <c r="BE261" i="24"/>
  <c r="BT261" i="24" s="1"/>
  <c r="BE116" i="24"/>
  <c r="BT116" i="24" s="1"/>
  <c r="BD116" i="24"/>
  <c r="AY116" i="24"/>
  <c r="AZ116" i="24" s="1"/>
  <c r="AT222" i="25"/>
  <c r="AU222" i="25"/>
  <c r="BA238" i="25"/>
  <c r="BC238" i="25"/>
  <c r="BT238" i="25" s="1"/>
  <c r="BB238" i="25"/>
  <c r="BS238" i="25" s="1"/>
  <c r="BD164" i="24"/>
  <c r="BE164" i="24"/>
  <c r="BT164" i="24" s="1"/>
  <c r="AY164" i="24"/>
  <c r="AZ164" i="24" s="1"/>
  <c r="AT53" i="25"/>
  <c r="AY53" i="25" s="1"/>
  <c r="AU53" i="25"/>
  <c r="AT22" i="25"/>
  <c r="AY22" i="25" s="1"/>
  <c r="AU22" i="25"/>
  <c r="AT231" i="25"/>
  <c r="AU231" i="25"/>
  <c r="AT90" i="25"/>
  <c r="AY90" i="25" s="1"/>
  <c r="AU90" i="25"/>
  <c r="BE98" i="24"/>
  <c r="BT98" i="24" s="1"/>
  <c r="BD98" i="24"/>
  <c r="AY98" i="24"/>
  <c r="AZ98" i="24" s="1"/>
  <c r="BD69" i="24"/>
  <c r="AY69" i="24"/>
  <c r="AZ69" i="24" s="1"/>
  <c r="BE69" i="24"/>
  <c r="BT69" i="24" s="1"/>
  <c r="BC94" i="25"/>
  <c r="BT94" i="25" s="1"/>
  <c r="BB94" i="25"/>
  <c r="BS94" i="25" s="1"/>
  <c r="BA94" i="25"/>
  <c r="AY149" i="24"/>
  <c r="AZ149" i="24" s="1"/>
  <c r="BD149" i="24"/>
  <c r="BE149" i="24"/>
  <c r="BT149" i="24" s="1"/>
  <c r="AY64" i="24"/>
  <c r="AZ64" i="24" s="1"/>
  <c r="BE64" i="24"/>
  <c r="BT64" i="24" s="1"/>
  <c r="BD64" i="24"/>
  <c r="AY82" i="24"/>
  <c r="AZ82" i="24" s="1"/>
  <c r="BD82" i="24"/>
  <c r="BE82" i="24"/>
  <c r="BT82" i="24" s="1"/>
  <c r="AY180" i="24"/>
  <c r="AZ180" i="24" s="1"/>
  <c r="BD180" i="24"/>
  <c r="BE180" i="24"/>
  <c r="BT180" i="24" s="1"/>
  <c r="BA167" i="25"/>
  <c r="BC167" i="25"/>
  <c r="BT167" i="25" s="1"/>
  <c r="BB167" i="25"/>
  <c r="BS167" i="25" s="1"/>
  <c r="BG264" i="24"/>
  <c r="BS264" i="24"/>
  <c r="BX264" i="24" s="1"/>
  <c r="BE308" i="24"/>
  <c r="BT308" i="24" s="1"/>
  <c r="AY308" i="24"/>
  <c r="AZ308" i="24" s="1"/>
  <c r="BD308" i="24"/>
  <c r="AT203" i="25"/>
  <c r="AY203" i="25" s="1"/>
  <c r="AU203" i="25"/>
  <c r="BE200" i="24"/>
  <c r="BT200" i="24" s="1"/>
  <c r="AY200" i="24"/>
  <c r="AZ200" i="24" s="1"/>
  <c r="BD200" i="24"/>
  <c r="AT221" i="25"/>
  <c r="AU221" i="25"/>
  <c r="BD170" i="24"/>
  <c r="BE170" i="24"/>
  <c r="BT170" i="24" s="1"/>
  <c r="AY170" i="24"/>
  <c r="AZ170" i="24" s="1"/>
  <c r="BE23" i="24"/>
  <c r="BT23" i="24" s="1"/>
  <c r="BD23" i="24"/>
  <c r="AY23" i="24"/>
  <c r="AZ23" i="24" s="1"/>
  <c r="AY155" i="24"/>
  <c r="AZ155" i="24" s="1"/>
  <c r="BD155" i="24"/>
  <c r="BE155" i="24"/>
  <c r="BT155" i="24" s="1"/>
  <c r="AT116" i="25"/>
  <c r="AY116" i="25" s="1"/>
  <c r="AU116" i="25"/>
  <c r="AT74" i="25"/>
  <c r="AY74" i="25" s="1"/>
  <c r="AU74" i="25"/>
  <c r="AT47" i="25"/>
  <c r="AY47" i="25" s="1"/>
  <c r="AU47" i="25"/>
  <c r="AT298" i="25"/>
  <c r="AU298" i="25"/>
  <c r="BD81" i="24"/>
  <c r="AY81" i="24"/>
  <c r="AZ81" i="24" s="1"/>
  <c r="BE81" i="24"/>
  <c r="BT81" i="24" s="1"/>
  <c r="BB155" i="25"/>
  <c r="BS155" i="25" s="1"/>
  <c r="BC155" i="25"/>
  <c r="BT155" i="25" s="1"/>
  <c r="BA155" i="25"/>
  <c r="AT142" i="25"/>
  <c r="AY142" i="25" s="1"/>
  <c r="AU142" i="25"/>
  <c r="BD43" i="24"/>
  <c r="BE43" i="24"/>
  <c r="BT43" i="24" s="1"/>
  <c r="AY43" i="24"/>
  <c r="AZ43" i="24" s="1"/>
  <c r="BD199" i="24"/>
  <c r="BE199" i="24"/>
  <c r="BT199" i="24" s="1"/>
  <c r="AY199" i="24"/>
  <c r="AZ199" i="24" s="1"/>
  <c r="AY178" i="24"/>
  <c r="AZ178" i="24" s="1"/>
  <c r="BE178" i="24"/>
  <c r="BT178" i="24" s="1"/>
  <c r="BD178" i="24"/>
  <c r="AT132" i="25"/>
  <c r="AY132" i="25" s="1"/>
  <c r="AU132" i="25"/>
  <c r="BA14" i="25"/>
  <c r="BC14" i="25"/>
  <c r="BT14" i="25" s="1"/>
  <c r="BB14" i="25"/>
  <c r="BS14" i="25" s="1"/>
  <c r="AT45" i="25"/>
  <c r="AY45" i="25" s="1"/>
  <c r="AU45" i="25"/>
  <c r="BA192" i="25"/>
  <c r="BC192" i="25"/>
  <c r="BT192" i="25" s="1"/>
  <c r="BB192" i="25"/>
  <c r="BS192" i="25" s="1"/>
  <c r="BC283" i="25"/>
  <c r="BT283" i="25" s="1"/>
  <c r="BA283" i="25"/>
  <c r="BB283" i="25"/>
  <c r="BS283" i="25" s="1"/>
  <c r="BE9" i="24"/>
  <c r="BT9" i="24" s="1"/>
  <c r="AY9" i="24"/>
  <c r="AZ9" i="24" s="1"/>
  <c r="BD9" i="24"/>
  <c r="AT84" i="25"/>
  <c r="AY84" i="25" s="1"/>
  <c r="AU84" i="25"/>
  <c r="BB204" i="25"/>
  <c r="BS204" i="25" s="1"/>
  <c r="BA204" i="25"/>
  <c r="BC204" i="25"/>
  <c r="BT204" i="25" s="1"/>
  <c r="BE194" i="24"/>
  <c r="BT194" i="24" s="1"/>
  <c r="BD194" i="24"/>
  <c r="AY194" i="24"/>
  <c r="AZ194" i="24" s="1"/>
  <c r="AT234" i="25"/>
  <c r="AU234" i="25"/>
  <c r="BE229" i="24"/>
  <c r="BT229" i="24" s="1"/>
  <c r="BD229" i="24"/>
  <c r="AY229" i="24"/>
  <c r="AZ229" i="24" s="1"/>
  <c r="AY201" i="24"/>
  <c r="AZ201" i="24" s="1"/>
  <c r="BE201" i="24"/>
  <c r="BT201" i="24" s="1"/>
  <c r="BD201" i="24"/>
  <c r="BG191" i="24"/>
  <c r="BS191" i="24"/>
  <c r="BX191" i="24" s="1"/>
  <c r="AT83" i="25"/>
  <c r="AY83" i="25" s="1"/>
  <c r="AU83" i="25"/>
  <c r="BE42" i="24"/>
  <c r="BT42" i="24" s="1"/>
  <c r="AY42" i="24"/>
  <c r="AZ42" i="24" s="1"/>
  <c r="BD42" i="24"/>
  <c r="BE139" i="24"/>
  <c r="BT139" i="24" s="1"/>
  <c r="BD139" i="24"/>
  <c r="AY139" i="24"/>
  <c r="AZ139" i="24" s="1"/>
  <c r="AT35" i="25"/>
  <c r="AY35" i="25" s="1"/>
  <c r="AU35" i="25"/>
  <c r="AY278" i="24"/>
  <c r="AZ278" i="24" s="1"/>
  <c r="BE278" i="24"/>
  <c r="BT278" i="24" s="1"/>
  <c r="BD278" i="24"/>
  <c r="AT230" i="25"/>
  <c r="AU230" i="25"/>
  <c r="BE275" i="24"/>
  <c r="BT275" i="24" s="1"/>
  <c r="AY275" i="24"/>
  <c r="AZ275" i="24" s="1"/>
  <c r="BD275" i="24"/>
  <c r="AT236" i="25"/>
  <c r="AU236" i="25"/>
  <c r="AT123" i="25"/>
  <c r="AY123" i="25" s="1"/>
  <c r="AU123" i="25"/>
  <c r="BE126" i="24"/>
  <c r="BT126" i="24" s="1"/>
  <c r="AY126" i="24"/>
  <c r="AZ126" i="24" s="1"/>
  <c r="BD126" i="24"/>
  <c r="BE284" i="24"/>
  <c r="BT284" i="24" s="1"/>
  <c r="AY284" i="24"/>
  <c r="AZ284" i="24" s="1"/>
  <c r="BD284" i="24"/>
  <c r="BD30" i="24"/>
  <c r="AY30" i="24"/>
  <c r="AZ30" i="24" s="1"/>
  <c r="BE30" i="24"/>
  <c r="BT30" i="24" s="1"/>
  <c r="AY114" i="24"/>
  <c r="AZ114" i="24" s="1"/>
  <c r="BE114" i="24"/>
  <c r="BT114" i="24" s="1"/>
  <c r="BD114" i="24"/>
  <c r="AT250" i="25"/>
  <c r="AU250" i="25"/>
  <c r="AT33" i="25"/>
  <c r="AY33" i="25" s="1"/>
  <c r="AU33" i="25"/>
  <c r="BD136" i="24"/>
  <c r="AY136" i="24"/>
  <c r="AZ136" i="24" s="1"/>
  <c r="BE136" i="24"/>
  <c r="BT136" i="24" s="1"/>
  <c r="AT112" i="25"/>
  <c r="AY112" i="25" s="1"/>
  <c r="AU112" i="25"/>
  <c r="BD177" i="24"/>
  <c r="AY177" i="24"/>
  <c r="AZ177" i="24" s="1"/>
  <c r="BE177" i="24"/>
  <c r="BT177" i="24" s="1"/>
  <c r="AT7" i="25"/>
  <c r="AY7" i="25" s="1"/>
  <c r="AU7" i="25"/>
  <c r="AT256" i="25"/>
  <c r="AU256" i="25"/>
  <c r="BA30" i="25"/>
  <c r="BB30" i="25"/>
  <c r="BS30" i="25" s="1"/>
  <c r="BC30" i="25"/>
  <c r="BT30" i="25" s="1"/>
  <c r="BA113" i="25"/>
  <c r="BC113" i="25"/>
  <c r="BT113" i="25" s="1"/>
  <c r="BB113" i="25"/>
  <c r="BS113" i="25" s="1"/>
  <c r="AY203" i="24"/>
  <c r="AZ203" i="24" s="1"/>
  <c r="BD203" i="24"/>
  <c r="BE203" i="24"/>
  <c r="BT203" i="24" s="1"/>
  <c r="AT8" i="25"/>
  <c r="AY8" i="25" s="1"/>
  <c r="AU8" i="25"/>
  <c r="BE63" i="24"/>
  <c r="BT63" i="24" s="1"/>
  <c r="BD63" i="24"/>
  <c r="AY63" i="24"/>
  <c r="AZ63" i="24" s="1"/>
  <c r="AT15" i="25"/>
  <c r="AY15" i="25" s="1"/>
  <c r="AU15" i="25"/>
  <c r="AT239" i="25"/>
  <c r="AU239" i="25"/>
  <c r="BD76" i="24"/>
  <c r="BE76" i="24"/>
  <c r="BT76" i="24" s="1"/>
  <c r="AY76" i="24"/>
  <c r="AZ76" i="24" s="1"/>
  <c r="BG44" i="24"/>
  <c r="BM44" i="24" s="1"/>
  <c r="BS44" i="24"/>
  <c r="BV44" i="24" s="1"/>
  <c r="BX44" i="24" s="1"/>
  <c r="AT70" i="25"/>
  <c r="AY70" i="25" s="1"/>
  <c r="AU70" i="25"/>
  <c r="AT76" i="25"/>
  <c r="AY76" i="25" s="1"/>
  <c r="AU76" i="25"/>
  <c r="BE27" i="24"/>
  <c r="BT27" i="24" s="1"/>
  <c r="AY27" i="24"/>
  <c r="AZ27" i="24" s="1"/>
  <c r="BD27" i="24"/>
  <c r="BD301" i="24"/>
  <c r="BE301" i="24"/>
  <c r="BT301" i="24" s="1"/>
  <c r="AY301" i="24"/>
  <c r="AZ301" i="24" s="1"/>
  <c r="BE17" i="24"/>
  <c r="BT17" i="24" s="1"/>
  <c r="BD17" i="24"/>
  <c r="AY17" i="24"/>
  <c r="AZ17" i="24" s="1"/>
  <c r="BE156" i="24"/>
  <c r="BT156" i="24" s="1"/>
  <c r="BD156" i="24"/>
  <c r="AY156" i="24"/>
  <c r="AZ156" i="24" s="1"/>
  <c r="AY174" i="24"/>
  <c r="AZ174" i="24" s="1"/>
  <c r="BE174" i="24"/>
  <c r="BT174" i="24" s="1"/>
  <c r="BD174" i="24"/>
  <c r="BE290" i="24"/>
  <c r="BT290" i="24" s="1"/>
  <c r="AY290" i="24"/>
  <c r="AZ290" i="24" s="1"/>
  <c r="BD290" i="24"/>
  <c r="AT202" i="25"/>
  <c r="AY202" i="25" s="1"/>
  <c r="AU202" i="25"/>
  <c r="BD131" i="24"/>
  <c r="AY131" i="24"/>
  <c r="AZ131" i="24" s="1"/>
  <c r="BE131" i="24"/>
  <c r="BT131" i="24" s="1"/>
  <c r="AY249" i="24"/>
  <c r="AZ249" i="24" s="1"/>
  <c r="BE249" i="24"/>
  <c r="BT249" i="24" s="1"/>
  <c r="BD249" i="24"/>
  <c r="BD183" i="24"/>
  <c r="AY183" i="24"/>
  <c r="AZ183" i="24" s="1"/>
  <c r="BE183" i="24"/>
  <c r="BT183" i="24" s="1"/>
  <c r="BE35" i="24"/>
  <c r="BT35" i="24" s="1"/>
  <c r="BD35" i="24"/>
  <c r="AY35" i="24"/>
  <c r="AZ35" i="24" s="1"/>
  <c r="BE89" i="24"/>
  <c r="BT89" i="24" s="1"/>
  <c r="BD89" i="24"/>
  <c r="AY89" i="24"/>
  <c r="AZ89" i="24" s="1"/>
  <c r="AT180" i="25"/>
  <c r="AY180" i="25" s="1"/>
  <c r="AU180" i="25"/>
  <c r="BC21" i="25"/>
  <c r="BT21" i="25" s="1"/>
  <c r="BB21" i="25"/>
  <c r="BS21" i="25" s="1"/>
  <c r="BA21" i="25"/>
  <c r="AT223" i="25"/>
  <c r="AU223" i="25"/>
  <c r="BB190" i="25"/>
  <c r="BS190" i="25" s="1"/>
  <c r="BC190" i="25"/>
  <c r="BT190" i="25" s="1"/>
  <c r="BA190" i="25"/>
  <c r="BE268" i="24"/>
  <c r="BT268" i="24" s="1"/>
  <c r="BD268" i="24"/>
  <c r="AY268" i="24"/>
  <c r="AZ268" i="24" s="1"/>
  <c r="AT64" i="25"/>
  <c r="AY64" i="25" s="1"/>
  <c r="AU64" i="25"/>
  <c r="AT200" i="25"/>
  <c r="AY200" i="25" s="1"/>
  <c r="AU200" i="25"/>
  <c r="AT55" i="25"/>
  <c r="AY55" i="25" s="1"/>
  <c r="AU55" i="25"/>
  <c r="AT122" i="25"/>
  <c r="AY122" i="25" s="1"/>
  <c r="AU122" i="25"/>
  <c r="AT73" i="25"/>
  <c r="AY73" i="25" s="1"/>
  <c r="AU73" i="25"/>
  <c r="AY205" i="24"/>
  <c r="AZ205" i="24" s="1"/>
  <c r="BE205" i="24"/>
  <c r="BT205" i="24" s="1"/>
  <c r="BD205" i="24"/>
  <c r="BE309" i="24"/>
  <c r="BT309" i="24" s="1"/>
  <c r="AY309" i="24"/>
  <c r="AZ309" i="24" s="1"/>
  <c r="BD309" i="24"/>
  <c r="AT72" i="25"/>
  <c r="AY72" i="25" s="1"/>
  <c r="AU72" i="25"/>
  <c r="BG259" i="24"/>
  <c r="BS259" i="24"/>
  <c r="BC82" i="25"/>
  <c r="BT82" i="25" s="1"/>
  <c r="BB82" i="25"/>
  <c r="BS82" i="25" s="1"/>
  <c r="BA82" i="25"/>
  <c r="BE193" i="24"/>
  <c r="BT193" i="24" s="1"/>
  <c r="BD193" i="24"/>
  <c r="AY193" i="24"/>
  <c r="AZ193" i="24" s="1"/>
  <c r="AT125" i="25"/>
  <c r="AY125" i="25" s="1"/>
  <c r="AU125" i="25"/>
  <c r="BE65" i="24"/>
  <c r="BT65" i="24" s="1"/>
  <c r="BD65" i="24"/>
  <c r="AY65" i="24"/>
  <c r="AZ65" i="24" s="1"/>
  <c r="AT37" i="25"/>
  <c r="AY37" i="25" s="1"/>
  <c r="AU37" i="25"/>
  <c r="BE110" i="25"/>
  <c r="BR110" i="25"/>
  <c r="BX110" i="25" s="1"/>
  <c r="BD97" i="24"/>
  <c r="BE97" i="24"/>
  <c r="BT97" i="24" s="1"/>
  <c r="AY97" i="24"/>
  <c r="AZ97" i="24" s="1"/>
  <c r="AY243" i="24"/>
  <c r="AZ243" i="24" s="1"/>
  <c r="BD243" i="24"/>
  <c r="BE243" i="24"/>
  <c r="BT243" i="24" s="1"/>
  <c r="BA259" i="25"/>
  <c r="BB259" i="25"/>
  <c r="BS259" i="25" s="1"/>
  <c r="BC259" i="25"/>
  <c r="BT259" i="25" s="1"/>
  <c r="BG294" i="24"/>
  <c r="BS294" i="24"/>
  <c r="BX294" i="24" s="1"/>
  <c r="AT277" i="25"/>
  <c r="AU277" i="25"/>
  <c r="BD87" i="24"/>
  <c r="AY87" i="24"/>
  <c r="AZ87" i="24" s="1"/>
  <c r="BE87" i="24"/>
  <c r="BT87" i="24" s="1"/>
  <c r="AT75" i="25"/>
  <c r="AY75" i="25" s="1"/>
  <c r="AU75" i="25"/>
  <c r="AT268" i="25"/>
  <c r="AU268" i="25"/>
  <c r="AT46" i="25"/>
  <c r="AY46" i="25" s="1"/>
  <c r="AU46" i="25"/>
  <c r="BA161" i="25"/>
  <c r="BC161" i="25"/>
  <c r="BT161" i="25" s="1"/>
  <c r="BB161" i="25"/>
  <c r="BS161" i="25" s="1"/>
  <c r="AT184" i="25"/>
  <c r="AY184" i="25" s="1"/>
  <c r="AU184" i="25"/>
  <c r="AT80" i="25"/>
  <c r="AY80" i="25" s="1"/>
  <c r="AU80" i="25"/>
  <c r="BE46" i="24"/>
  <c r="BT46" i="24" s="1"/>
  <c r="AY46" i="24"/>
  <c r="AZ46" i="24" s="1"/>
  <c r="BD46" i="24"/>
  <c r="BE47" i="24"/>
  <c r="BT47" i="24" s="1"/>
  <c r="BD47" i="24"/>
  <c r="AY47" i="24"/>
  <c r="AZ47" i="24" s="1"/>
  <c r="AT175" i="25"/>
  <c r="AY175" i="25" s="1"/>
  <c r="AU175" i="25"/>
  <c r="BE197" i="24"/>
  <c r="BT197" i="24" s="1"/>
  <c r="BD197" i="24"/>
  <c r="AY197" i="24"/>
  <c r="AZ197" i="24" s="1"/>
  <c r="AY159" i="24"/>
  <c r="AZ159" i="24" s="1"/>
  <c r="BD159" i="24"/>
  <c r="BE159" i="24"/>
  <c r="BT159" i="24" s="1"/>
  <c r="AT56" i="25"/>
  <c r="AY56" i="25" s="1"/>
  <c r="AU56" i="25"/>
  <c r="BC314" i="25"/>
  <c r="BT314" i="25" s="1"/>
  <c r="BB314" i="25"/>
  <c r="BS314" i="25" s="1"/>
  <c r="BA314" i="25"/>
  <c r="AT313" i="25"/>
  <c r="AU313" i="25"/>
  <c r="BE79" i="24"/>
  <c r="BT79" i="24" s="1"/>
  <c r="BD79" i="24"/>
  <c r="AY79" i="24"/>
  <c r="AZ79" i="24" s="1"/>
  <c r="BC13" i="25"/>
  <c r="BT13" i="25" s="1"/>
  <c r="BB13" i="25"/>
  <c r="BS13" i="25" s="1"/>
  <c r="BA13" i="25"/>
  <c r="AY93" i="24"/>
  <c r="AZ93" i="24" s="1"/>
  <c r="BE93" i="24"/>
  <c r="BT93" i="24" s="1"/>
  <c r="BD93" i="24"/>
  <c r="AT23" i="25"/>
  <c r="AY23" i="25" s="1"/>
  <c r="AU23" i="25"/>
  <c r="AT207" i="25"/>
  <c r="AY207" i="25" s="1"/>
  <c r="AU207" i="25"/>
  <c r="BD286" i="24"/>
  <c r="AY286" i="24"/>
  <c r="AZ286" i="24" s="1"/>
  <c r="BE286" i="24"/>
  <c r="BT286" i="24" s="1"/>
  <c r="AT36" i="25"/>
  <c r="AY36" i="25" s="1"/>
  <c r="AU36" i="25"/>
  <c r="AT27" i="25"/>
  <c r="AY27" i="25" s="1"/>
  <c r="AU27" i="25"/>
  <c r="BE52" i="24"/>
  <c r="BT52" i="24" s="1"/>
  <c r="AY52" i="24"/>
  <c r="AZ52" i="24" s="1"/>
  <c r="BD52" i="24"/>
  <c r="AT12" i="25"/>
  <c r="AY12" i="25" s="1"/>
  <c r="AU12" i="25"/>
  <c r="BE181" i="24"/>
  <c r="BT181" i="24" s="1"/>
  <c r="BD181" i="24"/>
  <c r="AY181" i="24"/>
  <c r="AZ181" i="24" s="1"/>
  <c r="AT19" i="25"/>
  <c r="AY19" i="25" s="1"/>
  <c r="AU19" i="25"/>
  <c r="BC148" i="25"/>
  <c r="BT148" i="25" s="1"/>
  <c r="BA148" i="25"/>
  <c r="BB148" i="25"/>
  <c r="BS148" i="25" s="1"/>
  <c r="BD176" i="24"/>
  <c r="AY176" i="24"/>
  <c r="AZ176" i="24" s="1"/>
  <c r="BE176" i="24"/>
  <c r="BT176" i="24" s="1"/>
  <c r="BG101" i="24"/>
  <c r="BM101" i="24" s="1"/>
  <c r="BS101" i="24"/>
  <c r="BV101" i="24" s="1"/>
  <c r="BX101" i="24" s="1"/>
  <c r="BE217" i="24"/>
  <c r="BT217" i="24" s="1"/>
  <c r="BD217" i="24"/>
  <c r="AY217" i="24"/>
  <c r="AZ217" i="24" s="1"/>
  <c r="BD274" i="24"/>
  <c r="AY274" i="24"/>
  <c r="AZ274" i="24" s="1"/>
  <c r="BE274" i="24"/>
  <c r="BT274" i="24" s="1"/>
  <c r="BA174" i="25"/>
  <c r="BB174" i="25"/>
  <c r="BS174" i="25" s="1"/>
  <c r="BC174" i="25"/>
  <c r="BT174" i="25" s="1"/>
  <c r="BD289" i="24"/>
  <c r="AY289" i="24"/>
  <c r="AZ289" i="24" s="1"/>
  <c r="BE289" i="24"/>
  <c r="BT289" i="24" s="1"/>
  <c r="BE86" i="24"/>
  <c r="BT86" i="24" s="1"/>
  <c r="BD86" i="24"/>
  <c r="AY86" i="24"/>
  <c r="AZ86" i="24" s="1"/>
  <c r="AT44" i="25"/>
  <c r="AY44" i="25" s="1"/>
  <c r="AU44" i="25"/>
  <c r="BS7" i="24"/>
  <c r="BV7" i="24" s="1"/>
  <c r="BX7" i="24" s="1"/>
  <c r="BG7" i="24"/>
  <c r="BM7" i="24" s="1"/>
  <c r="BD270" i="24"/>
  <c r="BE270" i="24"/>
  <c r="BT270" i="24" s="1"/>
  <c r="AY270" i="24"/>
  <c r="AZ270" i="24" s="1"/>
  <c r="AT284" i="25"/>
  <c r="AU284" i="25"/>
  <c r="BC71" i="25"/>
  <c r="BT71" i="25" s="1"/>
  <c r="BB71" i="25"/>
  <c r="BS71" i="25" s="1"/>
  <c r="BA71" i="25"/>
  <c r="AT126" i="25"/>
  <c r="AY126" i="25" s="1"/>
  <c r="AU126" i="25"/>
  <c r="AY304" i="24"/>
  <c r="AZ304" i="24" s="1"/>
  <c r="BE304" i="24"/>
  <c r="BT304" i="24" s="1"/>
  <c r="BD304" i="24"/>
  <c r="AT168" i="25"/>
  <c r="AY168" i="25" s="1"/>
  <c r="AU168" i="25"/>
  <c r="BA96" i="25"/>
  <c r="BB96" i="25"/>
  <c r="BS96" i="25" s="1"/>
  <c r="BC96" i="25"/>
  <c r="BT96" i="25" s="1"/>
  <c r="AT145" i="25"/>
  <c r="AY145" i="25" s="1"/>
  <c r="AU145" i="25"/>
  <c r="BE189" i="24"/>
  <c r="BT189" i="24" s="1"/>
  <c r="AY189" i="24"/>
  <c r="AZ189" i="24" s="1"/>
  <c r="BD189" i="24"/>
  <c r="AT150" i="25"/>
  <c r="AY150" i="25" s="1"/>
  <c r="AU150" i="25"/>
  <c r="AY230" i="24"/>
  <c r="AZ230" i="24" s="1"/>
  <c r="BE230" i="24"/>
  <c r="BT230" i="24" s="1"/>
  <c r="BD230" i="24"/>
  <c r="BA240" i="25"/>
  <c r="BC240" i="25"/>
  <c r="BT240" i="25" s="1"/>
  <c r="BB240" i="25"/>
  <c r="BS240" i="25" s="1"/>
  <c r="AT98" i="25"/>
  <c r="AY98" i="25" s="1"/>
  <c r="AU98" i="25"/>
  <c r="AT228" i="25"/>
  <c r="AU228" i="25"/>
  <c r="BE187" i="24"/>
  <c r="BT187" i="24" s="1"/>
  <c r="AY187" i="24"/>
  <c r="AZ187" i="24" s="1"/>
  <c r="BD187" i="24"/>
  <c r="BD300" i="24"/>
  <c r="BE300" i="24"/>
  <c r="BT300" i="24" s="1"/>
  <c r="AY300" i="24"/>
  <c r="AZ300" i="24" s="1"/>
  <c r="AY168" i="24"/>
  <c r="AZ168" i="24" s="1"/>
  <c r="BE168" i="24"/>
  <c r="BT168" i="24" s="1"/>
  <c r="BD168" i="24"/>
  <c r="BD113" i="24"/>
  <c r="AY113" i="24"/>
  <c r="AZ113" i="24" s="1"/>
  <c r="BE113" i="24"/>
  <c r="BT113" i="24" s="1"/>
  <c r="BE15" i="24"/>
  <c r="BT15" i="24" s="1"/>
  <c r="BD15" i="24"/>
  <c r="AY15" i="24"/>
  <c r="AZ15" i="24" s="1"/>
  <c r="BE208" i="24"/>
  <c r="BT208" i="24" s="1"/>
  <c r="BD208" i="24"/>
  <c r="AY208" i="24"/>
  <c r="AZ208" i="24" s="1"/>
  <c r="AT144" i="25"/>
  <c r="AY144" i="25" s="1"/>
  <c r="AU144" i="25"/>
  <c r="BB247" i="25"/>
  <c r="BS247" i="25" s="1"/>
  <c r="BA247" i="25"/>
  <c r="BC247" i="25"/>
  <c r="BT247" i="25" s="1"/>
  <c r="AT51" i="25"/>
  <c r="AY51" i="25" s="1"/>
  <c r="AU51" i="25"/>
  <c r="AT61" i="25"/>
  <c r="AY61" i="25" s="1"/>
  <c r="AU61" i="25"/>
  <c r="AY293" i="24"/>
  <c r="AZ293" i="24" s="1"/>
  <c r="BD293" i="24"/>
  <c r="BE293" i="24"/>
  <c r="BT293" i="24" s="1"/>
  <c r="BE288" i="24"/>
  <c r="BT288" i="24" s="1"/>
  <c r="AY288" i="24"/>
  <c r="AZ288" i="24" s="1"/>
  <c r="BD288" i="24"/>
  <c r="BC267" i="25"/>
  <c r="BT267" i="25" s="1"/>
  <c r="BB267" i="25"/>
  <c r="BS267" i="25" s="1"/>
  <c r="BA267" i="25"/>
  <c r="BE118" i="24"/>
  <c r="BT118" i="24" s="1"/>
  <c r="BD118" i="24"/>
  <c r="AY118" i="24"/>
  <c r="AZ118" i="24" s="1"/>
  <c r="BE266" i="24"/>
  <c r="BT266" i="24" s="1"/>
  <c r="AY266" i="24"/>
  <c r="AZ266" i="24" s="1"/>
  <c r="BD266" i="24"/>
  <c r="AT208" i="25"/>
  <c r="AY208" i="25" s="1"/>
  <c r="AU208" i="25"/>
  <c r="BB29" i="25"/>
  <c r="BS29" i="25" s="1"/>
  <c r="BC29" i="25"/>
  <c r="BT29" i="25" s="1"/>
  <c r="BA29" i="25"/>
  <c r="AT105" i="25"/>
  <c r="B140" i="2"/>
  <c r="B130" i="2"/>
  <c r="AU105" i="25"/>
  <c r="BD175" i="24"/>
  <c r="AY175" i="24"/>
  <c r="AZ175" i="24" s="1"/>
  <c r="BE175" i="24"/>
  <c r="BT175" i="24" s="1"/>
  <c r="AT42" i="25"/>
  <c r="AY42" i="25" s="1"/>
  <c r="AU42" i="25"/>
  <c r="AT171" i="25"/>
  <c r="AY171" i="25" s="1"/>
  <c r="AU171" i="25"/>
  <c r="AY202" i="24"/>
  <c r="AZ202" i="24" s="1"/>
  <c r="BE202" i="24"/>
  <c r="BT202" i="24" s="1"/>
  <c r="BD202" i="24"/>
  <c r="BD206" i="24"/>
  <c r="AY206" i="24"/>
  <c r="AZ206" i="24" s="1"/>
  <c r="BE206" i="24"/>
  <c r="BT206" i="24" s="1"/>
  <c r="AY188" i="24"/>
  <c r="AZ188" i="24" s="1"/>
  <c r="BD188" i="24"/>
  <c r="BE188" i="24"/>
  <c r="BT188" i="24" s="1"/>
  <c r="AY66" i="24"/>
  <c r="AZ66" i="24" s="1"/>
  <c r="BE66" i="24"/>
  <c r="BT66" i="24" s="1"/>
  <c r="BD66" i="24"/>
  <c r="BE179" i="24"/>
  <c r="BT179" i="24" s="1"/>
  <c r="BD179" i="24"/>
  <c r="AY179" i="24"/>
  <c r="AZ179" i="24" s="1"/>
  <c r="BD153" i="24"/>
  <c r="AY153" i="24"/>
  <c r="AZ153" i="24" s="1"/>
  <c r="BE153" i="24"/>
  <c r="BT153" i="24" s="1"/>
  <c r="AT86" i="25"/>
  <c r="AY86" i="25" s="1"/>
  <c r="AU86" i="25"/>
  <c r="AT188" i="25"/>
  <c r="AY188" i="25" s="1"/>
  <c r="AU188" i="25"/>
  <c r="BE133" i="24"/>
  <c r="BT133" i="24" s="1"/>
  <c r="BD133" i="24"/>
  <c r="AY133" i="24"/>
  <c r="AZ133" i="24" s="1"/>
  <c r="AY246" i="24"/>
  <c r="AZ246" i="24" s="1"/>
  <c r="BD246" i="24"/>
  <c r="BE246" i="24"/>
  <c r="BT246" i="24" s="1"/>
  <c r="AY209" i="24"/>
  <c r="AZ209" i="24" s="1"/>
  <c r="BE209" i="24"/>
  <c r="BT209" i="24" s="1"/>
  <c r="BD209" i="24"/>
  <c r="BB131" i="25"/>
  <c r="BS131" i="25" s="1"/>
  <c r="BC131" i="25"/>
  <c r="BT131" i="25" s="1"/>
  <c r="BA131" i="25"/>
  <c r="AT43" i="25"/>
  <c r="AY43" i="25" s="1"/>
  <c r="AU43" i="25"/>
  <c r="BG240" i="24"/>
  <c r="BS240" i="24"/>
  <c r="AT102" i="25"/>
  <c r="AY102" i="25" s="1"/>
  <c r="AU102" i="25"/>
  <c r="AY25" i="24"/>
  <c r="AZ25" i="24" s="1"/>
  <c r="BD25" i="24"/>
  <c r="BE25" i="24"/>
  <c r="BT25" i="24" s="1"/>
  <c r="BB11" i="25" l="1"/>
  <c r="BS11" i="25" s="1"/>
  <c r="BG152" i="24"/>
  <c r="BC97" i="25"/>
  <c r="BT97" i="25" s="1"/>
  <c r="BA97" i="25"/>
  <c r="BE97" i="25" s="1"/>
  <c r="BK97" i="25" s="1"/>
  <c r="BA11" i="25"/>
  <c r="AO442" i="29"/>
  <c r="V442" i="29" s="1"/>
  <c r="AO110" i="29"/>
  <c r="U110" i="29" s="1"/>
  <c r="AO231" i="29"/>
  <c r="U231" i="29" s="1"/>
  <c r="AO323" i="29"/>
  <c r="U323" i="29" s="1"/>
  <c r="AO541" i="29"/>
  <c r="V541" i="29" s="1"/>
  <c r="AO544" i="29"/>
  <c r="U544" i="29" s="1"/>
  <c r="AO352" i="29"/>
  <c r="U352" i="29" s="1"/>
  <c r="AO508" i="29"/>
  <c r="U508" i="29" s="1"/>
  <c r="AO521" i="29"/>
  <c r="U521" i="29" s="1"/>
  <c r="BX240" i="24"/>
  <c r="AO63" i="29"/>
  <c r="U63" i="29" s="1"/>
  <c r="AO584" i="29"/>
  <c r="V584" i="29" s="1"/>
  <c r="AO380" i="29"/>
  <c r="V380" i="29" s="1"/>
  <c r="AO591" i="29"/>
  <c r="U591" i="29" s="1"/>
  <c r="AO576" i="29"/>
  <c r="V576" i="29" s="1"/>
  <c r="AO163" i="29"/>
  <c r="V163" i="29" s="1"/>
  <c r="AO485" i="29"/>
  <c r="U485" i="29" s="1"/>
  <c r="AO478" i="29"/>
  <c r="U478" i="29" s="1"/>
  <c r="AO304" i="29"/>
  <c r="U304" i="29" s="1"/>
  <c r="BG120" i="24"/>
  <c r="BY120" i="24" s="1"/>
  <c r="CA120" i="24" s="1"/>
  <c r="CB120" i="24" s="1"/>
  <c r="BC265" i="25"/>
  <c r="BT265" i="25" s="1"/>
  <c r="BA265" i="25"/>
  <c r="BE265" i="25" s="1"/>
  <c r="AO271" i="29"/>
  <c r="U271" i="29" s="1"/>
  <c r="AO566" i="29"/>
  <c r="V566" i="29" s="1"/>
  <c r="AO181" i="29"/>
  <c r="U181" i="29" s="1"/>
  <c r="AO261" i="29"/>
  <c r="V261" i="29" s="1"/>
  <c r="AO279" i="29"/>
  <c r="V279" i="29" s="1"/>
  <c r="AO59" i="29"/>
  <c r="U59" i="29" s="1"/>
  <c r="AO253" i="29"/>
  <c r="V253" i="29" s="1"/>
  <c r="AO393" i="29"/>
  <c r="U393" i="29" s="1"/>
  <c r="AO64" i="29"/>
  <c r="V64" i="29" s="1"/>
  <c r="AO445" i="29"/>
  <c r="U445" i="29" s="1"/>
  <c r="AO551" i="29"/>
  <c r="U551" i="29" s="1"/>
  <c r="AO66" i="29"/>
  <c r="U66" i="29" s="1"/>
  <c r="AO337" i="29"/>
  <c r="U337" i="29" s="1"/>
  <c r="AO606" i="29"/>
  <c r="V606" i="29" s="1"/>
  <c r="AO363" i="29"/>
  <c r="U363" i="29" s="1"/>
  <c r="AO483" i="29"/>
  <c r="V483" i="29" s="1"/>
  <c r="AO223" i="29"/>
  <c r="V223" i="29" s="1"/>
  <c r="AO137" i="29"/>
  <c r="V137" i="29" s="1"/>
  <c r="AO225" i="29"/>
  <c r="V225" i="29" s="1"/>
  <c r="AO602" i="29"/>
  <c r="U602" i="29" s="1"/>
  <c r="AO113" i="29"/>
  <c r="V113" i="29" s="1"/>
  <c r="AO371" i="29"/>
  <c r="U371" i="29" s="1"/>
  <c r="AO536" i="29"/>
  <c r="U536" i="29" s="1"/>
  <c r="AO248" i="29"/>
  <c r="V248" i="29" s="1"/>
  <c r="AO74" i="29"/>
  <c r="U74" i="29" s="1"/>
  <c r="AO46" i="29"/>
  <c r="U46" i="29" s="1"/>
  <c r="AO212" i="29"/>
  <c r="U212" i="29" s="1"/>
  <c r="AO148" i="29"/>
  <c r="V148" i="29" s="1"/>
  <c r="AO24" i="29"/>
  <c r="V24" i="29" s="1"/>
  <c r="AO206" i="29"/>
  <c r="U206" i="29" s="1"/>
  <c r="AO374" i="29"/>
  <c r="U374" i="29" s="1"/>
  <c r="AO85" i="29"/>
  <c r="V85" i="29" s="1"/>
  <c r="AO159" i="29"/>
  <c r="U159" i="29" s="1"/>
  <c r="BG283" i="24"/>
  <c r="BY283" i="24" s="1"/>
  <c r="CA283" i="24" s="1"/>
  <c r="CB283" i="24" s="1"/>
  <c r="CB292" i="24"/>
  <c r="CF292" i="24"/>
  <c r="BS12" i="24"/>
  <c r="BV12" i="24" s="1"/>
  <c r="BX12" i="24" s="1"/>
  <c r="BS219" i="24"/>
  <c r="BX219" i="24" s="1"/>
  <c r="AO106" i="29"/>
  <c r="U106" i="29" s="1"/>
  <c r="BS147" i="24"/>
  <c r="BX147" i="24" s="1"/>
  <c r="BS242" i="24"/>
  <c r="BX242" i="24" s="1"/>
  <c r="BX260" i="24"/>
  <c r="BG18" i="24"/>
  <c r="BM18" i="24" s="1"/>
  <c r="BY18" i="24" s="1"/>
  <c r="CA18" i="24" s="1"/>
  <c r="CB18" i="24" s="1"/>
  <c r="BS34" i="24"/>
  <c r="BV34" i="24" s="1"/>
  <c r="BX34" i="24" s="1"/>
  <c r="BA154" i="25"/>
  <c r="BE154" i="25" s="1"/>
  <c r="BC154" i="25"/>
  <c r="BT154" i="25" s="1"/>
  <c r="BS265" i="24"/>
  <c r="BX265" i="24" s="1"/>
  <c r="BX259" i="24"/>
  <c r="BX283" i="24"/>
  <c r="BG121" i="24"/>
  <c r="BM121" i="24" s="1"/>
  <c r="BN121" i="24" s="1"/>
  <c r="BX120" i="24"/>
  <c r="BV26" i="24"/>
  <c r="BX26" i="24" s="1"/>
  <c r="BX111" i="24"/>
  <c r="AO49" i="29"/>
  <c r="V49" i="29" s="1"/>
  <c r="AO397" i="29"/>
  <c r="U397" i="29" s="1"/>
  <c r="AO510" i="29"/>
  <c r="U510" i="29" s="1"/>
  <c r="AO194" i="29"/>
  <c r="V194" i="29" s="1"/>
  <c r="AO284" i="29"/>
  <c r="V284" i="29" s="1"/>
  <c r="AO454" i="29"/>
  <c r="U454" i="29" s="1"/>
  <c r="AO384" i="29"/>
  <c r="U384" i="29" s="1"/>
  <c r="AO340" i="29"/>
  <c r="U340" i="29" s="1"/>
  <c r="AO98" i="29"/>
  <c r="V98" i="29" s="1"/>
  <c r="AO107" i="29"/>
  <c r="V107" i="29" s="1"/>
  <c r="AO127" i="29"/>
  <c r="U127" i="29" s="1"/>
  <c r="AO289" i="29"/>
  <c r="V289" i="29" s="1"/>
  <c r="BX152" i="24"/>
  <c r="AO73" i="29"/>
  <c r="V73" i="29" s="1"/>
  <c r="AO22" i="29"/>
  <c r="U22" i="29" s="1"/>
  <c r="AO367" i="29"/>
  <c r="U367" i="29" s="1"/>
  <c r="AO123" i="29"/>
  <c r="V123" i="29" s="1"/>
  <c r="AO470" i="29"/>
  <c r="U470" i="29" s="1"/>
  <c r="AO161" i="29"/>
  <c r="U161" i="29" s="1"/>
  <c r="AO222" i="29"/>
  <c r="V222" i="29" s="1"/>
  <c r="AO379" i="29"/>
  <c r="V379" i="29" s="1"/>
  <c r="AO298" i="29"/>
  <c r="U298" i="29" s="1"/>
  <c r="AO257" i="29"/>
  <c r="U257" i="29" s="1"/>
  <c r="AO417" i="29"/>
  <c r="V417" i="29" s="1"/>
  <c r="AO603" i="29"/>
  <c r="V603" i="29" s="1"/>
  <c r="AO229" i="29"/>
  <c r="U229" i="29" s="1"/>
  <c r="AO471" i="29"/>
  <c r="U471" i="29" s="1"/>
  <c r="AO152" i="29"/>
  <c r="U152" i="29" s="1"/>
  <c r="AO590" i="29"/>
  <c r="U590" i="29" s="1"/>
  <c r="AO558" i="29"/>
  <c r="U558" i="29" s="1"/>
  <c r="AO111" i="29"/>
  <c r="V111" i="29" s="1"/>
  <c r="AO391" i="29"/>
  <c r="U391" i="29" s="1"/>
  <c r="AO557" i="29"/>
  <c r="V557" i="29" s="1"/>
  <c r="AO361" i="29"/>
  <c r="U361" i="29" s="1"/>
  <c r="AO515" i="29"/>
  <c r="V515" i="29" s="1"/>
  <c r="AO233" i="29"/>
  <c r="U233" i="29" s="1"/>
  <c r="AO327" i="29"/>
  <c r="U327" i="29" s="1"/>
  <c r="AO596" i="29"/>
  <c r="U596" i="29" s="1"/>
  <c r="AO373" i="29"/>
  <c r="V373" i="29" s="1"/>
  <c r="AO54" i="29"/>
  <c r="U54" i="29" s="1"/>
  <c r="AO613" i="29"/>
  <c r="U613" i="29" s="1"/>
  <c r="AO493" i="29"/>
  <c r="V493" i="29" s="1"/>
  <c r="AO475" i="29"/>
  <c r="V475" i="29" s="1"/>
  <c r="AO53" i="29"/>
  <c r="U53" i="29" s="1"/>
  <c r="AO322" i="29"/>
  <c r="V322" i="29" s="1"/>
  <c r="AO242" i="29"/>
  <c r="V242" i="29" s="1"/>
  <c r="AO205" i="29"/>
  <c r="U205" i="29" s="1"/>
  <c r="AO19" i="29"/>
  <c r="V19" i="29" s="1"/>
  <c r="AO466" i="29"/>
  <c r="U466" i="29" s="1"/>
  <c r="AO586" i="29"/>
  <c r="U586" i="29" s="1"/>
  <c r="AO144" i="29"/>
  <c r="V144" i="29" s="1"/>
  <c r="AO43" i="29"/>
  <c r="U43" i="29" s="1"/>
  <c r="BS130" i="24"/>
  <c r="BY130" i="24" s="1"/>
  <c r="CA130" i="24" s="1"/>
  <c r="CB130" i="24" s="1"/>
  <c r="BX135" i="24"/>
  <c r="AO168" i="29"/>
  <c r="U168" i="29" s="1"/>
  <c r="AO608" i="29"/>
  <c r="V608" i="29" s="1"/>
  <c r="AO563" i="29"/>
  <c r="U563" i="29" s="1"/>
  <c r="AO577" i="29"/>
  <c r="U577" i="29" s="1"/>
  <c r="AO598" i="29"/>
  <c r="V598" i="29" s="1"/>
  <c r="AO443" i="29"/>
  <c r="U443" i="29" s="1"/>
  <c r="AO293" i="29"/>
  <c r="U293" i="29" s="1"/>
  <c r="AO400" i="29"/>
  <c r="U400" i="29" s="1"/>
  <c r="AO578" i="29"/>
  <c r="U578" i="29" s="1"/>
  <c r="AO604" i="29"/>
  <c r="U604" i="29" s="1"/>
  <c r="AO203" i="29"/>
  <c r="U203" i="29" s="1"/>
  <c r="AO326" i="29"/>
  <c r="V326" i="29" s="1"/>
  <c r="BX121" i="24"/>
  <c r="BS232" i="24"/>
  <c r="BX232" i="24" s="1"/>
  <c r="BS295" i="24"/>
  <c r="BX295" i="24" s="1"/>
  <c r="BS253" i="24"/>
  <c r="BX253" i="24" s="1"/>
  <c r="BV6" i="24"/>
  <c r="BX6" i="24" s="1"/>
  <c r="BS238" i="24"/>
  <c r="BX238" i="24" s="1"/>
  <c r="BS298" i="24"/>
  <c r="BX298" i="24" s="1"/>
  <c r="BS296" i="24"/>
  <c r="BX296" i="24" s="1"/>
  <c r="BS305" i="24"/>
  <c r="BX305" i="24" s="1"/>
  <c r="BS280" i="24"/>
  <c r="BX280" i="24" s="1"/>
  <c r="BS112" i="24"/>
  <c r="BX112" i="24" s="1"/>
  <c r="BG28" i="24"/>
  <c r="BM28" i="24" s="1"/>
  <c r="BY28" i="24" s="1"/>
  <c r="CA28" i="24" s="1"/>
  <c r="CB28" i="24" s="1"/>
  <c r="AO105" i="29"/>
  <c r="V105" i="29" s="1"/>
  <c r="AO511" i="29"/>
  <c r="V511" i="29" s="1"/>
  <c r="AO412" i="29"/>
  <c r="V412" i="29" s="1"/>
  <c r="AO555" i="29"/>
  <c r="V555" i="29" s="1"/>
  <c r="AO499" i="29"/>
  <c r="U499" i="29" s="1"/>
  <c r="AO208" i="29"/>
  <c r="U208" i="29" s="1"/>
  <c r="AO71" i="29"/>
  <c r="U71" i="29" s="1"/>
  <c r="AO118" i="29"/>
  <c r="U118" i="29" s="1"/>
  <c r="AO186" i="29"/>
  <c r="V186" i="29" s="1"/>
  <c r="AO316" i="29"/>
  <c r="V316" i="29" s="1"/>
  <c r="AO104" i="29"/>
  <c r="V104" i="29" s="1"/>
  <c r="AO35" i="29"/>
  <c r="U35" i="29" s="1"/>
  <c r="AO571" i="29"/>
  <c r="V571" i="29" s="1"/>
  <c r="AO428" i="29"/>
  <c r="U428" i="29" s="1"/>
  <c r="AO309" i="29"/>
  <c r="U309" i="29" s="1"/>
  <c r="AO514" i="29"/>
  <c r="V514" i="29" s="1"/>
  <c r="AO362" i="29"/>
  <c r="V362" i="29" s="1"/>
  <c r="AO438" i="29"/>
  <c r="U438" i="29" s="1"/>
  <c r="AO32" i="29"/>
  <c r="V32" i="29" s="1"/>
  <c r="AO48" i="29"/>
  <c r="U48" i="29" s="1"/>
  <c r="AO319" i="29"/>
  <c r="V319" i="29" s="1"/>
  <c r="AO447" i="29"/>
  <c r="V447" i="29" s="1"/>
  <c r="AO507" i="29"/>
  <c r="V507" i="29" s="1"/>
  <c r="AO120" i="29"/>
  <c r="V120" i="29" s="1"/>
  <c r="AO553" i="29"/>
  <c r="U553" i="29" s="1"/>
  <c r="AO236" i="29"/>
  <c r="U236" i="29" s="1"/>
  <c r="AO505" i="29"/>
  <c r="U505" i="29" s="1"/>
  <c r="AO246" i="29"/>
  <c r="V246" i="29" s="1"/>
  <c r="AO529" i="29"/>
  <c r="V529" i="29" s="1"/>
  <c r="AO486" i="29"/>
  <c r="U486" i="29" s="1"/>
  <c r="AO338" i="29"/>
  <c r="V338" i="29" s="1"/>
  <c r="AO17" i="29"/>
  <c r="U17" i="29" s="1"/>
  <c r="AO207" i="29"/>
  <c r="V207" i="29" s="1"/>
  <c r="AO390" i="29"/>
  <c r="V390" i="29" s="1"/>
  <c r="AO151" i="29"/>
  <c r="U151" i="29" s="1"/>
  <c r="AO512" i="29"/>
  <c r="U512" i="29" s="1"/>
  <c r="AO494" i="29"/>
  <c r="U494" i="29" s="1"/>
  <c r="AO339" i="29"/>
  <c r="U339" i="29" s="1"/>
  <c r="AO556" i="29"/>
  <c r="V556" i="29" s="1"/>
  <c r="AO448" i="29"/>
  <c r="V448" i="29" s="1"/>
  <c r="AO349" i="29"/>
  <c r="V349" i="29" s="1"/>
  <c r="AO239" i="29"/>
  <c r="U239" i="29" s="1"/>
  <c r="AO370" i="29"/>
  <c r="U370" i="29" s="1"/>
  <c r="AO418" i="29"/>
  <c r="U418" i="29" s="1"/>
  <c r="AO609" i="29"/>
  <c r="V609" i="29" s="1"/>
  <c r="AO543" i="29"/>
  <c r="U543" i="29" s="1"/>
  <c r="AO540" i="29"/>
  <c r="V540" i="29" s="1"/>
  <c r="AO580" i="29"/>
  <c r="U580" i="29" s="1"/>
  <c r="AO368" i="29"/>
  <c r="U368" i="29" s="1"/>
  <c r="AO39" i="29"/>
  <c r="U39" i="29" s="1"/>
  <c r="AO587" i="29"/>
  <c r="V587" i="29" s="1"/>
  <c r="AO388" i="29"/>
  <c r="U388" i="29" s="1"/>
  <c r="AO413" i="29"/>
  <c r="U413" i="29" s="1"/>
  <c r="AO89" i="29"/>
  <c r="V89" i="29" s="1"/>
  <c r="AO250" i="29"/>
  <c r="U250" i="29" s="1"/>
  <c r="AO402" i="29"/>
  <c r="U402" i="29" s="1"/>
  <c r="AO136" i="29"/>
  <c r="U136" i="29" s="1"/>
  <c r="AO365" i="29"/>
  <c r="V365" i="29" s="1"/>
  <c r="AO516" i="29"/>
  <c r="U516" i="29" s="1"/>
  <c r="AO334" i="29"/>
  <c r="U334" i="29" s="1"/>
  <c r="AO488" i="29"/>
  <c r="V488" i="29" s="1"/>
  <c r="AO597" i="29"/>
  <c r="U597" i="29" s="1"/>
  <c r="AO330" i="29"/>
  <c r="V330" i="29" s="1"/>
  <c r="AO165" i="29"/>
  <c r="V165" i="29" s="1"/>
  <c r="AO461" i="29"/>
  <c r="U461" i="29" s="1"/>
  <c r="AO57" i="29"/>
  <c r="U57" i="29" s="1"/>
  <c r="AO359" i="29"/>
  <c r="U359" i="29" s="1"/>
  <c r="AO387" i="29"/>
  <c r="V387" i="29" s="1"/>
  <c r="AO40" i="29"/>
  <c r="U40" i="29" s="1"/>
  <c r="AO220" i="29"/>
  <c r="U220" i="29" s="1"/>
  <c r="AO612" i="29"/>
  <c r="U612" i="29" s="1"/>
  <c r="AO50" i="29"/>
  <c r="V50" i="29" s="1"/>
  <c r="BV19" i="24"/>
  <c r="BX19" i="24" s="1"/>
  <c r="BS279" i="24"/>
  <c r="BX279" i="24" s="1"/>
  <c r="BS299" i="24"/>
  <c r="BX299" i="24" s="1"/>
  <c r="AO354" i="29"/>
  <c r="U354" i="29" s="1"/>
  <c r="AO376" i="29"/>
  <c r="U376" i="29" s="1"/>
  <c r="AO216" i="29"/>
  <c r="V216" i="29" s="1"/>
  <c r="AO125" i="29"/>
  <c r="U125" i="29" s="1"/>
  <c r="AO244" i="29"/>
  <c r="V244" i="29" s="1"/>
  <c r="AO395" i="29"/>
  <c r="U395" i="29" s="1"/>
  <c r="AO550" i="29"/>
  <c r="U550" i="29" s="1"/>
  <c r="AO254" i="29"/>
  <c r="V254" i="29" s="1"/>
  <c r="AO266" i="29"/>
  <c r="V266" i="29" s="1"/>
  <c r="AO25" i="29"/>
  <c r="V25" i="29" s="1"/>
  <c r="AO404" i="29"/>
  <c r="U404" i="29" s="1"/>
  <c r="AO210" i="29"/>
  <c r="V210" i="29" s="1"/>
  <c r="AO275" i="29"/>
  <c r="U275" i="29" s="1"/>
  <c r="AO502" i="29"/>
  <c r="V502" i="29" s="1"/>
  <c r="AO154" i="29"/>
  <c r="V154" i="29" s="1"/>
  <c r="AO217" i="29"/>
  <c r="U217" i="29" s="1"/>
  <c r="AO503" i="29"/>
  <c r="U503" i="29" s="1"/>
  <c r="AO342" i="29"/>
  <c r="U342" i="29" s="1"/>
  <c r="AO347" i="29"/>
  <c r="V347" i="29" s="1"/>
  <c r="AO259" i="29"/>
  <c r="U259" i="29" s="1"/>
  <c r="AO103" i="29"/>
  <c r="V103" i="29" s="1"/>
  <c r="AO433" i="29"/>
  <c r="V433" i="29" s="1"/>
  <c r="AO117" i="29"/>
  <c r="V117" i="29" s="1"/>
  <c r="AO582" i="29"/>
  <c r="U582" i="29" s="1"/>
  <c r="AO308" i="29"/>
  <c r="U308" i="29" s="1"/>
  <c r="AO268" i="29"/>
  <c r="U268" i="29" s="1"/>
  <c r="AO480" i="29"/>
  <c r="V480" i="29" s="1"/>
  <c r="AO112" i="29"/>
  <c r="V112" i="29" s="1"/>
  <c r="AO272" i="29"/>
  <c r="U272" i="29" s="1"/>
  <c r="AO378" i="29"/>
  <c r="U378" i="29" s="1"/>
  <c r="AO358" i="29"/>
  <c r="U358" i="29" s="1"/>
  <c r="BG26" i="24"/>
  <c r="BM26" i="24" s="1"/>
  <c r="BN26" i="24" s="1"/>
  <c r="AO86" i="29"/>
  <c r="V86" i="29" s="1"/>
  <c r="AO190" i="29"/>
  <c r="U190" i="29" s="1"/>
  <c r="AO185" i="29"/>
  <c r="V185" i="29" s="1"/>
  <c r="AO219" i="29"/>
  <c r="V219" i="29" s="1"/>
  <c r="AO409" i="29"/>
  <c r="U409" i="29" s="1"/>
  <c r="AO593" i="29"/>
  <c r="U593" i="29" s="1"/>
  <c r="AO267" i="29"/>
  <c r="U267" i="29" s="1"/>
  <c r="AO79" i="29"/>
  <c r="U79" i="29" s="1"/>
  <c r="BS148" i="24"/>
  <c r="BX148" i="24" s="1"/>
  <c r="BS282" i="24"/>
  <c r="BX282" i="24" s="1"/>
  <c r="BS54" i="24"/>
  <c r="BV54" i="24" s="1"/>
  <c r="BX54" i="24" s="1"/>
  <c r="BS247" i="24"/>
  <c r="BX247" i="24" s="1"/>
  <c r="BG228" i="24"/>
  <c r="BM228" i="24" s="1"/>
  <c r="BN228" i="24" s="1"/>
  <c r="BS20" i="24"/>
  <c r="BV20" i="24" s="1"/>
  <c r="BX20" i="24" s="1"/>
  <c r="BX248" i="24"/>
  <c r="AO141" i="29"/>
  <c r="U141" i="29" s="1"/>
  <c r="AO230" i="29"/>
  <c r="V230" i="29" s="1"/>
  <c r="AO44" i="29"/>
  <c r="U44" i="29" s="1"/>
  <c r="AO332" i="29"/>
  <c r="V332" i="29" s="1"/>
  <c r="AO389" i="29"/>
  <c r="V389" i="29" s="1"/>
  <c r="AO320" i="29"/>
  <c r="U320" i="29" s="1"/>
  <c r="AO446" i="29"/>
  <c r="U446" i="29" s="1"/>
  <c r="AO100" i="29"/>
  <c r="V100" i="29" s="1"/>
  <c r="AO301" i="29"/>
  <c r="V301" i="29" s="1"/>
  <c r="AO214" i="29"/>
  <c r="U214" i="29" s="1"/>
  <c r="AO440" i="29"/>
  <c r="V440" i="29" s="1"/>
  <c r="AO345" i="29"/>
  <c r="U345" i="29" s="1"/>
  <c r="AO381" i="29"/>
  <c r="V381" i="29" s="1"/>
  <c r="AO243" i="29"/>
  <c r="U243" i="29" s="1"/>
  <c r="AO164" i="29"/>
  <c r="V164" i="29" s="1"/>
  <c r="AO547" i="29"/>
  <c r="V547" i="29" s="1"/>
  <c r="AO291" i="29"/>
  <c r="V291" i="29" s="1"/>
  <c r="AO114" i="29"/>
  <c r="U114" i="29" s="1"/>
  <c r="AO299" i="29"/>
  <c r="U299" i="29" s="1"/>
  <c r="AO237" i="29"/>
  <c r="U237" i="29" s="1"/>
  <c r="AO588" i="29"/>
  <c r="V588" i="29" s="1"/>
  <c r="AO407" i="29"/>
  <c r="U407" i="29" s="1"/>
  <c r="AO252" i="29"/>
  <c r="V252" i="29" s="1"/>
  <c r="AO600" i="29"/>
  <c r="U600" i="29" s="1"/>
  <c r="AO465" i="29"/>
  <c r="V465" i="29" s="1"/>
  <c r="AO274" i="29"/>
  <c r="U274" i="29" s="1"/>
  <c r="AO122" i="29"/>
  <c r="V122" i="29" s="1"/>
  <c r="AO306" i="29"/>
  <c r="U306" i="29" s="1"/>
  <c r="AO273" i="29"/>
  <c r="U273" i="29" s="1"/>
  <c r="AO83" i="29"/>
  <c r="U83" i="29" s="1"/>
  <c r="AO70" i="29"/>
  <c r="V70" i="29" s="1"/>
  <c r="AO410" i="29"/>
  <c r="V410" i="29" s="1"/>
  <c r="AO147" i="29"/>
  <c r="V147" i="29" s="1"/>
  <c r="AO183" i="29"/>
  <c r="V183" i="29" s="1"/>
  <c r="AO377" i="29"/>
  <c r="U377" i="29" s="1"/>
  <c r="AO146" i="29"/>
  <c r="V146" i="29" s="1"/>
  <c r="AO351" i="29"/>
  <c r="V351" i="29" s="1"/>
  <c r="AO132" i="29"/>
  <c r="V132" i="29" s="1"/>
  <c r="AO343" i="29"/>
  <c r="V343" i="29" s="1"/>
  <c r="AO52" i="29"/>
  <c r="V52" i="29" s="1"/>
  <c r="AO424" i="29"/>
  <c r="U424" i="29" s="1"/>
  <c r="AO84" i="29"/>
  <c r="V84" i="29" s="1"/>
  <c r="AO526" i="29"/>
  <c r="V526" i="29" s="1"/>
  <c r="AO504" i="29"/>
  <c r="V504" i="29" s="1"/>
  <c r="AO434" i="29"/>
  <c r="V434" i="29" s="1"/>
  <c r="AO195" i="29"/>
  <c r="V195" i="29" s="1"/>
  <c r="AO297" i="29"/>
  <c r="V297" i="29" s="1"/>
  <c r="AO501" i="29"/>
  <c r="U501" i="29" s="1"/>
  <c r="AO167" i="29"/>
  <c r="U167" i="29" s="1"/>
  <c r="AO559" i="29"/>
  <c r="V559" i="29" s="1"/>
  <c r="AO423" i="29"/>
  <c r="U423" i="29" s="1"/>
  <c r="AO116" i="29"/>
  <c r="V116" i="29" s="1"/>
  <c r="AO548" i="29"/>
  <c r="U548" i="29" s="1"/>
  <c r="AO108" i="29"/>
  <c r="V108" i="29" s="1"/>
  <c r="AO166" i="29"/>
  <c r="V166" i="29" s="1"/>
  <c r="AO270" i="29"/>
  <c r="V270" i="29" s="1"/>
  <c r="AO422" i="29"/>
  <c r="V422" i="29" s="1"/>
  <c r="AO325" i="29"/>
  <c r="V325" i="29" s="1"/>
  <c r="AO265" i="29"/>
  <c r="V265" i="29" s="1"/>
  <c r="AO569" i="29"/>
  <c r="V569" i="29" s="1"/>
  <c r="AO202" i="29"/>
  <c r="V202" i="29" s="1"/>
  <c r="AO562" i="29"/>
  <c r="V562" i="29" s="1"/>
  <c r="AO592" i="29"/>
  <c r="U592" i="29" s="1"/>
  <c r="AO140" i="29"/>
  <c r="V140" i="29" s="1"/>
  <c r="AO346" i="29"/>
  <c r="U346" i="29" s="1"/>
  <c r="AO468" i="29"/>
  <c r="U468" i="29" s="1"/>
  <c r="AO95" i="29"/>
  <c r="U95" i="29" s="1"/>
  <c r="AO283" i="29"/>
  <c r="U283" i="29" s="1"/>
  <c r="AO27" i="29"/>
  <c r="U27" i="29" s="1"/>
  <c r="AO198" i="29"/>
  <c r="V198" i="29" s="1"/>
  <c r="AO427" i="29"/>
  <c r="U427" i="29" s="1"/>
  <c r="AO350" i="29"/>
  <c r="V350" i="29" s="1"/>
  <c r="AO321" i="29"/>
  <c r="U321" i="29" s="1"/>
  <c r="AO331" i="29"/>
  <c r="U331" i="29" s="1"/>
  <c r="AO421" i="29"/>
  <c r="V421" i="29" s="1"/>
  <c r="AO92" i="29"/>
  <c r="V92" i="29" s="1"/>
  <c r="AO517" i="29"/>
  <c r="U517" i="29" s="1"/>
  <c r="AO130" i="29"/>
  <c r="V130" i="29" s="1"/>
  <c r="AO315" i="29"/>
  <c r="V315" i="29" s="1"/>
  <c r="AO221" i="29"/>
  <c r="V221" i="29" s="1"/>
  <c r="AO324" i="29"/>
  <c r="V324" i="29" s="1"/>
  <c r="AO256" i="29"/>
  <c r="U256" i="29" s="1"/>
  <c r="AO38" i="29"/>
  <c r="V38" i="29" s="1"/>
  <c r="AO91" i="29"/>
  <c r="V91" i="29" s="1"/>
  <c r="BV33" i="24"/>
  <c r="BX33" i="24" s="1"/>
  <c r="BS24" i="24"/>
  <c r="BV24" i="24" s="1"/>
  <c r="BX24" i="24" s="1"/>
  <c r="AO414" i="29"/>
  <c r="U414" i="29" s="1"/>
  <c r="AO235" i="29"/>
  <c r="U235" i="29" s="1"/>
  <c r="AO138" i="29"/>
  <c r="U138" i="29" s="1"/>
  <c r="AO102" i="29"/>
  <c r="U102" i="29" s="1"/>
  <c r="AO177" i="29"/>
  <c r="V177" i="29" s="1"/>
  <c r="AO492" i="29"/>
  <c r="V492" i="29" s="1"/>
  <c r="AO453" i="29"/>
  <c r="V453" i="29" s="1"/>
  <c r="AO506" i="29"/>
  <c r="U506" i="29" s="1"/>
  <c r="AO567" i="29"/>
  <c r="U567" i="29" s="1"/>
  <c r="AO314" i="29"/>
  <c r="V314" i="29" s="1"/>
  <c r="AO462" i="29"/>
  <c r="U462" i="29" s="1"/>
  <c r="AO303" i="29"/>
  <c r="U303" i="29" s="1"/>
  <c r="AO188" i="29"/>
  <c r="U188" i="29" s="1"/>
  <c r="AO94" i="29"/>
  <c r="U94" i="29" s="1"/>
  <c r="AO467" i="29"/>
  <c r="U467" i="29" s="1"/>
  <c r="AO156" i="29"/>
  <c r="V156" i="29" s="1"/>
  <c r="AO439" i="29"/>
  <c r="V439" i="29" s="1"/>
  <c r="AO312" i="29"/>
  <c r="V312" i="29" s="1"/>
  <c r="AO15" i="29"/>
  <c r="V15" i="29" s="1"/>
  <c r="AO451" i="29"/>
  <c r="U451" i="29" s="1"/>
  <c r="AO68" i="29"/>
  <c r="U68" i="29" s="1"/>
  <c r="AO23" i="29"/>
  <c r="V23" i="29" s="1"/>
  <c r="AO20" i="29"/>
  <c r="U20" i="29" s="1"/>
  <c r="AO21" i="29"/>
  <c r="U21" i="29" s="1"/>
  <c r="AO546" i="29"/>
  <c r="U546" i="29" s="1"/>
  <c r="AO121" i="29"/>
  <c r="V121" i="29" s="1"/>
  <c r="AO527" i="29"/>
  <c r="V527" i="29" s="1"/>
  <c r="AO449" i="29"/>
  <c r="V449" i="29" s="1"/>
  <c r="AO199" i="29"/>
  <c r="V199" i="29" s="1"/>
  <c r="AO200" i="29"/>
  <c r="V200" i="29" s="1"/>
  <c r="BV58" i="24"/>
  <c r="BX58" i="24" s="1"/>
  <c r="AO204" i="29"/>
  <c r="V204" i="29" s="1"/>
  <c r="AO415" i="29"/>
  <c r="U415" i="29" s="1"/>
  <c r="AO180" i="29"/>
  <c r="V180" i="29" s="1"/>
  <c r="AO482" i="29"/>
  <c r="U482" i="29" s="1"/>
  <c r="AO278" i="29"/>
  <c r="V278" i="29" s="1"/>
  <c r="AO240" i="29"/>
  <c r="V240" i="29" s="1"/>
  <c r="AO160" i="29"/>
  <c r="U160" i="29" s="1"/>
  <c r="AO457" i="29"/>
  <c r="U457" i="29" s="1"/>
  <c r="AO429" i="29"/>
  <c r="V429" i="29" s="1"/>
  <c r="AO90" i="29"/>
  <c r="V90" i="29" s="1"/>
  <c r="AO534" i="29"/>
  <c r="V534" i="29" s="1"/>
  <c r="AO360" i="29"/>
  <c r="V360" i="29" s="1"/>
  <c r="AO277" i="29"/>
  <c r="V277" i="29" s="1"/>
  <c r="AO583" i="29"/>
  <c r="V583" i="29" s="1"/>
  <c r="AO172" i="29"/>
  <c r="V172" i="29" s="1"/>
  <c r="AO535" i="29"/>
  <c r="U535" i="29" s="1"/>
  <c r="AO153" i="29"/>
  <c r="V153" i="29" s="1"/>
  <c r="AO552" i="29"/>
  <c r="U552" i="29" s="1"/>
  <c r="AO75" i="29"/>
  <c r="V75" i="29" s="1"/>
  <c r="AO524" i="29"/>
  <c r="V524" i="29" s="1"/>
  <c r="AO157" i="29"/>
  <c r="V157" i="29" s="1"/>
  <c r="AO135" i="29"/>
  <c r="U135" i="29" s="1"/>
  <c r="AO489" i="29"/>
  <c r="V489" i="29" s="1"/>
  <c r="AO490" i="29"/>
  <c r="V490" i="29" s="1"/>
  <c r="AO611" i="29"/>
  <c r="V611" i="29" s="1"/>
  <c r="AO479" i="29"/>
  <c r="U479" i="29" s="1"/>
  <c r="AO143" i="29"/>
  <c r="V143" i="29" s="1"/>
  <c r="AO335" i="29"/>
  <c r="V335" i="29" s="1"/>
  <c r="AO385" i="29"/>
  <c r="U385" i="29" s="1"/>
  <c r="AO430" i="29"/>
  <c r="V430" i="29" s="1"/>
  <c r="AO356" i="29"/>
  <c r="V356" i="29" s="1"/>
  <c r="AO317" i="29"/>
  <c r="U317" i="29" s="1"/>
  <c r="AO408" i="29"/>
  <c r="U408" i="29" s="1"/>
  <c r="AO96" i="29"/>
  <c r="U96" i="29" s="1"/>
  <c r="AO474" i="29"/>
  <c r="V474" i="29" s="1"/>
  <c r="AO62" i="29"/>
  <c r="U62" i="29" s="1"/>
  <c r="AO542" i="29"/>
  <c r="V542" i="29" s="1"/>
  <c r="AO455" i="29"/>
  <c r="V455" i="29" s="1"/>
  <c r="AO191" i="29"/>
  <c r="U191" i="29" s="1"/>
  <c r="AO476" i="29"/>
  <c r="U476" i="29" s="1"/>
  <c r="AO481" i="29"/>
  <c r="U481" i="29" s="1"/>
  <c r="AO530" i="29"/>
  <c r="V530" i="29" s="1"/>
  <c r="AO13" i="29"/>
  <c r="V13" i="29" s="1"/>
  <c r="AO99" i="29"/>
  <c r="V99" i="29" s="1"/>
  <c r="AO182" i="29"/>
  <c r="U182" i="29" s="1"/>
  <c r="AO375" i="29"/>
  <c r="V375" i="29" s="1"/>
  <c r="AO575" i="29"/>
  <c r="U575" i="29" s="1"/>
  <c r="AO333" i="29"/>
  <c r="U333" i="29" s="1"/>
  <c r="AO65" i="29"/>
  <c r="U65" i="29" s="1"/>
  <c r="AO69" i="29"/>
  <c r="U69" i="29" s="1"/>
  <c r="AO574" i="29"/>
  <c r="V574" i="29" s="1"/>
  <c r="AO209" i="29"/>
  <c r="V209" i="29" s="1"/>
  <c r="AO525" i="29"/>
  <c r="V525" i="29" s="1"/>
  <c r="AO416" i="29"/>
  <c r="U416" i="29" s="1"/>
  <c r="AO119" i="29"/>
  <c r="V119" i="29" s="1"/>
  <c r="AO336" i="29"/>
  <c r="V336" i="29" s="1"/>
  <c r="AO398" i="29"/>
  <c r="V398" i="29" s="1"/>
  <c r="AO341" i="29"/>
  <c r="V341" i="29" s="1"/>
  <c r="AO463" i="29"/>
  <c r="V463" i="29" s="1"/>
  <c r="AO131" i="29"/>
  <c r="U131" i="29" s="1"/>
  <c r="AO227" i="29"/>
  <c r="U227" i="29" s="1"/>
  <c r="AO76" i="29"/>
  <c r="U76" i="29" s="1"/>
  <c r="AO318" i="29"/>
  <c r="V318" i="29" s="1"/>
  <c r="AO344" i="29"/>
  <c r="U344" i="29" s="1"/>
  <c r="AO56" i="29"/>
  <c r="V56" i="29" s="1"/>
  <c r="AO45" i="29"/>
  <c r="V45" i="29" s="1"/>
  <c r="AO519" i="29"/>
  <c r="U519" i="29" s="1"/>
  <c r="AO372" i="29"/>
  <c r="U372" i="29" s="1"/>
  <c r="AO300" i="29"/>
  <c r="U300" i="29" s="1"/>
  <c r="AO364" i="29"/>
  <c r="U364" i="29" s="1"/>
  <c r="AO16" i="29"/>
  <c r="U16" i="29" s="1"/>
  <c r="AO178" i="29"/>
  <c r="U178" i="29" s="1"/>
  <c r="AO518" i="29"/>
  <c r="V518" i="29" s="1"/>
  <c r="AO218" i="29"/>
  <c r="V218" i="29" s="1"/>
  <c r="AO129" i="29"/>
  <c r="U129" i="29" s="1"/>
  <c r="AO459" i="29"/>
  <c r="V459" i="29" s="1"/>
  <c r="AO281" i="29"/>
  <c r="U281" i="29" s="1"/>
  <c r="AO232" i="29"/>
  <c r="V232" i="29" s="1"/>
  <c r="AO450" i="29"/>
  <c r="V450" i="29" s="1"/>
  <c r="AO472" i="29"/>
  <c r="U472" i="29" s="1"/>
  <c r="AO513" i="29"/>
  <c r="V513" i="29" s="1"/>
  <c r="AO139" i="29"/>
  <c r="V139" i="29" s="1"/>
  <c r="AO383" i="29"/>
  <c r="V383" i="29" s="1"/>
  <c r="AO564" i="29"/>
  <c r="V564" i="29" s="1"/>
  <c r="AO396" i="29"/>
  <c r="U396" i="29" s="1"/>
  <c r="AO533" i="29"/>
  <c r="V533" i="29" s="1"/>
  <c r="AO403" i="29"/>
  <c r="U403" i="29" s="1"/>
  <c r="AO357" i="29"/>
  <c r="V357" i="29" s="1"/>
  <c r="AO292" i="29"/>
  <c r="U292" i="29" s="1"/>
  <c r="AO594" i="29"/>
  <c r="V594" i="29" s="1"/>
  <c r="BB237" i="25"/>
  <c r="BS237" i="25" s="1"/>
  <c r="BA237" i="25"/>
  <c r="BC237" i="25"/>
  <c r="BT237" i="25" s="1"/>
  <c r="AO169" i="29"/>
  <c r="U169" i="29" s="1"/>
  <c r="AO67" i="29"/>
  <c r="U67" i="29" s="1"/>
  <c r="AO435" i="29"/>
  <c r="U435" i="29" s="1"/>
  <c r="AO34" i="29"/>
  <c r="U34" i="29" s="1"/>
  <c r="AO554" i="29"/>
  <c r="U554" i="29" s="1"/>
  <c r="AO81" i="29"/>
  <c r="U81" i="29" s="1"/>
  <c r="AO549" i="29"/>
  <c r="U549" i="29" s="1"/>
  <c r="AO37" i="29"/>
  <c r="V37" i="29" s="1"/>
  <c r="AO51" i="29"/>
  <c r="U51" i="29" s="1"/>
  <c r="AO313" i="29"/>
  <c r="U313" i="29" s="1"/>
  <c r="AO264" i="29"/>
  <c r="V264" i="29" s="1"/>
  <c r="AO353" i="29"/>
  <c r="V353" i="29" s="1"/>
  <c r="AO294" i="29"/>
  <c r="V294" i="29" s="1"/>
  <c r="BS117" i="24"/>
  <c r="BX117" i="24" s="1"/>
  <c r="AJ212" i="25"/>
  <c r="AM212" i="25"/>
  <c r="AX212" i="25"/>
  <c r="AW212" i="25"/>
  <c r="AO187" i="29"/>
  <c r="V187" i="29" s="1"/>
  <c r="AO520" i="29"/>
  <c r="V520" i="29" s="1"/>
  <c r="AO101" i="29"/>
  <c r="U101" i="29" s="1"/>
  <c r="AO311" i="29"/>
  <c r="U311" i="29" s="1"/>
  <c r="AO93" i="29"/>
  <c r="U93" i="29" s="1"/>
  <c r="AO366" i="29"/>
  <c r="V366" i="29" s="1"/>
  <c r="AO282" i="29"/>
  <c r="U282" i="29" s="1"/>
  <c r="AO179" i="29"/>
  <c r="V179" i="29" s="1"/>
  <c r="AO87" i="29"/>
  <c r="U87" i="29" s="1"/>
  <c r="AO456" i="29"/>
  <c r="U456" i="29" s="1"/>
  <c r="BG224" i="24"/>
  <c r="BY224" i="24" s="1"/>
  <c r="CA224" i="24" s="1"/>
  <c r="AO523" i="29"/>
  <c r="V523" i="29" s="1"/>
  <c r="AO296" i="29"/>
  <c r="V296" i="29" s="1"/>
  <c r="AO269" i="29"/>
  <c r="U269" i="29" s="1"/>
  <c r="AO498" i="29"/>
  <c r="V498" i="29" s="1"/>
  <c r="AO607" i="29"/>
  <c r="U607" i="29" s="1"/>
  <c r="AO109" i="29"/>
  <c r="V109" i="29" s="1"/>
  <c r="AO142" i="29"/>
  <c r="V142" i="29" s="1"/>
  <c r="AO605" i="29"/>
  <c r="U605" i="29" s="1"/>
  <c r="AO420" i="29"/>
  <c r="U420" i="29" s="1"/>
  <c r="AO173" i="29"/>
  <c r="V173" i="29" s="1"/>
  <c r="AO565" i="29"/>
  <c r="V565" i="29" s="1"/>
  <c r="AO260" i="29"/>
  <c r="V260" i="29" s="1"/>
  <c r="AO158" i="29"/>
  <c r="V158" i="29" s="1"/>
  <c r="AO560" i="29"/>
  <c r="V560" i="29" s="1"/>
  <c r="AO115" i="29"/>
  <c r="V115" i="29" s="1"/>
  <c r="AO286" i="29"/>
  <c r="V286" i="29" s="1"/>
  <c r="AO211" i="29"/>
  <c r="U211" i="29" s="1"/>
  <c r="AO532" i="29"/>
  <c r="V532" i="29" s="1"/>
  <c r="AO405" i="29"/>
  <c r="U405" i="29" s="1"/>
  <c r="AO355" i="29"/>
  <c r="U355" i="29" s="1"/>
  <c r="AO444" i="29"/>
  <c r="V444" i="29" s="1"/>
  <c r="AO258" i="29"/>
  <c r="U258" i="29" s="1"/>
  <c r="AO469" i="29"/>
  <c r="U469" i="29" s="1"/>
  <c r="AO88" i="29"/>
  <c r="V88" i="29" s="1"/>
  <c r="AO36" i="29"/>
  <c r="U36" i="29" s="1"/>
  <c r="AO394" i="29"/>
  <c r="U394" i="29" s="1"/>
  <c r="AO263" i="29"/>
  <c r="U263" i="29" s="1"/>
  <c r="AO228" i="29"/>
  <c r="U228" i="29" s="1"/>
  <c r="AO215" i="29"/>
  <c r="U215" i="29" s="1"/>
  <c r="AO460" i="29"/>
  <c r="V460" i="29" s="1"/>
  <c r="AO201" i="29"/>
  <c r="V201" i="29" s="1"/>
  <c r="AO30" i="29"/>
  <c r="U30" i="29" s="1"/>
  <c r="AO55" i="29"/>
  <c r="V55" i="29" s="1"/>
  <c r="AO31" i="29"/>
  <c r="V31" i="29" s="1"/>
  <c r="AO42" i="29"/>
  <c r="U42" i="29" s="1"/>
  <c r="AO573" i="29"/>
  <c r="V573" i="29" s="1"/>
  <c r="AO307" i="29"/>
  <c r="U307" i="29" s="1"/>
  <c r="AO348" i="29"/>
  <c r="V348" i="29" s="1"/>
  <c r="AO175" i="29"/>
  <c r="U175" i="29" s="1"/>
  <c r="AO522" i="29"/>
  <c r="V522" i="29" s="1"/>
  <c r="AO213" i="29"/>
  <c r="V213" i="29" s="1"/>
  <c r="AO386" i="29"/>
  <c r="U386" i="29" s="1"/>
  <c r="AO26" i="29"/>
  <c r="V26" i="29" s="1"/>
  <c r="AO262" i="29"/>
  <c r="U262" i="29" s="1"/>
  <c r="AO47" i="29"/>
  <c r="U47" i="29" s="1"/>
  <c r="AO192" i="29"/>
  <c r="V192" i="29" s="1"/>
  <c r="AO305" i="29"/>
  <c r="V305" i="29" s="1"/>
  <c r="AO610" i="29"/>
  <c r="V610" i="29" s="1"/>
  <c r="AO288" i="29"/>
  <c r="U288" i="29" s="1"/>
  <c r="AO82" i="29"/>
  <c r="V82" i="29" s="1"/>
  <c r="AO595" i="29"/>
  <c r="V595" i="29" s="1"/>
  <c r="AO134" i="29"/>
  <c r="U134" i="29" s="1"/>
  <c r="AO280" i="29"/>
  <c r="V280" i="29" s="1"/>
  <c r="AO473" i="29"/>
  <c r="U473" i="29" s="1"/>
  <c r="AO241" i="29"/>
  <c r="U241" i="29" s="1"/>
  <c r="AO401" i="29"/>
  <c r="V401" i="29" s="1"/>
  <c r="AO496" i="29"/>
  <c r="U496" i="29" s="1"/>
  <c r="AO28" i="29"/>
  <c r="U28" i="29" s="1"/>
  <c r="AO601" i="29"/>
  <c r="U601" i="29" s="1"/>
  <c r="AO500" i="29"/>
  <c r="V500" i="29" s="1"/>
  <c r="AO77" i="29"/>
  <c r="U77" i="29" s="1"/>
  <c r="AO276" i="29"/>
  <c r="U276" i="29" s="1"/>
  <c r="AO411" i="29"/>
  <c r="U411" i="29" s="1"/>
  <c r="AO29" i="29"/>
  <c r="U29" i="29" s="1"/>
  <c r="AO128" i="29"/>
  <c r="V128" i="29" s="1"/>
  <c r="AO570" i="29"/>
  <c r="U570" i="29" s="1"/>
  <c r="AO579" i="29"/>
  <c r="U579" i="29" s="1"/>
  <c r="AO538" i="29"/>
  <c r="U538" i="29" s="1"/>
  <c r="AO484" i="29"/>
  <c r="U484" i="29" s="1"/>
  <c r="AO197" i="29"/>
  <c r="U197" i="29" s="1"/>
  <c r="AO572" i="29"/>
  <c r="U572" i="29" s="1"/>
  <c r="AO234" i="29"/>
  <c r="V234" i="29" s="1"/>
  <c r="AO431" i="29"/>
  <c r="V431" i="29" s="1"/>
  <c r="AO441" i="29"/>
  <c r="V441" i="29" s="1"/>
  <c r="AO150" i="29"/>
  <c r="V150" i="29" s="1"/>
  <c r="AO369" i="29"/>
  <c r="V369" i="29" s="1"/>
  <c r="AO528" i="29"/>
  <c r="V528" i="29" s="1"/>
  <c r="AO302" i="29"/>
  <c r="U302" i="29" s="1"/>
  <c r="AO245" i="29"/>
  <c r="V245" i="29" s="1"/>
  <c r="AO497" i="29"/>
  <c r="U497" i="29" s="1"/>
  <c r="AO399" i="29"/>
  <c r="U399" i="29" s="1"/>
  <c r="AO162" i="29"/>
  <c r="U162" i="29" s="1"/>
  <c r="AO226" i="29"/>
  <c r="V226" i="29" s="1"/>
  <c r="AO247" i="29"/>
  <c r="U247" i="29" s="1"/>
  <c r="AO436" i="29"/>
  <c r="U436" i="29" s="1"/>
  <c r="AO33" i="29"/>
  <c r="V33" i="29" s="1"/>
  <c r="AO382" i="29"/>
  <c r="V382" i="29" s="1"/>
  <c r="AO170" i="29"/>
  <c r="V170" i="29" s="1"/>
  <c r="AO545" i="29"/>
  <c r="U545" i="29" s="1"/>
  <c r="AO561" i="29"/>
  <c r="V561" i="29" s="1"/>
  <c r="AO72" i="29"/>
  <c r="V72" i="29" s="1"/>
  <c r="AO249" i="29"/>
  <c r="U249" i="29" s="1"/>
  <c r="AO531" i="29"/>
  <c r="V531" i="29" s="1"/>
  <c r="AO581" i="29"/>
  <c r="U581" i="29" s="1"/>
  <c r="AO589" i="29"/>
  <c r="U589" i="29" s="1"/>
  <c r="AO184" i="29"/>
  <c r="U184" i="29" s="1"/>
  <c r="AO487" i="29"/>
  <c r="U487" i="29" s="1"/>
  <c r="AO196" i="29"/>
  <c r="U196" i="29" s="1"/>
  <c r="AO458" i="29"/>
  <c r="U458" i="29" s="1"/>
  <c r="AO432" i="29"/>
  <c r="V432" i="29" s="1"/>
  <c r="AO426" i="29"/>
  <c r="V426" i="29" s="1"/>
  <c r="AO406" i="29"/>
  <c r="V406" i="29" s="1"/>
  <c r="AO80" i="29"/>
  <c r="U80" i="29" s="1"/>
  <c r="AO224" i="29"/>
  <c r="U224" i="29" s="1"/>
  <c r="AO495" i="29"/>
  <c r="V495" i="29" s="1"/>
  <c r="AO126" i="29"/>
  <c r="U126" i="29" s="1"/>
  <c r="AO290" i="29"/>
  <c r="V290" i="29" s="1"/>
  <c r="AO41" i="29"/>
  <c r="V41" i="29" s="1"/>
  <c r="AO392" i="29"/>
  <c r="U392" i="29" s="1"/>
  <c r="AO329" i="29"/>
  <c r="U329" i="29" s="1"/>
  <c r="AO477" i="29"/>
  <c r="U477" i="29" s="1"/>
  <c r="AO133" i="29"/>
  <c r="V133" i="29" s="1"/>
  <c r="AO491" i="29"/>
  <c r="U491" i="29" s="1"/>
  <c r="AO568" i="29"/>
  <c r="V568" i="29" s="1"/>
  <c r="AO176" i="29"/>
  <c r="U176" i="29" s="1"/>
  <c r="AO310" i="29"/>
  <c r="V310" i="29" s="1"/>
  <c r="AO419" i="29"/>
  <c r="U419" i="29" s="1"/>
  <c r="AO539" i="29"/>
  <c r="U539" i="29" s="1"/>
  <c r="AO14" i="29"/>
  <c r="U14" i="29" s="1"/>
  <c r="AO171" i="29"/>
  <c r="U171" i="29" s="1"/>
  <c r="AO287" i="29"/>
  <c r="V287" i="29" s="1"/>
  <c r="AO425" i="29"/>
  <c r="U425" i="29" s="1"/>
  <c r="AO255" i="29"/>
  <c r="V255" i="29" s="1"/>
  <c r="AO251" i="29"/>
  <c r="V251" i="29" s="1"/>
  <c r="AO145" i="29"/>
  <c r="V145" i="29" s="1"/>
  <c r="AO149" i="29"/>
  <c r="V149" i="29" s="1"/>
  <c r="AO295" i="29"/>
  <c r="U295" i="29" s="1"/>
  <c r="BB77" i="25"/>
  <c r="BS77" i="25" s="1"/>
  <c r="BA77" i="25"/>
  <c r="BC77" i="25"/>
  <c r="BT77" i="25" s="1"/>
  <c r="BS25" i="24"/>
  <c r="BV25" i="24" s="1"/>
  <c r="BX25" i="24" s="1"/>
  <c r="BG25" i="24"/>
  <c r="BM25" i="24" s="1"/>
  <c r="BG133" i="24"/>
  <c r="BS133" i="24"/>
  <c r="BX133" i="24" s="1"/>
  <c r="BC175" i="25"/>
  <c r="BT175" i="25" s="1"/>
  <c r="BA175" i="25"/>
  <c r="BB175" i="25"/>
  <c r="BS175" i="25" s="1"/>
  <c r="BA64" i="25"/>
  <c r="BB64" i="25"/>
  <c r="BS64" i="25" s="1"/>
  <c r="BC64" i="25"/>
  <c r="BT64" i="25" s="1"/>
  <c r="BB171" i="25"/>
  <c r="BS171" i="25" s="1"/>
  <c r="BA171" i="25"/>
  <c r="BC171" i="25"/>
  <c r="BT171" i="25" s="1"/>
  <c r="BR240" i="25"/>
  <c r="BX240" i="25" s="1"/>
  <c r="BE240" i="25"/>
  <c r="BG189" i="24"/>
  <c r="BS189" i="24"/>
  <c r="BX189" i="24" s="1"/>
  <c r="BG93" i="24"/>
  <c r="BM93" i="24" s="1"/>
  <c r="BS93" i="24"/>
  <c r="BV93" i="24" s="1"/>
  <c r="BX93" i="24" s="1"/>
  <c r="BC73" i="25"/>
  <c r="BT73" i="25" s="1"/>
  <c r="BA73" i="25"/>
  <c r="BB73" i="25"/>
  <c r="BS73" i="25" s="1"/>
  <c r="BS268" i="24"/>
  <c r="BX268" i="24" s="1"/>
  <c r="BG268" i="24"/>
  <c r="BR21" i="25"/>
  <c r="BV21" i="25" s="1"/>
  <c r="BX21" i="25" s="1"/>
  <c r="BE21" i="25"/>
  <c r="BK21" i="25" s="1"/>
  <c r="BN44" i="24"/>
  <c r="BY44" i="24"/>
  <c r="CA44" i="24" s="1"/>
  <c r="CB44" i="24" s="1"/>
  <c r="BB8" i="25"/>
  <c r="BS8" i="25" s="1"/>
  <c r="BA8" i="25"/>
  <c r="BC8" i="25"/>
  <c r="BT8" i="25" s="1"/>
  <c r="BG42" i="24"/>
  <c r="BM42" i="24" s="1"/>
  <c r="BS42" i="24"/>
  <c r="BV42" i="24" s="1"/>
  <c r="BX42" i="24" s="1"/>
  <c r="BY191" i="24"/>
  <c r="CA191" i="24" s="1"/>
  <c r="BM191" i="24"/>
  <c r="BN191" i="24" s="1"/>
  <c r="BA234" i="25"/>
  <c r="BC234" i="25"/>
  <c r="BT234" i="25" s="1"/>
  <c r="BB234" i="25"/>
  <c r="BS234" i="25" s="1"/>
  <c r="BB84" i="25"/>
  <c r="BS84" i="25" s="1"/>
  <c r="BC84" i="25"/>
  <c r="BT84" i="25" s="1"/>
  <c r="BA84" i="25"/>
  <c r="BS43" i="24"/>
  <c r="BV43" i="24" s="1"/>
  <c r="BX43" i="24" s="1"/>
  <c r="BG43" i="24"/>
  <c r="BM43" i="24" s="1"/>
  <c r="BC116" i="25"/>
  <c r="BT116" i="25" s="1"/>
  <c r="BB116" i="25"/>
  <c r="BS116" i="25" s="1"/>
  <c r="BA116" i="25"/>
  <c r="BG116" i="24"/>
  <c r="BS116" i="24"/>
  <c r="BX116" i="24" s="1"/>
  <c r="BE34" i="25"/>
  <c r="BK34" i="25" s="1"/>
  <c r="BR34" i="25"/>
  <c r="BV34" i="25" s="1"/>
  <c r="BX34" i="25" s="1"/>
  <c r="BG196" i="24"/>
  <c r="BS196" i="24"/>
  <c r="BX196" i="24" s="1"/>
  <c r="BG173" i="24"/>
  <c r="BS173" i="24"/>
  <c r="BX173" i="24" s="1"/>
  <c r="BB146" i="25"/>
  <c r="BS146" i="25" s="1"/>
  <c r="BC146" i="25"/>
  <c r="BT146" i="25" s="1"/>
  <c r="BA146" i="25"/>
  <c r="BC63" i="25"/>
  <c r="BT63" i="25" s="1"/>
  <c r="BB63" i="25"/>
  <c r="BS63" i="25" s="1"/>
  <c r="BA63" i="25"/>
  <c r="BA52" i="25"/>
  <c r="BB52" i="25"/>
  <c r="BS52" i="25" s="1"/>
  <c r="BC52" i="25"/>
  <c r="BT52" i="25" s="1"/>
  <c r="BB290" i="25"/>
  <c r="BS290" i="25" s="1"/>
  <c r="BC290" i="25"/>
  <c r="BT290" i="25" s="1"/>
  <c r="BA290" i="25"/>
  <c r="BG125" i="24"/>
  <c r="BS125" i="24"/>
  <c r="BX125" i="24" s="1"/>
  <c r="BS221" i="24"/>
  <c r="BX221" i="24" s="1"/>
  <c r="BG221" i="24"/>
  <c r="BB249" i="25"/>
  <c r="BS249" i="25" s="1"/>
  <c r="BA249" i="25"/>
  <c r="BC249" i="25"/>
  <c r="BT249" i="25" s="1"/>
  <c r="BE114" i="25"/>
  <c r="BR114" i="25"/>
  <c r="BX114" i="25" s="1"/>
  <c r="BB300" i="25"/>
  <c r="BS300" i="25" s="1"/>
  <c r="BA300" i="25"/>
  <c r="BC300" i="25"/>
  <c r="BT300" i="25" s="1"/>
  <c r="BG186" i="24"/>
  <c r="BS186" i="24"/>
  <c r="BX186" i="24" s="1"/>
  <c r="BA153" i="25"/>
  <c r="BB153" i="25"/>
  <c r="BS153" i="25" s="1"/>
  <c r="BC153" i="25"/>
  <c r="BT153" i="25" s="1"/>
  <c r="BN21" i="24"/>
  <c r="BY21" i="24"/>
  <c r="CA21" i="24" s="1"/>
  <c r="BG267" i="24"/>
  <c r="BS267" i="24"/>
  <c r="BX267" i="24" s="1"/>
  <c r="BG281" i="24"/>
  <c r="BS281" i="24"/>
  <c r="BX281" i="24" s="1"/>
  <c r="BS94" i="24"/>
  <c r="BV94" i="24" s="1"/>
  <c r="BX94" i="24" s="1"/>
  <c r="BG94" i="24"/>
  <c r="BM94" i="24" s="1"/>
  <c r="BS13" i="24"/>
  <c r="BV13" i="24" s="1"/>
  <c r="BX13" i="24" s="1"/>
  <c r="BG13" i="24"/>
  <c r="BM13" i="24" s="1"/>
  <c r="BA281" i="25"/>
  <c r="BC281" i="25"/>
  <c r="BT281" i="25" s="1"/>
  <c r="BB281" i="25"/>
  <c r="BS281" i="25" s="1"/>
  <c r="BG220" i="24"/>
  <c r="BS220" i="24"/>
  <c r="BX220" i="24" s="1"/>
  <c r="BE275" i="25"/>
  <c r="BR275" i="25"/>
  <c r="BX275" i="25" s="1"/>
  <c r="BA160" i="25"/>
  <c r="BB160" i="25"/>
  <c r="BS160" i="25" s="1"/>
  <c r="BC160" i="25"/>
  <c r="BT160" i="25" s="1"/>
  <c r="U452" i="29"/>
  <c r="V452" i="29"/>
  <c r="U97" i="29"/>
  <c r="V97" i="29"/>
  <c r="V285" i="29"/>
  <c r="U285" i="29"/>
  <c r="V599" i="29"/>
  <c r="U599" i="29"/>
  <c r="V193" i="29"/>
  <c r="U193" i="29"/>
  <c r="U58" i="29"/>
  <c r="V58" i="29"/>
  <c r="AO585" i="29"/>
  <c r="BG222" i="24"/>
  <c r="BS222" i="24"/>
  <c r="BX222" i="24" s="1"/>
  <c r="BS70" i="24"/>
  <c r="BV70" i="24" s="1"/>
  <c r="BX70" i="24" s="1"/>
  <c r="BG70" i="24"/>
  <c r="BM70" i="24" s="1"/>
  <c r="BE282" i="25"/>
  <c r="BR282" i="25"/>
  <c r="BX282" i="25" s="1"/>
  <c r="BB302" i="25"/>
  <c r="BS302" i="25" s="1"/>
  <c r="BC302" i="25"/>
  <c r="BT302" i="25" s="1"/>
  <c r="BA302" i="25"/>
  <c r="BB176" i="25"/>
  <c r="BS176" i="25" s="1"/>
  <c r="BC176" i="25"/>
  <c r="BT176" i="25" s="1"/>
  <c r="BA176" i="25"/>
  <c r="BG158" i="24"/>
  <c r="BS158" i="24"/>
  <c r="BX158" i="24" s="1"/>
  <c r="BR201" i="25"/>
  <c r="BX201" i="25" s="1"/>
  <c r="BE201" i="25"/>
  <c r="BG90" i="24"/>
  <c r="BM90" i="24" s="1"/>
  <c r="BS90" i="24"/>
  <c r="BV90" i="24" s="1"/>
  <c r="BX90" i="24" s="1"/>
  <c r="BE95" i="25"/>
  <c r="BK95" i="25" s="1"/>
  <c r="BR95" i="25"/>
  <c r="BV95" i="25" s="1"/>
  <c r="BX95" i="25" s="1"/>
  <c r="BA41" i="25"/>
  <c r="BB41" i="25"/>
  <c r="BS41" i="25" s="1"/>
  <c r="BC41" i="25"/>
  <c r="BT41" i="25" s="1"/>
  <c r="BA17" i="25"/>
  <c r="BB17" i="25"/>
  <c r="BS17" i="25" s="1"/>
  <c r="BC17" i="25"/>
  <c r="BT17" i="25" s="1"/>
  <c r="BS56" i="24"/>
  <c r="BV56" i="24" s="1"/>
  <c r="BX56" i="24" s="1"/>
  <c r="BG56" i="24"/>
  <c r="BM56" i="24" s="1"/>
  <c r="BS91" i="24"/>
  <c r="BV91" i="24" s="1"/>
  <c r="BX91" i="24" s="1"/>
  <c r="BG91" i="24"/>
  <c r="BM91" i="24" s="1"/>
  <c r="BE92" i="25"/>
  <c r="BK92" i="25" s="1"/>
  <c r="BR92" i="25"/>
  <c r="BV92" i="25" s="1"/>
  <c r="BX92" i="25" s="1"/>
  <c r="BN24" i="24"/>
  <c r="BY190" i="24"/>
  <c r="CA190" i="24" s="1"/>
  <c r="CB190" i="24" s="1"/>
  <c r="BM190" i="24"/>
  <c r="BN190" i="24" s="1"/>
  <c r="BS40" i="24"/>
  <c r="BV40" i="24" s="1"/>
  <c r="BX40" i="24" s="1"/>
  <c r="BG40" i="24"/>
  <c r="BM40" i="24" s="1"/>
  <c r="BG140" i="24"/>
  <c r="BS140" i="24"/>
  <c r="BX140" i="24" s="1"/>
  <c r="BC286" i="25"/>
  <c r="BT286" i="25" s="1"/>
  <c r="BB286" i="25"/>
  <c r="BS286" i="25" s="1"/>
  <c r="BA286" i="25"/>
  <c r="BA60" i="25"/>
  <c r="BC60" i="25"/>
  <c r="BT60" i="25" s="1"/>
  <c r="BB60" i="25"/>
  <c r="BS60" i="25" s="1"/>
  <c r="BG310" i="24"/>
  <c r="BS310" i="24"/>
  <c r="BX310" i="24" s="1"/>
  <c r="BA101" i="25"/>
  <c r="BC101" i="25"/>
  <c r="BT101" i="25" s="1"/>
  <c r="BB101" i="25"/>
  <c r="BS101" i="25" s="1"/>
  <c r="BB26" i="25"/>
  <c r="BS26" i="25" s="1"/>
  <c r="BC26" i="25"/>
  <c r="BT26" i="25" s="1"/>
  <c r="BA26" i="25"/>
  <c r="BE296" i="25"/>
  <c r="BR296" i="25"/>
  <c r="BX296" i="25" s="1"/>
  <c r="BN34" i="24"/>
  <c r="BA51" i="25"/>
  <c r="BC51" i="25"/>
  <c r="BT51" i="25" s="1"/>
  <c r="BB51" i="25"/>
  <c r="BS51" i="25" s="1"/>
  <c r="BG113" i="24"/>
  <c r="BS113" i="24"/>
  <c r="BX113" i="24" s="1"/>
  <c r="BA150" i="25"/>
  <c r="BB150" i="25"/>
  <c r="BS150" i="25" s="1"/>
  <c r="BC150" i="25"/>
  <c r="BT150" i="25" s="1"/>
  <c r="BG181" i="24"/>
  <c r="BS181" i="24"/>
  <c r="BX181" i="24" s="1"/>
  <c r="BS87" i="24"/>
  <c r="BV87" i="24" s="1"/>
  <c r="BX87" i="24" s="1"/>
  <c r="BG87" i="24"/>
  <c r="BM87" i="24" s="1"/>
  <c r="BG118" i="24"/>
  <c r="BS118" i="24"/>
  <c r="BX118" i="24" s="1"/>
  <c r="BE247" i="25"/>
  <c r="BR247" i="25"/>
  <c r="BX247" i="25" s="1"/>
  <c r="BG168" i="24"/>
  <c r="BS168" i="24"/>
  <c r="BX168" i="24" s="1"/>
  <c r="BB12" i="25"/>
  <c r="BS12" i="25" s="1"/>
  <c r="BC12" i="25"/>
  <c r="BT12" i="25" s="1"/>
  <c r="BA12" i="25"/>
  <c r="BG47" i="24"/>
  <c r="BM47" i="24" s="1"/>
  <c r="BS47" i="24"/>
  <c r="BV47" i="24" s="1"/>
  <c r="BX47" i="24" s="1"/>
  <c r="BA46" i="25"/>
  <c r="BB46" i="25"/>
  <c r="BS46" i="25" s="1"/>
  <c r="BC46" i="25"/>
  <c r="BT46" i="25" s="1"/>
  <c r="BB75" i="25"/>
  <c r="BS75" i="25" s="1"/>
  <c r="BC75" i="25"/>
  <c r="BT75" i="25" s="1"/>
  <c r="BA75" i="25"/>
  <c r="BG243" i="24"/>
  <c r="BS243" i="24"/>
  <c r="BX243" i="24" s="1"/>
  <c r="BG249" i="24"/>
  <c r="BS249" i="24"/>
  <c r="BX249" i="24" s="1"/>
  <c r="BA7" i="25"/>
  <c r="BB7" i="25"/>
  <c r="BS7" i="25" s="1"/>
  <c r="BC7" i="25"/>
  <c r="BT7" i="25" s="1"/>
  <c r="BC112" i="25"/>
  <c r="BT112" i="25" s="1"/>
  <c r="BB112" i="25"/>
  <c r="BS112" i="25" s="1"/>
  <c r="BA112" i="25"/>
  <c r="BC250" i="25"/>
  <c r="BT250" i="25" s="1"/>
  <c r="BA250" i="25"/>
  <c r="BB250" i="25"/>
  <c r="BS250" i="25" s="1"/>
  <c r="BG126" i="24"/>
  <c r="BS126" i="24"/>
  <c r="BX126" i="24" s="1"/>
  <c r="BG275" i="24"/>
  <c r="BS275" i="24"/>
  <c r="BX275" i="24" s="1"/>
  <c r="BG81" i="24"/>
  <c r="BM81" i="24" s="1"/>
  <c r="BS81" i="24"/>
  <c r="BV81" i="24" s="1"/>
  <c r="BX81" i="24" s="1"/>
  <c r="BG200" i="24"/>
  <c r="BS200" i="24"/>
  <c r="BX200" i="24" s="1"/>
  <c r="BS180" i="24"/>
  <c r="BX180" i="24" s="1"/>
  <c r="BG180" i="24"/>
  <c r="BC294" i="25"/>
  <c r="BT294" i="25" s="1"/>
  <c r="BB294" i="25"/>
  <c r="BS294" i="25" s="1"/>
  <c r="BA294" i="25"/>
  <c r="BE186" i="25"/>
  <c r="BR186" i="25"/>
  <c r="BX186" i="25" s="1"/>
  <c r="BE131" i="25"/>
  <c r="BR131" i="25"/>
  <c r="BX131" i="25" s="1"/>
  <c r="BG246" i="24"/>
  <c r="BS246" i="24"/>
  <c r="BX246" i="24" s="1"/>
  <c r="BS66" i="24"/>
  <c r="BV66" i="24" s="1"/>
  <c r="BX66" i="24" s="1"/>
  <c r="BG66" i="24"/>
  <c r="BM66" i="24" s="1"/>
  <c r="BG293" i="24"/>
  <c r="BS293" i="24"/>
  <c r="BX293" i="24" s="1"/>
  <c r="BG15" i="24"/>
  <c r="BM15" i="24" s="1"/>
  <c r="BS15" i="24"/>
  <c r="BV15" i="24" s="1"/>
  <c r="BX15" i="24" s="1"/>
  <c r="BG230" i="24"/>
  <c r="BS230" i="24"/>
  <c r="BX230" i="24" s="1"/>
  <c r="BB168" i="25"/>
  <c r="BS168" i="25" s="1"/>
  <c r="BC168" i="25"/>
  <c r="BT168" i="25" s="1"/>
  <c r="BA168" i="25"/>
  <c r="BE174" i="25"/>
  <c r="BR174" i="25"/>
  <c r="BX174" i="25" s="1"/>
  <c r="BE314" i="25"/>
  <c r="BR314" i="25"/>
  <c r="BX314" i="25" s="1"/>
  <c r="BB184" i="25"/>
  <c r="BS184" i="25" s="1"/>
  <c r="BC184" i="25"/>
  <c r="BT184" i="25" s="1"/>
  <c r="BA184" i="25"/>
  <c r="BY294" i="24"/>
  <c r="CA294" i="24" s="1"/>
  <c r="BM294" i="24"/>
  <c r="BN294" i="24" s="1"/>
  <c r="BR82" i="25"/>
  <c r="BV82" i="25" s="1"/>
  <c r="BX82" i="25" s="1"/>
  <c r="BE82" i="25"/>
  <c r="BK82" i="25" s="1"/>
  <c r="BG309" i="24"/>
  <c r="BS309" i="24"/>
  <c r="BX309" i="24" s="1"/>
  <c r="BG35" i="24"/>
  <c r="BM35" i="24" s="1"/>
  <c r="BS35" i="24"/>
  <c r="BV35" i="24" s="1"/>
  <c r="BX35" i="24" s="1"/>
  <c r="BC202" i="25"/>
  <c r="BT202" i="25" s="1"/>
  <c r="BB202" i="25"/>
  <c r="BS202" i="25" s="1"/>
  <c r="BA202" i="25"/>
  <c r="BG174" i="24"/>
  <c r="BS174" i="24"/>
  <c r="BX174" i="24" s="1"/>
  <c r="BC142" i="25"/>
  <c r="BT142" i="25" s="1"/>
  <c r="BB142" i="25"/>
  <c r="BS142" i="25" s="1"/>
  <c r="BA142" i="25"/>
  <c r="BC298" i="25"/>
  <c r="BT298" i="25" s="1"/>
  <c r="BB298" i="25"/>
  <c r="BS298" i="25" s="1"/>
  <c r="BA298" i="25"/>
  <c r="BS23" i="24"/>
  <c r="BV23" i="24" s="1"/>
  <c r="BX23" i="24" s="1"/>
  <c r="BG23" i="24"/>
  <c r="BM23" i="24" s="1"/>
  <c r="BA22" i="25"/>
  <c r="BC22" i="25"/>
  <c r="BT22" i="25" s="1"/>
  <c r="BB22" i="25"/>
  <c r="BS22" i="25" s="1"/>
  <c r="BG74" i="24"/>
  <c r="BM74" i="24" s="1"/>
  <c r="BS74" i="24"/>
  <c r="BV74" i="24" s="1"/>
  <c r="BX74" i="24" s="1"/>
  <c r="BB253" i="25"/>
  <c r="BS253" i="25" s="1"/>
  <c r="BC253" i="25"/>
  <c r="BT253" i="25" s="1"/>
  <c r="BA253" i="25"/>
  <c r="BA141" i="25"/>
  <c r="BC141" i="25"/>
  <c r="BT141" i="25" s="1"/>
  <c r="BB141" i="25"/>
  <c r="BS141" i="25" s="1"/>
  <c r="BG127" i="24"/>
  <c r="BS127" i="24"/>
  <c r="BX127" i="24" s="1"/>
  <c r="BB162" i="25"/>
  <c r="BS162" i="25" s="1"/>
  <c r="BC162" i="25"/>
  <c r="BT162" i="25" s="1"/>
  <c r="BA162" i="25"/>
  <c r="BE229" i="25"/>
  <c r="BR229" i="25"/>
  <c r="BX229" i="25" s="1"/>
  <c r="BG312" i="24"/>
  <c r="BS312" i="24"/>
  <c r="BX312" i="24" s="1"/>
  <c r="BS68" i="24"/>
  <c r="BV68" i="24" s="1"/>
  <c r="BX68" i="24" s="1"/>
  <c r="BG68" i="24"/>
  <c r="BM68" i="24" s="1"/>
  <c r="BM282" i="24"/>
  <c r="BN282" i="24" s="1"/>
  <c r="BS36" i="24"/>
  <c r="BV36" i="24" s="1"/>
  <c r="BX36" i="24" s="1"/>
  <c r="BG36" i="24"/>
  <c r="BM36" i="24" s="1"/>
  <c r="BA285" i="25"/>
  <c r="BB285" i="25"/>
  <c r="BS285" i="25" s="1"/>
  <c r="BC285" i="25"/>
  <c r="BT285" i="25" s="1"/>
  <c r="BG262" i="24"/>
  <c r="BS262" i="24"/>
  <c r="BX262" i="24" s="1"/>
  <c r="BA103" i="25"/>
  <c r="BC103" i="25"/>
  <c r="BT103" i="25" s="1"/>
  <c r="BB103" i="25"/>
  <c r="BS103" i="25" s="1"/>
  <c r="BA164" i="25"/>
  <c r="BC164" i="25"/>
  <c r="BT164" i="25" s="1"/>
  <c r="BB164" i="25"/>
  <c r="BS164" i="25" s="1"/>
  <c r="BG297" i="24"/>
  <c r="BS297" i="24"/>
  <c r="BX297" i="24" s="1"/>
  <c r="BS96" i="24"/>
  <c r="BV96" i="24" s="1"/>
  <c r="BX96" i="24" s="1"/>
  <c r="BG96" i="24"/>
  <c r="BM96" i="24" s="1"/>
  <c r="BS60" i="24"/>
  <c r="BV60" i="24" s="1"/>
  <c r="BX60" i="24" s="1"/>
  <c r="BG60" i="24"/>
  <c r="BM60" i="24" s="1"/>
  <c r="V464" i="29"/>
  <c r="U464" i="29"/>
  <c r="U155" i="29"/>
  <c r="V155" i="29"/>
  <c r="BE258" i="25"/>
  <c r="BR258" i="25"/>
  <c r="BX258" i="25" s="1"/>
  <c r="BA50" i="25"/>
  <c r="BB50" i="25"/>
  <c r="BS50" i="25" s="1"/>
  <c r="BC50" i="25"/>
  <c r="BT50" i="25" s="1"/>
  <c r="BR28" i="25"/>
  <c r="BV28" i="25" s="1"/>
  <c r="BX28" i="25" s="1"/>
  <c r="BE28" i="25"/>
  <c r="BK28" i="25" s="1"/>
  <c r="BA216" i="25"/>
  <c r="BB216" i="25"/>
  <c r="BS216" i="25" s="1"/>
  <c r="BC216" i="25"/>
  <c r="BT216" i="25" s="1"/>
  <c r="BG192" i="24"/>
  <c r="BS192" i="24"/>
  <c r="BX192" i="24" s="1"/>
  <c r="BE32" i="25"/>
  <c r="BK32" i="25" s="1"/>
  <c r="BR32" i="25"/>
  <c r="BV32" i="25" s="1"/>
  <c r="BX32" i="25" s="1"/>
  <c r="BA193" i="25"/>
  <c r="BB193" i="25"/>
  <c r="BS193" i="25" s="1"/>
  <c r="BC193" i="25"/>
  <c r="BT193" i="25" s="1"/>
  <c r="BG218" i="24"/>
  <c r="BS218" i="24"/>
  <c r="BX218" i="24" s="1"/>
  <c r="BM117" i="24"/>
  <c r="BN117" i="24" s="1"/>
  <c r="BA152" i="25"/>
  <c r="BB152" i="25"/>
  <c r="BS152" i="25" s="1"/>
  <c r="BC152" i="25"/>
  <c r="BT152" i="25" s="1"/>
  <c r="BS32" i="24"/>
  <c r="BV32" i="24" s="1"/>
  <c r="BX32" i="24" s="1"/>
  <c r="BG32" i="24"/>
  <c r="BM32" i="24" s="1"/>
  <c r="BB197" i="25"/>
  <c r="BS197" i="25" s="1"/>
  <c r="BC197" i="25"/>
  <c r="BT197" i="25" s="1"/>
  <c r="BA197" i="25"/>
  <c r="BG271" i="24"/>
  <c r="BS271" i="24"/>
  <c r="BX271" i="24" s="1"/>
  <c r="BC288" i="25"/>
  <c r="BT288" i="25" s="1"/>
  <c r="BB288" i="25"/>
  <c r="BS288" i="25" s="1"/>
  <c r="BA288" i="25"/>
  <c r="BS62" i="24"/>
  <c r="BV62" i="24" s="1"/>
  <c r="BX62" i="24" s="1"/>
  <c r="BG62" i="24"/>
  <c r="BM62" i="24" s="1"/>
  <c r="BC308" i="25"/>
  <c r="BT308" i="25" s="1"/>
  <c r="BB308" i="25"/>
  <c r="BS308" i="25" s="1"/>
  <c r="BA308" i="25"/>
  <c r="BS103" i="24"/>
  <c r="BV103" i="24" s="1"/>
  <c r="BX103" i="24" s="1"/>
  <c r="BG103" i="24"/>
  <c r="BM103" i="24" s="1"/>
  <c r="BS73" i="24"/>
  <c r="BV73" i="24" s="1"/>
  <c r="BX73" i="24" s="1"/>
  <c r="BG73" i="24"/>
  <c r="BM73" i="24" s="1"/>
  <c r="BY143" i="25"/>
  <c r="CA143" i="25" s="1"/>
  <c r="CB143" i="25" s="1"/>
  <c r="BL143" i="25"/>
  <c r="BK143" i="25"/>
  <c r="BG285" i="24"/>
  <c r="BS285" i="24"/>
  <c r="BX285" i="24" s="1"/>
  <c r="BE177" i="25"/>
  <c r="BR177" i="25"/>
  <c r="BX177" i="25" s="1"/>
  <c r="BG171" i="24"/>
  <c r="BS171" i="24"/>
  <c r="BX171" i="24" s="1"/>
  <c r="BB220" i="25"/>
  <c r="BS220" i="25" s="1"/>
  <c r="BC220" i="25"/>
  <c r="BT220" i="25" s="1"/>
  <c r="BA220" i="25"/>
  <c r="BA163" i="25"/>
  <c r="BC163" i="25"/>
  <c r="BT163" i="25" s="1"/>
  <c r="BB163" i="25"/>
  <c r="BS163" i="25" s="1"/>
  <c r="B138" i="2"/>
  <c r="B141" i="2"/>
  <c r="L36" i="1" s="1"/>
  <c r="BG176" i="24"/>
  <c r="BS176" i="24"/>
  <c r="BX176" i="24" s="1"/>
  <c r="BA27" i="25"/>
  <c r="BB27" i="25"/>
  <c r="BS27" i="25" s="1"/>
  <c r="BC27" i="25"/>
  <c r="BT27" i="25" s="1"/>
  <c r="BG153" i="24"/>
  <c r="BS153" i="24"/>
  <c r="BX153" i="24" s="1"/>
  <c r="BA208" i="25"/>
  <c r="BC208" i="25"/>
  <c r="BT208" i="25" s="1"/>
  <c r="BB208" i="25"/>
  <c r="BS208" i="25" s="1"/>
  <c r="BY240" i="24"/>
  <c r="CA240" i="24" s="1"/>
  <c r="CB240" i="24" s="1"/>
  <c r="BM240" i="24"/>
  <c r="BN240" i="24" s="1"/>
  <c r="BG175" i="24"/>
  <c r="BS175" i="24"/>
  <c r="BX175" i="24" s="1"/>
  <c r="BE267" i="25"/>
  <c r="BR267" i="25"/>
  <c r="BX267" i="25" s="1"/>
  <c r="BA228" i="25"/>
  <c r="BB228" i="25"/>
  <c r="BS228" i="25" s="1"/>
  <c r="BC228" i="25"/>
  <c r="BT228" i="25" s="1"/>
  <c r="BA126" i="25"/>
  <c r="BB126" i="25"/>
  <c r="BS126" i="25" s="1"/>
  <c r="BC126" i="25"/>
  <c r="BT126" i="25" s="1"/>
  <c r="BG86" i="24"/>
  <c r="BM86" i="24" s="1"/>
  <c r="BS86" i="24"/>
  <c r="BV86" i="24" s="1"/>
  <c r="BX86" i="24" s="1"/>
  <c r="BN101" i="24"/>
  <c r="BY101" i="24"/>
  <c r="CA101" i="24" s="1"/>
  <c r="BA19" i="25"/>
  <c r="BC19" i="25"/>
  <c r="BT19" i="25" s="1"/>
  <c r="BB19" i="25"/>
  <c r="BS19" i="25" s="1"/>
  <c r="BS52" i="24"/>
  <c r="BV52" i="24" s="1"/>
  <c r="BX52" i="24" s="1"/>
  <c r="BG52" i="24"/>
  <c r="BM52" i="24" s="1"/>
  <c r="BS79" i="24"/>
  <c r="BV79" i="24" s="1"/>
  <c r="BX79" i="24" s="1"/>
  <c r="BG79" i="24"/>
  <c r="BM79" i="24" s="1"/>
  <c r="BG197" i="24"/>
  <c r="BS197" i="24"/>
  <c r="BX197" i="24" s="1"/>
  <c r="BA268" i="25"/>
  <c r="BC268" i="25"/>
  <c r="BT268" i="25" s="1"/>
  <c r="BB268" i="25"/>
  <c r="BS268" i="25" s="1"/>
  <c r="BS65" i="24"/>
  <c r="BV65" i="24" s="1"/>
  <c r="BX65" i="24" s="1"/>
  <c r="BG65" i="24"/>
  <c r="BM65" i="24" s="1"/>
  <c r="BE190" i="25"/>
  <c r="BR190" i="25"/>
  <c r="BX190" i="25" s="1"/>
  <c r="BG17" i="24"/>
  <c r="BM17" i="24" s="1"/>
  <c r="BS17" i="24"/>
  <c r="BV17" i="24" s="1"/>
  <c r="BX17" i="24" s="1"/>
  <c r="BG114" i="24"/>
  <c r="BS114" i="24"/>
  <c r="BX114" i="24" s="1"/>
  <c r="BG30" i="24"/>
  <c r="BM30" i="24" s="1"/>
  <c r="BS30" i="24"/>
  <c r="BV30" i="24" s="1"/>
  <c r="BX30" i="24" s="1"/>
  <c r="BA35" i="25"/>
  <c r="BB35" i="25"/>
  <c r="BS35" i="25" s="1"/>
  <c r="BC35" i="25"/>
  <c r="BT35" i="25" s="1"/>
  <c r="BG201" i="24"/>
  <c r="BS201" i="24"/>
  <c r="BX201" i="24" s="1"/>
  <c r="BS9" i="24"/>
  <c r="BV9" i="24" s="1"/>
  <c r="BX9" i="24" s="1"/>
  <c r="BG9" i="24"/>
  <c r="BM9" i="24" s="1"/>
  <c r="BR192" i="25"/>
  <c r="BX192" i="25" s="1"/>
  <c r="BE192" i="25"/>
  <c r="BE238" i="25"/>
  <c r="BR238" i="25"/>
  <c r="BX238" i="25" s="1"/>
  <c r="BA24" i="25"/>
  <c r="BB24" i="25"/>
  <c r="BS24" i="25" s="1"/>
  <c r="BC24" i="25"/>
  <c r="BT24" i="25" s="1"/>
  <c r="BE291" i="25"/>
  <c r="BR291" i="25"/>
  <c r="BX291" i="25" s="1"/>
  <c r="BN6" i="24"/>
  <c r="BS49" i="24"/>
  <c r="BV49" i="24" s="1"/>
  <c r="BX49" i="24" s="1"/>
  <c r="BG49" i="24"/>
  <c r="BM49" i="24" s="1"/>
  <c r="BC79" i="25"/>
  <c r="BT79" i="25" s="1"/>
  <c r="BB79" i="25"/>
  <c r="BS79" i="25" s="1"/>
  <c r="BA79" i="25"/>
  <c r="BG223" i="24"/>
  <c r="BS223" i="24"/>
  <c r="BX223" i="24" s="1"/>
  <c r="BM279" i="24"/>
  <c r="BN279" i="24" s="1"/>
  <c r="BB169" i="25"/>
  <c r="BS169" i="25" s="1"/>
  <c r="BC169" i="25"/>
  <c r="BT169" i="25" s="1"/>
  <c r="BA169" i="25"/>
  <c r="BC310" i="25"/>
  <c r="BT310" i="25" s="1"/>
  <c r="BA310" i="25"/>
  <c r="BB310" i="25"/>
  <c r="BS310" i="25" s="1"/>
  <c r="BS39" i="24"/>
  <c r="BV39" i="24" s="1"/>
  <c r="BX39" i="24" s="1"/>
  <c r="BG39" i="24"/>
  <c r="BM39" i="24" s="1"/>
  <c r="BG314" i="24"/>
  <c r="BS314" i="24"/>
  <c r="BX314" i="24" s="1"/>
  <c r="BA135" i="25"/>
  <c r="BB135" i="25"/>
  <c r="BS135" i="25" s="1"/>
  <c r="BC135" i="25"/>
  <c r="BT135" i="25" s="1"/>
  <c r="BG307" i="24"/>
  <c r="BS307" i="24"/>
  <c r="BX307" i="24" s="1"/>
  <c r="BA301" i="25"/>
  <c r="BB301" i="25"/>
  <c r="BS301" i="25" s="1"/>
  <c r="BC301" i="25"/>
  <c r="BT301" i="25" s="1"/>
  <c r="BY152" i="24"/>
  <c r="CA152" i="24" s="1"/>
  <c r="BM152" i="24"/>
  <c r="BN152" i="24" s="1"/>
  <c r="BG124" i="24"/>
  <c r="BS124" i="24"/>
  <c r="BX124" i="24" s="1"/>
  <c r="BG163" i="24"/>
  <c r="BS163" i="24"/>
  <c r="BX163" i="24" s="1"/>
  <c r="BR261" i="25"/>
  <c r="BX261" i="25" s="1"/>
  <c r="BE261" i="25"/>
  <c r="BA304" i="25"/>
  <c r="BC304" i="25"/>
  <c r="BT304" i="25" s="1"/>
  <c r="BB304" i="25"/>
  <c r="BS304" i="25" s="1"/>
  <c r="BB195" i="25"/>
  <c r="BS195" i="25" s="1"/>
  <c r="BC195" i="25"/>
  <c r="BT195" i="25" s="1"/>
  <c r="BA195" i="25"/>
  <c r="U328" i="29"/>
  <c r="V328" i="29"/>
  <c r="V78" i="29"/>
  <c r="U78" i="29"/>
  <c r="V174" i="29"/>
  <c r="U174" i="29"/>
  <c r="BG184" i="24"/>
  <c r="BS184" i="24"/>
  <c r="BX184" i="24" s="1"/>
  <c r="BG157" i="24"/>
  <c r="BS157" i="24"/>
  <c r="BX157" i="24" s="1"/>
  <c r="BY260" i="24"/>
  <c r="CA260" i="24" s="1"/>
  <c r="CB260" i="24" s="1"/>
  <c r="BM260" i="24"/>
  <c r="BN260" i="24" s="1"/>
  <c r="BN58" i="24"/>
  <c r="BC272" i="25"/>
  <c r="BT272" i="25" s="1"/>
  <c r="BB272" i="25"/>
  <c r="BS272" i="25" s="1"/>
  <c r="BA272" i="25"/>
  <c r="BY22" i="24"/>
  <c r="CA22" i="24" s="1"/>
  <c r="BN22" i="24"/>
  <c r="BG123" i="24"/>
  <c r="BS123" i="24"/>
  <c r="BX123" i="24" s="1"/>
  <c r="BG198" i="24"/>
  <c r="BS198" i="24"/>
  <c r="BX198" i="24" s="1"/>
  <c r="BG258" i="24"/>
  <c r="BS258" i="24"/>
  <c r="BX258" i="24" s="1"/>
  <c r="BA303" i="25"/>
  <c r="BC303" i="25"/>
  <c r="BT303" i="25" s="1"/>
  <c r="BB303" i="25"/>
  <c r="BS303" i="25" s="1"/>
  <c r="BB205" i="25"/>
  <c r="BS205" i="25" s="1"/>
  <c r="BC205" i="25"/>
  <c r="BT205" i="25" s="1"/>
  <c r="BA205" i="25"/>
  <c r="BE31" i="25"/>
  <c r="BK31" i="25" s="1"/>
  <c r="BR31" i="25"/>
  <c r="BV31" i="25" s="1"/>
  <c r="BX31" i="25" s="1"/>
  <c r="BG71" i="24"/>
  <c r="BM71" i="24" s="1"/>
  <c r="BS71" i="24"/>
  <c r="BV71" i="24" s="1"/>
  <c r="BX71" i="24" s="1"/>
  <c r="BB295" i="25"/>
  <c r="BS295" i="25" s="1"/>
  <c r="BC295" i="25"/>
  <c r="BT295" i="25" s="1"/>
  <c r="BA295" i="25"/>
  <c r="BG195" i="24"/>
  <c r="BS195" i="24"/>
  <c r="BX195" i="24" s="1"/>
  <c r="BG129" i="24"/>
  <c r="BS129" i="24"/>
  <c r="BX129" i="24" s="1"/>
  <c r="BA38" i="25"/>
  <c r="BC38" i="25"/>
  <c r="BT38" i="25" s="1"/>
  <c r="BB38" i="25"/>
  <c r="BS38" i="25" s="1"/>
  <c r="BA20" i="25"/>
  <c r="BC20" i="25"/>
  <c r="BT20" i="25" s="1"/>
  <c r="BB20" i="25"/>
  <c r="BS20" i="25" s="1"/>
  <c r="BG104" i="24"/>
  <c r="BM104" i="24" s="1"/>
  <c r="BS104" i="24"/>
  <c r="BV104" i="24" s="1"/>
  <c r="BX104" i="24" s="1"/>
  <c r="BN20" i="24"/>
  <c r="BA307" i="25"/>
  <c r="BB307" i="25"/>
  <c r="BS307" i="25" s="1"/>
  <c r="BC307" i="25"/>
  <c r="BT307" i="25" s="1"/>
  <c r="BY142" i="24"/>
  <c r="CA142" i="24" s="1"/>
  <c r="CB142" i="24" s="1"/>
  <c r="BM142" i="24"/>
  <c r="BN142" i="24" s="1"/>
  <c r="BB315" i="25"/>
  <c r="BS315" i="25" s="1"/>
  <c r="BC315" i="25"/>
  <c r="BT315" i="25" s="1"/>
  <c r="BA315" i="25"/>
  <c r="BG144" i="24"/>
  <c r="BS144" i="24"/>
  <c r="BX144" i="24" s="1"/>
  <c r="BB133" i="25"/>
  <c r="BS133" i="25" s="1"/>
  <c r="BA133" i="25"/>
  <c r="BC133" i="25"/>
  <c r="BT133" i="25" s="1"/>
  <c r="BC134" i="25"/>
  <c r="BT134" i="25" s="1"/>
  <c r="BB134" i="25"/>
  <c r="BS134" i="25" s="1"/>
  <c r="BA134" i="25"/>
  <c r="BC140" i="25"/>
  <c r="BT140" i="25" s="1"/>
  <c r="BB140" i="25"/>
  <c r="BS140" i="25" s="1"/>
  <c r="BA140" i="25"/>
  <c r="BG304" i="24"/>
  <c r="BS304" i="24"/>
  <c r="BX304" i="24" s="1"/>
  <c r="BA70" i="25"/>
  <c r="BB70" i="25"/>
  <c r="BS70" i="25" s="1"/>
  <c r="BC70" i="25"/>
  <c r="BT70" i="25" s="1"/>
  <c r="BG206" i="24"/>
  <c r="BS206" i="24"/>
  <c r="BX206" i="24" s="1"/>
  <c r="BB61" i="25"/>
  <c r="BS61" i="25" s="1"/>
  <c r="BA61" i="25"/>
  <c r="BC61" i="25"/>
  <c r="BT61" i="25" s="1"/>
  <c r="BB145" i="25"/>
  <c r="BS145" i="25" s="1"/>
  <c r="BC145" i="25"/>
  <c r="BT145" i="25" s="1"/>
  <c r="BA145" i="25"/>
  <c r="BG286" i="24"/>
  <c r="BS286" i="24"/>
  <c r="BX286" i="24" s="1"/>
  <c r="BE13" i="25"/>
  <c r="BK13" i="25" s="1"/>
  <c r="BR13" i="25"/>
  <c r="BV13" i="25" s="1"/>
  <c r="BX13" i="25" s="1"/>
  <c r="BG46" i="24"/>
  <c r="BM46" i="24" s="1"/>
  <c r="BS46" i="24"/>
  <c r="BV46" i="24" s="1"/>
  <c r="BX46" i="24" s="1"/>
  <c r="BC122" i="25"/>
  <c r="BT122" i="25" s="1"/>
  <c r="BA122" i="25"/>
  <c r="BB122" i="25"/>
  <c r="BS122" i="25" s="1"/>
  <c r="BA180" i="25"/>
  <c r="BC180" i="25"/>
  <c r="BT180" i="25" s="1"/>
  <c r="BB180" i="25"/>
  <c r="BS180" i="25" s="1"/>
  <c r="BB76" i="25"/>
  <c r="BS76" i="25" s="1"/>
  <c r="BC76" i="25"/>
  <c r="BT76" i="25" s="1"/>
  <c r="BA76" i="25"/>
  <c r="BG76" i="24"/>
  <c r="BM76" i="24" s="1"/>
  <c r="BS76" i="24"/>
  <c r="BV76" i="24" s="1"/>
  <c r="BX76" i="24" s="1"/>
  <c r="BS203" i="24"/>
  <c r="BX203" i="24" s="1"/>
  <c r="BG203" i="24"/>
  <c r="BG284" i="24"/>
  <c r="BS284" i="24"/>
  <c r="BX284" i="24" s="1"/>
  <c r="BB230" i="25"/>
  <c r="BS230" i="25" s="1"/>
  <c r="BA230" i="25"/>
  <c r="BC230" i="25"/>
  <c r="BT230" i="25" s="1"/>
  <c r="BG194" i="24"/>
  <c r="BS194" i="24"/>
  <c r="BX194" i="24" s="1"/>
  <c r="BB45" i="25"/>
  <c r="BS45" i="25" s="1"/>
  <c r="BC45" i="25"/>
  <c r="BT45" i="25" s="1"/>
  <c r="BA45" i="25"/>
  <c r="BR14" i="25"/>
  <c r="BV14" i="25" s="1"/>
  <c r="BX14" i="25" s="1"/>
  <c r="BE14" i="25"/>
  <c r="BK14" i="25" s="1"/>
  <c r="BE155" i="25"/>
  <c r="BR155" i="25"/>
  <c r="BX155" i="25" s="1"/>
  <c r="BA47" i="25"/>
  <c r="BC47" i="25"/>
  <c r="BT47" i="25" s="1"/>
  <c r="BB47" i="25"/>
  <c r="BS47" i="25" s="1"/>
  <c r="BC203" i="25"/>
  <c r="BT203" i="25" s="1"/>
  <c r="BB203" i="25"/>
  <c r="BS203" i="25" s="1"/>
  <c r="BA203" i="25"/>
  <c r="BY264" i="24"/>
  <c r="CA264" i="24" s="1"/>
  <c r="CB264" i="24" s="1"/>
  <c r="BM264" i="24"/>
  <c r="BN264" i="24" s="1"/>
  <c r="BS82" i="24"/>
  <c r="BV82" i="24" s="1"/>
  <c r="BX82" i="24" s="1"/>
  <c r="BG82" i="24"/>
  <c r="BM82" i="24" s="1"/>
  <c r="BS69" i="24"/>
  <c r="BV69" i="24" s="1"/>
  <c r="BX69" i="24" s="1"/>
  <c r="BG69" i="24"/>
  <c r="BM69" i="24" s="1"/>
  <c r="BB53" i="25"/>
  <c r="BS53" i="25" s="1"/>
  <c r="BC53" i="25"/>
  <c r="BT53" i="25" s="1"/>
  <c r="BA53" i="25"/>
  <c r="BG241" i="24"/>
  <c r="BS241" i="24"/>
  <c r="BX241" i="24" s="1"/>
  <c r="BB137" i="25"/>
  <c r="BS137" i="25" s="1"/>
  <c r="BC137" i="25"/>
  <c r="BT137" i="25" s="1"/>
  <c r="BA137" i="25"/>
  <c r="BE170" i="25"/>
  <c r="BR170" i="25"/>
  <c r="BX170" i="25" s="1"/>
  <c r="BA209" i="25"/>
  <c r="BB209" i="25"/>
  <c r="BS209" i="25" s="1"/>
  <c r="BC209" i="25"/>
  <c r="BT209" i="25" s="1"/>
  <c r="BG302" i="24"/>
  <c r="BS302" i="24"/>
  <c r="BX302" i="24" s="1"/>
  <c r="BE246" i="25"/>
  <c r="BR246" i="25"/>
  <c r="BX246" i="25" s="1"/>
  <c r="BS84" i="24"/>
  <c r="BV84" i="24" s="1"/>
  <c r="BX84" i="24" s="1"/>
  <c r="BG84" i="24"/>
  <c r="BM84" i="24" s="1"/>
  <c r="BE305" i="25"/>
  <c r="BR305" i="25"/>
  <c r="BX305" i="25" s="1"/>
  <c r="BN54" i="24"/>
  <c r="BE306" i="25"/>
  <c r="BR306" i="25"/>
  <c r="BX306" i="25" s="1"/>
  <c r="BE255" i="25"/>
  <c r="BR255" i="25"/>
  <c r="BX255" i="25" s="1"/>
  <c r="BA254" i="25"/>
  <c r="BB254" i="25"/>
  <c r="BS254" i="25" s="1"/>
  <c r="BC254" i="25"/>
  <c r="BT254" i="25" s="1"/>
  <c r="BB210" i="25"/>
  <c r="BS210" i="25" s="1"/>
  <c r="BC210" i="25"/>
  <c r="BT210" i="25" s="1"/>
  <c r="BA210" i="25"/>
  <c r="BE273" i="25"/>
  <c r="BR273" i="25"/>
  <c r="BX273" i="25" s="1"/>
  <c r="BY41" i="24"/>
  <c r="CA41" i="24" s="1"/>
  <c r="CB41" i="24" s="1"/>
  <c r="BN41" i="24"/>
  <c r="BR62" i="25"/>
  <c r="BV62" i="25" s="1"/>
  <c r="BX62" i="25" s="1"/>
  <c r="BE62" i="25"/>
  <c r="BK62" i="25" s="1"/>
  <c r="BE59" i="25"/>
  <c r="BK59" i="25" s="1"/>
  <c r="BR59" i="25"/>
  <c r="BV59" i="25" s="1"/>
  <c r="BX59" i="25" s="1"/>
  <c r="BS95" i="24"/>
  <c r="BV95" i="24" s="1"/>
  <c r="BX95" i="24" s="1"/>
  <c r="BG95" i="24"/>
  <c r="BM95" i="24" s="1"/>
  <c r="BG244" i="24"/>
  <c r="BS244" i="24"/>
  <c r="BX244" i="24" s="1"/>
  <c r="BG272" i="24"/>
  <c r="BS272" i="24"/>
  <c r="BX272" i="24" s="1"/>
  <c r="BG227" i="24"/>
  <c r="BS227" i="24"/>
  <c r="BX227" i="24" s="1"/>
  <c r="BG59" i="24"/>
  <c r="BM59" i="24" s="1"/>
  <c r="BS59" i="24"/>
  <c r="BV59" i="24" s="1"/>
  <c r="BX59" i="24" s="1"/>
  <c r="BE179" i="25"/>
  <c r="BR179" i="25"/>
  <c r="BX179" i="25" s="1"/>
  <c r="BA16" i="25"/>
  <c r="BB16" i="25"/>
  <c r="BS16" i="25" s="1"/>
  <c r="BC16" i="25"/>
  <c r="BT16" i="25" s="1"/>
  <c r="BY236" i="24"/>
  <c r="CA236" i="24" s="1"/>
  <c r="CB236" i="24" s="1"/>
  <c r="BM236" i="24"/>
  <c r="BN236" i="24" s="1"/>
  <c r="BG53" i="24"/>
  <c r="BM53" i="24" s="1"/>
  <c r="BS53" i="24"/>
  <c r="BV53" i="24" s="1"/>
  <c r="BX53" i="24" s="1"/>
  <c r="BC111" i="25"/>
  <c r="BT111" i="25" s="1"/>
  <c r="BB111" i="25"/>
  <c r="BS111" i="25" s="1"/>
  <c r="BA111" i="25"/>
  <c r="BG85" i="24"/>
  <c r="BM85" i="24" s="1"/>
  <c r="BS85" i="24"/>
  <c r="BV85" i="24" s="1"/>
  <c r="BX85" i="24" s="1"/>
  <c r="BC181" i="25"/>
  <c r="BT181" i="25" s="1"/>
  <c r="BB181" i="25"/>
  <c r="BS181" i="25" s="1"/>
  <c r="BA181" i="25"/>
  <c r="BM148" i="24"/>
  <c r="BN148" i="24" s="1"/>
  <c r="BG276" i="24"/>
  <c r="BS276" i="24"/>
  <c r="BX276" i="24" s="1"/>
  <c r="BB287" i="25"/>
  <c r="BS287" i="25" s="1"/>
  <c r="BC287" i="25"/>
  <c r="BT287" i="25" s="1"/>
  <c r="BA287" i="25"/>
  <c r="BA57" i="25"/>
  <c r="BB57" i="25"/>
  <c r="BS57" i="25" s="1"/>
  <c r="BC57" i="25"/>
  <c r="BT57" i="25" s="1"/>
  <c r="BB151" i="25"/>
  <c r="BS151" i="25" s="1"/>
  <c r="BC151" i="25"/>
  <c r="BT151" i="25" s="1"/>
  <c r="BA151" i="25"/>
  <c r="BG182" i="24"/>
  <c r="BS182" i="24"/>
  <c r="BX182" i="24" s="1"/>
  <c r="BG138" i="24"/>
  <c r="BS138" i="24"/>
  <c r="BX138" i="24" s="1"/>
  <c r="BY233" i="24"/>
  <c r="CA233" i="24" s="1"/>
  <c r="BM233" i="24"/>
  <c r="BN233" i="24" s="1"/>
  <c r="BY257" i="24"/>
  <c r="CA257" i="24" s="1"/>
  <c r="BM257" i="24"/>
  <c r="BN257" i="24" s="1"/>
  <c r="BC252" i="25"/>
  <c r="BT252" i="25" s="1"/>
  <c r="BB252" i="25"/>
  <c r="BS252" i="25" s="1"/>
  <c r="BA252" i="25"/>
  <c r="BB271" i="25"/>
  <c r="BS271" i="25" s="1"/>
  <c r="BC271" i="25"/>
  <c r="BT271" i="25" s="1"/>
  <c r="BA271" i="25"/>
  <c r="BB91" i="25"/>
  <c r="BS91" i="25" s="1"/>
  <c r="BC91" i="25"/>
  <c r="BT91" i="25" s="1"/>
  <c r="BA91" i="25"/>
  <c r="BG185" i="24"/>
  <c r="BS185" i="24"/>
  <c r="BX185" i="24" s="1"/>
  <c r="BS8" i="24"/>
  <c r="BV8" i="24" s="1"/>
  <c r="BX8" i="24" s="1"/>
  <c r="BG8" i="24"/>
  <c r="BM8" i="24" s="1"/>
  <c r="BE173" i="25"/>
  <c r="BR173" i="25"/>
  <c r="BX173" i="25" s="1"/>
  <c r="BA183" i="25"/>
  <c r="BB183" i="25"/>
  <c r="BS183" i="25" s="1"/>
  <c r="BC183" i="25"/>
  <c r="BT183" i="25" s="1"/>
  <c r="BE248" i="25"/>
  <c r="BR248" i="25"/>
  <c r="BX248" i="25" s="1"/>
  <c r="BA157" i="25"/>
  <c r="BB157" i="25"/>
  <c r="BS157" i="25" s="1"/>
  <c r="BC157" i="25"/>
  <c r="BT157" i="25" s="1"/>
  <c r="BM265" i="24"/>
  <c r="BN265" i="24" s="1"/>
  <c r="BG105" i="24"/>
  <c r="BM105" i="24" s="1"/>
  <c r="BS105" i="24"/>
  <c r="BV105" i="24" s="1"/>
  <c r="BX105" i="24" s="1"/>
  <c r="BA289" i="25"/>
  <c r="BB289" i="25"/>
  <c r="BS289" i="25" s="1"/>
  <c r="BC289" i="25"/>
  <c r="BT289" i="25" s="1"/>
  <c r="BA118" i="25"/>
  <c r="BB118" i="25"/>
  <c r="BS118" i="25" s="1"/>
  <c r="BC118" i="25"/>
  <c r="BT118" i="25" s="1"/>
  <c r="BS99" i="24"/>
  <c r="BV99" i="24" s="1"/>
  <c r="BX99" i="24" s="1"/>
  <c r="BG99" i="24"/>
  <c r="BM99" i="24" s="1"/>
  <c r="BG269" i="24"/>
  <c r="BS269" i="24"/>
  <c r="BX269" i="24" s="1"/>
  <c r="BG274" i="24"/>
  <c r="BS274" i="24"/>
  <c r="BX274" i="24" s="1"/>
  <c r="BE11" i="25"/>
  <c r="BK11" i="25" s="1"/>
  <c r="BR11" i="25"/>
  <c r="BV11" i="25" s="1"/>
  <c r="BX11" i="25" s="1"/>
  <c r="BG179" i="24"/>
  <c r="BS179" i="24"/>
  <c r="BX179" i="24" s="1"/>
  <c r="BA105" i="25"/>
  <c r="BB105" i="25"/>
  <c r="BS105" i="25" s="1"/>
  <c r="BC105" i="25"/>
  <c r="BT105" i="25" s="1"/>
  <c r="BE29" i="25"/>
  <c r="BK29" i="25" s="1"/>
  <c r="BR29" i="25"/>
  <c r="BV29" i="25" s="1"/>
  <c r="BX29" i="25" s="1"/>
  <c r="BM295" i="24"/>
  <c r="BN295" i="24" s="1"/>
  <c r="BB144" i="25"/>
  <c r="BS144" i="25" s="1"/>
  <c r="BC144" i="25"/>
  <c r="BT144" i="25" s="1"/>
  <c r="BA144" i="25"/>
  <c r="BG209" i="24"/>
  <c r="BS209" i="24"/>
  <c r="BX209" i="24" s="1"/>
  <c r="BA86" i="25"/>
  <c r="BB86" i="25"/>
  <c r="BS86" i="25" s="1"/>
  <c r="BC86" i="25"/>
  <c r="BT86" i="25" s="1"/>
  <c r="BG202" i="24"/>
  <c r="BS202" i="24"/>
  <c r="BX202" i="24" s="1"/>
  <c r="B128" i="2"/>
  <c r="B131" i="2"/>
  <c r="E36" i="1" s="1"/>
  <c r="BG266" i="24"/>
  <c r="BS266" i="24"/>
  <c r="BX266" i="24" s="1"/>
  <c r="BG288" i="24"/>
  <c r="BS288" i="24"/>
  <c r="BX288" i="24" s="1"/>
  <c r="BA98" i="25"/>
  <c r="BB98" i="25"/>
  <c r="BS98" i="25" s="1"/>
  <c r="BC98" i="25"/>
  <c r="BT98" i="25" s="1"/>
  <c r="BR71" i="25"/>
  <c r="BV71" i="25" s="1"/>
  <c r="BX71" i="25" s="1"/>
  <c r="BE71" i="25"/>
  <c r="BK71" i="25" s="1"/>
  <c r="BG270" i="24"/>
  <c r="BS270" i="24"/>
  <c r="BX270" i="24" s="1"/>
  <c r="BA207" i="25"/>
  <c r="BC207" i="25"/>
  <c r="BT207" i="25" s="1"/>
  <c r="BB207" i="25"/>
  <c r="BS207" i="25" s="1"/>
  <c r="BA56" i="25"/>
  <c r="BB56" i="25"/>
  <c r="BS56" i="25" s="1"/>
  <c r="BC56" i="25"/>
  <c r="BT56" i="25" s="1"/>
  <c r="BG97" i="24"/>
  <c r="BM97" i="24" s="1"/>
  <c r="BS97" i="24"/>
  <c r="BV97" i="24" s="1"/>
  <c r="BX97" i="24" s="1"/>
  <c r="BB125" i="25"/>
  <c r="BS125" i="25" s="1"/>
  <c r="BC125" i="25"/>
  <c r="BT125" i="25" s="1"/>
  <c r="BA125" i="25"/>
  <c r="BG205" i="24"/>
  <c r="BS205" i="24"/>
  <c r="BX205" i="24" s="1"/>
  <c r="BS63" i="24"/>
  <c r="BV63" i="24" s="1"/>
  <c r="BX63" i="24" s="1"/>
  <c r="BG63" i="24"/>
  <c r="BM63" i="24" s="1"/>
  <c r="BE30" i="25"/>
  <c r="BK30" i="25" s="1"/>
  <c r="BR30" i="25"/>
  <c r="BV30" i="25" s="1"/>
  <c r="BX30" i="25" s="1"/>
  <c r="BG177" i="24"/>
  <c r="BS177" i="24"/>
  <c r="BX177" i="24" s="1"/>
  <c r="BS136" i="24"/>
  <c r="BX136" i="24" s="1"/>
  <c r="BG136" i="24"/>
  <c r="BC123" i="25"/>
  <c r="BT123" i="25" s="1"/>
  <c r="BB123" i="25"/>
  <c r="BS123" i="25" s="1"/>
  <c r="BA123" i="25"/>
  <c r="BA83" i="25"/>
  <c r="BB83" i="25"/>
  <c r="BS83" i="25" s="1"/>
  <c r="BC83" i="25"/>
  <c r="BT83" i="25" s="1"/>
  <c r="BB132" i="25"/>
  <c r="BS132" i="25" s="1"/>
  <c r="BA132" i="25"/>
  <c r="BC132" i="25"/>
  <c r="BT132" i="25" s="1"/>
  <c r="BG199" i="24"/>
  <c r="BS199" i="24"/>
  <c r="BX199" i="24" s="1"/>
  <c r="BG155" i="24"/>
  <c r="BS155" i="24"/>
  <c r="BX155" i="24" s="1"/>
  <c r="BG149" i="24"/>
  <c r="BS149" i="24"/>
  <c r="BX149" i="24" s="1"/>
  <c r="BB90" i="25"/>
  <c r="BS90" i="25" s="1"/>
  <c r="BC90" i="25"/>
  <c r="BT90" i="25" s="1"/>
  <c r="BA90" i="25"/>
  <c r="BC222" i="25"/>
  <c r="BT222" i="25" s="1"/>
  <c r="BB222" i="25"/>
  <c r="BS222" i="25" s="1"/>
  <c r="BA222" i="25"/>
  <c r="BG261" i="24"/>
  <c r="BS261" i="24"/>
  <c r="BX261" i="24" s="1"/>
  <c r="BA40" i="25"/>
  <c r="BB40" i="25"/>
  <c r="BS40" i="25" s="1"/>
  <c r="BC40" i="25"/>
  <c r="BT40" i="25" s="1"/>
  <c r="BE89" i="25"/>
  <c r="BK89" i="25" s="1"/>
  <c r="BR89" i="25"/>
  <c r="BV89" i="25" s="1"/>
  <c r="BX89" i="25" s="1"/>
  <c r="BG67" i="24"/>
  <c r="BM67" i="24" s="1"/>
  <c r="BS67" i="24"/>
  <c r="BV67" i="24" s="1"/>
  <c r="BX67" i="24" s="1"/>
  <c r="BB10" i="25"/>
  <c r="BS10" i="25" s="1"/>
  <c r="BA10" i="25"/>
  <c r="BC10" i="25"/>
  <c r="BT10" i="25" s="1"/>
  <c r="BB120" i="25"/>
  <c r="BS120" i="25" s="1"/>
  <c r="BC120" i="25"/>
  <c r="BT120" i="25" s="1"/>
  <c r="BA120" i="25"/>
  <c r="BG251" i="24"/>
  <c r="BS251" i="24"/>
  <c r="BX251" i="24" s="1"/>
  <c r="BM238" i="24"/>
  <c r="BN238" i="24" s="1"/>
  <c r="BE262" i="25"/>
  <c r="BR262" i="25"/>
  <c r="BX262" i="25" s="1"/>
  <c r="BA156" i="25"/>
  <c r="BB156" i="25"/>
  <c r="BS156" i="25" s="1"/>
  <c r="BC156" i="25"/>
  <c r="BT156" i="25" s="1"/>
  <c r="BE280" i="25"/>
  <c r="BR280" i="25"/>
  <c r="BX280" i="25" s="1"/>
  <c r="BM219" i="24"/>
  <c r="BN219" i="24" s="1"/>
  <c r="BA263" i="25"/>
  <c r="BB263" i="25"/>
  <c r="BS263" i="25" s="1"/>
  <c r="BC263" i="25"/>
  <c r="BT263" i="25" s="1"/>
  <c r="BA49" i="25"/>
  <c r="BB49" i="25"/>
  <c r="BS49" i="25" s="1"/>
  <c r="BC49" i="25"/>
  <c r="BT49" i="25" s="1"/>
  <c r="BA218" i="25"/>
  <c r="BC218" i="25"/>
  <c r="BT218" i="25" s="1"/>
  <c r="BB218" i="25"/>
  <c r="BS218" i="25" s="1"/>
  <c r="BC127" i="25"/>
  <c r="BT127" i="25" s="1"/>
  <c r="BB127" i="25"/>
  <c r="BS127" i="25" s="1"/>
  <c r="BA127" i="25"/>
  <c r="BM296" i="24"/>
  <c r="BN296" i="24" s="1"/>
  <c r="BG115" i="24"/>
  <c r="BS115" i="24"/>
  <c r="BX115" i="24" s="1"/>
  <c r="BC311" i="25"/>
  <c r="BT311" i="25" s="1"/>
  <c r="BB311" i="25"/>
  <c r="BS311" i="25" s="1"/>
  <c r="BA311" i="25"/>
  <c r="BC196" i="25"/>
  <c r="BT196" i="25" s="1"/>
  <c r="BB196" i="25"/>
  <c r="BS196" i="25" s="1"/>
  <c r="BA196" i="25"/>
  <c r="BB54" i="25"/>
  <c r="BS54" i="25" s="1"/>
  <c r="BA54" i="25"/>
  <c r="BC54" i="25"/>
  <c r="BT54" i="25" s="1"/>
  <c r="BE243" i="25"/>
  <c r="BR243" i="25"/>
  <c r="BX243" i="25" s="1"/>
  <c r="BB119" i="25"/>
  <c r="BS119" i="25" s="1"/>
  <c r="BC119" i="25"/>
  <c r="BT119" i="25" s="1"/>
  <c r="BA119" i="25"/>
  <c r="D58" i="29"/>
  <c r="D50" i="29" s="1"/>
  <c r="D51" i="29" s="1"/>
  <c r="D60" i="29" s="1"/>
  <c r="U60" i="29"/>
  <c r="V60" i="29"/>
  <c r="U189" i="29"/>
  <c r="V189" i="29"/>
  <c r="U238" i="29"/>
  <c r="V238" i="29"/>
  <c r="V18" i="29"/>
  <c r="U18" i="29"/>
  <c r="BG250" i="24"/>
  <c r="BS250" i="24"/>
  <c r="BX250" i="24" s="1"/>
  <c r="BS50" i="24"/>
  <c r="BV50" i="24" s="1"/>
  <c r="BX50" i="24" s="1"/>
  <c r="BG50" i="24"/>
  <c r="BM50" i="24" s="1"/>
  <c r="BM130" i="24"/>
  <c r="BN130" i="24" s="1"/>
  <c r="BN12" i="24"/>
  <c r="BM147" i="24"/>
  <c r="BN147" i="24" s="1"/>
  <c r="BG145" i="24"/>
  <c r="BS145" i="24"/>
  <c r="BX145" i="24" s="1"/>
  <c r="BG255" i="24"/>
  <c r="BS255" i="24"/>
  <c r="BX255" i="24" s="1"/>
  <c r="BA235" i="25"/>
  <c r="BB235" i="25"/>
  <c r="BS235" i="25" s="1"/>
  <c r="BC235" i="25"/>
  <c r="BT235" i="25" s="1"/>
  <c r="BC309" i="25"/>
  <c r="BT309" i="25" s="1"/>
  <c r="BB309" i="25"/>
  <c r="BS309" i="25" s="1"/>
  <c r="BA309" i="25"/>
  <c r="BC251" i="25"/>
  <c r="BT251" i="25" s="1"/>
  <c r="BA251" i="25"/>
  <c r="BB251" i="25"/>
  <c r="BS251" i="25" s="1"/>
  <c r="BG252" i="24"/>
  <c r="BS252" i="24"/>
  <c r="BX252" i="24" s="1"/>
  <c r="BN55" i="24"/>
  <c r="BY55" i="24"/>
  <c r="CA55" i="24" s="1"/>
  <c r="BG151" i="24"/>
  <c r="BS151" i="24"/>
  <c r="BX151" i="24" s="1"/>
  <c r="BR104" i="25"/>
  <c r="BV104" i="25" s="1"/>
  <c r="BX104" i="25" s="1"/>
  <c r="BE104" i="25"/>
  <c r="BK104" i="25" s="1"/>
  <c r="BA65" i="25"/>
  <c r="BB65" i="25"/>
  <c r="BS65" i="25" s="1"/>
  <c r="BC65" i="25"/>
  <c r="BT65" i="25" s="1"/>
  <c r="BN45" i="24"/>
  <c r="BY45" i="24"/>
  <c r="CA45" i="24" s="1"/>
  <c r="BS10" i="24"/>
  <c r="BV10" i="24" s="1"/>
  <c r="BX10" i="24" s="1"/>
  <c r="BG10" i="24"/>
  <c r="BM10" i="24" s="1"/>
  <c r="BA264" i="25"/>
  <c r="BC264" i="25"/>
  <c r="BT264" i="25" s="1"/>
  <c r="BB264" i="25"/>
  <c r="BS264" i="25" s="1"/>
  <c r="BE257" i="25"/>
  <c r="BR257" i="25"/>
  <c r="BX257" i="25" s="1"/>
  <c r="BA68" i="25"/>
  <c r="BC68" i="25"/>
  <c r="BT68" i="25" s="1"/>
  <c r="BB68" i="25"/>
  <c r="BS68" i="25" s="1"/>
  <c r="BE198" i="25"/>
  <c r="BR198" i="25"/>
  <c r="BX198" i="25" s="1"/>
  <c r="BG316" i="24"/>
  <c r="BS316" i="24"/>
  <c r="BX316" i="24" s="1"/>
  <c r="BA278" i="25"/>
  <c r="BB278" i="25"/>
  <c r="BS278" i="25" s="1"/>
  <c r="BC278" i="25"/>
  <c r="BT278" i="25" s="1"/>
  <c r="BC297" i="25"/>
  <c r="BT297" i="25" s="1"/>
  <c r="BB297" i="25"/>
  <c r="BS297" i="25" s="1"/>
  <c r="BA297" i="25"/>
  <c r="BG169" i="24"/>
  <c r="BS169" i="24"/>
  <c r="BX169" i="24" s="1"/>
  <c r="BS154" i="24"/>
  <c r="BX154" i="24" s="1"/>
  <c r="BG154" i="24"/>
  <c r="BA224" i="25"/>
  <c r="BC224" i="25"/>
  <c r="BT224" i="25" s="1"/>
  <c r="BB224" i="25"/>
  <c r="BS224" i="25" s="1"/>
  <c r="BY7" i="24"/>
  <c r="CA7" i="24" s="1"/>
  <c r="BN7" i="24"/>
  <c r="BB74" i="25"/>
  <c r="BS74" i="25" s="1"/>
  <c r="BC74" i="25"/>
  <c r="BT74" i="25" s="1"/>
  <c r="BA74" i="25"/>
  <c r="BG170" i="24"/>
  <c r="BS170" i="24"/>
  <c r="BX170" i="24" s="1"/>
  <c r="BM280" i="24"/>
  <c r="BN280" i="24" s="1"/>
  <c r="BE178" i="25"/>
  <c r="BR178" i="25"/>
  <c r="BX178" i="25" s="1"/>
  <c r="BG207" i="24"/>
  <c r="BS207" i="24"/>
  <c r="BX207" i="24" s="1"/>
  <c r="BA217" i="25"/>
  <c r="BB217" i="25"/>
  <c r="BS217" i="25" s="1"/>
  <c r="BC217" i="25"/>
  <c r="BT217" i="25" s="1"/>
  <c r="BG141" i="24"/>
  <c r="BS141" i="24"/>
  <c r="BX141" i="24" s="1"/>
  <c r="BA260" i="25"/>
  <c r="BC260" i="25"/>
  <c r="BT260" i="25" s="1"/>
  <c r="BB260" i="25"/>
  <c r="BS260" i="25" s="1"/>
  <c r="BA226" i="25"/>
  <c r="BC226" i="25"/>
  <c r="BT226" i="25" s="1"/>
  <c r="BB226" i="25"/>
  <c r="BS226" i="25" s="1"/>
  <c r="BR87" i="25"/>
  <c r="BV87" i="25" s="1"/>
  <c r="BX87" i="25" s="1"/>
  <c r="BE87" i="25"/>
  <c r="BK87" i="25" s="1"/>
  <c r="BA172" i="25"/>
  <c r="BC172" i="25"/>
  <c r="BT172" i="25" s="1"/>
  <c r="BB172" i="25"/>
  <c r="BS172" i="25" s="1"/>
  <c r="BG78" i="24"/>
  <c r="BM78" i="24" s="1"/>
  <c r="BS78" i="24"/>
  <c r="BV78" i="24" s="1"/>
  <c r="BX78" i="24" s="1"/>
  <c r="BA242" i="25"/>
  <c r="BC242" i="25"/>
  <c r="BT242" i="25" s="1"/>
  <c r="BB242" i="25"/>
  <c r="BS242" i="25" s="1"/>
  <c r="BG167" i="24"/>
  <c r="BS167" i="24"/>
  <c r="BX167" i="24" s="1"/>
  <c r="BE6" i="25"/>
  <c r="BK6" i="25" s="1"/>
  <c r="BR6" i="25"/>
  <c r="BV6" i="25" s="1"/>
  <c r="BX6" i="25" s="1"/>
  <c r="BC182" i="25"/>
  <c r="BT182" i="25" s="1"/>
  <c r="BB182" i="25"/>
  <c r="BS182" i="25" s="1"/>
  <c r="BA182" i="25"/>
  <c r="BN19" i="24"/>
  <c r="BG245" i="24"/>
  <c r="BS245" i="24"/>
  <c r="BX245" i="24" s="1"/>
  <c r="BG37" i="24"/>
  <c r="BM37" i="24" s="1"/>
  <c r="BS37" i="24"/>
  <c r="BV37" i="24" s="1"/>
  <c r="BX37" i="24" s="1"/>
  <c r="BC227" i="25"/>
  <c r="BT227" i="25" s="1"/>
  <c r="BB227" i="25"/>
  <c r="BS227" i="25" s="1"/>
  <c r="BA227" i="25"/>
  <c r="BC312" i="25"/>
  <c r="BT312" i="25" s="1"/>
  <c r="BA312" i="25"/>
  <c r="BB312" i="25"/>
  <c r="BS312" i="25" s="1"/>
  <c r="BG237" i="24"/>
  <c r="BS237" i="24"/>
  <c r="BX237" i="24" s="1"/>
  <c r="BC269" i="25"/>
  <c r="BT269" i="25" s="1"/>
  <c r="BB269" i="25"/>
  <c r="BS269" i="25" s="1"/>
  <c r="BA269" i="25"/>
  <c r="BE147" i="25"/>
  <c r="BR147" i="25"/>
  <c r="BX147" i="25" s="1"/>
  <c r="BL129" i="25"/>
  <c r="BY129" i="25"/>
  <c r="CA129" i="25" s="1"/>
  <c r="CB129" i="25" s="1"/>
  <c r="BK129" i="25"/>
  <c r="BG226" i="24"/>
  <c r="BS226" i="24"/>
  <c r="BX226" i="24" s="1"/>
  <c r="BC78" i="25"/>
  <c r="BT78" i="25" s="1"/>
  <c r="BA78" i="25"/>
  <c r="BB78" i="25"/>
  <c r="BS78" i="25" s="1"/>
  <c r="BC138" i="25"/>
  <c r="BT138" i="25" s="1"/>
  <c r="BB138" i="25"/>
  <c r="BS138" i="25" s="1"/>
  <c r="BA138" i="25"/>
  <c r="BR158" i="25"/>
  <c r="BX158" i="25" s="1"/>
  <c r="BE158" i="25"/>
  <c r="BM298" i="24"/>
  <c r="BN298" i="24" s="1"/>
  <c r="BA166" i="25"/>
  <c r="BC166" i="25"/>
  <c r="BT166" i="25" s="1"/>
  <c r="BB166" i="25"/>
  <c r="BS166" i="25" s="1"/>
  <c r="BC149" i="25"/>
  <c r="BT149" i="25" s="1"/>
  <c r="BB149" i="25"/>
  <c r="BS149" i="25" s="1"/>
  <c r="BA149" i="25"/>
  <c r="BG128" i="24"/>
  <c r="BS128" i="24"/>
  <c r="BX128" i="24" s="1"/>
  <c r="BB266" i="25"/>
  <c r="BS266" i="25" s="1"/>
  <c r="BC266" i="25"/>
  <c r="BT266" i="25" s="1"/>
  <c r="BA266" i="25"/>
  <c r="BB69" i="25"/>
  <c r="BS69" i="25" s="1"/>
  <c r="BC69" i="25"/>
  <c r="BT69" i="25" s="1"/>
  <c r="BA69" i="25"/>
  <c r="BS61" i="24"/>
  <c r="BV61" i="24" s="1"/>
  <c r="BX61" i="24" s="1"/>
  <c r="BG61" i="24"/>
  <c r="BM61" i="24" s="1"/>
  <c r="BG263" i="24"/>
  <c r="BS263" i="24"/>
  <c r="BX263" i="24" s="1"/>
  <c r="BC81" i="25"/>
  <c r="BT81" i="25" s="1"/>
  <c r="BA81" i="25"/>
  <c r="BB81" i="25"/>
  <c r="BS81" i="25" s="1"/>
  <c r="BG234" i="24"/>
  <c r="BS234" i="24"/>
  <c r="BX234" i="24" s="1"/>
  <c r="BY160" i="24"/>
  <c r="CA160" i="24" s="1"/>
  <c r="CB160" i="24" s="1"/>
  <c r="BM160" i="24"/>
  <c r="BN160" i="24" s="1"/>
  <c r="BA244" i="25"/>
  <c r="BC244" i="25"/>
  <c r="BT244" i="25" s="1"/>
  <c r="BB244" i="25"/>
  <c r="BS244" i="25" s="1"/>
  <c r="BB130" i="25"/>
  <c r="BS130" i="25" s="1"/>
  <c r="BC130" i="25"/>
  <c r="BT130" i="25" s="1"/>
  <c r="BA130" i="25"/>
  <c r="BB55" i="25"/>
  <c r="BS55" i="25" s="1"/>
  <c r="BA55" i="25"/>
  <c r="BC55" i="25"/>
  <c r="BT55" i="25" s="1"/>
  <c r="BG183" i="24"/>
  <c r="BS183" i="24"/>
  <c r="BX183" i="24" s="1"/>
  <c r="BC239" i="25"/>
  <c r="BT239" i="25" s="1"/>
  <c r="BB239" i="25"/>
  <c r="BS239" i="25" s="1"/>
  <c r="BA239" i="25"/>
  <c r="BG278" i="24"/>
  <c r="BS278" i="24"/>
  <c r="BX278" i="24" s="1"/>
  <c r="BG139" i="24"/>
  <c r="BS139" i="24"/>
  <c r="BX139" i="24" s="1"/>
  <c r="BA43" i="25"/>
  <c r="BB43" i="25"/>
  <c r="BS43" i="25" s="1"/>
  <c r="BC43" i="25"/>
  <c r="BT43" i="25" s="1"/>
  <c r="BG188" i="24"/>
  <c r="BS188" i="24"/>
  <c r="BX188" i="24" s="1"/>
  <c r="BC42" i="25"/>
  <c r="BT42" i="25" s="1"/>
  <c r="BB42" i="25"/>
  <c r="BS42" i="25" s="1"/>
  <c r="BA42" i="25"/>
  <c r="B159" i="2"/>
  <c r="AY105" i="25"/>
  <c r="BG208" i="24"/>
  <c r="BS208" i="24"/>
  <c r="BX208" i="24" s="1"/>
  <c r="BG300" i="24"/>
  <c r="BS300" i="24"/>
  <c r="BX300" i="24" s="1"/>
  <c r="BG289" i="24"/>
  <c r="BS289" i="24"/>
  <c r="BX289" i="24" s="1"/>
  <c r="BC23" i="25"/>
  <c r="BT23" i="25" s="1"/>
  <c r="BB23" i="25"/>
  <c r="BS23" i="25" s="1"/>
  <c r="BA23" i="25"/>
  <c r="BA313" i="25"/>
  <c r="BC313" i="25"/>
  <c r="BT313" i="25" s="1"/>
  <c r="BB313" i="25"/>
  <c r="BS313" i="25" s="1"/>
  <c r="BE161" i="25"/>
  <c r="BR161" i="25"/>
  <c r="BX161" i="25" s="1"/>
  <c r="BA277" i="25"/>
  <c r="BB277" i="25"/>
  <c r="BS277" i="25" s="1"/>
  <c r="BC277" i="25"/>
  <c r="BT277" i="25" s="1"/>
  <c r="BE259" i="25"/>
  <c r="BR259" i="25"/>
  <c r="BX259" i="25" s="1"/>
  <c r="BL110" i="25"/>
  <c r="BY110" i="25"/>
  <c r="CA110" i="25" s="1"/>
  <c r="BK110" i="25"/>
  <c r="BA72" i="25"/>
  <c r="BC72" i="25"/>
  <c r="BT72" i="25" s="1"/>
  <c r="BB72" i="25"/>
  <c r="BS72" i="25" s="1"/>
  <c r="BG89" i="24"/>
  <c r="BM89" i="24" s="1"/>
  <c r="BS89" i="24"/>
  <c r="BV89" i="24" s="1"/>
  <c r="BX89" i="24" s="1"/>
  <c r="BG131" i="24"/>
  <c r="BS131" i="24"/>
  <c r="BX131" i="24" s="1"/>
  <c r="BS290" i="24"/>
  <c r="BX290" i="24" s="1"/>
  <c r="BG290" i="24"/>
  <c r="BG156" i="24"/>
  <c r="BS156" i="24"/>
  <c r="BX156" i="24" s="1"/>
  <c r="BG301" i="24"/>
  <c r="BS301" i="24"/>
  <c r="BX301" i="24" s="1"/>
  <c r="BC256" i="25"/>
  <c r="BT256" i="25" s="1"/>
  <c r="BB256" i="25"/>
  <c r="BS256" i="25" s="1"/>
  <c r="BA256" i="25"/>
  <c r="BM299" i="24"/>
  <c r="BN299" i="24" s="1"/>
  <c r="BA33" i="25"/>
  <c r="BB33" i="25"/>
  <c r="BS33" i="25" s="1"/>
  <c r="BC33" i="25"/>
  <c r="BT33" i="25" s="1"/>
  <c r="BC236" i="25"/>
  <c r="BT236" i="25" s="1"/>
  <c r="BA236" i="25"/>
  <c r="BB236" i="25"/>
  <c r="BS236" i="25" s="1"/>
  <c r="BG229" i="24"/>
  <c r="BS229" i="24"/>
  <c r="BX229" i="24" s="1"/>
  <c r="BE204" i="25"/>
  <c r="BR204" i="25"/>
  <c r="BX204" i="25" s="1"/>
  <c r="BE283" i="25"/>
  <c r="BR283" i="25"/>
  <c r="BX283" i="25" s="1"/>
  <c r="BG178" i="24"/>
  <c r="BS178" i="24"/>
  <c r="BX178" i="24" s="1"/>
  <c r="BA221" i="25"/>
  <c r="BB221" i="25"/>
  <c r="BS221" i="25" s="1"/>
  <c r="BC221" i="25"/>
  <c r="BT221" i="25" s="1"/>
  <c r="BG308" i="24"/>
  <c r="BS308" i="24"/>
  <c r="BX308" i="24" s="1"/>
  <c r="BR167" i="25"/>
  <c r="BX167" i="25" s="1"/>
  <c r="BE167" i="25"/>
  <c r="BS64" i="24"/>
  <c r="BV64" i="24" s="1"/>
  <c r="BX64" i="24" s="1"/>
  <c r="BG64" i="24"/>
  <c r="BM64" i="24" s="1"/>
  <c r="BE94" i="25"/>
  <c r="BK94" i="25" s="1"/>
  <c r="BR94" i="25"/>
  <c r="BV94" i="25" s="1"/>
  <c r="BX94" i="25" s="1"/>
  <c r="BA231" i="25"/>
  <c r="BB231" i="25"/>
  <c r="BS231" i="25" s="1"/>
  <c r="BC231" i="25"/>
  <c r="BT231" i="25" s="1"/>
  <c r="BA9" i="25"/>
  <c r="BB9" i="25"/>
  <c r="BS9" i="25" s="1"/>
  <c r="BC9" i="25"/>
  <c r="BT9" i="25" s="1"/>
  <c r="BY248" i="24"/>
  <c r="CA248" i="24" s="1"/>
  <c r="CB248" i="24" s="1"/>
  <c r="BM248" i="24"/>
  <c r="BN248" i="24" s="1"/>
  <c r="BS88" i="24"/>
  <c r="BV88" i="24" s="1"/>
  <c r="BX88" i="24" s="1"/>
  <c r="BG88" i="24"/>
  <c r="BM88" i="24" s="1"/>
  <c r="BG77" i="24"/>
  <c r="BM77" i="24" s="1"/>
  <c r="BS77" i="24"/>
  <c r="BV77" i="24" s="1"/>
  <c r="BX77" i="24" s="1"/>
  <c r="BA159" i="25"/>
  <c r="BB159" i="25"/>
  <c r="BS159" i="25" s="1"/>
  <c r="BC159" i="25"/>
  <c r="BT159" i="25" s="1"/>
  <c r="BR206" i="25"/>
  <c r="BX206" i="25" s="1"/>
  <c r="BE206" i="25"/>
  <c r="BC25" i="25"/>
  <c r="BT25" i="25" s="1"/>
  <c r="BB25" i="25"/>
  <c r="BS25" i="25" s="1"/>
  <c r="BA25" i="25"/>
  <c r="BM242" i="24"/>
  <c r="BN242" i="24" s="1"/>
  <c r="BM253" i="24"/>
  <c r="BN253" i="24" s="1"/>
  <c r="BE293" i="25"/>
  <c r="BR293" i="25"/>
  <c r="BX293" i="25" s="1"/>
  <c r="BG287" i="24"/>
  <c r="BS287" i="24"/>
  <c r="BX287" i="24" s="1"/>
  <c r="BC18" i="25"/>
  <c r="BT18" i="25" s="1"/>
  <c r="BB18" i="25"/>
  <c r="BS18" i="25" s="1"/>
  <c r="BA18" i="25"/>
  <c r="BG225" i="24"/>
  <c r="BS225" i="24"/>
  <c r="BX225" i="24" s="1"/>
  <c r="BA274" i="25"/>
  <c r="BB274" i="25"/>
  <c r="BS274" i="25" s="1"/>
  <c r="BC274" i="25"/>
  <c r="BT274" i="25" s="1"/>
  <c r="BC233" i="25"/>
  <c r="BT233" i="25" s="1"/>
  <c r="BA233" i="25"/>
  <c r="BB233" i="25"/>
  <c r="BS233" i="25" s="1"/>
  <c r="BG11" i="24"/>
  <c r="BM11" i="24" s="1"/>
  <c r="BS11" i="24"/>
  <c r="BV11" i="24" s="1"/>
  <c r="BX11" i="24" s="1"/>
  <c r="BS134" i="24"/>
  <c r="BX134" i="24" s="1"/>
  <c r="BG134" i="24"/>
  <c r="BB185" i="25"/>
  <c r="BS185" i="25" s="1"/>
  <c r="BC185" i="25"/>
  <c r="BT185" i="25" s="1"/>
  <c r="BA185" i="25"/>
  <c r="BE232" i="25"/>
  <c r="BR232" i="25"/>
  <c r="BX232" i="25" s="1"/>
  <c r="V437" i="29"/>
  <c r="U437" i="29"/>
  <c r="U509" i="29"/>
  <c r="V509" i="29"/>
  <c r="U124" i="29"/>
  <c r="V124" i="29"/>
  <c r="U537" i="29"/>
  <c r="V537" i="29"/>
  <c r="BN33" i="24"/>
  <c r="BC128" i="25"/>
  <c r="BT128" i="25" s="1"/>
  <c r="BA128" i="25"/>
  <c r="BB128" i="25"/>
  <c r="BS128" i="25" s="1"/>
  <c r="BB194" i="25"/>
  <c r="BS194" i="25" s="1"/>
  <c r="BC194" i="25"/>
  <c r="BT194" i="25" s="1"/>
  <c r="BA194" i="25"/>
  <c r="BG204" i="24"/>
  <c r="BS204" i="24"/>
  <c r="BX204" i="24" s="1"/>
  <c r="BG166" i="24"/>
  <c r="BS166" i="24"/>
  <c r="BX166" i="24" s="1"/>
  <c r="BB136" i="25"/>
  <c r="BS136" i="25" s="1"/>
  <c r="BC136" i="25"/>
  <c r="BT136" i="25" s="1"/>
  <c r="BA136" i="25"/>
  <c r="BA100" i="25"/>
  <c r="BB100" i="25"/>
  <c r="BS100" i="25" s="1"/>
  <c r="BC100" i="25"/>
  <c r="BT100" i="25" s="1"/>
  <c r="BG161" i="24"/>
  <c r="BS161" i="24"/>
  <c r="BX161" i="24" s="1"/>
  <c r="BB48" i="25"/>
  <c r="BS48" i="25" s="1"/>
  <c r="BA48" i="25"/>
  <c r="BC48" i="25"/>
  <c r="BT48" i="25" s="1"/>
  <c r="BY132" i="24"/>
  <c r="CA132" i="24" s="1"/>
  <c r="BM132" i="24"/>
  <c r="BN132" i="24" s="1"/>
  <c r="BS273" i="24"/>
  <c r="BX273" i="24" s="1"/>
  <c r="BG273" i="24"/>
  <c r="BE189" i="25"/>
  <c r="BR189" i="25"/>
  <c r="BX189" i="25" s="1"/>
  <c r="BA124" i="25"/>
  <c r="BC124" i="25"/>
  <c r="BT124" i="25" s="1"/>
  <c r="BB124" i="25"/>
  <c r="BS124" i="25" s="1"/>
  <c r="BS38" i="24"/>
  <c r="BV38" i="24" s="1"/>
  <c r="BX38" i="24" s="1"/>
  <c r="BG38" i="24"/>
  <c r="BM38" i="24" s="1"/>
  <c r="BA67" i="25"/>
  <c r="BC67" i="25"/>
  <c r="BT67" i="25" s="1"/>
  <c r="BB67" i="25"/>
  <c r="BS67" i="25" s="1"/>
  <c r="BG14" i="24"/>
  <c r="BM14" i="24" s="1"/>
  <c r="BS14" i="24"/>
  <c r="BV14" i="24" s="1"/>
  <c r="BX14" i="24" s="1"/>
  <c r="BG137" i="24"/>
  <c r="BS137" i="24"/>
  <c r="BX137" i="24" s="1"/>
  <c r="BY162" i="24"/>
  <c r="CA162" i="24" s="1"/>
  <c r="BM162" i="24"/>
  <c r="BN162" i="24" s="1"/>
  <c r="BG122" i="24"/>
  <c r="BS122" i="24"/>
  <c r="BX122" i="24" s="1"/>
  <c r="BA270" i="25"/>
  <c r="BC270" i="25"/>
  <c r="BT270" i="25" s="1"/>
  <c r="BB270" i="25"/>
  <c r="BS270" i="25" s="1"/>
  <c r="BY111" i="24"/>
  <c r="CA111" i="24" s="1"/>
  <c r="BM111" i="24"/>
  <c r="BN111" i="24" s="1"/>
  <c r="BS256" i="24"/>
  <c r="BX256" i="24" s="1"/>
  <c r="BG256" i="24"/>
  <c r="BE276" i="25"/>
  <c r="BR276" i="25"/>
  <c r="BX276" i="25" s="1"/>
  <c r="BG75" i="24"/>
  <c r="BM75" i="24" s="1"/>
  <c r="BS75" i="24"/>
  <c r="BV75" i="24" s="1"/>
  <c r="BX75" i="24" s="1"/>
  <c r="BB241" i="25"/>
  <c r="BS241" i="25" s="1"/>
  <c r="BC241" i="25"/>
  <c r="BT241" i="25" s="1"/>
  <c r="BA241" i="25"/>
  <c r="BY119" i="24"/>
  <c r="CA119" i="24" s="1"/>
  <c r="BM119" i="24"/>
  <c r="BN119" i="24" s="1"/>
  <c r="BG31" i="24"/>
  <c r="BM31" i="24" s="1"/>
  <c r="BS31" i="24"/>
  <c r="BV31" i="24" s="1"/>
  <c r="BX31" i="24" s="1"/>
  <c r="BB139" i="25"/>
  <c r="BS139" i="25" s="1"/>
  <c r="BC139" i="25"/>
  <c r="BT139" i="25" s="1"/>
  <c r="BA139" i="25"/>
  <c r="BS29" i="24"/>
  <c r="BV29" i="24" s="1"/>
  <c r="BX29" i="24" s="1"/>
  <c r="BG29" i="24"/>
  <c r="BM29" i="24" s="1"/>
  <c r="BY259" i="24"/>
  <c r="CA259" i="24" s="1"/>
  <c r="CB259" i="24" s="1"/>
  <c r="BM259" i="24"/>
  <c r="BN259" i="24" s="1"/>
  <c r="BA223" i="25"/>
  <c r="BC223" i="25"/>
  <c r="BT223" i="25" s="1"/>
  <c r="BB223" i="25"/>
  <c r="BS223" i="25" s="1"/>
  <c r="BA102" i="25"/>
  <c r="BB102" i="25"/>
  <c r="BS102" i="25" s="1"/>
  <c r="BC102" i="25"/>
  <c r="BT102" i="25" s="1"/>
  <c r="BA188" i="25"/>
  <c r="BC188" i="25"/>
  <c r="BT188" i="25" s="1"/>
  <c r="BB188" i="25"/>
  <c r="BS188" i="25" s="1"/>
  <c r="BG187" i="24"/>
  <c r="BS187" i="24"/>
  <c r="BX187" i="24" s="1"/>
  <c r="BE96" i="25"/>
  <c r="BK96" i="25" s="1"/>
  <c r="BR96" i="25"/>
  <c r="BV96" i="25" s="1"/>
  <c r="BX96" i="25" s="1"/>
  <c r="BA284" i="25"/>
  <c r="BB284" i="25"/>
  <c r="BS284" i="25" s="1"/>
  <c r="BC284" i="25"/>
  <c r="BT284" i="25" s="1"/>
  <c r="BC44" i="25"/>
  <c r="BT44" i="25" s="1"/>
  <c r="BB44" i="25"/>
  <c r="BS44" i="25" s="1"/>
  <c r="BA44" i="25"/>
  <c r="BG217" i="24"/>
  <c r="BS217" i="24"/>
  <c r="BX217" i="24" s="1"/>
  <c r="BE148" i="25"/>
  <c r="BR148" i="25"/>
  <c r="BX148" i="25" s="1"/>
  <c r="BB36" i="25"/>
  <c r="BS36" i="25" s="1"/>
  <c r="BA36" i="25"/>
  <c r="BC36" i="25"/>
  <c r="BT36" i="25" s="1"/>
  <c r="BG159" i="24"/>
  <c r="BS159" i="24"/>
  <c r="BX159" i="24" s="1"/>
  <c r="BA80" i="25"/>
  <c r="BB80" i="25"/>
  <c r="BS80" i="25" s="1"/>
  <c r="BC80" i="25"/>
  <c r="BT80" i="25" s="1"/>
  <c r="BB37" i="25"/>
  <c r="BS37" i="25" s="1"/>
  <c r="BC37" i="25"/>
  <c r="BT37" i="25" s="1"/>
  <c r="BA37" i="25"/>
  <c r="BG193" i="24"/>
  <c r="BS193" i="24"/>
  <c r="BX193" i="24" s="1"/>
  <c r="BA200" i="25"/>
  <c r="BB200" i="25"/>
  <c r="BS200" i="25" s="1"/>
  <c r="BC200" i="25"/>
  <c r="BT200" i="25" s="1"/>
  <c r="BS27" i="24"/>
  <c r="BV27" i="24" s="1"/>
  <c r="BX27" i="24" s="1"/>
  <c r="BG27" i="24"/>
  <c r="BM27" i="24" s="1"/>
  <c r="BB15" i="25"/>
  <c r="BS15" i="25" s="1"/>
  <c r="BC15" i="25"/>
  <c r="BT15" i="25" s="1"/>
  <c r="BA15" i="25"/>
  <c r="BE113" i="25"/>
  <c r="BR113" i="25"/>
  <c r="BX113" i="25" s="1"/>
  <c r="BG98" i="24"/>
  <c r="BM98" i="24" s="1"/>
  <c r="BS98" i="24"/>
  <c r="BV98" i="24" s="1"/>
  <c r="BX98" i="24" s="1"/>
  <c r="BG164" i="24"/>
  <c r="BS164" i="24"/>
  <c r="BX164" i="24" s="1"/>
  <c r="BG235" i="24"/>
  <c r="BS235" i="24"/>
  <c r="BX235" i="24" s="1"/>
  <c r="BA121" i="25"/>
  <c r="BB121" i="25"/>
  <c r="BS121" i="25" s="1"/>
  <c r="BC121" i="25"/>
  <c r="BT121" i="25" s="1"/>
  <c r="BB219" i="25"/>
  <c r="BS219" i="25" s="1"/>
  <c r="BC219" i="25"/>
  <c r="BT219" i="25" s="1"/>
  <c r="BA219" i="25"/>
  <c r="BG102" i="24"/>
  <c r="BM102" i="24" s="1"/>
  <c r="BS102" i="24"/>
  <c r="BV102" i="24" s="1"/>
  <c r="BX102" i="24" s="1"/>
  <c r="BG291" i="24"/>
  <c r="BS291" i="24"/>
  <c r="BX291" i="24" s="1"/>
  <c r="BS80" i="24"/>
  <c r="BV80" i="24" s="1"/>
  <c r="BX80" i="24" s="1"/>
  <c r="BG80" i="24"/>
  <c r="BM80" i="24" s="1"/>
  <c r="BA88" i="25"/>
  <c r="BC88" i="25"/>
  <c r="BT88" i="25" s="1"/>
  <c r="BB88" i="25"/>
  <c r="BS88" i="25" s="1"/>
  <c r="BA117" i="25"/>
  <c r="BC117" i="25"/>
  <c r="BT117" i="25" s="1"/>
  <c r="BB117" i="25"/>
  <c r="BS117" i="25" s="1"/>
  <c r="BB99" i="25"/>
  <c r="BS99" i="25" s="1"/>
  <c r="BC99" i="25"/>
  <c r="BT99" i="25" s="1"/>
  <c r="BA99" i="25"/>
  <c r="BA316" i="25"/>
  <c r="BC316" i="25"/>
  <c r="BT316" i="25" s="1"/>
  <c r="BB316" i="25"/>
  <c r="BS316" i="25" s="1"/>
  <c r="BC39" i="25"/>
  <c r="BT39" i="25" s="1"/>
  <c r="BA39" i="25"/>
  <c r="BB39" i="25"/>
  <c r="BS39" i="25" s="1"/>
  <c r="BG277" i="24"/>
  <c r="BS277" i="24"/>
  <c r="BX277" i="24" s="1"/>
  <c r="BS92" i="24"/>
  <c r="BV92" i="24" s="1"/>
  <c r="BX92" i="24" s="1"/>
  <c r="BG92" i="24"/>
  <c r="BM92" i="24" s="1"/>
  <c r="BM112" i="24"/>
  <c r="BN112" i="24" s="1"/>
  <c r="BY135" i="24"/>
  <c r="CA135" i="24" s="1"/>
  <c r="BM135" i="24"/>
  <c r="BN135" i="24" s="1"/>
  <c r="BA93" i="25"/>
  <c r="BC93" i="25"/>
  <c r="BT93" i="25" s="1"/>
  <c r="BB93" i="25"/>
  <c r="BS93" i="25" s="1"/>
  <c r="BG303" i="24"/>
  <c r="BS303" i="24"/>
  <c r="BX303" i="24" s="1"/>
  <c r="BS231" i="24"/>
  <c r="BX231" i="24" s="1"/>
  <c r="BG231" i="24"/>
  <c r="BM232" i="24"/>
  <c r="BN232" i="24" s="1"/>
  <c r="BG210" i="24"/>
  <c r="E19" i="1"/>
  <c r="BS210" i="24"/>
  <c r="BX210" i="24" s="1"/>
  <c r="BM247" i="24"/>
  <c r="BN247" i="24" s="1"/>
  <c r="BG150" i="24"/>
  <c r="BS150" i="24"/>
  <c r="BX150" i="24" s="1"/>
  <c r="BM305" i="24"/>
  <c r="BN305" i="24" s="1"/>
  <c r="BG315" i="24"/>
  <c r="BS315" i="24"/>
  <c r="BX315" i="24" s="1"/>
  <c r="BG146" i="24"/>
  <c r="BS146" i="24"/>
  <c r="BX146" i="24" s="1"/>
  <c r="BB299" i="25"/>
  <c r="BS299" i="25" s="1"/>
  <c r="BC299" i="25"/>
  <c r="BT299" i="25" s="1"/>
  <c r="BA299" i="25"/>
  <c r="BG254" i="24"/>
  <c r="BS254" i="24"/>
  <c r="BX254" i="24" s="1"/>
  <c r="V508" i="29"/>
  <c r="U61" i="29"/>
  <c r="V61" i="29"/>
  <c r="BA165" i="25"/>
  <c r="BC165" i="25"/>
  <c r="BT165" i="25" s="1"/>
  <c r="BB165" i="25"/>
  <c r="BS165" i="25" s="1"/>
  <c r="BG172" i="24"/>
  <c r="BS172" i="24"/>
  <c r="BX172" i="24" s="1"/>
  <c r="BG165" i="24"/>
  <c r="BS165" i="24"/>
  <c r="BX165" i="24" s="1"/>
  <c r="BG239" i="24"/>
  <c r="BS239" i="24"/>
  <c r="BX239" i="24" s="1"/>
  <c r="BS72" i="24"/>
  <c r="BV72" i="24" s="1"/>
  <c r="BX72" i="24" s="1"/>
  <c r="BG72" i="24"/>
  <c r="BM72" i="24" s="1"/>
  <c r="BC191" i="25"/>
  <c r="BT191" i="25" s="1"/>
  <c r="BA191" i="25"/>
  <c r="BB191" i="25"/>
  <c r="BS191" i="25" s="1"/>
  <c r="BG143" i="24"/>
  <c r="BS143" i="24"/>
  <c r="BX143" i="24" s="1"/>
  <c r="BS57" i="24"/>
  <c r="BV57" i="24" s="1"/>
  <c r="BX57" i="24" s="1"/>
  <c r="BG57" i="24"/>
  <c r="BM57" i="24" s="1"/>
  <c r="BA58" i="25"/>
  <c r="BB58" i="25"/>
  <c r="BS58" i="25" s="1"/>
  <c r="BC58" i="25"/>
  <c r="BT58" i="25" s="1"/>
  <c r="BS83" i="24"/>
  <c r="BV83" i="24" s="1"/>
  <c r="BX83" i="24" s="1"/>
  <c r="BG83" i="24"/>
  <c r="BM83" i="24" s="1"/>
  <c r="BR199" i="25"/>
  <c r="BX199" i="25" s="1"/>
  <c r="BE199" i="25"/>
  <c r="BB225" i="25"/>
  <c r="BS225" i="25" s="1"/>
  <c r="BA225" i="25"/>
  <c r="BC225" i="25"/>
  <c r="BT225" i="25" s="1"/>
  <c r="BB187" i="25"/>
  <c r="BS187" i="25" s="1"/>
  <c r="BC187" i="25"/>
  <c r="BT187" i="25" s="1"/>
  <c r="BA187" i="25"/>
  <c r="BA245" i="25"/>
  <c r="BC245" i="25"/>
  <c r="BT245" i="25" s="1"/>
  <c r="BB245" i="25"/>
  <c r="BS245" i="25" s="1"/>
  <c r="BC115" i="25"/>
  <c r="BT115" i="25" s="1"/>
  <c r="BB115" i="25"/>
  <c r="BS115" i="25" s="1"/>
  <c r="BA115" i="25"/>
  <c r="BS48" i="24"/>
  <c r="BV48" i="24" s="1"/>
  <c r="BX48" i="24" s="1"/>
  <c r="BG48" i="24"/>
  <c r="BM48" i="24" s="1"/>
  <c r="BB279" i="25"/>
  <c r="BS279" i="25" s="1"/>
  <c r="BC279" i="25"/>
  <c r="BT279" i="25" s="1"/>
  <c r="BA279" i="25"/>
  <c r="BS100" i="24"/>
  <c r="BV100" i="24" s="1"/>
  <c r="BX100" i="24" s="1"/>
  <c r="BG100" i="24"/>
  <c r="BM100" i="24" s="1"/>
  <c r="BS16" i="24"/>
  <c r="BV16" i="24" s="1"/>
  <c r="BX16" i="24" s="1"/>
  <c r="BG16" i="24"/>
  <c r="BM16" i="24" s="1"/>
  <c r="BG313" i="24"/>
  <c r="BS313" i="24"/>
  <c r="BX313" i="24" s="1"/>
  <c r="BS51" i="24"/>
  <c r="BV51" i="24" s="1"/>
  <c r="BX51" i="24" s="1"/>
  <c r="BG51" i="24"/>
  <c r="BM51" i="24" s="1"/>
  <c r="BG311" i="24"/>
  <c r="BS311" i="24"/>
  <c r="BX311" i="24" s="1"/>
  <c r="BB85" i="25"/>
  <c r="BS85" i="25" s="1"/>
  <c r="BC85" i="25"/>
  <c r="BT85" i="25" s="1"/>
  <c r="BA85" i="25"/>
  <c r="BE292" i="25"/>
  <c r="BR292" i="25"/>
  <c r="BX292" i="25" s="1"/>
  <c r="BG306" i="24"/>
  <c r="BS306" i="24"/>
  <c r="BX306" i="24" s="1"/>
  <c r="BB66" i="25"/>
  <c r="BS66" i="25" s="1"/>
  <c r="BA66" i="25"/>
  <c r="BC66" i="25"/>
  <c r="BT66" i="25" s="1"/>
  <c r="U442" i="29" l="1"/>
  <c r="BR97" i="25"/>
  <c r="BV97" i="25" s="1"/>
  <c r="BX97" i="25" s="1"/>
  <c r="CB110" i="25"/>
  <c r="CF110" i="25"/>
  <c r="CB7" i="24"/>
  <c r="CF7" i="24"/>
  <c r="V110" i="29"/>
  <c r="AH110" i="29" s="1"/>
  <c r="CB152" i="24"/>
  <c r="CF152" i="24"/>
  <c r="V231" i="29"/>
  <c r="X231" i="29" s="1"/>
  <c r="Y231" i="29" s="1"/>
  <c r="V544" i="29"/>
  <c r="X544" i="29" s="1"/>
  <c r="Y544" i="29" s="1"/>
  <c r="U541" i="29"/>
  <c r="AG541" i="29" s="1"/>
  <c r="V323" i="29"/>
  <c r="X323" i="29" s="1"/>
  <c r="Y323" i="29" s="1"/>
  <c r="V352" i="29"/>
  <c r="AH352" i="29" s="1"/>
  <c r="CB294" i="24"/>
  <c r="CF294" i="24"/>
  <c r="V521" i="29"/>
  <c r="X521" i="29" s="1"/>
  <c r="Y521" i="29" s="1"/>
  <c r="CB224" i="24"/>
  <c r="CF224" i="24"/>
  <c r="AP212" i="25"/>
  <c r="BG212" i="25"/>
  <c r="BJ212" i="25" s="1"/>
  <c r="V63" i="29"/>
  <c r="AH63" i="29" s="1"/>
  <c r="U584" i="29"/>
  <c r="AG584" i="29" s="1"/>
  <c r="U380" i="29"/>
  <c r="AG380" i="29" s="1"/>
  <c r="V591" i="29"/>
  <c r="X591" i="29" s="1"/>
  <c r="Y591" i="29" s="1"/>
  <c r="U483" i="29"/>
  <c r="W483" i="29" s="1"/>
  <c r="U576" i="29"/>
  <c r="W576" i="29" s="1"/>
  <c r="CB132" i="24"/>
  <c r="CF132" i="24"/>
  <c r="CB233" i="24"/>
  <c r="CF233" i="24"/>
  <c r="CB21" i="24"/>
  <c r="CF21" i="24"/>
  <c r="CB22" i="24"/>
  <c r="CF22" i="24"/>
  <c r="CB119" i="24"/>
  <c r="CF119" i="24"/>
  <c r="U163" i="29"/>
  <c r="AG163" i="29" s="1"/>
  <c r="CB111" i="24"/>
  <c r="CF111" i="24"/>
  <c r="V536" i="29"/>
  <c r="AH536" i="29" s="1"/>
  <c r="V551" i="29"/>
  <c r="AH551" i="29" s="1"/>
  <c r="BR265" i="25"/>
  <c r="BX265" i="25" s="1"/>
  <c r="V485" i="29"/>
  <c r="X485" i="29" s="1"/>
  <c r="Y485" i="29" s="1"/>
  <c r="V445" i="29"/>
  <c r="X445" i="29" s="1"/>
  <c r="Y445" i="29" s="1"/>
  <c r="V371" i="29"/>
  <c r="AH371" i="29" s="1"/>
  <c r="BM120" i="24"/>
  <c r="BN120" i="24" s="1"/>
  <c r="U225" i="29"/>
  <c r="AG225" i="29" s="1"/>
  <c r="V393" i="29"/>
  <c r="AH393" i="29" s="1"/>
  <c r="V478" i="29"/>
  <c r="AH478" i="29" s="1"/>
  <c r="U24" i="29"/>
  <c r="W24" i="29" s="1"/>
  <c r="V74" i="29"/>
  <c r="AH74" i="29" s="1"/>
  <c r="V304" i="29"/>
  <c r="X304" i="29" s="1"/>
  <c r="Y304" i="29" s="1"/>
  <c r="V66" i="29"/>
  <c r="AH66" i="29" s="1"/>
  <c r="V271" i="29"/>
  <c r="X271" i="29" s="1"/>
  <c r="Y271" i="29" s="1"/>
  <c r="U566" i="29"/>
  <c r="AG566" i="29" s="1"/>
  <c r="U148" i="29"/>
  <c r="W148" i="29" s="1"/>
  <c r="V212" i="29"/>
  <c r="AH212" i="29" s="1"/>
  <c r="V181" i="29"/>
  <c r="AH181" i="29" s="1"/>
  <c r="U223" i="29"/>
  <c r="AG223" i="29" s="1"/>
  <c r="U261" i="29"/>
  <c r="AG261" i="29" s="1"/>
  <c r="V59" i="29"/>
  <c r="AH59" i="29" s="1"/>
  <c r="U137" i="29"/>
  <c r="AG137" i="29" s="1"/>
  <c r="V206" i="29"/>
  <c r="AH206" i="29" s="1"/>
  <c r="U279" i="29"/>
  <c r="W279" i="29" s="1"/>
  <c r="V374" i="29"/>
  <c r="X374" i="29" s="1"/>
  <c r="Y374" i="29" s="1"/>
  <c r="U253" i="29"/>
  <c r="AG253" i="29" s="1"/>
  <c r="U113" i="29"/>
  <c r="AG113" i="29" s="1"/>
  <c r="V159" i="29"/>
  <c r="X159" i="29" s="1"/>
  <c r="Y159" i="29" s="1"/>
  <c r="V602" i="29"/>
  <c r="AH602" i="29" s="1"/>
  <c r="U248" i="29"/>
  <c r="W248" i="29" s="1"/>
  <c r="U64" i="29"/>
  <c r="W64" i="29" s="1"/>
  <c r="V337" i="29"/>
  <c r="AH337" i="29" s="1"/>
  <c r="V363" i="29"/>
  <c r="AH363" i="29" s="1"/>
  <c r="V106" i="29"/>
  <c r="AH106" i="29" s="1"/>
  <c r="U606" i="29"/>
  <c r="W606" i="29" s="1"/>
  <c r="V46" i="29"/>
  <c r="X46" i="29" s="1"/>
  <c r="Y46" i="29" s="1"/>
  <c r="BY219" i="24"/>
  <c r="CA219" i="24" s="1"/>
  <c r="CB219" i="24" s="1"/>
  <c r="BM283" i="24"/>
  <c r="BN283" i="24" s="1"/>
  <c r="BY295" i="24"/>
  <c r="CA295" i="24" s="1"/>
  <c r="CB295" i="24" s="1"/>
  <c r="U85" i="29"/>
  <c r="W85" i="29" s="1"/>
  <c r="CB257" i="24"/>
  <c r="CF257" i="24"/>
  <c r="CB101" i="24"/>
  <c r="CF101" i="24"/>
  <c r="CB191" i="24"/>
  <c r="CF191" i="24"/>
  <c r="BY147" i="24"/>
  <c r="CA147" i="24" s="1"/>
  <c r="CB147" i="24" s="1"/>
  <c r="BY12" i="24"/>
  <c r="CA12" i="24" s="1"/>
  <c r="BY242" i="24"/>
  <c r="CA242" i="24" s="1"/>
  <c r="CB242" i="24" s="1"/>
  <c r="BY121" i="24"/>
  <c r="CA121" i="24" s="1"/>
  <c r="CB121" i="24" s="1"/>
  <c r="V71" i="29"/>
  <c r="X71" i="29" s="1"/>
  <c r="Y71" i="29" s="1"/>
  <c r="BN18" i="24"/>
  <c r="U19" i="29"/>
  <c r="AG19" i="29" s="1"/>
  <c r="V604" i="29"/>
  <c r="X604" i="29" s="1"/>
  <c r="Y604" i="29" s="1"/>
  <c r="U266" i="29"/>
  <c r="W266" i="29" s="1"/>
  <c r="BR154" i="25"/>
  <c r="BX154" i="25" s="1"/>
  <c r="BY265" i="24"/>
  <c r="CA265" i="24" s="1"/>
  <c r="CB265" i="24" s="1"/>
  <c r="U603" i="29"/>
  <c r="AG603" i="29" s="1"/>
  <c r="V309" i="29"/>
  <c r="AH309" i="29" s="1"/>
  <c r="U379" i="29"/>
  <c r="W379" i="29" s="1"/>
  <c r="U338" i="29"/>
  <c r="W338" i="29" s="1"/>
  <c r="U507" i="29"/>
  <c r="AG507" i="29" s="1"/>
  <c r="BY112" i="24"/>
  <c r="CA112" i="24" s="1"/>
  <c r="U284" i="29"/>
  <c r="W284" i="29" s="1"/>
  <c r="BX130" i="24"/>
  <c r="U322" i="29"/>
  <c r="AG322" i="29" s="1"/>
  <c r="V384" i="29"/>
  <c r="AH384" i="29" s="1"/>
  <c r="V168" i="29"/>
  <c r="X168" i="29" s="1"/>
  <c r="Y168" i="29" s="1"/>
  <c r="U186" i="29"/>
  <c r="W186" i="29" s="1"/>
  <c r="U105" i="29"/>
  <c r="W105" i="29" s="1"/>
  <c r="V205" i="29"/>
  <c r="X205" i="29" s="1"/>
  <c r="Y205" i="29" s="1"/>
  <c r="U562" i="29"/>
  <c r="AG562" i="29" s="1"/>
  <c r="U198" i="29"/>
  <c r="AG198" i="29" s="1"/>
  <c r="V367" i="29"/>
  <c r="AH367" i="29" s="1"/>
  <c r="V578" i="29"/>
  <c r="AH578" i="29" s="1"/>
  <c r="U608" i="29"/>
  <c r="W608" i="29" s="1"/>
  <c r="BY6" i="24"/>
  <c r="CA6" i="24" s="1"/>
  <c r="U373" i="29"/>
  <c r="AG373" i="29" s="1"/>
  <c r="V391" i="29"/>
  <c r="AH391" i="29" s="1"/>
  <c r="V257" i="29"/>
  <c r="AH257" i="29" s="1"/>
  <c r="V22" i="29"/>
  <c r="X22" i="29" s="1"/>
  <c r="Y22" i="29" s="1"/>
  <c r="U511" i="29"/>
  <c r="W511" i="29" s="1"/>
  <c r="U417" i="29"/>
  <c r="W417" i="29" s="1"/>
  <c r="BY238" i="24"/>
  <c r="CA238" i="24" s="1"/>
  <c r="U207" i="29"/>
  <c r="AG207" i="29" s="1"/>
  <c r="U111" i="29"/>
  <c r="W111" i="29" s="1"/>
  <c r="V553" i="29"/>
  <c r="AH553" i="29" s="1"/>
  <c r="U362" i="29"/>
  <c r="W362" i="29" s="1"/>
  <c r="U343" i="29"/>
  <c r="AG343" i="29" s="1"/>
  <c r="V340" i="29"/>
  <c r="AH340" i="29" s="1"/>
  <c r="V54" i="29"/>
  <c r="AH54" i="29" s="1"/>
  <c r="BY279" i="24"/>
  <c r="CA279" i="24" s="1"/>
  <c r="CB279" i="24" s="1"/>
  <c r="U108" i="29"/>
  <c r="AG108" i="29" s="1"/>
  <c r="V358" i="29"/>
  <c r="X358" i="29" s="1"/>
  <c r="Y358" i="29" s="1"/>
  <c r="BY27" i="24"/>
  <c r="CA27" i="24" s="1"/>
  <c r="CB27" i="24" s="1"/>
  <c r="V457" i="29"/>
  <c r="AH457" i="29" s="1"/>
  <c r="V79" i="29"/>
  <c r="AH79" i="29" s="1"/>
  <c r="V370" i="29"/>
  <c r="AH370" i="29" s="1"/>
  <c r="V276" i="29"/>
  <c r="AH276" i="29" s="1"/>
  <c r="U348" i="29"/>
  <c r="AG348" i="29" s="1"/>
  <c r="BY298" i="24"/>
  <c r="CA298" i="24" s="1"/>
  <c r="CB298" i="24" s="1"/>
  <c r="V317" i="29"/>
  <c r="AH317" i="29" s="1"/>
  <c r="U252" i="29"/>
  <c r="W252" i="29" s="1"/>
  <c r="U365" i="29"/>
  <c r="W365" i="29" s="1"/>
  <c r="V203" i="29"/>
  <c r="X203" i="29" s="1"/>
  <c r="Y203" i="29" s="1"/>
  <c r="U70" i="29"/>
  <c r="AG70" i="29" s="1"/>
  <c r="U357" i="29"/>
  <c r="AG357" i="29" s="1"/>
  <c r="V258" i="29"/>
  <c r="AH258" i="29" s="1"/>
  <c r="U123" i="29"/>
  <c r="W123" i="29" s="1"/>
  <c r="BY299" i="24"/>
  <c r="CA299" i="24" s="1"/>
  <c r="U109" i="29"/>
  <c r="AG109" i="29" s="1"/>
  <c r="U560" i="29"/>
  <c r="W560" i="29" s="1"/>
  <c r="V466" i="29"/>
  <c r="X466" i="29" s="1"/>
  <c r="Y466" i="29" s="1"/>
  <c r="U107" i="29"/>
  <c r="AG107" i="29" s="1"/>
  <c r="U475" i="29"/>
  <c r="W475" i="29" s="1"/>
  <c r="CB55" i="24"/>
  <c r="B287" i="2" s="1"/>
  <c r="CF55" i="24"/>
  <c r="U115" i="29"/>
  <c r="AG115" i="29" s="1"/>
  <c r="U254" i="29"/>
  <c r="AG254" i="29" s="1"/>
  <c r="V80" i="29"/>
  <c r="AH80" i="29" s="1"/>
  <c r="V516" i="29"/>
  <c r="X516" i="29" s="1"/>
  <c r="Y516" i="29" s="1"/>
  <c r="V563" i="29"/>
  <c r="AH563" i="29" s="1"/>
  <c r="V34" i="29"/>
  <c r="X34" i="29" s="1"/>
  <c r="Y34" i="29" s="1"/>
  <c r="V408" i="29"/>
  <c r="AH408" i="29" s="1"/>
  <c r="V501" i="29"/>
  <c r="AH501" i="29" s="1"/>
  <c r="U429" i="29"/>
  <c r="AG429" i="29" s="1"/>
  <c r="U156" i="29"/>
  <c r="AG156" i="29" s="1"/>
  <c r="V151" i="29"/>
  <c r="AH151" i="29" s="1"/>
  <c r="U49" i="29"/>
  <c r="AG49" i="29" s="1"/>
  <c r="U587" i="29"/>
  <c r="AG587" i="29" s="1"/>
  <c r="V582" i="29"/>
  <c r="AH582" i="29" s="1"/>
  <c r="V217" i="29"/>
  <c r="AH217" i="29" s="1"/>
  <c r="U611" i="29"/>
  <c r="W611" i="29" s="1"/>
  <c r="V359" i="29"/>
  <c r="X359" i="29" s="1"/>
  <c r="Y359" i="29" s="1"/>
  <c r="U557" i="29"/>
  <c r="AG557" i="29" s="1"/>
  <c r="BY24" i="24"/>
  <c r="CA24" i="24" s="1"/>
  <c r="CB24" i="24" s="1"/>
  <c r="U166" i="29"/>
  <c r="AG166" i="29" s="1"/>
  <c r="U104" i="29"/>
  <c r="W104" i="29" s="1"/>
  <c r="U153" i="29"/>
  <c r="AG153" i="29" s="1"/>
  <c r="V589" i="29"/>
  <c r="X589" i="29" s="1"/>
  <c r="Y589" i="29" s="1"/>
  <c r="U98" i="29"/>
  <c r="AG98" i="29" s="1"/>
  <c r="V292" i="29"/>
  <c r="AH292" i="29" s="1"/>
  <c r="U513" i="29"/>
  <c r="W513" i="29" s="1"/>
  <c r="V613" i="29"/>
  <c r="AH613" i="29" s="1"/>
  <c r="V477" i="29"/>
  <c r="X477" i="29" s="1"/>
  <c r="Y477" i="29" s="1"/>
  <c r="U52" i="29"/>
  <c r="AG52" i="29" s="1"/>
  <c r="U204" i="29"/>
  <c r="W204" i="29" s="1"/>
  <c r="BY282" i="24"/>
  <c r="CA282" i="24" s="1"/>
  <c r="CB282" i="24" s="1"/>
  <c r="U571" i="29"/>
  <c r="AG571" i="29" s="1"/>
  <c r="V161" i="29"/>
  <c r="X161" i="29" s="1"/>
  <c r="Y161" i="29" s="1"/>
  <c r="V235" i="29"/>
  <c r="X235" i="29" s="1"/>
  <c r="Y235" i="29" s="1"/>
  <c r="U598" i="29"/>
  <c r="AG598" i="29" s="1"/>
  <c r="U144" i="29"/>
  <c r="W144" i="29" s="1"/>
  <c r="V510" i="29"/>
  <c r="X510" i="29" s="1"/>
  <c r="Y510" i="29" s="1"/>
  <c r="U515" i="29"/>
  <c r="W515" i="29" s="1"/>
  <c r="V471" i="29"/>
  <c r="AH471" i="29" s="1"/>
  <c r="BY305" i="24"/>
  <c r="CA305" i="24" s="1"/>
  <c r="V127" i="29"/>
  <c r="X127" i="29" s="1"/>
  <c r="Y127" i="29" s="1"/>
  <c r="U216" i="29"/>
  <c r="AG216" i="29" s="1"/>
  <c r="U326" i="29"/>
  <c r="AG326" i="29" s="1"/>
  <c r="BY296" i="24"/>
  <c r="CA296" i="24" s="1"/>
  <c r="CB296" i="24" s="1"/>
  <c r="U555" i="29"/>
  <c r="W555" i="29" s="1"/>
  <c r="V361" i="29"/>
  <c r="X361" i="29" s="1"/>
  <c r="Y361" i="29" s="1"/>
  <c r="V397" i="29"/>
  <c r="X397" i="29" s="1"/>
  <c r="Y397" i="29" s="1"/>
  <c r="U493" i="29"/>
  <c r="AG493" i="29" s="1"/>
  <c r="V229" i="29"/>
  <c r="X229" i="29" s="1"/>
  <c r="Y229" i="29" s="1"/>
  <c r="V35" i="29"/>
  <c r="AH35" i="29" s="1"/>
  <c r="V470" i="29"/>
  <c r="X470" i="29" s="1"/>
  <c r="Y470" i="29" s="1"/>
  <c r="V577" i="29"/>
  <c r="X577" i="29" s="1"/>
  <c r="Y577" i="29" s="1"/>
  <c r="V586" i="29"/>
  <c r="AH586" i="29" s="1"/>
  <c r="U270" i="29"/>
  <c r="AG270" i="29" s="1"/>
  <c r="U90" i="29"/>
  <c r="AG90" i="29" s="1"/>
  <c r="V241" i="29"/>
  <c r="AH241" i="29" s="1"/>
  <c r="U325" i="29"/>
  <c r="W325" i="29" s="1"/>
  <c r="V377" i="29"/>
  <c r="AH377" i="29" s="1"/>
  <c r="U532" i="29"/>
  <c r="W532" i="29" s="1"/>
  <c r="V339" i="29"/>
  <c r="X339" i="29" s="1"/>
  <c r="Y339" i="29" s="1"/>
  <c r="U194" i="29"/>
  <c r="W194" i="29" s="1"/>
  <c r="U347" i="29"/>
  <c r="AG347" i="29" s="1"/>
  <c r="V152" i="29"/>
  <c r="X152" i="29" s="1"/>
  <c r="Y152" i="29" s="1"/>
  <c r="V345" i="29"/>
  <c r="X345" i="29" s="1"/>
  <c r="Y345" i="29" s="1"/>
  <c r="V256" i="29"/>
  <c r="X256" i="29" s="1"/>
  <c r="Y256" i="29" s="1"/>
  <c r="U89" i="29"/>
  <c r="AG89" i="29" s="1"/>
  <c r="BY232" i="24"/>
  <c r="CA232" i="24" s="1"/>
  <c r="V220" i="29"/>
  <c r="AH220" i="29" s="1"/>
  <c r="U559" i="29"/>
  <c r="W559" i="29" s="1"/>
  <c r="V299" i="29"/>
  <c r="AH299" i="29" s="1"/>
  <c r="V138" i="29"/>
  <c r="X138" i="29" s="1"/>
  <c r="Y138" i="29" s="1"/>
  <c r="V462" i="29"/>
  <c r="AH462" i="29" s="1"/>
  <c r="BY280" i="24"/>
  <c r="CA280" i="24" s="1"/>
  <c r="V597" i="29"/>
  <c r="X597" i="29" s="1"/>
  <c r="Y597" i="29" s="1"/>
  <c r="U185" i="29"/>
  <c r="AG185" i="29" s="1"/>
  <c r="U332" i="29"/>
  <c r="W332" i="29" s="1"/>
  <c r="U222" i="29"/>
  <c r="AG222" i="29" s="1"/>
  <c r="U480" i="29"/>
  <c r="AG480" i="29" s="1"/>
  <c r="V443" i="29"/>
  <c r="X443" i="29" s="1"/>
  <c r="Y443" i="29" s="1"/>
  <c r="V43" i="29"/>
  <c r="AH43" i="29" s="1"/>
  <c r="V331" i="29"/>
  <c r="AH331" i="29" s="1"/>
  <c r="U526" i="29"/>
  <c r="AG526" i="29" s="1"/>
  <c r="U122" i="29"/>
  <c r="AG122" i="29" s="1"/>
  <c r="V543" i="29"/>
  <c r="X543" i="29" s="1"/>
  <c r="Y543" i="29" s="1"/>
  <c r="BY54" i="24"/>
  <c r="CA54" i="24" s="1"/>
  <c r="V53" i="29"/>
  <c r="AH53" i="29" s="1"/>
  <c r="V468" i="29"/>
  <c r="X468" i="29" s="1"/>
  <c r="Y468" i="29" s="1"/>
  <c r="V404" i="29"/>
  <c r="AH404" i="29" s="1"/>
  <c r="V233" i="29"/>
  <c r="AH233" i="29" s="1"/>
  <c r="U289" i="29"/>
  <c r="AG289" i="29" s="1"/>
  <c r="V327" i="29"/>
  <c r="AH327" i="29" s="1"/>
  <c r="V93" i="29"/>
  <c r="X93" i="29" s="1"/>
  <c r="Y93" i="29" s="1"/>
  <c r="U73" i="29"/>
  <c r="W73" i="29" s="1"/>
  <c r="U165" i="29"/>
  <c r="W165" i="29" s="1"/>
  <c r="V293" i="29"/>
  <c r="AH293" i="29" s="1"/>
  <c r="V402" i="29"/>
  <c r="AH402" i="29" s="1"/>
  <c r="V596" i="29"/>
  <c r="AH596" i="29" s="1"/>
  <c r="V590" i="29"/>
  <c r="X590" i="29" s="1"/>
  <c r="Y590" i="29" s="1"/>
  <c r="V580" i="29"/>
  <c r="AH580" i="29" s="1"/>
  <c r="BN28" i="24"/>
  <c r="V454" i="29"/>
  <c r="X454" i="29" s="1"/>
  <c r="Y454" i="29" s="1"/>
  <c r="U50" i="29"/>
  <c r="W50" i="29" s="1"/>
  <c r="U448" i="29"/>
  <c r="AG448" i="29" s="1"/>
  <c r="U556" i="29"/>
  <c r="AG556" i="29" s="1"/>
  <c r="V558" i="29"/>
  <c r="X558" i="29" s="1"/>
  <c r="Y558" i="29" s="1"/>
  <c r="V298" i="29"/>
  <c r="AH298" i="29" s="1"/>
  <c r="V400" i="29"/>
  <c r="X400" i="29" s="1"/>
  <c r="Y400" i="29" s="1"/>
  <c r="U242" i="29"/>
  <c r="AG242" i="29" s="1"/>
  <c r="BY253" i="24"/>
  <c r="CA253" i="24" s="1"/>
  <c r="CB253" i="24" s="1"/>
  <c r="V303" i="29"/>
  <c r="AH303" i="29" s="1"/>
  <c r="V503" i="29"/>
  <c r="AH503" i="29" s="1"/>
  <c r="U139" i="29"/>
  <c r="W139" i="29" s="1"/>
  <c r="V48" i="29"/>
  <c r="AH48" i="29" s="1"/>
  <c r="V308" i="29"/>
  <c r="AH308" i="29" s="1"/>
  <c r="V184" i="29"/>
  <c r="AH184" i="29" s="1"/>
  <c r="V546" i="29"/>
  <c r="X546" i="29" s="1"/>
  <c r="Y546" i="29" s="1"/>
  <c r="U246" i="29"/>
  <c r="W246" i="29" s="1"/>
  <c r="U387" i="29"/>
  <c r="W387" i="29" s="1"/>
  <c r="U610" i="29"/>
  <c r="AG610" i="29" s="1"/>
  <c r="V497" i="29"/>
  <c r="AH497" i="29" s="1"/>
  <c r="CB45" i="24"/>
  <c r="CF45" i="24"/>
  <c r="CB135" i="24"/>
  <c r="CF135" i="24"/>
  <c r="U530" i="29"/>
  <c r="W530" i="29" s="1"/>
  <c r="V96" i="29"/>
  <c r="X96" i="29" s="1"/>
  <c r="Y96" i="29" s="1"/>
  <c r="U439" i="29"/>
  <c r="AG439" i="29" s="1"/>
  <c r="U86" i="29"/>
  <c r="W86" i="29" s="1"/>
  <c r="V512" i="29"/>
  <c r="AH512" i="29" s="1"/>
  <c r="U218" i="29"/>
  <c r="AG218" i="29" s="1"/>
  <c r="U221" i="29"/>
  <c r="AG221" i="29" s="1"/>
  <c r="U350" i="29"/>
  <c r="AG350" i="29" s="1"/>
  <c r="BM224" i="24"/>
  <c r="BN224" i="24" s="1"/>
  <c r="V567" i="29"/>
  <c r="AH567" i="29" s="1"/>
  <c r="V414" i="29"/>
  <c r="AH414" i="29" s="1"/>
  <c r="U401" i="29"/>
  <c r="AG401" i="29" s="1"/>
  <c r="V214" i="29"/>
  <c r="X214" i="29" s="1"/>
  <c r="Y214" i="29" s="1"/>
  <c r="V29" i="29"/>
  <c r="AH29" i="29" s="1"/>
  <c r="U45" i="29"/>
  <c r="W45" i="29" s="1"/>
  <c r="U522" i="29"/>
  <c r="AG522" i="29" s="1"/>
  <c r="V30" i="29"/>
  <c r="AH30" i="29" s="1"/>
  <c r="V171" i="29"/>
  <c r="X171" i="29" s="1"/>
  <c r="Y171" i="29" s="1"/>
  <c r="U88" i="29"/>
  <c r="W88" i="29" s="1"/>
  <c r="V224" i="29"/>
  <c r="X224" i="29" s="1"/>
  <c r="Y224" i="29" s="1"/>
  <c r="V605" i="29"/>
  <c r="X605" i="29" s="1"/>
  <c r="Y605" i="29" s="1"/>
  <c r="V101" i="29"/>
  <c r="AH101" i="29" s="1"/>
  <c r="U234" i="29"/>
  <c r="AG234" i="29" s="1"/>
  <c r="V418" i="29"/>
  <c r="AH418" i="29" s="1"/>
  <c r="U529" i="29"/>
  <c r="AG529" i="29" s="1"/>
  <c r="U140" i="29"/>
  <c r="AG140" i="29" s="1"/>
  <c r="U133" i="29"/>
  <c r="AG133" i="29" s="1"/>
  <c r="V554" i="29"/>
  <c r="AH554" i="29" s="1"/>
  <c r="U465" i="29"/>
  <c r="AG465" i="29" s="1"/>
  <c r="U341" i="29"/>
  <c r="AG341" i="29" s="1"/>
  <c r="U291" i="29"/>
  <c r="AG291" i="29" s="1"/>
  <c r="V388" i="29"/>
  <c r="AH388" i="29" s="1"/>
  <c r="U594" i="29"/>
  <c r="W594" i="29" s="1"/>
  <c r="V552" i="29"/>
  <c r="AH552" i="29" s="1"/>
  <c r="V499" i="29"/>
  <c r="AH499" i="29" s="1"/>
  <c r="V354" i="29"/>
  <c r="X354" i="29" s="1"/>
  <c r="Y354" i="29" s="1"/>
  <c r="V334" i="29"/>
  <c r="AH334" i="29" s="1"/>
  <c r="U230" i="29"/>
  <c r="W230" i="29" s="1"/>
  <c r="V69" i="29"/>
  <c r="AH69" i="29" s="1"/>
  <c r="V479" i="29"/>
  <c r="AH479" i="29" s="1"/>
  <c r="V415" i="29"/>
  <c r="AH415" i="29" s="1"/>
  <c r="U286" i="29"/>
  <c r="W286" i="29" s="1"/>
  <c r="V167" i="29"/>
  <c r="AH167" i="29" s="1"/>
  <c r="V424" i="29"/>
  <c r="AH424" i="29" s="1"/>
  <c r="U147" i="29"/>
  <c r="AG147" i="29" s="1"/>
  <c r="U170" i="29"/>
  <c r="AG170" i="29" s="1"/>
  <c r="U294" i="29"/>
  <c r="W294" i="29" s="1"/>
  <c r="U319" i="29"/>
  <c r="W319" i="29" s="1"/>
  <c r="U25" i="29"/>
  <c r="AG25" i="29" s="1"/>
  <c r="V44" i="29"/>
  <c r="AH44" i="29" s="1"/>
  <c r="V190" i="29"/>
  <c r="X190" i="29" s="1"/>
  <c r="Y190" i="29" s="1"/>
  <c r="V376" i="29"/>
  <c r="AH376" i="29" s="1"/>
  <c r="V342" i="29"/>
  <c r="AH342" i="29" s="1"/>
  <c r="V413" i="29"/>
  <c r="AH413" i="29" s="1"/>
  <c r="V81" i="29"/>
  <c r="X81" i="29" s="1"/>
  <c r="Y81" i="29" s="1"/>
  <c r="U440" i="29"/>
  <c r="W440" i="29" s="1"/>
  <c r="U422" i="29"/>
  <c r="AG422" i="29" s="1"/>
  <c r="V428" i="29"/>
  <c r="AH428" i="29" s="1"/>
  <c r="V40" i="29"/>
  <c r="AH40" i="29" s="1"/>
  <c r="V268" i="29"/>
  <c r="AH268" i="29" s="1"/>
  <c r="U609" i="29"/>
  <c r="W609" i="29" s="1"/>
  <c r="V486" i="29"/>
  <c r="X486" i="29" s="1"/>
  <c r="Y486" i="29" s="1"/>
  <c r="V321" i="29"/>
  <c r="X321" i="29" s="1"/>
  <c r="Y321" i="29" s="1"/>
  <c r="U447" i="29"/>
  <c r="W447" i="29" s="1"/>
  <c r="U84" i="29"/>
  <c r="AG84" i="29" s="1"/>
  <c r="V208" i="29"/>
  <c r="X208" i="29" s="1"/>
  <c r="Y208" i="29" s="1"/>
  <c r="U180" i="29"/>
  <c r="W180" i="29" s="1"/>
  <c r="V274" i="29"/>
  <c r="AH274" i="29" s="1"/>
  <c r="U488" i="29"/>
  <c r="W488" i="29" s="1"/>
  <c r="V494" i="29"/>
  <c r="X494" i="29" s="1"/>
  <c r="Y494" i="29" s="1"/>
  <c r="U183" i="29"/>
  <c r="AG183" i="29" s="1"/>
  <c r="V114" i="29"/>
  <c r="AH114" i="29" s="1"/>
  <c r="U463" i="29"/>
  <c r="AG463" i="29" s="1"/>
  <c r="U474" i="29"/>
  <c r="AG474" i="29" s="1"/>
  <c r="U324" i="29"/>
  <c r="W324" i="29" s="1"/>
  <c r="V346" i="29"/>
  <c r="X346" i="29" s="1"/>
  <c r="Y346" i="29" s="1"/>
  <c r="U13" i="29"/>
  <c r="AG13" i="29" s="1"/>
  <c r="BY26" i="24"/>
  <c r="CA26" i="24" s="1"/>
  <c r="CB26" i="24" s="1"/>
  <c r="BY148" i="24"/>
  <c r="CA148" i="24" s="1"/>
  <c r="CB148" i="24" s="1"/>
  <c r="V550" i="29"/>
  <c r="X550" i="29" s="1"/>
  <c r="Y550" i="29" s="1"/>
  <c r="U406" i="29"/>
  <c r="AG406" i="29" s="1"/>
  <c r="V581" i="29"/>
  <c r="X581" i="29" s="1"/>
  <c r="Y581" i="29" s="1"/>
  <c r="U453" i="29"/>
  <c r="W453" i="29" s="1"/>
  <c r="U33" i="29"/>
  <c r="W33" i="29" s="1"/>
  <c r="V57" i="29"/>
  <c r="AH57" i="29" s="1"/>
  <c r="U187" i="29"/>
  <c r="AG187" i="29" s="1"/>
  <c r="V302" i="29"/>
  <c r="X302" i="29" s="1"/>
  <c r="Y302" i="29" s="1"/>
  <c r="V197" i="29"/>
  <c r="AH197" i="29" s="1"/>
  <c r="BY58" i="24"/>
  <c r="CA58" i="24" s="1"/>
  <c r="CB58" i="24" s="1"/>
  <c r="V239" i="29"/>
  <c r="X239" i="29" s="1"/>
  <c r="Y239" i="29" s="1"/>
  <c r="U154" i="29"/>
  <c r="AG154" i="29" s="1"/>
  <c r="U336" i="29"/>
  <c r="AG336" i="29" s="1"/>
  <c r="V333" i="29"/>
  <c r="X333" i="29" s="1"/>
  <c r="Y333" i="29" s="1"/>
  <c r="U32" i="29"/>
  <c r="W32" i="29" s="1"/>
  <c r="U412" i="29"/>
  <c r="AG412" i="29" s="1"/>
  <c r="V267" i="29"/>
  <c r="X267" i="29" s="1"/>
  <c r="Y267" i="29" s="1"/>
  <c r="U117" i="29"/>
  <c r="W117" i="29" s="1"/>
  <c r="U390" i="29"/>
  <c r="W390" i="29" s="1"/>
  <c r="V178" i="29"/>
  <c r="AH178" i="29" s="1"/>
  <c r="U130" i="29"/>
  <c r="AG130" i="29" s="1"/>
  <c r="V505" i="29"/>
  <c r="AH505" i="29" s="1"/>
  <c r="U149" i="29"/>
  <c r="AG149" i="29" s="1"/>
  <c r="V329" i="29"/>
  <c r="AH329" i="29" s="1"/>
  <c r="BY33" i="24"/>
  <c r="CA33" i="24" s="1"/>
  <c r="CB33" i="24" s="1"/>
  <c r="V535" i="29"/>
  <c r="AH535" i="29" s="1"/>
  <c r="V467" i="29"/>
  <c r="X467" i="29" s="1"/>
  <c r="Y467" i="29" s="1"/>
  <c r="U164" i="29"/>
  <c r="AG164" i="29" s="1"/>
  <c r="U100" i="29"/>
  <c r="W100" i="29" s="1"/>
  <c r="U192" i="29"/>
  <c r="W192" i="29" s="1"/>
  <c r="V472" i="29"/>
  <c r="AH472" i="29" s="1"/>
  <c r="U297" i="29"/>
  <c r="AG297" i="29" s="1"/>
  <c r="V435" i="29"/>
  <c r="X435" i="29" s="1"/>
  <c r="Y435" i="29" s="1"/>
  <c r="V20" i="29"/>
  <c r="X20" i="29" s="1"/>
  <c r="Y20" i="29" s="1"/>
  <c r="V344" i="29"/>
  <c r="AH344" i="29" s="1"/>
  <c r="U460" i="29"/>
  <c r="W460" i="29" s="1"/>
  <c r="V476" i="29"/>
  <c r="AH476" i="29" s="1"/>
  <c r="V87" i="29"/>
  <c r="X87" i="29" s="1"/>
  <c r="Y87" i="29" s="1"/>
  <c r="U264" i="29"/>
  <c r="W264" i="29" s="1"/>
  <c r="U490" i="29"/>
  <c r="W490" i="29" s="1"/>
  <c r="V39" i="29"/>
  <c r="X39" i="29" s="1"/>
  <c r="Y39" i="29" s="1"/>
  <c r="V473" i="29"/>
  <c r="X473" i="29" s="1"/>
  <c r="Y473" i="29" s="1"/>
  <c r="V118" i="29"/>
  <c r="X118" i="29" s="1"/>
  <c r="Y118" i="29" s="1"/>
  <c r="V306" i="29"/>
  <c r="AH306" i="29" s="1"/>
  <c r="U540" i="29"/>
  <c r="W540" i="29" s="1"/>
  <c r="U330" i="29"/>
  <c r="AG330" i="29" s="1"/>
  <c r="U514" i="29"/>
  <c r="AG514" i="29" s="1"/>
  <c r="V17" i="29"/>
  <c r="X17" i="29" s="1"/>
  <c r="Y17" i="29" s="1"/>
  <c r="U120" i="29"/>
  <c r="W120" i="29" s="1"/>
  <c r="BY247" i="24"/>
  <c r="CA247" i="24" s="1"/>
  <c r="CB247" i="24" s="1"/>
  <c r="U210" i="29"/>
  <c r="AG210" i="29" s="1"/>
  <c r="U574" i="29"/>
  <c r="W574" i="29" s="1"/>
  <c r="V236" i="29"/>
  <c r="X236" i="29" s="1"/>
  <c r="Y236" i="29" s="1"/>
  <c r="U349" i="29"/>
  <c r="W349" i="29" s="1"/>
  <c r="U316" i="29"/>
  <c r="W316" i="29" s="1"/>
  <c r="BY19" i="24"/>
  <c r="CA19" i="24" s="1"/>
  <c r="CB19" i="24" s="1"/>
  <c r="V461" i="29"/>
  <c r="AH461" i="29" s="1"/>
  <c r="V136" i="29"/>
  <c r="X136" i="29" s="1"/>
  <c r="Y136" i="29" s="1"/>
  <c r="V438" i="29"/>
  <c r="X438" i="29" s="1"/>
  <c r="Y438" i="29" s="1"/>
  <c r="U23" i="29"/>
  <c r="AG23" i="29" s="1"/>
  <c r="V368" i="29"/>
  <c r="AH368" i="29" s="1"/>
  <c r="V612" i="29"/>
  <c r="X612" i="29" s="1"/>
  <c r="Y612" i="29" s="1"/>
  <c r="V250" i="29"/>
  <c r="AH250" i="29" s="1"/>
  <c r="U128" i="29"/>
  <c r="W128" i="29" s="1"/>
  <c r="V125" i="29"/>
  <c r="X125" i="29" s="1"/>
  <c r="Y125" i="29" s="1"/>
  <c r="U112" i="29"/>
  <c r="W112" i="29" s="1"/>
  <c r="U277" i="29"/>
  <c r="W277" i="29" s="1"/>
  <c r="U72" i="29"/>
  <c r="W72" i="29" s="1"/>
  <c r="U146" i="29"/>
  <c r="W146" i="29" s="1"/>
  <c r="U498" i="29"/>
  <c r="AG498" i="29" s="1"/>
  <c r="U219" i="29"/>
  <c r="AG219" i="29" s="1"/>
  <c r="U150" i="29"/>
  <c r="AG150" i="29" s="1"/>
  <c r="V281" i="29"/>
  <c r="AH281" i="29" s="1"/>
  <c r="V259" i="29"/>
  <c r="AH259" i="29" s="1"/>
  <c r="U366" i="29"/>
  <c r="W366" i="29" s="1"/>
  <c r="U569" i="29"/>
  <c r="W569" i="29" s="1"/>
  <c r="V262" i="29"/>
  <c r="AH262" i="29" s="1"/>
  <c r="U116" i="29"/>
  <c r="AG116" i="29" s="1"/>
  <c r="U588" i="29"/>
  <c r="AG588" i="29" s="1"/>
  <c r="BY228" i="24"/>
  <c r="CA228" i="24" s="1"/>
  <c r="CB228" i="24" s="1"/>
  <c r="U455" i="29"/>
  <c r="W455" i="29" s="1"/>
  <c r="V320" i="29"/>
  <c r="X320" i="29" s="1"/>
  <c r="Y320" i="29" s="1"/>
  <c r="U430" i="29"/>
  <c r="AG430" i="29" s="1"/>
  <c r="U432" i="29"/>
  <c r="AG432" i="29" s="1"/>
  <c r="U240" i="29"/>
  <c r="AG240" i="29" s="1"/>
  <c r="U351" i="29"/>
  <c r="AG351" i="29" s="1"/>
  <c r="V272" i="29"/>
  <c r="AH272" i="29" s="1"/>
  <c r="U199" i="29"/>
  <c r="AG199" i="29" s="1"/>
  <c r="V538" i="29"/>
  <c r="X538" i="29" s="1"/>
  <c r="Y538" i="29" s="1"/>
  <c r="V228" i="29"/>
  <c r="AH228" i="29" s="1"/>
  <c r="U41" i="29"/>
  <c r="AG41" i="29" s="1"/>
  <c r="V135" i="29"/>
  <c r="X135" i="29" s="1"/>
  <c r="Y135" i="29" s="1"/>
  <c r="U434" i="29"/>
  <c r="AG434" i="29" s="1"/>
  <c r="U38" i="29"/>
  <c r="W38" i="29" s="1"/>
  <c r="U177" i="29"/>
  <c r="AG177" i="29" s="1"/>
  <c r="V409" i="29"/>
  <c r="AH409" i="29" s="1"/>
  <c r="V76" i="29"/>
  <c r="X76" i="29" s="1"/>
  <c r="Y76" i="29" s="1"/>
  <c r="U244" i="29"/>
  <c r="W244" i="29" s="1"/>
  <c r="U583" i="29"/>
  <c r="W583" i="29" s="1"/>
  <c r="V273" i="29"/>
  <c r="AH273" i="29" s="1"/>
  <c r="V283" i="29"/>
  <c r="X283" i="29" s="1"/>
  <c r="Y283" i="29" s="1"/>
  <c r="V169" i="29"/>
  <c r="AH169" i="29" s="1"/>
  <c r="U103" i="29"/>
  <c r="W103" i="29" s="1"/>
  <c r="U92" i="29"/>
  <c r="W92" i="29" s="1"/>
  <c r="V355" i="29"/>
  <c r="X355" i="29" s="1"/>
  <c r="Y355" i="29" s="1"/>
  <c r="V249" i="29"/>
  <c r="X249" i="29" s="1"/>
  <c r="Y249" i="29" s="1"/>
  <c r="V188" i="29"/>
  <c r="X188" i="29" s="1"/>
  <c r="Y188" i="29" s="1"/>
  <c r="U232" i="29"/>
  <c r="W232" i="29" s="1"/>
  <c r="V275" i="29"/>
  <c r="X275" i="29" s="1"/>
  <c r="Y275" i="29" s="1"/>
  <c r="BY34" i="24"/>
  <c r="CA34" i="24" s="1"/>
  <c r="CB34" i="24" s="1"/>
  <c r="U260" i="29"/>
  <c r="W260" i="29" s="1"/>
  <c r="V395" i="29"/>
  <c r="AH395" i="29" s="1"/>
  <c r="V378" i="29"/>
  <c r="AH378" i="29" s="1"/>
  <c r="V539" i="29"/>
  <c r="AH539" i="29" s="1"/>
  <c r="V403" i="29"/>
  <c r="X403" i="29" s="1"/>
  <c r="Y403" i="29" s="1"/>
  <c r="V575" i="29"/>
  <c r="AH575" i="29" s="1"/>
  <c r="V446" i="29"/>
  <c r="X446" i="29" s="1"/>
  <c r="Y446" i="29" s="1"/>
  <c r="U433" i="29"/>
  <c r="AG433" i="29" s="1"/>
  <c r="U195" i="29"/>
  <c r="W195" i="29" s="1"/>
  <c r="V407" i="29"/>
  <c r="X407" i="29" s="1"/>
  <c r="Y407" i="29" s="1"/>
  <c r="V593" i="29"/>
  <c r="AH593" i="29" s="1"/>
  <c r="V484" i="29"/>
  <c r="X484" i="29" s="1"/>
  <c r="Y484" i="29" s="1"/>
  <c r="U502" i="29"/>
  <c r="AG502" i="29" s="1"/>
  <c r="V94" i="29"/>
  <c r="AH94" i="29" s="1"/>
  <c r="BY20" i="24"/>
  <c r="CA20" i="24" s="1"/>
  <c r="CB20" i="24" s="1"/>
  <c r="V295" i="29"/>
  <c r="X295" i="29" s="1"/>
  <c r="Y295" i="29" s="1"/>
  <c r="U201" i="29"/>
  <c r="W201" i="29" s="1"/>
  <c r="U523" i="29"/>
  <c r="W523" i="29" s="1"/>
  <c r="U383" i="29"/>
  <c r="AG383" i="29" s="1"/>
  <c r="V519" i="29"/>
  <c r="AH519" i="29" s="1"/>
  <c r="V36" i="29"/>
  <c r="AH36" i="29" s="1"/>
  <c r="V469" i="29"/>
  <c r="AH469" i="29" s="1"/>
  <c r="U245" i="29"/>
  <c r="AG245" i="29" s="1"/>
  <c r="V572" i="29"/>
  <c r="X572" i="29" s="1"/>
  <c r="Y572" i="29" s="1"/>
  <c r="U305" i="29"/>
  <c r="AG305" i="29" s="1"/>
  <c r="V411" i="29"/>
  <c r="AH411" i="29" s="1"/>
  <c r="U410" i="29"/>
  <c r="AG410" i="29" s="1"/>
  <c r="V21" i="29"/>
  <c r="AH21" i="29" s="1"/>
  <c r="U518" i="29"/>
  <c r="W518" i="29" s="1"/>
  <c r="U520" i="29"/>
  <c r="W520" i="29" s="1"/>
  <c r="V592" i="29"/>
  <c r="X592" i="29" s="1"/>
  <c r="Y592" i="29" s="1"/>
  <c r="V141" i="29"/>
  <c r="AH141" i="29" s="1"/>
  <c r="V14" i="29"/>
  <c r="AH14" i="29" s="1"/>
  <c r="V481" i="29"/>
  <c r="X481" i="29" s="1"/>
  <c r="Y481" i="29" s="1"/>
  <c r="U142" i="29"/>
  <c r="AG142" i="29" s="1"/>
  <c r="U382" i="29"/>
  <c r="AG382" i="29" s="1"/>
  <c r="V506" i="29"/>
  <c r="X506" i="29" s="1"/>
  <c r="Y506" i="29" s="1"/>
  <c r="V600" i="29"/>
  <c r="AH600" i="29" s="1"/>
  <c r="U353" i="29"/>
  <c r="AG353" i="29" s="1"/>
  <c r="U547" i="29"/>
  <c r="AG547" i="29" s="1"/>
  <c r="U315" i="29"/>
  <c r="AG315" i="29" s="1"/>
  <c r="V65" i="29"/>
  <c r="X65" i="29" s="1"/>
  <c r="Y65" i="29" s="1"/>
  <c r="U398" i="29"/>
  <c r="W398" i="29" s="1"/>
  <c r="U56" i="29"/>
  <c r="AG56" i="29" s="1"/>
  <c r="V456" i="29"/>
  <c r="X456" i="29" s="1"/>
  <c r="Y456" i="29" s="1"/>
  <c r="U301" i="29"/>
  <c r="AG301" i="29" s="1"/>
  <c r="V427" i="29"/>
  <c r="X427" i="29" s="1"/>
  <c r="Y427" i="29" s="1"/>
  <c r="V175" i="29"/>
  <c r="X175" i="29" s="1"/>
  <c r="Y175" i="29" s="1"/>
  <c r="V263" i="29"/>
  <c r="AH263" i="29" s="1"/>
  <c r="U145" i="29"/>
  <c r="W145" i="29" s="1"/>
  <c r="U356" i="29"/>
  <c r="AG356" i="29" s="1"/>
  <c r="U91" i="29"/>
  <c r="AG91" i="29" s="1"/>
  <c r="V243" i="29"/>
  <c r="X243" i="29" s="1"/>
  <c r="Y243" i="29" s="1"/>
  <c r="U450" i="29"/>
  <c r="AG450" i="29" s="1"/>
  <c r="U200" i="29"/>
  <c r="AG200" i="29" s="1"/>
  <c r="U531" i="29"/>
  <c r="AG531" i="29" s="1"/>
  <c r="U179" i="29"/>
  <c r="AG179" i="29" s="1"/>
  <c r="U202" i="29"/>
  <c r="W202" i="29" s="1"/>
  <c r="U426" i="29"/>
  <c r="W426" i="29" s="1"/>
  <c r="U172" i="29"/>
  <c r="W172" i="29" s="1"/>
  <c r="V191" i="29"/>
  <c r="AH191" i="29" s="1"/>
  <c r="V77" i="29"/>
  <c r="X77" i="29" s="1"/>
  <c r="Y77" i="29" s="1"/>
  <c r="V47" i="29"/>
  <c r="X47" i="29" s="1"/>
  <c r="Y47" i="29" s="1"/>
  <c r="V27" i="29"/>
  <c r="X27" i="29" s="1"/>
  <c r="Y27" i="29" s="1"/>
  <c r="U318" i="29"/>
  <c r="W318" i="29" s="1"/>
  <c r="V307" i="29"/>
  <c r="AH307" i="29" s="1"/>
  <c r="U119" i="29"/>
  <c r="W119" i="29" s="1"/>
  <c r="V160" i="29"/>
  <c r="AH160" i="29" s="1"/>
  <c r="V67" i="29"/>
  <c r="AH67" i="29" s="1"/>
  <c r="V313" i="29"/>
  <c r="X313" i="29" s="1"/>
  <c r="Y313" i="29" s="1"/>
  <c r="V16" i="29"/>
  <c r="X16" i="29" s="1"/>
  <c r="Y16" i="29" s="1"/>
  <c r="U158" i="29"/>
  <c r="W158" i="29" s="1"/>
  <c r="V392" i="29"/>
  <c r="X392" i="29" s="1"/>
  <c r="Y392" i="29" s="1"/>
  <c r="V548" i="29"/>
  <c r="AH548" i="29" s="1"/>
  <c r="U489" i="29"/>
  <c r="W489" i="29" s="1"/>
  <c r="U280" i="29"/>
  <c r="AG280" i="29" s="1"/>
  <c r="U444" i="29"/>
  <c r="AG444" i="29" s="1"/>
  <c r="U132" i="29"/>
  <c r="AG132" i="29" s="1"/>
  <c r="V83" i="29"/>
  <c r="AH83" i="29" s="1"/>
  <c r="V607" i="29"/>
  <c r="AH607" i="29" s="1"/>
  <c r="U492" i="29"/>
  <c r="AG492" i="29" s="1"/>
  <c r="V436" i="29"/>
  <c r="AH436" i="29" s="1"/>
  <c r="U528" i="29"/>
  <c r="AG528" i="29" s="1"/>
  <c r="V517" i="29"/>
  <c r="AH517" i="29" s="1"/>
  <c r="V215" i="29"/>
  <c r="AH215" i="29" s="1"/>
  <c r="V385" i="29"/>
  <c r="X385" i="29" s="1"/>
  <c r="Y385" i="29" s="1"/>
  <c r="U157" i="29"/>
  <c r="W157" i="29" s="1"/>
  <c r="U504" i="29"/>
  <c r="W504" i="29" s="1"/>
  <c r="V458" i="29"/>
  <c r="AH458" i="29" s="1"/>
  <c r="U449" i="29"/>
  <c r="W449" i="29" s="1"/>
  <c r="V237" i="29"/>
  <c r="X237" i="29" s="1"/>
  <c r="Y237" i="29" s="1"/>
  <c r="U226" i="29"/>
  <c r="W226" i="29" s="1"/>
  <c r="V601" i="29"/>
  <c r="AH601" i="29" s="1"/>
  <c r="U595" i="29"/>
  <c r="AG595" i="29" s="1"/>
  <c r="U26" i="29"/>
  <c r="AG26" i="29" s="1"/>
  <c r="V42" i="29"/>
  <c r="AH42" i="29" s="1"/>
  <c r="U265" i="29"/>
  <c r="W265" i="29" s="1"/>
  <c r="U542" i="29"/>
  <c r="AG542" i="29" s="1"/>
  <c r="U565" i="29"/>
  <c r="W565" i="29" s="1"/>
  <c r="U381" i="29"/>
  <c r="W381" i="29" s="1"/>
  <c r="U389" i="29"/>
  <c r="W389" i="29" s="1"/>
  <c r="V396" i="29"/>
  <c r="AH396" i="29" s="1"/>
  <c r="V95" i="29"/>
  <c r="X95" i="29" s="1"/>
  <c r="Y95" i="29" s="1"/>
  <c r="V182" i="29"/>
  <c r="AH182" i="29" s="1"/>
  <c r="V579" i="29"/>
  <c r="AH579" i="29" s="1"/>
  <c r="V269" i="29"/>
  <c r="AH269" i="29" s="1"/>
  <c r="V451" i="29"/>
  <c r="AH451" i="29" s="1"/>
  <c r="V102" i="29"/>
  <c r="X102" i="29" s="1"/>
  <c r="Y102" i="29" s="1"/>
  <c r="U37" i="29"/>
  <c r="AG37" i="29" s="1"/>
  <c r="U421" i="29"/>
  <c r="AG421" i="29" s="1"/>
  <c r="V300" i="29"/>
  <c r="X300" i="29" s="1"/>
  <c r="Y300" i="29" s="1"/>
  <c r="V227" i="29"/>
  <c r="AH227" i="29" s="1"/>
  <c r="V405" i="29"/>
  <c r="X405" i="29" s="1"/>
  <c r="Y405" i="29" s="1"/>
  <c r="U290" i="29"/>
  <c r="W290" i="29" s="1"/>
  <c r="V423" i="29"/>
  <c r="AH423" i="29" s="1"/>
  <c r="U278" i="29"/>
  <c r="AG278" i="29" s="1"/>
  <c r="U525" i="29"/>
  <c r="AG525" i="29" s="1"/>
  <c r="U568" i="29"/>
  <c r="W568" i="29" s="1"/>
  <c r="V126" i="29"/>
  <c r="AH126" i="29" s="1"/>
  <c r="CB162" i="24"/>
  <c r="CF162" i="24"/>
  <c r="U524" i="29"/>
  <c r="W524" i="29" s="1"/>
  <c r="U561" i="29"/>
  <c r="W561" i="29" s="1"/>
  <c r="U255" i="29"/>
  <c r="W255" i="29" s="1"/>
  <c r="V247" i="29"/>
  <c r="AH247" i="29" s="1"/>
  <c r="V134" i="29"/>
  <c r="X134" i="29" s="1"/>
  <c r="Y134" i="29" s="1"/>
  <c r="U287" i="29"/>
  <c r="W287" i="29" s="1"/>
  <c r="U533" i="29"/>
  <c r="AG533" i="29" s="1"/>
  <c r="U573" i="29"/>
  <c r="AG573" i="29" s="1"/>
  <c r="U375" i="29"/>
  <c r="AG375" i="29" s="1"/>
  <c r="U251" i="29"/>
  <c r="AG251" i="29" s="1"/>
  <c r="V51" i="29"/>
  <c r="AH51" i="29" s="1"/>
  <c r="U310" i="29"/>
  <c r="AG310" i="29" s="1"/>
  <c r="V68" i="29"/>
  <c r="AH68" i="29" s="1"/>
  <c r="V282" i="29"/>
  <c r="AH282" i="29" s="1"/>
  <c r="U369" i="29"/>
  <c r="AG369" i="29" s="1"/>
  <c r="U500" i="29"/>
  <c r="W500" i="29" s="1"/>
  <c r="V364" i="29"/>
  <c r="AH364" i="29" s="1"/>
  <c r="V416" i="29"/>
  <c r="X416" i="29" s="1"/>
  <c r="Y416" i="29" s="1"/>
  <c r="U15" i="29"/>
  <c r="AG15" i="29" s="1"/>
  <c r="U296" i="29"/>
  <c r="W296" i="29" s="1"/>
  <c r="V386" i="29"/>
  <c r="X386" i="29" s="1"/>
  <c r="Y386" i="29" s="1"/>
  <c r="U31" i="29"/>
  <c r="W31" i="29" s="1"/>
  <c r="V491" i="29"/>
  <c r="AH491" i="29" s="1"/>
  <c r="V211" i="29"/>
  <c r="AH211" i="29" s="1"/>
  <c r="U75" i="29"/>
  <c r="AG75" i="29" s="1"/>
  <c r="U534" i="29"/>
  <c r="W534" i="29" s="1"/>
  <c r="V399" i="29"/>
  <c r="AH399" i="29" s="1"/>
  <c r="U82" i="29"/>
  <c r="AG82" i="29" s="1"/>
  <c r="V570" i="29"/>
  <c r="AH570" i="29" s="1"/>
  <c r="U459" i="29"/>
  <c r="W459" i="29" s="1"/>
  <c r="V549" i="29"/>
  <c r="AH549" i="29" s="1"/>
  <c r="U99" i="29"/>
  <c r="AG99" i="29" s="1"/>
  <c r="U527" i="29"/>
  <c r="W527" i="29" s="1"/>
  <c r="U312" i="29"/>
  <c r="AG312" i="29" s="1"/>
  <c r="U314" i="29"/>
  <c r="W314" i="29" s="1"/>
  <c r="U431" i="29"/>
  <c r="AG431" i="29" s="1"/>
  <c r="V131" i="29"/>
  <c r="X131" i="29" s="1"/>
  <c r="Y131" i="29" s="1"/>
  <c r="U55" i="29"/>
  <c r="W55" i="29" s="1"/>
  <c r="V425" i="29"/>
  <c r="AH425" i="29" s="1"/>
  <c r="V394" i="29"/>
  <c r="X394" i="29" s="1"/>
  <c r="Y394" i="29" s="1"/>
  <c r="U143" i="29"/>
  <c r="W143" i="29" s="1"/>
  <c r="V482" i="29"/>
  <c r="X482" i="29" s="1"/>
  <c r="Y482" i="29" s="1"/>
  <c r="V487" i="29"/>
  <c r="AH487" i="29" s="1"/>
  <c r="U564" i="29"/>
  <c r="W564" i="29" s="1"/>
  <c r="V419" i="29"/>
  <c r="AH419" i="29" s="1"/>
  <c r="U173" i="29"/>
  <c r="W173" i="29" s="1"/>
  <c r="V420" i="29"/>
  <c r="AH420" i="29" s="1"/>
  <c r="U121" i="29"/>
  <c r="W121" i="29" s="1"/>
  <c r="V545" i="29"/>
  <c r="X545" i="29" s="1"/>
  <c r="Y545" i="29" s="1"/>
  <c r="V28" i="29"/>
  <c r="X28" i="29" s="1"/>
  <c r="Y28" i="29" s="1"/>
  <c r="V496" i="29"/>
  <c r="AH496" i="29" s="1"/>
  <c r="U441" i="29"/>
  <c r="AG441" i="29" s="1"/>
  <c r="BY117" i="24"/>
  <c r="CA117" i="24" s="1"/>
  <c r="U213" i="29"/>
  <c r="AG213" i="29" s="1"/>
  <c r="V372" i="29"/>
  <c r="AH372" i="29" s="1"/>
  <c r="U209" i="29"/>
  <c r="W209" i="29" s="1"/>
  <c r="V62" i="29"/>
  <c r="AH62" i="29" s="1"/>
  <c r="U495" i="29"/>
  <c r="AG495" i="29" s="1"/>
  <c r="U335" i="29"/>
  <c r="AG335" i="29" s="1"/>
  <c r="U360" i="29"/>
  <c r="AG360" i="29" s="1"/>
  <c r="V196" i="29"/>
  <c r="X196" i="29" s="1"/>
  <c r="Y196" i="29" s="1"/>
  <c r="V311" i="29"/>
  <c r="AH311" i="29" s="1"/>
  <c r="V162" i="29"/>
  <c r="AH162" i="29" s="1"/>
  <c r="V288" i="29"/>
  <c r="AH288" i="29" s="1"/>
  <c r="V129" i="29"/>
  <c r="AH129" i="29" s="1"/>
  <c r="BE237" i="25"/>
  <c r="BR237" i="25"/>
  <c r="BX237" i="25" s="1"/>
  <c r="V176" i="29"/>
  <c r="X176" i="29" s="1"/>
  <c r="Y176" i="29" s="1"/>
  <c r="AR212" i="25"/>
  <c r="CE212" i="25"/>
  <c r="BH212" i="25"/>
  <c r="BW212" i="25"/>
  <c r="BU212" i="25"/>
  <c r="BF212" i="25"/>
  <c r="BR77" i="25"/>
  <c r="BV77" i="25" s="1"/>
  <c r="BX77" i="25" s="1"/>
  <c r="BE77" i="25"/>
  <c r="BK77" i="25" s="1"/>
  <c r="CF279" i="24"/>
  <c r="AH24" i="29"/>
  <c r="X24" i="29"/>
  <c r="Y24" i="29" s="1"/>
  <c r="BN16" i="24"/>
  <c r="BY16" i="24"/>
  <c r="CA16" i="24" s="1"/>
  <c r="CB16" i="24" s="1"/>
  <c r="BE191" i="25"/>
  <c r="BR191" i="25"/>
  <c r="BX191" i="25" s="1"/>
  <c r="X455" i="29"/>
  <c r="Y455" i="29" s="1"/>
  <c r="AH455" i="29"/>
  <c r="X116" i="29"/>
  <c r="Y116" i="29" s="1"/>
  <c r="AH116" i="29"/>
  <c r="BY311" i="24"/>
  <c r="CA311" i="24" s="1"/>
  <c r="BM311" i="24"/>
  <c r="BN311" i="24" s="1"/>
  <c r="BR225" i="25"/>
  <c r="BX225" i="25" s="1"/>
  <c r="BE225" i="25"/>
  <c r="BR58" i="25"/>
  <c r="BV58" i="25" s="1"/>
  <c r="BX58" i="25" s="1"/>
  <c r="BE58" i="25"/>
  <c r="BK58" i="25" s="1"/>
  <c r="BY72" i="24"/>
  <c r="CA72" i="24" s="1"/>
  <c r="CB72" i="24" s="1"/>
  <c r="BN72" i="24"/>
  <c r="AH606" i="29"/>
  <c r="X606" i="29"/>
  <c r="Y606" i="29" s="1"/>
  <c r="AH584" i="29"/>
  <c r="X584" i="29"/>
  <c r="Y584" i="29" s="1"/>
  <c r="W355" i="29"/>
  <c r="AG355" i="29"/>
  <c r="X270" i="29"/>
  <c r="Y270" i="29" s="1"/>
  <c r="AH270" i="29"/>
  <c r="X248" i="29"/>
  <c r="Y248" i="29" s="1"/>
  <c r="AH248" i="29"/>
  <c r="X133" i="29"/>
  <c r="Y133" i="29" s="1"/>
  <c r="AH133" i="29"/>
  <c r="AG408" i="29"/>
  <c r="W408" i="29"/>
  <c r="W392" i="29"/>
  <c r="AG392" i="29"/>
  <c r="X290" i="29"/>
  <c r="Y290" i="29" s="1"/>
  <c r="AH290" i="29"/>
  <c r="AH143" i="29"/>
  <c r="X143" i="29"/>
  <c r="Y143" i="29" s="1"/>
  <c r="AG404" i="29"/>
  <c r="W404" i="29"/>
  <c r="AG35" i="29"/>
  <c r="W35" i="29"/>
  <c r="W423" i="29"/>
  <c r="AG423" i="29"/>
  <c r="X611" i="29"/>
  <c r="Y611" i="29" s="1"/>
  <c r="AH611" i="29"/>
  <c r="BY303" i="24"/>
  <c r="CA303" i="24" s="1"/>
  <c r="CB303" i="24" s="1"/>
  <c r="BM303" i="24"/>
  <c r="BN303" i="24" s="1"/>
  <c r="BY92" i="24"/>
  <c r="CA92" i="24" s="1"/>
  <c r="BN92" i="24"/>
  <c r="BN102" i="24"/>
  <c r="BY102" i="24"/>
  <c r="CA102" i="24" s="1"/>
  <c r="BY235" i="24"/>
  <c r="CA235" i="24" s="1"/>
  <c r="CB235" i="24" s="1"/>
  <c r="BM235" i="24"/>
  <c r="BN235" i="24" s="1"/>
  <c r="BY113" i="25"/>
  <c r="CA113" i="25" s="1"/>
  <c r="BL113" i="25"/>
  <c r="BK113" i="25"/>
  <c r="BE200" i="25"/>
  <c r="BR200" i="25"/>
  <c r="BX200" i="25" s="1"/>
  <c r="BE80" i="25"/>
  <c r="BK80" i="25" s="1"/>
  <c r="BR80" i="25"/>
  <c r="BV80" i="25" s="1"/>
  <c r="BX80" i="25" s="1"/>
  <c r="BE188" i="25"/>
  <c r="BR188" i="25"/>
  <c r="BX188" i="25" s="1"/>
  <c r="BL276" i="25"/>
  <c r="BY276" i="25"/>
  <c r="CA276" i="25" s="1"/>
  <c r="CB276" i="25" s="1"/>
  <c r="BK276" i="25"/>
  <c r="W257" i="29"/>
  <c r="AG257" i="29"/>
  <c r="AG118" i="29"/>
  <c r="W118" i="29"/>
  <c r="W135" i="29"/>
  <c r="AG135" i="29"/>
  <c r="AH406" i="29"/>
  <c r="X406" i="29"/>
  <c r="Y406" i="29" s="1"/>
  <c r="AG124" i="29"/>
  <c r="W124" i="29"/>
  <c r="AG66" i="29"/>
  <c r="W66" i="29"/>
  <c r="AG535" i="29"/>
  <c r="W535" i="29"/>
  <c r="AH583" i="29"/>
  <c r="X583" i="29"/>
  <c r="Y583" i="29" s="1"/>
  <c r="X277" i="29"/>
  <c r="Y277" i="29" s="1"/>
  <c r="AH277" i="29"/>
  <c r="W208" i="29"/>
  <c r="AG208" i="29"/>
  <c r="W457" i="29"/>
  <c r="AG457" i="29"/>
  <c r="W499" i="29"/>
  <c r="AG499" i="29"/>
  <c r="AH278" i="29"/>
  <c r="X278" i="29"/>
  <c r="Y278" i="29" s="1"/>
  <c r="AG482" i="29"/>
  <c r="W482" i="29"/>
  <c r="AG487" i="29"/>
  <c r="W487" i="29"/>
  <c r="X123" i="29"/>
  <c r="Y123" i="29" s="1"/>
  <c r="AH123" i="29"/>
  <c r="AH412" i="29"/>
  <c r="X412" i="29"/>
  <c r="Y412" i="29" s="1"/>
  <c r="AG415" i="29"/>
  <c r="W415" i="29"/>
  <c r="BE159" i="25"/>
  <c r="BR159" i="25"/>
  <c r="BX159" i="25" s="1"/>
  <c r="BE256" i="25"/>
  <c r="BR256" i="25"/>
  <c r="BX256" i="25" s="1"/>
  <c r="BR42" i="25"/>
  <c r="BV42" i="25" s="1"/>
  <c r="BX42" i="25" s="1"/>
  <c r="BE42" i="25"/>
  <c r="BK42" i="25" s="1"/>
  <c r="BY183" i="24"/>
  <c r="CA183" i="24" s="1"/>
  <c r="CB183" i="24" s="1"/>
  <c r="BM183" i="24"/>
  <c r="BN183" i="24" s="1"/>
  <c r="BE266" i="25"/>
  <c r="BR266" i="25"/>
  <c r="BX266" i="25" s="1"/>
  <c r="BY237" i="24"/>
  <c r="CA237" i="24" s="1"/>
  <c r="CB237" i="24" s="1"/>
  <c r="BM237" i="24"/>
  <c r="BN237" i="24" s="1"/>
  <c r="AG384" i="29"/>
  <c r="W384" i="29"/>
  <c r="W303" i="29"/>
  <c r="AG303" i="29"/>
  <c r="BY37" i="24"/>
  <c r="CA37" i="24" s="1"/>
  <c r="CB37" i="24" s="1"/>
  <c r="BN37" i="24"/>
  <c r="BY78" i="24"/>
  <c r="CA78" i="24" s="1"/>
  <c r="BN78" i="24"/>
  <c r="BL198" i="25"/>
  <c r="BY198" i="25"/>
  <c r="CA198" i="25" s="1"/>
  <c r="BK198" i="25"/>
  <c r="BE264" i="25"/>
  <c r="BR264" i="25"/>
  <c r="BX264" i="25" s="1"/>
  <c r="BL104" i="25"/>
  <c r="BY104" i="25"/>
  <c r="CA104" i="25" s="1"/>
  <c r="BE235" i="25"/>
  <c r="BR235" i="25"/>
  <c r="BX235" i="25" s="1"/>
  <c r="AG456" i="29"/>
  <c r="W456" i="29"/>
  <c r="AH341" i="29"/>
  <c r="X341" i="29"/>
  <c r="Y341" i="29" s="1"/>
  <c r="X252" i="29"/>
  <c r="Y252" i="29" s="1"/>
  <c r="AH252" i="29"/>
  <c r="AG436" i="29"/>
  <c r="W436" i="29"/>
  <c r="W40" i="29"/>
  <c r="AG40" i="29"/>
  <c r="AG57" i="29"/>
  <c r="W57" i="29"/>
  <c r="AG272" i="29"/>
  <c r="W272" i="29"/>
  <c r="AH398" i="29"/>
  <c r="X398" i="29"/>
  <c r="Y398" i="29" s="1"/>
  <c r="W114" i="29"/>
  <c r="AG114" i="29"/>
  <c r="AG578" i="29"/>
  <c r="W578" i="29"/>
  <c r="AG334" i="29"/>
  <c r="W334" i="29"/>
  <c r="X490" i="29"/>
  <c r="Y490" i="29" s="1"/>
  <c r="AH490" i="29"/>
  <c r="X365" i="29"/>
  <c r="Y365" i="29" s="1"/>
  <c r="AH365" i="29"/>
  <c r="AG293" i="29"/>
  <c r="W293" i="29"/>
  <c r="AH187" i="29"/>
  <c r="X187" i="29"/>
  <c r="Y187" i="29" s="1"/>
  <c r="BE127" i="25"/>
  <c r="BR127" i="25"/>
  <c r="BX127" i="25" s="1"/>
  <c r="BR49" i="25"/>
  <c r="BV49" i="25" s="1"/>
  <c r="BX49" i="25" s="1"/>
  <c r="BE49" i="25"/>
  <c r="BK49" i="25" s="1"/>
  <c r="BY251" i="24"/>
  <c r="CA251" i="24" s="1"/>
  <c r="CB251" i="24" s="1"/>
  <c r="BM251" i="24"/>
  <c r="BN251" i="24" s="1"/>
  <c r="BY67" i="24"/>
  <c r="CA67" i="24" s="1"/>
  <c r="CB67" i="24" s="1"/>
  <c r="BN67" i="24"/>
  <c r="BE222" i="25"/>
  <c r="BR222" i="25"/>
  <c r="BX222" i="25" s="1"/>
  <c r="BY177" i="24"/>
  <c r="CA177" i="24" s="1"/>
  <c r="CB177" i="24" s="1"/>
  <c r="BM177" i="24"/>
  <c r="BN177" i="24" s="1"/>
  <c r="BR98" i="25"/>
  <c r="BV98" i="25" s="1"/>
  <c r="BX98" i="25" s="1"/>
  <c r="BE98" i="25"/>
  <c r="BK98" i="25" s="1"/>
  <c r="BY202" i="24"/>
  <c r="CA202" i="24" s="1"/>
  <c r="BM202" i="24"/>
  <c r="BN202" i="24" s="1"/>
  <c r="BE183" i="25"/>
  <c r="BR183" i="25"/>
  <c r="BX183" i="25" s="1"/>
  <c r="BE151" i="25"/>
  <c r="BR151" i="25"/>
  <c r="BX151" i="25" s="1"/>
  <c r="AG402" i="29"/>
  <c r="W402" i="29"/>
  <c r="AG544" i="29"/>
  <c r="W544" i="29"/>
  <c r="AG313" i="29"/>
  <c r="W313" i="29"/>
  <c r="AH442" i="29"/>
  <c r="X442" i="29"/>
  <c r="Y442" i="29" s="1"/>
  <c r="AH598" i="29"/>
  <c r="X598" i="29"/>
  <c r="Y598" i="29" s="1"/>
  <c r="AG409" i="29"/>
  <c r="W409" i="29"/>
  <c r="AH587" i="29"/>
  <c r="X587" i="29"/>
  <c r="Y587" i="29" s="1"/>
  <c r="AG577" i="29"/>
  <c r="W577" i="29"/>
  <c r="AG591" i="29"/>
  <c r="W591" i="29"/>
  <c r="AH185" i="29"/>
  <c r="X185" i="29"/>
  <c r="Y185" i="29" s="1"/>
  <c r="W268" i="29"/>
  <c r="AG268" i="29"/>
  <c r="AH86" i="29"/>
  <c r="X86" i="29"/>
  <c r="Y86" i="29" s="1"/>
  <c r="W543" i="29"/>
  <c r="AG543" i="29"/>
  <c r="X148" i="29"/>
  <c r="Y148" i="29" s="1"/>
  <c r="AH148" i="29"/>
  <c r="X230" i="29"/>
  <c r="Y230" i="29" s="1"/>
  <c r="AH230" i="29"/>
  <c r="X609" i="29"/>
  <c r="Y609" i="29" s="1"/>
  <c r="AH609" i="29"/>
  <c r="X511" i="29"/>
  <c r="Y511" i="29" s="1"/>
  <c r="AH511" i="29"/>
  <c r="BY95" i="24"/>
  <c r="CA95" i="24" s="1"/>
  <c r="CB95" i="24" s="1"/>
  <c r="BN95" i="24"/>
  <c r="BN84" i="24"/>
  <c r="BY84" i="24"/>
  <c r="CA84" i="24" s="1"/>
  <c r="BE47" i="25"/>
  <c r="BK47" i="25" s="1"/>
  <c r="BR47" i="25"/>
  <c r="BV47" i="25" s="1"/>
  <c r="BX47" i="25" s="1"/>
  <c r="BE180" i="25"/>
  <c r="BR180" i="25"/>
  <c r="BX180" i="25" s="1"/>
  <c r="BR61" i="25"/>
  <c r="BV61" i="25" s="1"/>
  <c r="BX61" i="25" s="1"/>
  <c r="BE61" i="25"/>
  <c r="BK61" i="25" s="1"/>
  <c r="BY304" i="24"/>
  <c r="CA304" i="24" s="1"/>
  <c r="CB304" i="24" s="1"/>
  <c r="BM304" i="24"/>
  <c r="BN304" i="24" s="1"/>
  <c r="BE133" i="25"/>
  <c r="BR133" i="25"/>
  <c r="BX133" i="25" s="1"/>
  <c r="BY31" i="25"/>
  <c r="CA31" i="25" s="1"/>
  <c r="BL31" i="25"/>
  <c r="BY258" i="24"/>
  <c r="CA258" i="24" s="1"/>
  <c r="BM258" i="24"/>
  <c r="BN258" i="24" s="1"/>
  <c r="W206" i="29"/>
  <c r="AG206" i="29"/>
  <c r="AG174" i="29"/>
  <c r="W174" i="29"/>
  <c r="AH128" i="29"/>
  <c r="X128" i="29"/>
  <c r="Y128" i="29" s="1"/>
  <c r="AH19" i="29"/>
  <c r="X19" i="29"/>
  <c r="Y19" i="29" s="1"/>
  <c r="AH328" i="29"/>
  <c r="X328" i="29"/>
  <c r="Y328" i="29" s="1"/>
  <c r="AH322" i="29"/>
  <c r="X322" i="29"/>
  <c r="Y322" i="29" s="1"/>
  <c r="W393" i="29"/>
  <c r="AG393" i="29"/>
  <c r="BY307" i="24"/>
  <c r="CA307" i="24" s="1"/>
  <c r="BM307" i="24"/>
  <c r="BN307" i="24" s="1"/>
  <c r="BL192" i="25"/>
  <c r="BY192" i="25"/>
  <c r="CA192" i="25" s="1"/>
  <c r="BK192" i="25"/>
  <c r="BE35" i="25"/>
  <c r="BK35" i="25" s="1"/>
  <c r="BR35" i="25"/>
  <c r="BV35" i="25" s="1"/>
  <c r="BX35" i="25" s="1"/>
  <c r="BY190" i="25"/>
  <c r="CA190" i="25" s="1"/>
  <c r="BL190" i="25"/>
  <c r="BK190" i="25"/>
  <c r="BN79" i="24"/>
  <c r="BY79" i="24"/>
  <c r="CA79" i="24" s="1"/>
  <c r="BE228" i="25"/>
  <c r="BR228" i="25"/>
  <c r="BX228" i="25" s="1"/>
  <c r="BY176" i="24"/>
  <c r="CA176" i="24" s="1"/>
  <c r="CB176" i="24" s="1"/>
  <c r="BM176" i="24"/>
  <c r="BN176" i="24" s="1"/>
  <c r="BE288" i="25"/>
  <c r="BR288" i="25"/>
  <c r="BX288" i="25" s="1"/>
  <c r="BN32" i="24"/>
  <c r="BY32" i="24"/>
  <c r="CA32" i="24" s="1"/>
  <c r="BY218" i="24"/>
  <c r="CA218" i="24" s="1"/>
  <c r="BM218" i="24"/>
  <c r="BN218" i="24" s="1"/>
  <c r="AG327" i="29"/>
  <c r="W327" i="29"/>
  <c r="BY15" i="24"/>
  <c r="CA15" i="24" s="1"/>
  <c r="CB15" i="24" s="1"/>
  <c r="B288" i="2" s="1"/>
  <c r="BN15" i="24"/>
  <c r="BY131" i="25"/>
  <c r="CA131" i="25" s="1"/>
  <c r="CB131" i="25" s="1"/>
  <c r="BL131" i="25"/>
  <c r="BK131" i="25"/>
  <c r="BR7" i="25"/>
  <c r="BV7" i="25" s="1"/>
  <c r="BX7" i="25" s="1"/>
  <c r="BE7" i="25"/>
  <c r="BK7" i="25" s="1"/>
  <c r="BR60" i="25"/>
  <c r="BV60" i="25" s="1"/>
  <c r="BX60" i="25" s="1"/>
  <c r="BE60" i="25"/>
  <c r="BK60" i="25" s="1"/>
  <c r="BN56" i="24"/>
  <c r="BY56" i="24"/>
  <c r="CA56" i="24" s="1"/>
  <c r="BE176" i="25"/>
  <c r="BR176" i="25"/>
  <c r="BX176" i="25" s="1"/>
  <c r="BN70" i="24"/>
  <c r="BY70" i="24"/>
  <c r="CA70" i="24" s="1"/>
  <c r="CB70" i="24" s="1"/>
  <c r="AG416" i="29"/>
  <c r="W416" i="29"/>
  <c r="AG346" i="29"/>
  <c r="W346" i="29"/>
  <c r="AH55" i="29"/>
  <c r="X55" i="29"/>
  <c r="Y55" i="29" s="1"/>
  <c r="X201" i="29"/>
  <c r="Y201" i="29" s="1"/>
  <c r="AH201" i="29"/>
  <c r="X599" i="29"/>
  <c r="Y599" i="29" s="1"/>
  <c r="AH599" i="29"/>
  <c r="W65" i="29"/>
  <c r="AG65" i="29"/>
  <c r="AH460" i="29"/>
  <c r="X460" i="29"/>
  <c r="Y460" i="29" s="1"/>
  <c r="AG425" i="29"/>
  <c r="W425" i="29"/>
  <c r="W575" i="29"/>
  <c r="AG575" i="29"/>
  <c r="W171" i="29"/>
  <c r="AG171" i="29"/>
  <c r="AG438" i="29"/>
  <c r="W438" i="29"/>
  <c r="AH99" i="29"/>
  <c r="X99" i="29"/>
  <c r="Y99" i="29" s="1"/>
  <c r="AG176" i="29"/>
  <c r="W176" i="29"/>
  <c r="AG476" i="29"/>
  <c r="W476" i="29"/>
  <c r="BY281" i="24"/>
  <c r="CA281" i="24" s="1"/>
  <c r="BM281" i="24"/>
  <c r="BN281" i="24" s="1"/>
  <c r="BE249" i="25"/>
  <c r="BR249" i="25"/>
  <c r="BX249" i="25" s="1"/>
  <c r="BY42" i="24"/>
  <c r="CA42" i="24" s="1"/>
  <c r="CB42" i="24" s="1"/>
  <c r="BN42" i="24"/>
  <c r="BY268" i="24"/>
  <c r="CA268" i="24" s="1"/>
  <c r="BM268" i="24"/>
  <c r="BN268" i="24" s="1"/>
  <c r="BY189" i="24"/>
  <c r="CA189" i="24" s="1"/>
  <c r="CB189" i="24" s="1"/>
  <c r="BM189" i="24"/>
  <c r="BN189" i="24" s="1"/>
  <c r="BR64" i="25"/>
  <c r="BV64" i="25" s="1"/>
  <c r="BX64" i="25" s="1"/>
  <c r="BE64" i="25"/>
  <c r="BK64" i="25" s="1"/>
  <c r="BY165" i="24"/>
  <c r="CA165" i="24" s="1"/>
  <c r="BM165" i="24"/>
  <c r="BN165" i="24" s="1"/>
  <c r="AH61" i="29"/>
  <c r="X61" i="29"/>
  <c r="Y61" i="29" s="1"/>
  <c r="BE115" i="25"/>
  <c r="BR115" i="25"/>
  <c r="BX115" i="25" s="1"/>
  <c r="BN100" i="24"/>
  <c r="BY100" i="24"/>
  <c r="CA100" i="24" s="1"/>
  <c r="CB100" i="24" s="1"/>
  <c r="BY172" i="24"/>
  <c r="CA172" i="24" s="1"/>
  <c r="BM172" i="24"/>
  <c r="BN172" i="24" s="1"/>
  <c r="AH210" i="29"/>
  <c r="X210" i="29"/>
  <c r="Y210" i="29" s="1"/>
  <c r="BY306" i="24"/>
  <c r="CA306" i="24" s="1"/>
  <c r="BM306" i="24"/>
  <c r="BN306" i="24" s="1"/>
  <c r="BY51" i="24"/>
  <c r="CA51" i="24" s="1"/>
  <c r="CB51" i="24" s="1"/>
  <c r="BN51" i="24"/>
  <c r="BE279" i="25"/>
  <c r="BR279" i="25"/>
  <c r="BX279" i="25" s="1"/>
  <c r="BY57" i="24"/>
  <c r="CA57" i="24" s="1"/>
  <c r="CB57" i="24" s="1"/>
  <c r="BN57" i="24"/>
  <c r="AG74" i="29"/>
  <c r="W74" i="29"/>
  <c r="W508" i="29"/>
  <c r="AG508" i="29"/>
  <c r="AH286" i="29"/>
  <c r="X286" i="29"/>
  <c r="Y286" i="29" s="1"/>
  <c r="AH560" i="29"/>
  <c r="X560" i="29"/>
  <c r="Y560" i="29" s="1"/>
  <c r="AH25" i="29"/>
  <c r="X25" i="29"/>
  <c r="Y25" i="29" s="1"/>
  <c r="BY315" i="24"/>
  <c r="CA315" i="24" s="1"/>
  <c r="BM315" i="24"/>
  <c r="BN315" i="24" s="1"/>
  <c r="BE316" i="25"/>
  <c r="BR316" i="25"/>
  <c r="BX316" i="25" s="1"/>
  <c r="BE219" i="25"/>
  <c r="BR219" i="25"/>
  <c r="BX219" i="25" s="1"/>
  <c r="BR15" i="25"/>
  <c r="BV15" i="25" s="1"/>
  <c r="BX15" i="25" s="1"/>
  <c r="BE15" i="25"/>
  <c r="BK15" i="25" s="1"/>
  <c r="BY148" i="25"/>
  <c r="CA148" i="25" s="1"/>
  <c r="CB148" i="25" s="1"/>
  <c r="BL148" i="25"/>
  <c r="BK148" i="25"/>
  <c r="BE284" i="25"/>
  <c r="BR284" i="25"/>
  <c r="BX284" i="25" s="1"/>
  <c r="BY29" i="24"/>
  <c r="CA29" i="24" s="1"/>
  <c r="CB29" i="24" s="1"/>
  <c r="BN29" i="24"/>
  <c r="BY256" i="24"/>
  <c r="CA256" i="24" s="1"/>
  <c r="BM256" i="24"/>
  <c r="BN256" i="24" s="1"/>
  <c r="BY122" i="24"/>
  <c r="CA122" i="24" s="1"/>
  <c r="CB122" i="24" s="1"/>
  <c r="BM122" i="24"/>
  <c r="BN122" i="24" s="1"/>
  <c r="BL189" i="25"/>
  <c r="BY189" i="25"/>
  <c r="CA189" i="25" s="1"/>
  <c r="BK189" i="25"/>
  <c r="BR128" i="25"/>
  <c r="BX128" i="25" s="1"/>
  <c r="BE128" i="25"/>
  <c r="AH509" i="29"/>
  <c r="X509" i="29"/>
  <c r="Y509" i="29" s="1"/>
  <c r="X52" i="29"/>
  <c r="Y52" i="29" s="1"/>
  <c r="AH52" i="29"/>
  <c r="AH90" i="29"/>
  <c r="X90" i="29"/>
  <c r="Y90" i="29" s="1"/>
  <c r="AH216" i="29"/>
  <c r="X216" i="29"/>
  <c r="Y216" i="29" s="1"/>
  <c r="W367" i="29"/>
  <c r="AG367" i="29"/>
  <c r="BE25" i="25"/>
  <c r="BK25" i="25" s="1"/>
  <c r="BR25" i="25"/>
  <c r="BV25" i="25" s="1"/>
  <c r="BX25" i="25" s="1"/>
  <c r="BR9" i="25"/>
  <c r="BV9" i="25" s="1"/>
  <c r="BX9" i="25" s="1"/>
  <c r="BE9" i="25"/>
  <c r="BK9" i="25" s="1"/>
  <c r="BY167" i="25"/>
  <c r="CA167" i="25" s="1"/>
  <c r="CB167" i="25" s="1"/>
  <c r="BL167" i="25"/>
  <c r="BK167" i="25"/>
  <c r="BY178" i="24"/>
  <c r="CA178" i="24" s="1"/>
  <c r="BM178" i="24"/>
  <c r="BN178" i="24" s="1"/>
  <c r="BR236" i="25"/>
  <c r="BX236" i="25" s="1"/>
  <c r="BE236" i="25"/>
  <c r="BY161" i="25"/>
  <c r="CA161" i="25" s="1"/>
  <c r="BL161" i="25"/>
  <c r="BK161" i="25"/>
  <c r="BY289" i="24"/>
  <c r="CA289" i="24" s="1"/>
  <c r="CB289" i="24" s="1"/>
  <c r="BM289" i="24"/>
  <c r="BN289" i="24" s="1"/>
  <c r="BY139" i="24"/>
  <c r="CA139" i="24" s="1"/>
  <c r="BM139" i="24"/>
  <c r="BN139" i="24" s="1"/>
  <c r="BE244" i="25"/>
  <c r="BR244" i="25"/>
  <c r="BX244" i="25" s="1"/>
  <c r="AH183" i="29"/>
  <c r="X183" i="29"/>
  <c r="Y183" i="29" s="1"/>
  <c r="AH200" i="29"/>
  <c r="X200" i="29"/>
  <c r="Y200" i="29" s="1"/>
  <c r="AH173" i="29"/>
  <c r="X173" i="29"/>
  <c r="Y173" i="29" s="1"/>
  <c r="W420" i="29"/>
  <c r="AG420" i="29"/>
  <c r="AH121" i="29"/>
  <c r="X121" i="29"/>
  <c r="Y121" i="29" s="1"/>
  <c r="W605" i="29"/>
  <c r="AG605" i="29"/>
  <c r="AG273" i="29"/>
  <c r="W273" i="29"/>
  <c r="AH107" i="29"/>
  <c r="X107" i="29"/>
  <c r="Y107" i="29" s="1"/>
  <c r="AG607" i="29"/>
  <c r="W607" i="29"/>
  <c r="W323" i="29"/>
  <c r="AG323" i="29"/>
  <c r="W269" i="29"/>
  <c r="AG269" i="29"/>
  <c r="W68" i="29"/>
  <c r="AG68" i="29"/>
  <c r="AH439" i="29"/>
  <c r="X439" i="29"/>
  <c r="Y439" i="29" s="1"/>
  <c r="W545" i="29"/>
  <c r="AG545" i="29"/>
  <c r="X170" i="29"/>
  <c r="Y170" i="29" s="1"/>
  <c r="AH170" i="29"/>
  <c r="X465" i="29"/>
  <c r="Y465" i="29" s="1"/>
  <c r="AH465" i="29"/>
  <c r="X49" i="29"/>
  <c r="Y49" i="29" s="1"/>
  <c r="AH49" i="29"/>
  <c r="BY6" i="25"/>
  <c r="CA6" i="25" s="1"/>
  <c r="BL6" i="25"/>
  <c r="BY10" i="24"/>
  <c r="CA10" i="24" s="1"/>
  <c r="CB10" i="24" s="1"/>
  <c r="BN10" i="24"/>
  <c r="BE251" i="25"/>
  <c r="BR251" i="25"/>
  <c r="BX251" i="25" s="1"/>
  <c r="AH588" i="29"/>
  <c r="X588" i="29"/>
  <c r="Y588" i="29" s="1"/>
  <c r="AH326" i="29"/>
  <c r="X326" i="29"/>
  <c r="Y326" i="29" s="1"/>
  <c r="AH366" i="29"/>
  <c r="X366" i="29"/>
  <c r="Y366" i="29" s="1"/>
  <c r="AH223" i="29"/>
  <c r="X223" i="29"/>
  <c r="Y223" i="29" s="1"/>
  <c r="AH238" i="29"/>
  <c r="X238" i="29"/>
  <c r="Y238" i="29" s="1"/>
  <c r="BE311" i="25"/>
  <c r="BR311" i="25"/>
  <c r="BX311" i="25" s="1"/>
  <c r="BE120" i="25"/>
  <c r="BR120" i="25"/>
  <c r="BX120" i="25" s="1"/>
  <c r="BY155" i="24"/>
  <c r="CA155" i="24" s="1"/>
  <c r="CB155" i="24" s="1"/>
  <c r="BM155" i="24"/>
  <c r="BN155" i="24" s="1"/>
  <c r="BR83" i="25"/>
  <c r="BV83" i="25" s="1"/>
  <c r="BX83" i="25" s="1"/>
  <c r="BE83" i="25"/>
  <c r="BK83" i="25" s="1"/>
  <c r="BR207" i="25"/>
  <c r="BX207" i="25" s="1"/>
  <c r="BE207" i="25"/>
  <c r="BY179" i="24"/>
  <c r="CA179" i="24" s="1"/>
  <c r="BM179" i="24"/>
  <c r="BN179" i="24" s="1"/>
  <c r="BY269" i="24"/>
  <c r="CA269" i="24" s="1"/>
  <c r="BM269" i="24"/>
  <c r="BN269" i="24" s="1"/>
  <c r="BE118" i="25"/>
  <c r="BR118" i="25"/>
  <c r="BX118" i="25" s="1"/>
  <c r="BN85" i="24"/>
  <c r="BY85" i="24"/>
  <c r="CA85" i="24" s="1"/>
  <c r="CB85" i="24" s="1"/>
  <c r="AG601" i="29"/>
  <c r="W601" i="29"/>
  <c r="AG413" i="29"/>
  <c r="W413" i="29"/>
  <c r="AH150" i="29"/>
  <c r="X150" i="29"/>
  <c r="Y150" i="29" s="1"/>
  <c r="AG308" i="29"/>
  <c r="W308" i="29"/>
  <c r="W538" i="29"/>
  <c r="AG538" i="29"/>
  <c r="BY59" i="24"/>
  <c r="CA59" i="24" s="1"/>
  <c r="CB59" i="24" s="1"/>
  <c r="BN59" i="24"/>
  <c r="BL273" i="25"/>
  <c r="BY273" i="25"/>
  <c r="CA273" i="25" s="1"/>
  <c r="CB273" i="25" s="1"/>
  <c r="BK273" i="25"/>
  <c r="BY255" i="25"/>
  <c r="CA255" i="25" s="1"/>
  <c r="CB255" i="25" s="1"/>
  <c r="BL255" i="25"/>
  <c r="BK255" i="25"/>
  <c r="BY241" i="24"/>
  <c r="CA241" i="24" s="1"/>
  <c r="BM241" i="24"/>
  <c r="BN241" i="24" s="1"/>
  <c r="BY194" i="24"/>
  <c r="CA194" i="24" s="1"/>
  <c r="CB194" i="24" s="1"/>
  <c r="BM194" i="24"/>
  <c r="BN194" i="24" s="1"/>
  <c r="BY286" i="24"/>
  <c r="CA286" i="24" s="1"/>
  <c r="BM286" i="24"/>
  <c r="BN286" i="24" s="1"/>
  <c r="BE140" i="25"/>
  <c r="BR140" i="25"/>
  <c r="BX140" i="25" s="1"/>
  <c r="BY195" i="24"/>
  <c r="CA195" i="24" s="1"/>
  <c r="CB195" i="24" s="1"/>
  <c r="BM195" i="24"/>
  <c r="BN195" i="24" s="1"/>
  <c r="BR205" i="25"/>
  <c r="BX205" i="25" s="1"/>
  <c r="BE205" i="25"/>
  <c r="BY184" i="24"/>
  <c r="CA184" i="24" s="1"/>
  <c r="CB184" i="24" s="1"/>
  <c r="BM184" i="24"/>
  <c r="BN184" i="24" s="1"/>
  <c r="W51" i="29"/>
  <c r="AG51" i="29"/>
  <c r="X533" i="29"/>
  <c r="Y533" i="29" s="1"/>
  <c r="AH533" i="29"/>
  <c r="AH174" i="29"/>
  <c r="X174" i="29"/>
  <c r="Y174" i="29" s="1"/>
  <c r="AH383" i="29"/>
  <c r="X383" i="29"/>
  <c r="Y383" i="29" s="1"/>
  <c r="AG586" i="29"/>
  <c r="W586" i="29"/>
  <c r="W29" i="29"/>
  <c r="AG29" i="29"/>
  <c r="AH448" i="29"/>
  <c r="X448" i="29"/>
  <c r="Y448" i="29" s="1"/>
  <c r="W328" i="29"/>
  <c r="AG328" i="29"/>
  <c r="W276" i="29"/>
  <c r="AG276" i="29"/>
  <c r="AH450" i="29"/>
  <c r="X450" i="29"/>
  <c r="Y450" i="29" s="1"/>
  <c r="W281" i="29"/>
  <c r="AG281" i="29"/>
  <c r="W53" i="29"/>
  <c r="AG53" i="29"/>
  <c r="W47" i="29"/>
  <c r="AG47" i="29"/>
  <c r="BY124" i="24"/>
  <c r="CA124" i="24" s="1"/>
  <c r="CB124" i="24" s="1"/>
  <c r="BM124" i="24"/>
  <c r="BN124" i="24" s="1"/>
  <c r="BE310" i="25"/>
  <c r="BR310" i="25"/>
  <c r="BX310" i="25" s="1"/>
  <c r="BY223" i="24"/>
  <c r="CA223" i="24" s="1"/>
  <c r="BM223" i="24"/>
  <c r="BN223" i="24" s="1"/>
  <c r="BN65" i="24"/>
  <c r="BY65" i="24"/>
  <c r="CA65" i="24" s="1"/>
  <c r="BR208" i="25"/>
  <c r="BX208" i="25" s="1"/>
  <c r="BE208" i="25"/>
  <c r="BY177" i="25"/>
  <c r="CA177" i="25" s="1"/>
  <c r="BL177" i="25"/>
  <c r="BK177" i="25"/>
  <c r="BN103" i="24"/>
  <c r="BY103" i="24"/>
  <c r="CA103" i="24" s="1"/>
  <c r="BL258" i="25"/>
  <c r="BY258" i="25"/>
  <c r="CA258" i="25" s="1"/>
  <c r="CB258" i="25" s="1"/>
  <c r="BK258" i="25"/>
  <c r="AH207" i="29"/>
  <c r="X207" i="29"/>
  <c r="Y207" i="29" s="1"/>
  <c r="AH338" i="29"/>
  <c r="X338" i="29"/>
  <c r="Y338" i="29" s="1"/>
  <c r="X221" i="29"/>
  <c r="Y221" i="29" s="1"/>
  <c r="AH221" i="29"/>
  <c r="AH113" i="29"/>
  <c r="X113" i="29"/>
  <c r="Y113" i="29" s="1"/>
  <c r="AG517" i="29"/>
  <c r="W517" i="29"/>
  <c r="AH421" i="29"/>
  <c r="X421" i="29"/>
  <c r="Y421" i="29" s="1"/>
  <c r="AH557" i="29"/>
  <c r="X557" i="29"/>
  <c r="Y557" i="29" s="1"/>
  <c r="AH350" i="29"/>
  <c r="X350" i="29"/>
  <c r="Y350" i="29" s="1"/>
  <c r="W427" i="29"/>
  <c r="AG427" i="29"/>
  <c r="AG27" i="29"/>
  <c r="W27" i="29"/>
  <c r="AG217" i="29"/>
  <c r="W217" i="29"/>
  <c r="AH522" i="29"/>
  <c r="X522" i="29"/>
  <c r="Y522" i="29" s="1"/>
  <c r="X318" i="29"/>
  <c r="Y318" i="29" s="1"/>
  <c r="AH318" i="29"/>
  <c r="AG227" i="29"/>
  <c r="W227" i="29"/>
  <c r="AG590" i="29"/>
  <c r="W590" i="29"/>
  <c r="AG95" i="29"/>
  <c r="W95" i="29"/>
  <c r="AG152" i="29"/>
  <c r="W152" i="29"/>
  <c r="BY297" i="24"/>
  <c r="CA297" i="24" s="1"/>
  <c r="BM297" i="24"/>
  <c r="BN297" i="24" s="1"/>
  <c r="BY262" i="24"/>
  <c r="CA262" i="24" s="1"/>
  <c r="BM262" i="24"/>
  <c r="BN262" i="24" s="1"/>
  <c r="BY68" i="24"/>
  <c r="CA68" i="24" s="1"/>
  <c r="CB68" i="24" s="1"/>
  <c r="BN68" i="24"/>
  <c r="BE298" i="25"/>
  <c r="BR298" i="25"/>
  <c r="BX298" i="25" s="1"/>
  <c r="BE184" i="25"/>
  <c r="BR184" i="25"/>
  <c r="BX184" i="25" s="1"/>
  <c r="BY200" i="24"/>
  <c r="CA200" i="24" s="1"/>
  <c r="BM200" i="24"/>
  <c r="BN200" i="24" s="1"/>
  <c r="BR250" i="25"/>
  <c r="BX250" i="25" s="1"/>
  <c r="BE250" i="25"/>
  <c r="BY168" i="24"/>
  <c r="CA168" i="24" s="1"/>
  <c r="BM168" i="24"/>
  <c r="BN168" i="24" s="1"/>
  <c r="BY181" i="24"/>
  <c r="CA181" i="24" s="1"/>
  <c r="BM181" i="24"/>
  <c r="BN181" i="24" s="1"/>
  <c r="BR51" i="25"/>
  <c r="BV51" i="25" s="1"/>
  <c r="BX51" i="25" s="1"/>
  <c r="BE51" i="25"/>
  <c r="BK51" i="25" s="1"/>
  <c r="BR286" i="25"/>
  <c r="BX286" i="25" s="1"/>
  <c r="BE286" i="25"/>
  <c r="BY95" i="25"/>
  <c r="CA95" i="25" s="1"/>
  <c r="CB95" i="25" s="1"/>
  <c r="BL95" i="25"/>
  <c r="AG295" i="29"/>
  <c r="W295" i="29"/>
  <c r="AG193" i="29"/>
  <c r="W193" i="29"/>
  <c r="W333" i="29"/>
  <c r="AG333" i="29"/>
  <c r="AG285" i="29"/>
  <c r="W285" i="29"/>
  <c r="X562" i="29"/>
  <c r="Y562" i="29" s="1"/>
  <c r="AH562" i="29"/>
  <c r="AH569" i="29"/>
  <c r="X569" i="29"/>
  <c r="Y569" i="29" s="1"/>
  <c r="AH265" i="29"/>
  <c r="X265" i="29"/>
  <c r="Y265" i="29" s="1"/>
  <c r="BY186" i="24"/>
  <c r="CA186" i="24" s="1"/>
  <c r="BM186" i="24"/>
  <c r="BN186" i="24" s="1"/>
  <c r="BY116" i="24"/>
  <c r="CA116" i="24" s="1"/>
  <c r="CB116" i="24" s="1"/>
  <c r="BM116" i="24"/>
  <c r="BN116" i="24" s="1"/>
  <c r="BL240" i="25"/>
  <c r="BY240" i="25"/>
  <c r="CA240" i="25" s="1"/>
  <c r="CB240" i="25" s="1"/>
  <c r="BK240" i="25"/>
  <c r="AH514" i="29"/>
  <c r="X514" i="29"/>
  <c r="Y514" i="29" s="1"/>
  <c r="AG309" i="29"/>
  <c r="W309" i="29"/>
  <c r="W62" i="29"/>
  <c r="AG62" i="29"/>
  <c r="AH422" i="29"/>
  <c r="X422" i="29"/>
  <c r="Y422" i="29" s="1"/>
  <c r="AH166" i="29"/>
  <c r="X166" i="29"/>
  <c r="Y166" i="29" s="1"/>
  <c r="AG477" i="29"/>
  <c r="W477" i="29"/>
  <c r="X508" i="29"/>
  <c r="Y508" i="29" s="1"/>
  <c r="AH508" i="29"/>
  <c r="X41" i="29"/>
  <c r="Y41" i="29" s="1"/>
  <c r="AH41" i="29"/>
  <c r="AH495" i="29"/>
  <c r="X495" i="29"/>
  <c r="Y495" i="29" s="1"/>
  <c r="AH335" i="29"/>
  <c r="X335" i="29"/>
  <c r="Y335" i="29" s="1"/>
  <c r="AG479" i="29"/>
  <c r="W479" i="29"/>
  <c r="W550" i="29"/>
  <c r="AG550" i="29"/>
  <c r="AH559" i="29"/>
  <c r="X559" i="29"/>
  <c r="Y559" i="29" s="1"/>
  <c r="BY254" i="24"/>
  <c r="CA254" i="24" s="1"/>
  <c r="CB254" i="24" s="1"/>
  <c r="BM254" i="24"/>
  <c r="BN254" i="24" s="1"/>
  <c r="BY210" i="24"/>
  <c r="CA210" i="24" s="1"/>
  <c r="BM210" i="24"/>
  <c r="BN210" i="24" s="1"/>
  <c r="BE99" i="25"/>
  <c r="BK99" i="25" s="1"/>
  <c r="BR99" i="25"/>
  <c r="BV99" i="25" s="1"/>
  <c r="BX99" i="25" s="1"/>
  <c r="BE88" i="25"/>
  <c r="BK88" i="25" s="1"/>
  <c r="BR88" i="25"/>
  <c r="BV88" i="25" s="1"/>
  <c r="BX88" i="25" s="1"/>
  <c r="BY97" i="25"/>
  <c r="CA97" i="25" s="1"/>
  <c r="BL97" i="25"/>
  <c r="BY193" i="24"/>
  <c r="CA193" i="24" s="1"/>
  <c r="BM193" i="24"/>
  <c r="BN193" i="24" s="1"/>
  <c r="BY159" i="24"/>
  <c r="CA159" i="24" s="1"/>
  <c r="CB159" i="24" s="1"/>
  <c r="BM159" i="24"/>
  <c r="BN159" i="24" s="1"/>
  <c r="BE241" i="25"/>
  <c r="BR241" i="25"/>
  <c r="BX241" i="25" s="1"/>
  <c r="BE67" i="25"/>
  <c r="BK67" i="25" s="1"/>
  <c r="BR67" i="25"/>
  <c r="BV67" i="25" s="1"/>
  <c r="BX67" i="25" s="1"/>
  <c r="BY273" i="24"/>
  <c r="CA273" i="24" s="1"/>
  <c r="CB273" i="24" s="1"/>
  <c r="BM273" i="24"/>
  <c r="BN273" i="24" s="1"/>
  <c r="BY161" i="24"/>
  <c r="CA161" i="24" s="1"/>
  <c r="BM161" i="24"/>
  <c r="BN161" i="24" s="1"/>
  <c r="BY166" i="24"/>
  <c r="CA166" i="24" s="1"/>
  <c r="BM166" i="24"/>
  <c r="BN166" i="24" s="1"/>
  <c r="AG80" i="29"/>
  <c r="W80" i="29"/>
  <c r="AH85" i="29"/>
  <c r="X85" i="29"/>
  <c r="Y85" i="29" s="1"/>
  <c r="AH157" i="29"/>
  <c r="X157" i="29"/>
  <c r="Y157" i="29" s="1"/>
  <c r="X426" i="29"/>
  <c r="Y426" i="29" s="1"/>
  <c r="AH426" i="29"/>
  <c r="X434" i="29"/>
  <c r="Y434" i="29" s="1"/>
  <c r="AH434" i="29"/>
  <c r="W509" i="29"/>
  <c r="AG509" i="29"/>
  <c r="AH84" i="29"/>
  <c r="X84" i="29"/>
  <c r="Y84" i="29" s="1"/>
  <c r="AH222" i="29"/>
  <c r="X222" i="29"/>
  <c r="Y222" i="29" s="1"/>
  <c r="AH360" i="29"/>
  <c r="X360" i="29"/>
  <c r="Y360" i="29" s="1"/>
  <c r="AG458" i="29"/>
  <c r="W458" i="29"/>
  <c r="W470" i="29"/>
  <c r="AG470" i="29"/>
  <c r="W196" i="29"/>
  <c r="AG196" i="29"/>
  <c r="AH351" i="29"/>
  <c r="X351" i="29"/>
  <c r="Y351" i="29" s="1"/>
  <c r="AH146" i="29"/>
  <c r="X146" i="29"/>
  <c r="Y146" i="29" s="1"/>
  <c r="W377" i="29"/>
  <c r="AG377" i="29"/>
  <c r="BY134" i="24"/>
  <c r="CA134" i="24" s="1"/>
  <c r="CB134" i="24" s="1"/>
  <c r="BM134" i="24"/>
  <c r="BN134" i="24" s="1"/>
  <c r="BY287" i="24"/>
  <c r="CA287" i="24" s="1"/>
  <c r="BM287" i="24"/>
  <c r="BN287" i="24" s="1"/>
  <c r="BY77" i="24"/>
  <c r="CA77" i="24" s="1"/>
  <c r="CB77" i="24" s="1"/>
  <c r="BN77" i="24"/>
  <c r="BY131" i="24"/>
  <c r="CA131" i="24" s="1"/>
  <c r="CB131" i="24" s="1"/>
  <c r="BM131" i="24"/>
  <c r="BN131" i="24" s="1"/>
  <c r="BE55" i="25"/>
  <c r="BK55" i="25" s="1"/>
  <c r="BR55" i="25"/>
  <c r="BV55" i="25" s="1"/>
  <c r="BX55" i="25" s="1"/>
  <c r="BY263" i="24"/>
  <c r="CA263" i="24" s="1"/>
  <c r="BM263" i="24"/>
  <c r="BN263" i="24" s="1"/>
  <c r="BE166" i="25"/>
  <c r="BR166" i="25"/>
  <c r="BX166" i="25" s="1"/>
  <c r="BE312" i="25"/>
  <c r="BR312" i="25"/>
  <c r="BX312" i="25" s="1"/>
  <c r="X260" i="29"/>
  <c r="Y260" i="29" s="1"/>
  <c r="AH260" i="29"/>
  <c r="AG235" i="29"/>
  <c r="W235" i="29"/>
  <c r="W546" i="29"/>
  <c r="AG546" i="29"/>
  <c r="W454" i="29"/>
  <c r="AG454" i="29"/>
  <c r="AH498" i="29"/>
  <c r="X498" i="29"/>
  <c r="Y498" i="29" s="1"/>
  <c r="AH561" i="29"/>
  <c r="X561" i="29"/>
  <c r="Y561" i="29" s="1"/>
  <c r="W462" i="29"/>
  <c r="AG462" i="29"/>
  <c r="AH523" i="29"/>
  <c r="X523" i="29"/>
  <c r="Y523" i="29" s="1"/>
  <c r="BY245" i="24"/>
  <c r="CA245" i="24" s="1"/>
  <c r="BM245" i="24"/>
  <c r="BN245" i="24" s="1"/>
  <c r="BE226" i="25"/>
  <c r="BR226" i="25"/>
  <c r="BX226" i="25" s="1"/>
  <c r="BE217" i="25"/>
  <c r="BR217" i="25"/>
  <c r="BX217" i="25" s="1"/>
  <c r="BY170" i="24"/>
  <c r="CA170" i="24" s="1"/>
  <c r="BM170" i="24"/>
  <c r="BN170" i="24" s="1"/>
  <c r="BE224" i="25"/>
  <c r="BR224" i="25"/>
  <c r="BX224" i="25" s="1"/>
  <c r="BY255" i="24"/>
  <c r="CA255" i="24" s="1"/>
  <c r="CB255" i="24" s="1"/>
  <c r="BM255" i="24"/>
  <c r="BN255" i="24" s="1"/>
  <c r="W87" i="29"/>
  <c r="AG87" i="29"/>
  <c r="AH294" i="29"/>
  <c r="X294" i="29"/>
  <c r="Y294" i="29" s="1"/>
  <c r="X33" i="29"/>
  <c r="Y33" i="29" s="1"/>
  <c r="AH33" i="29"/>
  <c r="W407" i="29"/>
  <c r="AG407" i="29"/>
  <c r="X137" i="29"/>
  <c r="Y137" i="29" s="1"/>
  <c r="AH137" i="29"/>
  <c r="W247" i="29"/>
  <c r="AG247" i="29"/>
  <c r="AG461" i="29"/>
  <c r="W461" i="29"/>
  <c r="AH291" i="29"/>
  <c r="X291" i="29"/>
  <c r="Y291" i="29" s="1"/>
  <c r="W311" i="29"/>
  <c r="AG311" i="29"/>
  <c r="W162" i="29"/>
  <c r="AG162" i="29"/>
  <c r="AH164" i="29"/>
  <c r="X164" i="29"/>
  <c r="Y164" i="29" s="1"/>
  <c r="AG238" i="29"/>
  <c r="W238" i="29"/>
  <c r="AG400" i="29"/>
  <c r="W400" i="29"/>
  <c r="X480" i="29"/>
  <c r="Y480" i="29" s="1"/>
  <c r="AH480" i="29"/>
  <c r="AH489" i="29"/>
  <c r="X489" i="29"/>
  <c r="Y489" i="29" s="1"/>
  <c r="BY243" i="25"/>
  <c r="CA243" i="25" s="1"/>
  <c r="CB243" i="25" s="1"/>
  <c r="BL243" i="25"/>
  <c r="BK243" i="25"/>
  <c r="BE156" i="25"/>
  <c r="BR156" i="25"/>
  <c r="BX156" i="25" s="1"/>
  <c r="BY89" i="25"/>
  <c r="CA89" i="25" s="1"/>
  <c r="BL89" i="25"/>
  <c r="BE123" i="25"/>
  <c r="BR123" i="25"/>
  <c r="BX123" i="25" s="1"/>
  <c r="BY30" i="25"/>
  <c r="CA30" i="25" s="1"/>
  <c r="BL30" i="25"/>
  <c r="BY288" i="24"/>
  <c r="CA288" i="24" s="1"/>
  <c r="BM288" i="24"/>
  <c r="BN288" i="24" s="1"/>
  <c r="BY173" i="25"/>
  <c r="CA173" i="25" s="1"/>
  <c r="BL173" i="25"/>
  <c r="BK173" i="25"/>
  <c r="BE271" i="25"/>
  <c r="BR271" i="25"/>
  <c r="BX271" i="25" s="1"/>
  <c r="BY276" i="24"/>
  <c r="CA276" i="24" s="1"/>
  <c r="BM276" i="24"/>
  <c r="BN276" i="24" s="1"/>
  <c r="BE111" i="25"/>
  <c r="BR111" i="25"/>
  <c r="BX111" i="25" s="1"/>
  <c r="W267" i="29"/>
  <c r="AG267" i="29"/>
  <c r="AG250" i="29"/>
  <c r="W250" i="29"/>
  <c r="AH528" i="29"/>
  <c r="X528" i="29"/>
  <c r="Y528" i="29" s="1"/>
  <c r="AH369" i="29"/>
  <c r="X369" i="29"/>
  <c r="Y369" i="29" s="1"/>
  <c r="X440" i="29"/>
  <c r="Y440" i="29" s="1"/>
  <c r="AH440" i="29"/>
  <c r="X301" i="29"/>
  <c r="Y301" i="29" s="1"/>
  <c r="AH301" i="29"/>
  <c r="AG39" i="29"/>
  <c r="W39" i="29"/>
  <c r="W320" i="29"/>
  <c r="AG320" i="29"/>
  <c r="X431" i="29"/>
  <c r="Y431" i="29" s="1"/>
  <c r="AH431" i="29"/>
  <c r="AH380" i="29"/>
  <c r="X380" i="29"/>
  <c r="Y380" i="29" s="1"/>
  <c r="AG572" i="29"/>
  <c r="W572" i="29"/>
  <c r="W197" i="29"/>
  <c r="AG197" i="29"/>
  <c r="AG44" i="29"/>
  <c r="W44" i="29"/>
  <c r="AG418" i="29"/>
  <c r="W418" i="29"/>
  <c r="W536" i="29"/>
  <c r="AG536" i="29"/>
  <c r="BE210" i="25"/>
  <c r="BR210" i="25"/>
  <c r="BX210" i="25" s="1"/>
  <c r="BR209" i="25"/>
  <c r="BX209" i="25" s="1"/>
  <c r="BE209" i="25"/>
  <c r="BE53" i="25"/>
  <c r="BK53" i="25" s="1"/>
  <c r="BR53" i="25"/>
  <c r="BV53" i="25" s="1"/>
  <c r="BX53" i="25" s="1"/>
  <c r="BY155" i="25"/>
  <c r="CA155" i="25" s="1"/>
  <c r="CB155" i="25" s="1"/>
  <c r="BL155" i="25"/>
  <c r="BK155" i="25"/>
  <c r="BN76" i="24"/>
  <c r="BY76" i="24"/>
  <c r="CA76" i="24" s="1"/>
  <c r="CB76" i="24" s="1"/>
  <c r="BE122" i="25"/>
  <c r="BR122" i="25"/>
  <c r="BX122" i="25" s="1"/>
  <c r="BE20" i="25"/>
  <c r="BK20" i="25" s="1"/>
  <c r="BR20" i="25"/>
  <c r="BV20" i="25" s="1"/>
  <c r="BX20" i="25" s="1"/>
  <c r="BE295" i="25"/>
  <c r="BR295" i="25"/>
  <c r="BX295" i="25" s="1"/>
  <c r="BY198" i="24"/>
  <c r="CA198" i="24" s="1"/>
  <c r="CB198" i="24" s="1"/>
  <c r="BM198" i="24"/>
  <c r="BN198" i="24" s="1"/>
  <c r="AG239" i="29"/>
  <c r="W239" i="29"/>
  <c r="AG78" i="29"/>
  <c r="W78" i="29"/>
  <c r="X347" i="29"/>
  <c r="Y347" i="29" s="1"/>
  <c r="AH347" i="29"/>
  <c r="X513" i="29"/>
  <c r="Y513" i="29" s="1"/>
  <c r="AH513" i="29"/>
  <c r="AG205" i="29"/>
  <c r="W205" i="29"/>
  <c r="BR79" i="25"/>
  <c r="BV79" i="25" s="1"/>
  <c r="BX79" i="25" s="1"/>
  <c r="BE79" i="25"/>
  <c r="BK79" i="25" s="1"/>
  <c r="BY291" i="25"/>
  <c r="CA291" i="25" s="1"/>
  <c r="CB291" i="25" s="1"/>
  <c r="BL291" i="25"/>
  <c r="BK291" i="25"/>
  <c r="BY9" i="24"/>
  <c r="CA9" i="24" s="1"/>
  <c r="CB9" i="24" s="1"/>
  <c r="BN9" i="24"/>
  <c r="BY30" i="24"/>
  <c r="CA30" i="24" s="1"/>
  <c r="BN30" i="24"/>
  <c r="BY52" i="24"/>
  <c r="CA52" i="24" s="1"/>
  <c r="CB52" i="24" s="1"/>
  <c r="BN52" i="24"/>
  <c r="BY86" i="24"/>
  <c r="CA86" i="24" s="1"/>
  <c r="CB86" i="24" s="1"/>
  <c r="BN86" i="24"/>
  <c r="BL267" i="25"/>
  <c r="BY267" i="25"/>
  <c r="CA267" i="25" s="1"/>
  <c r="CB267" i="25" s="1"/>
  <c r="BK267" i="25"/>
  <c r="BE216" i="25"/>
  <c r="BR216" i="25"/>
  <c r="BX216" i="25" s="1"/>
  <c r="AG549" i="29"/>
  <c r="W549" i="29"/>
  <c r="AG76" i="29"/>
  <c r="W76" i="29"/>
  <c r="BY35" i="24"/>
  <c r="CA35" i="24" s="1"/>
  <c r="CB35" i="24" s="1"/>
  <c r="BN35" i="24"/>
  <c r="BE168" i="25"/>
  <c r="BR168" i="25"/>
  <c r="BX168" i="25" s="1"/>
  <c r="BY293" i="24"/>
  <c r="CA293" i="24" s="1"/>
  <c r="CB293" i="24" s="1"/>
  <c r="BM293" i="24"/>
  <c r="BN293" i="24" s="1"/>
  <c r="BY186" i="25"/>
  <c r="CA186" i="25" s="1"/>
  <c r="BL186" i="25"/>
  <c r="BK186" i="25"/>
  <c r="BY249" i="24"/>
  <c r="CA249" i="24" s="1"/>
  <c r="CB249" i="24" s="1"/>
  <c r="BM249" i="24"/>
  <c r="BN249" i="24" s="1"/>
  <c r="BR46" i="25"/>
  <c r="BV46" i="25" s="1"/>
  <c r="BX46" i="25" s="1"/>
  <c r="BE46" i="25"/>
  <c r="BK46" i="25" s="1"/>
  <c r="AG468" i="29"/>
  <c r="W468" i="29"/>
  <c r="AH507" i="29"/>
  <c r="X507" i="29"/>
  <c r="Y507" i="29" s="1"/>
  <c r="AH447" i="29"/>
  <c r="X447" i="29"/>
  <c r="Y447" i="29" s="1"/>
  <c r="AH209" i="29"/>
  <c r="X209" i="29"/>
  <c r="Y209" i="29" s="1"/>
  <c r="W30" i="29"/>
  <c r="AG30" i="29"/>
  <c r="X193" i="29"/>
  <c r="Y193" i="29" s="1"/>
  <c r="AH193" i="29"/>
  <c r="AH140" i="29"/>
  <c r="X140" i="29"/>
  <c r="Y140" i="29" s="1"/>
  <c r="X285" i="29"/>
  <c r="Y285" i="29" s="1"/>
  <c r="AH285" i="29"/>
  <c r="X202" i="29"/>
  <c r="Y202" i="29" s="1"/>
  <c r="AH202" i="29"/>
  <c r="W182" i="29"/>
  <c r="AG182" i="29"/>
  <c r="AG419" i="29"/>
  <c r="W419" i="29"/>
  <c r="AG228" i="29"/>
  <c r="W228" i="29"/>
  <c r="AG159" i="29"/>
  <c r="W159" i="29"/>
  <c r="BE281" i="25"/>
  <c r="BR281" i="25"/>
  <c r="BX281" i="25" s="1"/>
  <c r="BY267" i="24"/>
  <c r="CA267" i="24" s="1"/>
  <c r="BM267" i="24"/>
  <c r="BN267" i="24" s="1"/>
  <c r="BY221" i="24"/>
  <c r="CA221" i="24" s="1"/>
  <c r="CB221" i="24" s="1"/>
  <c r="BM221" i="24"/>
  <c r="BN221" i="24" s="1"/>
  <c r="BE116" i="25"/>
  <c r="BR116" i="25"/>
  <c r="BX116" i="25" s="1"/>
  <c r="BE8" i="25"/>
  <c r="BK8" i="25" s="1"/>
  <c r="BR8" i="25"/>
  <c r="BV8" i="25" s="1"/>
  <c r="BX8" i="25" s="1"/>
  <c r="BE175" i="25"/>
  <c r="BR175" i="25"/>
  <c r="BX175" i="25" s="1"/>
  <c r="AG258" i="29"/>
  <c r="W258" i="29"/>
  <c r="BL292" i="25"/>
  <c r="BY292" i="25"/>
  <c r="CA292" i="25" s="1"/>
  <c r="CB292" i="25" s="1"/>
  <c r="BK292" i="25"/>
  <c r="BE245" i="25"/>
  <c r="BR245" i="25"/>
  <c r="BX245" i="25" s="1"/>
  <c r="BY239" i="24"/>
  <c r="CA239" i="24" s="1"/>
  <c r="CB239" i="24" s="1"/>
  <c r="BM239" i="24"/>
  <c r="BN239" i="24" s="1"/>
  <c r="W81" i="29"/>
  <c r="AG81" i="29"/>
  <c r="X108" i="29"/>
  <c r="Y108" i="29" s="1"/>
  <c r="AH108" i="29"/>
  <c r="X266" i="29"/>
  <c r="Y266" i="29" s="1"/>
  <c r="AH266" i="29"/>
  <c r="AH104" i="29"/>
  <c r="X104" i="29"/>
  <c r="Y104" i="29" s="1"/>
  <c r="BE299" i="25"/>
  <c r="BR299" i="25"/>
  <c r="BX299" i="25" s="1"/>
  <c r="BR93" i="25"/>
  <c r="BV93" i="25" s="1"/>
  <c r="BX93" i="25" s="1"/>
  <c r="BE93" i="25"/>
  <c r="BK93" i="25" s="1"/>
  <c r="BY277" i="24"/>
  <c r="CA277" i="24" s="1"/>
  <c r="CB277" i="24" s="1"/>
  <c r="BM277" i="24"/>
  <c r="BN277" i="24" s="1"/>
  <c r="BN80" i="24"/>
  <c r="BY80" i="24"/>
  <c r="CA80" i="24" s="1"/>
  <c r="BE37" i="25"/>
  <c r="BK37" i="25" s="1"/>
  <c r="BR37" i="25"/>
  <c r="BV37" i="25" s="1"/>
  <c r="BX37" i="25" s="1"/>
  <c r="BY217" i="24"/>
  <c r="CA217" i="24" s="1"/>
  <c r="BM217" i="24"/>
  <c r="BN217" i="24" s="1"/>
  <c r="BL96" i="25"/>
  <c r="BY96" i="25"/>
  <c r="CA96" i="25" s="1"/>
  <c r="BE102" i="25"/>
  <c r="BK102" i="25" s="1"/>
  <c r="BR102" i="25"/>
  <c r="BV102" i="25" s="1"/>
  <c r="BX102" i="25" s="1"/>
  <c r="BE139" i="25"/>
  <c r="BR139" i="25"/>
  <c r="BX139" i="25" s="1"/>
  <c r="BY38" i="24"/>
  <c r="CA38" i="24" s="1"/>
  <c r="CB38" i="24" s="1"/>
  <c r="BN38" i="24"/>
  <c r="AG437" i="29"/>
  <c r="W437" i="29"/>
  <c r="BE274" i="25"/>
  <c r="BR274" i="25"/>
  <c r="BX274" i="25" s="1"/>
  <c r="BN88" i="24"/>
  <c r="BY88" i="24"/>
  <c r="CA88" i="24" s="1"/>
  <c r="BY283" i="25"/>
  <c r="CA283" i="25" s="1"/>
  <c r="CB283" i="25" s="1"/>
  <c r="BL283" i="25"/>
  <c r="BK283" i="25"/>
  <c r="BY300" i="24"/>
  <c r="CA300" i="24" s="1"/>
  <c r="CB300" i="24" s="1"/>
  <c r="BM300" i="24"/>
  <c r="BN300" i="24" s="1"/>
  <c r="BY278" i="24"/>
  <c r="CA278" i="24" s="1"/>
  <c r="BM278" i="24"/>
  <c r="BN278" i="24" s="1"/>
  <c r="BY61" i="24"/>
  <c r="CA61" i="24" s="1"/>
  <c r="BN61" i="24"/>
  <c r="BR78" i="25"/>
  <c r="BV78" i="25" s="1"/>
  <c r="BX78" i="25" s="1"/>
  <c r="BE78" i="25"/>
  <c r="BK78" i="25" s="1"/>
  <c r="BY147" i="25"/>
  <c r="CA147" i="25" s="1"/>
  <c r="BL147" i="25"/>
  <c r="BK147" i="25"/>
  <c r="X531" i="29"/>
  <c r="Y531" i="29" s="1"/>
  <c r="AH531" i="29"/>
  <c r="AH410" i="29"/>
  <c r="X410" i="29"/>
  <c r="Y410" i="29" s="1"/>
  <c r="X289" i="29"/>
  <c r="Y289" i="29" s="1"/>
  <c r="AH289" i="29"/>
  <c r="W127" i="29"/>
  <c r="AG127" i="29"/>
  <c r="AH98" i="29"/>
  <c r="X98" i="29"/>
  <c r="Y98" i="29" s="1"/>
  <c r="AG510" i="29"/>
  <c r="W510" i="29"/>
  <c r="W20" i="29"/>
  <c r="AG20" i="29"/>
  <c r="AG451" i="29"/>
  <c r="W451" i="29"/>
  <c r="W94" i="29"/>
  <c r="AG94" i="29"/>
  <c r="AH382" i="29"/>
  <c r="X382" i="29"/>
  <c r="Y382" i="29" s="1"/>
  <c r="W506" i="29"/>
  <c r="AG506" i="29"/>
  <c r="BY167" i="24"/>
  <c r="CA167" i="24" s="1"/>
  <c r="CB167" i="24" s="1"/>
  <c r="BM167" i="24"/>
  <c r="BN167" i="24" s="1"/>
  <c r="BE74" i="25"/>
  <c r="BK74" i="25" s="1"/>
  <c r="BR74" i="25"/>
  <c r="BV74" i="25" s="1"/>
  <c r="BX74" i="25" s="1"/>
  <c r="BY154" i="24"/>
  <c r="CA154" i="24" s="1"/>
  <c r="CB154" i="24" s="1"/>
  <c r="BM154" i="24"/>
  <c r="BN154" i="24" s="1"/>
  <c r="BE68" i="25"/>
  <c r="BK68" i="25" s="1"/>
  <c r="BR68" i="25"/>
  <c r="BV68" i="25" s="1"/>
  <c r="BX68" i="25" s="1"/>
  <c r="BY151" i="24"/>
  <c r="CA151" i="24" s="1"/>
  <c r="BM151" i="24"/>
  <c r="BN151" i="24" s="1"/>
  <c r="BE309" i="25"/>
  <c r="BR309" i="25"/>
  <c r="BX309" i="25" s="1"/>
  <c r="BY50" i="24"/>
  <c r="CA50" i="24" s="1"/>
  <c r="CB50" i="24" s="1"/>
  <c r="BN50" i="24"/>
  <c r="AG18" i="29"/>
  <c r="W18" i="29"/>
  <c r="AH387" i="29"/>
  <c r="X387" i="29"/>
  <c r="Y387" i="29" s="1"/>
  <c r="X330" i="29"/>
  <c r="Y330" i="29" s="1"/>
  <c r="AH330" i="29"/>
  <c r="AH189" i="29"/>
  <c r="X189" i="29"/>
  <c r="Y189" i="29" s="1"/>
  <c r="AH60" i="29"/>
  <c r="X60" i="29"/>
  <c r="Y60" i="29" s="1"/>
  <c r="BE263" i="25"/>
  <c r="BR263" i="25"/>
  <c r="BX263" i="25" s="1"/>
  <c r="BR90" i="25"/>
  <c r="BV90" i="25" s="1"/>
  <c r="BX90" i="25" s="1"/>
  <c r="BE90" i="25"/>
  <c r="BK90" i="25" s="1"/>
  <c r="BY199" i="24"/>
  <c r="CA199" i="24" s="1"/>
  <c r="BM199" i="24"/>
  <c r="BN199" i="24" s="1"/>
  <c r="BN63" i="24"/>
  <c r="BY63" i="24"/>
  <c r="CA63" i="24" s="1"/>
  <c r="CB63" i="24" s="1"/>
  <c r="BN97" i="24"/>
  <c r="BY97" i="24"/>
  <c r="CA97" i="24" s="1"/>
  <c r="BY270" i="24"/>
  <c r="CA270" i="24" s="1"/>
  <c r="CB270" i="24" s="1"/>
  <c r="BM270" i="24"/>
  <c r="BN270" i="24" s="1"/>
  <c r="BR86" i="25"/>
  <c r="BV86" i="25" s="1"/>
  <c r="BX86" i="25" s="1"/>
  <c r="BE86" i="25"/>
  <c r="BK86" i="25" s="1"/>
  <c r="BY11" i="25"/>
  <c r="CA11" i="25" s="1"/>
  <c r="CB11" i="25" s="1"/>
  <c r="BL11" i="25"/>
  <c r="BE157" i="25"/>
  <c r="BR157" i="25"/>
  <c r="BX157" i="25" s="1"/>
  <c r="BN8" i="24"/>
  <c r="BY8" i="24"/>
  <c r="CA8" i="24" s="1"/>
  <c r="CB8" i="24" s="1"/>
  <c r="AG446" i="29"/>
  <c r="W446" i="29"/>
  <c r="W484" i="29"/>
  <c r="AG484" i="29"/>
  <c r="BY227" i="24"/>
  <c r="CA227" i="24" s="1"/>
  <c r="CB227" i="24" s="1"/>
  <c r="BM227" i="24"/>
  <c r="BN227" i="24" s="1"/>
  <c r="BY59" i="25"/>
  <c r="CA59" i="25" s="1"/>
  <c r="CB59" i="25" s="1"/>
  <c r="BL59" i="25"/>
  <c r="BY306" i="25"/>
  <c r="CA306" i="25" s="1"/>
  <c r="CB306" i="25" s="1"/>
  <c r="BL306" i="25"/>
  <c r="BK306" i="25"/>
  <c r="BE203" i="25"/>
  <c r="BR203" i="25"/>
  <c r="BX203" i="25" s="1"/>
  <c r="BY14" i="25"/>
  <c r="CA14" i="25" s="1"/>
  <c r="BL14" i="25"/>
  <c r="BE230" i="25"/>
  <c r="BR230" i="25"/>
  <c r="BX230" i="25" s="1"/>
  <c r="BR76" i="25"/>
  <c r="BV76" i="25" s="1"/>
  <c r="BX76" i="25" s="1"/>
  <c r="BE76" i="25"/>
  <c r="BK76" i="25" s="1"/>
  <c r="BY206" i="24"/>
  <c r="CA206" i="24" s="1"/>
  <c r="BM206" i="24"/>
  <c r="BN206" i="24" s="1"/>
  <c r="BY144" i="24"/>
  <c r="CA144" i="24" s="1"/>
  <c r="CB144" i="24" s="1"/>
  <c r="BM144" i="24"/>
  <c r="BN144" i="24" s="1"/>
  <c r="BE307" i="25"/>
  <c r="BR307" i="25"/>
  <c r="BX307" i="25" s="1"/>
  <c r="X594" i="29"/>
  <c r="Y594" i="29" s="1"/>
  <c r="AH594" i="29"/>
  <c r="AG582" i="29"/>
  <c r="W582" i="29"/>
  <c r="X82" i="29"/>
  <c r="Y82" i="29" s="1"/>
  <c r="AH82" i="29"/>
  <c r="W370" i="29"/>
  <c r="AG370" i="29"/>
  <c r="W570" i="29"/>
  <c r="AG570" i="29"/>
  <c r="AH78" i="29"/>
  <c r="X78" i="29"/>
  <c r="Y78" i="29" s="1"/>
  <c r="AH103" i="29"/>
  <c r="X103" i="29"/>
  <c r="Y103" i="29" s="1"/>
  <c r="AH139" i="29"/>
  <c r="X139" i="29"/>
  <c r="Y139" i="29" s="1"/>
  <c r="X261" i="29"/>
  <c r="Y261" i="29" s="1"/>
  <c r="AH261" i="29"/>
  <c r="AG77" i="29"/>
  <c r="W77" i="29"/>
  <c r="AH459" i="29"/>
  <c r="X459" i="29"/>
  <c r="Y459" i="29" s="1"/>
  <c r="AG494" i="29"/>
  <c r="W494" i="29"/>
  <c r="W151" i="29"/>
  <c r="AG151" i="29"/>
  <c r="W613" i="29"/>
  <c r="AG613" i="29"/>
  <c r="AH218" i="29"/>
  <c r="X218" i="29"/>
  <c r="Y218" i="29" s="1"/>
  <c r="BE304" i="25"/>
  <c r="BR304" i="25"/>
  <c r="BX304" i="25" s="1"/>
  <c r="BE135" i="25"/>
  <c r="BR135" i="25"/>
  <c r="BX135" i="25" s="1"/>
  <c r="BE169" i="25"/>
  <c r="BR169" i="25"/>
  <c r="BX169" i="25" s="1"/>
  <c r="BY153" i="24"/>
  <c r="CA153" i="24" s="1"/>
  <c r="CB153" i="24" s="1"/>
  <c r="BM153" i="24"/>
  <c r="BN153" i="24" s="1"/>
  <c r="BY285" i="24"/>
  <c r="CA285" i="24" s="1"/>
  <c r="BM285" i="24"/>
  <c r="BN285" i="24" s="1"/>
  <c r="BE308" i="25"/>
  <c r="BR308" i="25"/>
  <c r="BX308" i="25" s="1"/>
  <c r="BE193" i="25"/>
  <c r="BR193" i="25"/>
  <c r="BX193" i="25" s="1"/>
  <c r="BL28" i="25"/>
  <c r="BY28" i="25"/>
  <c r="CA28" i="25" s="1"/>
  <c r="CB28" i="25" s="1"/>
  <c r="AG262" i="29"/>
  <c r="W262" i="29"/>
  <c r="W17" i="29"/>
  <c r="AG17" i="29"/>
  <c r="AG233" i="29"/>
  <c r="W233" i="29"/>
  <c r="W178" i="29"/>
  <c r="AG178" i="29"/>
  <c r="W386" i="29"/>
  <c r="AG386" i="29"/>
  <c r="AG361" i="29"/>
  <c r="W361" i="29"/>
  <c r="AG602" i="29"/>
  <c r="W602" i="29"/>
  <c r="AG16" i="29"/>
  <c r="W16" i="29"/>
  <c r="AH529" i="29"/>
  <c r="X529" i="29"/>
  <c r="Y529" i="29" s="1"/>
  <c r="AG519" i="29"/>
  <c r="W519" i="29"/>
  <c r="W391" i="29"/>
  <c r="AG391" i="29"/>
  <c r="X56" i="29"/>
  <c r="Y56" i="29" s="1"/>
  <c r="AH56" i="29"/>
  <c r="W344" i="29"/>
  <c r="AG344" i="29"/>
  <c r="AG505" i="29"/>
  <c r="W505" i="29"/>
  <c r="W175" i="29"/>
  <c r="AG175" i="29"/>
  <c r="AG553" i="29"/>
  <c r="W553" i="29"/>
  <c r="AH463" i="29"/>
  <c r="X463" i="29"/>
  <c r="Y463" i="29" s="1"/>
  <c r="BY127" i="24"/>
  <c r="CA127" i="24" s="1"/>
  <c r="BM127" i="24"/>
  <c r="BN127" i="24" s="1"/>
  <c r="BY74" i="24"/>
  <c r="CA74" i="24" s="1"/>
  <c r="BN74" i="24"/>
  <c r="BY66" i="24"/>
  <c r="CA66" i="24" s="1"/>
  <c r="BN66" i="24"/>
  <c r="BR294" i="25"/>
  <c r="BX294" i="25" s="1"/>
  <c r="BE294" i="25"/>
  <c r="BY81" i="24"/>
  <c r="CA81" i="24" s="1"/>
  <c r="BN81" i="24"/>
  <c r="BE112" i="25"/>
  <c r="BR112" i="25"/>
  <c r="BX112" i="25" s="1"/>
  <c r="BY247" i="25"/>
  <c r="CA247" i="25" s="1"/>
  <c r="CB247" i="25" s="1"/>
  <c r="BL247" i="25"/>
  <c r="BK247" i="25"/>
  <c r="BR101" i="25"/>
  <c r="BV101" i="25" s="1"/>
  <c r="BX101" i="25" s="1"/>
  <c r="BE101" i="25"/>
  <c r="BK101" i="25" s="1"/>
  <c r="BY90" i="24"/>
  <c r="CA90" i="24" s="1"/>
  <c r="CB90" i="24" s="1"/>
  <c r="BN90" i="24"/>
  <c r="BE302" i="25"/>
  <c r="BR302" i="25"/>
  <c r="BX302" i="25" s="1"/>
  <c r="BY222" i="24"/>
  <c r="CA222" i="24" s="1"/>
  <c r="CB222" i="24" s="1"/>
  <c r="BM222" i="24"/>
  <c r="BN222" i="24" s="1"/>
  <c r="AH603" i="29"/>
  <c r="X603" i="29"/>
  <c r="Y603" i="29" s="1"/>
  <c r="AH287" i="29"/>
  <c r="X287" i="29"/>
  <c r="Y287" i="29" s="1"/>
  <c r="W485" i="29"/>
  <c r="AG485" i="29"/>
  <c r="W263" i="29"/>
  <c r="AG263" i="29"/>
  <c r="BR160" i="25"/>
  <c r="BX160" i="25" s="1"/>
  <c r="BE160" i="25"/>
  <c r="BY13" i="24"/>
  <c r="CA13" i="24" s="1"/>
  <c r="CB13" i="24" s="1"/>
  <c r="BN13" i="24"/>
  <c r="BE300" i="25"/>
  <c r="BR300" i="25"/>
  <c r="BX300" i="25" s="1"/>
  <c r="BE52" i="25"/>
  <c r="BK52" i="25" s="1"/>
  <c r="BR52" i="25"/>
  <c r="BV52" i="25" s="1"/>
  <c r="BX52" i="25" s="1"/>
  <c r="BY173" i="24"/>
  <c r="CA173" i="24" s="1"/>
  <c r="BM173" i="24"/>
  <c r="BN173" i="24" s="1"/>
  <c r="BR73" i="25"/>
  <c r="BV73" i="25" s="1"/>
  <c r="BX73" i="25" s="1"/>
  <c r="BE73" i="25"/>
  <c r="BK73" i="25" s="1"/>
  <c r="BE85" i="25"/>
  <c r="BK85" i="25" s="1"/>
  <c r="BR85" i="25"/>
  <c r="BV85" i="25" s="1"/>
  <c r="BX85" i="25" s="1"/>
  <c r="X568" i="29"/>
  <c r="Y568" i="29" s="1"/>
  <c r="AH568" i="29"/>
  <c r="X474" i="29"/>
  <c r="Y474" i="29" s="1"/>
  <c r="AH474" i="29"/>
  <c r="AH532" i="29"/>
  <c r="X532" i="29"/>
  <c r="Y532" i="29" s="1"/>
  <c r="AG428" i="29"/>
  <c r="W428" i="29"/>
  <c r="AG96" i="29"/>
  <c r="W96" i="29"/>
  <c r="W329" i="29"/>
  <c r="AG329" i="29"/>
  <c r="AH356" i="29"/>
  <c r="X356" i="29"/>
  <c r="Y356" i="29" s="1"/>
  <c r="W126" i="29"/>
  <c r="AG126" i="29"/>
  <c r="AH430" i="29"/>
  <c r="X430" i="29"/>
  <c r="Y430" i="29" s="1"/>
  <c r="AH115" i="29"/>
  <c r="X115" i="29"/>
  <c r="Y115" i="29" s="1"/>
  <c r="AH158" i="29"/>
  <c r="X158" i="29"/>
  <c r="Y158" i="29" s="1"/>
  <c r="AH316" i="29"/>
  <c r="X316" i="29"/>
  <c r="Y316" i="29" s="1"/>
  <c r="AH244" i="29"/>
  <c r="X244" i="29"/>
  <c r="Y244" i="29" s="1"/>
  <c r="BY164" i="24"/>
  <c r="CA164" i="24" s="1"/>
  <c r="CB164" i="24" s="1"/>
  <c r="BM164" i="24"/>
  <c r="BN164" i="24" s="1"/>
  <c r="BN27" i="24"/>
  <c r="BE44" i="25"/>
  <c r="BK44" i="25" s="1"/>
  <c r="BR44" i="25"/>
  <c r="BV44" i="25" s="1"/>
  <c r="BX44" i="25" s="1"/>
  <c r="BY204" i="24"/>
  <c r="CA204" i="24" s="1"/>
  <c r="BM204" i="24"/>
  <c r="BN204" i="24" s="1"/>
  <c r="AH91" i="29"/>
  <c r="X91" i="29"/>
  <c r="Y91" i="29" s="1"/>
  <c r="AG501" i="29"/>
  <c r="W501" i="29"/>
  <c r="X524" i="29"/>
  <c r="Y524" i="29" s="1"/>
  <c r="AH524" i="29"/>
  <c r="AH432" i="29"/>
  <c r="X432" i="29"/>
  <c r="Y432" i="29" s="1"/>
  <c r="AG298" i="29"/>
  <c r="W298" i="29"/>
  <c r="AH526" i="29"/>
  <c r="X526" i="29"/>
  <c r="Y526" i="29" s="1"/>
  <c r="AH379" i="29"/>
  <c r="X379" i="29"/>
  <c r="Y379" i="29" s="1"/>
  <c r="AG424" i="29"/>
  <c r="W424" i="29"/>
  <c r="AH437" i="29"/>
  <c r="X437" i="29"/>
  <c r="Y437" i="29" s="1"/>
  <c r="AG161" i="29"/>
  <c r="W161" i="29"/>
  <c r="AG125" i="29"/>
  <c r="W125" i="29"/>
  <c r="W160" i="29"/>
  <c r="AG160" i="29"/>
  <c r="AH555" i="29"/>
  <c r="X555" i="29"/>
  <c r="Y555" i="29" s="1"/>
  <c r="AG551" i="29"/>
  <c r="W551" i="29"/>
  <c r="AH343" i="29"/>
  <c r="X343" i="29"/>
  <c r="Y343" i="29" s="1"/>
  <c r="W184" i="29"/>
  <c r="AG184" i="29"/>
  <c r="AG589" i="29"/>
  <c r="W589" i="29"/>
  <c r="AH180" i="29"/>
  <c r="X180" i="29"/>
  <c r="Y180" i="29" s="1"/>
  <c r="W181" i="29"/>
  <c r="AG181" i="29"/>
  <c r="BL293" i="25"/>
  <c r="BY293" i="25"/>
  <c r="CA293" i="25" s="1"/>
  <c r="CB293" i="25" s="1"/>
  <c r="BK293" i="25"/>
  <c r="BL206" i="25"/>
  <c r="BY206" i="25"/>
  <c r="CA206" i="25" s="1"/>
  <c r="BK206" i="25"/>
  <c r="BE231" i="25"/>
  <c r="BR231" i="25"/>
  <c r="BX231" i="25" s="1"/>
  <c r="BY308" i="24"/>
  <c r="CA308" i="24" s="1"/>
  <c r="BM308" i="24"/>
  <c r="BN308" i="24" s="1"/>
  <c r="BY301" i="24"/>
  <c r="CA301" i="24" s="1"/>
  <c r="CB301" i="24" s="1"/>
  <c r="BM301" i="24"/>
  <c r="BN301" i="24" s="1"/>
  <c r="BN89" i="24"/>
  <c r="BY89" i="24"/>
  <c r="CA89" i="24" s="1"/>
  <c r="CB89" i="24" s="1"/>
  <c r="BY259" i="25"/>
  <c r="CA259" i="25" s="1"/>
  <c r="CB259" i="25" s="1"/>
  <c r="BL259" i="25"/>
  <c r="BK259" i="25"/>
  <c r="BE313" i="25"/>
  <c r="BR313" i="25"/>
  <c r="BX313" i="25" s="1"/>
  <c r="BY188" i="24"/>
  <c r="CA188" i="24" s="1"/>
  <c r="BM188" i="24"/>
  <c r="BN188" i="24" s="1"/>
  <c r="BR239" i="25"/>
  <c r="BX239" i="25" s="1"/>
  <c r="BE239" i="25"/>
  <c r="BE130" i="25"/>
  <c r="BR130" i="25"/>
  <c r="BX130" i="25" s="1"/>
  <c r="BY128" i="24"/>
  <c r="CA128" i="24" s="1"/>
  <c r="CB128" i="24" s="1"/>
  <c r="BM128" i="24"/>
  <c r="BN128" i="24" s="1"/>
  <c r="BE269" i="25"/>
  <c r="BR269" i="25"/>
  <c r="BX269" i="25" s="1"/>
  <c r="AH449" i="29"/>
  <c r="X449" i="29"/>
  <c r="Y449" i="29" s="1"/>
  <c r="W249" i="29"/>
  <c r="AG249" i="29"/>
  <c r="X225" i="29"/>
  <c r="Y225" i="29" s="1"/>
  <c r="AH225" i="29"/>
  <c r="AH72" i="29"/>
  <c r="X72" i="29"/>
  <c r="Y72" i="29" s="1"/>
  <c r="AH156" i="29"/>
  <c r="X156" i="29"/>
  <c r="Y156" i="29" s="1"/>
  <c r="BE227" i="25"/>
  <c r="BR227" i="25"/>
  <c r="BX227" i="25" s="1"/>
  <c r="BY207" i="24"/>
  <c r="CA207" i="24" s="1"/>
  <c r="CB207" i="24" s="1"/>
  <c r="BM207" i="24"/>
  <c r="BN207" i="24" s="1"/>
  <c r="BE278" i="25"/>
  <c r="BR278" i="25"/>
  <c r="BX278" i="25" s="1"/>
  <c r="BY145" i="24"/>
  <c r="CA145" i="24" s="1"/>
  <c r="CB145" i="24" s="1"/>
  <c r="BM145" i="24"/>
  <c r="BN145" i="24" s="1"/>
  <c r="AG414" i="29"/>
  <c r="W414" i="29"/>
  <c r="AH518" i="29"/>
  <c r="X518" i="29"/>
  <c r="Y518" i="29" s="1"/>
  <c r="AH179" i="29"/>
  <c r="X179" i="29"/>
  <c r="Y179" i="29" s="1"/>
  <c r="AH264" i="29"/>
  <c r="X264" i="29"/>
  <c r="Y264" i="29" s="1"/>
  <c r="AH18" i="29"/>
  <c r="X18" i="29"/>
  <c r="Y18" i="29" s="1"/>
  <c r="AG237" i="29"/>
  <c r="W237" i="29"/>
  <c r="X204" i="29"/>
  <c r="Y204" i="29" s="1"/>
  <c r="AH204" i="29"/>
  <c r="AH165" i="29"/>
  <c r="X165" i="29"/>
  <c r="Y165" i="29" s="1"/>
  <c r="AG597" i="29"/>
  <c r="W597" i="29"/>
  <c r="W93" i="29"/>
  <c r="AG93" i="29"/>
  <c r="AG191" i="29"/>
  <c r="W191" i="29"/>
  <c r="W101" i="29"/>
  <c r="AG101" i="29"/>
  <c r="W516" i="29"/>
  <c r="AG516" i="29"/>
  <c r="AG189" i="29"/>
  <c r="W189" i="29"/>
  <c r="W60" i="29"/>
  <c r="AG60" i="29"/>
  <c r="W374" i="29"/>
  <c r="AG374" i="29"/>
  <c r="AG497" i="29"/>
  <c r="W497" i="29"/>
  <c r="BE54" i="25"/>
  <c r="BK54" i="25" s="1"/>
  <c r="BR54" i="25"/>
  <c r="BV54" i="25" s="1"/>
  <c r="BX54" i="25" s="1"/>
  <c r="BY262" i="25"/>
  <c r="CA262" i="25" s="1"/>
  <c r="CB262" i="25" s="1"/>
  <c r="BL262" i="25"/>
  <c r="BK262" i="25"/>
  <c r="BL71" i="25"/>
  <c r="BY71" i="25"/>
  <c r="CA71" i="25" s="1"/>
  <c r="BY266" i="24"/>
  <c r="CA266" i="24" s="1"/>
  <c r="CB266" i="24" s="1"/>
  <c r="BM266" i="24"/>
  <c r="BN266" i="24" s="1"/>
  <c r="BY29" i="25"/>
  <c r="CA29" i="25" s="1"/>
  <c r="CB29" i="25" s="1"/>
  <c r="BL29" i="25"/>
  <c r="BE289" i="25"/>
  <c r="BR289" i="25"/>
  <c r="BX289" i="25" s="1"/>
  <c r="W79" i="29"/>
  <c r="AG79" i="29"/>
  <c r="W593" i="29"/>
  <c r="AG593" i="29"/>
  <c r="AG443" i="29"/>
  <c r="W443" i="29"/>
  <c r="AG28" i="29"/>
  <c r="W28" i="29"/>
  <c r="W496" i="29"/>
  <c r="AG496" i="29"/>
  <c r="X401" i="29"/>
  <c r="Y401" i="29" s="1"/>
  <c r="AH401" i="29"/>
  <c r="X441" i="29"/>
  <c r="Y441" i="29" s="1"/>
  <c r="AH441" i="29"/>
  <c r="W214" i="29"/>
  <c r="AG214" i="29"/>
  <c r="W241" i="29"/>
  <c r="AG241" i="29"/>
  <c r="W563" i="29"/>
  <c r="AG563" i="29"/>
  <c r="W473" i="29"/>
  <c r="AG473" i="29"/>
  <c r="X234" i="29"/>
  <c r="Y234" i="29" s="1"/>
  <c r="AH234" i="29"/>
  <c r="W580" i="29"/>
  <c r="AG580" i="29"/>
  <c r="X332" i="29"/>
  <c r="Y332" i="29" s="1"/>
  <c r="AH332" i="29"/>
  <c r="AG134" i="29"/>
  <c r="W134" i="29"/>
  <c r="W46" i="29"/>
  <c r="AG46" i="29"/>
  <c r="W579" i="29"/>
  <c r="AG579" i="29"/>
  <c r="BL62" i="25"/>
  <c r="BY62" i="25"/>
  <c r="CA62" i="25" s="1"/>
  <c r="BL170" i="25"/>
  <c r="BY170" i="25"/>
  <c r="CA170" i="25" s="1"/>
  <c r="BK170" i="25"/>
  <c r="BR145" i="25"/>
  <c r="BX145" i="25" s="1"/>
  <c r="BE145" i="25"/>
  <c r="BE134" i="25"/>
  <c r="BR134" i="25"/>
  <c r="BX134" i="25" s="1"/>
  <c r="BE315" i="25"/>
  <c r="BR315" i="25"/>
  <c r="BX315" i="25" s="1"/>
  <c r="BY123" i="24"/>
  <c r="CA123" i="24" s="1"/>
  <c r="CB123" i="24" s="1"/>
  <c r="BM123" i="24"/>
  <c r="BN123" i="24" s="1"/>
  <c r="AG403" i="29"/>
  <c r="W403" i="29"/>
  <c r="AG106" i="29"/>
  <c r="W106" i="29"/>
  <c r="W339" i="29"/>
  <c r="AG339" i="29"/>
  <c r="X475" i="29"/>
  <c r="Y475" i="29" s="1"/>
  <c r="AH475" i="29"/>
  <c r="BL261" i="25"/>
  <c r="BY261" i="25"/>
  <c r="CA261" i="25" s="1"/>
  <c r="CB261" i="25" s="1"/>
  <c r="BK261" i="25"/>
  <c r="BY114" i="24"/>
  <c r="CA114" i="24" s="1"/>
  <c r="CB114" i="24" s="1"/>
  <c r="BM114" i="24"/>
  <c r="BN114" i="24" s="1"/>
  <c r="BY175" i="24"/>
  <c r="CA175" i="24" s="1"/>
  <c r="BM175" i="24"/>
  <c r="BN175" i="24" s="1"/>
  <c r="BY271" i="24"/>
  <c r="CA271" i="24" s="1"/>
  <c r="BM271" i="24"/>
  <c r="BN271" i="24" s="1"/>
  <c r="BE152" i="25"/>
  <c r="BR152" i="25"/>
  <c r="BX152" i="25" s="1"/>
  <c r="AH483" i="29"/>
  <c r="X483" i="29"/>
  <c r="Y483" i="29" s="1"/>
  <c r="X155" i="29"/>
  <c r="Y155" i="29" s="1"/>
  <c r="AH155" i="29"/>
  <c r="AG256" i="29"/>
  <c r="W256" i="29"/>
  <c r="AH198" i="29"/>
  <c r="X198" i="29"/>
  <c r="Y198" i="29" s="1"/>
  <c r="AH154" i="29"/>
  <c r="X154" i="29"/>
  <c r="Y154" i="29" s="1"/>
  <c r="W464" i="29"/>
  <c r="AG464" i="29"/>
  <c r="X110" i="29"/>
  <c r="Y110" i="29" s="1"/>
  <c r="BY60" i="24"/>
  <c r="CA60" i="24" s="1"/>
  <c r="CB60" i="24" s="1"/>
  <c r="BN60" i="24"/>
  <c r="BE164" i="25"/>
  <c r="BR164" i="25"/>
  <c r="BX164" i="25" s="1"/>
  <c r="BE285" i="25"/>
  <c r="BR285" i="25"/>
  <c r="BX285" i="25" s="1"/>
  <c r="BY312" i="24"/>
  <c r="CA312" i="24" s="1"/>
  <c r="BM312" i="24"/>
  <c r="BN312" i="24" s="1"/>
  <c r="BE142" i="25"/>
  <c r="BR142" i="25"/>
  <c r="BX142" i="25" s="1"/>
  <c r="BY309" i="24"/>
  <c r="CA309" i="24" s="1"/>
  <c r="BM309" i="24"/>
  <c r="BN309" i="24" s="1"/>
  <c r="BY243" i="24"/>
  <c r="CA243" i="24" s="1"/>
  <c r="BM243" i="24"/>
  <c r="BN243" i="24" s="1"/>
  <c r="BY47" i="24"/>
  <c r="CA47" i="24" s="1"/>
  <c r="CB47" i="24" s="1"/>
  <c r="BN47" i="24"/>
  <c r="BE150" i="25"/>
  <c r="BR150" i="25"/>
  <c r="BX150" i="25" s="1"/>
  <c r="BE17" i="25"/>
  <c r="BK17" i="25" s="1"/>
  <c r="BR17" i="25"/>
  <c r="BV17" i="25" s="1"/>
  <c r="BX17" i="25" s="1"/>
  <c r="BY201" i="25"/>
  <c r="CA201" i="25" s="1"/>
  <c r="BL201" i="25"/>
  <c r="BK201" i="25"/>
  <c r="AG307" i="29"/>
  <c r="W307" i="29"/>
  <c r="X573" i="29"/>
  <c r="Y573" i="29" s="1"/>
  <c r="AH573" i="29"/>
  <c r="AH525" i="29"/>
  <c r="X525" i="29"/>
  <c r="Y525" i="29" s="1"/>
  <c r="AH319" i="29"/>
  <c r="X319" i="29"/>
  <c r="Y319" i="29" s="1"/>
  <c r="AG229" i="29"/>
  <c r="W229" i="29"/>
  <c r="AG478" i="29"/>
  <c r="W478" i="29"/>
  <c r="X251" i="29"/>
  <c r="Y251" i="29" s="1"/>
  <c r="AH251" i="29"/>
  <c r="AG69" i="29"/>
  <c r="W69" i="29"/>
  <c r="AG48" i="29"/>
  <c r="W48" i="29"/>
  <c r="AH417" i="29"/>
  <c r="X417" i="29"/>
  <c r="Y417" i="29" s="1"/>
  <c r="AG14" i="29"/>
  <c r="W14" i="29"/>
  <c r="AH362" i="29"/>
  <c r="X362" i="29"/>
  <c r="Y362" i="29" s="1"/>
  <c r="AG481" i="29"/>
  <c r="W481" i="29"/>
  <c r="AG394" i="29"/>
  <c r="W394" i="29"/>
  <c r="BR63" i="25"/>
  <c r="BV63" i="25" s="1"/>
  <c r="BX63" i="25" s="1"/>
  <c r="BE63" i="25"/>
  <c r="BK63" i="25" s="1"/>
  <c r="BE234" i="25"/>
  <c r="BR234" i="25"/>
  <c r="BX234" i="25" s="1"/>
  <c r="BE171" i="25"/>
  <c r="BR171" i="25"/>
  <c r="BX171" i="25" s="1"/>
  <c r="BR165" i="25"/>
  <c r="BX165" i="25" s="1"/>
  <c r="BE165" i="25"/>
  <c r="BN48" i="24"/>
  <c r="BY48" i="24"/>
  <c r="CA48" i="24" s="1"/>
  <c r="BE187" i="25"/>
  <c r="BR187" i="25"/>
  <c r="BX187" i="25" s="1"/>
  <c r="BY143" i="24"/>
  <c r="CA143" i="24" s="1"/>
  <c r="CB143" i="24" s="1"/>
  <c r="BM143" i="24"/>
  <c r="BN143" i="24" s="1"/>
  <c r="AH186" i="29"/>
  <c r="X186" i="29"/>
  <c r="Y186" i="29" s="1"/>
  <c r="BY150" i="24"/>
  <c r="CA150" i="24" s="1"/>
  <c r="BM150" i="24"/>
  <c r="BN150" i="24" s="1"/>
  <c r="BY231" i="24"/>
  <c r="CA231" i="24" s="1"/>
  <c r="CB231" i="24" s="1"/>
  <c r="BM231" i="24"/>
  <c r="BN231" i="24" s="1"/>
  <c r="BR39" i="25"/>
  <c r="BV39" i="25" s="1"/>
  <c r="BX39" i="25" s="1"/>
  <c r="BE39" i="25"/>
  <c r="BK39" i="25" s="1"/>
  <c r="BY187" i="24"/>
  <c r="CA187" i="24" s="1"/>
  <c r="CB187" i="24" s="1"/>
  <c r="BM187" i="24"/>
  <c r="BN187" i="24" s="1"/>
  <c r="BY137" i="24"/>
  <c r="CA137" i="24" s="1"/>
  <c r="BM137" i="24"/>
  <c r="BN137" i="24" s="1"/>
  <c r="BE100" i="25"/>
  <c r="BK100" i="25" s="1"/>
  <c r="BR100" i="25"/>
  <c r="BV100" i="25" s="1"/>
  <c r="BX100" i="25" s="1"/>
  <c r="BE194" i="25"/>
  <c r="BR194" i="25"/>
  <c r="BX194" i="25" s="1"/>
  <c r="X537" i="29"/>
  <c r="Y537" i="29" s="1"/>
  <c r="AH537" i="29"/>
  <c r="X153" i="29"/>
  <c r="Y153" i="29" s="1"/>
  <c r="AH153" i="29"/>
  <c r="AG71" i="29"/>
  <c r="W71" i="29"/>
  <c r="AG376" i="29"/>
  <c r="W376" i="29"/>
  <c r="AH64" i="29"/>
  <c r="X64" i="29"/>
  <c r="Y64" i="29" s="1"/>
  <c r="BY11" i="24"/>
  <c r="CA11" i="24" s="1"/>
  <c r="CB11" i="24" s="1"/>
  <c r="BN11" i="24"/>
  <c r="BY225" i="24"/>
  <c r="CA225" i="24" s="1"/>
  <c r="BM225" i="24"/>
  <c r="BN225" i="24" s="1"/>
  <c r="BY204" i="25"/>
  <c r="CA204" i="25" s="1"/>
  <c r="BL204" i="25"/>
  <c r="BK204" i="25"/>
  <c r="BE33" i="25"/>
  <c r="BK33" i="25" s="1"/>
  <c r="BR33" i="25"/>
  <c r="BV33" i="25" s="1"/>
  <c r="BX33" i="25" s="1"/>
  <c r="BE23" i="25"/>
  <c r="BK23" i="25" s="1"/>
  <c r="BR23" i="25"/>
  <c r="BV23" i="25" s="1"/>
  <c r="BX23" i="25" s="1"/>
  <c r="BY208" i="24"/>
  <c r="CA208" i="24" s="1"/>
  <c r="BM208" i="24"/>
  <c r="BN208" i="24" s="1"/>
  <c r="BY234" i="24"/>
  <c r="CA234" i="24" s="1"/>
  <c r="CB234" i="24" s="1"/>
  <c r="BM234" i="24"/>
  <c r="BN234" i="24" s="1"/>
  <c r="BR69" i="25"/>
  <c r="BV69" i="25" s="1"/>
  <c r="BX69" i="25" s="1"/>
  <c r="BE69" i="25"/>
  <c r="BK69" i="25" s="1"/>
  <c r="BR149" i="25"/>
  <c r="BX149" i="25" s="1"/>
  <c r="BE149" i="25"/>
  <c r="BY158" i="25"/>
  <c r="CA158" i="25" s="1"/>
  <c r="CB158" i="25" s="1"/>
  <c r="BL158" i="25"/>
  <c r="BK158" i="25"/>
  <c r="AG138" i="29"/>
  <c r="W138" i="29"/>
  <c r="AH565" i="29"/>
  <c r="X565" i="29"/>
  <c r="Y565" i="29" s="1"/>
  <c r="W371" i="29"/>
  <c r="AG371" i="29"/>
  <c r="AH147" i="29"/>
  <c r="X147" i="29"/>
  <c r="Y147" i="29" s="1"/>
  <c r="AG67" i="29"/>
  <c r="W67" i="29"/>
  <c r="X142" i="29"/>
  <c r="Y142" i="29" s="1"/>
  <c r="AH142" i="29"/>
  <c r="W21" i="29"/>
  <c r="AG21" i="29"/>
  <c r="AG306" i="29"/>
  <c r="W306" i="29"/>
  <c r="X284" i="29"/>
  <c r="Y284" i="29" s="1"/>
  <c r="AH284" i="29"/>
  <c r="AH15" i="29"/>
  <c r="X15" i="29"/>
  <c r="Y15" i="29" s="1"/>
  <c r="AH296" i="29"/>
  <c r="X296" i="29"/>
  <c r="Y296" i="29" s="1"/>
  <c r="AG274" i="29"/>
  <c r="W274" i="29"/>
  <c r="W397" i="29"/>
  <c r="AG397" i="29"/>
  <c r="X453" i="29"/>
  <c r="Y453" i="29" s="1"/>
  <c r="AH453" i="29"/>
  <c r="BE182" i="25"/>
  <c r="BR182" i="25"/>
  <c r="BX182" i="25" s="1"/>
  <c r="BE172" i="25"/>
  <c r="BR172" i="25"/>
  <c r="BX172" i="25" s="1"/>
  <c r="BE260" i="25"/>
  <c r="BR260" i="25"/>
  <c r="BX260" i="25" s="1"/>
  <c r="BY257" i="25"/>
  <c r="CA257" i="25" s="1"/>
  <c r="CB257" i="25" s="1"/>
  <c r="BL257" i="25"/>
  <c r="BK257" i="25"/>
  <c r="AG612" i="29"/>
  <c r="W612" i="29"/>
  <c r="AG220" i="29"/>
  <c r="W220" i="29"/>
  <c r="AH226" i="29"/>
  <c r="X226" i="29"/>
  <c r="Y226" i="29" s="1"/>
  <c r="D64" i="29"/>
  <c r="E59" i="1" s="1"/>
  <c r="D61" i="29"/>
  <c r="BY115" i="24"/>
  <c r="CA115" i="24" s="1"/>
  <c r="CB115" i="24" s="1"/>
  <c r="BM115" i="24"/>
  <c r="BN115" i="24" s="1"/>
  <c r="BE218" i="25"/>
  <c r="BR218" i="25"/>
  <c r="BX218" i="25" s="1"/>
  <c r="BE10" i="25"/>
  <c r="BK10" i="25" s="1"/>
  <c r="BR10" i="25"/>
  <c r="BV10" i="25" s="1"/>
  <c r="BX10" i="25" s="1"/>
  <c r="BR40" i="25"/>
  <c r="BV40" i="25" s="1"/>
  <c r="BX40" i="25" s="1"/>
  <c r="BE40" i="25"/>
  <c r="BK40" i="25" s="1"/>
  <c r="BE132" i="25"/>
  <c r="BR132" i="25"/>
  <c r="BX132" i="25" s="1"/>
  <c r="BY136" i="24"/>
  <c r="CA136" i="24" s="1"/>
  <c r="CB136" i="24" s="1"/>
  <c r="BM136" i="24"/>
  <c r="BN136" i="24" s="1"/>
  <c r="BY209" i="24"/>
  <c r="CA209" i="24" s="1"/>
  <c r="BM209" i="24"/>
  <c r="BN209" i="24" s="1"/>
  <c r="BY274" i="24"/>
  <c r="CA274" i="24" s="1"/>
  <c r="BM274" i="24"/>
  <c r="BN274" i="24" s="1"/>
  <c r="BY99" i="24"/>
  <c r="CA99" i="24" s="1"/>
  <c r="CB99" i="24" s="1"/>
  <c r="BN99" i="24"/>
  <c r="BY248" i="25"/>
  <c r="CA248" i="25" s="1"/>
  <c r="CB248" i="25" s="1"/>
  <c r="BL248" i="25"/>
  <c r="BK248" i="25"/>
  <c r="BE252" i="25"/>
  <c r="BR252" i="25"/>
  <c r="BX252" i="25" s="1"/>
  <c r="BY138" i="24"/>
  <c r="CA138" i="24" s="1"/>
  <c r="CB138" i="24" s="1"/>
  <c r="BM138" i="24"/>
  <c r="BN138" i="24" s="1"/>
  <c r="BR57" i="25"/>
  <c r="BV57" i="25" s="1"/>
  <c r="BX57" i="25" s="1"/>
  <c r="BE57" i="25"/>
  <c r="BK57" i="25" s="1"/>
  <c r="BE181" i="25"/>
  <c r="BR181" i="25"/>
  <c r="BX181" i="25" s="1"/>
  <c r="W302" i="29"/>
  <c r="AG302" i="29"/>
  <c r="AG345" i="29"/>
  <c r="W345" i="29"/>
  <c r="X595" i="29"/>
  <c r="Y595" i="29" s="1"/>
  <c r="AH595" i="29"/>
  <c r="BE16" i="25"/>
  <c r="BK16" i="25" s="1"/>
  <c r="BR16" i="25"/>
  <c r="BV16" i="25" s="1"/>
  <c r="BX16" i="25" s="1"/>
  <c r="BY272" i="24"/>
  <c r="CA272" i="24" s="1"/>
  <c r="BM272" i="24"/>
  <c r="BN272" i="24" s="1"/>
  <c r="BY246" i="25"/>
  <c r="CA246" i="25" s="1"/>
  <c r="CB246" i="25" s="1"/>
  <c r="BL246" i="25"/>
  <c r="BK246" i="25"/>
  <c r="BE137" i="25"/>
  <c r="BR137" i="25"/>
  <c r="BX137" i="25" s="1"/>
  <c r="BY69" i="24"/>
  <c r="CA69" i="24" s="1"/>
  <c r="BN69" i="24"/>
  <c r="BR45" i="25"/>
  <c r="BV45" i="25" s="1"/>
  <c r="BX45" i="25" s="1"/>
  <c r="BE45" i="25"/>
  <c r="BK45" i="25" s="1"/>
  <c r="BN46" i="24"/>
  <c r="BY46" i="24"/>
  <c r="CA46" i="24" s="1"/>
  <c r="CB46" i="24" s="1"/>
  <c r="BR38" i="25"/>
  <c r="BV38" i="25" s="1"/>
  <c r="BX38" i="25" s="1"/>
  <c r="BE38" i="25"/>
  <c r="BK38" i="25" s="1"/>
  <c r="AH253" i="29"/>
  <c r="X253" i="29"/>
  <c r="Y253" i="29" s="1"/>
  <c r="AG292" i="29"/>
  <c r="W292" i="29"/>
  <c r="X117" i="29"/>
  <c r="Y117" i="29" s="1"/>
  <c r="AH117" i="29"/>
  <c r="W396" i="29"/>
  <c r="AG396" i="29"/>
  <c r="X564" i="29"/>
  <c r="Y564" i="29" s="1"/>
  <c r="AH564" i="29"/>
  <c r="X433" i="29"/>
  <c r="Y433" i="29" s="1"/>
  <c r="AH433" i="29"/>
  <c r="X610" i="29"/>
  <c r="Y610" i="29" s="1"/>
  <c r="AH610" i="29"/>
  <c r="AH349" i="29"/>
  <c r="X349" i="29"/>
  <c r="Y349" i="29" s="1"/>
  <c r="AH305" i="29"/>
  <c r="X305" i="29"/>
  <c r="Y305" i="29" s="1"/>
  <c r="W411" i="29"/>
  <c r="AG411" i="29"/>
  <c r="W503" i="29"/>
  <c r="AG503" i="29"/>
  <c r="AH232" i="29"/>
  <c r="X232" i="29"/>
  <c r="Y232" i="29" s="1"/>
  <c r="AG512" i="29"/>
  <c r="W512" i="29"/>
  <c r="X390" i="29"/>
  <c r="Y390" i="29" s="1"/>
  <c r="AH390" i="29"/>
  <c r="AG54" i="29"/>
  <c r="W54" i="29"/>
  <c r="BY314" i="24"/>
  <c r="CA314" i="24" s="1"/>
  <c r="BM314" i="24"/>
  <c r="BN314" i="24" s="1"/>
  <c r="BY49" i="24"/>
  <c r="CA49" i="24" s="1"/>
  <c r="BN49" i="24"/>
  <c r="BE24" i="25"/>
  <c r="BK24" i="25" s="1"/>
  <c r="BR24" i="25"/>
  <c r="BV24" i="25" s="1"/>
  <c r="BX24" i="25" s="1"/>
  <c r="BY201" i="24"/>
  <c r="CA201" i="24" s="1"/>
  <c r="BM201" i="24"/>
  <c r="BN201" i="24" s="1"/>
  <c r="BE268" i="25"/>
  <c r="BR268" i="25"/>
  <c r="BX268" i="25" s="1"/>
  <c r="BE126" i="25"/>
  <c r="BR126" i="25"/>
  <c r="BX126" i="25" s="1"/>
  <c r="BE163" i="25"/>
  <c r="BR163" i="25"/>
  <c r="BX163" i="25" s="1"/>
  <c r="BY171" i="24"/>
  <c r="CA171" i="24" s="1"/>
  <c r="CB171" i="24" s="1"/>
  <c r="BM171" i="24"/>
  <c r="BN171" i="24" s="1"/>
  <c r="BE197" i="25"/>
  <c r="BR197" i="25"/>
  <c r="BX197" i="25" s="1"/>
  <c r="BY32" i="25"/>
  <c r="CA32" i="25" s="1"/>
  <c r="CB32" i="25" s="1"/>
  <c r="BL32" i="25"/>
  <c r="AH37" i="29"/>
  <c r="X37" i="29"/>
  <c r="Y37" i="29" s="1"/>
  <c r="W155" i="29"/>
  <c r="AG155" i="29"/>
  <c r="AG486" i="29"/>
  <c r="W486" i="29"/>
  <c r="AH515" i="29"/>
  <c r="X515" i="29"/>
  <c r="Y515" i="29" s="1"/>
  <c r="AH92" i="29"/>
  <c r="X92" i="29"/>
  <c r="Y92" i="29" s="1"/>
  <c r="W331" i="29"/>
  <c r="AG331" i="29"/>
  <c r="AG321" i="29"/>
  <c r="W321" i="29"/>
  <c r="W300" i="29"/>
  <c r="AG300" i="29"/>
  <c r="AH45" i="29"/>
  <c r="X45" i="29"/>
  <c r="Y45" i="29" s="1"/>
  <c r="AH502" i="29"/>
  <c r="X502" i="29"/>
  <c r="Y502" i="29" s="1"/>
  <c r="AG283" i="29"/>
  <c r="W283" i="29"/>
  <c r="W131" i="29"/>
  <c r="AG131" i="29"/>
  <c r="AH464" i="29"/>
  <c r="X464" i="29"/>
  <c r="Y464" i="29" s="1"/>
  <c r="W110" i="29"/>
  <c r="AG110" i="29"/>
  <c r="BY36" i="24"/>
  <c r="CA36" i="24" s="1"/>
  <c r="CB36" i="24" s="1"/>
  <c r="BN36" i="24"/>
  <c r="BY174" i="24"/>
  <c r="CA174" i="24" s="1"/>
  <c r="BM174" i="24"/>
  <c r="BN174" i="24" s="1"/>
  <c r="BL82" i="25"/>
  <c r="BY82" i="25"/>
  <c r="CA82" i="25" s="1"/>
  <c r="BY314" i="25"/>
  <c r="CA314" i="25" s="1"/>
  <c r="CB314" i="25" s="1"/>
  <c r="BL314" i="25"/>
  <c r="BK314" i="25"/>
  <c r="BY275" i="24"/>
  <c r="CA275" i="24" s="1"/>
  <c r="CB275" i="24" s="1"/>
  <c r="BM275" i="24"/>
  <c r="BN275" i="24" s="1"/>
  <c r="BR75" i="25"/>
  <c r="BV75" i="25" s="1"/>
  <c r="BX75" i="25" s="1"/>
  <c r="BE75" i="25"/>
  <c r="BK75" i="25" s="1"/>
  <c r="BR12" i="25"/>
  <c r="BV12" i="25" s="1"/>
  <c r="BX12" i="25" s="1"/>
  <c r="BE12" i="25"/>
  <c r="BK12" i="25" s="1"/>
  <c r="BY118" i="24"/>
  <c r="CA118" i="24" s="1"/>
  <c r="BM118" i="24"/>
  <c r="BN118" i="24" s="1"/>
  <c r="BL296" i="25"/>
  <c r="BY296" i="25"/>
  <c r="CA296" i="25" s="1"/>
  <c r="CB296" i="25" s="1"/>
  <c r="BK296" i="25"/>
  <c r="BY310" i="24"/>
  <c r="CA310" i="24" s="1"/>
  <c r="BM310" i="24"/>
  <c r="BN310" i="24" s="1"/>
  <c r="BY140" i="24"/>
  <c r="CA140" i="24" s="1"/>
  <c r="CB140" i="24" s="1"/>
  <c r="BM140" i="24"/>
  <c r="BN140" i="24" s="1"/>
  <c r="BY92" i="25"/>
  <c r="CA92" i="25" s="1"/>
  <c r="BL92" i="25"/>
  <c r="X348" i="29"/>
  <c r="Y348" i="29" s="1"/>
  <c r="AH348" i="29"/>
  <c r="AH58" i="29"/>
  <c r="X58" i="29"/>
  <c r="Y58" i="29" s="1"/>
  <c r="X32" i="29"/>
  <c r="Y32" i="29" s="1"/>
  <c r="AH32" i="29"/>
  <c r="AH13" i="29"/>
  <c r="X13" i="29"/>
  <c r="Y13" i="29" s="1"/>
  <c r="X97" i="29"/>
  <c r="Y97" i="29" s="1"/>
  <c r="AH97" i="29"/>
  <c r="AH452" i="29"/>
  <c r="X452" i="29"/>
  <c r="Y452" i="29" s="1"/>
  <c r="BL275" i="25"/>
  <c r="BY275" i="25"/>
  <c r="CA275" i="25" s="1"/>
  <c r="CB275" i="25" s="1"/>
  <c r="BK275" i="25"/>
  <c r="BN94" i="24"/>
  <c r="BY94" i="24"/>
  <c r="CA94" i="24" s="1"/>
  <c r="CB94" i="24" s="1"/>
  <c r="BY125" i="24"/>
  <c r="CA125" i="24" s="1"/>
  <c r="CB125" i="24" s="1"/>
  <c r="BM125" i="24"/>
  <c r="BN125" i="24" s="1"/>
  <c r="BY196" i="24"/>
  <c r="CA196" i="24" s="1"/>
  <c r="CB196" i="24" s="1"/>
  <c r="BM196" i="24"/>
  <c r="BN196" i="24" s="1"/>
  <c r="BY43" i="24"/>
  <c r="CA43" i="24" s="1"/>
  <c r="CB43" i="24" s="1"/>
  <c r="BN43" i="24"/>
  <c r="BY133" i="24"/>
  <c r="CA133" i="24" s="1"/>
  <c r="CB133" i="24" s="1"/>
  <c r="BM133" i="24"/>
  <c r="BN133" i="24" s="1"/>
  <c r="BR66" i="25"/>
  <c r="BV66" i="25" s="1"/>
  <c r="BX66" i="25" s="1"/>
  <c r="BE66" i="25"/>
  <c r="BK66" i="25" s="1"/>
  <c r="BY313" i="24"/>
  <c r="CA313" i="24" s="1"/>
  <c r="CB313" i="24" s="1"/>
  <c r="BM313" i="24"/>
  <c r="BN313" i="24" s="1"/>
  <c r="BY83" i="24"/>
  <c r="CA83" i="24" s="1"/>
  <c r="BN83" i="24"/>
  <c r="AH325" i="29"/>
  <c r="X325" i="29"/>
  <c r="Y325" i="29" s="1"/>
  <c r="W469" i="29"/>
  <c r="AG469" i="29"/>
  <c r="AH444" i="29"/>
  <c r="X444" i="29"/>
  <c r="Y444" i="29" s="1"/>
  <c r="AH542" i="29"/>
  <c r="X542" i="29"/>
  <c r="Y542" i="29" s="1"/>
  <c r="AG554" i="29"/>
  <c r="W554" i="29"/>
  <c r="AG34" i="29"/>
  <c r="W34" i="29"/>
  <c r="W491" i="29"/>
  <c r="AG491" i="29"/>
  <c r="AG61" i="29"/>
  <c r="W61" i="29"/>
  <c r="AG317" i="29"/>
  <c r="W317" i="29"/>
  <c r="AG211" i="29"/>
  <c r="W211" i="29"/>
  <c r="AG548" i="29"/>
  <c r="W548" i="29"/>
  <c r="AG385" i="29"/>
  <c r="W385" i="29"/>
  <c r="W352" i="29"/>
  <c r="AG352" i="29"/>
  <c r="AG224" i="29"/>
  <c r="W224" i="29"/>
  <c r="AH541" i="29"/>
  <c r="X541" i="29"/>
  <c r="Y541" i="29" s="1"/>
  <c r="AH254" i="29"/>
  <c r="X254" i="29"/>
  <c r="Y254" i="29" s="1"/>
  <c r="AH105" i="29"/>
  <c r="X105" i="29"/>
  <c r="Y105" i="29" s="1"/>
  <c r="BY291" i="24"/>
  <c r="CA291" i="24" s="1"/>
  <c r="BM291" i="24"/>
  <c r="BN291" i="24" s="1"/>
  <c r="BE121" i="25"/>
  <c r="BR121" i="25"/>
  <c r="BX121" i="25" s="1"/>
  <c r="BN98" i="24"/>
  <c r="BY98" i="24"/>
  <c r="CA98" i="24" s="1"/>
  <c r="BE36" i="25"/>
  <c r="BK36" i="25" s="1"/>
  <c r="BR36" i="25"/>
  <c r="BV36" i="25" s="1"/>
  <c r="BX36" i="25" s="1"/>
  <c r="BE223" i="25"/>
  <c r="BR223" i="25"/>
  <c r="BX223" i="25" s="1"/>
  <c r="BN75" i="24"/>
  <c r="BY75" i="24"/>
  <c r="CA75" i="24" s="1"/>
  <c r="CB75" i="24" s="1"/>
  <c r="BE136" i="25"/>
  <c r="BR136" i="25"/>
  <c r="BX136" i="25" s="1"/>
  <c r="AG169" i="29"/>
  <c r="W169" i="29"/>
  <c r="W167" i="29"/>
  <c r="AG167" i="29"/>
  <c r="W537" i="29"/>
  <c r="AG537" i="29"/>
  <c r="X297" i="29"/>
  <c r="Y297" i="29" s="1"/>
  <c r="AH297" i="29"/>
  <c r="X75" i="29"/>
  <c r="Y75" i="29" s="1"/>
  <c r="AH75" i="29"/>
  <c r="AH504" i="29"/>
  <c r="X504" i="29"/>
  <c r="Y504" i="29" s="1"/>
  <c r="W552" i="29"/>
  <c r="AG552" i="29"/>
  <c r="AH172" i="29"/>
  <c r="X172" i="29"/>
  <c r="Y172" i="29" s="1"/>
  <c r="X534" i="29"/>
  <c r="Y534" i="29" s="1"/>
  <c r="AH534" i="29"/>
  <c r="AH429" i="29"/>
  <c r="X429" i="29"/>
  <c r="Y429" i="29" s="1"/>
  <c r="X240" i="29"/>
  <c r="Y240" i="29" s="1"/>
  <c r="AH240" i="29"/>
  <c r="W354" i="29"/>
  <c r="AG354" i="29"/>
  <c r="AH132" i="29"/>
  <c r="X132" i="29"/>
  <c r="Y132" i="29" s="1"/>
  <c r="AG22" i="29"/>
  <c r="W22" i="29"/>
  <c r="AH73" i="29"/>
  <c r="X73" i="29"/>
  <c r="Y73" i="29" s="1"/>
  <c r="BL232" i="25"/>
  <c r="BY232" i="25"/>
  <c r="CA232" i="25" s="1"/>
  <c r="CB232" i="25" s="1"/>
  <c r="BK232" i="25"/>
  <c r="BR18" i="25"/>
  <c r="BV18" i="25" s="1"/>
  <c r="BX18" i="25" s="1"/>
  <c r="BE18" i="25"/>
  <c r="BK18" i="25" s="1"/>
  <c r="BL94" i="25"/>
  <c r="BY94" i="25"/>
  <c r="CA94" i="25" s="1"/>
  <c r="CB94" i="25" s="1"/>
  <c r="BY156" i="24"/>
  <c r="CA156" i="24" s="1"/>
  <c r="BM156" i="24"/>
  <c r="BN156" i="24" s="1"/>
  <c r="BY226" i="24"/>
  <c r="CA226" i="24" s="1"/>
  <c r="CB226" i="24" s="1"/>
  <c r="BM226" i="24"/>
  <c r="BN226" i="24" s="1"/>
  <c r="W581" i="29"/>
  <c r="AG581" i="29"/>
  <c r="AH70" i="29"/>
  <c r="X70" i="29"/>
  <c r="Y70" i="29" s="1"/>
  <c r="X109" i="29"/>
  <c r="Y109" i="29" s="1"/>
  <c r="AH109" i="29"/>
  <c r="W340" i="29"/>
  <c r="AG340" i="29"/>
  <c r="AG358" i="29"/>
  <c r="W358" i="29"/>
  <c r="BE242" i="25"/>
  <c r="BR242" i="25"/>
  <c r="BX242" i="25" s="1"/>
  <c r="BY87" i="25"/>
  <c r="CA87" i="25" s="1"/>
  <c r="CB87" i="25" s="1"/>
  <c r="BL87" i="25"/>
  <c r="BY178" i="25"/>
  <c r="CA178" i="25" s="1"/>
  <c r="CB178" i="25" s="1"/>
  <c r="BL178" i="25"/>
  <c r="BK178" i="25"/>
  <c r="BY169" i="24"/>
  <c r="CA169" i="24" s="1"/>
  <c r="CB169" i="24" s="1"/>
  <c r="BM169" i="24"/>
  <c r="BN169" i="24" s="1"/>
  <c r="BY316" i="24"/>
  <c r="CA316" i="24" s="1"/>
  <c r="BM316" i="24"/>
  <c r="BY250" i="24"/>
  <c r="CA250" i="24" s="1"/>
  <c r="CB250" i="24" s="1"/>
  <c r="BM250" i="24"/>
  <c r="BN250" i="24" s="1"/>
  <c r="W600" i="29"/>
  <c r="AG600" i="29"/>
  <c r="AH353" i="29"/>
  <c r="X353" i="29"/>
  <c r="Y353" i="29" s="1"/>
  <c r="AH566" i="29"/>
  <c r="X566" i="29"/>
  <c r="Y566" i="29" s="1"/>
  <c r="W299" i="29"/>
  <c r="AG299" i="29"/>
  <c r="W359" i="29"/>
  <c r="AG359" i="29"/>
  <c r="W282" i="29"/>
  <c r="AG282" i="29"/>
  <c r="AG102" i="29"/>
  <c r="W102" i="29"/>
  <c r="AG203" i="29"/>
  <c r="W203" i="29"/>
  <c r="W604" i="29"/>
  <c r="AG604" i="29"/>
  <c r="X488" i="29"/>
  <c r="Y488" i="29" s="1"/>
  <c r="AH488" i="29"/>
  <c r="AH547" i="29"/>
  <c r="X547" i="29"/>
  <c r="Y547" i="29" s="1"/>
  <c r="W399" i="29"/>
  <c r="AG399" i="29"/>
  <c r="X520" i="29"/>
  <c r="Y520" i="29" s="1"/>
  <c r="AH520" i="29"/>
  <c r="W243" i="29"/>
  <c r="AG243" i="29"/>
  <c r="W136" i="29"/>
  <c r="AG136" i="29"/>
  <c r="BR119" i="25"/>
  <c r="BX119" i="25" s="1"/>
  <c r="BE119" i="25"/>
  <c r="BR196" i="25"/>
  <c r="BX196" i="25" s="1"/>
  <c r="BE196" i="25"/>
  <c r="BY205" i="24"/>
  <c r="CA205" i="24" s="1"/>
  <c r="BM205" i="24"/>
  <c r="BN205" i="24" s="1"/>
  <c r="BR56" i="25"/>
  <c r="BV56" i="25" s="1"/>
  <c r="BX56" i="25" s="1"/>
  <c r="BE56" i="25"/>
  <c r="BK56" i="25" s="1"/>
  <c r="BE144" i="25"/>
  <c r="BR144" i="25"/>
  <c r="BX144" i="25" s="1"/>
  <c r="BN105" i="24"/>
  <c r="BY105" i="24"/>
  <c r="CA105" i="24" s="1"/>
  <c r="BY185" i="24"/>
  <c r="CA185" i="24" s="1"/>
  <c r="BM185" i="24"/>
  <c r="BN185" i="24" s="1"/>
  <c r="BE287" i="25"/>
  <c r="BR287" i="25"/>
  <c r="BX287" i="25" s="1"/>
  <c r="BN53" i="24"/>
  <c r="BY53" i="24"/>
  <c r="CA53" i="24" s="1"/>
  <c r="CB53" i="24" s="1"/>
  <c r="AH245" i="29"/>
  <c r="X245" i="29"/>
  <c r="Y245" i="29" s="1"/>
  <c r="AH381" i="29"/>
  <c r="X381" i="29"/>
  <c r="Y381" i="29" s="1"/>
  <c r="AG521" i="29"/>
  <c r="W521" i="29"/>
  <c r="X576" i="29"/>
  <c r="Y576" i="29" s="1"/>
  <c r="AH576" i="29"/>
  <c r="AG388" i="29"/>
  <c r="W388" i="29"/>
  <c r="X219" i="29"/>
  <c r="Y219" i="29" s="1"/>
  <c r="AH219" i="29"/>
  <c r="X100" i="29"/>
  <c r="Y100" i="29" s="1"/>
  <c r="AH100" i="29"/>
  <c r="AG368" i="29"/>
  <c r="W368" i="29"/>
  <c r="X389" i="29"/>
  <c r="Y389" i="29" s="1"/>
  <c r="AH389" i="29"/>
  <c r="AG63" i="29"/>
  <c r="W63" i="29"/>
  <c r="AG190" i="29"/>
  <c r="W190" i="29"/>
  <c r="AH540" i="29"/>
  <c r="X540" i="29"/>
  <c r="Y540" i="29" s="1"/>
  <c r="X280" i="29"/>
  <c r="Y280" i="29" s="1"/>
  <c r="AH280" i="29"/>
  <c r="AG212" i="29"/>
  <c r="W212" i="29"/>
  <c r="W168" i="29"/>
  <c r="AG168" i="29"/>
  <c r="W141" i="29"/>
  <c r="AG141" i="29"/>
  <c r="BY284" i="24"/>
  <c r="CA284" i="24" s="1"/>
  <c r="BM284" i="24"/>
  <c r="BN284" i="24" s="1"/>
  <c r="BR70" i="25"/>
  <c r="BV70" i="25" s="1"/>
  <c r="BX70" i="25" s="1"/>
  <c r="BE70" i="25"/>
  <c r="BK70" i="25" s="1"/>
  <c r="BY71" i="24"/>
  <c r="CA71" i="24" s="1"/>
  <c r="CB71" i="24" s="1"/>
  <c r="BN71" i="24"/>
  <c r="BE303" i="25"/>
  <c r="BR303" i="25"/>
  <c r="BX303" i="25" s="1"/>
  <c r="AH357" i="29"/>
  <c r="X357" i="29"/>
  <c r="Y357" i="29" s="1"/>
  <c r="W342" i="29"/>
  <c r="AG342" i="29"/>
  <c r="AH556" i="29"/>
  <c r="X556" i="29"/>
  <c r="Y556" i="29" s="1"/>
  <c r="BE195" i="25"/>
  <c r="BR195" i="25"/>
  <c r="BX195" i="25" s="1"/>
  <c r="BE301" i="25"/>
  <c r="BR301" i="25"/>
  <c r="BX301" i="25" s="1"/>
  <c r="BN39" i="24"/>
  <c r="BY39" i="24"/>
  <c r="CA39" i="24" s="1"/>
  <c r="CB39" i="24" s="1"/>
  <c r="BY17" i="24"/>
  <c r="CA17" i="24" s="1"/>
  <c r="CB17" i="24" s="1"/>
  <c r="BN17" i="24"/>
  <c r="BR19" i="25"/>
  <c r="BV19" i="25" s="1"/>
  <c r="BX19" i="25" s="1"/>
  <c r="BE19" i="25"/>
  <c r="BK19" i="25" s="1"/>
  <c r="BE27" i="25"/>
  <c r="BK27" i="25" s="1"/>
  <c r="BR27" i="25"/>
  <c r="BV27" i="25" s="1"/>
  <c r="BX27" i="25" s="1"/>
  <c r="BE220" i="25"/>
  <c r="BR220" i="25"/>
  <c r="BX220" i="25" s="1"/>
  <c r="BN62" i="24"/>
  <c r="BY62" i="24"/>
  <c r="CA62" i="24" s="1"/>
  <c r="X26" i="29"/>
  <c r="Y26" i="29" s="1"/>
  <c r="AH26" i="29"/>
  <c r="AG596" i="29"/>
  <c r="W596" i="29"/>
  <c r="AH120" i="29"/>
  <c r="X120" i="29"/>
  <c r="Y120" i="29" s="1"/>
  <c r="BY96" i="24"/>
  <c r="CA96" i="24" s="1"/>
  <c r="CB96" i="24" s="1"/>
  <c r="BN96" i="24"/>
  <c r="BL229" i="25"/>
  <c r="BY229" i="25"/>
  <c r="CA229" i="25" s="1"/>
  <c r="CB229" i="25" s="1"/>
  <c r="BK229" i="25"/>
  <c r="BE141" i="25"/>
  <c r="BR141" i="25"/>
  <c r="BX141" i="25" s="1"/>
  <c r="BE22" i="25"/>
  <c r="BK22" i="25" s="1"/>
  <c r="BR22" i="25"/>
  <c r="BV22" i="25" s="1"/>
  <c r="BX22" i="25" s="1"/>
  <c r="BR202" i="25"/>
  <c r="BX202" i="25" s="1"/>
  <c r="BE202" i="25"/>
  <c r="BY230" i="24"/>
  <c r="CA230" i="24" s="1"/>
  <c r="CB230" i="24" s="1"/>
  <c r="BM230" i="24"/>
  <c r="BN230" i="24" s="1"/>
  <c r="BY246" i="24"/>
  <c r="CA246" i="24" s="1"/>
  <c r="CB246" i="24" s="1"/>
  <c r="BM246" i="24"/>
  <c r="BN246" i="24" s="1"/>
  <c r="BY180" i="24"/>
  <c r="CA180" i="24" s="1"/>
  <c r="BM180" i="24"/>
  <c r="BN180" i="24" s="1"/>
  <c r="BN87" i="24"/>
  <c r="BY87" i="24"/>
  <c r="CA87" i="24" s="1"/>
  <c r="BY113" i="24"/>
  <c r="CA113" i="24" s="1"/>
  <c r="CB113" i="24" s="1"/>
  <c r="BM113" i="24"/>
  <c r="BN113" i="24" s="1"/>
  <c r="BR26" i="25"/>
  <c r="BV26" i="25" s="1"/>
  <c r="BX26" i="25" s="1"/>
  <c r="BE26" i="25"/>
  <c r="BK26" i="25" s="1"/>
  <c r="BN40" i="24"/>
  <c r="BY40" i="24"/>
  <c r="CA40" i="24" s="1"/>
  <c r="CB40" i="24" s="1"/>
  <c r="BN91" i="24"/>
  <c r="BY91" i="24"/>
  <c r="CA91" i="24" s="1"/>
  <c r="CB91" i="24" s="1"/>
  <c r="V585" i="29"/>
  <c r="U585" i="29"/>
  <c r="AH149" i="29"/>
  <c r="X149" i="29"/>
  <c r="Y149" i="29" s="1"/>
  <c r="AH119" i="29"/>
  <c r="X119" i="29"/>
  <c r="Y119" i="29" s="1"/>
  <c r="AG58" i="29"/>
  <c r="W58" i="29"/>
  <c r="W42" i="29"/>
  <c r="AG42" i="29"/>
  <c r="X31" i="29"/>
  <c r="Y31" i="29" s="1"/>
  <c r="AH31" i="29"/>
  <c r="AH574" i="29"/>
  <c r="X574" i="29"/>
  <c r="Y574" i="29" s="1"/>
  <c r="AG304" i="29"/>
  <c r="W304" i="29"/>
  <c r="X255" i="29"/>
  <c r="Y255" i="29" s="1"/>
  <c r="AH255" i="29"/>
  <c r="AG271" i="29"/>
  <c r="W271" i="29"/>
  <c r="AG592" i="29"/>
  <c r="W592" i="29"/>
  <c r="W215" i="29"/>
  <c r="AG215" i="29"/>
  <c r="X375" i="29"/>
  <c r="Y375" i="29" s="1"/>
  <c r="AH375" i="29"/>
  <c r="W539" i="29"/>
  <c r="AG539" i="29"/>
  <c r="AH310" i="29"/>
  <c r="X310" i="29"/>
  <c r="Y310" i="29" s="1"/>
  <c r="AG97" i="29"/>
  <c r="W97" i="29"/>
  <c r="W452" i="29"/>
  <c r="AG452" i="29"/>
  <c r="BY114" i="25"/>
  <c r="CA114" i="25" s="1"/>
  <c r="CB114" i="25" s="1"/>
  <c r="BL114" i="25"/>
  <c r="BK114" i="25"/>
  <c r="BE290" i="25"/>
  <c r="BR290" i="25"/>
  <c r="BX290" i="25" s="1"/>
  <c r="BY21" i="25"/>
  <c r="CA21" i="25" s="1"/>
  <c r="BL21" i="25"/>
  <c r="BY93" i="24"/>
  <c r="CA93" i="24" s="1"/>
  <c r="CB93" i="24" s="1"/>
  <c r="BN93" i="24"/>
  <c r="BY25" i="24"/>
  <c r="CA25" i="24" s="1"/>
  <c r="CB25" i="24" s="1"/>
  <c r="BN25" i="24"/>
  <c r="BY199" i="25"/>
  <c r="CA199" i="25" s="1"/>
  <c r="BL199" i="25"/>
  <c r="BK199" i="25"/>
  <c r="X88" i="29"/>
  <c r="Y88" i="29" s="1"/>
  <c r="AH88" i="29"/>
  <c r="X571" i="29"/>
  <c r="Y571" i="29" s="1"/>
  <c r="AH571" i="29"/>
  <c r="AG405" i="29"/>
  <c r="W405" i="29"/>
  <c r="W395" i="29"/>
  <c r="AG395" i="29"/>
  <c r="BY146" i="24"/>
  <c r="CA146" i="24" s="1"/>
  <c r="BM146" i="24"/>
  <c r="BN146" i="24" s="1"/>
  <c r="BE117" i="25"/>
  <c r="BR117" i="25"/>
  <c r="BX117" i="25" s="1"/>
  <c r="BN31" i="24"/>
  <c r="BY31" i="24"/>
  <c r="CA31" i="24" s="1"/>
  <c r="CB31" i="24" s="1"/>
  <c r="BE270" i="25"/>
  <c r="BR270" i="25"/>
  <c r="BX270" i="25" s="1"/>
  <c r="BY14" i="24"/>
  <c r="CA14" i="24" s="1"/>
  <c r="BN14" i="24"/>
  <c r="BE124" i="25"/>
  <c r="BR124" i="25"/>
  <c r="BX124" i="25" s="1"/>
  <c r="BR48" i="25"/>
  <c r="BV48" i="25" s="1"/>
  <c r="BX48" i="25" s="1"/>
  <c r="BE48" i="25"/>
  <c r="BK48" i="25" s="1"/>
  <c r="AH195" i="29"/>
  <c r="X195" i="29"/>
  <c r="Y195" i="29" s="1"/>
  <c r="AH124" i="29"/>
  <c r="X124" i="29"/>
  <c r="Y124" i="29" s="1"/>
  <c r="BR185" i="25"/>
  <c r="BX185" i="25" s="1"/>
  <c r="BE185" i="25"/>
  <c r="BE233" i="25"/>
  <c r="BR233" i="25"/>
  <c r="BX233" i="25" s="1"/>
  <c r="BY64" i="24"/>
  <c r="CA64" i="24" s="1"/>
  <c r="CB64" i="24" s="1"/>
  <c r="BN64" i="24"/>
  <c r="BE221" i="25"/>
  <c r="BR221" i="25"/>
  <c r="BX221" i="25" s="1"/>
  <c r="BY229" i="24"/>
  <c r="CA229" i="24" s="1"/>
  <c r="CB229" i="24" s="1"/>
  <c r="BM229" i="24"/>
  <c r="BN229" i="24" s="1"/>
  <c r="BY290" i="24"/>
  <c r="CA290" i="24" s="1"/>
  <c r="CB290" i="24" s="1"/>
  <c r="BM290" i="24"/>
  <c r="BN290" i="24" s="1"/>
  <c r="BR72" i="25"/>
  <c r="BV72" i="25" s="1"/>
  <c r="BX72" i="25" s="1"/>
  <c r="BE72" i="25"/>
  <c r="BK72" i="25" s="1"/>
  <c r="BE277" i="25"/>
  <c r="BR277" i="25"/>
  <c r="BX277" i="25" s="1"/>
  <c r="B154" i="2"/>
  <c r="B160" i="2"/>
  <c r="E32" i="1" s="1"/>
  <c r="BR43" i="25"/>
  <c r="BV43" i="25" s="1"/>
  <c r="BX43" i="25" s="1"/>
  <c r="BE43" i="25"/>
  <c r="BK43" i="25" s="1"/>
  <c r="BR81" i="25"/>
  <c r="BV81" i="25" s="1"/>
  <c r="BX81" i="25" s="1"/>
  <c r="BE81" i="25"/>
  <c r="BK81" i="25" s="1"/>
  <c r="BE138" i="25"/>
  <c r="BR138" i="25"/>
  <c r="BX138" i="25" s="1"/>
  <c r="X38" i="29"/>
  <c r="Y38" i="29" s="1"/>
  <c r="AH38" i="29"/>
  <c r="W435" i="29"/>
  <c r="AG435" i="29"/>
  <c r="AH199" i="29"/>
  <c r="X199" i="29"/>
  <c r="Y199" i="29" s="1"/>
  <c r="AH527" i="29"/>
  <c r="X527" i="29"/>
  <c r="Y527" i="29" s="1"/>
  <c r="AG83" i="29"/>
  <c r="W83" i="29"/>
  <c r="X122" i="29"/>
  <c r="Y122" i="29" s="1"/>
  <c r="AH122" i="29"/>
  <c r="AH194" i="29"/>
  <c r="X194" i="29"/>
  <c r="Y194" i="29" s="1"/>
  <c r="AH23" i="29"/>
  <c r="X23" i="29"/>
  <c r="Y23" i="29" s="1"/>
  <c r="X312" i="29"/>
  <c r="Y312" i="29" s="1"/>
  <c r="AH312" i="29"/>
  <c r="AG467" i="29"/>
  <c r="W467" i="29"/>
  <c r="AG188" i="29"/>
  <c r="W188" i="29"/>
  <c r="AH314" i="29"/>
  <c r="X314" i="29"/>
  <c r="Y314" i="29" s="1"/>
  <c r="W567" i="29"/>
  <c r="AG567" i="29"/>
  <c r="X492" i="29"/>
  <c r="Y492" i="29" s="1"/>
  <c r="AH492" i="29"/>
  <c r="BY141" i="24"/>
  <c r="CA141" i="24" s="1"/>
  <c r="CB141" i="24" s="1"/>
  <c r="BM141" i="24"/>
  <c r="BN141" i="24" s="1"/>
  <c r="BE297" i="25"/>
  <c r="BR297" i="25"/>
  <c r="BX297" i="25" s="1"/>
  <c r="BR65" i="25"/>
  <c r="BV65" i="25" s="1"/>
  <c r="BX65" i="25" s="1"/>
  <c r="BE65" i="25"/>
  <c r="BK65" i="25" s="1"/>
  <c r="BY252" i="24"/>
  <c r="CA252" i="24" s="1"/>
  <c r="BM252" i="24"/>
  <c r="BN252" i="24" s="1"/>
  <c r="X50" i="29"/>
  <c r="Y50" i="29" s="1"/>
  <c r="AH50" i="29"/>
  <c r="AH177" i="29"/>
  <c r="X177" i="29"/>
  <c r="Y177" i="29" s="1"/>
  <c r="W378" i="29"/>
  <c r="AG378" i="29"/>
  <c r="AH112" i="29"/>
  <c r="X112" i="29"/>
  <c r="Y112" i="29" s="1"/>
  <c r="BY280" i="25"/>
  <c r="CA280" i="25" s="1"/>
  <c r="CB280" i="25" s="1"/>
  <c r="BL280" i="25"/>
  <c r="BK280" i="25"/>
  <c r="BY261" i="24"/>
  <c r="CA261" i="24" s="1"/>
  <c r="CB261" i="24" s="1"/>
  <c r="BM261" i="24"/>
  <c r="BN261" i="24" s="1"/>
  <c r="BY149" i="24"/>
  <c r="CA149" i="24" s="1"/>
  <c r="CB149" i="24" s="1"/>
  <c r="BM149" i="24"/>
  <c r="BN149" i="24" s="1"/>
  <c r="BR125" i="25"/>
  <c r="BX125" i="25" s="1"/>
  <c r="BE125" i="25"/>
  <c r="BE105" i="25"/>
  <c r="BK105" i="25" s="1"/>
  <c r="BR105" i="25"/>
  <c r="BV105" i="25" s="1"/>
  <c r="BX105" i="25" s="1"/>
  <c r="BL265" i="25"/>
  <c r="BK265" i="25"/>
  <c r="BE91" i="25"/>
  <c r="BK91" i="25" s="1"/>
  <c r="BR91" i="25"/>
  <c r="BV91" i="25" s="1"/>
  <c r="BX91" i="25" s="1"/>
  <c r="BY182" i="24"/>
  <c r="CA182" i="24" s="1"/>
  <c r="BM182" i="24"/>
  <c r="BN182" i="24" s="1"/>
  <c r="X89" i="29"/>
  <c r="Y89" i="29" s="1"/>
  <c r="AH89" i="29"/>
  <c r="AG442" i="29"/>
  <c r="W442" i="29"/>
  <c r="AH608" i="29"/>
  <c r="X608" i="29"/>
  <c r="Y608" i="29" s="1"/>
  <c r="BL179" i="25"/>
  <c r="BY179" i="25"/>
  <c r="CA179" i="25" s="1"/>
  <c r="BK179" i="25"/>
  <c r="BY244" i="24"/>
  <c r="CA244" i="24" s="1"/>
  <c r="CB244" i="24" s="1"/>
  <c r="BM244" i="24"/>
  <c r="BN244" i="24" s="1"/>
  <c r="BE254" i="25"/>
  <c r="BR254" i="25"/>
  <c r="BX254" i="25" s="1"/>
  <c r="BL305" i="25"/>
  <c r="BY305" i="25"/>
  <c r="CA305" i="25" s="1"/>
  <c r="CB305" i="25" s="1"/>
  <c r="BK305" i="25"/>
  <c r="BY302" i="24"/>
  <c r="CA302" i="24" s="1"/>
  <c r="CB302" i="24" s="1"/>
  <c r="BM302" i="24"/>
  <c r="BN302" i="24" s="1"/>
  <c r="BN82" i="24"/>
  <c r="BY82" i="24"/>
  <c r="CA82" i="24" s="1"/>
  <c r="CB82" i="24" s="1"/>
  <c r="BY203" i="24"/>
  <c r="CA203" i="24" s="1"/>
  <c r="BM203" i="24"/>
  <c r="BN203" i="24" s="1"/>
  <c r="BL13" i="25"/>
  <c r="BY13" i="25"/>
  <c r="CA13" i="25" s="1"/>
  <c r="CB13" i="25" s="1"/>
  <c r="BY104" i="24"/>
  <c r="CA104" i="24" s="1"/>
  <c r="BN104" i="24"/>
  <c r="BY129" i="24"/>
  <c r="CA129" i="24" s="1"/>
  <c r="CB129" i="24" s="1"/>
  <c r="BM129" i="24"/>
  <c r="BN129" i="24" s="1"/>
  <c r="BE272" i="25"/>
  <c r="BR272" i="25"/>
  <c r="BX272" i="25" s="1"/>
  <c r="BY157" i="24"/>
  <c r="CA157" i="24" s="1"/>
  <c r="BM157" i="24"/>
  <c r="BN157" i="24" s="1"/>
  <c r="AG337" i="29"/>
  <c r="W337" i="29"/>
  <c r="AH163" i="29"/>
  <c r="X163" i="29"/>
  <c r="Y163" i="29" s="1"/>
  <c r="AG43" i="29"/>
  <c r="W43" i="29"/>
  <c r="AG288" i="29"/>
  <c r="W288" i="29"/>
  <c r="W59" i="29"/>
  <c r="AG59" i="29"/>
  <c r="X144" i="29"/>
  <c r="Y144" i="29" s="1"/>
  <c r="AH144" i="29"/>
  <c r="W259" i="29"/>
  <c r="AG259" i="29"/>
  <c r="W466" i="29"/>
  <c r="AG466" i="29"/>
  <c r="AH192" i="29"/>
  <c r="X192" i="29"/>
  <c r="Y192" i="29" s="1"/>
  <c r="AG472" i="29"/>
  <c r="W472" i="29"/>
  <c r="AH242" i="29"/>
  <c r="X242" i="29"/>
  <c r="Y242" i="29" s="1"/>
  <c r="W129" i="29"/>
  <c r="AG129" i="29"/>
  <c r="W445" i="29"/>
  <c r="AG445" i="29"/>
  <c r="AH493" i="29"/>
  <c r="X493" i="29"/>
  <c r="Y493" i="29" s="1"/>
  <c r="AH500" i="29"/>
  <c r="X500" i="29"/>
  <c r="Y500" i="29" s="1"/>
  <c r="BY163" i="24"/>
  <c r="CA163" i="24" s="1"/>
  <c r="BM163" i="24"/>
  <c r="BN163" i="24" s="1"/>
  <c r="BL238" i="25"/>
  <c r="BY238" i="25"/>
  <c r="CA238" i="25" s="1"/>
  <c r="CB238" i="25" s="1"/>
  <c r="BK238" i="25"/>
  <c r="BY197" i="24"/>
  <c r="CA197" i="24" s="1"/>
  <c r="CB197" i="24" s="1"/>
  <c r="BM197" i="24"/>
  <c r="BN197" i="24" s="1"/>
  <c r="BL154" i="25"/>
  <c r="BK154" i="25"/>
  <c r="BY73" i="24"/>
  <c r="CA73" i="24" s="1"/>
  <c r="BN73" i="24"/>
  <c r="BY192" i="24"/>
  <c r="CA192" i="24" s="1"/>
  <c r="CB192" i="24" s="1"/>
  <c r="BM192" i="24"/>
  <c r="BN192" i="24" s="1"/>
  <c r="BE50" i="25"/>
  <c r="BK50" i="25" s="1"/>
  <c r="BR50" i="25"/>
  <c r="BV50" i="25" s="1"/>
  <c r="BX50" i="25" s="1"/>
  <c r="X373" i="29"/>
  <c r="Y373" i="29" s="1"/>
  <c r="AH373" i="29"/>
  <c r="X324" i="29"/>
  <c r="Y324" i="29" s="1"/>
  <c r="AH324" i="29"/>
  <c r="X315" i="29"/>
  <c r="Y315" i="29" s="1"/>
  <c r="AH315" i="29"/>
  <c r="X130" i="29"/>
  <c r="Y130" i="29" s="1"/>
  <c r="AH130" i="29"/>
  <c r="W363" i="29"/>
  <c r="AG363" i="29"/>
  <c r="AH213" i="29"/>
  <c r="X213" i="29"/>
  <c r="Y213" i="29" s="1"/>
  <c r="W364" i="29"/>
  <c r="AG364" i="29"/>
  <c r="AG372" i="29"/>
  <c r="W372" i="29"/>
  <c r="AH246" i="29"/>
  <c r="X246" i="29"/>
  <c r="Y246" i="29" s="1"/>
  <c r="X111" i="29"/>
  <c r="Y111" i="29" s="1"/>
  <c r="AH111" i="29"/>
  <c r="W558" i="29"/>
  <c r="AG558" i="29"/>
  <c r="X279" i="29"/>
  <c r="Y279" i="29" s="1"/>
  <c r="AH279" i="29"/>
  <c r="W275" i="29"/>
  <c r="AG275" i="29"/>
  <c r="AG236" i="29"/>
  <c r="W236" i="29"/>
  <c r="W231" i="29"/>
  <c r="AG231" i="29"/>
  <c r="BE103" i="25"/>
  <c r="BK103" i="25" s="1"/>
  <c r="BR103" i="25"/>
  <c r="BV103" i="25" s="1"/>
  <c r="BX103" i="25" s="1"/>
  <c r="BE162" i="25"/>
  <c r="BR162" i="25"/>
  <c r="BX162" i="25" s="1"/>
  <c r="BE253" i="25"/>
  <c r="BR253" i="25"/>
  <c r="BX253" i="25" s="1"/>
  <c r="BY23" i="24"/>
  <c r="CA23" i="24" s="1"/>
  <c r="BN23" i="24"/>
  <c r="BL174" i="25"/>
  <c r="BY174" i="25"/>
  <c r="CA174" i="25" s="1"/>
  <c r="BK174" i="25"/>
  <c r="BY126" i="24"/>
  <c r="CA126" i="24" s="1"/>
  <c r="BM126" i="24"/>
  <c r="BN126" i="24" s="1"/>
  <c r="BR41" i="25"/>
  <c r="BV41" i="25" s="1"/>
  <c r="BX41" i="25" s="1"/>
  <c r="BE41" i="25"/>
  <c r="BK41" i="25" s="1"/>
  <c r="BY158" i="24"/>
  <c r="CA158" i="24" s="1"/>
  <c r="CB158" i="24" s="1"/>
  <c r="BM158" i="24"/>
  <c r="BN158" i="24" s="1"/>
  <c r="BY282" i="25"/>
  <c r="CA282" i="25" s="1"/>
  <c r="CB282" i="25" s="1"/>
  <c r="BL282" i="25"/>
  <c r="BK282" i="25"/>
  <c r="AH336" i="29"/>
  <c r="X336" i="29"/>
  <c r="Y336" i="29" s="1"/>
  <c r="X145" i="29"/>
  <c r="Y145" i="29" s="1"/>
  <c r="AH145" i="29"/>
  <c r="AG471" i="29"/>
  <c r="W471" i="29"/>
  <c r="W599" i="29"/>
  <c r="AG599" i="29"/>
  <c r="AH530" i="29"/>
  <c r="X530" i="29"/>
  <c r="Y530" i="29" s="1"/>
  <c r="W36" i="29"/>
  <c r="AG36" i="29"/>
  <c r="BY220" i="24"/>
  <c r="CA220" i="24" s="1"/>
  <c r="CB220" i="24" s="1"/>
  <c r="BM220" i="24"/>
  <c r="BN220" i="24" s="1"/>
  <c r="BE153" i="25"/>
  <c r="BR153" i="25"/>
  <c r="BX153" i="25" s="1"/>
  <c r="BE146" i="25"/>
  <c r="BR146" i="25"/>
  <c r="BX146" i="25" s="1"/>
  <c r="BY34" i="25"/>
  <c r="CA34" i="25" s="1"/>
  <c r="CB34" i="25" s="1"/>
  <c r="BL34" i="25"/>
  <c r="BR84" i="25"/>
  <c r="BV84" i="25" s="1"/>
  <c r="BX84" i="25" s="1"/>
  <c r="BE84" i="25"/>
  <c r="BK84" i="25" s="1"/>
  <c r="CB181" i="24" l="1"/>
  <c r="CF181" i="24"/>
  <c r="CB287" i="24"/>
  <c r="CF287" i="24"/>
  <c r="CB146" i="24"/>
  <c r="CF146" i="24"/>
  <c r="CB252" i="24"/>
  <c r="CF252" i="24"/>
  <c r="CB12" i="24"/>
  <c r="CF12" i="24"/>
  <c r="CB223" i="24"/>
  <c r="CF223" i="24"/>
  <c r="CB314" i="24"/>
  <c r="CF314" i="24"/>
  <c r="AH544" i="29"/>
  <c r="CB31" i="25"/>
  <c r="CF31" i="25"/>
  <c r="CB32" i="24"/>
  <c r="CF32" i="24"/>
  <c r="AH231" i="29"/>
  <c r="CB218" i="24"/>
  <c r="CF218" i="24"/>
  <c r="CB112" i="24"/>
  <c r="CF112" i="24"/>
  <c r="CB83" i="24"/>
  <c r="CF83" i="24"/>
  <c r="W541" i="29"/>
  <c r="AA541" i="29" s="1"/>
  <c r="CB65" i="24"/>
  <c r="CF65" i="24"/>
  <c r="X352" i="29"/>
  <c r="Y352" i="29" s="1"/>
  <c r="CB49" i="24"/>
  <c r="CF49" i="24"/>
  <c r="CB48" i="24"/>
  <c r="CF48" i="24"/>
  <c r="CB258" i="24"/>
  <c r="CF258" i="24"/>
  <c r="AH521" i="29"/>
  <c r="AH323" i="29"/>
  <c r="CB174" i="24"/>
  <c r="CF174" i="24"/>
  <c r="CB69" i="24"/>
  <c r="CF69" i="24"/>
  <c r="CB280" i="24"/>
  <c r="CF280" i="24"/>
  <c r="X63" i="29"/>
  <c r="Y63" i="29" s="1"/>
  <c r="CB188" i="24"/>
  <c r="CF188" i="24"/>
  <c r="CB172" i="24"/>
  <c r="CF172" i="24"/>
  <c r="CB278" i="24"/>
  <c r="CF278" i="24"/>
  <c r="CB281" i="24"/>
  <c r="CF281" i="24"/>
  <c r="CB84" i="24"/>
  <c r="CF84" i="24"/>
  <c r="CB175" i="24"/>
  <c r="CF175" i="24"/>
  <c r="L110" i="2"/>
  <c r="W584" i="29"/>
  <c r="AJ583" i="29" s="1"/>
  <c r="AK583" i="29" s="1"/>
  <c r="CB54" i="24"/>
  <c r="CF54" i="24"/>
  <c r="CB256" i="24"/>
  <c r="CF256" i="24"/>
  <c r="CB150" i="24"/>
  <c r="CF150" i="24"/>
  <c r="AG576" i="29"/>
  <c r="W380" i="29"/>
  <c r="AJ380" i="29" s="1"/>
  <c r="AK380" i="29" s="1"/>
  <c r="AH591" i="29"/>
  <c r="AG483" i="29"/>
  <c r="W163" i="29"/>
  <c r="AA163" i="29" s="1"/>
  <c r="CB113" i="25"/>
  <c r="CF113" i="25"/>
  <c r="CB118" i="24"/>
  <c r="CF118" i="24"/>
  <c r="X551" i="29"/>
  <c r="Y551" i="29" s="1"/>
  <c r="X371" i="29"/>
  <c r="Y371" i="29" s="1"/>
  <c r="CB30" i="25"/>
  <c r="CF30" i="25"/>
  <c r="W225" i="29"/>
  <c r="AJ224" i="29" s="1"/>
  <c r="AK224" i="29" s="1"/>
  <c r="CB238" i="24"/>
  <c r="CF238" i="24"/>
  <c r="CB21" i="25"/>
  <c r="CF21" i="25"/>
  <c r="CB127" i="24"/>
  <c r="CF127" i="24"/>
  <c r="CB23" i="24"/>
  <c r="CF23" i="24"/>
  <c r="CB30" i="24"/>
  <c r="CF30" i="24"/>
  <c r="BY265" i="25"/>
  <c r="CA265" i="25" s="1"/>
  <c r="CB265" i="25" s="1"/>
  <c r="X536" i="29"/>
  <c r="Y536" i="29" s="1"/>
  <c r="CB232" i="24"/>
  <c r="CF232" i="24"/>
  <c r="CB126" i="24"/>
  <c r="CF126" i="24"/>
  <c r="AH485" i="29"/>
  <c r="CB78" i="24"/>
  <c r="CF78" i="24"/>
  <c r="AH159" i="29"/>
  <c r="CB62" i="24"/>
  <c r="CF62" i="24"/>
  <c r="AH445" i="29"/>
  <c r="CB243" i="24"/>
  <c r="CF243" i="24"/>
  <c r="CB61" i="24"/>
  <c r="CF61" i="24"/>
  <c r="CB137" i="24"/>
  <c r="CF137" i="24"/>
  <c r="CB117" i="24"/>
  <c r="CF117" i="24"/>
  <c r="CB225" i="24"/>
  <c r="CF225" i="24"/>
  <c r="CB14" i="24"/>
  <c r="CF14" i="24"/>
  <c r="CB14" i="25"/>
  <c r="CF14" i="25"/>
  <c r="CB312" i="24"/>
  <c r="CF312" i="24"/>
  <c r="CB206" i="24"/>
  <c r="CF206" i="24"/>
  <c r="CB66" i="24"/>
  <c r="CF66" i="24"/>
  <c r="CB6" i="24"/>
  <c r="CF6" i="24"/>
  <c r="CB217" i="24"/>
  <c r="CF217" i="24"/>
  <c r="CB6" i="25"/>
  <c r="CF6" i="25"/>
  <c r="X393" i="29"/>
  <c r="Y393" i="29" s="1"/>
  <c r="X478" i="29"/>
  <c r="Y478" i="29" s="1"/>
  <c r="X74" i="29"/>
  <c r="Y74" i="29" s="1"/>
  <c r="X66" i="29"/>
  <c r="Y66" i="29" s="1"/>
  <c r="AH374" i="29"/>
  <c r="AH304" i="29"/>
  <c r="W566" i="29"/>
  <c r="AJ565" i="29" s="1"/>
  <c r="AK565" i="29" s="1"/>
  <c r="AH271" i="29"/>
  <c r="AG148" i="29"/>
  <c r="W223" i="29"/>
  <c r="AA223" i="29" s="1"/>
  <c r="X106" i="29"/>
  <c r="Y106" i="29" s="1"/>
  <c r="AG24" i="29"/>
  <c r="X59" i="29"/>
  <c r="Y59" i="29" s="1"/>
  <c r="X602" i="29"/>
  <c r="Y602" i="29" s="1"/>
  <c r="X212" i="29"/>
  <c r="Y212" i="29" s="1"/>
  <c r="X181" i="29"/>
  <c r="Y181" i="29" s="1"/>
  <c r="W261" i="29"/>
  <c r="AA261" i="29" s="1"/>
  <c r="X206" i="29"/>
  <c r="Y206" i="29" s="1"/>
  <c r="W137" i="29"/>
  <c r="AJ137" i="29" s="1"/>
  <c r="AK137" i="29" s="1"/>
  <c r="AG279" i="29"/>
  <c r="AG248" i="29"/>
  <c r="W113" i="29"/>
  <c r="AJ112" i="29" s="1"/>
  <c r="AK112" i="29" s="1"/>
  <c r="W253" i="29"/>
  <c r="AA253" i="29" s="1"/>
  <c r="AG64" i="29"/>
  <c r="X337" i="29"/>
  <c r="Y337" i="29" s="1"/>
  <c r="CB262" i="24"/>
  <c r="CF262" i="24"/>
  <c r="CB87" i="24"/>
  <c r="CF87" i="24"/>
  <c r="CB156" i="24"/>
  <c r="CF156" i="24"/>
  <c r="AG606" i="29"/>
  <c r="CB269" i="24"/>
  <c r="CF269" i="24"/>
  <c r="CB163" i="24"/>
  <c r="CF163" i="24"/>
  <c r="AH46" i="29"/>
  <c r="X363" i="29"/>
  <c r="Y363" i="29" s="1"/>
  <c r="AG85" i="29"/>
  <c r="W19" i="29"/>
  <c r="AJ18" i="29" s="1"/>
  <c r="AK18" i="29" s="1"/>
  <c r="CB271" i="24"/>
  <c r="CF271" i="24"/>
  <c r="CB165" i="24"/>
  <c r="CF165" i="24"/>
  <c r="AH71" i="29"/>
  <c r="CB96" i="25"/>
  <c r="CF96" i="25"/>
  <c r="CB305" i="24"/>
  <c r="CF305" i="24"/>
  <c r="CB199" i="24"/>
  <c r="CF199" i="24"/>
  <c r="CB97" i="24"/>
  <c r="CF97" i="24"/>
  <c r="CB206" i="25"/>
  <c r="CF206" i="25"/>
  <c r="AG338" i="29"/>
  <c r="W108" i="29"/>
  <c r="AA108" i="29" s="1"/>
  <c r="CB161" i="24"/>
  <c r="CF161" i="24"/>
  <c r="CB267" i="24"/>
  <c r="CF267" i="24"/>
  <c r="CB73" i="24"/>
  <c r="CF73" i="24"/>
  <c r="CB147" i="25"/>
  <c r="CF147" i="25"/>
  <c r="CB56" i="24"/>
  <c r="CF56" i="24"/>
  <c r="CB151" i="24"/>
  <c r="CF151" i="24"/>
  <c r="CB177" i="25"/>
  <c r="CF177" i="25"/>
  <c r="CB316" i="24"/>
  <c r="CF316" i="24"/>
  <c r="CB210" i="24"/>
  <c r="CF210" i="24"/>
  <c r="CB198" i="25"/>
  <c r="CF198" i="25"/>
  <c r="CB173" i="25"/>
  <c r="CF173" i="25"/>
  <c r="CB192" i="25"/>
  <c r="CF192" i="25"/>
  <c r="CB182" i="24"/>
  <c r="CF182" i="24"/>
  <c r="CB288" i="24"/>
  <c r="CF288" i="24"/>
  <c r="CB80" i="24"/>
  <c r="CF80" i="24"/>
  <c r="CB208" i="24"/>
  <c r="CF208" i="24"/>
  <c r="CB174" i="25"/>
  <c r="CF174" i="25"/>
  <c r="CB193" i="24"/>
  <c r="CF193" i="24"/>
  <c r="CB299" i="24"/>
  <c r="CF299" i="24"/>
  <c r="CB88" i="24"/>
  <c r="CF88" i="24"/>
  <c r="CB89" i="25"/>
  <c r="CF89" i="25"/>
  <c r="CB104" i="24"/>
  <c r="CF104" i="24"/>
  <c r="CB308" i="24"/>
  <c r="CF308" i="24"/>
  <c r="CB202" i="24"/>
  <c r="CF202" i="24"/>
  <c r="CB204" i="25"/>
  <c r="CF204" i="25"/>
  <c r="CB297" i="24"/>
  <c r="CF297" i="24"/>
  <c r="CB82" i="25"/>
  <c r="CF82" i="25"/>
  <c r="CB180" i="24"/>
  <c r="CF180" i="24"/>
  <c r="CB286" i="24"/>
  <c r="CF286" i="24"/>
  <c r="CB81" i="24"/>
  <c r="CF81" i="24"/>
  <c r="AH604" i="29"/>
  <c r="CB204" i="24"/>
  <c r="CF204" i="24"/>
  <c r="CB310" i="24"/>
  <c r="CF310" i="24"/>
  <c r="CB190" i="25"/>
  <c r="CF190" i="25"/>
  <c r="CB98" i="24"/>
  <c r="CF98" i="24"/>
  <c r="CB306" i="24"/>
  <c r="CF306" i="24"/>
  <c r="CB200" i="24"/>
  <c r="CF200" i="24"/>
  <c r="CB179" i="25"/>
  <c r="CF179" i="25"/>
  <c r="W562" i="29"/>
  <c r="AJ562" i="29" s="1"/>
  <c r="AK562" i="29" s="1"/>
  <c r="CB203" i="24"/>
  <c r="CF203" i="24"/>
  <c r="CB309" i="24"/>
  <c r="CF309" i="24"/>
  <c r="CB307" i="24"/>
  <c r="CF307" i="24"/>
  <c r="CB201" i="24"/>
  <c r="CF201" i="24"/>
  <c r="CB103" i="24"/>
  <c r="CF103" i="24"/>
  <c r="AG266" i="29"/>
  <c r="CB62" i="25"/>
  <c r="CF62" i="25"/>
  <c r="CB71" i="25"/>
  <c r="CF71" i="25"/>
  <c r="W603" i="29"/>
  <c r="AJ602" i="29" s="1"/>
  <c r="AK602" i="29" s="1"/>
  <c r="CB104" i="25"/>
  <c r="CF104" i="25"/>
  <c r="AG511" i="29"/>
  <c r="AH203" i="29"/>
  <c r="W49" i="29"/>
  <c r="AJ48" i="29" s="1"/>
  <c r="AK48" i="29" s="1"/>
  <c r="AH543" i="29"/>
  <c r="AH477" i="29"/>
  <c r="W322" i="29"/>
  <c r="AJ322" i="29" s="1"/>
  <c r="AK322" i="29" s="1"/>
  <c r="X309" i="29"/>
  <c r="Y309" i="29" s="1"/>
  <c r="AG475" i="29"/>
  <c r="AG417" i="29"/>
  <c r="X384" i="29"/>
  <c r="Y384" i="29" s="1"/>
  <c r="AH34" i="29"/>
  <c r="W153" i="29"/>
  <c r="AJ152" i="29" s="1"/>
  <c r="AK152" i="29" s="1"/>
  <c r="X578" i="29"/>
  <c r="Y578" i="29" s="1"/>
  <c r="AH339" i="29"/>
  <c r="X220" i="29"/>
  <c r="Y220" i="29" s="1"/>
  <c r="AH577" i="29"/>
  <c r="AH466" i="29"/>
  <c r="AH22" i="29"/>
  <c r="X79" i="29"/>
  <c r="Y79" i="29" s="1"/>
  <c r="AG144" i="29"/>
  <c r="W198" i="29"/>
  <c r="AJ197" i="29" s="1"/>
  <c r="W166" i="29"/>
  <c r="AJ166" i="29" s="1"/>
  <c r="AK166" i="29" s="1"/>
  <c r="AG284" i="29"/>
  <c r="AG332" i="29"/>
  <c r="AH516" i="29"/>
  <c r="BY154" i="25"/>
  <c r="CA154" i="25" s="1"/>
  <c r="CB154" i="25" s="1"/>
  <c r="AH93" i="29"/>
  <c r="W343" i="29"/>
  <c r="AJ343" i="29" s="1"/>
  <c r="AK343" i="29" s="1"/>
  <c r="CB311" i="24"/>
  <c r="CF311" i="24"/>
  <c r="CB205" i="24"/>
  <c r="CF205" i="24"/>
  <c r="AG379" i="29"/>
  <c r="X408" i="29"/>
  <c r="Y408" i="29" s="1"/>
  <c r="AH589" i="29"/>
  <c r="CB189" i="25"/>
  <c r="CF189" i="25"/>
  <c r="CB199" i="25"/>
  <c r="CF199" i="25"/>
  <c r="AH168" i="29"/>
  <c r="X217" i="29"/>
  <c r="Y217" i="29" s="1"/>
  <c r="AG608" i="29"/>
  <c r="CB186" i="25"/>
  <c r="CF186" i="25"/>
  <c r="CB201" i="25"/>
  <c r="CF201" i="25"/>
  <c r="AG611" i="29"/>
  <c r="AG186" i="29"/>
  <c r="W207" i="29"/>
  <c r="AA207" i="29" s="1"/>
  <c r="W98" i="29"/>
  <c r="AJ97" i="29" s="1"/>
  <c r="AK97" i="29" s="1"/>
  <c r="W109" i="29"/>
  <c r="AJ109" i="29" s="1"/>
  <c r="AK109" i="29" s="1"/>
  <c r="AG252" i="29"/>
  <c r="X391" i="29"/>
  <c r="Y391" i="29" s="1"/>
  <c r="AG123" i="29"/>
  <c r="W493" i="29"/>
  <c r="AA493" i="29" s="1"/>
  <c r="AH205" i="29"/>
  <c r="X553" i="29"/>
  <c r="Y553" i="29" s="1"/>
  <c r="W557" i="29"/>
  <c r="AJ557" i="29" s="1"/>
  <c r="AK557" i="29" s="1"/>
  <c r="W571" i="29"/>
  <c r="AJ570" i="29" s="1"/>
  <c r="AK570" i="29" s="1"/>
  <c r="X241" i="29"/>
  <c r="Y241" i="29" s="1"/>
  <c r="X501" i="29"/>
  <c r="Y501" i="29" s="1"/>
  <c r="W89" i="29"/>
  <c r="AA89" i="29" s="1"/>
  <c r="AG349" i="29"/>
  <c r="W507" i="29"/>
  <c r="AJ506" i="29" s="1"/>
  <c r="AK506" i="29" s="1"/>
  <c r="AG488" i="29"/>
  <c r="X596" i="29"/>
  <c r="Y596" i="29" s="1"/>
  <c r="AH229" i="29"/>
  <c r="AG105" i="29"/>
  <c r="AH359" i="29"/>
  <c r="W115" i="29"/>
  <c r="AJ114" i="29" s="1"/>
  <c r="AH161" i="29"/>
  <c r="CB105" i="24"/>
  <c r="CF105" i="24"/>
  <c r="CB161" i="25"/>
  <c r="CF161" i="25"/>
  <c r="CB186" i="24"/>
  <c r="CF186" i="24"/>
  <c r="X367" i="29"/>
  <c r="Y367" i="29" s="1"/>
  <c r="W70" i="29"/>
  <c r="AA70" i="29" s="1"/>
  <c r="X340" i="29"/>
  <c r="Y340" i="29" s="1"/>
  <c r="X415" i="29"/>
  <c r="Y415" i="29" s="1"/>
  <c r="X370" i="29"/>
  <c r="Y370" i="29" s="1"/>
  <c r="W107" i="29"/>
  <c r="AJ106" i="29" s="1"/>
  <c r="W357" i="29"/>
  <c r="AJ357" i="29" s="1"/>
  <c r="AK357" i="29" s="1"/>
  <c r="AG204" i="29"/>
  <c r="X54" i="29"/>
  <c r="Y54" i="29" s="1"/>
  <c r="X582" i="29"/>
  <c r="Y582" i="29" s="1"/>
  <c r="X276" i="29"/>
  <c r="Y276" i="29" s="1"/>
  <c r="X151" i="29"/>
  <c r="Y151" i="29" s="1"/>
  <c r="AG365" i="29"/>
  <c r="W291" i="29"/>
  <c r="AJ290" i="29" s="1"/>
  <c r="AK290" i="29" s="1"/>
  <c r="W185" i="29"/>
  <c r="AJ185" i="29" s="1"/>
  <c r="AK185" i="29" s="1"/>
  <c r="AG560" i="29"/>
  <c r="W234" i="29"/>
  <c r="AA234" i="29" s="1"/>
  <c r="W326" i="29"/>
  <c r="AJ325" i="29" s="1"/>
  <c r="AK325" i="29" s="1"/>
  <c r="X457" i="29"/>
  <c r="Y457" i="29" s="1"/>
  <c r="X257" i="29"/>
  <c r="Y257" i="29" s="1"/>
  <c r="W122" i="29"/>
  <c r="AJ121" i="29" s="1"/>
  <c r="AK121" i="29" s="1"/>
  <c r="AG294" i="29"/>
  <c r="W598" i="29"/>
  <c r="AJ598" i="29" s="1"/>
  <c r="AK598" i="29" s="1"/>
  <c r="AH302" i="29"/>
  <c r="AG362" i="29"/>
  <c r="X580" i="29"/>
  <c r="Y580" i="29" s="1"/>
  <c r="X184" i="29"/>
  <c r="Y184" i="29" s="1"/>
  <c r="AG532" i="29"/>
  <c r="X613" i="29"/>
  <c r="Y613" i="29" s="1"/>
  <c r="X327" i="29"/>
  <c r="Y327" i="29" s="1"/>
  <c r="X80" i="29"/>
  <c r="Y80" i="29" s="1"/>
  <c r="AG45" i="29"/>
  <c r="AH400" i="29"/>
  <c r="AH470" i="29"/>
  <c r="AH17" i="29"/>
  <c r="AH81" i="29"/>
  <c r="W330" i="29"/>
  <c r="AA330" i="29" s="1"/>
  <c r="AG325" i="29"/>
  <c r="W13" i="29"/>
  <c r="AA13" i="29" s="1"/>
  <c r="AG111" i="29"/>
  <c r="W373" i="29"/>
  <c r="AJ372" i="29" s="1"/>
  <c r="AK372" i="29" s="1"/>
  <c r="AG192" i="29"/>
  <c r="W547" i="29"/>
  <c r="AJ546" i="29" s="1"/>
  <c r="AK546" i="29" s="1"/>
  <c r="X292" i="29"/>
  <c r="Y292" i="29" s="1"/>
  <c r="W147" i="29"/>
  <c r="AA147" i="29" s="1"/>
  <c r="AH214" i="29"/>
  <c r="AH333" i="29"/>
  <c r="X512" i="29"/>
  <c r="Y512" i="29" s="1"/>
  <c r="W433" i="29"/>
  <c r="AA433" i="29" s="1"/>
  <c r="W498" i="29"/>
  <c r="AA498" i="29" s="1"/>
  <c r="AG609" i="29"/>
  <c r="AH358" i="29"/>
  <c r="X42" i="29"/>
  <c r="Y42" i="29" s="1"/>
  <c r="W429" i="29"/>
  <c r="AA429" i="29" s="1"/>
  <c r="X169" i="29"/>
  <c r="Y169" i="29" s="1"/>
  <c r="X317" i="29"/>
  <c r="Y317" i="29" s="1"/>
  <c r="X331" i="29"/>
  <c r="Y331" i="29" s="1"/>
  <c r="AH612" i="29"/>
  <c r="AH256" i="29"/>
  <c r="AH127" i="29"/>
  <c r="W465" i="29"/>
  <c r="AJ464" i="29" s="1"/>
  <c r="AK464" i="29" s="1"/>
  <c r="X342" i="29"/>
  <c r="Y342" i="29" s="1"/>
  <c r="X334" i="29"/>
  <c r="Y334" i="29" s="1"/>
  <c r="X57" i="29"/>
  <c r="Y57" i="29" s="1"/>
  <c r="AH558" i="29"/>
  <c r="AG38" i="29"/>
  <c r="X141" i="29"/>
  <c r="Y141" i="29" s="1"/>
  <c r="X48" i="29"/>
  <c r="Y48" i="29" s="1"/>
  <c r="X505" i="29"/>
  <c r="Y505" i="29" s="1"/>
  <c r="X233" i="29"/>
  <c r="Y233" i="29" s="1"/>
  <c r="W348" i="29"/>
  <c r="AA348" i="29" s="1"/>
  <c r="X471" i="29"/>
  <c r="Y471" i="29" s="1"/>
  <c r="AH397" i="29"/>
  <c r="X258" i="29"/>
  <c r="Y258" i="29" s="1"/>
  <c r="X293" i="29"/>
  <c r="Y293" i="29" s="1"/>
  <c r="AH605" i="29"/>
  <c r="W116" i="29"/>
  <c r="AH87" i="29"/>
  <c r="W351" i="29"/>
  <c r="AA351" i="29" s="1"/>
  <c r="AH175" i="29"/>
  <c r="AH572" i="29"/>
  <c r="AG230" i="29"/>
  <c r="X35" i="29"/>
  <c r="Y35" i="29" s="1"/>
  <c r="W526" i="29"/>
  <c r="AA526" i="29" s="1"/>
  <c r="W216" i="29"/>
  <c r="AA216" i="29" s="1"/>
  <c r="X377" i="29"/>
  <c r="Y377" i="29" s="1"/>
  <c r="W219" i="29"/>
  <c r="AJ219" i="29" s="1"/>
  <c r="AK219" i="29" s="1"/>
  <c r="W341" i="29"/>
  <c r="AJ341" i="29" s="1"/>
  <c r="AK341" i="29" s="1"/>
  <c r="W289" i="29"/>
  <c r="AJ288" i="29" s="1"/>
  <c r="W156" i="29"/>
  <c r="AJ155" i="29" s="1"/>
  <c r="AK155" i="29" s="1"/>
  <c r="W254" i="29"/>
  <c r="AJ254" i="29" s="1"/>
  <c r="AK254" i="29" s="1"/>
  <c r="AH597" i="29"/>
  <c r="AH235" i="29"/>
  <c r="AG513" i="29"/>
  <c r="W187" i="29"/>
  <c r="AA187" i="29" s="1"/>
  <c r="W52" i="29"/>
  <c r="AJ52" i="29" s="1"/>
  <c r="AK52" i="29" s="1"/>
  <c r="W529" i="29"/>
  <c r="AA529" i="29" s="1"/>
  <c r="W587" i="29"/>
  <c r="AA587" i="29" s="1"/>
  <c r="AG246" i="29"/>
  <c r="AG73" i="29"/>
  <c r="X586" i="29"/>
  <c r="Y586" i="29" s="1"/>
  <c r="AH473" i="29"/>
  <c r="AH20" i="29"/>
  <c r="X563" i="29"/>
  <c r="Y563" i="29" s="1"/>
  <c r="AH510" i="29"/>
  <c r="AG530" i="29"/>
  <c r="AG117" i="29"/>
  <c r="AH484" i="29"/>
  <c r="AG104" i="29"/>
  <c r="CB245" i="24"/>
  <c r="CF245" i="24"/>
  <c r="CB139" i="24"/>
  <c r="CF139" i="24"/>
  <c r="X299" i="29"/>
  <c r="Y299" i="29" s="1"/>
  <c r="AH171" i="29"/>
  <c r="AG165" i="29"/>
  <c r="W270" i="29"/>
  <c r="AJ269" i="29" s="1"/>
  <c r="AH136" i="29"/>
  <c r="AG390" i="29"/>
  <c r="AG594" i="29"/>
  <c r="W140" i="29"/>
  <c r="AJ140" i="29" s="1"/>
  <c r="AK140" i="29" s="1"/>
  <c r="AH320" i="29"/>
  <c r="X303" i="29"/>
  <c r="Y303" i="29" s="1"/>
  <c r="W347" i="29"/>
  <c r="AH454" i="29"/>
  <c r="W480" i="29"/>
  <c r="AJ479" i="29" s="1"/>
  <c r="AK479" i="29" s="1"/>
  <c r="W222" i="29"/>
  <c r="AA222" i="29" s="1"/>
  <c r="AG194" i="29"/>
  <c r="AG387" i="29"/>
  <c r="W463" i="29"/>
  <c r="AA463" i="29" s="1"/>
  <c r="AH361" i="29"/>
  <c r="X259" i="29"/>
  <c r="Y259" i="29" s="1"/>
  <c r="AG515" i="29"/>
  <c r="AG555" i="29"/>
  <c r="AH96" i="29"/>
  <c r="W25" i="29"/>
  <c r="AA25" i="29" s="1"/>
  <c r="X30" i="29"/>
  <c r="Y30" i="29" s="1"/>
  <c r="W84" i="29"/>
  <c r="AJ84" i="29" s="1"/>
  <c r="AK84" i="29" s="1"/>
  <c r="AG559" i="29"/>
  <c r="W41" i="29"/>
  <c r="AA41" i="29" s="1"/>
  <c r="W210" i="29"/>
  <c r="AA210" i="29" s="1"/>
  <c r="X535" i="29"/>
  <c r="Y535" i="29" s="1"/>
  <c r="W406" i="29"/>
  <c r="AJ406" i="29" s="1"/>
  <c r="AK406" i="29" s="1"/>
  <c r="W422" i="29"/>
  <c r="AA422" i="29" s="1"/>
  <c r="X53" i="29"/>
  <c r="Y53" i="29" s="1"/>
  <c r="AG50" i="29"/>
  <c r="X499" i="29"/>
  <c r="Y499" i="29" s="1"/>
  <c r="X40" i="29"/>
  <c r="Y40" i="29" s="1"/>
  <c r="AG460" i="29"/>
  <c r="W90" i="29"/>
  <c r="AA90" i="29" s="1"/>
  <c r="AH152" i="29"/>
  <c r="X503" i="29"/>
  <c r="Y503" i="29" s="1"/>
  <c r="AH355" i="29"/>
  <c r="W154" i="29"/>
  <c r="AJ154" i="29" s="1"/>
  <c r="AK154" i="29" s="1"/>
  <c r="AH468" i="29"/>
  <c r="AG324" i="29"/>
  <c r="W133" i="29"/>
  <c r="AJ133" i="29" s="1"/>
  <c r="AK133" i="29" s="1"/>
  <c r="AH190" i="29"/>
  <c r="AH295" i="29"/>
  <c r="X162" i="29"/>
  <c r="Y162" i="29" s="1"/>
  <c r="W610" i="29"/>
  <c r="AJ610" i="29" s="1"/>
  <c r="AK610" i="29" s="1"/>
  <c r="X306" i="29"/>
  <c r="Y306" i="29" s="1"/>
  <c r="AH138" i="29"/>
  <c r="AG88" i="29"/>
  <c r="X178" i="29"/>
  <c r="Y178" i="29" s="1"/>
  <c r="X414" i="29"/>
  <c r="Y414" i="29" s="1"/>
  <c r="AG180" i="29"/>
  <c r="X167" i="29"/>
  <c r="Y167" i="29" s="1"/>
  <c r="AG574" i="29"/>
  <c r="AG453" i="29"/>
  <c r="AH443" i="29"/>
  <c r="X402" i="29"/>
  <c r="Y402" i="29" s="1"/>
  <c r="X404" i="29"/>
  <c r="Y404" i="29" s="1"/>
  <c r="AH345" i="29"/>
  <c r="X43" i="29"/>
  <c r="Y43" i="29" s="1"/>
  <c r="X462" i="29"/>
  <c r="Y462" i="29" s="1"/>
  <c r="W448" i="29"/>
  <c r="AJ448" i="29" s="1"/>
  <c r="AK448" i="29" s="1"/>
  <c r="W439" i="29"/>
  <c r="AJ438" i="29" s="1"/>
  <c r="AK438" i="29" s="1"/>
  <c r="W164" i="29"/>
  <c r="AA164" i="29" s="1"/>
  <c r="AH385" i="29"/>
  <c r="X376" i="29"/>
  <c r="Y376" i="29" s="1"/>
  <c r="X274" i="29"/>
  <c r="Y274" i="29" s="1"/>
  <c r="AH236" i="29"/>
  <c r="AG139" i="29"/>
  <c r="AG100" i="29"/>
  <c r="W556" i="29"/>
  <c r="AA556" i="29" s="1"/>
  <c r="W130" i="29"/>
  <c r="AJ129" i="29" s="1"/>
  <c r="AK129" i="29" s="1"/>
  <c r="X497" i="29"/>
  <c r="Y497" i="29" s="1"/>
  <c r="X476" i="29"/>
  <c r="Y476" i="29" s="1"/>
  <c r="AG540" i="29"/>
  <c r="AH346" i="29"/>
  <c r="AH354" i="29"/>
  <c r="CB209" i="24"/>
  <c r="CF209" i="24"/>
  <c r="CB315" i="24"/>
  <c r="CF315" i="24"/>
  <c r="X368" i="29"/>
  <c r="Y368" i="29" s="1"/>
  <c r="X268" i="29"/>
  <c r="Y268" i="29" s="1"/>
  <c r="W401" i="29"/>
  <c r="AJ401" i="29" s="1"/>
  <c r="AK401" i="29" s="1"/>
  <c r="AG33" i="29"/>
  <c r="AG459" i="29"/>
  <c r="W336" i="29"/>
  <c r="AJ336" i="29" s="1"/>
  <c r="AK336" i="29" s="1"/>
  <c r="X554" i="29"/>
  <c r="Y554" i="29" s="1"/>
  <c r="AG86" i="29"/>
  <c r="AH224" i="29"/>
  <c r="X424" i="29"/>
  <c r="Y424" i="29" s="1"/>
  <c r="X101" i="29"/>
  <c r="Y101" i="29" s="1"/>
  <c r="X413" i="29"/>
  <c r="Y413" i="29" s="1"/>
  <c r="AG316" i="29"/>
  <c r="W218" i="29"/>
  <c r="AA218" i="29" s="1"/>
  <c r="X298" i="29"/>
  <c r="Y298" i="29" s="1"/>
  <c r="AH590" i="29"/>
  <c r="AH494" i="29"/>
  <c r="X308" i="29"/>
  <c r="Y308" i="29" s="1"/>
  <c r="X29" i="29"/>
  <c r="Y29" i="29" s="1"/>
  <c r="W170" i="29"/>
  <c r="AA170" i="29" s="1"/>
  <c r="AH486" i="29"/>
  <c r="W177" i="29"/>
  <c r="AA177" i="29" s="1"/>
  <c r="W514" i="29"/>
  <c r="AJ514" i="29" s="1"/>
  <c r="AK514" i="29" s="1"/>
  <c r="AH435" i="29"/>
  <c r="W242" i="29"/>
  <c r="AJ241" i="29" s="1"/>
  <c r="AH546" i="29"/>
  <c r="AH581" i="29"/>
  <c r="AH118" i="29"/>
  <c r="AH239" i="29"/>
  <c r="W474" i="29"/>
  <c r="AA474" i="29" s="1"/>
  <c r="X44" i="29"/>
  <c r="Y44" i="29" s="1"/>
  <c r="AH208" i="29"/>
  <c r="X567" i="29"/>
  <c r="Y567" i="29" s="1"/>
  <c r="AG286" i="29"/>
  <c r="X552" i="29"/>
  <c r="Y552" i="29" s="1"/>
  <c r="W502" i="29"/>
  <c r="AJ501" i="29" s="1"/>
  <c r="AK501" i="29" s="1"/>
  <c r="X428" i="29"/>
  <c r="Y428" i="29" s="1"/>
  <c r="X344" i="29"/>
  <c r="Y344" i="29" s="1"/>
  <c r="AH188" i="29"/>
  <c r="AH467" i="29"/>
  <c r="CB241" i="24"/>
  <c r="CF241" i="24"/>
  <c r="CB284" i="24"/>
  <c r="CF284" i="24"/>
  <c r="CB178" i="24"/>
  <c r="CF178" i="24"/>
  <c r="CB291" i="24"/>
  <c r="CF291" i="24"/>
  <c r="X451" i="29"/>
  <c r="Y451" i="29" s="1"/>
  <c r="CB185" i="24"/>
  <c r="CF185" i="24"/>
  <c r="X329" i="29"/>
  <c r="Y329" i="29" s="1"/>
  <c r="W522" i="29"/>
  <c r="AA522" i="29" s="1"/>
  <c r="AH321" i="29"/>
  <c r="AG565" i="29"/>
  <c r="AG319" i="29"/>
  <c r="W150" i="29"/>
  <c r="AJ150" i="29" s="1"/>
  <c r="AK150" i="29" s="1"/>
  <c r="AH267" i="29"/>
  <c r="AG120" i="29"/>
  <c r="W297" i="29"/>
  <c r="AJ297" i="29" s="1"/>
  <c r="AK297" i="29" s="1"/>
  <c r="W221" i="29"/>
  <c r="AA221" i="29" s="1"/>
  <c r="AG490" i="29"/>
  <c r="X114" i="29"/>
  <c r="Y114" i="29" s="1"/>
  <c r="W412" i="29"/>
  <c r="AJ412" i="29" s="1"/>
  <c r="AK412" i="29" s="1"/>
  <c r="X69" i="29"/>
  <c r="Y69" i="29" s="1"/>
  <c r="AG128" i="29"/>
  <c r="AH39" i="29"/>
  <c r="X479" i="29"/>
  <c r="Y479" i="29" s="1"/>
  <c r="X388" i="29"/>
  <c r="Y388" i="29" s="1"/>
  <c r="AG447" i="29"/>
  <c r="X418" i="29"/>
  <c r="Y418" i="29" s="1"/>
  <c r="X197" i="29"/>
  <c r="Y197" i="29" s="1"/>
  <c r="AG440" i="29"/>
  <c r="W350" i="29"/>
  <c r="W183" i="29"/>
  <c r="AA183" i="29" s="1"/>
  <c r="AG92" i="29"/>
  <c r="AH550" i="29"/>
  <c r="W142" i="29"/>
  <c r="AJ142" i="29" s="1"/>
  <c r="AK142" i="29" s="1"/>
  <c r="AG426" i="29"/>
  <c r="AG527" i="29"/>
  <c r="X364" i="29"/>
  <c r="Y364" i="29" s="1"/>
  <c r="AH28" i="29"/>
  <c r="AG201" i="29"/>
  <c r="X250" i="29"/>
  <c r="Y250" i="29" s="1"/>
  <c r="X272" i="29"/>
  <c r="Y272" i="29" s="1"/>
  <c r="W149" i="29"/>
  <c r="AG264" i="29"/>
  <c r="AG260" i="29"/>
  <c r="AG103" i="29"/>
  <c r="W588" i="29"/>
  <c r="AA588" i="29" s="1"/>
  <c r="AG32" i="29"/>
  <c r="X472" i="29"/>
  <c r="Y472" i="29" s="1"/>
  <c r="AH416" i="29"/>
  <c r="AG398" i="29"/>
  <c r="AH125" i="29"/>
  <c r="X461" i="29"/>
  <c r="Y461" i="29" s="1"/>
  <c r="X281" i="29"/>
  <c r="Y281" i="29" s="1"/>
  <c r="X423" i="29"/>
  <c r="Y423" i="29" s="1"/>
  <c r="X409" i="29"/>
  <c r="Y409" i="29" s="1"/>
  <c r="X548" i="29"/>
  <c r="Y548" i="29" s="1"/>
  <c r="X378" i="29"/>
  <c r="Y378" i="29" s="1"/>
  <c r="AG455" i="29"/>
  <c r="AG561" i="29"/>
  <c r="AH482" i="29"/>
  <c r="W356" i="29"/>
  <c r="AJ355" i="29" s="1"/>
  <c r="AK355" i="29" s="1"/>
  <c r="W410" i="29"/>
  <c r="AA410" i="29" s="1"/>
  <c r="W528" i="29"/>
  <c r="X395" i="29"/>
  <c r="Y395" i="29" s="1"/>
  <c r="AG119" i="29"/>
  <c r="AH76" i="29"/>
  <c r="X593" i="29"/>
  <c r="Y593" i="29" s="1"/>
  <c r="AH237" i="29"/>
  <c r="AH538" i="29"/>
  <c r="W383" i="29"/>
  <c r="AJ383" i="29" s="1"/>
  <c r="AK383" i="29" s="1"/>
  <c r="W312" i="29"/>
  <c r="AJ311" i="29" s="1"/>
  <c r="W251" i="29"/>
  <c r="AA251" i="29" s="1"/>
  <c r="AG489" i="29"/>
  <c r="AG366" i="29"/>
  <c r="AH438" i="29"/>
  <c r="AH403" i="29"/>
  <c r="AG112" i="29"/>
  <c r="AG277" i="29"/>
  <c r="W430" i="29"/>
  <c r="AA430" i="29" s="1"/>
  <c r="AG583" i="29"/>
  <c r="AG72" i="29"/>
  <c r="AG232" i="29"/>
  <c r="X575" i="29"/>
  <c r="Y575" i="29" s="1"/>
  <c r="AH135" i="29"/>
  <c r="AG520" i="29"/>
  <c r="W23" i="29"/>
  <c r="AA23" i="29" s="1"/>
  <c r="AH77" i="29"/>
  <c r="X273" i="29"/>
  <c r="Y273" i="29" s="1"/>
  <c r="W132" i="29"/>
  <c r="AA132" i="29" s="1"/>
  <c r="AG569" i="29"/>
  <c r="AH283" i="29"/>
  <c r="AH446" i="29"/>
  <c r="W434" i="29"/>
  <c r="AA434" i="29" s="1"/>
  <c r="X469" i="29"/>
  <c r="Y469" i="29" s="1"/>
  <c r="AH592" i="29"/>
  <c r="X262" i="29"/>
  <c r="Y262" i="29" s="1"/>
  <c r="X94" i="29"/>
  <c r="Y94" i="29" s="1"/>
  <c r="W301" i="29"/>
  <c r="AJ301" i="29" s="1"/>
  <c r="AK301" i="29" s="1"/>
  <c r="AH275" i="29"/>
  <c r="W240" i="29"/>
  <c r="AJ240" i="29" s="1"/>
  <c r="AK240" i="29" s="1"/>
  <c r="W432" i="29"/>
  <c r="AA432" i="29" s="1"/>
  <c r="AG146" i="29"/>
  <c r="AG157" i="29"/>
  <c r="AH65" i="29"/>
  <c r="AG449" i="29"/>
  <c r="X411" i="29"/>
  <c r="Y411" i="29" s="1"/>
  <c r="AG143" i="29"/>
  <c r="W199" i="29"/>
  <c r="AA199" i="29" s="1"/>
  <c r="W375" i="29"/>
  <c r="AJ375" i="29" s="1"/>
  <c r="AK375" i="29" s="1"/>
  <c r="AG524" i="29"/>
  <c r="AG202" i="29"/>
  <c r="AG145" i="29"/>
  <c r="X436" i="29"/>
  <c r="Y436" i="29" s="1"/>
  <c r="X129" i="29"/>
  <c r="Y129" i="29" s="1"/>
  <c r="AG290" i="29"/>
  <c r="W75" i="29"/>
  <c r="AJ75" i="29" s="1"/>
  <c r="AK75" i="29" s="1"/>
  <c r="AG523" i="29"/>
  <c r="W542" i="29"/>
  <c r="AA542" i="29" s="1"/>
  <c r="AH481" i="29"/>
  <c r="X307" i="29"/>
  <c r="Y307" i="29" s="1"/>
  <c r="AH407" i="29"/>
  <c r="X51" i="29"/>
  <c r="Y51" i="29" s="1"/>
  <c r="AG244" i="29"/>
  <c r="W56" i="29"/>
  <c r="AA56" i="29" s="1"/>
  <c r="X539" i="29"/>
  <c r="Y539" i="29" s="1"/>
  <c r="X228" i="29"/>
  <c r="Y228" i="29" s="1"/>
  <c r="AH249" i="29"/>
  <c r="X21" i="29"/>
  <c r="Y21" i="29" s="1"/>
  <c r="AG172" i="29"/>
  <c r="W91" i="29"/>
  <c r="W573" i="29"/>
  <c r="AJ573" i="29" s="1"/>
  <c r="AK573" i="29" s="1"/>
  <c r="AG500" i="29"/>
  <c r="W315" i="29"/>
  <c r="AA315" i="29" s="1"/>
  <c r="W492" i="29"/>
  <c r="W305" i="29"/>
  <c r="AJ305" i="29" s="1"/>
  <c r="AK305" i="29" s="1"/>
  <c r="AG195" i="29"/>
  <c r="AG265" i="29"/>
  <c r="AH392" i="29"/>
  <c r="W99" i="29"/>
  <c r="AJ99" i="29" s="1"/>
  <c r="AK99" i="29" s="1"/>
  <c r="X263" i="29"/>
  <c r="Y263" i="29" s="1"/>
  <c r="X14" i="29"/>
  <c r="Y14" i="29" s="1"/>
  <c r="X579" i="29"/>
  <c r="Y579" i="29" s="1"/>
  <c r="AH394" i="29"/>
  <c r="W179" i="29"/>
  <c r="AJ178" i="29" s="1"/>
  <c r="AK178" i="29" s="1"/>
  <c r="X211" i="29"/>
  <c r="Y211" i="29" s="1"/>
  <c r="X160" i="29"/>
  <c r="Y160" i="29" s="1"/>
  <c r="X487" i="29"/>
  <c r="Y487" i="29" s="1"/>
  <c r="X399" i="29"/>
  <c r="Y399" i="29" s="1"/>
  <c r="W382" i="29"/>
  <c r="AJ381" i="29" s="1"/>
  <c r="AK381" i="29" s="1"/>
  <c r="X519" i="29"/>
  <c r="Y519" i="29" s="1"/>
  <c r="X517" i="29"/>
  <c r="Y517" i="29" s="1"/>
  <c r="AG226" i="29"/>
  <c r="AH102" i="29"/>
  <c r="W15" i="29"/>
  <c r="AA15" i="29" s="1"/>
  <c r="W278" i="29"/>
  <c r="AJ277" i="29" s="1"/>
  <c r="AK277" i="29" s="1"/>
  <c r="AG314" i="29"/>
  <c r="AG255" i="29"/>
  <c r="W280" i="29"/>
  <c r="AA280" i="29" s="1"/>
  <c r="AG381" i="29"/>
  <c r="X496" i="29"/>
  <c r="Y496" i="29" s="1"/>
  <c r="W335" i="29"/>
  <c r="W353" i="29"/>
  <c r="AA353" i="29" s="1"/>
  <c r="AH386" i="29"/>
  <c r="AH427" i="29"/>
  <c r="W595" i="29"/>
  <c r="AA595" i="29" s="1"/>
  <c r="X570" i="29"/>
  <c r="Y570" i="29" s="1"/>
  <c r="X419" i="29"/>
  <c r="Y419" i="29" s="1"/>
  <c r="W450" i="29"/>
  <c r="AJ450" i="29" s="1"/>
  <c r="AK450" i="29" s="1"/>
  <c r="AH313" i="29"/>
  <c r="W213" i="29"/>
  <c r="AA213" i="29" s="1"/>
  <c r="X600" i="29"/>
  <c r="Y600" i="29" s="1"/>
  <c r="AG568" i="29"/>
  <c r="AH196" i="29"/>
  <c r="AH47" i="29"/>
  <c r="X68" i="29"/>
  <c r="Y68" i="29" s="1"/>
  <c r="W245" i="29"/>
  <c r="AJ245" i="29" s="1"/>
  <c r="AK245" i="29" s="1"/>
  <c r="AH131" i="29"/>
  <c r="X126" i="29"/>
  <c r="Y126" i="29" s="1"/>
  <c r="X396" i="29"/>
  <c r="Y396" i="29" s="1"/>
  <c r="AH134" i="29"/>
  <c r="W421" i="29"/>
  <c r="X36" i="29"/>
  <c r="Y36" i="29" s="1"/>
  <c r="X458" i="29"/>
  <c r="Y458" i="29" s="1"/>
  <c r="AG318" i="29"/>
  <c r="AH405" i="29"/>
  <c r="AG209" i="29"/>
  <c r="AH456" i="29"/>
  <c r="AH243" i="29"/>
  <c r="X601" i="29"/>
  <c r="Y601" i="29" s="1"/>
  <c r="AG121" i="29"/>
  <c r="W444" i="29"/>
  <c r="AJ443" i="29" s="1"/>
  <c r="AK443" i="29" s="1"/>
  <c r="AG389" i="29"/>
  <c r="AG518" i="29"/>
  <c r="W310" i="29"/>
  <c r="AJ310" i="29" s="1"/>
  <c r="AK310" i="29" s="1"/>
  <c r="X67" i="29"/>
  <c r="Y67" i="29" s="1"/>
  <c r="X215" i="29"/>
  <c r="Y215" i="29" s="1"/>
  <c r="W37" i="29"/>
  <c r="AJ36" i="29" s="1"/>
  <c r="AK36" i="29" s="1"/>
  <c r="X191" i="29"/>
  <c r="Y191" i="29" s="1"/>
  <c r="W525" i="29"/>
  <c r="AH506" i="29"/>
  <c r="X425" i="29"/>
  <c r="Y425" i="29" s="1"/>
  <c r="X282" i="29"/>
  <c r="Y282" i="29" s="1"/>
  <c r="AG504" i="29"/>
  <c r="W369" i="29"/>
  <c r="AA369" i="29" s="1"/>
  <c r="X311" i="29"/>
  <c r="Y311" i="29" s="1"/>
  <c r="X227" i="29"/>
  <c r="Y227" i="29" s="1"/>
  <c r="AH27" i="29"/>
  <c r="AG173" i="29"/>
  <c r="AG55" i="29"/>
  <c r="W26" i="29"/>
  <c r="X83" i="29"/>
  <c r="Y83" i="29" s="1"/>
  <c r="AG158" i="29"/>
  <c r="AH16" i="29"/>
  <c r="X182" i="29"/>
  <c r="Y182" i="29" s="1"/>
  <c r="W533" i="29"/>
  <c r="AJ532" i="29" s="1"/>
  <c r="AK532" i="29" s="1"/>
  <c r="W200" i="29"/>
  <c r="AJ200" i="29" s="1"/>
  <c r="AK200" i="29" s="1"/>
  <c r="X372" i="29"/>
  <c r="Y372" i="29" s="1"/>
  <c r="AH300" i="29"/>
  <c r="X549" i="29"/>
  <c r="Y549" i="29" s="1"/>
  <c r="AH95" i="29"/>
  <c r="X420" i="29"/>
  <c r="Y420" i="29" s="1"/>
  <c r="AG31" i="29"/>
  <c r="X491" i="29"/>
  <c r="Y491" i="29" s="1"/>
  <c r="AG287" i="29"/>
  <c r="W531" i="29"/>
  <c r="AJ531" i="29" s="1"/>
  <c r="AK531" i="29" s="1"/>
  <c r="X607" i="29"/>
  <c r="Y607" i="29" s="1"/>
  <c r="AH545" i="29"/>
  <c r="X62" i="29"/>
  <c r="Y62" i="29" s="1"/>
  <c r="X269" i="29"/>
  <c r="Y269" i="29" s="1"/>
  <c r="CB170" i="25"/>
  <c r="CF170" i="25"/>
  <c r="CB170" i="24"/>
  <c r="CF170" i="24"/>
  <c r="CB276" i="24"/>
  <c r="CF276" i="24"/>
  <c r="W360" i="29"/>
  <c r="AJ359" i="29" s="1"/>
  <c r="AK359" i="29" s="1"/>
  <c r="CB166" i="24"/>
  <c r="CF166" i="24"/>
  <c r="CB272" i="24"/>
  <c r="CF272" i="24"/>
  <c r="CB102" i="24"/>
  <c r="CF102" i="24"/>
  <c r="W441" i="29"/>
  <c r="AA441" i="29" s="1"/>
  <c r="CB92" i="25"/>
  <c r="CF92" i="25"/>
  <c r="CB92" i="24"/>
  <c r="CF92" i="24"/>
  <c r="AH176" i="29"/>
  <c r="W82" i="29"/>
  <c r="AA82" i="29" s="1"/>
  <c r="AG564" i="29"/>
  <c r="AG296" i="29"/>
  <c r="W431" i="29"/>
  <c r="AA431" i="29" s="1"/>
  <c r="X247" i="29"/>
  <c r="Y247" i="29" s="1"/>
  <c r="CB268" i="24"/>
  <c r="CF268" i="24"/>
  <c r="CB157" i="24"/>
  <c r="CF157" i="24"/>
  <c r="CB263" i="24"/>
  <c r="CF263" i="24"/>
  <c r="CB79" i="24"/>
  <c r="CF79" i="24"/>
  <c r="CB274" i="24"/>
  <c r="CF274" i="24"/>
  <c r="CB168" i="24"/>
  <c r="CF168" i="24"/>
  <c r="CB285" i="24"/>
  <c r="CF285" i="24"/>
  <c r="CB179" i="24"/>
  <c r="CF179" i="24"/>
  <c r="W495" i="29"/>
  <c r="AJ494" i="29" s="1"/>
  <c r="AK494" i="29" s="1"/>
  <c r="X288" i="29"/>
  <c r="Y288" i="29" s="1"/>
  <c r="AG534" i="29"/>
  <c r="BY237" i="25"/>
  <c r="CA237" i="25" s="1"/>
  <c r="CB237" i="25" s="1"/>
  <c r="BL237" i="25"/>
  <c r="BK237" i="25"/>
  <c r="AT212" i="25"/>
  <c r="AY212" i="25" s="1"/>
  <c r="AU212" i="25"/>
  <c r="BY77" i="25"/>
  <c r="CA77" i="25" s="1"/>
  <c r="BL77" i="25"/>
  <c r="CB173" i="24"/>
  <c r="CF173" i="24"/>
  <c r="CB74" i="24"/>
  <c r="CF74" i="24"/>
  <c r="AA599" i="29"/>
  <c r="AJ58" i="29"/>
  <c r="AK58" i="29" s="1"/>
  <c r="AA59" i="29"/>
  <c r="AA201" i="29"/>
  <c r="BY72" i="25"/>
  <c r="CA72" i="25" s="1"/>
  <c r="BL72" i="25"/>
  <c r="AA325" i="29"/>
  <c r="AJ324" i="29"/>
  <c r="AK324" i="29" s="1"/>
  <c r="BL146" i="25"/>
  <c r="BY146" i="25"/>
  <c r="CA146" i="25" s="1"/>
  <c r="CB146" i="25" s="1"/>
  <c r="BK146" i="25"/>
  <c r="AA460" i="29"/>
  <c r="AJ459" i="29"/>
  <c r="AK459" i="29" s="1"/>
  <c r="AJ54" i="29"/>
  <c r="AK54" i="29" s="1"/>
  <c r="AA55" i="29"/>
  <c r="BL41" i="25"/>
  <c r="BY41" i="25"/>
  <c r="CA41" i="25" s="1"/>
  <c r="CB41" i="25" s="1"/>
  <c r="AJ119" i="29"/>
  <c r="AK119" i="29" s="1"/>
  <c r="AA120" i="29"/>
  <c r="AA445" i="29"/>
  <c r="AJ258" i="29"/>
  <c r="AK258" i="29" s="1"/>
  <c r="AA259" i="29"/>
  <c r="AA148" i="29"/>
  <c r="BL125" i="25"/>
  <c r="BY125" i="25"/>
  <c r="CA125" i="25" s="1"/>
  <c r="BK125" i="25"/>
  <c r="AA490" i="29"/>
  <c r="AJ489" i="29"/>
  <c r="AK489" i="29" s="1"/>
  <c r="AA435" i="29"/>
  <c r="AA277" i="29"/>
  <c r="AJ276" i="29"/>
  <c r="AK276" i="29" s="1"/>
  <c r="AJ214" i="29"/>
  <c r="AK214" i="29" s="1"/>
  <c r="AA215" i="29"/>
  <c r="AA246" i="29"/>
  <c r="AA596" i="29"/>
  <c r="AA63" i="29"/>
  <c r="AJ62" i="29"/>
  <c r="AK62" i="29" s="1"/>
  <c r="AA521" i="29"/>
  <c r="AJ520" i="29"/>
  <c r="AK520" i="29" s="1"/>
  <c r="BY119" i="25"/>
  <c r="CA119" i="25" s="1"/>
  <c r="CB119" i="25" s="1"/>
  <c r="BL119" i="25"/>
  <c r="BK119" i="25"/>
  <c r="AJ202" i="29"/>
  <c r="AK202" i="29" s="1"/>
  <c r="AA203" i="29"/>
  <c r="BN316" i="24"/>
  <c r="AJ313" i="29"/>
  <c r="AK313" i="29" s="1"/>
  <c r="AA314" i="29"/>
  <c r="AJ339" i="29"/>
  <c r="AK339" i="29" s="1"/>
  <c r="AA340" i="29"/>
  <c r="AA38" i="29"/>
  <c r="AA64" i="29"/>
  <c r="AJ63" i="29"/>
  <c r="AK63" i="29" s="1"/>
  <c r="AJ168" i="29"/>
  <c r="AK168" i="29" s="1"/>
  <c r="AA169" i="29"/>
  <c r="AA224" i="29"/>
  <c r="AA211" i="29"/>
  <c r="AJ30" i="29"/>
  <c r="AK30" i="29" s="1"/>
  <c r="AA31" i="29"/>
  <c r="BL75" i="25"/>
  <c r="BY75" i="25"/>
  <c r="CA75" i="25" s="1"/>
  <c r="CB75" i="25" s="1"/>
  <c r="BY163" i="25"/>
  <c r="CA163" i="25" s="1"/>
  <c r="BL163" i="25"/>
  <c r="BK163" i="25"/>
  <c r="BY24" i="25"/>
  <c r="CA24" i="25" s="1"/>
  <c r="CB24" i="25" s="1"/>
  <c r="BL24" i="25"/>
  <c r="AA100" i="29"/>
  <c r="AA576" i="29"/>
  <c r="AJ575" i="29"/>
  <c r="AK575" i="29" s="1"/>
  <c r="AA306" i="29"/>
  <c r="AA67" i="29"/>
  <c r="AJ66" i="29"/>
  <c r="AK66" i="29" s="1"/>
  <c r="BY23" i="25"/>
  <c r="CA23" i="25" s="1"/>
  <c r="CB23" i="25" s="1"/>
  <c r="BL23" i="25"/>
  <c r="BL39" i="25"/>
  <c r="BY39" i="25"/>
  <c r="CA39" i="25" s="1"/>
  <c r="CB39" i="25" s="1"/>
  <c r="AA481" i="29"/>
  <c r="AA69" i="29"/>
  <c r="AJ68" i="29"/>
  <c r="AK68" i="29" s="1"/>
  <c r="BY150" i="25"/>
  <c r="CA150" i="25" s="1"/>
  <c r="CB150" i="25" s="1"/>
  <c r="BL150" i="25"/>
  <c r="BK150" i="25"/>
  <c r="BY142" i="25"/>
  <c r="CA142" i="25" s="1"/>
  <c r="BL142" i="25"/>
  <c r="BK142" i="25"/>
  <c r="AA403" i="29"/>
  <c r="AJ402" i="29"/>
  <c r="AK402" i="29" s="1"/>
  <c r="AA241" i="29"/>
  <c r="AA496" i="29"/>
  <c r="AJ78" i="29"/>
  <c r="AK78" i="29" s="1"/>
  <c r="AA79" i="29"/>
  <c r="AA497" i="29"/>
  <c r="AJ496" i="29"/>
  <c r="AK496" i="29" s="1"/>
  <c r="AJ596" i="29"/>
  <c r="AK596" i="29" s="1"/>
  <c r="AA597" i="29"/>
  <c r="AA565" i="29"/>
  <c r="AJ564" i="29"/>
  <c r="AK564" i="29" s="1"/>
  <c r="AA184" i="29"/>
  <c r="AJ159" i="29"/>
  <c r="AK159" i="29" s="1"/>
  <c r="AA160" i="29"/>
  <c r="BY85" i="25"/>
  <c r="CA85" i="25" s="1"/>
  <c r="CB85" i="25" s="1"/>
  <c r="BL85" i="25"/>
  <c r="BL300" i="25"/>
  <c r="BY300" i="25"/>
  <c r="CA300" i="25" s="1"/>
  <c r="CB300" i="25" s="1"/>
  <c r="BK300" i="25"/>
  <c r="AJ262" i="29"/>
  <c r="AK262" i="29" s="1"/>
  <c r="AA263" i="29"/>
  <c r="BL294" i="25"/>
  <c r="BY294" i="25"/>
  <c r="CA294" i="25" s="1"/>
  <c r="CB294" i="25" s="1"/>
  <c r="BK294" i="25"/>
  <c r="AA519" i="29"/>
  <c r="AJ518" i="29"/>
  <c r="AK518" i="29" s="1"/>
  <c r="AA361" i="29"/>
  <c r="AJ76" i="29"/>
  <c r="AK76" i="29" s="1"/>
  <c r="AA77" i="29"/>
  <c r="AA582" i="29"/>
  <c r="AJ581" i="29"/>
  <c r="AK581" i="29" s="1"/>
  <c r="AA264" i="29"/>
  <c r="AJ263" i="29"/>
  <c r="AK263" i="29" s="1"/>
  <c r="BL175" i="25"/>
  <c r="BY175" i="25"/>
  <c r="CA175" i="25" s="1"/>
  <c r="BK175" i="25"/>
  <c r="AA205" i="29"/>
  <c r="AJ204" i="29"/>
  <c r="AK204" i="29" s="1"/>
  <c r="BL53" i="25"/>
  <c r="BY53" i="25"/>
  <c r="CA53" i="25" s="1"/>
  <c r="CB53" i="25" s="1"/>
  <c r="AJ196" i="29"/>
  <c r="AK196" i="29" s="1"/>
  <c r="AA197" i="29"/>
  <c r="AA320" i="29"/>
  <c r="AJ319" i="29"/>
  <c r="AK319" i="29" s="1"/>
  <c r="AA311" i="29"/>
  <c r="AJ86" i="29"/>
  <c r="AK86" i="29" s="1"/>
  <c r="AA87" i="29"/>
  <c r="BL217" i="25"/>
  <c r="BY217" i="25"/>
  <c r="CA217" i="25" s="1"/>
  <c r="CB217" i="25" s="1"/>
  <c r="BK217" i="25"/>
  <c r="BY67" i="25"/>
  <c r="CA67" i="25" s="1"/>
  <c r="CB67" i="25" s="1"/>
  <c r="BL67" i="25"/>
  <c r="CB97" i="25"/>
  <c r="CF97" i="25"/>
  <c r="AJ285" i="29"/>
  <c r="AK285" i="29" s="1"/>
  <c r="AA286" i="29"/>
  <c r="AJ192" i="29"/>
  <c r="AK192" i="29" s="1"/>
  <c r="AA193" i="29"/>
  <c r="BL286" i="25"/>
  <c r="BY286" i="25"/>
  <c r="CA286" i="25" s="1"/>
  <c r="CB286" i="25" s="1"/>
  <c r="BK286" i="25"/>
  <c r="BL250" i="25"/>
  <c r="BY250" i="25"/>
  <c r="CA250" i="25" s="1"/>
  <c r="CB250" i="25" s="1"/>
  <c r="BK250" i="25"/>
  <c r="AA95" i="29"/>
  <c r="AJ94" i="29"/>
  <c r="BL83" i="25"/>
  <c r="BY83" i="25"/>
  <c r="CA83" i="25" s="1"/>
  <c r="BY284" i="25"/>
  <c r="CA284" i="25" s="1"/>
  <c r="CB284" i="25" s="1"/>
  <c r="BL284" i="25"/>
  <c r="BK284" i="25"/>
  <c r="AJ424" i="29"/>
  <c r="AK424" i="29" s="1"/>
  <c r="AA425" i="29"/>
  <c r="AA416" i="29"/>
  <c r="AJ415" i="29"/>
  <c r="AK415" i="29" s="1"/>
  <c r="AJ392" i="29"/>
  <c r="AK392" i="29" s="1"/>
  <c r="AA393" i="29"/>
  <c r="BY133" i="25"/>
  <c r="CA133" i="25" s="1"/>
  <c r="BL133" i="25"/>
  <c r="BK133" i="25"/>
  <c r="BL47" i="25"/>
  <c r="BY47" i="25"/>
  <c r="CA47" i="25" s="1"/>
  <c r="CB47" i="25" s="1"/>
  <c r="AA50" i="29"/>
  <c r="AA195" i="29"/>
  <c r="AJ194" i="29"/>
  <c r="AK194" i="29" s="1"/>
  <c r="BY80" i="25"/>
  <c r="CA80" i="25" s="1"/>
  <c r="BL80" i="25"/>
  <c r="BL225" i="25"/>
  <c r="BY225" i="25"/>
  <c r="CA225" i="25" s="1"/>
  <c r="CB225" i="25" s="1"/>
  <c r="BK225" i="25"/>
  <c r="AJ371" i="29"/>
  <c r="AK371" i="29" s="1"/>
  <c r="AA372" i="29"/>
  <c r="AA43" i="29"/>
  <c r="AJ42" i="29"/>
  <c r="AK42" i="29" s="1"/>
  <c r="AA398" i="29"/>
  <c r="AJ397" i="29"/>
  <c r="AK397" i="29" s="1"/>
  <c r="BY65" i="25"/>
  <c r="CA65" i="25" s="1"/>
  <c r="BL65" i="25"/>
  <c r="BY43" i="25"/>
  <c r="CA43" i="25" s="1"/>
  <c r="CB43" i="25" s="1"/>
  <c r="BL43" i="25"/>
  <c r="AA611" i="29"/>
  <c r="AJ404" i="29"/>
  <c r="AK404" i="29" s="1"/>
  <c r="AA405" i="29"/>
  <c r="AA592" i="29"/>
  <c r="AJ591" i="29"/>
  <c r="AK591" i="29" s="1"/>
  <c r="BY220" i="25"/>
  <c r="CA220" i="25" s="1"/>
  <c r="CB220" i="25" s="1"/>
  <c r="BL220" i="25"/>
  <c r="BK220" i="25"/>
  <c r="AA342" i="29"/>
  <c r="BL144" i="25"/>
  <c r="BY144" i="25"/>
  <c r="CA144" i="25" s="1"/>
  <c r="CB144" i="25" s="1"/>
  <c r="BK144" i="25"/>
  <c r="AA399" i="29"/>
  <c r="AJ398" i="29"/>
  <c r="AK398" i="29" s="1"/>
  <c r="AA359" i="29"/>
  <c r="AJ358" i="29"/>
  <c r="AK358" i="29" s="1"/>
  <c r="AA358" i="29"/>
  <c r="BY36" i="25"/>
  <c r="CA36" i="25" s="1"/>
  <c r="CB36" i="25" s="1"/>
  <c r="BL36" i="25"/>
  <c r="AA475" i="29"/>
  <c r="BL252" i="25"/>
  <c r="BY252" i="25"/>
  <c r="CA252" i="25" s="1"/>
  <c r="CB252" i="25" s="1"/>
  <c r="BK252" i="25"/>
  <c r="BY260" i="25"/>
  <c r="CA260" i="25" s="1"/>
  <c r="CB260" i="25" s="1"/>
  <c r="BL260" i="25"/>
  <c r="BK260" i="25"/>
  <c r="AJ396" i="29"/>
  <c r="AA397" i="29"/>
  <c r="BL69" i="25"/>
  <c r="BY69" i="25"/>
  <c r="CA69" i="25" s="1"/>
  <c r="CB69" i="25" s="1"/>
  <c r="BL194" i="25"/>
  <c r="BY194" i="25"/>
  <c r="CA194" i="25" s="1"/>
  <c r="BK194" i="25"/>
  <c r="BY187" i="25"/>
  <c r="CA187" i="25" s="1"/>
  <c r="CB187" i="25" s="1"/>
  <c r="BL187" i="25"/>
  <c r="BK187" i="25"/>
  <c r="BY234" i="25"/>
  <c r="CA234" i="25" s="1"/>
  <c r="CB234" i="25" s="1"/>
  <c r="BL234" i="25"/>
  <c r="BK234" i="25"/>
  <c r="AJ338" i="29"/>
  <c r="AK338" i="29" s="1"/>
  <c r="AA339" i="29"/>
  <c r="BL315" i="25"/>
  <c r="BY315" i="25"/>
  <c r="CA315" i="25" s="1"/>
  <c r="CB315" i="25" s="1"/>
  <c r="BK315" i="25"/>
  <c r="AA134" i="29"/>
  <c r="AJ27" i="29"/>
  <c r="AK27" i="29" s="1"/>
  <c r="AA28" i="29"/>
  <c r="AJ515" i="29"/>
  <c r="AK515" i="29" s="1"/>
  <c r="AA516" i="29"/>
  <c r="AJ386" i="29"/>
  <c r="AK386" i="29" s="1"/>
  <c r="AA387" i="29"/>
  <c r="BY278" i="25"/>
  <c r="CA278" i="25" s="1"/>
  <c r="CB278" i="25" s="1"/>
  <c r="BL278" i="25"/>
  <c r="BK278" i="25"/>
  <c r="BL130" i="25"/>
  <c r="BY130" i="25"/>
  <c r="CA130" i="25" s="1"/>
  <c r="BK130" i="25"/>
  <c r="AA125" i="29"/>
  <c r="AJ124" i="29"/>
  <c r="AK124" i="29" s="1"/>
  <c r="BY73" i="25"/>
  <c r="CA73" i="25" s="1"/>
  <c r="BL73" i="25"/>
  <c r="BL193" i="25"/>
  <c r="BY193" i="25"/>
  <c r="CA193" i="25" s="1"/>
  <c r="BK193" i="25"/>
  <c r="BL169" i="25"/>
  <c r="BY169" i="25"/>
  <c r="CA169" i="25" s="1"/>
  <c r="BK169" i="25"/>
  <c r="AJ613" i="29"/>
  <c r="AK613" i="29" s="1"/>
  <c r="AA613" i="29"/>
  <c r="AJ612" i="29"/>
  <c r="AK612" i="29" s="1"/>
  <c r="BY203" i="25"/>
  <c r="CA203" i="25" s="1"/>
  <c r="BL203" i="25"/>
  <c r="BK203" i="25"/>
  <c r="BL263" i="25"/>
  <c r="BY263" i="25"/>
  <c r="CA263" i="25" s="1"/>
  <c r="CB263" i="25" s="1"/>
  <c r="BK263" i="25"/>
  <c r="AA204" i="29"/>
  <c r="AJ203" i="29"/>
  <c r="AK203" i="29" s="1"/>
  <c r="AJ505" i="29"/>
  <c r="AK505" i="29" s="1"/>
  <c r="AA506" i="29"/>
  <c r="AJ560" i="29"/>
  <c r="AK560" i="29" s="1"/>
  <c r="AA561" i="29"/>
  <c r="AJ126" i="29"/>
  <c r="AA127" i="29"/>
  <c r="AA180" i="29"/>
  <c r="BL102" i="25"/>
  <c r="BY102" i="25"/>
  <c r="CA102" i="25" s="1"/>
  <c r="AJ243" i="29"/>
  <c r="AK243" i="29" s="1"/>
  <c r="AA244" i="29"/>
  <c r="AJ157" i="29"/>
  <c r="AK157" i="29" s="1"/>
  <c r="AA158" i="29"/>
  <c r="AJ80" i="29"/>
  <c r="AA81" i="29"/>
  <c r="BY245" i="25"/>
  <c r="CA245" i="25" s="1"/>
  <c r="CB245" i="25" s="1"/>
  <c r="BL245" i="25"/>
  <c r="BK245" i="25"/>
  <c r="AJ418" i="29"/>
  <c r="AK418" i="29" s="1"/>
  <c r="AA419" i="29"/>
  <c r="BL168" i="25"/>
  <c r="BY168" i="25"/>
  <c r="CA168" i="25" s="1"/>
  <c r="BK168" i="25"/>
  <c r="AJ593" i="29"/>
  <c r="AK593" i="29" s="1"/>
  <c r="AA594" i="29"/>
  <c r="BY122" i="25"/>
  <c r="CA122" i="25" s="1"/>
  <c r="CB122" i="25" s="1"/>
  <c r="BL122" i="25"/>
  <c r="BK122" i="25"/>
  <c r="BY209" i="25"/>
  <c r="CA209" i="25" s="1"/>
  <c r="BL209" i="25"/>
  <c r="BK209" i="25"/>
  <c r="AA572" i="29"/>
  <c r="AA39" i="29"/>
  <c r="AJ38" i="29"/>
  <c r="AK38" i="29" s="1"/>
  <c r="AJ237" i="29"/>
  <c r="AK237" i="29" s="1"/>
  <c r="AA238" i="29"/>
  <c r="AA560" i="29"/>
  <c r="AJ559" i="29"/>
  <c r="AK559" i="29" s="1"/>
  <c r="BL310" i="25"/>
  <c r="BY310" i="25"/>
  <c r="CA310" i="25" s="1"/>
  <c r="CB310" i="25" s="1"/>
  <c r="BK310" i="25"/>
  <c r="AA53" i="29"/>
  <c r="AJ275" i="29"/>
  <c r="AK275" i="29" s="1"/>
  <c r="AA276" i="29"/>
  <c r="AJ28" i="29"/>
  <c r="AK28" i="29" s="1"/>
  <c r="AA29" i="29"/>
  <c r="BY118" i="25"/>
  <c r="CA118" i="25" s="1"/>
  <c r="BL118" i="25"/>
  <c r="BK118" i="25"/>
  <c r="AA489" i="29"/>
  <c r="AJ488" i="29"/>
  <c r="AK488" i="29" s="1"/>
  <c r="AA33" i="29"/>
  <c r="AJ32" i="29"/>
  <c r="AK32" i="29" s="1"/>
  <c r="AA68" i="29"/>
  <c r="AJ67" i="29"/>
  <c r="AK67" i="29" s="1"/>
  <c r="AA146" i="29"/>
  <c r="AJ145" i="29"/>
  <c r="AK145" i="29" s="1"/>
  <c r="AA85" i="29"/>
  <c r="BY316" i="25"/>
  <c r="CA316" i="25" s="1"/>
  <c r="CB316" i="25" s="1"/>
  <c r="BL316" i="25"/>
  <c r="BK316" i="25"/>
  <c r="BL176" i="25"/>
  <c r="BY176" i="25"/>
  <c r="CA176" i="25" s="1"/>
  <c r="BK176" i="25"/>
  <c r="BY35" i="25"/>
  <c r="CA35" i="25" s="1"/>
  <c r="CB35" i="25" s="1"/>
  <c r="BL35" i="25"/>
  <c r="AA577" i="29"/>
  <c r="AJ576" i="29"/>
  <c r="AK576" i="29" s="1"/>
  <c r="AA402" i="29"/>
  <c r="BL98" i="25"/>
  <c r="BY98" i="25"/>
  <c r="CA98" i="25" s="1"/>
  <c r="AJ292" i="29"/>
  <c r="AK292" i="29" s="1"/>
  <c r="AA293" i="29"/>
  <c r="AJ577" i="29"/>
  <c r="AK577" i="29" s="1"/>
  <c r="AA578" i="29"/>
  <c r="AA272" i="29"/>
  <c r="AJ271" i="29"/>
  <c r="AK271" i="29" s="1"/>
  <c r="AJ302" i="29"/>
  <c r="AK302" i="29" s="1"/>
  <c r="AA303" i="29"/>
  <c r="BY256" i="25"/>
  <c r="CA256" i="25" s="1"/>
  <c r="CB256" i="25" s="1"/>
  <c r="BL256" i="25"/>
  <c r="BK256" i="25"/>
  <c r="AA499" i="29"/>
  <c r="AA257" i="29"/>
  <c r="AJ256" i="29"/>
  <c r="AK256" i="29" s="1"/>
  <c r="AJ391" i="29"/>
  <c r="AK391" i="29" s="1"/>
  <c r="AA392" i="29"/>
  <c r="AJ247" i="29"/>
  <c r="AK247" i="29" s="1"/>
  <c r="AA248" i="29"/>
  <c r="BL50" i="25"/>
  <c r="BY50" i="25"/>
  <c r="CA50" i="25" s="1"/>
  <c r="CB50" i="25" s="1"/>
  <c r="BL153" i="25"/>
  <c r="BY153" i="25"/>
  <c r="CA153" i="25" s="1"/>
  <c r="BK153" i="25"/>
  <c r="BL253" i="25"/>
  <c r="BY253" i="25"/>
  <c r="CA253" i="25" s="1"/>
  <c r="CB253" i="25" s="1"/>
  <c r="BK253" i="25"/>
  <c r="AJ230" i="29"/>
  <c r="AK230" i="29" s="1"/>
  <c r="AA231" i="29"/>
  <c r="AA558" i="29"/>
  <c r="AJ363" i="29"/>
  <c r="AK363" i="29" s="1"/>
  <c r="AA364" i="29"/>
  <c r="AJ128" i="29"/>
  <c r="AK128" i="29" s="1"/>
  <c r="AA129" i="29"/>
  <c r="BL272" i="25"/>
  <c r="BY272" i="25"/>
  <c r="CA272" i="25" s="1"/>
  <c r="CB272" i="25" s="1"/>
  <c r="BK272" i="25"/>
  <c r="AJ510" i="29"/>
  <c r="AK510" i="29" s="1"/>
  <c r="AA511" i="29"/>
  <c r="BL91" i="25"/>
  <c r="BY91" i="25"/>
  <c r="CA91" i="25" s="1"/>
  <c r="CB91" i="25" s="1"/>
  <c r="AA567" i="29"/>
  <c r="BY233" i="25"/>
  <c r="CA233" i="25" s="1"/>
  <c r="CB233" i="25" s="1"/>
  <c r="BL233" i="25"/>
  <c r="BK233" i="25"/>
  <c r="AA123" i="29"/>
  <c r="AJ582" i="29"/>
  <c r="AK582" i="29" s="1"/>
  <c r="AA583" i="29"/>
  <c r="BY270" i="25"/>
  <c r="CA270" i="25" s="1"/>
  <c r="CB270" i="25" s="1"/>
  <c r="BL270" i="25"/>
  <c r="BK270" i="25"/>
  <c r="AJ451" i="29"/>
  <c r="AK451" i="29" s="1"/>
  <c r="AA452" i="29"/>
  <c r="AA539" i="29"/>
  <c r="AJ538" i="29"/>
  <c r="AK538" i="29" s="1"/>
  <c r="BY22" i="25"/>
  <c r="CA22" i="25" s="1"/>
  <c r="BL22" i="25"/>
  <c r="BY56" i="25"/>
  <c r="CA56" i="25" s="1"/>
  <c r="BL56" i="25"/>
  <c r="AA102" i="29"/>
  <c r="AJ101" i="29"/>
  <c r="BY242" i="25"/>
  <c r="CA242" i="25" s="1"/>
  <c r="CB242" i="25" s="1"/>
  <c r="BL242" i="25"/>
  <c r="BK242" i="25"/>
  <c r="AA186" i="29"/>
  <c r="AA317" i="29"/>
  <c r="AJ316" i="29"/>
  <c r="AK316" i="29" s="1"/>
  <c r="AJ33" i="29"/>
  <c r="AK33" i="29" s="1"/>
  <c r="AA34" i="29"/>
  <c r="AA255" i="29"/>
  <c r="AA131" i="29"/>
  <c r="AA331" i="29"/>
  <c r="BL126" i="25"/>
  <c r="BY126" i="25"/>
  <c r="CA126" i="25" s="1"/>
  <c r="CB126" i="25" s="1"/>
  <c r="BK126" i="25"/>
  <c r="AA503" i="29"/>
  <c r="AA396" i="29"/>
  <c r="AJ395" i="29"/>
  <c r="AK395" i="29" s="1"/>
  <c r="BY10" i="25"/>
  <c r="CA10" i="25" s="1"/>
  <c r="BL10" i="25"/>
  <c r="AA274" i="29"/>
  <c r="AJ273" i="29"/>
  <c r="AK273" i="29" s="1"/>
  <c r="AJ71" i="29"/>
  <c r="AK71" i="29" s="1"/>
  <c r="AA72" i="29"/>
  <c r="AA138" i="29"/>
  <c r="BY33" i="25"/>
  <c r="CA33" i="25" s="1"/>
  <c r="CB33" i="25" s="1"/>
  <c r="BL33" i="25"/>
  <c r="AA73" i="29"/>
  <c r="AJ72" i="29"/>
  <c r="AK72" i="29" s="1"/>
  <c r="BY63" i="25"/>
  <c r="CA63" i="25" s="1"/>
  <c r="CB63" i="25" s="1"/>
  <c r="BL63" i="25"/>
  <c r="AA515" i="29"/>
  <c r="AJ231" i="29"/>
  <c r="AK231" i="29" s="1"/>
  <c r="AA232" i="29"/>
  <c r="AJ472" i="29"/>
  <c r="AK472" i="29" s="1"/>
  <c r="AA473" i="29"/>
  <c r="AA214" i="29"/>
  <c r="BY289" i="25"/>
  <c r="CA289" i="25" s="1"/>
  <c r="CB289" i="25" s="1"/>
  <c r="BL289" i="25"/>
  <c r="BK289" i="25"/>
  <c r="AJ236" i="29"/>
  <c r="AK236" i="29" s="1"/>
  <c r="AA237" i="29"/>
  <c r="BY239" i="25"/>
  <c r="CA239" i="25" s="1"/>
  <c r="CB239" i="25" s="1"/>
  <c r="BL239" i="25"/>
  <c r="BK239" i="25"/>
  <c r="BL231" i="25"/>
  <c r="BY231" i="25"/>
  <c r="CA231" i="25" s="1"/>
  <c r="CB231" i="25" s="1"/>
  <c r="BK231" i="25"/>
  <c r="AJ180" i="29"/>
  <c r="AK180" i="29" s="1"/>
  <c r="AA181" i="29"/>
  <c r="BY44" i="25"/>
  <c r="CA44" i="25" s="1"/>
  <c r="CB44" i="25" s="1"/>
  <c r="BL44" i="25"/>
  <c r="AA329" i="29"/>
  <c r="AJ328" i="29"/>
  <c r="AK328" i="29" s="1"/>
  <c r="AJ484" i="29"/>
  <c r="AK484" i="29" s="1"/>
  <c r="AA485" i="29"/>
  <c r="AJ318" i="29"/>
  <c r="AK318" i="29" s="1"/>
  <c r="AA319" i="29"/>
  <c r="AJ552" i="29"/>
  <c r="AK552" i="29" s="1"/>
  <c r="AA553" i="29"/>
  <c r="BY76" i="25"/>
  <c r="CA76" i="25" s="1"/>
  <c r="CB76" i="25" s="1"/>
  <c r="BL76" i="25"/>
  <c r="AJ331" i="29"/>
  <c r="AK331" i="29" s="1"/>
  <c r="AA332" i="29"/>
  <c r="BL157" i="25"/>
  <c r="BY157" i="25"/>
  <c r="CA157" i="25" s="1"/>
  <c r="CB157" i="25" s="1"/>
  <c r="BK157" i="25"/>
  <c r="AA451" i="29"/>
  <c r="AJ436" i="29"/>
  <c r="AK436" i="29" s="1"/>
  <c r="AA437" i="29"/>
  <c r="BL8" i="25"/>
  <c r="BY8" i="25"/>
  <c r="CA8" i="25" s="1"/>
  <c r="CB8" i="25" s="1"/>
  <c r="BL281" i="25"/>
  <c r="BY281" i="25"/>
  <c r="CA281" i="25" s="1"/>
  <c r="CB281" i="25" s="1"/>
  <c r="BK281" i="25"/>
  <c r="BY79" i="25"/>
  <c r="CA79" i="25" s="1"/>
  <c r="BL79" i="25"/>
  <c r="AA267" i="29"/>
  <c r="AJ266" i="29"/>
  <c r="AK266" i="29" s="1"/>
  <c r="BL271" i="25"/>
  <c r="BY271" i="25"/>
  <c r="CA271" i="25" s="1"/>
  <c r="CB271" i="25" s="1"/>
  <c r="BK271" i="25"/>
  <c r="AJ246" i="29"/>
  <c r="AK246" i="29" s="1"/>
  <c r="AA247" i="29"/>
  <c r="AA407" i="29"/>
  <c r="BY226" i="25"/>
  <c r="CA226" i="25" s="1"/>
  <c r="CB226" i="25" s="1"/>
  <c r="BL226" i="25"/>
  <c r="BK226" i="25"/>
  <c r="AA454" i="29"/>
  <c r="AJ453" i="29"/>
  <c r="AK453" i="29" s="1"/>
  <c r="BY55" i="25"/>
  <c r="CA55" i="25" s="1"/>
  <c r="BL55" i="25"/>
  <c r="BY241" i="25"/>
  <c r="CA241" i="25" s="1"/>
  <c r="CB241" i="25" s="1"/>
  <c r="BL241" i="25"/>
  <c r="BK241" i="25"/>
  <c r="BY88" i="25"/>
  <c r="CA88" i="25" s="1"/>
  <c r="BL88" i="25"/>
  <c r="AA285" i="29"/>
  <c r="AJ284" i="29"/>
  <c r="AK284" i="29" s="1"/>
  <c r="BY51" i="25"/>
  <c r="CA51" i="25" s="1"/>
  <c r="CB51" i="25" s="1"/>
  <c r="BL51" i="25"/>
  <c r="AJ589" i="29"/>
  <c r="AK589" i="29" s="1"/>
  <c r="AA590" i="29"/>
  <c r="AA217" i="29"/>
  <c r="BL208" i="25"/>
  <c r="BY208" i="25"/>
  <c r="CA208" i="25" s="1"/>
  <c r="BK208" i="25"/>
  <c r="AA586" i="29"/>
  <c r="BY205" i="25"/>
  <c r="CA205" i="25" s="1"/>
  <c r="BL205" i="25"/>
  <c r="BK205" i="25"/>
  <c r="AA413" i="29"/>
  <c r="AA294" i="29"/>
  <c r="AJ293" i="29"/>
  <c r="AK293" i="29" s="1"/>
  <c r="BY9" i="25"/>
  <c r="CA9" i="25" s="1"/>
  <c r="CB9" i="25" s="1"/>
  <c r="BL9" i="25"/>
  <c r="AA476" i="29"/>
  <c r="AJ475" i="29"/>
  <c r="AK475" i="29" s="1"/>
  <c r="AA438" i="29"/>
  <c r="AJ437" i="29"/>
  <c r="AK437" i="29" s="1"/>
  <c r="BL228" i="25"/>
  <c r="BY228" i="25"/>
  <c r="CA228" i="25" s="1"/>
  <c r="CB228" i="25" s="1"/>
  <c r="BK228" i="25"/>
  <c r="AJ205" i="29"/>
  <c r="AK205" i="29" s="1"/>
  <c r="AA206" i="29"/>
  <c r="AJ607" i="29"/>
  <c r="AK607" i="29" s="1"/>
  <c r="AA608" i="29"/>
  <c r="AJ39" i="29"/>
  <c r="AK39" i="29" s="1"/>
  <c r="AA40" i="29"/>
  <c r="BY264" i="25"/>
  <c r="CA264" i="25" s="1"/>
  <c r="CB264" i="25" s="1"/>
  <c r="BL264" i="25"/>
  <c r="BK264" i="25"/>
  <c r="AJ486" i="29"/>
  <c r="AK486" i="29" s="1"/>
  <c r="AA487" i="29"/>
  <c r="AA535" i="29"/>
  <c r="AJ534" i="29"/>
  <c r="AK534" i="29" s="1"/>
  <c r="BY200" i="25"/>
  <c r="CA200" i="25" s="1"/>
  <c r="BL200" i="25"/>
  <c r="BK200" i="25"/>
  <c r="AA408" i="29"/>
  <c r="AJ407" i="29"/>
  <c r="AK407" i="29" s="1"/>
  <c r="BL162" i="25"/>
  <c r="BY162" i="25"/>
  <c r="CA162" i="25" s="1"/>
  <c r="BK162" i="25"/>
  <c r="BY84" i="25"/>
  <c r="CA84" i="25" s="1"/>
  <c r="CB84" i="25" s="1"/>
  <c r="BL84" i="25"/>
  <c r="AA471" i="29"/>
  <c r="AJ470" i="29"/>
  <c r="AK470" i="29" s="1"/>
  <c r="AA236" i="29"/>
  <c r="AJ235" i="29"/>
  <c r="AK235" i="29" s="1"/>
  <c r="BY254" i="25"/>
  <c r="CA254" i="25" s="1"/>
  <c r="CB254" i="25" s="1"/>
  <c r="BL254" i="25"/>
  <c r="BK254" i="25"/>
  <c r="BL185" i="25"/>
  <c r="BY185" i="25"/>
  <c r="CA185" i="25" s="1"/>
  <c r="BK185" i="25"/>
  <c r="BY48" i="25"/>
  <c r="CA48" i="25" s="1"/>
  <c r="BL48" i="25"/>
  <c r="AA97" i="29"/>
  <c r="AJ96" i="29"/>
  <c r="AK96" i="29" s="1"/>
  <c r="AA271" i="29"/>
  <c r="BL26" i="25"/>
  <c r="BY26" i="25"/>
  <c r="CA26" i="25" s="1"/>
  <c r="CB26" i="25" s="1"/>
  <c r="AA279" i="29"/>
  <c r="BL27" i="25"/>
  <c r="BY27" i="25"/>
  <c r="CA27" i="25" s="1"/>
  <c r="BL301" i="25"/>
  <c r="BY301" i="25"/>
  <c r="CA301" i="25" s="1"/>
  <c r="CB301" i="25" s="1"/>
  <c r="BK301" i="25"/>
  <c r="BY303" i="25"/>
  <c r="CA303" i="25" s="1"/>
  <c r="CB303" i="25" s="1"/>
  <c r="BL303" i="25"/>
  <c r="BK303" i="25"/>
  <c r="AA141" i="29"/>
  <c r="BL287" i="25"/>
  <c r="BY287" i="25"/>
  <c r="CA287" i="25" s="1"/>
  <c r="CB287" i="25" s="1"/>
  <c r="BK287" i="25"/>
  <c r="AJ135" i="29"/>
  <c r="AK135" i="29" s="1"/>
  <c r="AA136" i="29"/>
  <c r="AJ298" i="29"/>
  <c r="AK298" i="29" s="1"/>
  <c r="AA299" i="29"/>
  <c r="BL136" i="25"/>
  <c r="BY136" i="25"/>
  <c r="CA136" i="25" s="1"/>
  <c r="CB136" i="25" s="1"/>
  <c r="BK136" i="25"/>
  <c r="AA352" i="29"/>
  <c r="AJ468" i="29"/>
  <c r="AK468" i="29" s="1"/>
  <c r="AA469" i="29"/>
  <c r="AJ282" i="29"/>
  <c r="AK282" i="29" s="1"/>
  <c r="AA283" i="29"/>
  <c r="AA512" i="29"/>
  <c r="AJ511" i="29"/>
  <c r="AK511" i="29" s="1"/>
  <c r="BY38" i="25"/>
  <c r="CA38" i="25" s="1"/>
  <c r="CB38" i="25" s="1"/>
  <c r="BL38" i="25"/>
  <c r="BY16" i="25"/>
  <c r="CA16" i="25" s="1"/>
  <c r="CB16" i="25" s="1"/>
  <c r="BL16" i="25"/>
  <c r="BY181" i="25"/>
  <c r="CA181" i="25" s="1"/>
  <c r="BL181" i="25"/>
  <c r="BK181" i="25"/>
  <c r="AJ487" i="29"/>
  <c r="AK487" i="29" s="1"/>
  <c r="AA488" i="29"/>
  <c r="AA220" i="29"/>
  <c r="BY172" i="25"/>
  <c r="CA172" i="25" s="1"/>
  <c r="BL172" i="25"/>
  <c r="BK172" i="25"/>
  <c r="AA449" i="29"/>
  <c r="AA534" i="29"/>
  <c r="BY100" i="25"/>
  <c r="CA100" i="25" s="1"/>
  <c r="CB100" i="25" s="1"/>
  <c r="BL100" i="25"/>
  <c r="AJ286" i="29"/>
  <c r="AK286" i="29" s="1"/>
  <c r="AA287" i="29"/>
  <c r="AA390" i="29"/>
  <c r="AJ389" i="29"/>
  <c r="AK389" i="29" s="1"/>
  <c r="AJ563" i="29"/>
  <c r="AK563" i="29" s="1"/>
  <c r="AA564" i="29"/>
  <c r="BY134" i="25"/>
  <c r="CA134" i="25" s="1"/>
  <c r="CB134" i="25" s="1"/>
  <c r="BL134" i="25"/>
  <c r="BK134" i="25"/>
  <c r="AA443" i="29"/>
  <c r="AJ442" i="29"/>
  <c r="AK442" i="29" s="1"/>
  <c r="AA374" i="29"/>
  <c r="AJ100" i="29"/>
  <c r="AK100" i="29" s="1"/>
  <c r="AA101" i="29"/>
  <c r="AJ248" i="29"/>
  <c r="AK248" i="29" s="1"/>
  <c r="AA249" i="29"/>
  <c r="AA551" i="29"/>
  <c r="AJ550" i="29"/>
  <c r="AK550" i="29" s="1"/>
  <c r="AA161" i="29"/>
  <c r="AJ160" i="29"/>
  <c r="AK160" i="29" s="1"/>
  <c r="AA501" i="29"/>
  <c r="AJ500" i="29"/>
  <c r="AK500" i="29" s="1"/>
  <c r="BL160" i="25"/>
  <c r="BY160" i="25"/>
  <c r="CA160" i="25" s="1"/>
  <c r="BK160" i="25"/>
  <c r="AA344" i="29"/>
  <c r="AJ385" i="29"/>
  <c r="AK385" i="29" s="1"/>
  <c r="AA386" i="29"/>
  <c r="AA17" i="29"/>
  <c r="AJ16" i="29"/>
  <c r="AK16" i="29" s="1"/>
  <c r="BY308" i="25"/>
  <c r="CA308" i="25" s="1"/>
  <c r="CB308" i="25" s="1"/>
  <c r="BL308" i="25"/>
  <c r="BK308" i="25"/>
  <c r="BY135" i="25"/>
  <c r="CA135" i="25" s="1"/>
  <c r="BL135" i="25"/>
  <c r="BK135" i="25"/>
  <c r="AA151" i="29"/>
  <c r="AA570" i="29"/>
  <c r="AJ569" i="29"/>
  <c r="AK569" i="29" s="1"/>
  <c r="AA446" i="29"/>
  <c r="AJ445" i="29"/>
  <c r="AK445" i="29" s="1"/>
  <c r="BY309" i="25"/>
  <c r="CA309" i="25" s="1"/>
  <c r="CB309" i="25" s="1"/>
  <c r="BL309" i="25"/>
  <c r="BK309" i="25"/>
  <c r="BL74" i="25"/>
  <c r="BY74" i="25"/>
  <c r="CA74" i="25" s="1"/>
  <c r="AJ259" i="29"/>
  <c r="AK259" i="29" s="1"/>
  <c r="AA260" i="29"/>
  <c r="AA555" i="29"/>
  <c r="AJ554" i="29"/>
  <c r="AK554" i="29" s="1"/>
  <c r="AA316" i="29"/>
  <c r="AA532" i="29"/>
  <c r="AJ87" i="29"/>
  <c r="AK87" i="29" s="1"/>
  <c r="AA88" i="29"/>
  <c r="AA468" i="29"/>
  <c r="AJ467" i="29"/>
  <c r="AK467" i="29" s="1"/>
  <c r="BY216" i="25"/>
  <c r="CA216" i="25" s="1"/>
  <c r="CB216" i="25" s="1"/>
  <c r="BL216" i="25"/>
  <c r="BK216" i="25"/>
  <c r="AA103" i="29"/>
  <c r="AJ102" i="29"/>
  <c r="AK102" i="29" s="1"/>
  <c r="AA44" i="29"/>
  <c r="AJ43" i="29"/>
  <c r="AK43" i="29" s="1"/>
  <c r="BL123" i="25"/>
  <c r="BY123" i="25"/>
  <c r="CA123" i="25" s="1"/>
  <c r="CB123" i="25" s="1"/>
  <c r="BK123" i="25"/>
  <c r="AA328" i="29"/>
  <c r="AJ327" i="29"/>
  <c r="AK327" i="29" s="1"/>
  <c r="AJ537" i="29"/>
  <c r="AK537" i="29" s="1"/>
  <c r="AA538" i="29"/>
  <c r="AA269" i="29"/>
  <c r="AJ268" i="29"/>
  <c r="AK268" i="29" s="1"/>
  <c r="AA420" i="29"/>
  <c r="AJ419" i="29"/>
  <c r="AK419" i="29" s="1"/>
  <c r="BY244" i="25"/>
  <c r="CA244" i="25" s="1"/>
  <c r="CB244" i="25" s="1"/>
  <c r="BL244" i="25"/>
  <c r="BK244" i="25"/>
  <c r="BL236" i="25"/>
  <c r="BY236" i="25"/>
  <c r="CA236" i="25" s="1"/>
  <c r="CB236" i="25" s="1"/>
  <c r="BK236" i="25"/>
  <c r="AJ366" i="29"/>
  <c r="AK366" i="29" s="1"/>
  <c r="AA367" i="29"/>
  <c r="BY279" i="25"/>
  <c r="CA279" i="25" s="1"/>
  <c r="CB279" i="25" s="1"/>
  <c r="BL279" i="25"/>
  <c r="BK279" i="25"/>
  <c r="AJ144" i="29"/>
  <c r="AK144" i="29" s="1"/>
  <c r="AA145" i="29"/>
  <c r="AA327" i="29"/>
  <c r="AA174" i="29"/>
  <c r="AJ173" i="29"/>
  <c r="AK173" i="29" s="1"/>
  <c r="BY61" i="25"/>
  <c r="CA61" i="25" s="1"/>
  <c r="CB61" i="25" s="1"/>
  <c r="BL61" i="25"/>
  <c r="BY49" i="25"/>
  <c r="CA49" i="25" s="1"/>
  <c r="CB49" i="25" s="1"/>
  <c r="BL49" i="25"/>
  <c r="AA436" i="29"/>
  <c r="AJ435" i="29"/>
  <c r="AK435" i="29" s="1"/>
  <c r="AJ455" i="29"/>
  <c r="AK455" i="29" s="1"/>
  <c r="AA456" i="29"/>
  <c r="AJ172" i="29"/>
  <c r="AK172" i="29" s="1"/>
  <c r="AA173" i="29"/>
  <c r="BY266" i="25"/>
  <c r="CA266" i="25" s="1"/>
  <c r="CB266" i="25" s="1"/>
  <c r="BL266" i="25"/>
  <c r="BK266" i="25"/>
  <c r="BY159" i="25"/>
  <c r="CA159" i="25" s="1"/>
  <c r="BL159" i="25"/>
  <c r="BK159" i="25"/>
  <c r="AJ456" i="29"/>
  <c r="AK456" i="29" s="1"/>
  <c r="AA457" i="29"/>
  <c r="AA423" i="29"/>
  <c r="AJ454" i="29"/>
  <c r="AK454" i="29" s="1"/>
  <c r="AA455" i="29"/>
  <c r="AA609" i="29"/>
  <c r="AJ608" i="29"/>
  <c r="AK608" i="29" s="1"/>
  <c r="AJ85" i="29"/>
  <c r="AK85" i="29" s="1"/>
  <c r="AA86" i="29"/>
  <c r="BL297" i="25"/>
  <c r="BY297" i="25"/>
  <c r="CA297" i="25" s="1"/>
  <c r="CB297" i="25" s="1"/>
  <c r="BK297" i="25"/>
  <c r="AJ394" i="29"/>
  <c r="AK394" i="29" s="1"/>
  <c r="AA395" i="29"/>
  <c r="AA143" i="29"/>
  <c r="AJ605" i="29"/>
  <c r="AK605" i="29" s="1"/>
  <c r="AA606" i="29"/>
  <c r="BY141" i="25"/>
  <c r="CA141" i="25" s="1"/>
  <c r="BL141" i="25"/>
  <c r="BK141" i="25"/>
  <c r="BY19" i="25"/>
  <c r="CA19" i="25" s="1"/>
  <c r="CB19" i="25" s="1"/>
  <c r="BL19" i="25"/>
  <c r="AJ367" i="29"/>
  <c r="AK367" i="29" s="1"/>
  <c r="AA368" i="29"/>
  <c r="AA388" i="29"/>
  <c r="AJ387" i="29"/>
  <c r="AK387" i="29" s="1"/>
  <c r="AA194" i="29"/>
  <c r="AJ193" i="29"/>
  <c r="AK193" i="29" s="1"/>
  <c r="AA385" i="29"/>
  <c r="AJ384" i="29"/>
  <c r="AK384" i="29" s="1"/>
  <c r="AA61" i="29"/>
  <c r="AJ60" i="29"/>
  <c r="AK60" i="29" s="1"/>
  <c r="AJ553" i="29"/>
  <c r="AK553" i="29" s="1"/>
  <c r="AA554" i="29"/>
  <c r="AA155" i="29"/>
  <c r="BY197" i="25"/>
  <c r="CA197" i="25" s="1"/>
  <c r="BL197" i="25"/>
  <c r="BK197" i="25"/>
  <c r="BY268" i="25"/>
  <c r="CA268" i="25" s="1"/>
  <c r="CB268" i="25" s="1"/>
  <c r="BL268" i="25"/>
  <c r="BK268" i="25"/>
  <c r="BY137" i="25"/>
  <c r="CA137" i="25" s="1"/>
  <c r="CB137" i="25" s="1"/>
  <c r="BL137" i="25"/>
  <c r="BK137" i="25"/>
  <c r="AJ344" i="29"/>
  <c r="AK344" i="29" s="1"/>
  <c r="AA345" i="29"/>
  <c r="BY57" i="25"/>
  <c r="CA57" i="25" s="1"/>
  <c r="BL57" i="25"/>
  <c r="BL218" i="25"/>
  <c r="BY218" i="25"/>
  <c r="CA218" i="25" s="1"/>
  <c r="CB218" i="25" s="1"/>
  <c r="BK218" i="25"/>
  <c r="AA376" i="29"/>
  <c r="AA71" i="29"/>
  <c r="AA504" i="29"/>
  <c r="AJ503" i="29"/>
  <c r="AK503" i="29" s="1"/>
  <c r="BY165" i="25"/>
  <c r="CA165" i="25" s="1"/>
  <c r="BL165" i="25"/>
  <c r="BK165" i="25"/>
  <c r="AA394" i="29"/>
  <c r="AJ393" i="29"/>
  <c r="AK393" i="29" s="1"/>
  <c r="AA14" i="29"/>
  <c r="AA478" i="29"/>
  <c r="AJ477" i="29"/>
  <c r="AK477" i="29" s="1"/>
  <c r="BL285" i="25"/>
  <c r="BY285" i="25"/>
  <c r="CA285" i="25" s="1"/>
  <c r="CB285" i="25" s="1"/>
  <c r="BK285" i="25"/>
  <c r="AA464" i="29"/>
  <c r="AA349" i="29"/>
  <c r="BY145" i="25"/>
  <c r="CA145" i="25" s="1"/>
  <c r="CB145" i="25" s="1"/>
  <c r="BL145" i="25"/>
  <c r="BK145" i="25"/>
  <c r="AJ578" i="29"/>
  <c r="AK578" i="29" s="1"/>
  <c r="AA579" i="29"/>
  <c r="AA563" i="29"/>
  <c r="AA191" i="29"/>
  <c r="AJ190" i="29"/>
  <c r="AK190" i="29" s="1"/>
  <c r="AA414" i="29"/>
  <c r="AJ413" i="29"/>
  <c r="AK413" i="29" s="1"/>
  <c r="AJ103" i="29"/>
  <c r="AK103" i="29" s="1"/>
  <c r="AA104" i="29"/>
  <c r="AJ361" i="29"/>
  <c r="AK361" i="29" s="1"/>
  <c r="AA362" i="29"/>
  <c r="BY302" i="25"/>
  <c r="CA302" i="25" s="1"/>
  <c r="CB302" i="25" s="1"/>
  <c r="BL302" i="25"/>
  <c r="BK302" i="25"/>
  <c r="AA16" i="29"/>
  <c r="AA262" i="29"/>
  <c r="AA494" i="29"/>
  <c r="BY86" i="25"/>
  <c r="CA86" i="25" s="1"/>
  <c r="BL86" i="25"/>
  <c r="BL93" i="25"/>
  <c r="BY93" i="25"/>
  <c r="CA93" i="25" s="1"/>
  <c r="CB93" i="25" s="1"/>
  <c r="BY116" i="25"/>
  <c r="CA116" i="25" s="1"/>
  <c r="BL116" i="25"/>
  <c r="BK116" i="25"/>
  <c r="AA265" i="29"/>
  <c r="AJ264" i="29"/>
  <c r="AK264" i="29" s="1"/>
  <c r="AA182" i="29"/>
  <c r="AJ181" i="29"/>
  <c r="AK181" i="29" s="1"/>
  <c r="AJ29" i="29"/>
  <c r="AK29" i="29" s="1"/>
  <c r="AA30" i="29"/>
  <c r="AA76" i="29"/>
  <c r="AA549" i="29"/>
  <c r="AJ548" i="29"/>
  <c r="AK548" i="29" s="1"/>
  <c r="AA459" i="29"/>
  <c r="AJ458" i="29"/>
  <c r="AK458" i="29" s="1"/>
  <c r="AA78" i="29"/>
  <c r="AJ77" i="29"/>
  <c r="AK77" i="29" s="1"/>
  <c r="BY210" i="25"/>
  <c r="CA210" i="25" s="1"/>
  <c r="BL210" i="25"/>
  <c r="BK210" i="25"/>
  <c r="BL224" i="25"/>
  <c r="BY224" i="25"/>
  <c r="CA224" i="25" s="1"/>
  <c r="CB224" i="25" s="1"/>
  <c r="BK224" i="25"/>
  <c r="AJ461" i="29"/>
  <c r="AK461" i="29" s="1"/>
  <c r="AA462" i="29"/>
  <c r="BY312" i="25"/>
  <c r="CA312" i="25" s="1"/>
  <c r="CB312" i="25" s="1"/>
  <c r="BL312" i="25"/>
  <c r="BK312" i="25"/>
  <c r="AJ376" i="29"/>
  <c r="AK376" i="29" s="1"/>
  <c r="AA377" i="29"/>
  <c r="AJ195" i="29"/>
  <c r="AK195" i="29" s="1"/>
  <c r="AA196" i="29"/>
  <c r="BL99" i="25"/>
  <c r="BY99" i="25"/>
  <c r="CA99" i="25" s="1"/>
  <c r="CB99" i="25" s="1"/>
  <c r="AA550" i="29"/>
  <c r="AJ549" i="29"/>
  <c r="AK549" i="29" s="1"/>
  <c r="AA209" i="29"/>
  <c r="AJ208" i="29"/>
  <c r="AK208" i="29" s="1"/>
  <c r="AA295" i="29"/>
  <c r="AJ294" i="29"/>
  <c r="AK294" i="29" s="1"/>
  <c r="AJ226" i="29"/>
  <c r="AK226" i="29" s="1"/>
  <c r="AA227" i="29"/>
  <c r="AA27" i="29"/>
  <c r="AA601" i="29"/>
  <c r="AJ600" i="29"/>
  <c r="AK600" i="29" s="1"/>
  <c r="AA273" i="29"/>
  <c r="AJ272" i="29"/>
  <c r="AK272" i="29" s="1"/>
  <c r="AA426" i="29"/>
  <c r="AJ425" i="29"/>
  <c r="AK425" i="29" s="1"/>
  <c r="BL128" i="25"/>
  <c r="BY128" i="25"/>
  <c r="CA128" i="25" s="1"/>
  <c r="CB128" i="25" s="1"/>
  <c r="BK128" i="25"/>
  <c r="BY15" i="25"/>
  <c r="CA15" i="25" s="1"/>
  <c r="CB15" i="25" s="1"/>
  <c r="BL15" i="25"/>
  <c r="AA74" i="29"/>
  <c r="AJ73" i="29"/>
  <c r="AK73" i="29" s="1"/>
  <c r="BY64" i="25"/>
  <c r="CA64" i="25" s="1"/>
  <c r="BL64" i="25"/>
  <c r="AA176" i="29"/>
  <c r="AJ175" i="29"/>
  <c r="AK175" i="29" s="1"/>
  <c r="AA346" i="29"/>
  <c r="AJ345" i="29"/>
  <c r="AK345" i="29" s="1"/>
  <c r="BL60" i="25"/>
  <c r="BY60" i="25"/>
  <c r="CA60" i="25" s="1"/>
  <c r="AJ267" i="29"/>
  <c r="AK267" i="29" s="1"/>
  <c r="AA268" i="29"/>
  <c r="BY151" i="25"/>
  <c r="CA151" i="25" s="1"/>
  <c r="BL151" i="25"/>
  <c r="BK151" i="25"/>
  <c r="AJ111" i="29"/>
  <c r="AK111" i="29" s="1"/>
  <c r="AA112" i="29"/>
  <c r="AA415" i="29"/>
  <c r="AJ414" i="29"/>
  <c r="AK414" i="29" s="1"/>
  <c r="AA482" i="29"/>
  <c r="AJ481" i="29"/>
  <c r="AK481" i="29" s="1"/>
  <c r="AJ65" i="29"/>
  <c r="AK65" i="29" s="1"/>
  <c r="AA66" i="29"/>
  <c r="AA35" i="29"/>
  <c r="AJ34" i="29"/>
  <c r="AK34" i="29" s="1"/>
  <c r="AJ287" i="29"/>
  <c r="AK287" i="29" s="1"/>
  <c r="AA288" i="29"/>
  <c r="AA337" i="29"/>
  <c r="AA442" i="29"/>
  <c r="AA188" i="29"/>
  <c r="BY290" i="25"/>
  <c r="CA290" i="25" s="1"/>
  <c r="CB290" i="25" s="1"/>
  <c r="BL290" i="25"/>
  <c r="BK290" i="25"/>
  <c r="AG585" i="29"/>
  <c r="W585" i="29"/>
  <c r="AJ585" i="29" s="1"/>
  <c r="AK585" i="29" s="1"/>
  <c r="BY195" i="25"/>
  <c r="CA195" i="25" s="1"/>
  <c r="CB195" i="25" s="1"/>
  <c r="BL195" i="25"/>
  <c r="BK195" i="25"/>
  <c r="AA192" i="29"/>
  <c r="AJ191" i="29"/>
  <c r="AK191" i="29" s="1"/>
  <c r="AJ143" i="29"/>
  <c r="AK143" i="29" s="1"/>
  <c r="AA144" i="29"/>
  <c r="AJ167" i="29"/>
  <c r="AK167" i="29" s="1"/>
  <c r="AA168" i="29"/>
  <c r="AA243" i="29"/>
  <c r="AJ281" i="29"/>
  <c r="AK281" i="29" s="1"/>
  <c r="AA282" i="29"/>
  <c r="AJ599" i="29"/>
  <c r="AK599" i="29" s="1"/>
  <c r="AA600" i="29"/>
  <c r="AA354" i="29"/>
  <c r="AJ551" i="29"/>
  <c r="AK551" i="29" s="1"/>
  <c r="AA552" i="29"/>
  <c r="AA537" i="29"/>
  <c r="AJ536" i="29"/>
  <c r="AK536" i="29" s="1"/>
  <c r="BY121" i="25"/>
  <c r="CA121" i="25" s="1"/>
  <c r="BL121" i="25"/>
  <c r="BK121" i="25"/>
  <c r="AA54" i="29"/>
  <c r="AJ53" i="29"/>
  <c r="AK53" i="29" s="1"/>
  <c r="AJ388" i="29"/>
  <c r="AK388" i="29" s="1"/>
  <c r="AA389" i="29"/>
  <c r="AA302" i="29"/>
  <c r="AA612" i="29"/>
  <c r="AJ611" i="29"/>
  <c r="AK611" i="29" s="1"/>
  <c r="BY182" i="25"/>
  <c r="CA182" i="25" s="1"/>
  <c r="BL182" i="25"/>
  <c r="BK182" i="25"/>
  <c r="AA21" i="29"/>
  <c r="AJ20" i="29"/>
  <c r="AK20" i="29" s="1"/>
  <c r="AA45" i="29"/>
  <c r="AJ44" i="29"/>
  <c r="AA256" i="29"/>
  <c r="AJ255" i="29"/>
  <c r="AK255" i="29" s="1"/>
  <c r="AJ59" i="29"/>
  <c r="AK59" i="29" s="1"/>
  <c r="AA60" i="29"/>
  <c r="BY227" i="25"/>
  <c r="CA227" i="25" s="1"/>
  <c r="CB227" i="25" s="1"/>
  <c r="BL227" i="25"/>
  <c r="BK227" i="25"/>
  <c r="AJ295" i="29"/>
  <c r="AK295" i="29" s="1"/>
  <c r="AA296" i="29"/>
  <c r="BY269" i="25"/>
  <c r="CA269" i="25" s="1"/>
  <c r="CB269" i="25" s="1"/>
  <c r="BL269" i="25"/>
  <c r="BK269" i="25"/>
  <c r="AA589" i="29"/>
  <c r="AA298" i="29"/>
  <c r="AJ95" i="29"/>
  <c r="AK95" i="29" s="1"/>
  <c r="AA96" i="29"/>
  <c r="BL112" i="25"/>
  <c r="BY112" i="25"/>
  <c r="CA112" i="25" s="1"/>
  <c r="BK112" i="25"/>
  <c r="AA175" i="29"/>
  <c r="AJ174" i="29"/>
  <c r="AK174" i="29" s="1"/>
  <c r="AA178" i="29"/>
  <c r="BL304" i="25"/>
  <c r="BY304" i="25"/>
  <c r="CA304" i="25" s="1"/>
  <c r="CB304" i="25" s="1"/>
  <c r="BK304" i="25"/>
  <c r="AA370" i="29"/>
  <c r="BY307" i="25"/>
  <c r="CA307" i="25" s="1"/>
  <c r="CB307" i="25" s="1"/>
  <c r="BL307" i="25"/>
  <c r="BK307" i="25"/>
  <c r="BY230" i="25"/>
  <c r="CA230" i="25" s="1"/>
  <c r="CB230" i="25" s="1"/>
  <c r="BL230" i="25"/>
  <c r="BK230" i="25"/>
  <c r="AA518" i="29"/>
  <c r="AJ517" i="29"/>
  <c r="AK517" i="29" s="1"/>
  <c r="AA20" i="29"/>
  <c r="BY274" i="25"/>
  <c r="CA274" i="25" s="1"/>
  <c r="CB274" i="25" s="1"/>
  <c r="BL274" i="25"/>
  <c r="BK274" i="25"/>
  <c r="AA24" i="29"/>
  <c r="AA258" i="29"/>
  <c r="AJ257" i="29"/>
  <c r="AK257" i="29" s="1"/>
  <c r="AA159" i="29"/>
  <c r="AJ158" i="29"/>
  <c r="AK158" i="29" s="1"/>
  <c r="BY295" i="25"/>
  <c r="CA295" i="25" s="1"/>
  <c r="CB295" i="25" s="1"/>
  <c r="BL295" i="25"/>
  <c r="BK295" i="25"/>
  <c r="AA479" i="29"/>
  <c r="AJ478" i="29"/>
  <c r="AK478" i="29" s="1"/>
  <c r="AA477" i="29"/>
  <c r="AJ476" i="29"/>
  <c r="AK476" i="29" s="1"/>
  <c r="AA333" i="29"/>
  <c r="AJ332" i="29"/>
  <c r="AK332" i="29" s="1"/>
  <c r="BL184" i="25"/>
  <c r="BY184" i="25"/>
  <c r="CA184" i="25" s="1"/>
  <c r="BK184" i="25"/>
  <c r="AA281" i="29"/>
  <c r="AJ50" i="29"/>
  <c r="AK50" i="29" s="1"/>
  <c r="AA51" i="29"/>
  <c r="BY120" i="25"/>
  <c r="CA120" i="25" s="1"/>
  <c r="CB120" i="25" s="1"/>
  <c r="BL120" i="25"/>
  <c r="BK120" i="25"/>
  <c r="AA545" i="29"/>
  <c r="AJ544" i="29"/>
  <c r="AK544" i="29" s="1"/>
  <c r="AA323" i="29"/>
  <c r="BY25" i="25"/>
  <c r="CA25" i="25" s="1"/>
  <c r="CB25" i="25" s="1"/>
  <c r="BL25" i="25"/>
  <c r="AA559" i="29"/>
  <c r="AJ558" i="29"/>
  <c r="AK558" i="29" s="1"/>
  <c r="BY115" i="25"/>
  <c r="CA115" i="25" s="1"/>
  <c r="BL115" i="25"/>
  <c r="BK115" i="25"/>
  <c r="BL249" i="25"/>
  <c r="BY249" i="25"/>
  <c r="CA249" i="25" s="1"/>
  <c r="CB249" i="25" s="1"/>
  <c r="BK249" i="25"/>
  <c r="AA171" i="29"/>
  <c r="AJ64" i="29"/>
  <c r="AK64" i="29" s="1"/>
  <c r="AA65" i="29"/>
  <c r="AA338" i="29"/>
  <c r="AJ337" i="29"/>
  <c r="AK337" i="29" s="1"/>
  <c r="AJ408" i="29"/>
  <c r="AK408" i="29" s="1"/>
  <c r="AA409" i="29"/>
  <c r="AA313" i="29"/>
  <c r="AA57" i="29"/>
  <c r="AA208" i="29"/>
  <c r="AJ134" i="29"/>
  <c r="AK134" i="29" s="1"/>
  <c r="AA135" i="29"/>
  <c r="AJ354" i="29"/>
  <c r="AK354" i="29" s="1"/>
  <c r="AA355" i="29"/>
  <c r="AJ364" i="29"/>
  <c r="AK364" i="29" s="1"/>
  <c r="AA365" i="29"/>
  <c r="AA36" i="29"/>
  <c r="AJ35" i="29"/>
  <c r="AK35" i="29" s="1"/>
  <c r="BY103" i="25"/>
  <c r="CA103" i="25" s="1"/>
  <c r="CB103" i="25" s="1"/>
  <c r="BL103" i="25"/>
  <c r="AJ274" i="29"/>
  <c r="AK274" i="29" s="1"/>
  <c r="AA275" i="29"/>
  <c r="AJ362" i="29"/>
  <c r="AK362" i="29" s="1"/>
  <c r="AA363" i="29"/>
  <c r="AA230" i="29"/>
  <c r="AJ229" i="29"/>
  <c r="AK229" i="29" s="1"/>
  <c r="AJ377" i="29"/>
  <c r="AK377" i="29" s="1"/>
  <c r="AA378" i="29"/>
  <c r="BY138" i="25"/>
  <c r="CA138" i="25" s="1"/>
  <c r="BL138" i="25"/>
  <c r="BK138" i="25"/>
  <c r="BY277" i="25"/>
  <c r="CA277" i="25" s="1"/>
  <c r="CB277" i="25" s="1"/>
  <c r="BL277" i="25"/>
  <c r="BK277" i="25"/>
  <c r="BL221" i="25"/>
  <c r="BY221" i="25"/>
  <c r="CA221" i="25" s="1"/>
  <c r="CB221" i="25" s="1"/>
  <c r="BK221" i="25"/>
  <c r="BY124" i="25"/>
  <c r="CA124" i="25" s="1"/>
  <c r="CB124" i="25" s="1"/>
  <c r="BL124" i="25"/>
  <c r="BK124" i="25"/>
  <c r="BY117" i="25"/>
  <c r="CA117" i="25" s="1"/>
  <c r="BL117" i="25"/>
  <c r="BK117" i="25"/>
  <c r="AA290" i="29"/>
  <c r="AA32" i="29"/>
  <c r="AJ31" i="29"/>
  <c r="AK31" i="29" s="1"/>
  <c r="AA42" i="29"/>
  <c r="AH585" i="29"/>
  <c r="X585" i="29"/>
  <c r="Y585" i="29" s="1"/>
  <c r="AA500" i="29"/>
  <c r="AJ499" i="29"/>
  <c r="AK499" i="29" s="1"/>
  <c r="BY70" i="25"/>
  <c r="CA70" i="25" s="1"/>
  <c r="CB70" i="25" s="1"/>
  <c r="BL70" i="25"/>
  <c r="AJ211" i="29"/>
  <c r="AK211" i="29" s="1"/>
  <c r="AA212" i="29"/>
  <c r="AA190" i="29"/>
  <c r="AJ189" i="29"/>
  <c r="AK189" i="29" s="1"/>
  <c r="BL196" i="25"/>
  <c r="BY196" i="25"/>
  <c r="CA196" i="25" s="1"/>
  <c r="BK196" i="25"/>
  <c r="AA581" i="29"/>
  <c r="AJ580" i="29"/>
  <c r="AK580" i="29" s="1"/>
  <c r="AA22" i="29"/>
  <c r="AJ21" i="29"/>
  <c r="AK21" i="29" s="1"/>
  <c r="AA548" i="29"/>
  <c r="BY66" i="25"/>
  <c r="CA66" i="25" s="1"/>
  <c r="CB66" i="25" s="1"/>
  <c r="BL66" i="25"/>
  <c r="AA574" i="29"/>
  <c r="AA119" i="29"/>
  <c r="AJ118" i="29"/>
  <c r="AK118" i="29" s="1"/>
  <c r="BY12" i="25"/>
  <c r="CA12" i="25" s="1"/>
  <c r="BL12" i="25"/>
  <c r="AA110" i="29"/>
  <c r="AA300" i="29"/>
  <c r="AJ299" i="29"/>
  <c r="AK299" i="29" s="1"/>
  <c r="AJ482" i="29"/>
  <c r="AK482" i="29" s="1"/>
  <c r="AA483" i="29"/>
  <c r="AA411" i="29"/>
  <c r="AA540" i="29"/>
  <c r="AJ539" i="29"/>
  <c r="AK539" i="29" s="1"/>
  <c r="BY132" i="25"/>
  <c r="CA132" i="25" s="1"/>
  <c r="BL132" i="25"/>
  <c r="BK132" i="25"/>
  <c r="AJ519" i="29"/>
  <c r="AK519" i="29" s="1"/>
  <c r="AA520" i="29"/>
  <c r="AA48" i="29"/>
  <c r="AJ47" i="29"/>
  <c r="AK47" i="29" s="1"/>
  <c r="AJ228" i="29"/>
  <c r="AK228" i="29" s="1"/>
  <c r="AA229" i="29"/>
  <c r="AA307" i="29"/>
  <c r="AJ306" i="29"/>
  <c r="AK306" i="29" s="1"/>
  <c r="BY17" i="25"/>
  <c r="CA17" i="25" s="1"/>
  <c r="CB17" i="25" s="1"/>
  <c r="BL17" i="25"/>
  <c r="BL164" i="25"/>
  <c r="BY164" i="25"/>
  <c r="CA164" i="25" s="1"/>
  <c r="BK164" i="25"/>
  <c r="BY152" i="25"/>
  <c r="CA152" i="25" s="1"/>
  <c r="BL152" i="25"/>
  <c r="BK152" i="25"/>
  <c r="AA106" i="29"/>
  <c r="AJ105" i="29"/>
  <c r="AK105" i="29" s="1"/>
  <c r="AA117" i="29"/>
  <c r="AA46" i="29"/>
  <c r="AJ45" i="29"/>
  <c r="AA580" i="29"/>
  <c r="AJ579" i="29"/>
  <c r="AK579" i="29" s="1"/>
  <c r="AA593" i="29"/>
  <c r="AJ592" i="29"/>
  <c r="AK592" i="29" s="1"/>
  <c r="AA189" i="29"/>
  <c r="AJ188" i="29"/>
  <c r="AK188" i="29" s="1"/>
  <c r="AJ265" i="29"/>
  <c r="AK265" i="29" s="1"/>
  <c r="AA266" i="29"/>
  <c r="AA126" i="29"/>
  <c r="AJ125" i="29"/>
  <c r="AK125" i="29" s="1"/>
  <c r="BY52" i="25"/>
  <c r="CA52" i="25" s="1"/>
  <c r="BL52" i="25"/>
  <c r="AA505" i="29"/>
  <c r="AJ504" i="29"/>
  <c r="AK504" i="29" s="1"/>
  <c r="AA602" i="29"/>
  <c r="AJ601" i="29"/>
  <c r="AK601" i="29" s="1"/>
  <c r="AJ232" i="29"/>
  <c r="AK232" i="29" s="1"/>
  <c r="AA233" i="29"/>
  <c r="AA484" i="29"/>
  <c r="AJ483" i="29"/>
  <c r="AK483" i="29" s="1"/>
  <c r="BL90" i="25"/>
  <c r="BY90" i="25"/>
  <c r="CA90" i="25" s="1"/>
  <c r="AA165" i="29"/>
  <c r="AA18" i="29"/>
  <c r="AJ17" i="29"/>
  <c r="AK17" i="29" s="1"/>
  <c r="AA510" i="29"/>
  <c r="AJ509" i="29"/>
  <c r="AK509" i="29" s="1"/>
  <c r="AA379" i="29"/>
  <c r="AJ378" i="29"/>
  <c r="AK378" i="29" s="1"/>
  <c r="AJ568" i="29"/>
  <c r="AK568" i="29" s="1"/>
  <c r="AA569" i="29"/>
  <c r="AA239" i="29"/>
  <c r="AJ238" i="29"/>
  <c r="AK238" i="29" s="1"/>
  <c r="AA536" i="29"/>
  <c r="AJ535" i="29"/>
  <c r="AK535" i="29" s="1"/>
  <c r="BL111" i="25"/>
  <c r="BY111" i="25"/>
  <c r="CA111" i="25" s="1"/>
  <c r="BK111" i="25"/>
  <c r="AA162" i="29"/>
  <c r="AJ161" i="29"/>
  <c r="AK161" i="29" s="1"/>
  <c r="AA366" i="29"/>
  <c r="AJ365" i="29"/>
  <c r="AK365" i="29" s="1"/>
  <c r="AJ545" i="29"/>
  <c r="AK545" i="29" s="1"/>
  <c r="AA546" i="29"/>
  <c r="BY166" i="25"/>
  <c r="CA166" i="25" s="1"/>
  <c r="BL166" i="25"/>
  <c r="BK166" i="25"/>
  <c r="AA470" i="29"/>
  <c r="AJ469" i="29"/>
  <c r="AK469" i="29" s="1"/>
  <c r="AJ508" i="29"/>
  <c r="AK508" i="29" s="1"/>
  <c r="AA509" i="29"/>
  <c r="AA62" i="29"/>
  <c r="AJ61" i="29"/>
  <c r="AK61" i="29" s="1"/>
  <c r="AA447" i="29"/>
  <c r="AJ446" i="29"/>
  <c r="AK446" i="29" s="1"/>
  <c r="AA152" i="29"/>
  <c r="AJ151" i="29"/>
  <c r="AK151" i="29" s="1"/>
  <c r="AA517" i="29"/>
  <c r="AJ516" i="29"/>
  <c r="AK516" i="29" s="1"/>
  <c r="AA308" i="29"/>
  <c r="AJ307" i="29"/>
  <c r="AK307" i="29" s="1"/>
  <c r="BY207" i="25"/>
  <c r="CA207" i="25" s="1"/>
  <c r="BL207" i="25"/>
  <c r="BK207" i="25"/>
  <c r="AA607" i="29"/>
  <c r="AJ606" i="29"/>
  <c r="AK606" i="29" s="1"/>
  <c r="AA530" i="29"/>
  <c r="BY7" i="25"/>
  <c r="CA7" i="25" s="1"/>
  <c r="BL7" i="25"/>
  <c r="AA318" i="29"/>
  <c r="AJ317" i="29"/>
  <c r="AK317" i="29" s="1"/>
  <c r="BY288" i="25"/>
  <c r="CA288" i="25" s="1"/>
  <c r="CB288" i="25" s="1"/>
  <c r="BL288" i="25"/>
  <c r="BK288" i="25"/>
  <c r="BY180" i="25"/>
  <c r="CA180" i="25" s="1"/>
  <c r="BL180" i="25"/>
  <c r="BK180" i="25"/>
  <c r="AA543" i="29"/>
  <c r="BY183" i="25"/>
  <c r="CA183" i="25" s="1"/>
  <c r="BL183" i="25"/>
  <c r="BK183" i="25"/>
  <c r="BY222" i="25"/>
  <c r="CA222" i="25" s="1"/>
  <c r="CB222" i="25" s="1"/>
  <c r="BL222" i="25"/>
  <c r="BK222" i="25"/>
  <c r="BY127" i="25"/>
  <c r="CA127" i="25" s="1"/>
  <c r="CB127" i="25" s="1"/>
  <c r="BL127" i="25"/>
  <c r="BK127" i="25"/>
  <c r="AA114" i="29"/>
  <c r="BY235" i="25"/>
  <c r="CA235" i="25" s="1"/>
  <c r="CB235" i="25" s="1"/>
  <c r="BL235" i="25"/>
  <c r="BK235" i="25"/>
  <c r="AA384" i="29"/>
  <c r="AA121" i="29"/>
  <c r="AJ120" i="29"/>
  <c r="AK120" i="29" s="1"/>
  <c r="BY42" i="25"/>
  <c r="CA42" i="25" s="1"/>
  <c r="CB42" i="25" s="1"/>
  <c r="BL42" i="25"/>
  <c r="AA124" i="29"/>
  <c r="AJ123" i="29"/>
  <c r="AK123" i="29" s="1"/>
  <c r="AA118" i="29"/>
  <c r="AJ117" i="29"/>
  <c r="AK117" i="29" s="1"/>
  <c r="BL188" i="25"/>
  <c r="BY188" i="25"/>
  <c r="CA188" i="25" s="1"/>
  <c r="CB188" i="25" s="1"/>
  <c r="BK188" i="25"/>
  <c r="AJ403" i="29"/>
  <c r="AK403" i="29" s="1"/>
  <c r="AA404" i="29"/>
  <c r="BL58" i="25"/>
  <c r="BY58" i="25"/>
  <c r="CA58" i="25" s="1"/>
  <c r="CB58" i="25" s="1"/>
  <c r="AA466" i="29"/>
  <c r="AA472" i="29"/>
  <c r="AJ471" i="29"/>
  <c r="AK471" i="29" s="1"/>
  <c r="BY105" i="25"/>
  <c r="CA105" i="25" s="1"/>
  <c r="BL105" i="25"/>
  <c r="AA252" i="29"/>
  <c r="AA467" i="29"/>
  <c r="AJ466" i="29"/>
  <c r="AK466" i="29" s="1"/>
  <c r="AA83" i="29"/>
  <c r="BL81" i="25"/>
  <c r="BY81" i="25"/>
  <c r="CA81" i="25" s="1"/>
  <c r="AJ303" i="29"/>
  <c r="AK303" i="29" s="1"/>
  <c r="AA304" i="29"/>
  <c r="AA58" i="29"/>
  <c r="AJ57" i="29"/>
  <c r="AK57" i="29" s="1"/>
  <c r="BL202" i="25"/>
  <c r="BY202" i="25"/>
  <c r="CA202" i="25" s="1"/>
  <c r="BK202" i="25"/>
  <c r="AJ110" i="29"/>
  <c r="AK110" i="29" s="1"/>
  <c r="AA111" i="29"/>
  <c r="AJ323" i="29"/>
  <c r="AK323" i="29" s="1"/>
  <c r="AA324" i="29"/>
  <c r="AA604" i="29"/>
  <c r="AA226" i="29"/>
  <c r="AA527" i="29"/>
  <c r="BY18" i="25"/>
  <c r="CA18" i="25" s="1"/>
  <c r="CB18" i="25" s="1"/>
  <c r="BL18" i="25"/>
  <c r="AA167" i="29"/>
  <c r="BY223" i="25"/>
  <c r="CA223" i="25" s="1"/>
  <c r="CB223" i="25" s="1"/>
  <c r="BL223" i="25"/>
  <c r="BK223" i="25"/>
  <c r="AA491" i="29"/>
  <c r="AJ490" i="29"/>
  <c r="AK490" i="29" s="1"/>
  <c r="AA321" i="29"/>
  <c r="AJ320" i="29"/>
  <c r="AK320" i="29" s="1"/>
  <c r="AA486" i="29"/>
  <c r="AJ485" i="29"/>
  <c r="AK485" i="29" s="1"/>
  <c r="AA292" i="29"/>
  <c r="BL45" i="25"/>
  <c r="BY45" i="25"/>
  <c r="CA45" i="25" s="1"/>
  <c r="AA381" i="29"/>
  <c r="BY40" i="25"/>
  <c r="CA40" i="25" s="1"/>
  <c r="CB40" i="25" s="1"/>
  <c r="BL40" i="25"/>
  <c r="D65" i="29"/>
  <c r="E61" i="1" s="1"/>
  <c r="D62" i="29"/>
  <c r="D66" i="29" s="1"/>
  <c r="E63" i="1" s="1"/>
  <c r="AJ370" i="29"/>
  <c r="AK370" i="29" s="1"/>
  <c r="AA371" i="29"/>
  <c r="BL149" i="25"/>
  <c r="BY149" i="25"/>
  <c r="CA149" i="25" s="1"/>
  <c r="BK149" i="25"/>
  <c r="AJ171" i="29"/>
  <c r="AK171" i="29" s="1"/>
  <c r="AA172" i="29"/>
  <c r="AA105" i="29"/>
  <c r="AJ104" i="29"/>
  <c r="AK104" i="29" s="1"/>
  <c r="BY171" i="25"/>
  <c r="CA171" i="25" s="1"/>
  <c r="BL171" i="25"/>
  <c r="BK171" i="25"/>
  <c r="AA92" i="29"/>
  <c r="BY54" i="25"/>
  <c r="CA54" i="25" s="1"/>
  <c r="BL54" i="25"/>
  <c r="AA93" i="29"/>
  <c r="AJ92" i="29"/>
  <c r="AK92" i="29" s="1"/>
  <c r="AA453" i="29"/>
  <c r="AJ452" i="29"/>
  <c r="AK452" i="29" s="1"/>
  <c r="AJ283" i="29"/>
  <c r="AK283" i="29" s="1"/>
  <c r="AA284" i="29"/>
  <c r="BL313" i="25"/>
  <c r="BY313" i="25"/>
  <c r="CA313" i="25" s="1"/>
  <c r="CB313" i="25" s="1"/>
  <c r="BK313" i="25"/>
  <c r="AJ423" i="29"/>
  <c r="AK423" i="29" s="1"/>
  <c r="AA424" i="29"/>
  <c r="AA428" i="29"/>
  <c r="AJ427" i="29"/>
  <c r="AK427" i="29" s="1"/>
  <c r="AA417" i="29"/>
  <c r="AJ416" i="29"/>
  <c r="AK416" i="29" s="1"/>
  <c r="BL101" i="25"/>
  <c r="BY101" i="25"/>
  <c r="CA101" i="25" s="1"/>
  <c r="AJ390" i="29"/>
  <c r="AK390" i="29" s="1"/>
  <c r="AA391" i="29"/>
  <c r="AJ512" i="29"/>
  <c r="AK512" i="29" s="1"/>
  <c r="AA513" i="29"/>
  <c r="BL68" i="25"/>
  <c r="BY68" i="25"/>
  <c r="CA68" i="25" s="1"/>
  <c r="AA523" i="29"/>
  <c r="AA94" i="29"/>
  <c r="AJ93" i="29"/>
  <c r="AK93" i="29" s="1"/>
  <c r="BY78" i="25"/>
  <c r="CA78" i="25" s="1"/>
  <c r="CB78" i="25" s="1"/>
  <c r="BL78" i="25"/>
  <c r="AJ523" i="29"/>
  <c r="AK523" i="29" s="1"/>
  <c r="AA524" i="29"/>
  <c r="BL139" i="25"/>
  <c r="BY139" i="25"/>
  <c r="CA139" i="25" s="1"/>
  <c r="CB139" i="25" s="1"/>
  <c r="BK139" i="25"/>
  <c r="BY37" i="25"/>
  <c r="CA37" i="25" s="1"/>
  <c r="CB37" i="25" s="1"/>
  <c r="BL37" i="25"/>
  <c r="BY299" i="25"/>
  <c r="CA299" i="25" s="1"/>
  <c r="CB299" i="25" s="1"/>
  <c r="BL299" i="25"/>
  <c r="BK299" i="25"/>
  <c r="AJ567" i="29"/>
  <c r="AK567" i="29" s="1"/>
  <c r="AA568" i="29"/>
  <c r="AJ227" i="29"/>
  <c r="AK227" i="29" s="1"/>
  <c r="AA228" i="29"/>
  <c r="BL46" i="25"/>
  <c r="BY46" i="25"/>
  <c r="CA46" i="25" s="1"/>
  <c r="CB46" i="25" s="1"/>
  <c r="AA139" i="29"/>
  <c r="AJ138" i="29"/>
  <c r="AK138" i="29" s="1"/>
  <c r="BY20" i="25"/>
  <c r="CA20" i="25" s="1"/>
  <c r="CB20" i="25" s="1"/>
  <c r="BL20" i="25"/>
  <c r="AJ417" i="29"/>
  <c r="AK417" i="29" s="1"/>
  <c r="AA418" i="29"/>
  <c r="AA250" i="29"/>
  <c r="AJ249" i="29"/>
  <c r="AK249" i="29" s="1"/>
  <c r="BL156" i="25"/>
  <c r="BY156" i="25"/>
  <c r="CA156" i="25" s="1"/>
  <c r="BK156" i="25"/>
  <c r="AA400" i="29"/>
  <c r="AJ399" i="29"/>
  <c r="AK399" i="29" s="1"/>
  <c r="AA461" i="29"/>
  <c r="AJ460" i="29"/>
  <c r="AK460" i="29" s="1"/>
  <c r="AA235" i="29"/>
  <c r="AJ457" i="29"/>
  <c r="AK457" i="29" s="1"/>
  <c r="AA458" i="29"/>
  <c r="AA80" i="29"/>
  <c r="AJ79" i="29"/>
  <c r="AK79" i="29" s="1"/>
  <c r="AA309" i="29"/>
  <c r="AJ308" i="29"/>
  <c r="AK308" i="29" s="1"/>
  <c r="AJ201" i="29"/>
  <c r="AK201" i="29" s="1"/>
  <c r="AA202" i="29"/>
  <c r="BL298" i="25"/>
  <c r="BY298" i="25"/>
  <c r="CA298" i="25" s="1"/>
  <c r="CB298" i="25" s="1"/>
  <c r="BK298" i="25"/>
  <c r="AA427" i="29"/>
  <c r="AJ426" i="29"/>
  <c r="AK426" i="29" s="1"/>
  <c r="AJ46" i="29"/>
  <c r="AA47" i="29"/>
  <c r="AJ127" i="29"/>
  <c r="AK127" i="29" s="1"/>
  <c r="AA128" i="29"/>
  <c r="BY140" i="25"/>
  <c r="CA140" i="25" s="1"/>
  <c r="CB140" i="25" s="1"/>
  <c r="BL140" i="25"/>
  <c r="BK140" i="25"/>
  <c r="AA440" i="29"/>
  <c r="BY311" i="25"/>
  <c r="CA311" i="25" s="1"/>
  <c r="CB311" i="25" s="1"/>
  <c r="BL311" i="25"/>
  <c r="BK311" i="25"/>
  <c r="BY251" i="25"/>
  <c r="CA251" i="25" s="1"/>
  <c r="CB251" i="25" s="1"/>
  <c r="BL251" i="25"/>
  <c r="BK251" i="25"/>
  <c r="AJ604" i="29"/>
  <c r="AK604" i="29" s="1"/>
  <c r="AA605" i="29"/>
  <c r="AA157" i="29"/>
  <c r="BL219" i="25"/>
  <c r="BY219" i="25"/>
  <c r="CA219" i="25" s="1"/>
  <c r="CB219" i="25" s="1"/>
  <c r="BK219" i="25"/>
  <c r="AA508" i="29"/>
  <c r="AJ574" i="29"/>
  <c r="AK574" i="29" s="1"/>
  <c r="AA575" i="29"/>
  <c r="AA591" i="29"/>
  <c r="AJ590" i="29"/>
  <c r="AK590" i="29" s="1"/>
  <c r="AA544" i="29"/>
  <c r="AJ543" i="29"/>
  <c r="AK543" i="29" s="1"/>
  <c r="AA334" i="29"/>
  <c r="AJ333" i="29"/>
  <c r="AK333" i="29" s="1"/>
  <c r="BY191" i="25"/>
  <c r="CA191" i="25" s="1"/>
  <c r="BL191" i="25"/>
  <c r="BK191" i="25"/>
  <c r="CB197" i="25" l="1"/>
  <c r="CF197" i="25"/>
  <c r="CB141" i="25"/>
  <c r="CF141" i="25"/>
  <c r="CB54" i="25"/>
  <c r="CF54" i="25"/>
  <c r="AK396" i="29"/>
  <c r="CB12" i="25"/>
  <c r="CF12" i="25"/>
  <c r="CB142" i="25"/>
  <c r="CF142" i="25"/>
  <c r="AK46" i="29"/>
  <c r="AK197" i="29"/>
  <c r="CB133" i="25"/>
  <c r="CF133" i="25"/>
  <c r="AK241" i="29"/>
  <c r="AJ540" i="29"/>
  <c r="AK540" i="29" s="1"/>
  <c r="CB7" i="25"/>
  <c r="CF7" i="25"/>
  <c r="CB83" i="25"/>
  <c r="CF83" i="25"/>
  <c r="AK45" i="29"/>
  <c r="CB118" i="25"/>
  <c r="CF118" i="25"/>
  <c r="CB48" i="25"/>
  <c r="CF48" i="25"/>
  <c r="CB149" i="25"/>
  <c r="CF149" i="25"/>
  <c r="AK269" i="29"/>
  <c r="CB68" i="25"/>
  <c r="CF68" i="25"/>
  <c r="AK288" i="29"/>
  <c r="CB73" i="25"/>
  <c r="CF73" i="25"/>
  <c r="AA584" i="29"/>
  <c r="AK126" i="29"/>
  <c r="AK114" i="29"/>
  <c r="AA225" i="29"/>
  <c r="AJ162" i="29"/>
  <c r="AK162" i="29" s="1"/>
  <c r="AA380" i="29"/>
  <c r="AJ225" i="29"/>
  <c r="AK225" i="29" s="1"/>
  <c r="AK311" i="29"/>
  <c r="AJ379" i="29"/>
  <c r="AK379" i="29" s="1"/>
  <c r="CB57" i="25"/>
  <c r="CF57" i="25"/>
  <c r="L111" i="2"/>
  <c r="L112" i="2" s="1"/>
  <c r="L26" i="1" s="1"/>
  <c r="CB112" i="25"/>
  <c r="CF112" i="25"/>
  <c r="AK44" i="29"/>
  <c r="CB130" i="25"/>
  <c r="CF130" i="25"/>
  <c r="CB27" i="25"/>
  <c r="CF27" i="25"/>
  <c r="CB125" i="25"/>
  <c r="CF125" i="25"/>
  <c r="CB10" i="25"/>
  <c r="CF10" i="25"/>
  <c r="CB115" i="25"/>
  <c r="CF115" i="25"/>
  <c r="CB88" i="25"/>
  <c r="CF88" i="25"/>
  <c r="CB121" i="25"/>
  <c r="CF121" i="25"/>
  <c r="CB22" i="25"/>
  <c r="CF22" i="25"/>
  <c r="CB162" i="25"/>
  <c r="CF162" i="25"/>
  <c r="CB77" i="25"/>
  <c r="CF77" i="25"/>
  <c r="CB60" i="25"/>
  <c r="CF60" i="25"/>
  <c r="CB116" i="25"/>
  <c r="CF116" i="25"/>
  <c r="CB117" i="25"/>
  <c r="CF117" i="25"/>
  <c r="CB65" i="25"/>
  <c r="CF65" i="25"/>
  <c r="CB111" i="25"/>
  <c r="CF111" i="25"/>
  <c r="AK106" i="29"/>
  <c r="AA566" i="29"/>
  <c r="AK94" i="29"/>
  <c r="AJ261" i="29"/>
  <c r="AK261" i="29" s="1"/>
  <c r="AJ566" i="29"/>
  <c r="AK566" i="29" s="1"/>
  <c r="AJ223" i="29"/>
  <c r="AK223" i="29" s="1"/>
  <c r="AJ260" i="29"/>
  <c r="AK260" i="29" s="1"/>
  <c r="AJ136" i="29"/>
  <c r="AK136" i="29" s="1"/>
  <c r="AA137" i="29"/>
  <c r="AJ113" i="29"/>
  <c r="AK113" i="29" s="1"/>
  <c r="AA113" i="29"/>
  <c r="AJ252" i="29"/>
  <c r="AK252" i="29" s="1"/>
  <c r="AJ19" i="29"/>
  <c r="AK19" i="29" s="1"/>
  <c r="AJ49" i="29"/>
  <c r="AK49" i="29" s="1"/>
  <c r="CB86" i="25"/>
  <c r="CF86" i="25"/>
  <c r="AA19" i="29"/>
  <c r="CB152" i="25"/>
  <c r="CF152" i="25"/>
  <c r="AK101" i="29"/>
  <c r="CF154" i="25"/>
  <c r="CB56" i="25"/>
  <c r="CF56" i="25"/>
  <c r="CB205" i="25"/>
  <c r="CF205" i="25"/>
  <c r="CB200" i="25"/>
  <c r="CF200" i="25"/>
  <c r="CB153" i="25"/>
  <c r="CF153" i="25"/>
  <c r="CB64" i="25"/>
  <c r="CF64" i="25"/>
  <c r="CB193" i="25"/>
  <c r="CF193" i="25"/>
  <c r="CB159" i="25"/>
  <c r="CF159" i="25"/>
  <c r="CB81" i="25"/>
  <c r="CF81" i="25"/>
  <c r="CB164" i="25"/>
  <c r="CF164" i="25"/>
  <c r="CB101" i="25"/>
  <c r="CF101" i="25"/>
  <c r="CB185" i="25"/>
  <c r="CF185" i="25"/>
  <c r="CB169" i="25"/>
  <c r="CF169" i="25"/>
  <c r="CB181" i="25"/>
  <c r="CF181" i="25"/>
  <c r="AJ342" i="29"/>
  <c r="AK342" i="29" s="1"/>
  <c r="CB151" i="25"/>
  <c r="CF151" i="25"/>
  <c r="AA562" i="29"/>
  <c r="AJ561" i="29"/>
  <c r="AK561" i="29" s="1"/>
  <c r="AA603" i="29"/>
  <c r="CB98" i="25"/>
  <c r="CF98" i="25"/>
  <c r="AA49" i="29"/>
  <c r="AA343" i="29"/>
  <c r="AA153" i="29"/>
  <c r="CB191" i="25"/>
  <c r="CF191" i="25"/>
  <c r="CB184" i="25"/>
  <c r="CF184" i="25"/>
  <c r="CB203" i="25"/>
  <c r="CF203" i="25"/>
  <c r="AJ603" i="29"/>
  <c r="AK603" i="29" s="1"/>
  <c r="CB172" i="25"/>
  <c r="CF172" i="25"/>
  <c r="CB202" i="25"/>
  <c r="CF202" i="25"/>
  <c r="AJ507" i="29"/>
  <c r="AK507" i="29" s="1"/>
  <c r="AA322" i="29"/>
  <c r="AJ321" i="29"/>
  <c r="AK321" i="29" s="1"/>
  <c r="AA98" i="29"/>
  <c r="AJ165" i="29"/>
  <c r="AK165" i="29" s="1"/>
  <c r="AA166" i="29"/>
  <c r="AA198" i="29"/>
  <c r="AA109" i="29"/>
  <c r="CB183" i="25"/>
  <c r="CF183" i="25"/>
  <c r="AK80" i="29"/>
  <c r="AJ88" i="29"/>
  <c r="AK88" i="29" s="1"/>
  <c r="AJ493" i="29"/>
  <c r="AK493" i="29" s="1"/>
  <c r="AJ207" i="29"/>
  <c r="AK207" i="29" s="1"/>
  <c r="CB180" i="25"/>
  <c r="CF180" i="25"/>
  <c r="AJ206" i="29"/>
  <c r="AK206" i="29" s="1"/>
  <c r="CB80" i="25"/>
  <c r="CF80" i="25"/>
  <c r="CB52" i="25"/>
  <c r="CF52" i="25"/>
  <c r="CB90" i="25"/>
  <c r="CF90" i="25"/>
  <c r="AJ108" i="29"/>
  <c r="AK108" i="29" s="1"/>
  <c r="CB196" i="25"/>
  <c r="CF196" i="25"/>
  <c r="AJ492" i="29"/>
  <c r="AK492" i="29" s="1"/>
  <c r="AA357" i="29"/>
  <c r="AJ348" i="29"/>
  <c r="AK348" i="29" s="1"/>
  <c r="AA270" i="29"/>
  <c r="AJ122" i="29"/>
  <c r="AK122" i="29" s="1"/>
  <c r="AA507" i="29"/>
  <c r="AJ465" i="29"/>
  <c r="AK465" i="29" s="1"/>
  <c r="AJ329" i="29"/>
  <c r="AK329" i="29" s="1"/>
  <c r="AA465" i="29"/>
  <c r="AA122" i="29"/>
  <c r="AJ330" i="29"/>
  <c r="AK330" i="29" s="1"/>
  <c r="AA571" i="29"/>
  <c r="AJ216" i="29"/>
  <c r="AK216" i="29" s="1"/>
  <c r="AJ571" i="29"/>
  <c r="AK571" i="29" s="1"/>
  <c r="AA557" i="29"/>
  <c r="AJ146" i="29"/>
  <c r="AK146" i="29" s="1"/>
  <c r="AJ147" i="29"/>
  <c r="AK147" i="29" s="1"/>
  <c r="AJ351" i="29"/>
  <c r="AK351" i="29" s="1"/>
  <c r="AJ184" i="29"/>
  <c r="AK184" i="29" s="1"/>
  <c r="AJ13" i="29"/>
  <c r="AK13" i="29" s="1"/>
  <c r="AA185" i="29"/>
  <c r="AA598" i="29"/>
  <c r="AJ597" i="29"/>
  <c r="AK597" i="29" s="1"/>
  <c r="AJ69" i="29"/>
  <c r="AK69" i="29" s="1"/>
  <c r="AA107" i="29"/>
  <c r="AJ373" i="29"/>
  <c r="AK373" i="29" s="1"/>
  <c r="AJ234" i="29"/>
  <c r="AK234" i="29" s="1"/>
  <c r="AJ115" i="29"/>
  <c r="AK115" i="29" s="1"/>
  <c r="AA373" i="29"/>
  <c r="AA115" i="29"/>
  <c r="AJ233" i="29"/>
  <c r="AK233" i="29" s="1"/>
  <c r="CB105" i="25"/>
  <c r="B286" i="2" s="1"/>
  <c r="CF105" i="25"/>
  <c r="AA547" i="29"/>
  <c r="CB132" i="25"/>
  <c r="CF132" i="25"/>
  <c r="CB165" i="25"/>
  <c r="CF165" i="25"/>
  <c r="AJ107" i="29"/>
  <c r="AK107" i="29" s="1"/>
  <c r="AJ422" i="29"/>
  <c r="AK422" i="29" s="1"/>
  <c r="AJ340" i="29"/>
  <c r="AK340" i="29" s="1"/>
  <c r="AA341" i="29"/>
  <c r="AJ24" i="29"/>
  <c r="AK24" i="29" s="1"/>
  <c r="AJ51" i="29"/>
  <c r="AK51" i="29" s="1"/>
  <c r="AJ25" i="29"/>
  <c r="AK25" i="29" s="1"/>
  <c r="CB207" i="25"/>
  <c r="CF207" i="25"/>
  <c r="AJ70" i="29"/>
  <c r="AK70" i="29" s="1"/>
  <c r="AJ326" i="29"/>
  <c r="AK326" i="29" s="1"/>
  <c r="AJ156" i="29"/>
  <c r="AK156" i="29" s="1"/>
  <c r="AA52" i="29"/>
  <c r="AJ428" i="29"/>
  <c r="AK428" i="29" s="1"/>
  <c r="AJ291" i="29"/>
  <c r="AK291" i="29" s="1"/>
  <c r="AA291" i="29"/>
  <c r="AJ253" i="29"/>
  <c r="AK253" i="29" s="1"/>
  <c r="AA254" i="29"/>
  <c r="AJ513" i="29"/>
  <c r="AK513" i="29" s="1"/>
  <c r="AJ547" i="29"/>
  <c r="AK547" i="29" s="1"/>
  <c r="AA326" i="29"/>
  <c r="AJ498" i="29"/>
  <c r="AK498" i="29" s="1"/>
  <c r="AA156" i="29"/>
  <c r="AJ586" i="29"/>
  <c r="AK586" i="29" s="1"/>
  <c r="AJ497" i="29"/>
  <c r="AK497" i="29" s="1"/>
  <c r="CB209" i="25"/>
  <c r="CF209" i="25"/>
  <c r="AJ116" i="29"/>
  <c r="AK116" i="29" s="1"/>
  <c r="AA242" i="29"/>
  <c r="AJ270" i="29"/>
  <c r="AK270" i="29" s="1"/>
  <c r="AA116" i="29"/>
  <c r="AJ215" i="29"/>
  <c r="AK215" i="29" s="1"/>
  <c r="AA150" i="29"/>
  <c r="AJ209" i="29"/>
  <c r="AK209" i="29" s="1"/>
  <c r="AJ350" i="29"/>
  <c r="AK350" i="29" s="1"/>
  <c r="AJ347" i="29"/>
  <c r="AK347" i="29" s="1"/>
  <c r="AJ89" i="29"/>
  <c r="AK89" i="29" s="1"/>
  <c r="AA480" i="29"/>
  <c r="AJ480" i="29"/>
  <c r="AK480" i="29" s="1"/>
  <c r="AJ90" i="29"/>
  <c r="AK90" i="29" s="1"/>
  <c r="AJ526" i="29"/>
  <c r="AK526" i="29" s="1"/>
  <c r="AJ346" i="29"/>
  <c r="AK346" i="29" s="1"/>
  <c r="AA347" i="29"/>
  <c r="AJ525" i="29"/>
  <c r="AK525" i="29" s="1"/>
  <c r="AJ529" i="29"/>
  <c r="AK529" i="29" s="1"/>
  <c r="AJ289" i="29"/>
  <c r="AK289" i="29" s="1"/>
  <c r="AJ528" i="29"/>
  <c r="AK528" i="29" s="1"/>
  <c r="AA289" i="29"/>
  <c r="AJ139" i="29"/>
  <c r="AK139" i="29" s="1"/>
  <c r="AJ186" i="29"/>
  <c r="AK186" i="29" s="1"/>
  <c r="AJ187" i="29"/>
  <c r="AK187" i="29" s="1"/>
  <c r="AA219" i="29"/>
  <c r="AJ400" i="29"/>
  <c r="AK400" i="29" s="1"/>
  <c r="AA401" i="29"/>
  <c r="AA406" i="29"/>
  <c r="AJ222" i="29"/>
  <c r="AK222" i="29" s="1"/>
  <c r="AJ405" i="29"/>
  <c r="AK405" i="29" s="1"/>
  <c r="CB138" i="25"/>
  <c r="CF138" i="25"/>
  <c r="CB55" i="25"/>
  <c r="CF55" i="25"/>
  <c r="AA140" i="29"/>
  <c r="AJ164" i="29"/>
  <c r="AK164" i="29" s="1"/>
  <c r="AA514" i="29"/>
  <c r="AJ463" i="29"/>
  <c r="AK463" i="29" s="1"/>
  <c r="AJ83" i="29"/>
  <c r="AK83" i="29" s="1"/>
  <c r="AA84" i="29"/>
  <c r="AJ462" i="29"/>
  <c r="AK462" i="29" s="1"/>
  <c r="AJ130" i="29"/>
  <c r="AK130" i="29" s="1"/>
  <c r="AA130" i="29"/>
  <c r="AJ421" i="29"/>
  <c r="AK421" i="29" s="1"/>
  <c r="AJ163" i="29"/>
  <c r="AK163" i="29" s="1"/>
  <c r="AJ242" i="29"/>
  <c r="AK242" i="29" s="1"/>
  <c r="AJ210" i="29"/>
  <c r="AK210" i="29" s="1"/>
  <c r="AJ149" i="29"/>
  <c r="AK149" i="29" s="1"/>
  <c r="AA133" i="29"/>
  <c r="AJ41" i="29"/>
  <c r="AK41" i="29" s="1"/>
  <c r="AJ40" i="29"/>
  <c r="AK40" i="29" s="1"/>
  <c r="AA502" i="29"/>
  <c r="AJ555" i="29"/>
  <c r="AK555" i="29" s="1"/>
  <c r="AA154" i="29"/>
  <c r="AA439" i="29"/>
  <c r="AJ153" i="29"/>
  <c r="AK153" i="29" s="1"/>
  <c r="AJ439" i="29"/>
  <c r="AK439" i="29" s="1"/>
  <c r="AA142" i="29"/>
  <c r="AJ502" i="29"/>
  <c r="AK502" i="29" s="1"/>
  <c r="AJ169" i="29"/>
  <c r="AK169" i="29" s="1"/>
  <c r="AA91" i="29"/>
  <c r="AA610" i="29"/>
  <c r="AJ609" i="29"/>
  <c r="AK609" i="29" s="1"/>
  <c r="AJ447" i="29"/>
  <c r="AK447" i="29" s="1"/>
  <c r="AJ522" i="29"/>
  <c r="AK522" i="29" s="1"/>
  <c r="AJ170" i="29"/>
  <c r="AK170" i="29" s="1"/>
  <c r="AA448" i="29"/>
  <c r="AJ521" i="29"/>
  <c r="AK521" i="29" s="1"/>
  <c r="AJ132" i="29"/>
  <c r="AK132" i="29" s="1"/>
  <c r="AJ221" i="29"/>
  <c r="AK221" i="29" s="1"/>
  <c r="AJ220" i="29"/>
  <c r="AK220" i="29" s="1"/>
  <c r="AJ556" i="29"/>
  <c r="AK556" i="29" s="1"/>
  <c r="AJ176" i="29"/>
  <c r="AK176" i="29" s="1"/>
  <c r="AJ141" i="29"/>
  <c r="AK141" i="29" s="1"/>
  <c r="AA336" i="29"/>
  <c r="AJ474" i="29"/>
  <c r="AK474" i="29" s="1"/>
  <c r="AJ335" i="29"/>
  <c r="AK335" i="29" s="1"/>
  <c r="AJ218" i="29"/>
  <c r="AK218" i="29" s="1"/>
  <c r="AA149" i="29"/>
  <c r="AJ148" i="29"/>
  <c r="AK148" i="29" s="1"/>
  <c r="AJ217" i="29"/>
  <c r="AK217" i="29" s="1"/>
  <c r="AJ473" i="29"/>
  <c r="AK473" i="29" s="1"/>
  <c r="AJ177" i="29"/>
  <c r="AK177" i="29" s="1"/>
  <c r="AJ588" i="29"/>
  <c r="AK588" i="29" s="1"/>
  <c r="AJ349" i="29"/>
  <c r="AK349" i="29" s="1"/>
  <c r="AJ587" i="29"/>
  <c r="AK587" i="29" s="1"/>
  <c r="AA350" i="29"/>
  <c r="CB208" i="25"/>
  <c r="CF208" i="25"/>
  <c r="AJ356" i="29"/>
  <c r="AK356" i="29" s="1"/>
  <c r="AA99" i="29"/>
  <c r="AJ441" i="29"/>
  <c r="AK441" i="29" s="1"/>
  <c r="AJ98" i="29"/>
  <c r="AK98" i="29" s="1"/>
  <c r="AJ278" i="29"/>
  <c r="AK278" i="29" s="1"/>
  <c r="AA573" i="29"/>
  <c r="AJ572" i="29"/>
  <c r="AK572" i="29" s="1"/>
  <c r="CB45" i="25"/>
  <c r="CF45" i="25"/>
  <c r="AJ411" i="29"/>
  <c r="AK411" i="29" s="1"/>
  <c r="AJ239" i="29"/>
  <c r="AK239" i="29" s="1"/>
  <c r="CB135" i="25"/>
  <c r="CF135" i="25"/>
  <c r="AA412" i="29"/>
  <c r="CB175" i="25"/>
  <c r="CF175" i="25"/>
  <c r="AJ296" i="29"/>
  <c r="AK296" i="29" s="1"/>
  <c r="AA297" i="29"/>
  <c r="CB182" i="25"/>
  <c r="CF182" i="25"/>
  <c r="AJ429" i="29"/>
  <c r="AK429" i="29" s="1"/>
  <c r="AJ183" i="29"/>
  <c r="AK183" i="29" s="1"/>
  <c r="AA312" i="29"/>
  <c r="AJ182" i="29"/>
  <c r="AK182" i="29" s="1"/>
  <c r="AJ527" i="29"/>
  <c r="AK527" i="29" s="1"/>
  <c r="AJ74" i="29"/>
  <c r="AK74" i="29" s="1"/>
  <c r="AA75" i="29"/>
  <c r="AA240" i="29"/>
  <c r="AJ56" i="29"/>
  <c r="AK56" i="29" s="1"/>
  <c r="AA356" i="29"/>
  <c r="AJ430" i="29"/>
  <c r="AK430" i="29" s="1"/>
  <c r="AA528" i="29"/>
  <c r="AJ312" i="29"/>
  <c r="AK312" i="29" s="1"/>
  <c r="AA533" i="29"/>
  <c r="AA383" i="29"/>
  <c r="AJ250" i="29"/>
  <c r="AK250" i="29" s="1"/>
  <c r="AJ251" i="29"/>
  <c r="AK251" i="29" s="1"/>
  <c r="AJ542" i="29"/>
  <c r="AK542" i="29" s="1"/>
  <c r="AJ22" i="29"/>
  <c r="AK22" i="29" s="1"/>
  <c r="AJ23" i="29"/>
  <c r="AK23" i="29" s="1"/>
  <c r="AJ410" i="29"/>
  <c r="AK410" i="29" s="1"/>
  <c r="AJ279" i="29"/>
  <c r="AK279" i="29" s="1"/>
  <c r="AJ131" i="29"/>
  <c r="AK131" i="29" s="1"/>
  <c r="AJ409" i="29"/>
  <c r="AK409" i="29" s="1"/>
  <c r="AJ280" i="29"/>
  <c r="AK280" i="29" s="1"/>
  <c r="AJ541" i="29"/>
  <c r="AK541" i="29" s="1"/>
  <c r="AA492" i="29"/>
  <c r="AJ491" i="29"/>
  <c r="AK491" i="29" s="1"/>
  <c r="AJ449" i="29"/>
  <c r="AK449" i="29" s="1"/>
  <c r="AA450" i="29"/>
  <c r="AJ179" i="29"/>
  <c r="AK179" i="29" s="1"/>
  <c r="AA245" i="29"/>
  <c r="AJ244" i="29"/>
  <c r="AK244" i="29" s="1"/>
  <c r="AA179" i="29"/>
  <c r="AJ595" i="29"/>
  <c r="AK595" i="29" s="1"/>
  <c r="AA37" i="29"/>
  <c r="AJ433" i="29"/>
  <c r="AK433" i="29" s="1"/>
  <c r="AJ434" i="29"/>
  <c r="AK434" i="29" s="1"/>
  <c r="AA382" i="29"/>
  <c r="AJ55" i="29"/>
  <c r="AK55" i="29" s="1"/>
  <c r="AJ432" i="29"/>
  <c r="AK432" i="29" s="1"/>
  <c r="AJ315" i="29"/>
  <c r="AK315" i="29" s="1"/>
  <c r="AJ382" i="29"/>
  <c r="AK382" i="29" s="1"/>
  <c r="AJ374" i="29"/>
  <c r="AK374" i="29" s="1"/>
  <c r="AJ369" i="29"/>
  <c r="AK369" i="29" s="1"/>
  <c r="AJ314" i="29"/>
  <c r="AK314" i="29" s="1"/>
  <c r="AJ420" i="29"/>
  <c r="AK420" i="29" s="1"/>
  <c r="AA375" i="29"/>
  <c r="AA421" i="29"/>
  <c r="AJ368" i="29"/>
  <c r="AK368" i="29" s="1"/>
  <c r="AJ198" i="29"/>
  <c r="AK198" i="29" s="1"/>
  <c r="AJ37" i="29"/>
  <c r="AK37" i="29" s="1"/>
  <c r="AJ431" i="29"/>
  <c r="AK431" i="29" s="1"/>
  <c r="AJ594" i="29"/>
  <c r="AK594" i="29" s="1"/>
  <c r="AJ300" i="29"/>
  <c r="AK300" i="29" s="1"/>
  <c r="AJ91" i="29"/>
  <c r="AK91" i="29" s="1"/>
  <c r="AA301" i="29"/>
  <c r="AJ533" i="29"/>
  <c r="AK533" i="29" s="1"/>
  <c r="AJ304" i="29"/>
  <c r="AK304" i="29" s="1"/>
  <c r="AA305" i="29"/>
  <c r="AA525" i="29"/>
  <c r="AJ524" i="29"/>
  <c r="AK524" i="29" s="1"/>
  <c r="AA444" i="29"/>
  <c r="AA335" i="29"/>
  <c r="AJ14" i="29"/>
  <c r="AK14" i="29" s="1"/>
  <c r="AJ15" i="29"/>
  <c r="AK15" i="29" s="1"/>
  <c r="AJ353" i="29"/>
  <c r="AK353" i="29" s="1"/>
  <c r="AJ213" i="29"/>
  <c r="AK213" i="29" s="1"/>
  <c r="AJ352" i="29"/>
  <c r="AK352" i="29" s="1"/>
  <c r="AJ212" i="29"/>
  <c r="AK212" i="29" s="1"/>
  <c r="AA26" i="29"/>
  <c r="AA278" i="29"/>
  <c r="AJ334" i="29"/>
  <c r="AK334" i="29" s="1"/>
  <c r="AA531" i="29"/>
  <c r="AJ82" i="29"/>
  <c r="AK82" i="29" s="1"/>
  <c r="AJ530" i="29"/>
  <c r="AK530" i="29" s="1"/>
  <c r="AA360" i="29"/>
  <c r="AJ81" i="29"/>
  <c r="AK81" i="29" s="1"/>
  <c r="AJ360" i="29"/>
  <c r="AK360" i="29" s="1"/>
  <c r="AJ444" i="29"/>
  <c r="AK444" i="29" s="1"/>
  <c r="AJ495" i="29"/>
  <c r="AK495" i="29" s="1"/>
  <c r="AJ309" i="29"/>
  <c r="AK309" i="29" s="1"/>
  <c r="AJ26" i="29"/>
  <c r="AK26" i="29" s="1"/>
  <c r="AA310" i="29"/>
  <c r="AA200" i="29"/>
  <c r="AJ199" i="29"/>
  <c r="AK199" i="29" s="1"/>
  <c r="CB168" i="25"/>
  <c r="CF168" i="25"/>
  <c r="AJ440" i="29"/>
  <c r="AK440" i="29" s="1"/>
  <c r="CF211" i="24"/>
  <c r="AA495" i="29"/>
  <c r="CB102" i="25"/>
  <c r="CF102" i="25"/>
  <c r="CB163" i="25"/>
  <c r="CF163" i="25"/>
  <c r="CB156" i="25"/>
  <c r="CF156" i="25"/>
  <c r="CB79" i="25"/>
  <c r="CF79" i="25"/>
  <c r="CB166" i="25"/>
  <c r="CF166" i="25"/>
  <c r="CB176" i="25"/>
  <c r="CF176" i="25"/>
  <c r="BB212" i="25"/>
  <c r="BS212" i="25" s="1"/>
  <c r="BC212" i="25"/>
  <c r="BT212" i="25" s="1"/>
  <c r="BA212" i="25"/>
  <c r="CB210" i="25"/>
  <c r="CF210" i="25"/>
  <c r="CB72" i="25"/>
  <c r="CF72" i="25"/>
  <c r="CB171" i="25"/>
  <c r="CF171" i="25"/>
  <c r="CB74" i="25"/>
  <c r="CF74" i="25"/>
  <c r="CB160" i="25"/>
  <c r="CF160" i="25"/>
  <c r="AA585" i="29"/>
  <c r="AJ584" i="29"/>
  <c r="AK584" i="29" s="1"/>
  <c r="CB194" i="25"/>
  <c r="CF194" i="25"/>
  <c r="BE212" i="25" l="1"/>
  <c r="BR212" i="25"/>
  <c r="BX212" i="25" s="1"/>
  <c r="AK9" i="29"/>
  <c r="W5" i="29" s="1"/>
  <c r="B43" i="29" s="1"/>
  <c r="AK7" i="29"/>
  <c r="AL7" i="29" s="1"/>
  <c r="CF211" i="25"/>
  <c r="BL212" i="25" l="1"/>
  <c r="BY212" i="25"/>
  <c r="CA212" i="25" s="1"/>
  <c r="BK212" i="25"/>
  <c r="W4" i="29"/>
  <c r="G639" i="29" s="1"/>
  <c r="AL9" i="29"/>
  <c r="G617" i="29" l="1"/>
  <c r="J617" i="29" s="1"/>
  <c r="CB212" i="25"/>
  <c r="CF212" i="25"/>
  <c r="B42" i="29"/>
  <c r="G640" i="29"/>
  <c r="G618" i="29" l="1"/>
  <c r="G619" i="29" s="1"/>
  <c r="S617" i="29"/>
  <c r="I617" i="29"/>
  <c r="Q617" i="29"/>
  <c r="L617" i="29"/>
  <c r="AH617" i="29" s="1"/>
  <c r="K617" i="29"/>
  <c r="R617" i="29"/>
  <c r="O617" i="29"/>
  <c r="T617" i="29"/>
  <c r="P617" i="29"/>
  <c r="AG617" i="29" l="1"/>
  <c r="X617" i="29"/>
  <c r="Y617" i="29" s="1"/>
  <c r="AD617" i="29"/>
  <c r="AE617" i="29"/>
  <c r="W617" i="29"/>
  <c r="X620"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Timothy Hegarty</author>
    <author>Xi, Youhao</author>
    <author>Hegarty, Timothy</author>
  </authors>
  <commentList>
    <comment ref="A3" authorId="0" shapeId="0" xr:uid="{00000000-0006-0000-0000-000001000000}">
      <text>
        <r>
          <rPr>
            <b/>
            <sz val="11"/>
            <color indexed="10"/>
            <rFont val="Tahoma"/>
            <family val="2"/>
          </rPr>
          <t>Welcome to the LM5185 Design Tool</t>
        </r>
        <r>
          <rPr>
            <sz val="9"/>
            <color indexed="81"/>
            <rFont val="Tahoma"/>
            <family val="2"/>
          </rPr>
          <t xml:space="preserve">
This stand-alone tool facilitates and assists the power supply engineer with design of an isolated DC/DC regulator based on the </t>
        </r>
        <r>
          <rPr>
            <b/>
            <sz val="9"/>
            <color indexed="81"/>
            <rFont val="Tahoma"/>
            <family val="2"/>
          </rPr>
          <t>LM5185 low I</t>
        </r>
        <r>
          <rPr>
            <b/>
            <vertAlign val="subscript"/>
            <sz val="9"/>
            <color indexed="81"/>
            <rFont val="Tahoma"/>
            <family val="2"/>
          </rPr>
          <t>Q</t>
        </r>
        <r>
          <rPr>
            <b/>
            <sz val="9"/>
            <color indexed="81"/>
            <rFont val="Tahoma"/>
            <family val="2"/>
          </rPr>
          <t xml:space="preserve"> PSR flyback controller.</t>
        </r>
        <r>
          <rPr>
            <sz val="9"/>
            <color indexed="81"/>
            <rFont val="Tahoma"/>
            <family val="2"/>
          </rPr>
          <t xml:space="preserve"> As such, the user can expeditiously arrive at an optimized design by virtue of the following:
- Select transformer parameters including turns ratio and mag inductance
- Select current sense resistor
- Select power MOSFET parameters including RdsON, Qg and Coss
- Determine input and output capacitances for specified ripple requirements (1% Vout and 5% Vin)
- Select components for feedback, soft-start, input UVLO, and temperature compensation
- Select desired open loop crossover frequency, and choose loop compensation network components 
- Advise componnets (usually optional) for SW voltage clamp and and flyback diode snubber
- Decide the optional use of dummy loads or output Zener clamp 
- Optimize the design using efficiency and solution size as key performance metrics
- Inspect converter efficiency and switching frequency over load and line
- Inspect open loop Bode Plots for appropriate loop design.
- Analyze efficiency based on selected component parameters
- Review auto-generated schematic and BOM list.
</t>
        </r>
        <r>
          <rPr>
            <b/>
            <sz val="9"/>
            <color indexed="81"/>
            <rFont val="Tahoma"/>
            <family val="2"/>
          </rPr>
          <t>IMPORTANT:</t>
        </r>
        <r>
          <rPr>
            <sz val="9"/>
            <color indexed="81"/>
            <rFont val="Tahoma"/>
            <family val="2"/>
          </rPr>
          <t xml:space="preserve"> You must enable macros if Microsoft EXCEL asks as the file is being opened.
U.S. English notation is used throughout.
</t>
        </r>
        <r>
          <rPr>
            <b/>
            <sz val="9"/>
            <color indexed="81"/>
            <rFont val="Tahoma"/>
            <family val="2"/>
          </rPr>
          <t>Dislcaimer:</t>
        </r>
        <r>
          <rPr>
            <u/>
            <sz val="9"/>
            <color indexed="12"/>
            <rFont val="Tahoma"/>
            <family val="2"/>
          </rPr>
          <t xml:space="preserve">
https://www.ti.com/legal/important-notice-and-disclaimer.html
</t>
        </r>
        <r>
          <rPr>
            <sz val="9"/>
            <color indexed="81"/>
            <rFont val="Tahoma"/>
            <family val="2"/>
          </rPr>
          <t xml:space="preserve">
</t>
        </r>
        <r>
          <rPr>
            <b/>
            <sz val="9"/>
            <color indexed="81"/>
            <rFont val="Tahoma"/>
            <family val="2"/>
          </rPr>
          <t xml:space="preserve">
Rev 3.3, Youhao Xi, Texas Instruments, Inc.</t>
        </r>
      </text>
    </comment>
    <comment ref="U3" authorId="0" shapeId="0" xr:uid="{00000000-0006-0000-00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design tool and recommends that all designs be fully tested and carefully verified. Refer to the LM5185-Q1 product datasheet and EVM user's guides for more details.
</t>
        </r>
        <r>
          <rPr>
            <b/>
            <sz val="9"/>
            <color indexed="81"/>
            <rFont val="Tahoma"/>
            <family val="2"/>
          </rPr>
          <t>Rev 0, WVB/SR/APP, Texas Instruments, Inc.</t>
        </r>
      </text>
    </comment>
    <comment ref="F6" authorId="0" shapeId="0" xr:uid="{00000000-0006-0000-0000-000003000000}">
      <text>
        <r>
          <rPr>
            <b/>
            <u/>
            <sz val="9"/>
            <color indexed="81"/>
            <rFont val="Tahoma"/>
            <family val="2"/>
          </rPr>
          <t>Minimum Input Voltage</t>
        </r>
        <r>
          <rPr>
            <b/>
            <sz val="9"/>
            <color indexed="81"/>
            <rFont val="Tahoma"/>
            <family val="2"/>
          </rPr>
          <t>:</t>
        </r>
        <r>
          <rPr>
            <sz val="9"/>
            <color indexed="81"/>
            <rFont val="Tahoma"/>
            <family val="2"/>
          </rPr>
          <t xml:space="preserve">
Enter the minimum input operating voltage.
The LM5185 input voltage operating range is 4.5V to 100V.
</t>
        </r>
        <r>
          <rPr>
            <b/>
            <sz val="9"/>
            <color indexed="81"/>
            <rFont val="Tahoma"/>
            <family val="2"/>
          </rPr>
          <t>The text in this cell is red if:</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6" authorId="0" shapeId="0" xr:uid="{00000000-0006-0000-0000-000004000000}">
      <text>
        <r>
          <rPr>
            <b/>
            <u/>
            <sz val="9"/>
            <color indexed="81"/>
            <rFont val="Tahoma"/>
            <family val="2"/>
          </rPr>
          <t>Recommended Magnetizing Inductance</t>
        </r>
        <r>
          <rPr>
            <b/>
            <sz val="9"/>
            <color indexed="81"/>
            <rFont val="Tahoma"/>
            <family val="2"/>
          </rPr>
          <t xml:space="preserve">:
</t>
        </r>
        <r>
          <rPr>
            <sz val="9"/>
            <color indexed="81"/>
            <rFont val="Tahoma"/>
            <family val="2"/>
          </rPr>
          <t>The recommended magnetizing inductance is set to operate at about 200 to 250kHz switching in BCM under full load and Vin_nom. Try not to deviate much from this recommended inductances:
--If the inductance is too high, the transformer would be larger and more expensive.
--If the inductance is too small, the efficiency would be sacrificed due to increase conduction losses with higher peak current.</t>
        </r>
      </text>
    </comment>
    <comment ref="F7" authorId="0" shapeId="0" xr:uid="{00000000-0006-0000-0000-000005000000}">
      <text>
        <r>
          <rPr>
            <b/>
            <u/>
            <sz val="9"/>
            <color indexed="81"/>
            <rFont val="Tahoma"/>
            <family val="2"/>
          </rPr>
          <t>Nominal Input Voltage</t>
        </r>
        <r>
          <rPr>
            <b/>
            <sz val="9"/>
            <color indexed="81"/>
            <rFont val="Tahoma"/>
            <family val="2"/>
          </rPr>
          <t>:</t>
        </r>
        <r>
          <rPr>
            <sz val="9"/>
            <color indexed="81"/>
            <rFont val="Tahoma"/>
            <family val="2"/>
          </rPr>
          <t xml:space="preserve">
Enter the nominal input operating voltage.
The LM5185 input voltage operating range is 4.5V to 100V.
</t>
        </r>
        <r>
          <rPr>
            <b/>
            <sz val="9"/>
            <color indexed="81"/>
            <rFont val="Tahoma"/>
            <family val="2"/>
          </rPr>
          <t xml:space="preserve">The text in this cell is red if:
</t>
        </r>
        <r>
          <rPr>
            <sz val="9"/>
            <color indexed="81"/>
            <rFont val="Tahoma"/>
            <family val="2"/>
          </rPr>
          <t>-The Nom Vin is less than Min Vin</t>
        </r>
        <r>
          <rPr>
            <b/>
            <sz val="9"/>
            <color indexed="81"/>
            <rFont val="Tahoma"/>
            <family val="2"/>
          </rPr>
          <t>.</t>
        </r>
        <r>
          <rPr>
            <sz val="9"/>
            <color indexed="81"/>
            <rFont val="Tahoma"/>
            <family val="2"/>
          </rPr>
          <t xml:space="preserve">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7" authorId="0" shapeId="0" xr:uid="{00000000-0006-0000-0000-000006000000}">
      <text>
        <r>
          <rPr>
            <b/>
            <u/>
            <sz val="9"/>
            <color indexed="81"/>
            <rFont val="Tahoma"/>
            <family val="2"/>
          </rPr>
          <t>Magnetizing Inductance</t>
        </r>
        <r>
          <rPr>
            <b/>
            <sz val="9"/>
            <color indexed="81"/>
            <rFont val="Tahoma"/>
            <family val="2"/>
          </rPr>
          <t xml:space="preserve">:
</t>
        </r>
        <r>
          <rPr>
            <sz val="9"/>
            <color indexed="81"/>
            <rFont val="Tahoma"/>
            <family val="2"/>
          </rPr>
          <t xml:space="preserve">Enter the transformer mag inductance of your choice here.
Lower inductance provides an earlier transition from FFM to DCM but pushes out (or entirely eliminates) BCM operation. The main priviso is that the rated output current is achieved at nominal input voltage. Allow at least a 10% margin here to allow 
</t>
        </r>
        <r>
          <rPr>
            <b/>
            <sz val="9"/>
            <color indexed="81"/>
            <rFont val="Tahoma"/>
            <family val="2"/>
          </rPr>
          <t xml:space="preserve">This cell is flagged </t>
        </r>
        <r>
          <rPr>
            <b/>
            <sz val="9"/>
            <color indexed="10"/>
            <rFont val="Tahoma"/>
            <family val="2"/>
          </rPr>
          <t>RED</t>
        </r>
        <r>
          <rPr>
            <b/>
            <sz val="9"/>
            <color indexed="81"/>
            <rFont val="Tahoma"/>
            <family val="2"/>
          </rPr>
          <t xml:space="preserve"> if:</t>
        </r>
        <r>
          <rPr>
            <b/>
            <sz val="9"/>
            <color indexed="39"/>
            <rFont val="Tahoma"/>
            <family val="2"/>
          </rPr>
          <t xml:space="preserve">
</t>
        </r>
        <r>
          <rPr>
            <b/>
            <sz val="9"/>
            <color indexed="10"/>
            <rFont val="Tahoma"/>
            <family val="2"/>
          </rPr>
          <t>-The chosen inductance is too small. Increase the choosen value.</t>
        </r>
      </text>
    </comment>
    <comment ref="F8" authorId="0" shapeId="0" xr:uid="{00000000-0006-0000-0000-000007000000}">
      <text>
        <r>
          <rPr>
            <b/>
            <u/>
            <sz val="9"/>
            <color indexed="81"/>
            <rFont val="Tahoma"/>
            <family val="2"/>
          </rPr>
          <t>Maximum Input Voltage</t>
        </r>
        <r>
          <rPr>
            <b/>
            <sz val="9"/>
            <color indexed="81"/>
            <rFont val="Tahoma"/>
            <family val="2"/>
          </rPr>
          <t>:</t>
        </r>
        <r>
          <rPr>
            <sz val="9"/>
            <color indexed="81"/>
            <rFont val="Tahoma"/>
            <family val="2"/>
          </rPr>
          <t xml:space="preserve">
Enter the maximum input operating voltage.
The LM5185 input voltage operating range is 4.5V to 100V.
</t>
        </r>
        <r>
          <rPr>
            <b/>
            <sz val="9"/>
            <color indexed="81"/>
            <rFont val="Tahoma"/>
            <family val="2"/>
          </rPr>
          <t xml:space="preserve">The text in this cell is red if:
</t>
        </r>
        <r>
          <rPr>
            <sz val="9"/>
            <color indexed="81"/>
            <rFont val="Tahoma"/>
            <family val="2"/>
          </rPr>
          <t xml:space="preserve">-The Max Vin is less than the Nom Vin.
-The input voltage is above </t>
        </r>
        <r>
          <rPr>
            <b/>
            <sz val="9"/>
            <color indexed="10"/>
            <rFont val="Tahoma"/>
            <family val="2"/>
          </rPr>
          <t>100V</t>
        </r>
        <r>
          <rPr>
            <sz val="9"/>
            <color indexed="81"/>
            <rFont val="Tahoma"/>
            <family val="2"/>
          </rPr>
          <t xml:space="preserve">
-The input voltage is below </t>
        </r>
        <r>
          <rPr>
            <b/>
            <sz val="9"/>
            <color indexed="10"/>
            <rFont val="Tahoma"/>
            <family val="2"/>
          </rPr>
          <t xml:space="preserve">4.5V
</t>
        </r>
      </text>
    </comment>
    <comment ref="M8" authorId="0" shapeId="0" xr:uid="{00000000-0006-0000-0000-000008000000}">
      <text>
        <r>
          <rPr>
            <b/>
            <u/>
            <sz val="9"/>
            <color indexed="81"/>
            <rFont val="Tahoma"/>
            <family val="2"/>
          </rPr>
          <t>Primary Winding DCR</t>
        </r>
        <r>
          <rPr>
            <b/>
            <sz val="9"/>
            <color indexed="81"/>
            <rFont val="Tahoma"/>
            <family val="2"/>
          </rPr>
          <t xml:space="preserve">:
</t>
        </r>
        <r>
          <rPr>
            <sz val="9"/>
            <color indexed="81"/>
            <rFont val="Tahoma"/>
            <family val="2"/>
          </rPr>
          <t>Enter the primary winding DC resistance (DCR) here. This is typically specified in the transformer datasheet at 25°C copper temperature.</t>
        </r>
      </text>
    </comment>
    <comment ref="M9" authorId="0" shapeId="0" xr:uid="{00000000-0006-0000-0000-000009000000}">
      <text>
        <r>
          <rPr>
            <b/>
            <u/>
            <sz val="9"/>
            <color indexed="81"/>
            <rFont val="Tahoma"/>
            <family val="2"/>
          </rPr>
          <t>Secondary Winding DCR</t>
        </r>
        <r>
          <rPr>
            <b/>
            <sz val="9"/>
            <color indexed="81"/>
            <rFont val="Tahoma"/>
            <family val="2"/>
          </rPr>
          <t xml:space="preserve">:
</t>
        </r>
        <r>
          <rPr>
            <sz val="9"/>
            <color indexed="81"/>
            <rFont val="Tahoma"/>
            <family val="2"/>
          </rPr>
          <t>Enter the secondary winding DCR here. This is typically specified in the transformer datasheet at 25°C copper temperature.</t>
        </r>
      </text>
    </comment>
    <comment ref="F10" authorId="0" shapeId="0" xr:uid="{00000000-0006-0000-0000-00000A000000}">
      <text>
        <r>
          <rPr>
            <b/>
            <u/>
            <sz val="9"/>
            <color indexed="81"/>
            <rFont val="Tahoma"/>
            <family val="2"/>
          </rPr>
          <t>Output Voltage</t>
        </r>
        <r>
          <rPr>
            <b/>
            <sz val="9"/>
            <color indexed="81"/>
            <rFont val="Tahoma"/>
            <family val="2"/>
          </rPr>
          <t xml:space="preserve">:
</t>
        </r>
        <r>
          <rPr>
            <sz val="9"/>
            <color indexed="81"/>
            <rFont val="Tahoma"/>
            <family val="2"/>
          </rPr>
          <t xml:space="preserve">Enter the desired </t>
        </r>
        <r>
          <rPr>
            <sz val="9"/>
            <color indexed="8"/>
            <rFont val="Tahoma"/>
            <family val="2"/>
          </rPr>
          <t>output</t>
        </r>
        <r>
          <rPr>
            <sz val="9"/>
            <color indexed="81"/>
            <rFont val="Tahoma"/>
            <family val="2"/>
          </rPr>
          <t xml:space="preserve"> voltage here.</t>
        </r>
      </text>
    </comment>
    <comment ref="F11" authorId="0" shapeId="0" xr:uid="{00000000-0006-0000-0000-00000B000000}">
      <text>
        <r>
          <rPr>
            <b/>
            <u/>
            <sz val="9"/>
            <color indexed="81"/>
            <rFont val="Tahoma"/>
            <family val="2"/>
          </rPr>
          <t>Output Current</t>
        </r>
        <r>
          <rPr>
            <b/>
            <sz val="9"/>
            <color indexed="81"/>
            <rFont val="Tahoma"/>
            <family val="2"/>
          </rPr>
          <t xml:space="preserve">:
</t>
        </r>
        <r>
          <rPr>
            <sz val="9"/>
            <color indexed="81"/>
            <rFont val="Tahoma"/>
            <family val="2"/>
          </rPr>
          <t>Enter the desired output current here.</t>
        </r>
        <r>
          <rPr>
            <b/>
            <sz val="9"/>
            <color indexed="81"/>
            <rFont val="Tahoma"/>
            <family val="2"/>
          </rPr>
          <t xml:space="preserve">
</t>
        </r>
        <r>
          <rPr>
            <sz val="9"/>
            <color indexed="81"/>
            <rFont val="Tahoma"/>
            <family val="2"/>
          </rPr>
          <t xml:space="preserve">The text in this cell is </t>
        </r>
        <r>
          <rPr>
            <b/>
            <sz val="9"/>
            <color indexed="10"/>
            <rFont val="Tahoma"/>
            <family val="2"/>
          </rPr>
          <t>RED</t>
        </r>
        <r>
          <rPr>
            <sz val="9"/>
            <color indexed="81"/>
            <rFont val="Tahoma"/>
            <family val="2"/>
          </rPr>
          <t xml:space="preserve"> if:</t>
        </r>
        <r>
          <rPr>
            <b/>
            <sz val="9"/>
            <color indexed="81"/>
            <rFont val="Tahoma"/>
            <family val="2"/>
          </rPr>
          <t xml:space="preserve">
</t>
        </r>
        <r>
          <rPr>
            <b/>
            <sz val="9"/>
            <color indexed="39"/>
            <rFont val="Tahoma"/>
            <family val="2"/>
          </rPr>
          <t xml:space="preserve">-The output current is below </t>
        </r>
        <r>
          <rPr>
            <b/>
            <sz val="9"/>
            <color indexed="10"/>
            <rFont val="Tahoma"/>
            <family val="2"/>
          </rPr>
          <t xml:space="preserve">10mA
</t>
        </r>
      </text>
    </comment>
    <comment ref="M12" authorId="1" shapeId="0" xr:uid="{CAB962D0-E7B4-4770-8363-E972CE1155C9}">
      <text>
        <r>
          <rPr>
            <b/>
            <sz val="9"/>
            <color indexed="81"/>
            <rFont val="Tahoma"/>
            <family val="2"/>
          </rPr>
          <t xml:space="preserve">Proposed turns ratio.
</t>
        </r>
        <r>
          <rPr>
            <sz val="9"/>
            <color indexed="81"/>
            <rFont val="Tahoma"/>
            <family val="2"/>
          </rPr>
          <t xml:space="preserve">The cell will turn red if the duty cycle under VIN(min) exceeds 75%. The design may still work, but you may consider to adjust the turns ration slightly.
</t>
        </r>
      </text>
    </comment>
    <comment ref="F13" authorId="1" shapeId="0" xr:uid="{1722616E-F390-487A-A34E-2B05516BC09F}">
      <text>
        <r>
          <rPr>
            <b/>
            <sz val="9"/>
            <color indexed="81"/>
            <rFont val="Tahoma"/>
            <family val="2"/>
          </rPr>
          <t xml:space="preserve">Second Output Load Current.
</t>
        </r>
        <r>
          <rPr>
            <sz val="9"/>
            <color indexed="81"/>
            <rFont val="Tahoma"/>
            <family val="2"/>
          </rPr>
          <t>The text in the cell will turn</t>
        </r>
        <r>
          <rPr>
            <b/>
            <sz val="9"/>
            <color indexed="10"/>
            <rFont val="Tahoma"/>
            <family val="2"/>
          </rPr>
          <t xml:space="preserve"> red if</t>
        </r>
        <r>
          <rPr>
            <b/>
            <sz val="9"/>
            <color indexed="81"/>
            <rFont val="Tahoma"/>
            <family val="2"/>
          </rPr>
          <t xml:space="preserve"> </t>
        </r>
        <r>
          <rPr>
            <sz val="9"/>
            <color indexed="81"/>
            <rFont val="Tahoma"/>
            <family val="2"/>
          </rPr>
          <t>the current has a different sign from the VOUT2.</t>
        </r>
      </text>
    </comment>
    <comment ref="M15" authorId="0" shapeId="0" xr:uid="{00000000-0006-0000-0000-00000C000000}">
      <text>
        <r>
          <rPr>
            <b/>
            <u/>
            <sz val="9"/>
            <color indexed="81"/>
            <rFont val="Tahoma"/>
            <family val="2"/>
          </rPr>
          <t>Max Duty Cycle</t>
        </r>
        <r>
          <rPr>
            <b/>
            <sz val="9"/>
            <color indexed="81"/>
            <rFont val="Tahoma"/>
            <family val="2"/>
          </rPr>
          <t xml:space="preserve">:
</t>
        </r>
        <r>
          <rPr>
            <sz val="9"/>
            <color indexed="81"/>
            <rFont val="Tahoma"/>
            <family val="2"/>
          </rPr>
          <t>The max operating duty cycle is preferably kept below 75% to prevent high peak/rms currents in the flyback diode(s) and secondary winding(s).
If the cell shows "#VALUE!", reduce Rcs value in Cell E17.</t>
        </r>
      </text>
    </comment>
    <comment ref="M16" authorId="0" shapeId="0" xr:uid="{00000000-0006-0000-0000-00000D000000}">
      <text>
        <r>
          <rPr>
            <b/>
            <u/>
            <sz val="9"/>
            <color indexed="81"/>
            <rFont val="Tahoma"/>
            <family val="2"/>
          </rPr>
          <t>Max Output Current at VIN(min)</t>
        </r>
        <r>
          <rPr>
            <b/>
            <sz val="9"/>
            <color indexed="81"/>
            <rFont val="Tahoma"/>
            <family val="2"/>
          </rPr>
          <t xml:space="preserve">:
</t>
        </r>
        <r>
          <rPr>
            <sz val="9"/>
            <color indexed="81"/>
            <rFont val="Tahoma"/>
            <family val="2"/>
          </rPr>
          <t>The output power is most limited at minimum input voltage. Adjust the transformer turns ratio if needed. Allow at least a 10% margin viz-a-viz the required output power.
If the cell shows "#VALUE!", reduce Rcs value in E17.</t>
        </r>
      </text>
    </comment>
    <comment ref="F17" authorId="0" shapeId="0" xr:uid="{00000000-0006-0000-0000-00000E000000}">
      <text>
        <r>
          <rPr>
            <b/>
            <u/>
            <sz val="9"/>
            <color indexed="81"/>
            <rFont val="Tahoma"/>
            <family val="2"/>
          </rPr>
          <t>Current Sense Resistor</t>
        </r>
        <r>
          <rPr>
            <b/>
            <sz val="9"/>
            <color indexed="81"/>
            <rFont val="Tahoma"/>
            <family val="2"/>
          </rPr>
          <t xml:space="preserve">:
</t>
        </r>
        <r>
          <rPr>
            <sz val="9"/>
            <color indexed="81"/>
            <rFont val="Tahoma"/>
            <family val="2"/>
          </rPr>
          <t xml:space="preserve">Enter the current sense resistor value here.
The text in the cell will turn </t>
        </r>
        <r>
          <rPr>
            <b/>
            <sz val="9"/>
            <color indexed="10"/>
            <rFont val="Tahoma"/>
            <family val="2"/>
          </rPr>
          <t xml:space="preserve">  red </t>
        </r>
        <r>
          <rPr>
            <b/>
            <sz val="9"/>
            <color indexed="81"/>
            <rFont val="Tahoma"/>
            <family val="2"/>
          </rPr>
          <t xml:space="preserve"> if the selection is greater tha</t>
        </r>
        <r>
          <rPr>
            <sz val="9"/>
            <color indexed="81"/>
            <rFont val="Tahoma"/>
            <family val="2"/>
          </rPr>
          <t>n the recommended maximum Rcs value, and</t>
        </r>
        <r>
          <rPr>
            <b/>
            <sz val="9"/>
            <color indexed="81"/>
            <rFont val="Tahoma"/>
            <family val="2"/>
          </rPr>
          <t xml:space="preserve"> full load would not be guaranteed</t>
        </r>
        <r>
          <rPr>
            <sz val="9"/>
            <color indexed="81"/>
            <rFont val="Tahoma"/>
            <family val="2"/>
          </rPr>
          <t xml:space="preserve">. </t>
        </r>
      </text>
    </comment>
    <comment ref="F18" authorId="1" shapeId="0" xr:uid="{37226554-35AD-4B24-AFBD-ADB0FE41ABA9}">
      <text>
        <r>
          <rPr>
            <b/>
            <sz val="9"/>
            <color indexed="81"/>
            <rFont val="Tahoma"/>
            <family val="2"/>
          </rPr>
          <t xml:space="preserve">Important: The selected transformer Isat should </t>
        </r>
        <r>
          <rPr>
            <b/>
            <i/>
            <sz val="9"/>
            <color indexed="81"/>
            <rFont val="Tahoma"/>
            <family val="2"/>
          </rPr>
          <t>not</t>
        </r>
        <r>
          <rPr>
            <b/>
            <sz val="9"/>
            <color indexed="81"/>
            <rFont val="Tahoma"/>
            <family val="2"/>
          </rPr>
          <t xml:space="preserve"> be smaller than this value.</t>
        </r>
      </text>
    </comment>
    <comment ref="F23" authorId="1" shapeId="0" xr:uid="{8656CEB6-6ED9-41C6-8605-018CF280C9F0}">
      <text>
        <r>
          <rPr>
            <b/>
            <sz val="9"/>
            <color indexed="81"/>
            <rFont val="Tahoma"/>
            <family val="2"/>
          </rPr>
          <t>Selected Zener Rated Voltage.</t>
        </r>
        <r>
          <rPr>
            <sz val="9"/>
            <color indexed="81"/>
            <rFont val="Tahoma"/>
            <family val="2"/>
          </rPr>
          <t xml:space="preserve">
The text in the cell will turn </t>
        </r>
        <r>
          <rPr>
            <b/>
            <sz val="9"/>
            <color indexed="10"/>
            <rFont val="Tahoma"/>
            <family val="2"/>
          </rPr>
          <t>red if</t>
        </r>
        <r>
          <rPr>
            <sz val="9"/>
            <color indexed="81"/>
            <rFont val="Tahoma"/>
            <family val="2"/>
          </rPr>
          <t xml:space="preserve"> the selected Zener voltage is lower than the recommended value.</t>
        </r>
      </text>
    </comment>
    <comment ref="F24" authorId="1" shapeId="0" xr:uid="{31A291A4-31E5-44E3-9BAC-33CB570C70F5}">
      <text>
        <r>
          <rPr>
            <b/>
            <sz val="9"/>
            <color indexed="81"/>
            <rFont val="Tahoma"/>
            <family val="2"/>
          </rPr>
          <t>Power MOSFET Vds Rating</t>
        </r>
        <r>
          <rPr>
            <sz val="9"/>
            <color indexed="81"/>
            <rFont val="Tahoma"/>
            <family val="2"/>
          </rPr>
          <t xml:space="preserve"> should </t>
        </r>
        <r>
          <rPr>
            <b/>
            <i/>
            <sz val="9"/>
            <color indexed="81"/>
            <rFont val="Tahoma"/>
            <family val="2"/>
          </rPr>
          <t>not</t>
        </r>
        <r>
          <rPr>
            <sz val="9"/>
            <color indexed="81"/>
            <rFont val="Tahoma"/>
            <family val="2"/>
          </rPr>
          <t xml:space="preserve"> be less than this value. 
</t>
        </r>
      </text>
    </comment>
    <comment ref="M24" authorId="0" shapeId="0" xr:uid="{00000000-0006-0000-0000-00000F000000}">
      <text>
        <r>
          <rPr>
            <b/>
            <u/>
            <sz val="9"/>
            <color indexed="81"/>
            <rFont val="Tahoma"/>
            <family val="2"/>
          </rPr>
          <t>MOSFET Qg</t>
        </r>
        <r>
          <rPr>
            <b/>
            <sz val="9"/>
            <color indexed="81"/>
            <rFont val="Tahoma"/>
            <family val="2"/>
          </rPr>
          <t xml:space="preserve">:
</t>
        </r>
        <r>
          <rPr>
            <sz val="9"/>
            <color indexed="81"/>
            <rFont val="Tahoma"/>
            <family val="2"/>
          </rPr>
          <t>Choose a MOSFET having a total gate charge of less than the recommended Max Qg.</t>
        </r>
      </text>
    </comment>
    <comment ref="M25" authorId="0" shapeId="0" xr:uid="{00000000-0006-0000-0000-000010000000}">
      <text>
        <r>
          <rPr>
            <b/>
            <u/>
            <sz val="9"/>
            <color indexed="81"/>
            <rFont val="Tahoma"/>
            <family val="2"/>
          </rPr>
          <t>MOSFET Coss</t>
        </r>
        <r>
          <rPr>
            <sz val="9"/>
            <color indexed="81"/>
            <rFont val="Tahoma"/>
            <family val="2"/>
          </rPr>
          <t xml:space="preserve">
Enter the Coss parameter of selected MOSFET.</t>
        </r>
      </text>
    </comment>
    <comment ref="M26" authorId="0" shapeId="0" xr:uid="{CEB6B93C-5411-41EE-A8C1-47824136DD57}">
      <text>
        <r>
          <rPr>
            <b/>
            <u/>
            <sz val="9"/>
            <color indexed="81"/>
            <rFont val="Tahoma"/>
            <family val="2"/>
          </rPr>
          <t>MOSFET Power Dissipation</t>
        </r>
        <r>
          <rPr>
            <b/>
            <sz val="9"/>
            <color indexed="81"/>
            <rFont val="Tahoma"/>
            <family val="2"/>
          </rPr>
          <t xml:space="preserve">:
</t>
        </r>
        <r>
          <rPr>
            <sz val="9"/>
            <color indexed="81"/>
            <rFont val="Tahoma"/>
            <family val="2"/>
          </rPr>
          <t>Estimated maximum MOSFET power dissipation. Make sure to choose appropriate MOSFET package and/or heatsink for effective heat dissipation.</t>
        </r>
      </text>
    </comment>
    <comment ref="F29" authorId="0" shapeId="0" xr:uid="{00000000-0006-0000-0000-000011000000}">
      <text>
        <r>
          <rPr>
            <b/>
            <u/>
            <sz val="9"/>
            <color indexed="81"/>
            <rFont val="Tahoma"/>
            <family val="2"/>
          </rPr>
          <t>Minimum Recommended Cin</t>
        </r>
        <r>
          <rPr>
            <b/>
            <sz val="9"/>
            <color indexed="81"/>
            <rFont val="Tahoma"/>
            <family val="2"/>
          </rPr>
          <t xml:space="preserve">:
</t>
        </r>
        <r>
          <rPr>
            <sz val="9"/>
            <color indexed="81"/>
            <rFont val="Tahoma"/>
            <family val="2"/>
          </rPr>
          <t xml:space="preserve">This is the minimum input cap based on 10% pk-pk voltage ripple at the input.
</t>
        </r>
        <r>
          <rPr>
            <sz val="9"/>
            <color indexed="39"/>
            <rFont val="Tahoma"/>
            <family val="2"/>
          </rPr>
          <t xml:space="preserve">
</t>
        </r>
        <r>
          <rPr>
            <b/>
            <sz val="9"/>
            <color indexed="39"/>
            <rFont val="Tahoma"/>
            <family val="2"/>
          </rPr>
          <t>This condition is derived at VIN(nom).</t>
        </r>
        <r>
          <rPr>
            <b/>
            <sz val="9"/>
            <color indexed="81"/>
            <rFont val="Tahoma"/>
            <family val="2"/>
          </rPr>
          <t xml:space="preserve">
</t>
        </r>
      </text>
    </comment>
    <comment ref="F30" authorId="0" shapeId="0" xr:uid="{00000000-0006-0000-0000-000012000000}">
      <text>
        <r>
          <rPr>
            <b/>
            <u/>
            <sz val="9"/>
            <color indexed="81"/>
            <rFont val="Tahoma"/>
            <family val="2"/>
          </rPr>
          <t>Input Capacitance</t>
        </r>
        <r>
          <rPr>
            <b/>
            <sz val="9"/>
            <color indexed="81"/>
            <rFont val="Tahoma"/>
            <family val="2"/>
          </rPr>
          <t xml:space="preserve">:
</t>
        </r>
        <r>
          <rPr>
            <sz val="9"/>
            <color indexed="81"/>
            <rFont val="Tahoma"/>
            <family val="2"/>
          </rPr>
          <t xml:space="preserve">Enter the input capacitance here based on the minimum calculated result. Ensure that the nominal capacitance is appropriately derated for applied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input capacitor is smaller than the minimum ideal capacitance.</t>
        </r>
      </text>
    </comment>
    <comment ref="F31" authorId="0" shapeId="0" xr:uid="{00000000-0006-0000-0000-000013000000}">
      <text>
        <r>
          <rPr>
            <b/>
            <u/>
            <sz val="9"/>
            <color indexed="81"/>
            <rFont val="Tahoma"/>
            <family val="2"/>
          </rPr>
          <t>Input Capacitor ESR</t>
        </r>
        <r>
          <rPr>
            <b/>
            <sz val="9"/>
            <color indexed="81"/>
            <rFont val="Tahoma"/>
            <family val="2"/>
          </rPr>
          <t xml:space="preserve">:
</t>
        </r>
        <r>
          <rPr>
            <sz val="9"/>
            <color indexed="81"/>
            <rFont val="Tahoma"/>
            <family val="2"/>
          </rPr>
          <t>Enter the input capacitor ESR here based on the maximum allowed input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T31" authorId="1" shapeId="0" xr:uid="{29CE184D-A96B-4A3A-A63A-D90B0214AAB4}">
      <text>
        <r>
          <rPr>
            <b/>
            <sz val="9"/>
            <color indexed="81"/>
            <rFont val="Tahoma"/>
            <family val="2"/>
          </rPr>
          <t xml:space="preserve">Output #2 Diode Forward Voltage Drop at Rated Load Current.
</t>
        </r>
        <r>
          <rPr>
            <sz val="9"/>
            <color indexed="81"/>
            <rFont val="Tahoma"/>
            <family val="2"/>
          </rPr>
          <t>The text in the cell will turn</t>
        </r>
        <r>
          <rPr>
            <b/>
            <sz val="9"/>
            <color indexed="81"/>
            <rFont val="Tahoma"/>
            <family val="2"/>
          </rPr>
          <t xml:space="preserve"> </t>
        </r>
        <r>
          <rPr>
            <b/>
            <sz val="9"/>
            <color indexed="10"/>
            <rFont val="Tahoma"/>
            <family val="2"/>
          </rPr>
          <t>red</t>
        </r>
        <r>
          <rPr>
            <b/>
            <sz val="9"/>
            <color indexed="81"/>
            <rFont val="Tahoma"/>
            <family val="2"/>
          </rPr>
          <t xml:space="preserve"> </t>
        </r>
        <r>
          <rPr>
            <sz val="9"/>
            <color indexed="81"/>
            <rFont val="Tahoma"/>
            <family val="2"/>
          </rPr>
          <t xml:space="preserve">if the forward drop voltage is obviously wrong for being outside the normal 0.3V and 1.5V. 
</t>
        </r>
      </text>
    </comment>
    <comment ref="F33" authorId="0" shapeId="0" xr:uid="{00000000-0006-0000-0000-000014000000}">
      <text>
        <r>
          <rPr>
            <b/>
            <u/>
            <sz val="9"/>
            <color indexed="81"/>
            <rFont val="Tahoma"/>
            <family val="2"/>
          </rPr>
          <t>Minimum Recommneded Cout</t>
        </r>
        <r>
          <rPr>
            <b/>
            <sz val="9"/>
            <color indexed="81"/>
            <rFont val="Tahoma"/>
            <family val="2"/>
          </rPr>
          <t xml:space="preserve">:
</t>
        </r>
        <r>
          <rPr>
            <sz val="9"/>
            <color indexed="81"/>
            <rFont val="Tahoma"/>
            <family val="2"/>
          </rPr>
          <t xml:space="preserve">This is the minimum output cap based on 1% ripple at Vin(nom), full load
</t>
        </r>
        <r>
          <rPr>
            <sz val="9"/>
            <color indexed="39"/>
            <rFont val="Tahoma"/>
            <family val="2"/>
          </rPr>
          <t xml:space="preserve">
</t>
        </r>
        <r>
          <rPr>
            <b/>
            <sz val="9"/>
            <color indexed="39"/>
            <rFont val="Tahoma"/>
            <family val="2"/>
          </rPr>
          <t>NB: this condition is derived at VIN(nom).</t>
        </r>
        <r>
          <rPr>
            <b/>
            <sz val="9"/>
            <color indexed="81"/>
            <rFont val="Tahoma"/>
            <family val="2"/>
          </rPr>
          <t xml:space="preserve">
</t>
        </r>
      </text>
    </comment>
    <comment ref="F34" authorId="0" shapeId="0" xr:uid="{00000000-0006-0000-0000-000015000000}">
      <text>
        <r>
          <rPr>
            <b/>
            <u/>
            <sz val="9"/>
            <color indexed="81"/>
            <rFont val="Tahoma"/>
            <family val="2"/>
          </rPr>
          <t>Output Capacitance</t>
        </r>
        <r>
          <rPr>
            <b/>
            <sz val="9"/>
            <color indexed="81"/>
            <rFont val="Tahoma"/>
            <family val="2"/>
          </rPr>
          <t>:</t>
        </r>
        <r>
          <rPr>
            <sz val="9"/>
            <color indexed="81"/>
            <rFont val="Tahoma"/>
            <family val="2"/>
          </rPr>
          <t xml:space="preserve">
Enter the output capacitance here based on the minimum calculated result. Make sure that the nominal capacitance is appropriately derated for applied voltage, particularly with </t>
        </r>
        <r>
          <rPr>
            <sz val="9"/>
            <color indexed="39"/>
            <rFont val="Tahoma"/>
            <family val="2"/>
          </rPr>
          <t>ceramics</t>
        </r>
        <r>
          <rPr>
            <sz val="9"/>
            <color indexed="81"/>
            <rFont val="Tahoma"/>
            <family val="2"/>
          </rPr>
          <t xml:space="preserve">.
</t>
        </r>
        <r>
          <rPr>
            <b/>
            <sz val="9"/>
            <color indexed="81"/>
            <rFont val="Tahoma"/>
            <family val="2"/>
          </rPr>
          <t>The text in this cell is flagged red if:</t>
        </r>
        <r>
          <rPr>
            <sz val="9"/>
            <color indexed="81"/>
            <rFont val="Tahoma"/>
            <family val="2"/>
          </rPr>
          <t xml:space="preserve">
</t>
        </r>
        <r>
          <rPr>
            <b/>
            <sz val="9"/>
            <color indexed="10"/>
            <rFont val="Tahoma"/>
            <family val="2"/>
          </rPr>
          <t>-The chosen output capacitor is smaller than the minimum ideal capacitance.</t>
        </r>
      </text>
    </comment>
    <comment ref="F35" authorId="0" shapeId="0" xr:uid="{00000000-0006-0000-0000-000016000000}">
      <text>
        <r>
          <rPr>
            <b/>
            <u/>
            <sz val="9"/>
            <color indexed="81"/>
            <rFont val="Tahoma"/>
            <family val="2"/>
          </rPr>
          <t>Output Capacitor ESR</t>
        </r>
        <r>
          <rPr>
            <b/>
            <sz val="9"/>
            <color indexed="81"/>
            <rFont val="Tahoma"/>
            <family val="2"/>
          </rPr>
          <t xml:space="preserve">:
</t>
        </r>
        <r>
          <rPr>
            <sz val="9"/>
            <color indexed="81"/>
            <rFont val="Tahoma"/>
            <family val="2"/>
          </rPr>
          <t>Enter the output capacitor ESR here based on the maximum allowed output capacitor ESR to meet the ripple voltage specification.</t>
        </r>
        <r>
          <rPr>
            <b/>
            <sz val="9"/>
            <color indexed="81"/>
            <rFont val="Tahoma"/>
            <family val="2"/>
          </rPr>
          <t xml:space="preserve">
The text in this cell will be </t>
        </r>
        <r>
          <rPr>
            <b/>
            <sz val="9"/>
            <color indexed="10"/>
            <rFont val="Tahoma"/>
            <family val="2"/>
          </rPr>
          <t>red</t>
        </r>
        <r>
          <rPr>
            <b/>
            <sz val="9"/>
            <color indexed="81"/>
            <rFont val="Tahoma"/>
            <family val="2"/>
          </rPr>
          <t xml:space="preserve"> if:
</t>
        </r>
        <r>
          <rPr>
            <b/>
            <sz val="9"/>
            <color indexed="10"/>
            <rFont val="Tahoma"/>
            <family val="2"/>
          </rPr>
          <t>-ESR is zero, or
-ESR exceeds maximum allowable ESR to meet the voltage ripple specification.</t>
        </r>
        <r>
          <rPr>
            <sz val="11"/>
            <color indexed="81"/>
            <rFont val="Tahoma"/>
            <family val="2"/>
          </rPr>
          <t xml:space="preserve">
</t>
        </r>
      </text>
    </comment>
    <comment ref="F40" authorId="1" shapeId="0" xr:uid="{8F39E3FF-D354-49C6-9CDD-AD8F94FD11ED}">
      <text>
        <r>
          <rPr>
            <b/>
            <u/>
            <sz val="9"/>
            <color indexed="81"/>
            <rFont val="Tahoma"/>
            <family val="2"/>
          </rPr>
          <t>Feedback Resistor:</t>
        </r>
        <r>
          <rPr>
            <b/>
            <sz val="9"/>
            <color indexed="81"/>
            <rFont val="Tahoma"/>
            <family val="2"/>
          </rPr>
          <t xml:space="preserve">
</t>
        </r>
        <r>
          <rPr>
            <sz val="9"/>
            <color indexed="81"/>
            <rFont val="Tahoma"/>
            <family val="2"/>
          </rPr>
          <t xml:space="preserve">Choose a standard resistor value most close to above recommend value. To be more precise on Vout setting, you may consider to use a combination of two resistors to sever as the Feedback Resistor.  </t>
        </r>
        <r>
          <rPr>
            <b/>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if the selected Feedback Resistor has more than 3% errors.</t>
        </r>
        <r>
          <rPr>
            <b/>
            <sz val="9"/>
            <color indexed="81"/>
            <rFont val="Tahoma"/>
            <family val="2"/>
          </rPr>
          <t xml:space="preserve">  </t>
        </r>
        <r>
          <rPr>
            <sz val="9"/>
            <color indexed="81"/>
            <rFont val="Tahoma"/>
            <family val="2"/>
          </rPr>
          <t>Correct it by choosing a closer value, or the output voltage would have more errors.</t>
        </r>
        <r>
          <rPr>
            <b/>
            <sz val="9"/>
            <color indexed="81"/>
            <rFont val="Tahoma"/>
            <family val="2"/>
          </rPr>
          <t xml:space="preserve">
</t>
        </r>
      </text>
    </comment>
    <comment ref="F41" authorId="0" shapeId="0" xr:uid="{00000000-0006-0000-0000-000017000000}">
      <text>
        <r>
          <rPr>
            <b/>
            <u/>
            <sz val="9"/>
            <color indexed="81"/>
            <rFont val="Tahoma"/>
            <family val="2"/>
          </rPr>
          <t>Soft-Start Time</t>
        </r>
        <r>
          <rPr>
            <b/>
            <sz val="9"/>
            <color indexed="81"/>
            <rFont val="Tahoma"/>
            <family val="2"/>
          </rPr>
          <t xml:space="preserve">:
</t>
        </r>
        <r>
          <rPr>
            <sz val="9"/>
            <color indexed="81"/>
            <rFont val="Tahoma"/>
            <family val="2"/>
          </rPr>
          <t xml:space="preserve">Enter the </t>
        </r>
        <r>
          <rPr>
            <b/>
            <sz val="9"/>
            <color indexed="39"/>
            <rFont val="Tahoma"/>
            <family val="2"/>
          </rPr>
          <t>desired soft-start time</t>
        </r>
        <r>
          <rPr>
            <sz val="9"/>
            <color indexed="81"/>
            <rFont val="Tahoma"/>
            <family val="2"/>
          </rPr>
          <t xml:space="preserve"> as required (must be greater than 6ms).
Leave the </t>
        </r>
        <r>
          <rPr>
            <b/>
            <sz val="9"/>
            <color indexed="39"/>
            <rFont val="Tahoma"/>
            <family val="2"/>
          </rPr>
          <t>SS pin open circuit</t>
        </r>
        <r>
          <rPr>
            <sz val="9"/>
            <color indexed="81"/>
            <rFont val="Tahoma"/>
            <family val="2"/>
          </rPr>
          <t xml:space="preserve"> to provide a soft-start time of </t>
        </r>
        <r>
          <rPr>
            <b/>
            <sz val="9"/>
            <color indexed="81"/>
            <rFont val="Tahoma"/>
            <family val="2"/>
          </rPr>
          <t>6ms</t>
        </r>
        <r>
          <rPr>
            <sz val="9"/>
            <color indexed="81"/>
            <rFont val="Tahoma"/>
            <family val="2"/>
          </rPr>
          <t>.</t>
        </r>
        <r>
          <rPr>
            <b/>
            <sz val="9"/>
            <color indexed="81"/>
            <rFont val="Tahoma"/>
            <family val="2"/>
          </rPr>
          <t xml:space="preserve">
The text in the cell below becomes red if:
</t>
        </r>
        <r>
          <rPr>
            <b/>
            <sz val="9"/>
            <color indexed="10"/>
            <rFont val="Tahoma"/>
            <family val="2"/>
          </rPr>
          <t>-The specified programmable soft-start time is less than 6ms.</t>
        </r>
        <r>
          <rPr>
            <sz val="9"/>
            <color indexed="81"/>
            <rFont val="Tahoma"/>
            <family val="2"/>
          </rPr>
          <t xml:space="preserve">
</t>
        </r>
      </text>
    </comment>
    <comment ref="F47" authorId="0" shapeId="0" xr:uid="{00000000-0006-0000-0000-000018000000}">
      <text>
        <r>
          <rPr>
            <b/>
            <u/>
            <sz val="9"/>
            <color indexed="81"/>
            <rFont val="Tahoma"/>
            <family val="2"/>
          </rPr>
          <t>Nominal Input UVLO Turn-On/Off Threshold Levels</t>
        </r>
        <r>
          <rPr>
            <b/>
            <sz val="9"/>
            <color indexed="81"/>
            <rFont val="Tahoma"/>
            <family val="2"/>
          </rPr>
          <t>:</t>
        </r>
        <r>
          <rPr>
            <sz val="9"/>
            <color indexed="81"/>
            <rFont val="Tahoma"/>
            <family val="2"/>
          </rPr>
          <t xml:space="preserve">
Enter the nominal input voltages for UVLO turn-on and turn-off. 
Note that the LM5185 input operating voltage range is</t>
        </r>
        <r>
          <rPr>
            <b/>
            <sz val="9"/>
            <color indexed="81"/>
            <rFont val="Tahoma"/>
            <family val="2"/>
          </rPr>
          <t xml:space="preserve"> 4.5V to 100V</t>
        </r>
        <r>
          <rPr>
            <sz val="9"/>
            <color indexed="81"/>
            <rFont val="Tahoma"/>
            <family val="2"/>
          </rPr>
          <t xml:space="preserve">.
</t>
        </r>
        <r>
          <rPr>
            <b/>
            <sz val="9"/>
            <color indexed="81"/>
            <rFont val="Tahoma"/>
            <family val="2"/>
          </rPr>
          <t>The text in the cell below becomes red if:</t>
        </r>
        <r>
          <rPr>
            <sz val="9"/>
            <color indexed="81"/>
            <rFont val="Tahoma"/>
            <family val="2"/>
          </rPr>
          <t xml:space="preserve">
-The input voltage UVLO turn-on is above </t>
        </r>
        <r>
          <rPr>
            <b/>
            <sz val="9"/>
            <color indexed="10"/>
            <rFont val="Tahoma"/>
            <family val="2"/>
          </rPr>
          <t>100V</t>
        </r>
        <r>
          <rPr>
            <sz val="9"/>
            <color indexed="81"/>
            <rFont val="Tahoma"/>
            <family val="2"/>
          </rPr>
          <t xml:space="preserve">
-The input voltage UVLO turn-on is below </t>
        </r>
        <r>
          <rPr>
            <b/>
            <sz val="9"/>
            <color indexed="10"/>
            <rFont val="Tahoma"/>
            <family val="2"/>
          </rPr>
          <t xml:space="preserve">4.5V
</t>
        </r>
        <r>
          <rPr>
            <sz val="9"/>
            <color indexed="81"/>
            <rFont val="Tahoma"/>
            <family val="2"/>
          </rPr>
          <t>-The input voltage UVLO turn-off is below</t>
        </r>
        <r>
          <rPr>
            <b/>
            <sz val="9"/>
            <color indexed="10"/>
            <rFont val="Tahoma"/>
            <family val="2"/>
          </rPr>
          <t xml:space="preserve"> 3.5V
</t>
        </r>
        <r>
          <rPr>
            <b/>
            <sz val="9"/>
            <color indexed="39"/>
            <rFont val="Tahoma"/>
            <family val="2"/>
          </rPr>
          <t>If the internal UVLO is sufficient, connect EN to logic high or VIN.</t>
        </r>
      </text>
    </comment>
    <comment ref="F58" authorId="1" shapeId="0" xr:uid="{66D463F3-366F-4049-B7E1-9889759B4CB5}">
      <text>
        <r>
          <rPr>
            <b/>
            <sz val="9"/>
            <color indexed="81"/>
            <rFont val="Tahoma"/>
            <family val="2"/>
          </rPr>
          <t>Selected crossover frequency.</t>
        </r>
        <r>
          <rPr>
            <sz val="9"/>
            <color indexed="81"/>
            <rFont val="Tahoma"/>
            <family val="2"/>
          </rPr>
          <t xml:space="preserve">
</t>
        </r>
        <r>
          <rPr>
            <b/>
            <sz val="9"/>
            <color indexed="10"/>
            <rFont val="Tahoma"/>
            <family val="2"/>
          </rPr>
          <t>Cell will turn red if</t>
        </r>
        <r>
          <rPr>
            <sz val="9"/>
            <color indexed="81"/>
            <rFont val="Tahoma"/>
            <family val="2"/>
          </rPr>
          <t xml:space="preserve"> the selected Fco is greater than the allowed max cross frequency. 
</t>
        </r>
      </text>
    </comment>
    <comment ref="F74" authorId="1" shapeId="0" xr:uid="{A51CBC47-A0CB-455A-87DD-88758B3FDBAB}">
      <text>
        <r>
          <rPr>
            <b/>
            <u/>
            <sz val="9"/>
            <color indexed="81"/>
            <rFont val="Tahoma"/>
            <family val="2"/>
          </rPr>
          <t xml:space="preserve">Max Output Voltage Limit
</t>
        </r>
        <r>
          <rPr>
            <sz val="9"/>
            <color indexed="81"/>
            <rFont val="Tahoma"/>
            <family val="2"/>
          </rPr>
          <t xml:space="preserve">Enter the max Vout limit. 
</t>
        </r>
        <r>
          <rPr>
            <b/>
            <u/>
            <sz val="9"/>
            <color indexed="81"/>
            <rFont val="Tahoma"/>
            <family val="2"/>
          </rPr>
          <t xml:space="preserve">
</t>
        </r>
        <r>
          <rPr>
            <b/>
            <sz val="9"/>
            <color indexed="10"/>
            <rFont val="Tahoma"/>
            <family val="2"/>
          </rPr>
          <t>Cell will turn red</t>
        </r>
        <r>
          <rPr>
            <b/>
            <sz val="9"/>
            <color indexed="81"/>
            <rFont val="Tahoma"/>
            <family val="2"/>
          </rPr>
          <t xml:space="preserve"> </t>
        </r>
        <r>
          <rPr>
            <sz val="9"/>
            <color indexed="81"/>
            <rFont val="Tahoma"/>
            <family val="2"/>
          </rPr>
          <t xml:space="preserve">if the limit is less than the regulation level +3%. 
</t>
        </r>
        <r>
          <rPr>
            <b/>
            <sz val="9"/>
            <color indexed="81"/>
            <rFont val="Tahoma"/>
            <family val="2"/>
          </rPr>
          <t xml:space="preserve"> 
</t>
        </r>
        <r>
          <rPr>
            <sz val="9"/>
            <color indexed="81"/>
            <rFont val="Tahoma"/>
            <family val="2"/>
          </rPr>
          <t xml:space="preserve">
</t>
        </r>
      </text>
    </comment>
    <comment ref="M74" authorId="1" shapeId="0" xr:uid="{27B7591D-3163-44B0-8F59-E6AA7979D1D3}">
      <text>
        <r>
          <rPr>
            <b/>
            <u/>
            <sz val="9"/>
            <color indexed="81"/>
            <rFont val="Tahoma"/>
            <family val="2"/>
          </rPr>
          <t>Max Output Voltage Limit</t>
        </r>
        <r>
          <rPr>
            <b/>
            <sz val="9"/>
            <color indexed="81"/>
            <rFont val="Tahoma"/>
            <family val="2"/>
          </rPr>
          <t xml:space="preserve">
</t>
        </r>
        <r>
          <rPr>
            <sz val="9"/>
            <color indexed="81"/>
            <rFont val="Tahoma"/>
            <family val="2"/>
          </rPr>
          <t xml:space="preserve">Enter the max Vout limit. </t>
        </r>
        <r>
          <rPr>
            <b/>
            <sz val="9"/>
            <color indexed="81"/>
            <rFont val="Tahoma"/>
            <family val="2"/>
          </rPr>
          <t xml:space="preserve">
</t>
        </r>
        <r>
          <rPr>
            <b/>
            <sz val="10"/>
            <color indexed="10"/>
            <rFont val="Arial"/>
            <family val="2"/>
          </rPr>
          <t>Cell will turn red</t>
        </r>
        <r>
          <rPr>
            <sz val="9"/>
            <color indexed="81"/>
            <rFont val="Tahoma"/>
            <family val="2"/>
          </rPr>
          <t xml:space="preserve"> if the limit is less than the regulation level +3%. </t>
        </r>
      </text>
    </comment>
    <comment ref="F80" authorId="2" shapeId="0" xr:uid="{00000000-0006-0000-0000-000019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no load, 25°C (used for feedback resistor calculation)
The text in the cell will turn </t>
        </r>
        <r>
          <rPr>
            <b/>
            <sz val="9"/>
            <color indexed="10"/>
            <rFont val="Tahoma"/>
            <family val="2"/>
          </rPr>
          <t>red</t>
        </r>
        <r>
          <rPr>
            <sz val="9"/>
            <color indexed="81"/>
            <rFont val="Tahoma"/>
            <family val="2"/>
          </rPr>
          <t xml:space="preserve"> if the no load voltage drop is smaller than full load voltage drop. Wrong calculated can be resulted.
</t>
        </r>
      </text>
    </comment>
    <comment ref="F81" authorId="2" shapeId="0" xr:uid="{00000000-0006-0000-0000-00001A000000}">
      <text>
        <r>
          <rPr>
            <b/>
            <u/>
            <sz val="9"/>
            <color indexed="81"/>
            <rFont val="Tahoma"/>
            <family val="2"/>
          </rPr>
          <t>Diode Drop</t>
        </r>
        <r>
          <rPr>
            <b/>
            <sz val="9"/>
            <color indexed="81"/>
            <rFont val="Tahoma"/>
            <family val="2"/>
          </rPr>
          <t>:</t>
        </r>
        <r>
          <rPr>
            <sz val="9"/>
            <color indexed="81"/>
            <rFont val="Tahoma"/>
            <family val="2"/>
          </rPr>
          <t xml:space="preserve">
Enter the voltage drop of the flyback diode at full load, 25°C (used for power loss calculations)</t>
        </r>
      </text>
    </comment>
    <comment ref="F83" authorId="0" shapeId="0" xr:uid="{00000000-0006-0000-0000-00001C000000}">
      <text>
        <r>
          <rPr>
            <b/>
            <u/>
            <sz val="9"/>
            <color indexed="81"/>
            <rFont val="Tahoma"/>
            <family val="2"/>
          </rPr>
          <t>Ambient Operating Temperature</t>
        </r>
        <r>
          <rPr>
            <b/>
            <sz val="9"/>
            <color indexed="81"/>
            <rFont val="Tahoma"/>
            <family val="2"/>
          </rPr>
          <t xml:space="preserve">:
</t>
        </r>
        <r>
          <rPr>
            <sz val="9"/>
            <color indexed="81"/>
            <rFont val="Tahoma"/>
            <family val="2"/>
          </rPr>
          <t>Enter the LM5185's local ambient temperature (T</t>
        </r>
        <r>
          <rPr>
            <vertAlign val="subscript"/>
            <sz val="9"/>
            <color indexed="81"/>
            <rFont val="Tahoma"/>
            <family val="2"/>
          </rPr>
          <t>A</t>
        </r>
        <r>
          <rPr>
            <sz val="9"/>
            <color indexed="81"/>
            <rFont val="Tahoma"/>
            <family val="2"/>
          </rPr>
          <t xml:space="preserve">) here.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chosen ambient temperature is below -40°C or above 150°C.</t>
        </r>
      </text>
    </comment>
    <comment ref="F85" authorId="0" shapeId="0" xr:uid="{00000000-0006-0000-0000-00001D000000}">
      <text>
        <r>
          <rPr>
            <b/>
            <u/>
            <sz val="9"/>
            <color indexed="81"/>
            <rFont val="Tahoma"/>
            <family val="2"/>
          </rPr>
          <t>Operating Junction Temperature</t>
        </r>
        <r>
          <rPr>
            <b/>
            <sz val="9"/>
            <color indexed="81"/>
            <rFont val="Tahoma"/>
            <family val="2"/>
          </rPr>
          <t xml:space="preserve">:
</t>
        </r>
        <r>
          <rPr>
            <sz val="9"/>
            <color indexed="81"/>
            <rFont val="Tahoma"/>
            <family val="2"/>
          </rPr>
          <t>Here is an estimate of the LM5185's opertaing junction temperature (T</t>
        </r>
        <r>
          <rPr>
            <vertAlign val="subscript"/>
            <sz val="9"/>
            <color indexed="81"/>
            <rFont val="Tahoma"/>
            <family val="2"/>
          </rPr>
          <t>J</t>
        </r>
        <r>
          <rPr>
            <sz val="9"/>
            <color indexed="81"/>
            <rFont val="Tahoma"/>
            <family val="2"/>
          </rPr>
          <t xml:space="preserve">) at full load and nominal input voltage.
</t>
        </r>
        <r>
          <rPr>
            <b/>
            <sz val="9"/>
            <color indexed="81"/>
            <rFont val="Tahoma"/>
            <family val="2"/>
          </rPr>
          <t xml:space="preserve">The text in this cell is flagged </t>
        </r>
        <r>
          <rPr>
            <b/>
            <sz val="9"/>
            <color indexed="10"/>
            <rFont val="Tahoma"/>
            <family val="2"/>
          </rPr>
          <t>red</t>
        </r>
        <r>
          <rPr>
            <b/>
            <sz val="9"/>
            <color indexed="81"/>
            <rFont val="Tahoma"/>
            <family val="2"/>
          </rPr>
          <t xml:space="preserve"> if:
</t>
        </r>
        <r>
          <rPr>
            <b/>
            <sz val="9"/>
            <color indexed="10"/>
            <rFont val="Tahoma"/>
            <family val="2"/>
          </rPr>
          <t>-The calculated junction temperature is below -40°C or above 150°C.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Timothy Hegarty</author>
  </authors>
  <commentList>
    <comment ref="A1" authorId="0" shapeId="0" xr:uid="{00000000-0006-0000-0300-000001000000}">
      <text>
        <r>
          <rPr>
            <sz val="11"/>
            <color indexed="81"/>
            <rFont val="Tahoma"/>
            <family val="2"/>
          </rPr>
          <t>This efficiency calculator is aimed towards low current, COT-type architectures. Specifically, the "On Time" is programmed by the timing resistor, Rt. Meanwhile, the "Off Time" is determined by zero crossing of the inductor current crosses (in DCM) or when FB touches VREF (in CCM). In the DCM configuration, it is assumed that the effective switching frequency is proportional to output current.</t>
        </r>
      </text>
    </comment>
    <comment ref="G2" authorId="0" shapeId="0" xr:uid="{00000000-0006-0000-0300-000002000000}">
      <text>
        <r>
          <rPr>
            <b/>
            <u/>
            <sz val="11"/>
            <color indexed="10"/>
            <rFont val="Tahoma"/>
            <family val="2"/>
          </rPr>
          <t>Texas Instruments</t>
        </r>
        <r>
          <rPr>
            <sz val="11"/>
            <color indexed="10"/>
            <rFont val="Tahoma"/>
            <family val="2"/>
          </rPr>
          <t>:</t>
        </r>
        <r>
          <rPr>
            <sz val="9"/>
            <color indexed="81"/>
            <rFont val="Tahoma"/>
            <family val="2"/>
          </rPr>
          <t xml:space="preserve">
</t>
        </r>
        <r>
          <rPr>
            <b/>
            <sz val="9"/>
            <color indexed="81"/>
            <rFont val="Tahoma"/>
            <family val="2"/>
          </rPr>
          <t>Limited Use Policy</t>
        </r>
        <r>
          <rPr>
            <sz val="9"/>
            <color indexed="81"/>
            <rFont val="Tahoma"/>
            <family val="2"/>
          </rPr>
          <t xml:space="preserve">
You must treat this software and documentation like any other copyrighted material.
</t>
        </r>
        <r>
          <rPr>
            <b/>
            <sz val="9"/>
            <color indexed="81"/>
            <rFont val="Tahoma"/>
            <family val="2"/>
          </rPr>
          <t>You may not:</t>
        </r>
        <r>
          <rPr>
            <sz val="9"/>
            <color indexed="81"/>
            <rFont val="Tahoma"/>
            <family val="2"/>
          </rPr>
          <t xml:space="preserve">
- Copy documentation of the software
- Copy this software except to make archival or backup copies
- Reverse engineer, disassemble, decompile or make any attempt to discover the source code of the Software 
- Place the software onto a server so that it is accessible via a public network such as the internet 
- Sublicense, rent, lease or lend any portion of the software or documentation.
Texas Instruments is not responsible for the validity of any design created with this software and urges all designs to be fully tested and carefully verified. Refer to the LM5165 product datasheet and EVM user guides for more details.
</t>
        </r>
        <r>
          <rPr>
            <b/>
            <sz val="9"/>
            <color indexed="81"/>
            <rFont val="Tahoma"/>
            <family val="2"/>
          </rPr>
          <t>Rev. 1, Timothy Hegarty, Texas Instruments, Inc.</t>
        </r>
      </text>
    </comment>
  </commentList>
</comments>
</file>

<file path=xl/sharedStrings.xml><?xml version="1.0" encoding="utf-8"?>
<sst xmlns="http://schemas.openxmlformats.org/spreadsheetml/2006/main" count="2461" uniqueCount="960">
  <si>
    <t>V</t>
  </si>
  <si>
    <t>A</t>
  </si>
  <si>
    <t>kHz</t>
  </si>
  <si>
    <t>Vin</t>
  </si>
  <si>
    <t>Vout</t>
  </si>
  <si>
    <t>Iout</t>
  </si>
  <si>
    <t>Value</t>
  </si>
  <si>
    <t>STD Units</t>
  </si>
  <si>
    <t>Hz</t>
  </si>
  <si>
    <t>Notes</t>
  </si>
  <si>
    <t>Nominal input voltage</t>
  </si>
  <si>
    <t>H</t>
  </si>
  <si>
    <t>Coutmin</t>
  </si>
  <si>
    <t>F</t>
  </si>
  <si>
    <t>Cout</t>
  </si>
  <si>
    <t>pF</t>
  </si>
  <si>
    <t>Pi</t>
  </si>
  <si>
    <t>Rfb2</t>
  </si>
  <si>
    <t>Vref</t>
  </si>
  <si>
    <t>Variable Name</t>
  </si>
  <si>
    <t>mΩ</t>
  </si>
  <si>
    <t>kΩ</t>
  </si>
  <si>
    <t>TERMS OF USE</t>
  </si>
  <si>
    <t>Currents</t>
  </si>
  <si>
    <t>IQ</t>
  </si>
  <si>
    <t>Step</t>
  </si>
  <si>
    <t>Design</t>
  </si>
  <si>
    <t>L</t>
  </si>
  <si>
    <t>Cin</t>
  </si>
  <si>
    <t>Components</t>
  </si>
  <si>
    <t>mA</t>
  </si>
  <si>
    <t>nC</t>
  </si>
  <si>
    <t>ns</t>
  </si>
  <si>
    <t>Units</t>
  </si>
  <si>
    <t>Outputs</t>
  </si>
  <si>
    <t>LTc</t>
  </si>
  <si>
    <t>Ta</t>
  </si>
  <si>
    <t>RCinEsr</t>
  </si>
  <si>
    <t>Tr</t>
  </si>
  <si>
    <t>Tf</t>
  </si>
  <si>
    <t>Ambient Temperature</t>
  </si>
  <si>
    <t>Description</t>
  </si>
  <si>
    <t>Input Parameters</t>
  </si>
  <si>
    <t>Input Value</t>
  </si>
  <si>
    <t>Power Dis</t>
  </si>
  <si>
    <t>W</t>
  </si>
  <si>
    <t>Temp rise</t>
  </si>
  <si>
    <t>Efficiency</t>
  </si>
  <si>
    <t>Duty Cycle</t>
  </si>
  <si>
    <t xml:space="preserve">IQ </t>
  </si>
  <si>
    <t>Quiescent Current Of Controller (Not Switching!)</t>
  </si>
  <si>
    <t>s</t>
  </si>
  <si>
    <t>Part Characteristics</t>
  </si>
  <si>
    <t>Rfb2_u</t>
  </si>
  <si>
    <t>CoutEsr</t>
  </si>
  <si>
    <t>Step 5: Input Capacitor</t>
  </si>
  <si>
    <t>nF</t>
  </si>
  <si>
    <t>VIN</t>
  </si>
  <si>
    <t>Icinrms</t>
  </si>
  <si>
    <t>= Input Box</t>
  </si>
  <si>
    <t>Input capacitance</t>
  </si>
  <si>
    <t>Step 1: Operational Specs</t>
  </si>
  <si>
    <t>Step 6: Soft Start</t>
  </si>
  <si>
    <t>ms</t>
  </si>
  <si>
    <t>Tss</t>
  </si>
  <si>
    <t>Iss</t>
  </si>
  <si>
    <t>Css</t>
  </si>
  <si>
    <t>Part Number</t>
  </si>
  <si>
    <t>Capacitors</t>
  </si>
  <si>
    <t>(pF)</t>
  </si>
  <si>
    <t>Standard Result</t>
  </si>
  <si>
    <t>Inputs</t>
  </si>
  <si>
    <t>Css_u</t>
  </si>
  <si>
    <t>Resistors</t>
  </si>
  <si>
    <t>inputs</t>
  </si>
  <si>
    <t>Cb</t>
  </si>
  <si>
    <t>Rs</t>
  </si>
  <si>
    <t xml:space="preserve">                </t>
  </si>
  <si>
    <t xml:space="preserve"> </t>
  </si>
  <si>
    <t>Rc1ea</t>
  </si>
  <si>
    <t>Blank out</t>
  </si>
  <si>
    <t>Input from user =</t>
  </si>
  <si>
    <t>Constant</t>
  </si>
  <si>
    <t>Step 8: Efficiency</t>
  </si>
  <si>
    <t>°C/W</t>
  </si>
  <si>
    <t>SCHEMATIC LABELS</t>
  </si>
  <si>
    <t>OUTPUT CURRENT</t>
  </si>
  <si>
    <t>Current (switching)</t>
  </si>
  <si>
    <t>Qrr Current</t>
  </si>
  <si>
    <t>Diode Current</t>
  </si>
  <si>
    <t>Std Units</t>
  </si>
  <si>
    <t>Total Application Switching IQ</t>
  </si>
  <si>
    <t>GND</t>
  </si>
  <si>
    <t>FB</t>
  </si>
  <si>
    <t>SW</t>
  </si>
  <si>
    <t>CIN</t>
  </si>
  <si>
    <t>µH</t>
  </si>
  <si>
    <t>µF</t>
  </si>
  <si>
    <t>Cinmin</t>
  </si>
  <si>
    <t>CinEsrMax</t>
  </si>
  <si>
    <t>Output =</t>
  </si>
  <si>
    <t>Step 1: Operating Specifications</t>
  </si>
  <si>
    <t>°C</t>
  </si>
  <si>
    <r>
      <t>mV</t>
    </r>
    <r>
      <rPr>
        <vertAlign val="subscript"/>
        <sz val="10"/>
        <rFont val="Arial"/>
        <family val="2"/>
      </rPr>
      <t>pk-pk</t>
    </r>
  </si>
  <si>
    <t xml:space="preserve">Input Capacitor ESR </t>
  </si>
  <si>
    <t>About</t>
  </si>
  <si>
    <t>xx</t>
  </si>
  <si>
    <t>Max ESR before ripple exceeds Vripple1</t>
  </si>
  <si>
    <t>Chosen ESR</t>
  </si>
  <si>
    <t>Input capacitance series resistance (ESR)</t>
  </si>
  <si>
    <r>
      <t>VIN</t>
    </r>
    <r>
      <rPr>
        <vertAlign val="subscript"/>
        <sz val="10"/>
        <rFont val="Arial"/>
        <family val="2"/>
      </rPr>
      <t>UVLO_ON</t>
    </r>
  </si>
  <si>
    <t>Rising UVLO/EN Threshold</t>
  </si>
  <si>
    <t>Falling UVLO/EN Threshold</t>
  </si>
  <si>
    <t>kΩ</t>
  </si>
  <si>
    <r>
      <t>VIN</t>
    </r>
    <r>
      <rPr>
        <vertAlign val="subscript"/>
        <sz val="10"/>
        <rFont val="Arial"/>
        <family val="2"/>
      </rPr>
      <t>UVLO_ON_ACTUAL</t>
    </r>
  </si>
  <si>
    <r>
      <t>VIN</t>
    </r>
    <r>
      <rPr>
        <vertAlign val="subscript"/>
        <sz val="10"/>
        <rFont val="Arial"/>
        <family val="2"/>
      </rPr>
      <t>UVLO_OFF_ACTUAL</t>
    </r>
  </si>
  <si>
    <t>Size</t>
  </si>
  <si>
    <t>MFR</t>
  </si>
  <si>
    <t>Std</t>
  </si>
  <si>
    <t>0603</t>
  </si>
  <si>
    <r>
      <t>C</t>
    </r>
    <r>
      <rPr>
        <vertAlign val="subscript"/>
        <sz val="10"/>
        <rFont val="Arial"/>
        <family val="2"/>
      </rPr>
      <t>IN</t>
    </r>
  </si>
  <si>
    <r>
      <t>C</t>
    </r>
    <r>
      <rPr>
        <vertAlign val="subscript"/>
        <sz val="10"/>
        <rFont val="Arial"/>
        <family val="2"/>
      </rPr>
      <t>OUT</t>
    </r>
  </si>
  <si>
    <t>Ref Des</t>
  </si>
  <si>
    <t>Count</t>
  </si>
  <si>
    <t>Various</t>
  </si>
  <si>
    <t>-</t>
  </si>
  <si>
    <r>
      <t>R</t>
    </r>
    <r>
      <rPr>
        <vertAlign val="subscript"/>
        <sz val="10"/>
        <rFont val="Arial"/>
        <family val="2"/>
      </rPr>
      <t>UV1</t>
    </r>
  </si>
  <si>
    <r>
      <t>R</t>
    </r>
    <r>
      <rPr>
        <vertAlign val="subscript"/>
        <sz val="10"/>
        <rFont val="Arial"/>
        <family val="2"/>
      </rPr>
      <t>UV2</t>
    </r>
  </si>
  <si>
    <r>
      <t>U</t>
    </r>
    <r>
      <rPr>
        <b/>
        <vertAlign val="subscript"/>
        <sz val="10"/>
        <rFont val="Arial"/>
        <family val="2"/>
      </rPr>
      <t>1</t>
    </r>
  </si>
  <si>
    <t>Rpgood</t>
  </si>
  <si>
    <t>Ruv1</t>
  </si>
  <si>
    <t>Ruv2</t>
  </si>
  <si>
    <t># of input caps</t>
  </si>
  <si>
    <t>Capacitance per component (Cin)</t>
  </si>
  <si>
    <t>Capacitance per component (Cout)</t>
  </si>
  <si>
    <t># of output caps</t>
  </si>
  <si>
    <t>Ω</t>
  </si>
  <si>
    <r>
      <rPr>
        <b/>
        <u/>
        <sz val="10"/>
        <rFont val="Arial"/>
        <family val="2"/>
      </rPr>
      <t>NOTES</t>
    </r>
    <r>
      <rPr>
        <b/>
        <sz val="10"/>
        <rFont val="Arial"/>
        <family val="2"/>
      </rPr>
      <t>:</t>
    </r>
  </si>
  <si>
    <t>%/°C</t>
  </si>
  <si>
    <t>Rt</t>
  </si>
  <si>
    <r>
      <t>Output Capacitance, C</t>
    </r>
    <r>
      <rPr>
        <b/>
        <vertAlign val="subscript"/>
        <sz val="10"/>
        <rFont val="Arial"/>
        <family val="2"/>
      </rPr>
      <t>OUT</t>
    </r>
    <r>
      <rPr>
        <b/>
        <sz val="10"/>
        <rFont val="Arial"/>
        <family val="2"/>
      </rPr>
      <t xml:space="preserve"> </t>
    </r>
  </si>
  <si>
    <r>
      <t>Input Capacitance, C</t>
    </r>
    <r>
      <rPr>
        <b/>
        <vertAlign val="subscript"/>
        <sz val="10"/>
        <color theme="1"/>
        <rFont val="Arial"/>
        <family val="2"/>
      </rPr>
      <t>IN</t>
    </r>
    <r>
      <rPr>
        <b/>
        <sz val="10"/>
        <color theme="1"/>
        <rFont val="Arial"/>
        <family val="2"/>
      </rPr>
      <t xml:space="preserve"> </t>
    </r>
  </si>
  <si>
    <r>
      <t>Soft-Start Capacitance, C</t>
    </r>
    <r>
      <rPr>
        <vertAlign val="subscript"/>
        <sz val="10"/>
        <rFont val="Arial"/>
        <family val="2"/>
      </rPr>
      <t>SS</t>
    </r>
    <r>
      <rPr>
        <sz val="10"/>
        <rFont val="Arial"/>
        <family val="2"/>
      </rPr>
      <t xml:space="preserve"> </t>
    </r>
  </si>
  <si>
    <t>VIN_nom</t>
  </si>
  <si>
    <t>VIN_max</t>
  </si>
  <si>
    <t>VIN_min</t>
  </si>
  <si>
    <t>Minimum input voltage</t>
  </si>
  <si>
    <t>Maximum input voltage</t>
  </si>
  <si>
    <t>Voltage Hysteresis</t>
  </si>
  <si>
    <t>mV</t>
  </si>
  <si>
    <t>Don_Vinmin</t>
  </si>
  <si>
    <t>Don_Vinmax</t>
  </si>
  <si>
    <t>Pout</t>
  </si>
  <si>
    <t>Iin_Vinmin</t>
  </si>
  <si>
    <t>Iin_Vinnom</t>
  </si>
  <si>
    <t>Iin_Vinmax</t>
  </si>
  <si>
    <t>Pin</t>
  </si>
  <si>
    <t>Don_Vinnom</t>
  </si>
  <si>
    <t>Output power</t>
  </si>
  <si>
    <t>Input currents at min, nom, max Vin</t>
  </si>
  <si>
    <t>Cslope_ideal</t>
  </si>
  <si>
    <t>mΩ</t>
  </si>
  <si>
    <t>Rshunt</t>
  </si>
  <si>
    <t>Output Cap RMS current</t>
  </si>
  <si>
    <t>Icoutrms_VINmin</t>
  </si>
  <si>
    <t>Icoutrms_VINnom</t>
  </si>
  <si>
    <t>Icoutrms_VINmax</t>
  </si>
  <si>
    <t>Chosen Output Capacitance</t>
  </si>
  <si>
    <t>Rout</t>
  </si>
  <si>
    <t>Load resistance</t>
  </si>
  <si>
    <t>p</t>
  </si>
  <si>
    <t>EXCEL Variables Names/Calculations</t>
  </si>
  <si>
    <t>IC Power Disipation</t>
  </si>
  <si>
    <t>Iteration</t>
  </si>
  <si>
    <t>Output Ripple Spec (pk-pk)</t>
  </si>
  <si>
    <t>Estimate of efficiency</t>
  </si>
  <si>
    <t>Soft-start time</t>
  </si>
  <si>
    <r>
      <rPr>
        <sz val="10"/>
        <rFont val="Calibri"/>
        <family val="2"/>
      </rPr>
      <t>θ</t>
    </r>
    <r>
      <rPr>
        <vertAlign val="subscript"/>
        <sz val="10"/>
        <rFont val="Arial"/>
        <family val="2"/>
      </rPr>
      <t>CA</t>
    </r>
  </si>
  <si>
    <t>Input Capacitor ESR</t>
  </si>
  <si>
    <t>RESULTS</t>
  </si>
  <si>
    <t>Reported Cinmin</t>
  </si>
  <si>
    <t>Reported Cout ESR max</t>
  </si>
  <si>
    <t>Reported Cin ESR max</t>
  </si>
  <si>
    <t>Full-load efficiency</t>
  </si>
  <si>
    <t>sec</t>
  </si>
  <si>
    <t>Toff_Vinmax</t>
  </si>
  <si>
    <t>Ton_Vinmin</t>
  </si>
  <si>
    <t>VIN range</t>
  </si>
  <si>
    <t>Current Limit</t>
  </si>
  <si>
    <t>Miscellaneous</t>
  </si>
  <si>
    <t>Inductor</t>
  </si>
  <si>
    <t xml:space="preserve">High-side MOSFET Losses </t>
  </si>
  <si>
    <t xml:space="preserve">Low-side MOSFET Losses </t>
  </si>
  <si>
    <t>Diode</t>
  </si>
  <si>
    <t>Iout (A)</t>
  </si>
  <si>
    <t>Ripple Current pk-pk (A)</t>
  </si>
  <si>
    <t>Off Time (sec)</t>
  </si>
  <si>
    <t>Switching Frequency (Hz)</t>
  </si>
  <si>
    <t>Active Mode Duration (sec)</t>
  </si>
  <si>
    <t>Sleep Mode Duration (sec)</t>
  </si>
  <si>
    <t>Irms (A)</t>
  </si>
  <si>
    <t>Inductor DCR Loss @ 25°C (W)</t>
  </si>
  <si>
    <t>Inductor Core Loss  (W)</t>
  </si>
  <si>
    <t>Total Inductor Loss (W)</t>
  </si>
  <si>
    <t>Cout ESR Loss (W)</t>
  </si>
  <si>
    <t>Total Cout Loss (W)</t>
  </si>
  <si>
    <t>Cin ESR Loss (W)</t>
  </si>
  <si>
    <t>Total Cin Loss (W)</t>
  </si>
  <si>
    <t>Rdson HS Loss @ 25°C (W)</t>
  </si>
  <si>
    <t xml:space="preserve">HS Gate Qg Loss (W)     </t>
  </si>
  <si>
    <t>HS Switching  Loss (W)</t>
  </si>
  <si>
    <t>Coss Loss (W)</t>
  </si>
  <si>
    <t>Total HS FET Loss (W)</t>
  </si>
  <si>
    <t>Rdson LS Loss @ 25°C (W)</t>
  </si>
  <si>
    <t>LS Gate Qg Loss (W)</t>
  </si>
  <si>
    <t>Reverse Recovery &amp; Leakage Losses</t>
  </si>
  <si>
    <t>DeadTime Loss @ 25°C (W)</t>
  </si>
  <si>
    <t>Total LS FET Loss (W)</t>
  </si>
  <si>
    <t>Quiescent Loss (W)</t>
  </si>
  <si>
    <t>LDO + Quiescent Loss (W)</t>
  </si>
  <si>
    <t>Total Gate Drive Loss (W)</t>
  </si>
  <si>
    <t>Total Power Loss in IC (W)</t>
  </si>
  <si>
    <t>Total Converter Power Loss (W)</t>
  </si>
  <si>
    <t>Pout (W)</t>
  </si>
  <si>
    <t>EFF (%)</t>
  </si>
  <si>
    <t>High-side MOSFET Rdson %</t>
  </si>
  <si>
    <t>Low-side MOSFET Rdson %</t>
  </si>
  <si>
    <t>Gate Drive (Qg) Loss from Vin %</t>
  </si>
  <si>
    <t>High-side MOSFET Switching Loss %</t>
  </si>
  <si>
    <t>Reverse Recovery &amp; Leakage Loss %</t>
  </si>
  <si>
    <t>Deadtime Loss %</t>
  </si>
  <si>
    <t>Inductor Cu Loss %</t>
  </si>
  <si>
    <t>Inductor Core Loss %</t>
  </si>
  <si>
    <t>Cin Cout ESR %</t>
  </si>
  <si>
    <t>Quiescent Current Loss %</t>
  </si>
  <si>
    <t>Total Loss %</t>
  </si>
  <si>
    <t>Overall Eff</t>
  </si>
  <si>
    <t>Current (mA)</t>
  </si>
  <si>
    <t>Keep for "previous" data series</t>
  </si>
  <si>
    <t>Frequency (kHz)</t>
  </si>
  <si>
    <t>Coss</t>
  </si>
  <si>
    <t>Iout(max)</t>
  </si>
  <si>
    <r>
      <rPr>
        <sz val="10"/>
        <rFont val="Arial"/>
        <family val="2"/>
      </rPr>
      <t>k</t>
    </r>
    <r>
      <rPr>
        <sz val="10"/>
        <rFont val="Symbol"/>
        <family val="1"/>
        <charset val="2"/>
      </rPr>
      <t>W</t>
    </r>
  </si>
  <si>
    <t>Tamb</t>
  </si>
  <si>
    <t>Ambient temperature</t>
  </si>
  <si>
    <t>VDD</t>
  </si>
  <si>
    <t>On-Time</t>
  </si>
  <si>
    <t>µs</t>
  </si>
  <si>
    <t>On Time - fixed</t>
  </si>
  <si>
    <t>Off Time</t>
  </si>
  <si>
    <t>Off Time - depends on Vout, L, Iout, DCR, etc.</t>
  </si>
  <si>
    <r>
      <rPr>
        <sz val="10"/>
        <rFont val="Symbol"/>
        <family val="1"/>
        <charset val="2"/>
      </rPr>
      <t>D</t>
    </r>
    <r>
      <rPr>
        <sz val="10"/>
        <rFont val="Arial"/>
        <family val="2"/>
      </rPr>
      <t>I</t>
    </r>
    <r>
      <rPr>
        <vertAlign val="subscript"/>
        <sz val="10"/>
        <rFont val="Arial"/>
        <family val="2"/>
      </rPr>
      <t>L</t>
    </r>
  </si>
  <si>
    <t>Inductor pk-pk ripple current in CCM</t>
  </si>
  <si>
    <t>CCM Freq</t>
  </si>
  <si>
    <t>Frequency in CCM</t>
  </si>
  <si>
    <t>Switch rise time</t>
  </si>
  <si>
    <t>Switch fall time</t>
  </si>
  <si>
    <t>Filter inductance</t>
  </si>
  <si>
    <r>
      <rPr>
        <sz val="10"/>
        <rFont val="Arial"/>
        <family val="2"/>
      </rPr>
      <t>m</t>
    </r>
    <r>
      <rPr>
        <sz val="10"/>
        <rFont val="Symbol"/>
        <family val="1"/>
        <charset val="2"/>
      </rPr>
      <t>W</t>
    </r>
  </si>
  <si>
    <t>Kcore</t>
  </si>
  <si>
    <t>RCinESR</t>
  </si>
  <si>
    <t>Input capacitor ESR</t>
  </si>
  <si>
    <t>Output capacitance</t>
  </si>
  <si>
    <t>RCoutESR</t>
  </si>
  <si>
    <t>Output capacitor ESR</t>
  </si>
  <si>
    <t>µA</t>
  </si>
  <si>
    <t>FOM</t>
  </si>
  <si>
    <r>
      <t>m</t>
    </r>
    <r>
      <rPr>
        <sz val="10"/>
        <rFont val="Times New Roman"/>
        <family val="1"/>
      </rPr>
      <t>Ω*</t>
    </r>
    <r>
      <rPr>
        <sz val="10"/>
        <rFont val="Arial"/>
        <family val="2"/>
      </rPr>
      <t>nC</t>
    </r>
  </si>
  <si>
    <t>BDserR</t>
  </si>
  <si>
    <t>Series resistance of body diode</t>
  </si>
  <si>
    <t>Reverse recovery charge of body diode at 100mA</t>
  </si>
  <si>
    <t>Reverse recovery time of body diode (not used)</t>
  </si>
  <si>
    <t>μA</t>
  </si>
  <si>
    <t>Leakage current of low-side device</t>
  </si>
  <si>
    <t>Eff (%)</t>
  </si>
  <si>
    <t>Iout (mA)</t>
  </si>
  <si>
    <t>min_I</t>
  </si>
  <si>
    <t>max_I</t>
  </si>
  <si>
    <t>100mA</t>
  </si>
  <si>
    <t>rr</t>
  </si>
  <si>
    <t>1mA</t>
  </si>
  <si>
    <t>Overall Eff %</t>
  </si>
  <si>
    <t>Total Inductor Loss (mW)</t>
  </si>
  <si>
    <t>Total Power Loss in IC (mW)</t>
  </si>
  <si>
    <t>LDO + Quiescent Loss (mW)</t>
  </si>
  <si>
    <t>Vdd</t>
  </si>
  <si>
    <t>MODE</t>
  </si>
  <si>
    <t>MODE_ILIM</t>
  </si>
  <si>
    <t>MODE_SS</t>
  </si>
  <si>
    <t>COT / PFM Overall Eff</t>
  </si>
  <si>
    <t>COT / PFM Total Inductor Loss (mW)</t>
  </si>
  <si>
    <t>COT / PFM LDO + Quiescent Loss (mW)</t>
  </si>
  <si>
    <t>Soft-Start Configuration</t>
  </si>
  <si>
    <t>mW</t>
  </si>
  <si>
    <r>
      <t>VIN</t>
    </r>
    <r>
      <rPr>
        <vertAlign val="subscript"/>
        <sz val="10"/>
        <rFont val="Arial"/>
        <family val="2"/>
      </rPr>
      <t>UVLO_OFF</t>
    </r>
  </si>
  <si>
    <t>Rhys</t>
  </si>
  <si>
    <t>Soft Start</t>
  </si>
  <si>
    <t>PLOT_TYPE</t>
  </si>
  <si>
    <t>FB resistor ref des shown or not?</t>
  </si>
  <si>
    <t>SHORT_ILIM</t>
  </si>
  <si>
    <t>ILIM pin shorted if 240mA selected</t>
  </si>
  <si>
    <t>ILIM resistor needed (60/120/180mA)</t>
  </si>
  <si>
    <t>Show Rt resistor ref des?</t>
  </si>
  <si>
    <t>Input UVLO Configuration</t>
  </si>
  <si>
    <t>MODE_UVLO</t>
  </si>
  <si>
    <t>Adjustable UVLO?</t>
  </si>
  <si>
    <t>Soft-start current</t>
  </si>
  <si>
    <t>10% load efficiency</t>
  </si>
  <si>
    <t>Required soft-start cap</t>
  </si>
  <si>
    <t>User selected SS cap</t>
  </si>
  <si>
    <t>100kΩ</t>
  </si>
  <si>
    <t>1% load efficiency</t>
  </si>
  <si>
    <t>linear scale only</t>
  </si>
  <si>
    <t>log scale only</t>
  </si>
  <si>
    <t xml:space="preserve">Minimum Input Capacitance </t>
  </si>
  <si>
    <t>Terms Of Use</t>
  </si>
  <si>
    <r>
      <rPr>
        <b/>
        <sz val="10"/>
        <rFont val="Arial"/>
        <family val="2"/>
      </rPr>
      <t>Iout</t>
    </r>
    <r>
      <rPr>
        <sz val="10"/>
        <rFont val="Arial"/>
        <family val="2"/>
      </rPr>
      <t xml:space="preserve"> Linear Axis</t>
    </r>
  </si>
  <si>
    <r>
      <rPr>
        <b/>
        <sz val="10"/>
        <rFont val="Arial"/>
        <family val="2"/>
      </rPr>
      <t>Iout</t>
    </r>
    <r>
      <rPr>
        <sz val="10"/>
        <rFont val="Arial"/>
        <family val="2"/>
      </rPr>
      <t xml:space="preserve"> Log Axis</t>
    </r>
  </si>
  <si>
    <t>UVLO</t>
  </si>
  <si>
    <t>n</t>
  </si>
  <si>
    <r>
      <t>Pk-to-Pk Ripple Current at V</t>
    </r>
    <r>
      <rPr>
        <vertAlign val="subscript"/>
        <sz val="10"/>
        <rFont val="Arial"/>
        <family val="2"/>
      </rPr>
      <t>IN(nom)</t>
    </r>
    <r>
      <rPr>
        <sz val="10"/>
        <rFont val="Arial"/>
        <family val="2"/>
      </rPr>
      <t xml:space="preserve">, </t>
    </r>
    <r>
      <rPr>
        <sz val="10"/>
        <rFont val="Symbol"/>
        <family val="1"/>
        <charset val="2"/>
      </rPr>
      <t>D</t>
    </r>
    <r>
      <rPr>
        <sz val="10"/>
        <rFont val="Arial"/>
        <family val="2"/>
      </rPr>
      <t>IL</t>
    </r>
  </si>
  <si>
    <t>SW Fall Time (ns)</t>
  </si>
  <si>
    <t>Peak Current (A)</t>
  </si>
  <si>
    <t>Valley Current (A)</t>
  </si>
  <si>
    <t>SW Rise Time (ns)</t>
  </si>
  <si>
    <t>Csw</t>
  </si>
  <si>
    <t>Capacitance (Coss)</t>
  </si>
  <si>
    <t>Operating Quiescent Current (A)</t>
  </si>
  <si>
    <t>6.3V</t>
  </si>
  <si>
    <t>10V</t>
  </si>
  <si>
    <t>16V</t>
  </si>
  <si>
    <t>25V</t>
  </si>
  <si>
    <t>Cout Voltage Rating</t>
  </si>
  <si>
    <t>Vout&lt;=5V</t>
  </si>
  <si>
    <t>Vout&lt;=20V</t>
  </si>
  <si>
    <t>Vout&lt;=8V</t>
  </si>
  <si>
    <t>Vout&lt;=12V</t>
  </si>
  <si>
    <t>50V</t>
  </si>
  <si>
    <t>Vout&gt;20V</t>
  </si>
  <si>
    <t>BOM display</t>
  </si>
  <si>
    <t>COT / PFM Total Power Loss in IC (mW)</t>
  </si>
  <si>
    <t>0402</t>
  </si>
  <si>
    <t>0805</t>
  </si>
  <si>
    <t>1206</t>
  </si>
  <si>
    <t>1210</t>
  </si>
  <si>
    <t>Component Size</t>
  </si>
  <si>
    <t>Footprint (mm)</t>
  </si>
  <si>
    <t>1.0 x 0.5</t>
  </si>
  <si>
    <t>6mm x 6mm</t>
  </si>
  <si>
    <t>7mm x 7mm</t>
  </si>
  <si>
    <t>3.2 x 1.6</t>
  </si>
  <si>
    <t>1.6 x 0.8</t>
  </si>
  <si>
    <t>2.0 x 1.25</t>
  </si>
  <si>
    <t>3.2 x 2.5</t>
  </si>
  <si>
    <r>
      <t>Area (mm</t>
    </r>
    <r>
      <rPr>
        <b/>
        <vertAlign val="superscript"/>
        <sz val="10"/>
        <color theme="0"/>
        <rFont val="Arial"/>
        <family val="2"/>
      </rPr>
      <t>2</t>
    </r>
    <r>
      <rPr>
        <b/>
        <sz val="10"/>
        <color theme="0"/>
        <rFont val="Arial"/>
        <family val="2"/>
      </rPr>
      <t>)</t>
    </r>
  </si>
  <si>
    <t>TI</t>
  </si>
  <si>
    <r>
      <t>in</t>
    </r>
    <r>
      <rPr>
        <b/>
        <vertAlign val="superscript"/>
        <sz val="12"/>
        <color rgb="FFFF0000"/>
        <rFont val="Arial"/>
        <family val="2"/>
      </rPr>
      <t>2</t>
    </r>
  </si>
  <si>
    <t>Total Solution Size (buffered by 25%)</t>
  </si>
  <si>
    <r>
      <t>mm</t>
    </r>
    <r>
      <rPr>
        <b/>
        <vertAlign val="superscript"/>
        <sz val="12"/>
        <color rgb="FFFF0000"/>
        <rFont val="Arial"/>
        <family val="2"/>
      </rPr>
      <t>2</t>
    </r>
    <r>
      <rPr>
        <b/>
        <sz val="12"/>
        <color rgb="FFFF0000"/>
        <rFont val="Arial"/>
        <family val="2"/>
      </rPr>
      <t xml:space="preserve">  =</t>
    </r>
  </si>
  <si>
    <t>Std Value Lower Feedback Resistance</t>
  </si>
  <si>
    <t>Step 2: Flyback Transformer</t>
  </si>
  <si>
    <t>SINGLE/DUAL OUTPUT</t>
  </si>
  <si>
    <t>SINGLE</t>
  </si>
  <si>
    <t>DUAL</t>
  </si>
  <si>
    <t>YES</t>
  </si>
  <si>
    <t>NO</t>
  </si>
  <si>
    <t>Single Output or Dual Outputs</t>
  </si>
  <si>
    <r>
      <t>Input Voltage – Min, V</t>
    </r>
    <r>
      <rPr>
        <b/>
        <vertAlign val="subscript"/>
        <sz val="10"/>
        <color theme="1"/>
        <rFont val="Arial"/>
        <family val="2"/>
      </rPr>
      <t>IN(min)</t>
    </r>
    <r>
      <rPr>
        <b/>
        <sz val="10"/>
        <color theme="1"/>
        <rFont val="Arial"/>
        <family val="2"/>
      </rPr>
      <t xml:space="preserve"> </t>
    </r>
  </si>
  <si>
    <r>
      <t>Input Voltage – Max, V</t>
    </r>
    <r>
      <rPr>
        <b/>
        <vertAlign val="subscript"/>
        <sz val="10"/>
        <color theme="1"/>
        <rFont val="Arial"/>
        <family val="2"/>
      </rPr>
      <t>IN(max)</t>
    </r>
  </si>
  <si>
    <r>
      <t>Selected Feedback Resistor, R</t>
    </r>
    <r>
      <rPr>
        <b/>
        <vertAlign val="subscript"/>
        <sz val="10"/>
        <rFont val="Arial"/>
        <family val="2"/>
      </rPr>
      <t>FB</t>
    </r>
  </si>
  <si>
    <t>Recommended Feedback Resistor</t>
  </si>
  <si>
    <t>Current Hysteresis</t>
  </si>
  <si>
    <t>Current after UVLO (rising)</t>
  </si>
  <si>
    <t>Current before UVLO (rising)</t>
  </si>
  <si>
    <t>Show TC resistor ref des?</t>
  </si>
  <si>
    <t>TC YES/NO</t>
  </si>
  <si>
    <t>MODE_TC</t>
  </si>
  <si>
    <t>Rtc</t>
  </si>
  <si>
    <t>RSET resistor</t>
  </si>
  <si>
    <t>SS Cap</t>
  </si>
  <si>
    <t>mV/°C</t>
  </si>
  <si>
    <t>VOUT Thermal Compensation</t>
  </si>
  <si>
    <r>
      <t>Thermal Compensation Resistor, R</t>
    </r>
    <r>
      <rPr>
        <vertAlign val="subscript"/>
        <sz val="10"/>
        <rFont val="Arial"/>
        <family val="2"/>
      </rPr>
      <t>TC</t>
    </r>
  </si>
  <si>
    <t>FB resistor</t>
  </si>
  <si>
    <t>Turns Ratio</t>
  </si>
  <si>
    <t>Rdcr_pri</t>
  </si>
  <si>
    <t>Rfb</t>
  </si>
  <si>
    <r>
      <t>Internal P</t>
    </r>
    <r>
      <rPr>
        <vertAlign val="subscript"/>
        <sz val="10"/>
        <rFont val="Arial"/>
        <family val="2"/>
      </rPr>
      <t>DISS</t>
    </r>
    <r>
      <rPr>
        <sz val="10"/>
        <rFont val="Arial"/>
        <family val="2"/>
      </rPr>
      <t xml:space="preserve"> at Full Load</t>
    </r>
  </si>
  <si>
    <t>Turns_Ratio</t>
  </si>
  <si>
    <t>Transformer Turns Ratio</t>
  </si>
  <si>
    <t>Schematic variable defined:</t>
  </si>
  <si>
    <t>Flyback MOSFET</t>
  </si>
  <si>
    <t>Rdson</t>
  </si>
  <si>
    <t>Qg</t>
  </si>
  <si>
    <t>Converter</t>
  </si>
  <si>
    <t>Gate charge of MOSFET @ VDD</t>
  </si>
  <si>
    <t>Drain-source resistance of MOSFET @ VDD, 25°C</t>
  </si>
  <si>
    <t>Flyback Diode</t>
  </si>
  <si>
    <t>Peak switch current</t>
  </si>
  <si>
    <t>Isw_max</t>
  </si>
  <si>
    <t>Qrr_Dfly</t>
  </si>
  <si>
    <t>Trr_Dfly</t>
  </si>
  <si>
    <t>Pout-max (W)</t>
  </si>
  <si>
    <t>Iout-max (A)</t>
  </si>
  <si>
    <t>Pout-max (W) at Vin-nom</t>
  </si>
  <si>
    <t>Iout-max (A) at Vin-nom</t>
  </si>
  <si>
    <t>Vsw-max (V) at Vin-nom</t>
  </si>
  <si>
    <t>Isw_min</t>
  </si>
  <si>
    <t>Min peak switch current</t>
  </si>
  <si>
    <t>Efficiency estimate</t>
  </si>
  <si>
    <t>Fsw_max</t>
  </si>
  <si>
    <t>Max Fsw</t>
  </si>
  <si>
    <t>Vin (V)</t>
  </si>
  <si>
    <t>Vsw-max (V)</t>
  </si>
  <si>
    <t>Isw (A)</t>
  </si>
  <si>
    <t>Ton-BCM (us)</t>
  </si>
  <si>
    <t>Toff-BCM (us)</t>
  </si>
  <si>
    <t>Ipri-min-BCM (A)</t>
  </si>
  <si>
    <t>Vout-Reflected (V)</t>
  </si>
  <si>
    <t>Fsw-BCM (kHz) at Iout-max</t>
  </si>
  <si>
    <t>Fsw-max-BCM (kHz)</t>
  </si>
  <si>
    <t>Voltages</t>
  </si>
  <si>
    <t>Toff-min-BCM (us)</t>
  </si>
  <si>
    <t>Iout-min-BCM (A)</t>
  </si>
  <si>
    <t>Toff-FFB (us)</t>
  </si>
  <si>
    <t xml:space="preserve">Fsw-BCM (kHz) </t>
  </si>
  <si>
    <t>Fsw-FFB (kHz)</t>
  </si>
  <si>
    <t>Iout-max-FFB (A)</t>
  </si>
  <si>
    <t>Fsw_DCM</t>
  </si>
  <si>
    <t>Ipri-DCM (A)</t>
  </si>
  <si>
    <t>Ipri (A)</t>
  </si>
  <si>
    <t>COMP (V)</t>
  </si>
  <si>
    <t>Fsw (kHz)</t>
  </si>
  <si>
    <t>Vout-actual (V)</t>
  </si>
  <si>
    <t>VIN-min</t>
  </si>
  <si>
    <t>VIN-max</t>
  </si>
  <si>
    <t>Vout_ripple</t>
  </si>
  <si>
    <t>Actual Output Ripple</t>
  </si>
  <si>
    <t>Ton at Full Load, Vin-nom</t>
  </si>
  <si>
    <t>Input voltage ripple spec (pk-pk) at Vin(nom) = 5%</t>
  </si>
  <si>
    <t>Input voltage ripple - Vinripple2</t>
  </si>
  <si>
    <t>Input current, full load, Vin(nom)</t>
  </si>
  <si>
    <t>Toff, Vin(nom)</t>
  </si>
  <si>
    <t>mVpk-pk</t>
  </si>
  <si>
    <t>Vpk-pk</t>
  </si>
  <si>
    <t>Peak primary current, full load, Vin(nom)</t>
  </si>
  <si>
    <t>Vinripple2</t>
  </si>
  <si>
    <t>Nps</t>
  </si>
  <si>
    <t>Rdcr_sec</t>
  </si>
  <si>
    <t>Rdcr_sec2</t>
  </si>
  <si>
    <t>Primary winding DCR</t>
  </si>
  <si>
    <t>Secondary winding DCR</t>
  </si>
  <si>
    <t>Chosen mag inductance</t>
  </si>
  <si>
    <t>Transformer Size</t>
  </si>
  <si>
    <t>1% Vout ripple spec</t>
  </si>
  <si>
    <t>Calculate input power assuming initial efficiency estimate</t>
  </si>
  <si>
    <t>Ipri-rms (A)</t>
  </si>
  <si>
    <t>Isec-rms (A)</t>
  </si>
  <si>
    <t>PCu-pri (W)</t>
  </si>
  <si>
    <t>PCu-sec (W)</t>
  </si>
  <si>
    <t>On/Off Times and Eff Duty Cycle</t>
  </si>
  <si>
    <t>Ton (µs)</t>
  </si>
  <si>
    <t>Toff (µs)</t>
  </si>
  <si>
    <t>Toff-FFB (µs)</t>
  </si>
  <si>
    <t>Toff-min-BCM (µs)</t>
  </si>
  <si>
    <t>Toff-BCM (µs)</t>
  </si>
  <si>
    <t>Ton-BCM (µs)</t>
  </si>
  <si>
    <t>Tsw (µs)</t>
  </si>
  <si>
    <t>Core Loss (W)</t>
  </si>
  <si>
    <t>P-FET-Coss (W)</t>
  </si>
  <si>
    <t>Cin / Cout</t>
  </si>
  <si>
    <t>RMS Currents</t>
  </si>
  <si>
    <t>Effective SW node capacitance (Ctr + Cdiode_refl)</t>
  </si>
  <si>
    <t>P-FET-Qg (W)</t>
  </si>
  <si>
    <t>P-FET-Cond (W)</t>
  </si>
  <si>
    <t>P-FET-Sw (W)</t>
  </si>
  <si>
    <t>P-Diode-Cond (W)</t>
  </si>
  <si>
    <t>P-Diode-Leak (W)</t>
  </si>
  <si>
    <r>
      <t>P-I</t>
    </r>
    <r>
      <rPr>
        <b/>
        <vertAlign val="subscript"/>
        <sz val="10"/>
        <rFont val="Arial"/>
        <family val="2"/>
      </rPr>
      <t>Q</t>
    </r>
    <r>
      <rPr>
        <b/>
        <sz val="10"/>
        <rFont val="Arial"/>
        <family val="2"/>
      </rPr>
      <t xml:space="preserve"> (W)</t>
    </r>
  </si>
  <si>
    <t>Core loss constant - consult transformer vendor</t>
  </si>
  <si>
    <t>Transformer primary winding DCR at 25°C</t>
  </si>
  <si>
    <t>Cout (µF) for 1% ripple</t>
  </si>
  <si>
    <t>P-Loss-Total (W)</t>
  </si>
  <si>
    <t>P-Diode-Snubber (W)</t>
  </si>
  <si>
    <t>P-LeakL-Clamp/Snub (W)</t>
  </si>
  <si>
    <t>Efficiency (%)</t>
  </si>
  <si>
    <t>P-Trans-Total (W)</t>
  </si>
  <si>
    <t>P-Diode-Total (W)</t>
  </si>
  <si>
    <t>I_LEAK</t>
  </si>
  <si>
    <t>Flyback Diode Loss</t>
  </si>
  <si>
    <t>Transformer Loss</t>
  </si>
  <si>
    <t>P-IC-Total (mW)</t>
  </si>
  <si>
    <t>Half-load efficiency</t>
  </si>
  <si>
    <t>IC Loss</t>
  </si>
  <si>
    <t>Nps1</t>
  </si>
  <si>
    <t>Nps2</t>
  </si>
  <si>
    <t xml:space="preserve">Resulting Input Voltage Ripple </t>
  </si>
  <si>
    <t>Check Iout-max</t>
  </si>
  <si>
    <t>Iout2</t>
  </si>
  <si>
    <t>Rout2</t>
  </si>
  <si>
    <t>Pout2</t>
  </si>
  <si>
    <t>Load resistance #2</t>
  </si>
  <si>
    <t>Output power #2</t>
  </si>
  <si>
    <t xml:space="preserve">Total Output Power </t>
  </si>
  <si>
    <t>Total power</t>
  </si>
  <si>
    <r>
      <t>Ambient Temperature, T</t>
    </r>
    <r>
      <rPr>
        <b/>
        <vertAlign val="subscript"/>
        <sz val="10"/>
        <rFont val="Arial"/>
        <family val="2"/>
      </rPr>
      <t>A</t>
    </r>
  </si>
  <si>
    <t>BIPOLAR</t>
  </si>
  <si>
    <t>Vinripple1 - Input ripple spec</t>
  </si>
  <si>
    <t>OUTPUT CURRENT #2 - BIPOLAR</t>
  </si>
  <si>
    <t>OUTPUT CURRENT #2 - DUAL</t>
  </si>
  <si>
    <t>Output Cap(s)</t>
  </si>
  <si>
    <t>Input Cap(s)</t>
  </si>
  <si>
    <t>Diode Ref Des</t>
  </si>
  <si>
    <r>
      <t>D</t>
    </r>
    <r>
      <rPr>
        <vertAlign val="subscript"/>
        <sz val="10"/>
        <rFont val="Arial"/>
        <family val="2"/>
      </rPr>
      <t>FLY1</t>
    </r>
  </si>
  <si>
    <t>Cin (µF) for 5% ripple</t>
  </si>
  <si>
    <t>Calculations are performed at Vin(nom), Vin(min) and Vin(max) below</t>
  </si>
  <si>
    <r>
      <t>R</t>
    </r>
    <r>
      <rPr>
        <vertAlign val="subscript"/>
        <sz val="10"/>
        <rFont val="Arial"/>
        <family val="2"/>
      </rPr>
      <t>TC</t>
    </r>
  </si>
  <si>
    <t>Feedback Resistance - chosen by user</t>
  </si>
  <si>
    <t>Step 8: FB and TC Resistors</t>
  </si>
  <si>
    <t>Selected Rfb</t>
  </si>
  <si>
    <t>Feedback Resistance - recommneded to user</t>
  </si>
  <si>
    <t>Diode TC</t>
  </si>
  <si>
    <t>Standard Value RTC</t>
  </si>
  <si>
    <r>
      <t>T</t>
    </r>
    <r>
      <rPr>
        <vertAlign val="subscript"/>
        <sz val="10"/>
        <rFont val="Arial"/>
        <family val="2"/>
      </rPr>
      <t>1</t>
    </r>
  </si>
  <si>
    <r>
      <t>R</t>
    </r>
    <r>
      <rPr>
        <vertAlign val="subscript"/>
        <sz val="10"/>
        <rFont val="Arial"/>
        <family val="2"/>
      </rPr>
      <t>FB</t>
    </r>
  </si>
  <si>
    <t>Primary Winding DCR</t>
  </si>
  <si>
    <t>FUNCTIONAL</t>
  </si>
  <si>
    <t>BASIC</t>
  </si>
  <si>
    <t>REINFORCED</t>
  </si>
  <si>
    <t>Isolation Grade</t>
  </si>
  <si>
    <t>Output #1</t>
  </si>
  <si>
    <t>Output #2</t>
  </si>
  <si>
    <r>
      <t>Output Capacitance, C</t>
    </r>
    <r>
      <rPr>
        <b/>
        <vertAlign val="subscript"/>
        <sz val="10"/>
        <rFont val="Arial"/>
        <family val="2"/>
      </rPr>
      <t>OUT2</t>
    </r>
    <r>
      <rPr>
        <b/>
        <sz val="10"/>
        <rFont val="Arial"/>
        <family val="2"/>
      </rPr>
      <t xml:space="preserve"> </t>
    </r>
  </si>
  <si>
    <t>Output Capacitor ESR</t>
  </si>
  <si>
    <t>Adjustable</t>
  </si>
  <si>
    <t>Internal</t>
  </si>
  <si>
    <t>Primary winding DCR at hot</t>
  </si>
  <si>
    <t>Secondary winding DCR at hot</t>
  </si>
  <si>
    <t>Secondary winding #2 DCR at hot</t>
  </si>
  <si>
    <t>Temp - Hot</t>
  </si>
  <si>
    <t>Secondary winding #2 DCR</t>
  </si>
  <si>
    <t>Output Ripple Spec (pk-pk) #2</t>
  </si>
  <si>
    <t>Cout2</t>
  </si>
  <si>
    <t>Coutmin2</t>
  </si>
  <si>
    <t>Reported Cout ESR max #2</t>
  </si>
  <si>
    <t>CoutEsr2</t>
  </si>
  <si>
    <t>1% Vout2 ripple spec</t>
  </si>
  <si>
    <t>Vout_ripple2</t>
  </si>
  <si>
    <t>Check min Ton and Toff times</t>
  </si>
  <si>
    <t>Transformer DCR Temp Co</t>
  </si>
  <si>
    <t>Transformer Core-to-Ambient Thermal Resistance</t>
  </si>
  <si>
    <r>
      <t>D</t>
    </r>
    <r>
      <rPr>
        <vertAlign val="subscript"/>
        <sz val="10"/>
        <rFont val="Arial"/>
        <family val="2"/>
      </rPr>
      <t>FLY2</t>
    </r>
    <r>
      <rPr>
        <sz val="11"/>
        <color theme="1"/>
        <rFont val="Arial"/>
        <family val="2"/>
      </rPr>
      <t/>
    </r>
  </si>
  <si>
    <t>EN/UVLO</t>
  </si>
  <si>
    <t>SS/BIAS</t>
  </si>
  <si>
    <t>TC</t>
  </si>
  <si>
    <t>RSET</t>
  </si>
  <si>
    <t>Step 7: UVLO Resistors</t>
  </si>
  <si>
    <t>Step 2: Circuit Configuration for Single/Dual Output, Int/Adj UVLO, Int/Adj SS, Yes/No TC</t>
  </si>
  <si>
    <t>Step 3: Flyback Transformer</t>
  </si>
  <si>
    <t>Step 3: Output Capacitor(s)</t>
  </si>
  <si>
    <t>DUAL OUTPUT</t>
  </si>
  <si>
    <t>check Ton for dual output…</t>
  </si>
  <si>
    <t>check Vripple variable name…</t>
  </si>
  <si>
    <t>Output voltage</t>
  </si>
  <si>
    <t>Maximum output current #2</t>
  </si>
  <si>
    <t>Output voltage #2</t>
  </si>
  <si>
    <t>DCM switching frequency</t>
  </si>
  <si>
    <t>Feedback resistor</t>
  </si>
  <si>
    <t>Power dissipation</t>
  </si>
  <si>
    <t>check…</t>
  </si>
  <si>
    <t>Turns_Ratio2</t>
  </si>
  <si>
    <t>Single Output or Dual 1st Output</t>
  </si>
  <si>
    <t>SEC1 to SEC2</t>
  </si>
  <si>
    <t>Nsec1sec2</t>
  </si>
  <si>
    <t>Scale</t>
  </si>
  <si>
    <t>PRI : SEC1 : SEC2</t>
  </si>
  <si>
    <t>Turns Ratio, PRI : SEC2</t>
  </si>
  <si>
    <t>TR primary-secondary2 (dual output) = Np/Nsec2</t>
  </si>
  <si>
    <t>TR sec1-sec2 (dual output) = Nsec1/Nsec2</t>
  </si>
  <si>
    <t>Iout2 (A)</t>
  </si>
  <si>
    <t>Iout1 (A)</t>
  </si>
  <si>
    <t>Pout1 (W)</t>
  </si>
  <si>
    <t>Pout2 (W)</t>
  </si>
  <si>
    <t>Iout1-max (A)</t>
  </si>
  <si>
    <t>Iout2-max (A)</t>
  </si>
  <si>
    <t>Vout1-actual (V)</t>
  </si>
  <si>
    <t>Vout1-Reflected (V)</t>
  </si>
  <si>
    <t>Iout1-min-BCM (A)</t>
  </si>
  <si>
    <t>Iout1-max-FFB (A)</t>
  </si>
  <si>
    <t>Turns Ratio, SEC1 : SEC2</t>
  </si>
  <si>
    <t>Pout1-max (W)</t>
  </si>
  <si>
    <t>Cout1 (µF) for 1% ripple</t>
  </si>
  <si>
    <t>Cout2 (µF) for 1% ripple</t>
  </si>
  <si>
    <t>Min 1uF</t>
  </si>
  <si>
    <t>Vripple1_spec</t>
  </si>
  <si>
    <t>Vripple2_actual</t>
  </si>
  <si>
    <t>Vripple1_actual</t>
  </si>
  <si>
    <t>Vripple2_spec</t>
  </si>
  <si>
    <t>Isec2-rms (A)</t>
  </si>
  <si>
    <t>Isec1-rms (A)</t>
  </si>
  <si>
    <t>P-Diode2-Cond (W)</t>
  </si>
  <si>
    <t>P-Diode1-Cond (W)</t>
  </si>
  <si>
    <t>PCu-sec2 (W)</t>
  </si>
  <si>
    <t>PCu-sec1 (W)</t>
  </si>
  <si>
    <t>Iout1 (%)</t>
  </si>
  <si>
    <r>
      <t>Max Output Power at V</t>
    </r>
    <r>
      <rPr>
        <vertAlign val="subscript"/>
        <sz val="10"/>
        <rFont val="Arial"/>
        <family val="2"/>
      </rPr>
      <t>IN(min)</t>
    </r>
  </si>
  <si>
    <t>Pout2-max (W)</t>
  </si>
  <si>
    <t>Max Pout at Vin-min</t>
  </si>
  <si>
    <t>Vout2 - absolute value</t>
  </si>
  <si>
    <t>Vout2 - with polarity</t>
  </si>
  <si>
    <t xml:space="preserve">Diode reverse voltage </t>
  </si>
  <si>
    <t>8mm x 8mm</t>
  </si>
  <si>
    <t>9mm x 9mm</t>
  </si>
  <si>
    <t>10mm x 10mm</t>
  </si>
  <si>
    <t>10mm x 12mm</t>
  </si>
  <si>
    <t>11mm x 13mm</t>
  </si>
  <si>
    <t>10 x 12</t>
  </si>
  <si>
    <t>10 x 10</t>
  </si>
  <si>
    <t>9 x 9</t>
  </si>
  <si>
    <t>8 x 8</t>
  </si>
  <si>
    <t>7 x 7</t>
  </si>
  <si>
    <t>6 x 6</t>
  </si>
  <si>
    <t>11 x 13</t>
  </si>
  <si>
    <r>
      <t>D</t>
    </r>
    <r>
      <rPr>
        <vertAlign val="subscript"/>
        <sz val="10"/>
        <rFont val="Arial"/>
        <family val="2"/>
      </rPr>
      <t>CLAMP</t>
    </r>
  </si>
  <si>
    <t>24V</t>
  </si>
  <si>
    <r>
      <t>C</t>
    </r>
    <r>
      <rPr>
        <vertAlign val="subscript"/>
        <sz val="10"/>
        <rFont val="Arial"/>
        <family val="2"/>
      </rPr>
      <t>OUT2</t>
    </r>
  </si>
  <si>
    <r>
      <t>D</t>
    </r>
    <r>
      <rPr>
        <vertAlign val="subscript"/>
        <sz val="10"/>
        <rFont val="Arial"/>
        <family val="2"/>
      </rPr>
      <t>FLY2</t>
    </r>
  </si>
  <si>
    <r>
      <t>D</t>
    </r>
    <r>
      <rPr>
        <vertAlign val="subscript"/>
        <sz val="10"/>
        <rFont val="Arial"/>
        <family val="2"/>
      </rPr>
      <t>FLY</t>
    </r>
  </si>
  <si>
    <r>
      <t>D</t>
    </r>
    <r>
      <rPr>
        <vertAlign val="subscript"/>
        <sz val="10"/>
        <rFont val="Arial"/>
        <family val="2"/>
      </rPr>
      <t>F</t>
    </r>
    <r>
      <rPr>
        <sz val="11"/>
        <color theme="1"/>
        <rFont val="Arial"/>
        <family val="2"/>
      </rPr>
      <t/>
    </r>
  </si>
  <si>
    <r>
      <t>R</t>
    </r>
    <r>
      <rPr>
        <vertAlign val="subscript"/>
        <sz val="10"/>
        <rFont val="Arial"/>
        <family val="2"/>
      </rPr>
      <t>SET</t>
    </r>
  </si>
  <si>
    <t>SOD323</t>
  </si>
  <si>
    <t>SOD123</t>
  </si>
  <si>
    <t>SMA</t>
  </si>
  <si>
    <t>Footprint</t>
  </si>
  <si>
    <t>Area</t>
  </si>
  <si>
    <t>Diode Size</t>
  </si>
  <si>
    <t>5.0 x 2.5</t>
  </si>
  <si>
    <t>3.6 x 1.8</t>
  </si>
  <si>
    <t>2.5 x 1.25</t>
  </si>
  <si>
    <t>SOD523</t>
  </si>
  <si>
    <t>Flyback Diode - forward current rating</t>
  </si>
  <si>
    <t>Flyback Diode - reverse voltage rating</t>
  </si>
  <si>
    <t>Flyback diode forward voltage at full load</t>
  </si>
  <si>
    <t>Flyback diode forward voltage at no load</t>
  </si>
  <si>
    <t>Vfwd1</t>
  </si>
  <si>
    <t>Vfwd2</t>
  </si>
  <si>
    <t>Transformer secondary winding DCR at 25°C</t>
  </si>
  <si>
    <t>Iout2_actual</t>
  </si>
  <si>
    <t>Maximum output current #1</t>
  </si>
  <si>
    <t>6ms Fixed</t>
  </si>
  <si>
    <t>Iout actual (A)</t>
  </si>
  <si>
    <t>Pout actual (W)</t>
  </si>
  <si>
    <t>Vout actual (V)</t>
  </si>
  <si>
    <t>Ton-diode (µs)</t>
  </si>
  <si>
    <t>Iout-actual</t>
  </si>
  <si>
    <t>Vout-actual -?</t>
  </si>
  <si>
    <t>Pout-actual (W)</t>
  </si>
  <si>
    <t>Vout-calc?</t>
  </si>
  <si>
    <r>
      <t>Duty Cycle at V</t>
    </r>
    <r>
      <rPr>
        <vertAlign val="subscript"/>
        <sz val="10"/>
        <rFont val="Arial"/>
        <family val="2"/>
      </rPr>
      <t>IN(min)</t>
    </r>
  </si>
  <si>
    <t>%</t>
  </si>
  <si>
    <t>Lmin</t>
  </si>
  <si>
    <t>Lleak</t>
  </si>
  <si>
    <t>nH</t>
  </si>
  <si>
    <t>Pri-Sec Leakage Inductance</t>
  </si>
  <si>
    <t>Check Fsw at  Iout-max</t>
  </si>
  <si>
    <t>Check Pout-max at  Iout-max</t>
  </si>
  <si>
    <t>P-Transforer (W)</t>
  </si>
  <si>
    <t>P-Trans-Total (mW)</t>
  </si>
  <si>
    <t>RdsonTC</t>
  </si>
  <si>
    <t>ppm/°C</t>
  </si>
  <si>
    <t>Drain to Source Resistance Temp Co</t>
  </si>
  <si>
    <t>IC thermal impedance</t>
  </si>
  <si>
    <t>ThetaJA</t>
  </si>
  <si>
    <t>P-trans (W)</t>
  </si>
  <si>
    <t>**** Use a flyback diode RC snubber to dampen ringing if needed ****</t>
  </si>
  <si>
    <t>***** Use an output zener to clamp the output at no load *****</t>
  </si>
  <si>
    <t>*** Use a primary-side RC snubber from SW to VIN to dampen leakage inductance spike ***</t>
  </si>
  <si>
    <t>** Appropriately derate the effective input and output capacitances for applied voltage and temperature, particularly with ceramics **</t>
  </si>
  <si>
    <t>ILIM_delay</t>
  </si>
  <si>
    <t>Current lmit comparator delay</t>
  </si>
  <si>
    <t>Lmag</t>
  </si>
  <si>
    <t>Fsw-FFM (kHz)</t>
  </si>
  <si>
    <t xml:space="preserve">  </t>
  </si>
  <si>
    <t>Modulator</t>
  </si>
  <si>
    <t>Power Stage Poles/Zeros</t>
  </si>
  <si>
    <t>Total System</t>
  </si>
  <si>
    <t>V/V</t>
  </si>
  <si>
    <t>Acs</t>
  </si>
  <si>
    <t>A/V</t>
  </si>
  <si>
    <t>gm</t>
  </si>
  <si>
    <t>z_ESR</t>
  </si>
  <si>
    <t>p3</t>
  </si>
  <si>
    <t>Adc</t>
  </si>
  <si>
    <t>EA zero, z1</t>
  </si>
  <si>
    <t>Am</t>
  </si>
  <si>
    <t>p_dom</t>
  </si>
  <si>
    <t>Crossover</t>
  </si>
  <si>
    <t>EA pole, p1</t>
  </si>
  <si>
    <t>Phase Margin</t>
  </si>
  <si>
    <t>°</t>
  </si>
  <si>
    <t>Aea</t>
  </si>
  <si>
    <t>radconv</t>
  </si>
  <si>
    <t>XOVER SEARCH</t>
  </si>
  <si>
    <t>EA pole, p2</t>
  </si>
  <si>
    <t>xover</t>
  </si>
  <si>
    <t>phase margin</t>
  </si>
  <si>
    <t>Freq (Hz)</t>
  </si>
  <si>
    <t>Power Stage</t>
  </si>
  <si>
    <t>Error Amplifier</t>
  </si>
  <si>
    <t>System Response</t>
  </si>
  <si>
    <t>ERROR AMP Response</t>
  </si>
  <si>
    <t>PLANT Response</t>
  </si>
  <si>
    <t>z_RHP</t>
  </si>
  <si>
    <t>p1</t>
  </si>
  <si>
    <t>z1</t>
  </si>
  <si>
    <t>p2</t>
  </si>
  <si>
    <t>Gain(V/V)</t>
  </si>
  <si>
    <t>Phase(rad)</t>
  </si>
  <si>
    <t>Gain (dB)</t>
  </si>
  <si>
    <t>Phase (°)</t>
  </si>
  <si>
    <t>Phase Margin (°)</t>
  </si>
  <si>
    <t>Fsquare</t>
  </si>
  <si>
    <t>Gain(dB)</t>
  </si>
  <si>
    <t>Phase(Deg)</t>
  </si>
  <si>
    <t>Pole/Zero Locations for Chart</t>
  </si>
  <si>
    <t>crossover</t>
  </si>
  <si>
    <t>z2</t>
  </si>
  <si>
    <t>p4</t>
  </si>
  <si>
    <t>System</t>
  </si>
  <si>
    <t>Plant</t>
  </si>
  <si>
    <t>p-dom</t>
  </si>
  <si>
    <t>ESR zero</t>
  </si>
  <si>
    <t>EA pole</t>
  </si>
  <si>
    <t>EA zero</t>
  </si>
  <si>
    <t>p_sampling</t>
  </si>
  <si>
    <t>Iout_eff</t>
  </si>
  <si>
    <t>Vout_eff</t>
  </si>
  <si>
    <t>Rload-pri</t>
  </si>
  <si>
    <t>Rload-sec</t>
  </si>
  <si>
    <t>Npri-sec</t>
  </si>
  <si>
    <t>Cout-pri</t>
  </si>
  <si>
    <t>REAout</t>
  </si>
  <si>
    <t>M</t>
  </si>
  <si>
    <t>Rcomp</t>
  </si>
  <si>
    <t>Ccomp</t>
  </si>
  <si>
    <t>gmEA</t>
  </si>
  <si>
    <t>ESR</t>
  </si>
  <si>
    <r>
      <rPr>
        <sz val="10"/>
        <rFont val="Arial"/>
        <family val="2"/>
      </rPr>
      <t>M</t>
    </r>
    <r>
      <rPr>
        <sz val="10"/>
        <rFont val="Symbol"/>
        <family val="1"/>
        <charset val="2"/>
      </rPr>
      <t>W</t>
    </r>
  </si>
  <si>
    <r>
      <t>m</t>
    </r>
    <r>
      <rPr>
        <sz val="10"/>
        <rFont val="Symbol"/>
        <family val="1"/>
        <charset val="2"/>
      </rPr>
      <t>W</t>
    </r>
  </si>
  <si>
    <r>
      <rPr>
        <sz val="10"/>
        <rFont val="Symbol"/>
        <family val="1"/>
        <charset val="2"/>
      </rPr>
      <t>m</t>
    </r>
    <r>
      <rPr>
        <sz val="10"/>
        <rFont val="Arial"/>
        <family val="2"/>
      </rPr>
      <t>F</t>
    </r>
  </si>
  <si>
    <t>Chf</t>
  </si>
  <si>
    <t>Cout-sec</t>
  </si>
  <si>
    <t>Rcs-gain</t>
  </si>
  <si>
    <r>
      <rPr>
        <sz val="10"/>
        <rFont val="Symbol"/>
        <family val="1"/>
        <charset val="2"/>
      </rPr>
      <t>m</t>
    </r>
    <r>
      <rPr>
        <sz val="10"/>
        <rFont val="Arial"/>
        <family val="2"/>
      </rPr>
      <t>S</t>
    </r>
  </si>
  <si>
    <t>S</t>
  </si>
  <si>
    <t>Ro</t>
  </si>
  <si>
    <t>Freq (kHz)</t>
  </si>
  <si>
    <t>Afb</t>
  </si>
  <si>
    <t>=&gt; Enter parameter</t>
  </si>
  <si>
    <t>Tsw</t>
  </si>
  <si>
    <t>Sampling Term</t>
  </si>
  <si>
    <t>Complex number calculations for sampling gain terms</t>
  </si>
  <si>
    <t>=&gt; constant or calculated value</t>
  </si>
  <si>
    <t>Vout1 + Vout2</t>
  </si>
  <si>
    <t>Feedback Gain &amp; EA Poles/Zeros</t>
  </si>
  <si>
    <t>S &amp; H Expression - see Mathcad file</t>
  </si>
  <si>
    <r>
      <t xml:space="preserve">Pri to </t>
    </r>
    <r>
      <rPr>
        <b/>
        <sz val="10"/>
        <rFont val="Arial"/>
        <family val="2"/>
      </rPr>
      <t>total</t>
    </r>
    <r>
      <rPr>
        <sz val="10"/>
        <rFont val="Arial"/>
        <family val="2"/>
      </rPr>
      <t xml:space="preserve"> sec turns ratio</t>
    </r>
  </si>
  <si>
    <t>BCM</t>
  </si>
  <si>
    <t>DCM</t>
  </si>
  <si>
    <t>Mode</t>
  </si>
  <si>
    <t>Choose Mode:</t>
  </si>
  <si>
    <t>Rcs</t>
  </si>
  <si>
    <r>
      <t>Sense Resistor, R</t>
    </r>
    <r>
      <rPr>
        <b/>
        <vertAlign val="subscript"/>
        <sz val="10"/>
        <color theme="1"/>
        <rFont val="Arial"/>
        <family val="2"/>
      </rPr>
      <t>CS</t>
    </r>
    <r>
      <rPr>
        <b/>
        <sz val="10"/>
        <color theme="1"/>
        <rFont val="Arial"/>
        <family val="2"/>
      </rPr>
      <t xml:space="preserve"> </t>
    </r>
  </si>
  <si>
    <t>IpkCAL</t>
  </si>
  <si>
    <t>RCSmin</t>
  </si>
  <si>
    <t>LM5185 quiescent current</t>
  </si>
  <si>
    <t>P-FET-Total (W)</t>
  </si>
  <si>
    <t>P-IC-Total</t>
  </si>
  <si>
    <t>P-Total (mW)</t>
  </si>
  <si>
    <r>
      <t>LM5185 IC Power Dissipation at Full Load, P</t>
    </r>
    <r>
      <rPr>
        <vertAlign val="subscript"/>
        <sz val="10"/>
        <rFont val="Arial"/>
        <family val="2"/>
      </rPr>
      <t>D</t>
    </r>
  </si>
  <si>
    <r>
      <t>LM5185 Junction Temperature at Full Load, T</t>
    </r>
    <r>
      <rPr>
        <vertAlign val="subscript"/>
        <sz val="10"/>
        <rFont val="Arial"/>
        <family val="2"/>
      </rPr>
      <t>J</t>
    </r>
  </si>
  <si>
    <t>dB</t>
  </si>
  <si>
    <t>Reference voltage, updated</t>
  </si>
  <si>
    <t>10 kΩ</t>
  </si>
  <si>
    <t>10kΩ</t>
  </si>
  <si>
    <t>1.2 : 1</t>
  </si>
  <si>
    <t>1 : 1.2</t>
  </si>
  <si>
    <t>Fsw=</t>
  </si>
  <si>
    <t>Checking ro operatingmode at Vnom</t>
  </si>
  <si>
    <t>Lm=</t>
  </si>
  <si>
    <t>Ipk=</t>
  </si>
  <si>
    <t>Duty=</t>
  </si>
  <si>
    <t>Po</t>
  </si>
  <si>
    <t>Po actual</t>
  </si>
  <si>
    <t>LM5185 Parameters</t>
  </si>
  <si>
    <t>Primary Peak Current, Ipk</t>
  </si>
  <si>
    <t>Allawable max Fco</t>
  </si>
  <si>
    <r>
      <t>C</t>
    </r>
    <r>
      <rPr>
        <vertAlign val="subscript"/>
        <sz val="10"/>
        <rFont val="Arial"/>
        <family val="2"/>
      </rPr>
      <t>OUT</t>
    </r>
    <r>
      <rPr>
        <sz val="10"/>
        <rFont val="Arial"/>
        <family val="2"/>
      </rPr>
      <t xml:space="preserve"> ESR Zero Frequency </t>
    </r>
  </si>
  <si>
    <t>Flyback RHP Zero Frequency</t>
  </si>
  <si>
    <t>Allowed Maximum Crossover Frequency</t>
  </si>
  <si>
    <t>Load Pole Frequency</t>
  </si>
  <si>
    <t>Excessive</t>
  </si>
  <si>
    <t>FcoRange</t>
  </si>
  <si>
    <t>Fco_select</t>
  </si>
  <si>
    <t>AN</t>
  </si>
  <si>
    <t>AO</t>
  </si>
  <si>
    <t>AP</t>
  </si>
  <si>
    <t>AQ</t>
  </si>
  <si>
    <t>AR</t>
  </si>
  <si>
    <t>Sampling</t>
  </si>
  <si>
    <t>Power ckt</t>
  </si>
  <si>
    <t>Gain_pwr</t>
  </si>
  <si>
    <t>CHF</t>
  </si>
  <si>
    <r>
      <t>k</t>
    </r>
    <r>
      <rPr>
        <sz val="10"/>
        <rFont val="Calibri"/>
        <family val="2"/>
      </rPr>
      <t>Ω</t>
    </r>
  </si>
  <si>
    <r>
      <t>k</t>
    </r>
    <r>
      <rPr>
        <b/>
        <sz val="10"/>
        <rFont val="Calibri"/>
        <family val="2"/>
      </rPr>
      <t>Ω</t>
    </r>
  </si>
  <si>
    <r>
      <t>Recommended R</t>
    </r>
    <r>
      <rPr>
        <vertAlign val="subscript"/>
        <sz val="10"/>
        <rFont val="Arial"/>
        <family val="2"/>
      </rPr>
      <t>COMP</t>
    </r>
  </si>
  <si>
    <r>
      <t>Selected R</t>
    </r>
    <r>
      <rPr>
        <b/>
        <vertAlign val="subscript"/>
        <sz val="10"/>
        <rFont val="Arial"/>
        <family val="2"/>
      </rPr>
      <t>COMP</t>
    </r>
  </si>
  <si>
    <r>
      <t>Recommended C</t>
    </r>
    <r>
      <rPr>
        <vertAlign val="subscript"/>
        <sz val="10"/>
        <rFont val="Arial"/>
        <family val="2"/>
      </rPr>
      <t>COMP</t>
    </r>
  </si>
  <si>
    <r>
      <t>Selected C</t>
    </r>
    <r>
      <rPr>
        <b/>
        <vertAlign val="subscript"/>
        <sz val="10"/>
        <rFont val="Arial"/>
        <family val="2"/>
      </rPr>
      <t>COMP</t>
    </r>
  </si>
  <si>
    <r>
      <t>Recommended C</t>
    </r>
    <r>
      <rPr>
        <vertAlign val="subscript"/>
        <sz val="10"/>
        <rFont val="Arial"/>
        <family val="2"/>
      </rPr>
      <t>HF</t>
    </r>
  </si>
  <si>
    <r>
      <t>Selected C</t>
    </r>
    <r>
      <rPr>
        <b/>
        <vertAlign val="subscript"/>
        <sz val="10"/>
        <color theme="1"/>
        <rFont val="Arial"/>
        <family val="2"/>
      </rPr>
      <t>HF</t>
    </r>
  </si>
  <si>
    <r>
      <t>Upper UVLO Resistor, R</t>
    </r>
    <r>
      <rPr>
        <vertAlign val="subscript"/>
        <sz val="10"/>
        <rFont val="Arial"/>
        <family val="2"/>
      </rPr>
      <t>UVH</t>
    </r>
  </si>
  <si>
    <r>
      <t>Lower UVLO Resistor, R</t>
    </r>
    <r>
      <rPr>
        <vertAlign val="subscript"/>
        <sz val="10"/>
        <rFont val="Arial"/>
        <family val="2"/>
      </rPr>
      <t>UVL</t>
    </r>
  </si>
  <si>
    <t>Raw Calculation</t>
  </si>
  <si>
    <t>Fine tuning:  Calculations are performed at Vin(nom), Vin(min) and Vin(max) below</t>
  </si>
  <si>
    <t>secondaryt conduction time</t>
  </si>
  <si>
    <t>Ls1</t>
  </si>
  <si>
    <t>Ls2</t>
  </si>
  <si>
    <t>calculated D' based on raw calculation</t>
  </si>
  <si>
    <t>D1' based on raw calculation</t>
  </si>
  <si>
    <t>D2' based on raw calculation</t>
  </si>
  <si>
    <t xml:space="preserve">                       LM5185-Q1 PSR Flyback Controller Design Tool</t>
  </si>
  <si>
    <t>Recommended xfmr turns ratio</t>
  </si>
  <si>
    <t>uH</t>
  </si>
  <si>
    <t>Final chosen turns ratio should be close to this value.</t>
  </si>
  <si>
    <t>Recommned Magnetizing Inductance</t>
  </si>
  <si>
    <r>
      <t>Chosen Magnetizing Inductance, L</t>
    </r>
    <r>
      <rPr>
        <b/>
        <vertAlign val="subscript"/>
        <sz val="10"/>
        <color theme="1"/>
        <rFont val="Arial"/>
        <family val="2"/>
      </rPr>
      <t>MAG</t>
    </r>
    <r>
      <rPr>
        <b/>
        <sz val="10"/>
        <color theme="1"/>
        <rFont val="Arial"/>
        <family val="2"/>
      </rPr>
      <t xml:space="preserve"> </t>
    </r>
  </si>
  <si>
    <t>Fsw at Vin_min</t>
  </si>
  <si>
    <t>Ipkmax  Allowed (20% margin)</t>
  </si>
  <si>
    <t>Max Rcs_rec1</t>
  </si>
  <si>
    <t>Max Rcs_rec2</t>
  </si>
  <si>
    <t>By 100mV VCS pk limit</t>
  </si>
  <si>
    <t>By 450ns min decay time</t>
  </si>
  <si>
    <t>Proposed Transformer Turns Ratio PRI : SEC1</t>
  </si>
  <si>
    <r>
      <t>Maximum Power Dissipation in R</t>
    </r>
    <r>
      <rPr>
        <vertAlign val="subscript"/>
        <sz val="10"/>
        <color theme="1"/>
        <rFont val="Arial"/>
        <family val="2"/>
      </rPr>
      <t>CS</t>
    </r>
    <r>
      <rPr>
        <sz val="10"/>
        <color theme="1"/>
        <rFont val="Arial"/>
        <family val="2"/>
      </rPr>
      <t xml:space="preserve"> </t>
    </r>
  </si>
  <si>
    <t>with selected Lmag</t>
  </si>
  <si>
    <t>Lmin_abs</t>
  </si>
  <si>
    <t>Maximum RCS for IPEAK (10% Power Margin)</t>
  </si>
  <si>
    <r>
      <t>Select MOSFET R</t>
    </r>
    <r>
      <rPr>
        <b/>
        <vertAlign val="subscript"/>
        <sz val="10"/>
        <rFont val="Arial"/>
        <family val="2"/>
      </rPr>
      <t>DSON</t>
    </r>
  </si>
  <si>
    <t xml:space="preserve">power </t>
  </si>
  <si>
    <t>MOSFET Min Voltage Rating</t>
  </si>
  <si>
    <t>Min Drain Voltage Rating</t>
  </si>
  <si>
    <t>Can logic level FET be used?</t>
  </si>
  <si>
    <t>Can regular FET be used?</t>
  </si>
  <si>
    <t>Yes</t>
  </si>
  <si>
    <r>
      <t>Recommended Minimum D</t>
    </r>
    <r>
      <rPr>
        <vertAlign val="subscript"/>
        <sz val="10"/>
        <rFont val="Arial"/>
        <family val="2"/>
      </rPr>
      <t>CLAMP</t>
    </r>
    <r>
      <rPr>
        <sz val="10"/>
        <rFont val="Arial"/>
        <family val="2"/>
      </rPr>
      <t xml:space="preserve"> Voltage</t>
    </r>
  </si>
  <si>
    <r>
      <t>D</t>
    </r>
    <r>
      <rPr>
        <b/>
        <vertAlign val="subscript"/>
        <sz val="10"/>
        <rFont val="Arial"/>
        <family val="2"/>
      </rPr>
      <t>CLAMP</t>
    </r>
    <r>
      <rPr>
        <b/>
        <sz val="10"/>
        <rFont val="Arial"/>
        <family val="2"/>
      </rPr>
      <t xml:space="preserve"> Voltage </t>
    </r>
  </si>
  <si>
    <t>Recommended Max MOSFET Qg</t>
  </si>
  <si>
    <t>Selected MOSFET Qg</t>
  </si>
  <si>
    <r>
      <t>Selected MOSFET C</t>
    </r>
    <r>
      <rPr>
        <b/>
        <vertAlign val="subscript"/>
        <sz val="10"/>
        <rFont val="Arial"/>
        <family val="2"/>
      </rPr>
      <t>OSS</t>
    </r>
  </si>
  <si>
    <t>Step 4: Power MOSFET Suggetions and  Zener Clamp</t>
  </si>
  <si>
    <t>Step 5: Input &amp; Output Capacitors</t>
  </si>
  <si>
    <t>`</t>
  </si>
  <si>
    <r>
      <t>V</t>
    </r>
    <r>
      <rPr>
        <b/>
        <vertAlign val="subscript"/>
        <sz val="16"/>
        <rFont val="Calibri"/>
        <family val="2"/>
      </rPr>
      <t xml:space="preserve">IN </t>
    </r>
    <r>
      <rPr>
        <b/>
        <sz val="16"/>
        <rFont val="Calibri"/>
        <family val="2"/>
      </rPr>
      <t>=</t>
    </r>
  </si>
  <si>
    <t>Selected Crossover Frquency (Fco)</t>
  </si>
  <si>
    <t>Ccopm</t>
  </si>
  <si>
    <t>k</t>
  </si>
  <si>
    <t>m</t>
  </si>
  <si>
    <t>Cflt</t>
  </si>
  <si>
    <t>100pF</t>
  </si>
  <si>
    <t>Rflt</t>
  </si>
  <si>
    <r>
      <t>Recommended CS Pin Filter Resistor R</t>
    </r>
    <r>
      <rPr>
        <vertAlign val="subscript"/>
        <sz val="10"/>
        <rFont val="Arial"/>
        <family val="2"/>
      </rPr>
      <t>FLT</t>
    </r>
  </si>
  <si>
    <r>
      <t>Recommended CS Pin Filter Resistor C</t>
    </r>
    <r>
      <rPr>
        <vertAlign val="subscript"/>
        <sz val="10"/>
        <rFont val="Arial"/>
        <family val="2"/>
      </rPr>
      <t>FLT</t>
    </r>
  </si>
  <si>
    <t>Step 3: Current Sense Resistor and Noise Filter</t>
  </si>
  <si>
    <t>Step 6: Rectifier Diode(s)</t>
  </si>
  <si>
    <t>Vou2 Diode cond duration</t>
  </si>
  <si>
    <t>Vout1 Diode cond duration</t>
  </si>
  <si>
    <t>Min Diode Voltage Rating, Output #2</t>
  </si>
  <si>
    <t>Min Diode DC Current Rating, Output #2</t>
  </si>
  <si>
    <t>Step 7: Feedback, Soft-start, TC, UVLO</t>
  </si>
  <si>
    <t>Diode VF</t>
  </si>
  <si>
    <t>Vfwd22</t>
  </si>
  <si>
    <r>
      <t>Input Voltage – Nom, V</t>
    </r>
    <r>
      <rPr>
        <b/>
        <vertAlign val="subscript"/>
        <sz val="10"/>
        <color rgb="FF0000FF"/>
        <rFont val="Arial"/>
        <family val="2"/>
      </rPr>
      <t>IN(nom)</t>
    </r>
  </si>
  <si>
    <t>MOSFET Power dissipation (WC)</t>
  </si>
  <si>
    <t>Single output</t>
  </si>
  <si>
    <t>Dual</t>
  </si>
  <si>
    <t>Final</t>
  </si>
  <si>
    <t>Estimated Max MOSFET Power Dissipation</t>
  </si>
  <si>
    <t>MOSFET Loss</t>
  </si>
  <si>
    <t>Step 8:  Compensation Design</t>
  </si>
  <si>
    <t>Snubber Capacitor Voltage Rating&gt;</t>
  </si>
  <si>
    <t>Snubber Resistor Power Rating&gt;</t>
  </si>
  <si>
    <t>Initial Csnb2</t>
  </si>
  <si>
    <t>Initial Rsnb2</t>
  </si>
  <si>
    <t>Step 9:  Optional RC Snubber acorss Rectifier Diode(s)</t>
  </si>
  <si>
    <t>Step 10:  Output Zener Clamp and/or Dummy Load</t>
  </si>
  <si>
    <t>Step 11: Power Losses &amp; Thermals</t>
  </si>
  <si>
    <t>Selected Device Min Power Rating&gt;</t>
  </si>
  <si>
    <t>Rdym</t>
  </si>
  <si>
    <t>Rdym1</t>
  </si>
  <si>
    <t>Rdym2</t>
  </si>
  <si>
    <t>min Load</t>
  </si>
  <si>
    <t>min Load1</t>
  </si>
  <si>
    <t>min Load 2</t>
  </si>
  <si>
    <t xml:space="preserve">Customer Min Load </t>
  </si>
  <si>
    <t>Iout_min</t>
  </si>
  <si>
    <t>Po-min</t>
  </si>
  <si>
    <t>Required min load</t>
  </si>
  <si>
    <t>Ton Min</t>
  </si>
  <si>
    <t>Vin_max</t>
  </si>
  <si>
    <t>Fsw_min</t>
  </si>
  <si>
    <t>Po_cal</t>
  </si>
  <si>
    <t>Do you need a  Dummy Load</t>
  </si>
  <si>
    <t>Customer Min Load 1</t>
  </si>
  <si>
    <t>Customer Min Load 2</t>
  </si>
  <si>
    <t>Iout_min1</t>
  </si>
  <si>
    <t>Po-min1</t>
  </si>
  <si>
    <t>Iout_min2</t>
  </si>
  <si>
    <t>Po-min2</t>
  </si>
  <si>
    <t>Do you need a  Dummy Load1</t>
  </si>
  <si>
    <t>Do you need a  Dummy Load2</t>
  </si>
  <si>
    <t>LM5185EVM-SIO PCB Design, 2.4" x 3.6" (60mm x 90mm)</t>
  </si>
  <si>
    <t xml:space="preserve">&lt;--Please input the effective capacitance under the actual dc voltage bias of the designated outpt rail. </t>
  </si>
  <si>
    <t>Slecct  Diode Forward Drop VF, Output #2</t>
  </si>
  <si>
    <r>
      <t>Flyback Diode Voltage Drop, VF</t>
    </r>
    <r>
      <rPr>
        <b/>
        <vertAlign val="subscript"/>
        <sz val="10"/>
        <rFont val="Arial"/>
        <family val="2"/>
      </rPr>
      <t>(no-load)</t>
    </r>
  </si>
  <si>
    <r>
      <t>Flyback Diode Voltage Drop, VF</t>
    </r>
    <r>
      <rPr>
        <vertAlign val="subscript"/>
        <sz val="10"/>
        <rFont val="Arial"/>
        <family val="2"/>
      </rPr>
      <t>(full-load)</t>
    </r>
  </si>
  <si>
    <t xml:space="preserve">Important: Remember to update Cell E80 below, which is VF at no load, in order to get a more accurate output voltage setting in Step 7. </t>
  </si>
  <si>
    <r>
      <t>C</t>
    </r>
    <r>
      <rPr>
        <vertAlign val="subscript"/>
        <sz val="10"/>
        <rFont val="Arial"/>
        <family val="2"/>
      </rPr>
      <t>VCC</t>
    </r>
  </si>
  <si>
    <t>Capacitor, Ceramic, 1µF, 25V, X7R, 10%</t>
  </si>
  <si>
    <r>
      <t>C</t>
    </r>
    <r>
      <rPr>
        <vertAlign val="subscript"/>
        <sz val="10"/>
        <rFont val="Arial"/>
        <family val="2"/>
      </rPr>
      <t>COMP</t>
    </r>
  </si>
  <si>
    <r>
      <t>C</t>
    </r>
    <r>
      <rPr>
        <vertAlign val="subscript"/>
        <sz val="10"/>
        <rFont val="Arial"/>
        <family val="2"/>
      </rPr>
      <t>HF</t>
    </r>
  </si>
  <si>
    <r>
      <t>R</t>
    </r>
    <r>
      <rPr>
        <vertAlign val="subscript"/>
        <sz val="10"/>
        <rFont val="Arial"/>
        <family val="2"/>
      </rPr>
      <t>COMP</t>
    </r>
  </si>
  <si>
    <r>
      <t>R</t>
    </r>
    <r>
      <rPr>
        <vertAlign val="subscript"/>
        <sz val="10"/>
        <rFont val="Arial"/>
        <family val="2"/>
      </rPr>
      <t>CS</t>
    </r>
  </si>
  <si>
    <t>Non-inductive Chip Power Resistor, 1%</t>
  </si>
  <si>
    <r>
      <t>C</t>
    </r>
    <r>
      <rPr>
        <vertAlign val="subscript"/>
        <sz val="10"/>
        <rFont val="Arial"/>
        <family val="2"/>
      </rPr>
      <t>FLT</t>
    </r>
  </si>
  <si>
    <t>Capacitor, Ceramic, 100pF, 50V, X7R, 10%</t>
  </si>
  <si>
    <r>
      <t>R</t>
    </r>
    <r>
      <rPr>
        <vertAlign val="subscript"/>
        <sz val="10"/>
        <rFont val="Arial"/>
        <family val="2"/>
      </rPr>
      <t>FLT</t>
    </r>
  </si>
  <si>
    <r>
      <t>LM5185-Q1 Low I</t>
    </r>
    <r>
      <rPr>
        <b/>
        <vertAlign val="subscript"/>
        <sz val="16"/>
        <rFont val="Arial"/>
        <family val="2"/>
      </rPr>
      <t>Q</t>
    </r>
    <r>
      <rPr>
        <b/>
        <sz val="16"/>
        <rFont val="Arial"/>
        <family val="2"/>
      </rPr>
      <t>, High Efficiency, PSR Flyback Converter BOM</t>
    </r>
  </si>
  <si>
    <t>LM5185-Q1</t>
  </si>
  <si>
    <t>IC, LM5185-Q1, PSR Flyback Controller, 4.5V–100V Input</t>
  </si>
  <si>
    <t>HTSSOP14</t>
  </si>
  <si>
    <r>
      <t>D</t>
    </r>
    <r>
      <rPr>
        <vertAlign val="subscript"/>
        <sz val="10"/>
        <rFont val="Arial"/>
        <family val="2"/>
      </rPr>
      <t>Z1</t>
    </r>
  </si>
  <si>
    <r>
      <t>D</t>
    </r>
    <r>
      <rPr>
        <vertAlign val="subscript"/>
        <sz val="10"/>
        <rFont val="Arial"/>
        <family val="2"/>
      </rPr>
      <t>Z2</t>
    </r>
  </si>
  <si>
    <t>2510</t>
  </si>
  <si>
    <t>9.3 x 2.7</t>
  </si>
  <si>
    <t>(Always reserve the snubber position on PCB and validatate experimentally.)</t>
  </si>
  <si>
    <t>LM5185EVM-MIO PCB Design, (Multiple Outputs, coming soon)</t>
  </si>
  <si>
    <t>* Choose a transformer with saturation current rating higher than the max peak current limit setting for all operating temperatures *</t>
  </si>
  <si>
    <t xml:space="preserve"> LM5185-Q1 PSR Flyback Controller Design Tool</t>
  </si>
  <si>
    <r>
      <t>Q</t>
    </r>
    <r>
      <rPr>
        <vertAlign val="subscript"/>
        <sz val="10"/>
        <rFont val="Arial"/>
        <family val="2"/>
      </rPr>
      <t>1</t>
    </r>
  </si>
  <si>
    <t>Power MOSFET</t>
  </si>
  <si>
    <t>SO-8</t>
  </si>
  <si>
    <t>5.0 x 6.0</t>
  </si>
  <si>
    <t>5.0 x 6.4</t>
  </si>
  <si>
    <t>22mm x 17mm</t>
  </si>
  <si>
    <t>11 x 14</t>
  </si>
  <si>
    <t>23 x 17</t>
  </si>
  <si>
    <t>Toff Max</t>
  </si>
  <si>
    <r>
      <t xml:space="preserve">Estimated Thermal Impedance, </t>
    </r>
    <r>
      <rPr>
        <sz val="11"/>
        <rFont val="Symbol"/>
        <family val="1"/>
        <charset val="2"/>
      </rPr>
      <t>J</t>
    </r>
    <r>
      <rPr>
        <vertAlign val="subscript"/>
        <sz val="10"/>
        <rFont val="Arial"/>
        <family val="2"/>
      </rPr>
      <t>JA</t>
    </r>
  </si>
  <si>
    <t>Recommended Zener VoltageSelection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</si>
</sst>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0.00_);_(* \(#,##0.00\);_(* &quot;-&quot;??_);_(@_)"/>
    <numFmt numFmtId="164" formatCode="0.00000"/>
    <numFmt numFmtId="165" formatCode="0.0000"/>
    <numFmt numFmtId="166" formatCode="0.000"/>
    <numFmt numFmtId="167" formatCode="0.0"/>
    <numFmt numFmtId="168" formatCode="0.000E+00"/>
    <numFmt numFmtId="169" formatCode="#0.0#"/>
    <numFmt numFmtId="170" formatCode="General&quot;k&quot;"/>
    <numFmt numFmtId="171" formatCode="General&quot;µF&quot;"/>
    <numFmt numFmtId="172" formatCode="General&quot;µH&quot;"/>
    <numFmt numFmtId="173" formatCode="&quot;Inductor, &quot;General&quot;-µH, 10%&quot;"/>
    <numFmt numFmtId="174" formatCode="&quot;Resistor, Chip, &quot;General&quot;-kΩ, 1/16W, 1%&quot;"/>
    <numFmt numFmtId="175" formatCode="0.E+00"/>
    <numFmt numFmtId="176" formatCode="0.0E+00"/>
    <numFmt numFmtId="177" formatCode="&quot;Capacitor, Ceramic, &quot;General&quot;-µF, 100V, X7R, 20%&quot;"/>
    <numFmt numFmtId="178" formatCode="0.000%"/>
    <numFmt numFmtId="179" formatCode="&quot;Capacitor, Ceramic, &quot;General&quot;-µF, 16V, X7R, 20%&quot;"/>
    <numFmt numFmtId="180" formatCode="&quot;Resistor, Chip, &quot;General&quot; kΩ, 1/16W, 1%&quot;"/>
    <numFmt numFmtId="181" formatCode="General&quot;M&quot;"/>
    <numFmt numFmtId="182" formatCode="&quot;Resistor, Chip, &quot;General&quot;kΩ, 1/16W, 1%&quot;"/>
    <numFmt numFmtId="183" formatCode="0E+00"/>
    <numFmt numFmtId="184" formatCode="0.000000"/>
  </numFmts>
  <fonts count="93">
    <font>
      <sz val="10"/>
      <name val="Arial"/>
    </font>
    <font>
      <sz val="11"/>
      <color theme="1"/>
      <name val="Arial"/>
      <family val="2"/>
    </font>
    <font>
      <sz val="11"/>
      <color theme="1"/>
      <name val="Calibri"/>
      <family val="2"/>
      <scheme val="minor"/>
    </font>
    <font>
      <sz val="10"/>
      <name val="Arial"/>
      <family val="2"/>
    </font>
    <font>
      <b/>
      <sz val="10"/>
      <name val="Arial"/>
      <family val="2"/>
    </font>
    <font>
      <b/>
      <sz val="22"/>
      <color indexed="44"/>
      <name val="Arial"/>
      <family val="2"/>
    </font>
    <font>
      <sz val="8"/>
      <name val="Arial"/>
      <family val="2"/>
    </font>
    <font>
      <b/>
      <i/>
      <sz val="10"/>
      <name val="Arial"/>
      <family val="2"/>
    </font>
    <font>
      <sz val="10"/>
      <name val="Arial"/>
      <family val="2"/>
    </font>
    <font>
      <vertAlign val="subscript"/>
      <sz val="10"/>
      <name val="Arial"/>
      <family val="2"/>
    </font>
    <font>
      <u/>
      <sz val="10"/>
      <color indexed="12"/>
      <name val="Arial"/>
      <family val="2"/>
    </font>
    <font>
      <b/>
      <sz val="16"/>
      <name val="Arial"/>
      <family val="2"/>
    </font>
    <font>
      <sz val="10"/>
      <color indexed="44"/>
      <name val="Arial"/>
      <family val="2"/>
    </font>
    <font>
      <b/>
      <sz val="28"/>
      <color indexed="44"/>
      <name val="Arial"/>
      <family val="2"/>
    </font>
    <font>
      <b/>
      <sz val="10"/>
      <color indexed="44"/>
      <name val="Arial"/>
      <family val="2"/>
    </font>
    <font>
      <sz val="10"/>
      <color indexed="8"/>
      <name val="Arial"/>
      <family val="2"/>
    </font>
    <font>
      <b/>
      <sz val="24"/>
      <color indexed="44"/>
      <name val="Arial"/>
      <family val="2"/>
    </font>
    <font>
      <sz val="10"/>
      <name val="Calibri"/>
      <family val="2"/>
    </font>
    <font>
      <b/>
      <sz val="10"/>
      <name val="Calibri"/>
      <family val="2"/>
    </font>
    <font>
      <sz val="10"/>
      <color indexed="55"/>
      <name val="Calibri"/>
      <family val="2"/>
    </font>
    <font>
      <b/>
      <sz val="10"/>
      <color indexed="9"/>
      <name val="Calibri"/>
      <family val="2"/>
    </font>
    <font>
      <b/>
      <sz val="12"/>
      <color indexed="48"/>
      <name val="Arial"/>
      <family val="2"/>
    </font>
    <font>
      <b/>
      <sz val="12"/>
      <color indexed="12"/>
      <name val="Arial"/>
      <family val="2"/>
    </font>
    <font>
      <b/>
      <sz val="12"/>
      <color indexed="9"/>
      <name val="Calibri"/>
      <family val="2"/>
    </font>
    <font>
      <b/>
      <sz val="22"/>
      <color indexed="9"/>
      <name val="Calibri"/>
      <family val="2"/>
    </font>
    <font>
      <b/>
      <sz val="10"/>
      <color indexed="13"/>
      <name val="Calibri"/>
      <family val="2"/>
    </font>
    <font>
      <sz val="10"/>
      <color indexed="56"/>
      <name val="Calibri"/>
      <family val="2"/>
    </font>
    <font>
      <sz val="10"/>
      <color indexed="8"/>
      <name val="Arial"/>
      <family val="2"/>
    </font>
    <font>
      <b/>
      <sz val="14"/>
      <color indexed="9"/>
      <name val="Calibri"/>
      <family val="2"/>
    </font>
    <font>
      <sz val="11"/>
      <color indexed="81"/>
      <name val="Tahoma"/>
      <family val="2"/>
    </font>
    <font>
      <b/>
      <i/>
      <sz val="14"/>
      <color indexed="12"/>
      <name val="Calibri"/>
      <family val="2"/>
    </font>
    <font>
      <b/>
      <sz val="9"/>
      <color indexed="81"/>
      <name val="Tahoma"/>
      <family val="2"/>
    </font>
    <font>
      <sz val="9"/>
      <color indexed="81"/>
      <name val="Tahoma"/>
      <family val="2"/>
    </font>
    <font>
      <b/>
      <u/>
      <sz val="9"/>
      <color indexed="81"/>
      <name val="Tahoma"/>
      <family val="2"/>
    </font>
    <font>
      <sz val="11"/>
      <color indexed="10"/>
      <name val="Tahoma"/>
      <family val="2"/>
    </font>
    <font>
      <b/>
      <sz val="11"/>
      <color indexed="10"/>
      <name val="Tahoma"/>
      <family val="2"/>
    </font>
    <font>
      <b/>
      <sz val="9"/>
      <color indexed="10"/>
      <name val="Tahoma"/>
      <family val="2"/>
    </font>
    <font>
      <sz val="9"/>
      <color indexed="39"/>
      <name val="Tahoma"/>
      <family val="2"/>
    </font>
    <font>
      <b/>
      <sz val="9"/>
      <color indexed="39"/>
      <name val="Tahoma"/>
      <family val="2"/>
    </font>
    <font>
      <b/>
      <vertAlign val="subscript"/>
      <sz val="9"/>
      <color indexed="81"/>
      <name val="Tahoma"/>
      <family val="2"/>
    </font>
    <font>
      <sz val="36"/>
      <color rgb="FFFF0000"/>
      <name val="Arial"/>
      <family val="2"/>
    </font>
    <font>
      <b/>
      <u/>
      <sz val="11"/>
      <color indexed="10"/>
      <name val="Tahoma"/>
      <family val="2"/>
    </font>
    <font>
      <sz val="16"/>
      <color theme="0"/>
      <name val="Arial"/>
      <family val="2"/>
    </font>
    <font>
      <b/>
      <vertAlign val="subscript"/>
      <sz val="10"/>
      <name val="Arial"/>
      <family val="2"/>
    </font>
    <font>
      <sz val="10"/>
      <color indexed="23"/>
      <name val="Arial"/>
      <family val="2"/>
    </font>
    <font>
      <sz val="10"/>
      <color indexed="55"/>
      <name val="Arial"/>
      <family val="2"/>
    </font>
    <font>
      <b/>
      <i/>
      <sz val="10"/>
      <color indexed="55"/>
      <name val="Arial"/>
      <family val="2"/>
    </font>
    <font>
      <b/>
      <i/>
      <sz val="14"/>
      <color indexed="12"/>
      <name val="Arial"/>
      <family val="2"/>
    </font>
    <font>
      <b/>
      <sz val="10"/>
      <color rgb="FFFF0000"/>
      <name val="Arial"/>
      <family val="2"/>
    </font>
    <font>
      <sz val="10"/>
      <color theme="1"/>
      <name val="Arial"/>
      <family val="2"/>
    </font>
    <font>
      <b/>
      <sz val="10"/>
      <color theme="1"/>
      <name val="Arial"/>
      <family val="2"/>
    </font>
    <font>
      <b/>
      <vertAlign val="subscript"/>
      <sz val="10"/>
      <color theme="1"/>
      <name val="Arial"/>
      <family val="2"/>
    </font>
    <font>
      <b/>
      <sz val="12"/>
      <color rgb="FF003366"/>
      <name val="Calibri"/>
      <family val="2"/>
    </font>
    <font>
      <sz val="10"/>
      <name val="Symbol"/>
      <family val="1"/>
      <charset val="2"/>
    </font>
    <font>
      <b/>
      <sz val="10"/>
      <color indexed="9"/>
      <name val="Arial"/>
      <family val="2"/>
    </font>
    <font>
      <b/>
      <sz val="12"/>
      <color rgb="FF0000FF"/>
      <name val="Arial"/>
      <family val="2"/>
    </font>
    <font>
      <b/>
      <u/>
      <sz val="10"/>
      <name val="Arial"/>
      <family val="2"/>
    </font>
    <font>
      <u/>
      <sz val="9"/>
      <color indexed="12"/>
      <name val="Tahoma"/>
      <family val="2"/>
    </font>
    <font>
      <sz val="10"/>
      <color rgb="FFFF0000"/>
      <name val="Arial"/>
      <family val="2"/>
    </font>
    <font>
      <sz val="10"/>
      <color theme="0"/>
      <name val="Arial"/>
      <family val="2"/>
    </font>
    <font>
      <sz val="30"/>
      <color theme="0"/>
      <name val="Arial"/>
      <family val="2"/>
    </font>
    <font>
      <sz val="10"/>
      <name val="Cambria"/>
      <family val="1"/>
      <scheme val="major"/>
    </font>
    <font>
      <b/>
      <sz val="10"/>
      <color indexed="8"/>
      <name val="Arial"/>
      <family val="2"/>
    </font>
    <font>
      <sz val="10"/>
      <name val="Times New Roman"/>
      <family val="1"/>
    </font>
    <font>
      <sz val="18"/>
      <name val="Arial"/>
      <family val="2"/>
    </font>
    <font>
      <b/>
      <sz val="10"/>
      <color rgb="FF0000FF"/>
      <name val="Arial"/>
      <family val="2"/>
    </font>
    <font>
      <u/>
      <sz val="10"/>
      <color theme="0" tint="-0.499984740745262"/>
      <name val="Arial"/>
      <family val="2"/>
    </font>
    <font>
      <vertAlign val="subscript"/>
      <sz val="9"/>
      <color indexed="81"/>
      <name val="Tahoma"/>
      <family val="2"/>
    </font>
    <font>
      <b/>
      <vertAlign val="subscript"/>
      <sz val="16"/>
      <name val="Arial"/>
      <family val="2"/>
    </font>
    <font>
      <b/>
      <sz val="10"/>
      <color rgb="FF33CC33"/>
      <name val="Arial"/>
      <family val="2"/>
    </font>
    <font>
      <sz val="10"/>
      <name val="Arial"/>
      <family val="2"/>
    </font>
    <font>
      <sz val="9"/>
      <color indexed="8"/>
      <name val="Tahoma"/>
      <family val="2"/>
    </font>
    <font>
      <b/>
      <sz val="10"/>
      <color theme="0"/>
      <name val="Arial"/>
      <family val="2"/>
    </font>
    <font>
      <b/>
      <vertAlign val="superscript"/>
      <sz val="10"/>
      <color theme="0"/>
      <name val="Arial"/>
      <family val="2"/>
    </font>
    <font>
      <b/>
      <sz val="11"/>
      <color rgb="FFFF0000"/>
      <name val="Arial"/>
      <family val="2"/>
    </font>
    <font>
      <b/>
      <sz val="12"/>
      <color rgb="FFFF0000"/>
      <name val="Arial"/>
      <family val="2"/>
    </font>
    <font>
      <b/>
      <vertAlign val="superscript"/>
      <sz val="12"/>
      <color rgb="FFFF0000"/>
      <name val="Arial"/>
      <family val="2"/>
    </font>
    <font>
      <sz val="34"/>
      <color theme="0"/>
      <name val="Arial"/>
      <family val="2"/>
    </font>
    <font>
      <b/>
      <sz val="10"/>
      <color theme="6" tint="-0.249977111117893"/>
      <name val="Arial"/>
      <family val="2"/>
    </font>
    <font>
      <sz val="10"/>
      <color rgb="FF0000FF"/>
      <name val="Arial"/>
      <family val="2"/>
    </font>
    <font>
      <b/>
      <sz val="12"/>
      <color theme="9" tint="-0.249977111117893"/>
      <name val="Arial"/>
      <family val="2"/>
    </font>
    <font>
      <b/>
      <sz val="11"/>
      <name val="Arial"/>
      <family val="2"/>
    </font>
    <font>
      <b/>
      <sz val="10"/>
      <name val="Symbol"/>
      <family val="1"/>
      <charset val="2"/>
    </font>
    <font>
      <sz val="6"/>
      <name val="ＭＳ Ｐゴシック"/>
      <family val="3"/>
      <charset val="128"/>
    </font>
    <font>
      <b/>
      <sz val="16"/>
      <name val="Calibri"/>
      <family val="2"/>
    </font>
    <font>
      <b/>
      <vertAlign val="subscript"/>
      <sz val="16"/>
      <name val="Calibri"/>
      <family val="2"/>
    </font>
    <font>
      <sz val="20"/>
      <color rgb="FFFF0000"/>
      <name val="Arial"/>
      <family val="2"/>
    </font>
    <font>
      <i/>
      <sz val="14"/>
      <color indexed="12"/>
      <name val="Arial"/>
      <family val="2"/>
    </font>
    <font>
      <vertAlign val="subscript"/>
      <sz val="10"/>
      <color theme="1"/>
      <name val="Arial"/>
      <family val="2"/>
    </font>
    <font>
      <b/>
      <i/>
      <sz val="9"/>
      <color indexed="81"/>
      <name val="Tahoma"/>
      <family val="2"/>
    </font>
    <font>
      <b/>
      <vertAlign val="subscript"/>
      <sz val="10"/>
      <color rgb="FF0000FF"/>
      <name val="Arial"/>
      <family val="2"/>
    </font>
    <font>
      <b/>
      <sz val="10"/>
      <color indexed="10"/>
      <name val="Arial"/>
      <family val="2"/>
    </font>
    <font>
      <sz val="11"/>
      <name val="Symbol"/>
      <family val="1"/>
      <charset val="2"/>
    </font>
  </fonts>
  <fills count="31">
    <fill>
      <patternFill patternType="none"/>
    </fill>
    <fill>
      <patternFill patternType="gray125"/>
    </fill>
    <fill>
      <patternFill patternType="solid">
        <fgColor indexed="44"/>
        <bgColor indexed="64"/>
      </patternFill>
    </fill>
    <fill>
      <patternFill patternType="solid">
        <fgColor indexed="8"/>
        <bgColor indexed="64"/>
      </patternFill>
    </fill>
    <fill>
      <patternFill patternType="solid">
        <fgColor indexed="22"/>
        <bgColor indexed="64"/>
      </patternFill>
    </fill>
    <fill>
      <patternFill patternType="solid">
        <fgColor indexed="55"/>
        <bgColor indexed="64"/>
      </patternFill>
    </fill>
    <fill>
      <patternFill patternType="solid">
        <fgColor indexed="45"/>
        <bgColor indexed="64"/>
      </patternFill>
    </fill>
    <fill>
      <patternFill patternType="solid">
        <fgColor indexed="46"/>
        <bgColor indexed="64"/>
      </patternFill>
    </fill>
    <fill>
      <patternFill patternType="solid">
        <fgColor indexed="9"/>
        <bgColor indexed="64"/>
      </patternFill>
    </fill>
    <fill>
      <patternFill patternType="solid">
        <fgColor indexed="13"/>
        <bgColor indexed="64"/>
      </patternFill>
    </fill>
    <fill>
      <patternFill patternType="solid">
        <fgColor indexed="52"/>
        <bgColor indexed="64"/>
      </patternFill>
    </fill>
    <fill>
      <patternFill patternType="solid">
        <fgColor indexed="50"/>
        <bgColor indexed="64"/>
      </patternFill>
    </fill>
    <fill>
      <patternFill patternType="solid">
        <fgColor theme="0"/>
        <bgColor indexed="64"/>
      </patternFill>
    </fill>
    <fill>
      <patternFill patternType="solid">
        <fgColor rgb="FFFF0000"/>
        <bgColor indexed="64"/>
      </patternFill>
    </fill>
    <fill>
      <patternFill patternType="solid">
        <fgColor theme="1"/>
        <bgColor indexed="64"/>
      </patternFill>
    </fill>
    <fill>
      <patternFill patternType="solid">
        <fgColor rgb="FFFFFF00"/>
        <bgColor indexed="64"/>
      </patternFill>
    </fill>
    <fill>
      <patternFill patternType="solid">
        <fgColor indexed="43"/>
        <bgColor indexed="64"/>
      </patternFill>
    </fill>
    <fill>
      <patternFill patternType="solid">
        <fgColor rgb="FFFFFF99"/>
        <bgColor indexed="64"/>
      </patternFill>
    </fill>
    <fill>
      <patternFill patternType="solid">
        <fgColor rgb="FFFF9900"/>
        <bgColor indexed="64"/>
      </patternFill>
    </fill>
    <fill>
      <patternFill patternType="solid">
        <fgColor rgb="FF99CC00"/>
        <bgColor indexed="64"/>
      </patternFill>
    </fill>
    <fill>
      <patternFill patternType="solid">
        <fgColor rgb="FFC0C0C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33CC33"/>
        <bgColor indexed="64"/>
      </patternFill>
    </fill>
    <fill>
      <patternFill patternType="solid">
        <fgColor rgb="FF00B0F0"/>
        <bgColor indexed="64"/>
      </patternFill>
    </fill>
    <fill>
      <patternFill patternType="solid">
        <fgColor theme="3" tint="0.79998168889431442"/>
        <bgColor indexed="64"/>
      </patternFill>
    </fill>
    <fill>
      <patternFill patternType="solid">
        <fgColor rgb="FFFF00FF"/>
        <bgColor indexed="64"/>
      </patternFill>
    </fill>
    <fill>
      <patternFill patternType="solid">
        <fgColor rgb="FF92D050"/>
        <bgColor indexed="64"/>
      </patternFill>
    </fill>
    <fill>
      <patternFill patternType="solid">
        <fgColor rgb="FF00FFFF"/>
        <bgColor indexed="64"/>
      </patternFill>
    </fill>
  </fills>
  <borders count="9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55"/>
      </top>
      <bottom/>
      <diagonal/>
    </border>
    <border>
      <left/>
      <right/>
      <top/>
      <bottom style="medium">
        <color indexed="55"/>
      </bottom>
      <diagonal/>
    </border>
    <border>
      <left/>
      <right style="medium">
        <color indexed="55"/>
      </right>
      <top style="medium">
        <color indexed="55"/>
      </top>
      <bottom/>
      <diagonal/>
    </border>
    <border>
      <left/>
      <right style="medium">
        <color indexed="55"/>
      </right>
      <top/>
      <bottom/>
      <diagonal/>
    </border>
    <border>
      <left/>
      <right style="medium">
        <color indexed="55"/>
      </right>
      <top/>
      <bottom style="medium">
        <color indexed="55"/>
      </bottom>
      <diagonal/>
    </border>
    <border>
      <left style="medium">
        <color indexed="55"/>
      </left>
      <right/>
      <top style="medium">
        <color indexed="55"/>
      </top>
      <bottom/>
      <diagonal/>
    </border>
    <border>
      <left style="medium">
        <color indexed="55"/>
      </left>
      <right/>
      <top/>
      <bottom/>
      <diagonal/>
    </border>
    <border>
      <left style="medium">
        <color indexed="55"/>
      </left>
      <right/>
      <top/>
      <bottom style="medium">
        <color indexed="55"/>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55"/>
      </top>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double">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auto="1"/>
      </right>
      <top/>
      <bottom/>
      <diagonal/>
    </border>
  </borders>
  <cellStyleXfs count="8">
    <xf numFmtId="0" fontId="0" fillId="0" borderId="0"/>
    <xf numFmtId="0" fontId="4" fillId="0" borderId="0" applyNumberFormat="0" applyFill="0" applyBorder="0" applyAlignment="0" applyProtection="0"/>
    <xf numFmtId="43" fontId="3" fillId="0" borderId="0" applyFont="0" applyFill="0" applyBorder="0" applyAlignment="0" applyProtection="0"/>
    <xf numFmtId="0" fontId="10" fillId="0" borderId="0" applyNumberFormat="0" applyFill="0" applyBorder="0" applyAlignment="0" applyProtection="0">
      <alignment vertical="top"/>
      <protection locked="0"/>
    </xf>
    <xf numFmtId="0" fontId="3" fillId="0" borderId="0"/>
    <xf numFmtId="0" fontId="2" fillId="0" borderId="0"/>
    <xf numFmtId="43" fontId="2" fillId="0" borderId="0" applyFont="0" applyFill="0" applyBorder="0" applyAlignment="0" applyProtection="0"/>
    <xf numFmtId="9" fontId="70" fillId="0" borderId="0" applyFont="0" applyFill="0" applyBorder="0" applyAlignment="0" applyProtection="0"/>
  </cellStyleXfs>
  <cellXfs count="973">
    <xf numFmtId="0" fontId="0" fillId="0" borderId="0" xfId="0"/>
    <xf numFmtId="0" fontId="23" fillId="24" borderId="0" xfId="0" applyFont="1" applyFill="1" applyBorder="1" applyAlignment="1" applyProtection="1">
      <alignment horizontal="center" vertical="center"/>
    </xf>
    <xf numFmtId="0" fontId="7" fillId="0" borderId="0" xfId="0" applyFont="1"/>
    <xf numFmtId="0" fontId="4" fillId="0" borderId="0" xfId="0" applyFont="1"/>
    <xf numFmtId="0" fontId="8" fillId="0" borderId="0" xfId="0" applyFont="1"/>
    <xf numFmtId="2" fontId="0" fillId="0" borderId="0" xfId="0" applyNumberFormat="1"/>
    <xf numFmtId="0" fontId="4" fillId="2" borderId="0" xfId="0" applyFont="1" applyFill="1"/>
    <xf numFmtId="0" fontId="0" fillId="0" borderId="0" xfId="0" applyBorder="1"/>
    <xf numFmtId="2" fontId="0" fillId="0" borderId="0" xfId="0" applyNumberFormat="1" applyBorder="1"/>
    <xf numFmtId="0" fontId="0" fillId="4" borderId="2" xfId="0" applyFill="1" applyBorder="1"/>
    <xf numFmtId="0" fontId="0" fillId="4" borderId="0" xfId="0" applyFill="1" applyBorder="1"/>
    <xf numFmtId="0" fontId="0" fillId="0" borderId="0" xfId="0" applyFill="1"/>
    <xf numFmtId="0" fontId="0" fillId="0" borderId="0" xfId="0" applyFill="1" applyBorder="1"/>
    <xf numFmtId="0" fontId="15" fillId="0" borderId="0" xfId="0" applyFont="1" applyFill="1" applyBorder="1"/>
    <xf numFmtId="0" fontId="4" fillId="0" borderId="0" xfId="0" applyFont="1" applyFill="1" applyBorder="1"/>
    <xf numFmtId="0" fontId="0" fillId="9" borderId="0" xfId="0" applyFill="1"/>
    <xf numFmtId="0" fontId="0" fillId="0" borderId="0" xfId="0" applyAlignment="1">
      <alignment horizontal="right"/>
    </xf>
    <xf numFmtId="0" fontId="17" fillId="0" borderId="0" xfId="0" applyFont="1"/>
    <xf numFmtId="11" fontId="7" fillId="0" borderId="0" xfId="0" applyNumberFormat="1" applyFont="1"/>
    <xf numFmtId="0" fontId="4" fillId="0" borderId="0" xfId="0" applyFont="1" applyFill="1" applyAlignment="1">
      <alignment horizontal="center"/>
    </xf>
    <xf numFmtId="0" fontId="4" fillId="4" borderId="0" xfId="0" applyFont="1" applyFill="1" applyAlignment="1">
      <alignment horizontal="center"/>
    </xf>
    <xf numFmtId="0" fontId="4" fillId="10" borderId="0" xfId="0" applyFont="1" applyFill="1" applyAlignment="1">
      <alignment horizontal="center"/>
    </xf>
    <xf numFmtId="0" fontId="4" fillId="11" borderId="0" xfId="0" applyFont="1" applyFill="1" applyAlignment="1">
      <alignment horizontal="center"/>
    </xf>
    <xf numFmtId="169" fontId="17" fillId="3" borderId="0" xfId="0" applyNumberFormat="1" applyFont="1" applyFill="1" applyBorder="1" applyAlignment="1" applyProtection="1">
      <alignment horizontal="center"/>
    </xf>
    <xf numFmtId="0" fontId="0" fillId="0" borderId="22" xfId="0" applyBorder="1"/>
    <xf numFmtId="0" fontId="0" fillId="0" borderId="23" xfId="0" applyBorder="1"/>
    <xf numFmtId="0" fontId="8" fillId="0" borderId="22" xfId="0" applyFont="1" applyBorder="1"/>
    <xf numFmtId="0" fontId="0" fillId="11" borderId="0" xfId="0" applyFill="1" applyBorder="1"/>
    <xf numFmtId="0" fontId="0" fillId="0" borderId="24" xfId="0" applyBorder="1"/>
    <xf numFmtId="0" fontId="0" fillId="0" borderId="25" xfId="0" applyBorder="1"/>
    <xf numFmtId="0" fontId="0" fillId="0" borderId="26" xfId="0" applyBorder="1"/>
    <xf numFmtId="0" fontId="0" fillId="0" borderId="2" xfId="0" applyBorder="1"/>
    <xf numFmtId="0" fontId="0" fillId="0" borderId="3" xfId="0" applyBorder="1"/>
    <xf numFmtId="0" fontId="7" fillId="0" borderId="22" xfId="0" applyFont="1" applyBorder="1"/>
    <xf numFmtId="0" fontId="4" fillId="0" borderId="22" xfId="0" applyFont="1" applyBorder="1"/>
    <xf numFmtId="11" fontId="0" fillId="11" borderId="0" xfId="0" applyNumberFormat="1" applyFill="1" applyBorder="1"/>
    <xf numFmtId="0" fontId="0" fillId="10" borderId="0" xfId="0" applyFill="1" applyBorder="1"/>
    <xf numFmtId="0" fontId="0" fillId="0" borderId="0" xfId="0" applyBorder="1" applyAlignment="1">
      <alignment horizontal="right"/>
    </xf>
    <xf numFmtId="0" fontId="0" fillId="0" borderId="25" xfId="0" applyBorder="1" applyAlignment="1">
      <alignment horizontal="right"/>
    </xf>
    <xf numFmtId="0" fontId="4" fillId="0" borderId="0" xfId="0" applyFont="1" applyBorder="1"/>
    <xf numFmtId="11" fontId="7" fillId="0" borderId="25" xfId="0" applyNumberFormat="1" applyFont="1" applyBorder="1"/>
    <xf numFmtId="11" fontId="0" fillId="4" borderId="0" xfId="0" applyNumberFormat="1" applyFill="1" applyBorder="1"/>
    <xf numFmtId="0" fontId="4" fillId="0" borderId="0" xfId="0" applyFont="1" applyFill="1" applyBorder="1" applyAlignment="1"/>
    <xf numFmtId="0" fontId="8" fillId="0" borderId="0" xfId="0" applyFont="1" applyFill="1" applyBorder="1" applyAlignment="1"/>
    <xf numFmtId="0" fontId="8" fillId="0" borderId="0" xfId="0" applyFont="1" applyFill="1" applyBorder="1"/>
    <xf numFmtId="0" fontId="17" fillId="3" borderId="0" xfId="0" applyFont="1" applyFill="1" applyBorder="1" applyProtection="1"/>
    <xf numFmtId="0" fontId="17" fillId="3" borderId="0" xfId="0" applyFont="1" applyFill="1" applyProtection="1"/>
    <xf numFmtId="0" fontId="18" fillId="8" borderId="0" xfId="0" applyFont="1" applyFill="1" applyBorder="1" applyAlignment="1" applyProtection="1"/>
    <xf numFmtId="0" fontId="18" fillId="8" borderId="0" xfId="0" applyFont="1" applyFill="1" applyBorder="1" applyAlignment="1" applyProtection="1">
      <alignment horizontal="right"/>
    </xf>
    <xf numFmtId="0" fontId="17" fillId="8" borderId="0" xfId="0" applyFont="1" applyFill="1" applyBorder="1" applyProtection="1"/>
    <xf numFmtId="0" fontId="21" fillId="0" borderId="0" xfId="0" applyFont="1" applyBorder="1"/>
    <xf numFmtId="0" fontId="4" fillId="0" borderId="0" xfId="0" applyFont="1" applyBorder="1" applyAlignment="1">
      <alignment horizontal="center"/>
    </xf>
    <xf numFmtId="0" fontId="0" fillId="0" borderId="1" xfId="0" applyBorder="1"/>
    <xf numFmtId="0" fontId="0" fillId="0" borderId="2" xfId="0" applyBorder="1" applyAlignment="1">
      <alignment horizontal="right"/>
    </xf>
    <xf numFmtId="0" fontId="22" fillId="0" borderId="0" xfId="0" applyFont="1" applyBorder="1"/>
    <xf numFmtId="0" fontId="4" fillId="0" borderId="22" xfId="0" applyFont="1" applyFill="1" applyBorder="1"/>
    <xf numFmtId="0" fontId="8" fillId="0" borderId="22" xfId="0" applyFont="1" applyFill="1" applyBorder="1"/>
    <xf numFmtId="0" fontId="0" fillId="0" borderId="2" xfId="0" applyBorder="1" applyAlignment="1"/>
    <xf numFmtId="0" fontId="27" fillId="0" borderId="0" xfId="0" applyFont="1" applyBorder="1"/>
    <xf numFmtId="0" fontId="27" fillId="4" borderId="0" xfId="0" applyFont="1" applyFill="1" applyBorder="1"/>
    <xf numFmtId="0" fontId="0" fillId="0" borderId="0" xfId="0" applyFont="1" applyFill="1" applyBorder="1"/>
    <xf numFmtId="0" fontId="21" fillId="0" borderId="32" xfId="0" applyFont="1" applyBorder="1"/>
    <xf numFmtId="0" fontId="0" fillId="0" borderId="27" xfId="0" applyBorder="1"/>
    <xf numFmtId="0" fontId="0" fillId="0" borderId="29" xfId="0" applyBorder="1"/>
    <xf numFmtId="0" fontId="8" fillId="0" borderId="33" xfId="0" applyFont="1" applyBorder="1"/>
    <xf numFmtId="0" fontId="0" fillId="0" borderId="30" xfId="0" applyBorder="1"/>
    <xf numFmtId="0" fontId="27" fillId="0" borderId="33" xfId="0" applyFont="1" applyBorder="1"/>
    <xf numFmtId="0" fontId="27" fillId="0" borderId="33" xfId="0" applyFont="1" applyFill="1" applyBorder="1"/>
    <xf numFmtId="0" fontId="27" fillId="0" borderId="34" xfId="0" applyFont="1" applyBorder="1"/>
    <xf numFmtId="0" fontId="27" fillId="0" borderId="28" xfId="0" applyFont="1" applyBorder="1"/>
    <xf numFmtId="0" fontId="0" fillId="0" borderId="28" xfId="0" applyBorder="1"/>
    <xf numFmtId="0" fontId="0" fillId="0" borderId="31" xfId="0" applyBorder="1"/>
    <xf numFmtId="0" fontId="19" fillId="8" borderId="0" xfId="0" applyFont="1" applyFill="1" applyBorder="1" applyProtection="1"/>
    <xf numFmtId="2" fontId="17" fillId="8" borderId="0" xfId="0" applyNumberFormat="1" applyFont="1" applyFill="1" applyBorder="1" applyProtection="1"/>
    <xf numFmtId="165" fontId="17" fillId="8" borderId="0" xfId="0" applyNumberFormat="1" applyFont="1" applyFill="1" applyBorder="1" applyProtection="1"/>
    <xf numFmtId="0" fontId="17" fillId="12" borderId="0" xfId="0" applyFont="1" applyFill="1" applyProtection="1"/>
    <xf numFmtId="0" fontId="3" fillId="0" borderId="0" xfId="0" applyFont="1"/>
    <xf numFmtId="0" fontId="3" fillId="0" borderId="0" xfId="0" applyFont="1" applyBorder="1"/>
    <xf numFmtId="0" fontId="0" fillId="0" borderId="0" xfId="0" applyBorder="1" applyAlignment="1">
      <alignment horizontal="left"/>
    </xf>
    <xf numFmtId="0" fontId="3" fillId="0" borderId="2" xfId="0" applyFont="1" applyBorder="1"/>
    <xf numFmtId="0" fontId="3" fillId="0" borderId="25" xfId="0" applyFont="1" applyBorder="1"/>
    <xf numFmtId="0" fontId="30" fillId="8" borderId="0" xfId="0" applyFont="1" applyFill="1" applyBorder="1" applyAlignment="1" applyProtection="1"/>
    <xf numFmtId="0" fontId="17" fillId="12" borderId="0" xfId="0" applyFont="1" applyFill="1" applyBorder="1" applyProtection="1"/>
    <xf numFmtId="0" fontId="20" fillId="15" borderId="0" xfId="0" applyFont="1" applyFill="1" applyBorder="1" applyAlignment="1" applyProtection="1">
      <alignment vertical="center"/>
    </xf>
    <xf numFmtId="0" fontId="0" fillId="14" borderId="0" xfId="0" applyFill="1"/>
    <xf numFmtId="0" fontId="42" fillId="14" borderId="0" xfId="0" applyFont="1" applyFill="1"/>
    <xf numFmtId="0" fontId="4" fillId="8" borderId="0" xfId="0" applyFont="1" applyFill="1" applyBorder="1" applyAlignment="1" applyProtection="1">
      <alignment horizontal="right"/>
    </xf>
    <xf numFmtId="0" fontId="3" fillId="8" borderId="0" xfId="0" applyFont="1" applyFill="1" applyBorder="1" applyAlignment="1" applyProtection="1">
      <alignment horizontal="right"/>
    </xf>
    <xf numFmtId="0" fontId="3" fillId="8" borderId="22" xfId="0" applyFont="1" applyFill="1" applyBorder="1" applyProtection="1"/>
    <xf numFmtId="0" fontId="3" fillId="8" borderId="0" xfId="0" applyFont="1" applyFill="1" applyBorder="1" applyProtection="1"/>
    <xf numFmtId="0" fontId="45" fillId="8" borderId="0" xfId="0" applyFont="1" applyFill="1" applyBorder="1" applyProtection="1"/>
    <xf numFmtId="0" fontId="46" fillId="8" borderId="0" xfId="0" applyFont="1" applyFill="1" applyBorder="1" applyProtection="1"/>
    <xf numFmtId="0" fontId="47" fillId="8" borderId="0" xfId="0" applyFont="1" applyFill="1" applyBorder="1" applyAlignment="1" applyProtection="1"/>
    <xf numFmtId="0" fontId="4" fillId="8" borderId="0" xfId="0" applyFont="1" applyFill="1" applyBorder="1" applyAlignment="1" applyProtection="1"/>
    <xf numFmtId="167" fontId="4" fillId="8" borderId="0" xfId="0" applyNumberFormat="1" applyFont="1" applyFill="1" applyBorder="1" applyAlignment="1" applyProtection="1"/>
    <xf numFmtId="0" fontId="47" fillId="8" borderId="0" xfId="0" applyFont="1" applyFill="1" applyBorder="1" applyProtection="1"/>
    <xf numFmtId="0" fontId="4" fillId="8" borderId="0" xfId="0" applyFont="1" applyFill="1" applyBorder="1" applyProtection="1"/>
    <xf numFmtId="0" fontId="4" fillId="8" borderId="22" xfId="0" applyFont="1" applyFill="1" applyBorder="1" applyProtection="1"/>
    <xf numFmtId="0" fontId="4" fillId="15" borderId="0" xfId="0" applyFont="1" applyFill="1" applyBorder="1" applyProtection="1">
      <protection locked="0"/>
    </xf>
    <xf numFmtId="1" fontId="44" fillId="8" borderId="0" xfId="0" applyNumberFormat="1" applyFont="1" applyFill="1" applyBorder="1" applyAlignment="1" applyProtection="1">
      <alignment horizontal="right"/>
    </xf>
    <xf numFmtId="0" fontId="50" fillId="8" borderId="0" xfId="0" applyFont="1" applyFill="1" applyBorder="1" applyAlignment="1" applyProtection="1">
      <alignment horizontal="right"/>
    </xf>
    <xf numFmtId="0" fontId="3" fillId="8" borderId="24" xfId="0" applyFont="1" applyFill="1" applyBorder="1" applyProtection="1"/>
    <xf numFmtId="0" fontId="3" fillId="8" borderId="25" xfId="0" applyFont="1" applyFill="1" applyBorder="1" applyProtection="1"/>
    <xf numFmtId="0" fontId="3" fillId="8" borderId="23" xfId="0" applyFont="1" applyFill="1" applyBorder="1" applyProtection="1"/>
    <xf numFmtId="0" fontId="3" fillId="8" borderId="39" xfId="0" applyFont="1" applyFill="1" applyBorder="1" applyProtection="1"/>
    <xf numFmtId="0" fontId="3" fillId="8" borderId="40" xfId="0" applyFont="1" applyFill="1" applyBorder="1" applyProtection="1"/>
    <xf numFmtId="0" fontId="22" fillId="8" borderId="22" xfId="0" applyFont="1" applyFill="1" applyBorder="1" applyAlignment="1" applyProtection="1">
      <alignment vertical="center"/>
    </xf>
    <xf numFmtId="0" fontId="17" fillId="3" borderId="22" xfId="0" applyFont="1" applyFill="1" applyBorder="1" applyProtection="1"/>
    <xf numFmtId="0" fontId="4" fillId="8" borderId="39" xfId="0" applyFont="1" applyFill="1" applyBorder="1" applyProtection="1"/>
    <xf numFmtId="0" fontId="3" fillId="0" borderId="1" xfId="0" applyFont="1" applyBorder="1"/>
    <xf numFmtId="0" fontId="3" fillId="0" borderId="22" xfId="0" applyFont="1" applyBorder="1"/>
    <xf numFmtId="0" fontId="3" fillId="0" borderId="0" xfId="0" applyFont="1" applyFill="1" applyBorder="1"/>
    <xf numFmtId="2" fontId="0" fillId="0" borderId="0" xfId="0" applyNumberFormat="1" applyBorder="1" applyAlignment="1">
      <alignment horizontal="right"/>
    </xf>
    <xf numFmtId="0" fontId="53" fillId="0" borderId="0" xfId="0" applyFont="1" applyBorder="1"/>
    <xf numFmtId="0" fontId="3" fillId="8" borderId="0" xfId="4" applyFill="1"/>
    <xf numFmtId="0" fontId="11" fillId="8" borderId="0" xfId="4" applyFont="1" applyFill="1" applyAlignment="1">
      <alignment vertical="center"/>
    </xf>
    <xf numFmtId="0" fontId="3" fillId="16" borderId="17" xfId="4" applyFill="1" applyBorder="1" applyAlignment="1">
      <alignment horizontal="center" vertical="center"/>
    </xf>
    <xf numFmtId="0" fontId="3" fillId="8" borderId="0" xfId="4" applyFill="1" applyAlignment="1">
      <alignment vertical="center"/>
    </xf>
    <xf numFmtId="0" fontId="3" fillId="17" borderId="17" xfId="4" applyFill="1" applyBorder="1" applyAlignment="1">
      <alignment horizontal="center" vertical="center"/>
    </xf>
    <xf numFmtId="0" fontId="3" fillId="17" borderId="11" xfId="4" applyFill="1" applyBorder="1" applyAlignment="1">
      <alignment vertical="center" wrapText="1"/>
    </xf>
    <xf numFmtId="0" fontId="3" fillId="17" borderId="11" xfId="4" quotePrefix="1" applyFill="1" applyBorder="1" applyAlignment="1">
      <alignment horizontal="left" vertical="center"/>
    </xf>
    <xf numFmtId="0" fontId="3" fillId="17" borderId="11" xfId="4" applyFill="1" applyBorder="1" applyAlignment="1">
      <alignment horizontal="left" vertical="center"/>
    </xf>
    <xf numFmtId="0" fontId="3" fillId="12" borderId="17" xfId="4" applyFill="1" applyBorder="1" applyAlignment="1">
      <alignment horizontal="center" vertical="center"/>
    </xf>
    <xf numFmtId="0" fontId="3" fillId="12" borderId="11" xfId="4" applyFill="1" applyBorder="1" applyAlignment="1">
      <alignment vertical="center" wrapText="1"/>
    </xf>
    <xf numFmtId="170" fontId="3" fillId="12" borderId="11" xfId="4" applyNumberFormat="1" applyFill="1" applyBorder="1" applyAlignment="1">
      <alignment horizontal="center" vertical="center"/>
    </xf>
    <xf numFmtId="0" fontId="3" fillId="12" borderId="11" xfId="4" quotePrefix="1" applyFill="1" applyBorder="1" applyAlignment="1">
      <alignment horizontal="left" vertical="center"/>
    </xf>
    <xf numFmtId="0" fontId="3" fillId="12" borderId="11" xfId="4" applyFill="1" applyBorder="1" applyAlignment="1">
      <alignment horizontal="left" vertical="center"/>
    </xf>
    <xf numFmtId="0" fontId="3" fillId="16" borderId="11" xfId="4" applyFill="1" applyBorder="1" applyAlignment="1">
      <alignment vertical="center" wrapText="1"/>
    </xf>
    <xf numFmtId="0" fontId="3" fillId="16" borderId="11" xfId="4" quotePrefix="1" applyFill="1" applyBorder="1" applyAlignment="1">
      <alignment horizontal="left" vertical="center"/>
    </xf>
    <xf numFmtId="0" fontId="3" fillId="16" borderId="11" xfId="4" applyFill="1" applyBorder="1" applyAlignment="1">
      <alignment horizontal="left" vertical="center"/>
    </xf>
    <xf numFmtId="171" fontId="3" fillId="16" borderId="11" xfId="4" applyNumberFormat="1" applyFill="1" applyBorder="1" applyAlignment="1">
      <alignment horizontal="center" vertical="center"/>
    </xf>
    <xf numFmtId="0" fontId="3" fillId="12" borderId="0" xfId="4" applyFill="1"/>
    <xf numFmtId="1" fontId="0" fillId="4" borderId="0" xfId="0" applyNumberFormat="1" applyFill="1" applyBorder="1"/>
    <xf numFmtId="0" fontId="3" fillId="8" borderId="0" xfId="0" applyFont="1" applyFill="1" applyBorder="1" applyAlignment="1" applyProtection="1">
      <alignment vertical="center"/>
    </xf>
    <xf numFmtId="0" fontId="3" fillId="8" borderId="22" xfId="0" applyFont="1" applyFill="1" applyBorder="1" applyAlignment="1" applyProtection="1">
      <alignment vertical="center"/>
    </xf>
    <xf numFmtId="0" fontId="3" fillId="8" borderId="0" xfId="0" applyFont="1" applyFill="1" applyBorder="1" applyAlignment="1" applyProtection="1">
      <alignment horizontal="right" vertical="center"/>
    </xf>
    <xf numFmtId="0" fontId="3" fillId="8" borderId="23" xfId="0" applyFont="1" applyFill="1" applyBorder="1" applyAlignment="1" applyProtection="1">
      <alignment vertical="center"/>
    </xf>
    <xf numFmtId="0" fontId="3" fillId="8" borderId="24" xfId="0" applyFont="1" applyFill="1" applyBorder="1" applyAlignment="1" applyProtection="1">
      <alignment vertical="center"/>
    </xf>
    <xf numFmtId="0" fontId="3" fillId="8" borderId="25" xfId="0" applyFont="1" applyFill="1" applyBorder="1" applyAlignment="1" applyProtection="1">
      <alignment vertical="center"/>
    </xf>
    <xf numFmtId="0" fontId="3" fillId="8" borderId="26" xfId="0" applyFont="1" applyFill="1" applyBorder="1" applyAlignment="1" applyProtection="1">
      <alignment vertical="center"/>
    </xf>
    <xf numFmtId="0" fontId="3" fillId="8" borderId="37" xfId="0" applyFont="1" applyFill="1" applyBorder="1" applyAlignment="1" applyProtection="1">
      <alignment vertical="center"/>
    </xf>
    <xf numFmtId="0" fontId="3" fillId="8" borderId="2" xfId="0" applyFont="1" applyFill="1" applyBorder="1" applyAlignment="1" applyProtection="1">
      <alignment vertical="center"/>
    </xf>
    <xf numFmtId="0" fontId="50"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vertical="center"/>
      <protection locked="0"/>
    </xf>
    <xf numFmtId="0" fontId="4" fillId="8" borderId="23" xfId="0" applyFont="1" applyFill="1" applyBorder="1" applyAlignment="1" applyProtection="1">
      <alignment vertical="center"/>
    </xf>
    <xf numFmtId="1" fontId="3" fillId="8" borderId="0" xfId="0" applyNumberFormat="1" applyFont="1" applyFill="1" applyBorder="1" applyAlignment="1" applyProtection="1">
      <alignment horizontal="right" vertical="center"/>
    </xf>
    <xf numFmtId="0" fontId="50" fillId="12" borderId="0" xfId="0" applyFont="1" applyFill="1" applyBorder="1" applyAlignment="1" applyProtection="1">
      <alignment horizontal="right" vertical="center"/>
    </xf>
    <xf numFmtId="0" fontId="4" fillId="15" borderId="0" xfId="0" applyFont="1" applyFill="1" applyBorder="1" applyAlignment="1" applyProtection="1">
      <alignment vertical="center"/>
      <protection locked="0"/>
    </xf>
    <xf numFmtId="0" fontId="4" fillId="8" borderId="0" xfId="0" applyFont="1" applyFill="1" applyBorder="1" applyAlignment="1" applyProtection="1">
      <alignment vertical="center"/>
    </xf>
    <xf numFmtId="0" fontId="4" fillId="8" borderId="0" xfId="0" applyFont="1" applyFill="1" applyBorder="1" applyAlignment="1" applyProtection="1">
      <alignment horizontal="right" vertical="center"/>
    </xf>
    <xf numFmtId="0" fontId="4" fillId="15" borderId="0" xfId="0" applyNumberFormat="1" applyFont="1" applyFill="1" applyBorder="1" applyAlignment="1" applyProtection="1">
      <alignment horizontal="right" vertical="center"/>
      <protection locked="0"/>
    </xf>
    <xf numFmtId="0" fontId="3" fillId="8" borderId="39" xfId="0" applyFont="1" applyFill="1" applyBorder="1" applyAlignment="1" applyProtection="1">
      <alignment vertical="center"/>
    </xf>
    <xf numFmtId="0" fontId="0" fillId="0" borderId="35" xfId="0" applyBorder="1"/>
    <xf numFmtId="0" fontId="0" fillId="18" borderId="0" xfId="0" applyFill="1" applyBorder="1"/>
    <xf numFmtId="0" fontId="3" fillId="0" borderId="0" xfId="0" applyFont="1" applyBorder="1" applyAlignment="1">
      <alignment horizontal="right"/>
    </xf>
    <xf numFmtId="0" fontId="4" fillId="0" borderId="35" xfId="0" applyFont="1" applyBorder="1" applyAlignment="1">
      <alignment horizontal="right"/>
    </xf>
    <xf numFmtId="0" fontId="4" fillId="0" borderId="25" xfId="0" applyFont="1" applyBorder="1" applyAlignment="1">
      <alignment horizontal="right"/>
    </xf>
    <xf numFmtId="0" fontId="4" fillId="0" borderId="0" xfId="0" applyFont="1" applyAlignment="1">
      <alignment horizontal="right"/>
    </xf>
    <xf numFmtId="0" fontId="4" fillId="0" borderId="35" xfId="0" applyFont="1" applyBorder="1"/>
    <xf numFmtId="0" fontId="4" fillId="0" borderId="25" xfId="0" applyFont="1" applyBorder="1"/>
    <xf numFmtId="0" fontId="4" fillId="0" borderId="0" xfId="0" applyFont="1" applyBorder="1" applyAlignment="1">
      <alignment horizontal="left"/>
    </xf>
    <xf numFmtId="166" fontId="7" fillId="10" borderId="0" xfId="0" applyNumberFormat="1" applyFont="1" applyFill="1" applyBorder="1"/>
    <xf numFmtId="2" fontId="0" fillId="18" borderId="0" xfId="0" applyNumberFormat="1" applyFill="1" applyBorder="1"/>
    <xf numFmtId="1" fontId="0" fillId="10" borderId="0" xfId="0" applyNumberFormat="1" applyFill="1" applyBorder="1"/>
    <xf numFmtId="0" fontId="3" fillId="0" borderId="35" xfId="0" applyFont="1" applyFill="1" applyBorder="1"/>
    <xf numFmtId="0" fontId="3" fillId="0" borderId="24" xfId="0" applyFont="1" applyBorder="1"/>
    <xf numFmtId="0" fontId="7" fillId="0" borderId="25" xfId="0" applyFont="1" applyFill="1" applyBorder="1"/>
    <xf numFmtId="167" fontId="0" fillId="0" borderId="0" xfId="0" applyNumberFormat="1" applyFill="1" applyBorder="1"/>
    <xf numFmtId="0" fontId="4" fillId="0" borderId="45" xfId="0" applyFont="1" applyFill="1" applyBorder="1"/>
    <xf numFmtId="0" fontId="0" fillId="20" borderId="0" xfId="0" applyFill="1" applyBorder="1"/>
    <xf numFmtId="0" fontId="3" fillId="0" borderId="0" xfId="4"/>
    <xf numFmtId="0" fontId="3" fillId="0" borderId="11" xfId="4" applyBorder="1"/>
    <xf numFmtId="2" fontId="3" fillId="0" borderId="0" xfId="4" applyNumberFormat="1"/>
    <xf numFmtId="166" fontId="0" fillId="0" borderId="0" xfId="0" applyNumberFormat="1"/>
    <xf numFmtId="1" fontId="7" fillId="10" borderId="0" xfId="0" applyNumberFormat="1" applyFont="1" applyFill="1" applyBorder="1"/>
    <xf numFmtId="0" fontId="3" fillId="0" borderId="49" xfId="0" applyFont="1" applyBorder="1"/>
    <xf numFmtId="166" fontId="3" fillId="0" borderId="50" xfId="0" applyNumberFormat="1" applyFont="1" applyFill="1" applyBorder="1"/>
    <xf numFmtId="11" fontId="7" fillId="0" borderId="50" xfId="0" applyNumberFormat="1" applyFont="1" applyBorder="1"/>
    <xf numFmtId="0" fontId="53" fillId="0" borderId="50" xfId="0" applyFont="1" applyBorder="1"/>
    <xf numFmtId="0" fontId="49" fillId="0" borderId="0" xfId="0" applyFont="1"/>
    <xf numFmtId="0" fontId="0" fillId="0" borderId="39" xfId="0" applyBorder="1"/>
    <xf numFmtId="0" fontId="50" fillId="0" borderId="0" xfId="0" applyFont="1"/>
    <xf numFmtId="0" fontId="48" fillId="0" borderId="0" xfId="0" applyFont="1" applyFill="1" applyBorder="1"/>
    <xf numFmtId="165" fontId="7" fillId="10" borderId="0" xfId="0" applyNumberFormat="1" applyFont="1" applyFill="1" applyBorder="1"/>
    <xf numFmtId="0" fontId="0" fillId="20" borderId="0" xfId="0" applyFill="1" applyBorder="1" applyAlignment="1">
      <alignment horizontal="right"/>
    </xf>
    <xf numFmtId="166" fontId="27" fillId="18" borderId="0" xfId="0" applyNumberFormat="1" applyFont="1" applyFill="1" applyBorder="1"/>
    <xf numFmtId="0" fontId="0" fillId="19" borderId="0" xfId="0" applyFill="1" applyBorder="1" applyAlignment="1">
      <alignment horizontal="right"/>
    </xf>
    <xf numFmtId="2" fontId="0" fillId="18" borderId="0" xfId="0" applyNumberFormat="1" applyFill="1" applyBorder="1" applyAlignment="1">
      <alignment horizontal="right"/>
    </xf>
    <xf numFmtId="0" fontId="3" fillId="0" borderId="11" xfId="4" applyFill="1" applyBorder="1"/>
    <xf numFmtId="0" fontId="3" fillId="0" borderId="0" xfId="4" applyFont="1"/>
    <xf numFmtId="166" fontId="3" fillId="0" borderId="11" xfId="4" applyNumberFormat="1" applyBorder="1"/>
    <xf numFmtId="0" fontId="0" fillId="19" borderId="0" xfId="0" applyFill="1" applyBorder="1"/>
    <xf numFmtId="2" fontId="3" fillId="0" borderId="0" xfId="0" applyNumberFormat="1" applyFont="1" applyFill="1" applyBorder="1"/>
    <xf numFmtId="0" fontId="3" fillId="20" borderId="0" xfId="0" applyFont="1" applyFill="1" applyBorder="1"/>
    <xf numFmtId="0" fontId="3" fillId="0" borderId="8" xfId="4" applyBorder="1"/>
    <xf numFmtId="176" fontId="0" fillId="10" borderId="0" xfId="0" applyNumberFormat="1" applyFill="1" applyBorder="1"/>
    <xf numFmtId="176" fontId="0" fillId="4" borderId="25" xfId="0" applyNumberFormat="1" applyFill="1" applyBorder="1"/>
    <xf numFmtId="1" fontId="3" fillId="0" borderId="0" xfId="4" applyNumberFormat="1"/>
    <xf numFmtId="0" fontId="0" fillId="0" borderId="0" xfId="0" applyNumberFormat="1" applyBorder="1"/>
    <xf numFmtId="0" fontId="0" fillId="0" borderId="0" xfId="0" applyBorder="1" applyAlignment="1"/>
    <xf numFmtId="0" fontId="15" fillId="0" borderId="33" xfId="0" applyFont="1" applyBorder="1"/>
    <xf numFmtId="0" fontId="15" fillId="0" borderId="0" xfId="0" applyFont="1" applyBorder="1"/>
    <xf numFmtId="0" fontId="54" fillId="3" borderId="43" xfId="4" applyFont="1" applyFill="1" applyBorder="1" applyAlignment="1">
      <alignment horizontal="center" vertical="center"/>
    </xf>
    <xf numFmtId="0" fontId="54" fillId="3" borderId="44" xfId="4" applyFont="1" applyFill="1" applyBorder="1" applyAlignment="1">
      <alignment horizontal="center" vertical="center"/>
    </xf>
    <xf numFmtId="11" fontId="49" fillId="0" borderId="0" xfId="0" applyNumberFormat="1" applyFont="1"/>
    <xf numFmtId="0" fontId="59" fillId="0" borderId="0" xfId="0" applyFont="1" applyFill="1" applyBorder="1"/>
    <xf numFmtId="0" fontId="3" fillId="8" borderId="35" xfId="0" applyFont="1" applyFill="1" applyBorder="1" applyAlignment="1" applyProtection="1">
      <alignment horizontal="right" vertical="center"/>
    </xf>
    <xf numFmtId="0" fontId="3" fillId="0" borderId="24" xfId="0" applyFont="1" applyFill="1" applyBorder="1"/>
    <xf numFmtId="0" fontId="3" fillId="8" borderId="39" xfId="0" applyFont="1" applyFill="1" applyBorder="1" applyAlignment="1" applyProtection="1">
      <alignment horizontal="right"/>
    </xf>
    <xf numFmtId="1" fontId="3" fillId="8" borderId="39" xfId="0" applyNumberFormat="1" applyFont="1" applyFill="1" applyBorder="1" applyProtection="1"/>
    <xf numFmtId="166" fontId="17" fillId="12" borderId="0" xfId="0" applyNumberFormat="1" applyFont="1" applyFill="1" applyBorder="1" applyProtection="1"/>
    <xf numFmtId="0" fontId="3" fillId="12" borderId="0" xfId="0" applyNumberFormat="1" applyFont="1" applyFill="1" applyBorder="1" applyAlignment="1" applyProtection="1">
      <alignment horizontal="right" vertical="center"/>
    </xf>
    <xf numFmtId="165" fontId="17" fillId="12" borderId="0" xfId="0" applyNumberFormat="1" applyFont="1" applyFill="1" applyBorder="1" applyProtection="1"/>
    <xf numFmtId="0" fontId="3" fillId="12" borderId="0" xfId="0" applyFont="1" applyFill="1" applyBorder="1" applyAlignment="1" applyProtection="1">
      <alignment vertical="center"/>
    </xf>
    <xf numFmtId="0" fontId="4" fillId="12" borderId="0" xfId="0" applyFont="1" applyFill="1" applyBorder="1" applyAlignment="1" applyProtection="1">
      <alignment vertical="center"/>
    </xf>
    <xf numFmtId="0" fontId="61" fillId="8" borderId="0" xfId="0" applyFont="1" applyFill="1" applyBorder="1" applyAlignment="1" applyProtection="1">
      <alignment horizontal="right" vertical="center"/>
    </xf>
    <xf numFmtId="165" fontId="3" fillId="0" borderId="0" xfId="4" applyNumberFormat="1"/>
    <xf numFmtId="166" fontId="3" fillId="0" borderId="0" xfId="4" applyNumberFormat="1"/>
    <xf numFmtId="164" fontId="3" fillId="0" borderId="0" xfId="4" applyNumberFormat="1"/>
    <xf numFmtId="10" fontId="3" fillId="0" borderId="0" xfId="4" applyNumberFormat="1"/>
    <xf numFmtId="0" fontId="4" fillId="4" borderId="49" xfId="4" applyFont="1" applyFill="1" applyBorder="1" applyAlignment="1"/>
    <xf numFmtId="0" fontId="7" fillId="4" borderId="35" xfId="4" applyFont="1" applyFill="1" applyBorder="1" applyAlignment="1"/>
    <xf numFmtId="165" fontId="3" fillId="4" borderId="52" xfId="4" applyNumberFormat="1" applyFill="1" applyBorder="1"/>
    <xf numFmtId="165" fontId="4" fillId="4" borderId="49" xfId="4" applyNumberFormat="1" applyFont="1" applyFill="1" applyBorder="1" applyAlignment="1"/>
    <xf numFmtId="165" fontId="7" fillId="4" borderId="50" xfId="4" applyNumberFormat="1" applyFont="1" applyFill="1" applyBorder="1" applyAlignment="1"/>
    <xf numFmtId="0" fontId="7" fillId="4" borderId="50" xfId="4" applyFont="1" applyFill="1" applyBorder="1" applyAlignment="1"/>
    <xf numFmtId="165" fontId="15" fillId="4" borderId="52" xfId="4" applyNumberFormat="1" applyFont="1" applyFill="1" applyBorder="1"/>
    <xf numFmtId="166" fontId="4" fillId="4" borderId="50" xfId="4" applyNumberFormat="1" applyFont="1" applyFill="1" applyBorder="1" applyAlignment="1">
      <alignment horizontal="left"/>
    </xf>
    <xf numFmtId="165" fontId="7" fillId="4" borderId="50" xfId="4" applyNumberFormat="1" applyFont="1" applyFill="1" applyBorder="1" applyAlignment="1">
      <alignment horizontal="center"/>
    </xf>
    <xf numFmtId="165" fontId="4" fillId="4" borderId="49" xfId="4" applyNumberFormat="1" applyFont="1" applyFill="1" applyBorder="1"/>
    <xf numFmtId="164" fontId="3" fillId="4" borderId="50" xfId="4" applyNumberFormat="1" applyFill="1" applyBorder="1"/>
    <xf numFmtId="164" fontId="3" fillId="4" borderId="52" xfId="4" applyNumberFormat="1" applyFill="1" applyBorder="1"/>
    <xf numFmtId="165" fontId="4" fillId="4" borderId="41" xfId="4" applyNumberFormat="1" applyFont="1" applyFill="1" applyBorder="1"/>
    <xf numFmtId="165" fontId="3" fillId="4" borderId="42" xfId="4" applyNumberFormat="1" applyFill="1" applyBorder="1"/>
    <xf numFmtId="165" fontId="4" fillId="4" borderId="41" xfId="4" applyNumberFormat="1" applyFont="1" applyFill="1" applyBorder="1" applyAlignment="1">
      <alignment horizontal="left"/>
    </xf>
    <xf numFmtId="165" fontId="4" fillId="4" borderId="42" xfId="4" applyNumberFormat="1" applyFont="1" applyFill="1" applyBorder="1" applyAlignment="1">
      <alignment horizontal="left"/>
    </xf>
    <xf numFmtId="165" fontId="3" fillId="4" borderId="54" xfId="4" applyNumberFormat="1" applyFill="1" applyBorder="1"/>
    <xf numFmtId="0" fontId="16" fillId="3" borderId="4" xfId="4" applyFont="1" applyFill="1" applyBorder="1" applyAlignment="1">
      <alignment vertical="center"/>
    </xf>
    <xf numFmtId="0" fontId="16" fillId="3" borderId="4" xfId="4" applyFont="1" applyFill="1" applyBorder="1" applyAlignment="1"/>
    <xf numFmtId="0" fontId="12" fillId="3" borderId="0" xfId="4" applyFont="1" applyFill="1"/>
    <xf numFmtId="0" fontId="3" fillId="3" borderId="0" xfId="4" applyFill="1"/>
    <xf numFmtId="0" fontId="4" fillId="2" borderId="5" xfId="4" applyFont="1" applyFill="1" applyBorder="1" applyAlignment="1">
      <alignment horizontal="center" vertical="center" wrapText="1"/>
    </xf>
    <xf numFmtId="0" fontId="4" fillId="2" borderId="6" xfId="4" applyFont="1" applyFill="1" applyBorder="1" applyAlignment="1">
      <alignment horizontal="center" vertical="center" wrapText="1"/>
    </xf>
    <xf numFmtId="165" fontId="4" fillId="2" borderId="7" xfId="4" applyNumberFormat="1" applyFont="1" applyFill="1" applyBorder="1" applyAlignment="1">
      <alignment horizontal="center" vertical="center" wrapText="1"/>
    </xf>
    <xf numFmtId="165" fontId="4" fillId="2" borderId="6" xfId="4" applyNumberFormat="1" applyFont="1" applyFill="1" applyBorder="1" applyAlignment="1">
      <alignment horizontal="center" vertical="center" wrapText="1"/>
    </xf>
    <xf numFmtId="1" fontId="4" fillId="2" borderId="55" xfId="4" applyNumberFormat="1" applyFont="1" applyFill="1" applyBorder="1" applyAlignment="1">
      <alignment horizontal="center" vertical="center" wrapText="1"/>
    </xf>
    <xf numFmtId="1" fontId="4" fillId="2" borderId="6" xfId="4" applyNumberFormat="1" applyFont="1" applyFill="1" applyBorder="1" applyAlignment="1">
      <alignment horizontal="center" vertical="center" wrapText="1"/>
    </xf>
    <xf numFmtId="165" fontId="4" fillId="2" borderId="5" xfId="4" applyNumberFormat="1" applyFont="1" applyFill="1" applyBorder="1" applyAlignment="1">
      <alignment horizontal="center" vertical="center" wrapText="1"/>
    </xf>
    <xf numFmtId="166" fontId="4" fillId="2" borderId="20" xfId="4" applyNumberFormat="1" applyFont="1" applyFill="1" applyBorder="1" applyAlignment="1">
      <alignment horizontal="center" vertical="center" wrapText="1"/>
    </xf>
    <xf numFmtId="164" fontId="4" fillId="2" borderId="6" xfId="4" applyNumberFormat="1" applyFont="1" applyFill="1" applyBorder="1" applyAlignment="1">
      <alignment horizontal="center" vertical="center" wrapText="1"/>
    </xf>
    <xf numFmtId="164" fontId="4" fillId="2" borderId="7" xfId="4" applyNumberFormat="1" applyFont="1" applyFill="1" applyBorder="1" applyAlignment="1">
      <alignment horizontal="center" vertical="center" wrapText="1"/>
    </xf>
    <xf numFmtId="165" fontId="4" fillId="2" borderId="19" xfId="4" applyNumberFormat="1" applyFont="1" applyFill="1" applyBorder="1" applyAlignment="1">
      <alignment horizontal="center" vertical="center" wrapText="1"/>
    </xf>
    <xf numFmtId="165" fontId="4" fillId="2" borderId="21" xfId="4" applyNumberFormat="1" applyFont="1" applyFill="1" applyBorder="1" applyAlignment="1">
      <alignment horizontal="center" vertical="center" wrapText="1"/>
    </xf>
    <xf numFmtId="165" fontId="4" fillId="2" borderId="56" xfId="4" applyNumberFormat="1" applyFont="1" applyFill="1" applyBorder="1" applyAlignment="1">
      <alignment horizontal="center" vertical="center" wrapText="1"/>
    </xf>
    <xf numFmtId="165" fontId="4" fillId="2" borderId="57" xfId="4" applyNumberFormat="1" applyFont="1" applyFill="1" applyBorder="1" applyAlignment="1">
      <alignment horizontal="center" vertical="center" wrapText="1"/>
    </xf>
    <xf numFmtId="165" fontId="4" fillId="2" borderId="58" xfId="4" applyNumberFormat="1" applyFont="1" applyFill="1" applyBorder="1" applyAlignment="1">
      <alignment horizontal="center" vertical="center" wrapText="1"/>
    </xf>
    <xf numFmtId="2" fontId="4" fillId="7" borderId="14" xfId="4" applyNumberFormat="1" applyFont="1" applyFill="1" applyBorder="1" applyAlignment="1">
      <alignment horizontal="center" vertical="center" wrapText="1"/>
    </xf>
    <xf numFmtId="0" fontId="4" fillId="2" borderId="53" xfId="4" applyFont="1" applyFill="1" applyBorder="1" applyAlignment="1">
      <alignment horizontal="center" vertical="center" wrapText="1"/>
    </xf>
    <xf numFmtId="1" fontId="4" fillId="2" borderId="0" xfId="4" quotePrefix="1" applyNumberFormat="1" applyFont="1" applyFill="1" applyBorder="1" applyAlignment="1">
      <alignment horizontal="center" vertical="center" wrapText="1"/>
    </xf>
    <xf numFmtId="0" fontId="3" fillId="0" borderId="0" xfId="4" quotePrefix="1"/>
    <xf numFmtId="0" fontId="4" fillId="2" borderId="0" xfId="4" applyFont="1" applyFill="1" applyBorder="1" applyAlignment="1">
      <alignment horizontal="center" vertical="center" wrapText="1"/>
    </xf>
    <xf numFmtId="0" fontId="4" fillId="5" borderId="8" xfId="4" applyFont="1" applyFill="1" applyBorder="1" applyAlignment="1"/>
    <xf numFmtId="0" fontId="4" fillId="5" borderId="9" xfId="4" applyFont="1" applyFill="1" applyBorder="1" applyAlignment="1"/>
    <xf numFmtId="0" fontId="4" fillId="5" borderId="10" xfId="4" applyFont="1" applyFill="1" applyBorder="1" applyAlignment="1"/>
    <xf numFmtId="0" fontId="4" fillId="5" borderId="10" xfId="4" applyFont="1" applyFill="1" applyBorder="1"/>
    <xf numFmtId="0" fontId="4" fillId="5" borderId="11" xfId="4" applyFont="1" applyFill="1" applyBorder="1"/>
    <xf numFmtId="0" fontId="4" fillId="0" borderId="0" xfId="4" applyFont="1" applyFill="1" applyBorder="1"/>
    <xf numFmtId="168" fontId="3" fillId="0" borderId="0" xfId="4" applyNumberFormat="1"/>
    <xf numFmtId="11" fontId="3" fillId="0" borderId="0" xfId="4" applyNumberFormat="1"/>
    <xf numFmtId="2" fontId="3" fillId="0" borderId="11" xfId="4" applyNumberFormat="1" applyBorder="1"/>
    <xf numFmtId="1" fontId="3" fillId="0" borderId="0" xfId="4" applyNumberFormat="1" applyFont="1" applyProtection="1">
      <protection locked="0"/>
    </xf>
    <xf numFmtId="10" fontId="3" fillId="0" borderId="0" xfId="4" applyNumberFormat="1" applyFont="1" applyProtection="1">
      <protection locked="0"/>
    </xf>
    <xf numFmtId="10" fontId="3" fillId="0" borderId="0" xfId="4" applyNumberFormat="1" applyProtection="1">
      <protection locked="0"/>
    </xf>
    <xf numFmtId="0" fontId="4" fillId="6" borderId="12" xfId="4" applyFont="1" applyFill="1" applyBorder="1"/>
    <xf numFmtId="0" fontId="3" fillId="2" borderId="11" xfId="4" applyFont="1" applyFill="1" applyBorder="1" applyProtection="1">
      <protection locked="0"/>
    </xf>
    <xf numFmtId="0" fontId="3" fillId="0" borderId="11" xfId="4" applyFont="1" applyBorder="1"/>
    <xf numFmtId="0" fontId="4" fillId="6" borderId="11" xfId="4" applyFont="1" applyFill="1" applyBorder="1"/>
    <xf numFmtId="0" fontId="3" fillId="0" borderId="11" xfId="4" applyFont="1" applyFill="1" applyBorder="1"/>
    <xf numFmtId="0" fontId="53" fillId="0" borderId="11" xfId="4" applyFont="1" applyBorder="1"/>
    <xf numFmtId="0" fontId="3" fillId="4" borderId="11" xfId="4" applyFont="1" applyFill="1" applyBorder="1"/>
    <xf numFmtId="0" fontId="3" fillId="4" borderId="11" xfId="4" applyFont="1" applyFill="1" applyBorder="1" applyProtection="1">
      <protection locked="0"/>
    </xf>
    <xf numFmtId="0" fontId="14" fillId="3" borderId="0" xfId="4" applyFont="1" applyFill="1"/>
    <xf numFmtId="0" fontId="4" fillId="5" borderId="8" xfId="4" applyFont="1" applyFill="1" applyBorder="1"/>
    <xf numFmtId="0" fontId="4" fillId="5" borderId="9" xfId="4" applyFont="1" applyFill="1" applyBorder="1"/>
    <xf numFmtId="0" fontId="4" fillId="5" borderId="15" xfId="4" applyFont="1" applyFill="1" applyBorder="1"/>
    <xf numFmtId="0" fontId="3" fillId="4" borderId="11" xfId="4" applyFill="1" applyBorder="1"/>
    <xf numFmtId="166" fontId="15" fillId="22" borderId="11" xfId="4" applyNumberFormat="1" applyFont="1" applyFill="1" applyBorder="1"/>
    <xf numFmtId="0" fontId="3" fillId="0" borderId="15" xfId="4" applyFont="1" applyBorder="1"/>
    <xf numFmtId="11" fontId="3" fillId="0" borderId="8" xfId="4" applyNumberFormat="1" applyBorder="1"/>
    <xf numFmtId="11" fontId="3" fillId="0" borderId="11" xfId="4" applyNumberFormat="1" applyBorder="1"/>
    <xf numFmtId="1" fontId="15" fillId="22" borderId="11" xfId="4" applyNumberFormat="1" applyFont="1" applyFill="1" applyBorder="1"/>
    <xf numFmtId="1" fontId="62" fillId="22" borderId="11" xfId="4" applyNumberFormat="1" applyFont="1" applyFill="1" applyBorder="1"/>
    <xf numFmtId="1" fontId="3" fillId="0" borderId="8" xfId="4" applyNumberFormat="1" applyBorder="1"/>
    <xf numFmtId="0" fontId="3" fillId="23" borderId="11" xfId="4" applyFill="1" applyBorder="1"/>
    <xf numFmtId="1" fontId="15" fillId="22" borderId="11" xfId="4" applyNumberFormat="1" applyFont="1" applyFill="1" applyBorder="1" applyProtection="1">
      <protection locked="0"/>
    </xf>
    <xf numFmtId="175" fontId="3" fillId="0" borderId="11" xfId="4" applyNumberFormat="1" applyBorder="1"/>
    <xf numFmtId="0" fontId="4" fillId="6" borderId="8" xfId="4" applyFont="1" applyFill="1" applyBorder="1"/>
    <xf numFmtId="0" fontId="4" fillId="0" borderId="0" xfId="4" applyFont="1" applyFill="1" applyBorder="1" applyAlignment="1">
      <alignment horizontal="right"/>
    </xf>
    <xf numFmtId="0" fontId="3" fillId="6" borderId="8" xfId="4" applyFill="1" applyBorder="1"/>
    <xf numFmtId="0" fontId="3" fillId="0" borderId="47" xfId="4" applyFont="1" applyFill="1" applyBorder="1"/>
    <xf numFmtId="0" fontId="53" fillId="0" borderId="15" xfId="4" applyFont="1" applyBorder="1"/>
    <xf numFmtId="0" fontId="3" fillId="6" borderId="8" xfId="4" applyFont="1" applyFill="1" applyBorder="1"/>
    <xf numFmtId="176" fontId="3" fillId="0" borderId="47" xfId="4" applyNumberFormat="1" applyFont="1" applyFill="1" applyBorder="1"/>
    <xf numFmtId="175" fontId="3" fillId="0" borderId="11" xfId="4" applyNumberFormat="1" applyFont="1" applyFill="1" applyBorder="1"/>
    <xf numFmtId="0" fontId="4" fillId="0" borderId="11" xfId="4" applyFont="1" applyFill="1" applyBorder="1"/>
    <xf numFmtId="0" fontId="4" fillId="6" borderId="48" xfId="4" applyFont="1" applyFill="1" applyBorder="1"/>
    <xf numFmtId="0" fontId="3" fillId="0" borderId="16" xfId="4" applyFont="1" applyBorder="1"/>
    <xf numFmtId="11" fontId="3" fillId="0" borderId="48" xfId="4" applyNumberFormat="1" applyBorder="1"/>
    <xf numFmtId="0" fontId="3" fillId="0" borderId="12" xfId="4" applyFont="1" applyFill="1" applyBorder="1"/>
    <xf numFmtId="0" fontId="4" fillId="5" borderId="0" xfId="4" applyFont="1" applyFill="1"/>
    <xf numFmtId="0" fontId="4" fillId="5" borderId="0" xfId="4" applyFont="1" applyFill="1" applyBorder="1"/>
    <xf numFmtId="0" fontId="4" fillId="5" borderId="14" xfId="4" applyFont="1" applyFill="1" applyBorder="1"/>
    <xf numFmtId="0" fontId="3" fillId="0" borderId="11" xfId="4" applyFont="1" applyFill="1" applyBorder="1" applyProtection="1">
      <protection locked="0"/>
    </xf>
    <xf numFmtId="0" fontId="3" fillId="6" borderId="9" xfId="4" applyFill="1" applyBorder="1"/>
    <xf numFmtId="0" fontId="3" fillId="0" borderId="47" xfId="4" applyFont="1" applyFill="1" applyBorder="1" applyProtection="1">
      <protection locked="0"/>
    </xf>
    <xf numFmtId="0" fontId="4" fillId="5" borderId="4" xfId="4" applyFont="1" applyFill="1" applyBorder="1" applyAlignment="1"/>
    <xf numFmtId="0" fontId="4" fillId="5" borderId="12" xfId="4" applyFont="1" applyFill="1" applyBorder="1"/>
    <xf numFmtId="0" fontId="3" fillId="6" borderId="11" xfId="4" applyFill="1" applyBorder="1"/>
    <xf numFmtId="0" fontId="3" fillId="0" borderId="51" xfId="4" applyFont="1" applyFill="1" applyBorder="1" applyProtection="1">
      <protection locked="0"/>
    </xf>
    <xf numFmtId="0" fontId="3" fillId="21" borderId="51" xfId="4" applyFont="1" applyFill="1" applyBorder="1" applyProtection="1">
      <protection locked="0"/>
    </xf>
    <xf numFmtId="0" fontId="3" fillId="0" borderId="0" xfId="4" applyFont="1" applyFill="1" applyBorder="1"/>
    <xf numFmtId="176" fontId="3" fillId="0" borderId="11" xfId="4" applyNumberFormat="1" applyBorder="1"/>
    <xf numFmtId="0" fontId="4" fillId="5" borderId="0" xfId="4" applyFont="1" applyFill="1" applyBorder="1" applyAlignment="1" applyProtection="1">
      <protection locked="0"/>
    </xf>
    <xf numFmtId="0" fontId="4" fillId="5" borderId="13" xfId="4" applyFont="1" applyFill="1" applyBorder="1"/>
    <xf numFmtId="0" fontId="3" fillId="6" borderId="11" xfId="4" applyFont="1" applyFill="1" applyBorder="1"/>
    <xf numFmtId="0" fontId="4" fillId="0" borderId="0" xfId="4" applyFont="1" applyAlignment="1">
      <alignment horizontal="right"/>
    </xf>
    <xf numFmtId="167" fontId="58" fillId="0" borderId="0" xfId="4" applyNumberFormat="1" applyFont="1"/>
    <xf numFmtId="0" fontId="58" fillId="0" borderId="0" xfId="4" applyFont="1"/>
    <xf numFmtId="0" fontId="48" fillId="0" borderId="0" xfId="4" applyNumberFormat="1" applyFont="1"/>
    <xf numFmtId="166" fontId="3" fillId="0" borderId="0" xfId="4" applyNumberFormat="1" applyFont="1"/>
    <xf numFmtId="165" fontId="3" fillId="0" borderId="0" xfId="4" applyNumberFormat="1" applyFont="1"/>
    <xf numFmtId="0" fontId="4" fillId="0" borderId="0" xfId="4" applyNumberFormat="1" applyFont="1"/>
    <xf numFmtId="2" fontId="4" fillId="0" borderId="0" xfId="4" applyNumberFormat="1" applyFont="1"/>
    <xf numFmtId="0" fontId="4" fillId="0" borderId="0" xfId="4" applyFont="1"/>
    <xf numFmtId="165" fontId="48" fillId="0" borderId="0" xfId="4" applyNumberFormat="1" applyFont="1"/>
    <xf numFmtId="1" fontId="4" fillId="0" borderId="0" xfId="4" applyNumberFormat="1" applyFont="1"/>
    <xf numFmtId="165" fontId="4" fillId="0" borderId="0" xfId="4" applyNumberFormat="1" applyFont="1"/>
    <xf numFmtId="1" fontId="4" fillId="0" borderId="0" xfId="4" applyNumberFormat="1" applyFont="1" applyBorder="1"/>
    <xf numFmtId="0" fontId="3" fillId="0" borderId="0" xfId="4" applyNumberFormat="1"/>
    <xf numFmtId="2" fontId="7" fillId="4" borderId="50" xfId="4" applyNumberFormat="1" applyFont="1" applyFill="1" applyBorder="1" applyAlignment="1"/>
    <xf numFmtId="2" fontId="4" fillId="2" borderId="53" xfId="4" applyNumberFormat="1" applyFont="1" applyFill="1" applyBorder="1" applyAlignment="1">
      <alignment horizontal="center" vertical="center" wrapText="1"/>
    </xf>
    <xf numFmtId="2" fontId="7" fillId="4" borderId="52" xfId="4" applyNumberFormat="1" applyFont="1" applyFill="1" applyBorder="1" applyAlignment="1"/>
    <xf numFmtId="2" fontId="4" fillId="2" borderId="18" xfId="4" applyNumberFormat="1" applyFont="1" applyFill="1" applyBorder="1" applyAlignment="1">
      <alignment horizontal="center" vertical="center" wrapText="1"/>
    </xf>
    <xf numFmtId="166" fontId="7" fillId="4" borderId="50" xfId="4" applyNumberFormat="1" applyFont="1" applyFill="1" applyBorder="1" applyAlignment="1"/>
    <xf numFmtId="166" fontId="4" fillId="2" borderId="42" xfId="4" applyNumberFormat="1" applyFont="1" applyFill="1" applyBorder="1" applyAlignment="1">
      <alignment horizontal="center" vertical="center" wrapText="1"/>
    </xf>
    <xf numFmtId="178" fontId="3" fillId="0" borderId="0" xfId="4" applyNumberFormat="1"/>
    <xf numFmtId="178" fontId="7" fillId="4" borderId="50" xfId="4" applyNumberFormat="1" applyFont="1" applyFill="1" applyBorder="1" applyAlignment="1"/>
    <xf numFmtId="178" fontId="4" fillId="2" borderId="6" xfId="4" applyNumberFormat="1" applyFont="1" applyFill="1" applyBorder="1" applyAlignment="1">
      <alignment horizontal="center" vertical="center" wrapText="1"/>
    </xf>
    <xf numFmtId="178" fontId="4" fillId="2" borderId="19" xfId="4" applyNumberFormat="1" applyFont="1" applyFill="1" applyBorder="1" applyAlignment="1">
      <alignment horizontal="center" vertical="center" wrapText="1"/>
    </xf>
    <xf numFmtId="178" fontId="4" fillId="2" borderId="41" xfId="4" applyNumberFormat="1" applyFont="1" applyFill="1" applyBorder="1" applyAlignment="1">
      <alignment horizontal="center" vertical="center" wrapText="1"/>
    </xf>
    <xf numFmtId="178" fontId="4" fillId="2" borderId="53" xfId="4" applyNumberFormat="1" applyFont="1" applyFill="1" applyBorder="1" applyAlignment="1">
      <alignment horizontal="center" vertical="center" wrapText="1"/>
    </xf>
    <xf numFmtId="178" fontId="4" fillId="2" borderId="42" xfId="4" applyNumberFormat="1" applyFont="1" applyFill="1" applyBorder="1" applyAlignment="1">
      <alignment horizontal="center" vertical="center" wrapText="1"/>
    </xf>
    <xf numFmtId="178" fontId="4" fillId="0" borderId="0" xfId="4" applyNumberFormat="1" applyFont="1"/>
    <xf numFmtId="0" fontId="0" fillId="0" borderId="0" xfId="0" applyNumberFormat="1" applyBorder="1" applyAlignment="1">
      <alignment horizontal="left"/>
    </xf>
    <xf numFmtId="2" fontId="4" fillId="2" borderId="58" xfId="4" applyNumberFormat="1" applyFont="1" applyFill="1" applyBorder="1" applyAlignment="1">
      <alignment horizontal="center" vertical="center" wrapText="1"/>
    </xf>
    <xf numFmtId="2" fontId="4" fillId="2" borderId="21" xfId="4" applyNumberFormat="1" applyFont="1" applyFill="1" applyBorder="1" applyAlignment="1">
      <alignment horizontal="center" vertical="center" wrapText="1"/>
    </xf>
    <xf numFmtId="0" fontId="4" fillId="8" borderId="0" xfId="0" applyFont="1" applyFill="1" applyBorder="1" applyAlignment="1" applyProtection="1">
      <alignment vertical="top"/>
    </xf>
    <xf numFmtId="167" fontId="3" fillId="2" borderId="11" xfId="4" applyNumberFormat="1" applyFont="1" applyFill="1" applyBorder="1" applyProtection="1">
      <protection locked="0"/>
    </xf>
    <xf numFmtId="1" fontId="3" fillId="0" borderId="47" xfId="4" applyNumberFormat="1" applyFont="1" applyFill="1" applyBorder="1"/>
    <xf numFmtId="165" fontId="4" fillId="0" borderId="0" xfId="4" applyNumberFormat="1" applyFont="1" applyFill="1" applyBorder="1"/>
    <xf numFmtId="0" fontId="0" fillId="12" borderId="0" xfId="0" applyFill="1"/>
    <xf numFmtId="0" fontId="0" fillId="12" borderId="0" xfId="0" applyFill="1" applyBorder="1"/>
    <xf numFmtId="0" fontId="0" fillId="12" borderId="0" xfId="0" applyFill="1" applyAlignment="1"/>
    <xf numFmtId="0" fontId="0" fillId="0" borderId="0" xfId="0" applyAlignment="1"/>
    <xf numFmtId="0" fontId="64" fillId="0" borderId="0" xfId="0" applyFont="1" applyFill="1"/>
    <xf numFmtId="0" fontId="0" fillId="0" borderId="0" xfId="0" applyFill="1" applyAlignment="1"/>
    <xf numFmtId="0" fontId="15" fillId="0" borderId="0" xfId="0" applyFont="1" applyFill="1"/>
    <xf numFmtId="0" fontId="62" fillId="0" borderId="0" xfId="1" applyFont="1" applyFill="1"/>
    <xf numFmtId="0" fontId="0" fillId="0" borderId="0" xfId="0" applyAlignment="1">
      <alignment horizontal="left"/>
    </xf>
    <xf numFmtId="1" fontId="15" fillId="4" borderId="0" xfId="0" applyNumberFormat="1" applyFont="1" applyFill="1" applyBorder="1" applyAlignment="1">
      <alignment horizontal="right"/>
    </xf>
    <xf numFmtId="1" fontId="49" fillId="8" borderId="0" xfId="0" applyNumberFormat="1" applyFont="1" applyFill="1" applyBorder="1" applyAlignment="1" applyProtection="1">
      <alignment horizontal="right"/>
    </xf>
    <xf numFmtId="1" fontId="0" fillId="0" borderId="0" xfId="0" applyNumberFormat="1" applyFill="1" applyBorder="1"/>
    <xf numFmtId="2" fontId="0" fillId="0" borderId="0" xfId="0" applyNumberFormat="1" applyFill="1" applyBorder="1"/>
    <xf numFmtId="0" fontId="3" fillId="8" borderId="25" xfId="0" applyFont="1" applyFill="1" applyBorder="1" applyAlignment="1" applyProtection="1">
      <alignment horizontal="right"/>
    </xf>
    <xf numFmtId="0" fontId="48" fillId="0" borderId="0" xfId="0" applyFont="1" applyBorder="1" applyAlignment="1">
      <alignment horizontal="left"/>
    </xf>
    <xf numFmtId="0" fontId="48" fillId="0" borderId="0" xfId="0" applyFont="1" applyBorder="1" applyAlignment="1">
      <alignment horizontal="right"/>
    </xf>
    <xf numFmtId="0" fontId="0" fillId="0" borderId="22" xfId="0" applyBorder="1" applyAlignment="1">
      <alignment horizontal="right"/>
    </xf>
    <xf numFmtId="0" fontId="4" fillId="0" borderId="0" xfId="0" applyFont="1" applyBorder="1" applyAlignment="1">
      <alignment horizontal="right"/>
    </xf>
    <xf numFmtId="0" fontId="48" fillId="0" borderId="0" xfId="4" applyFont="1" applyBorder="1" applyAlignment="1">
      <alignment horizontal="left"/>
    </xf>
    <xf numFmtId="0" fontId="48" fillId="0" borderId="0" xfId="0" applyFont="1" applyBorder="1" applyAlignment="1">
      <alignment horizontal="center"/>
    </xf>
    <xf numFmtId="0" fontId="21" fillId="0" borderId="49" xfId="0" applyFont="1" applyBorder="1"/>
    <xf numFmtId="0" fontId="0" fillId="0" borderId="50" xfId="0" applyBorder="1"/>
    <xf numFmtId="0" fontId="4" fillId="0" borderId="50" xfId="0" applyFont="1" applyBorder="1"/>
    <xf numFmtId="0" fontId="4" fillId="0" borderId="22" xfId="4" applyFont="1" applyBorder="1" applyAlignment="1">
      <alignment horizontal="right"/>
    </xf>
    <xf numFmtId="0" fontId="3" fillId="0" borderId="22" xfId="4" applyBorder="1" applyAlignment="1">
      <alignment horizontal="right"/>
    </xf>
    <xf numFmtId="0" fontId="3" fillId="12" borderId="49" xfId="0" applyFont="1" applyFill="1" applyBorder="1" applyProtection="1"/>
    <xf numFmtId="0" fontId="3" fillId="0" borderId="0" xfId="0" applyFont="1" applyBorder="1" applyAlignment="1">
      <alignment horizontal="left"/>
    </xf>
    <xf numFmtId="0" fontId="3" fillId="12" borderId="0" xfId="0" applyFont="1" applyFill="1" applyBorder="1"/>
    <xf numFmtId="1" fontId="3" fillId="8" borderId="25" xfId="0" applyNumberFormat="1" applyFont="1" applyFill="1" applyBorder="1" applyAlignment="1" applyProtection="1">
      <alignment horizontal="right" vertical="center"/>
    </xf>
    <xf numFmtId="0" fontId="3" fillId="8" borderId="59" xfId="0" applyFont="1" applyFill="1" applyBorder="1" applyAlignment="1" applyProtection="1">
      <alignment vertical="center"/>
    </xf>
    <xf numFmtId="0" fontId="3" fillId="8" borderId="60" xfId="0" applyFont="1" applyFill="1" applyBorder="1" applyAlignment="1" applyProtection="1">
      <alignment vertical="center"/>
    </xf>
    <xf numFmtId="0" fontId="3" fillId="8" borderId="60" xfId="0" applyFont="1" applyFill="1" applyBorder="1" applyAlignment="1" applyProtection="1">
      <alignment horizontal="right" vertical="center"/>
    </xf>
    <xf numFmtId="0" fontId="4" fillId="8" borderId="60" xfId="0" applyFont="1" applyFill="1" applyBorder="1" applyAlignment="1" applyProtection="1">
      <alignment horizontal="right" vertical="center"/>
    </xf>
    <xf numFmtId="0" fontId="3" fillId="8" borderId="60" xfId="0" applyNumberFormat="1" applyFont="1" applyFill="1" applyBorder="1" applyAlignment="1" applyProtection="1">
      <alignment horizontal="right" vertical="center"/>
    </xf>
    <xf numFmtId="0" fontId="3" fillId="8" borderId="61" xfId="0" applyFont="1" applyFill="1" applyBorder="1" applyAlignment="1" applyProtection="1">
      <alignment vertical="center"/>
    </xf>
    <xf numFmtId="0" fontId="3" fillId="0" borderId="0" xfId="0" applyFont="1" applyAlignment="1">
      <alignment horizontal="right"/>
    </xf>
    <xf numFmtId="0" fontId="65" fillId="0" borderId="22" xfId="0" applyFont="1" applyBorder="1"/>
    <xf numFmtId="0" fontId="3" fillId="15" borderId="0" xfId="0" applyFont="1" applyFill="1" applyBorder="1"/>
    <xf numFmtId="0" fontId="24" fillId="24" borderId="22" xfId="0" applyFont="1" applyFill="1" applyBorder="1" applyAlignment="1" applyProtection="1">
      <alignment horizontal="left"/>
    </xf>
    <xf numFmtId="0" fontId="24" fillId="24" borderId="0" xfId="0" applyFont="1" applyFill="1" applyBorder="1" applyAlignment="1" applyProtection="1">
      <alignment horizontal="left"/>
    </xf>
    <xf numFmtId="0" fontId="23" fillId="24" borderId="22" xfId="0" applyFont="1" applyFill="1" applyBorder="1" applyAlignment="1" applyProtection="1">
      <alignment horizontal="left" vertical="center"/>
    </xf>
    <xf numFmtId="0" fontId="23" fillId="24" borderId="0" xfId="0" applyFont="1" applyFill="1" applyBorder="1" applyAlignment="1" applyProtection="1">
      <alignment horizontal="left" vertical="center"/>
    </xf>
    <xf numFmtId="0" fontId="52" fillId="24" borderId="0" xfId="0" applyFont="1" applyFill="1" applyBorder="1" applyAlignment="1" applyProtection="1">
      <alignment horizontal="left" vertical="center"/>
    </xf>
    <xf numFmtId="0" fontId="20" fillId="24" borderId="0" xfId="0" applyFont="1" applyFill="1" applyBorder="1" applyAlignment="1" applyProtection="1">
      <alignment vertical="center"/>
    </xf>
    <xf numFmtId="0" fontId="23" fillId="24" borderId="0" xfId="0" quotePrefix="1" applyFont="1" applyFill="1" applyBorder="1" applyAlignment="1" applyProtection="1">
      <alignment vertical="center"/>
    </xf>
    <xf numFmtId="0" fontId="26" fillId="24" borderId="0" xfId="0" applyFont="1" applyFill="1" applyBorder="1" applyAlignment="1" applyProtection="1">
      <alignment vertical="center"/>
    </xf>
    <xf numFmtId="0" fontId="26" fillId="24" borderId="0" xfId="0" applyFont="1" applyFill="1" applyBorder="1" applyProtection="1"/>
    <xf numFmtId="0" fontId="17" fillId="24" borderId="0" xfId="0" applyFont="1" applyFill="1" applyBorder="1" applyProtection="1"/>
    <xf numFmtId="0" fontId="28" fillId="24" borderId="24" xfId="0" applyFont="1" applyFill="1" applyBorder="1" applyProtection="1"/>
    <xf numFmtId="0" fontId="28" fillId="24" borderId="25" xfId="0" applyFont="1" applyFill="1" applyBorder="1" applyProtection="1"/>
    <xf numFmtId="0" fontId="20" fillId="24" borderId="25" xfId="0" applyFont="1" applyFill="1" applyBorder="1" applyProtection="1"/>
    <xf numFmtId="0" fontId="25" fillId="24" borderId="25" xfId="0" applyFont="1" applyFill="1" applyBorder="1" applyProtection="1"/>
    <xf numFmtId="0" fontId="66" fillId="24" borderId="0" xfId="3" applyFont="1" applyFill="1" applyAlignment="1" applyProtection="1"/>
    <xf numFmtId="0" fontId="66" fillId="24" borderId="0" xfId="3" applyFont="1" applyFill="1" applyBorder="1" applyAlignment="1" applyProtection="1">
      <alignment horizontal="left" vertical="center"/>
    </xf>
    <xf numFmtId="169" fontId="17" fillId="24" borderId="0" xfId="0" applyNumberFormat="1" applyFont="1" applyFill="1" applyBorder="1" applyAlignment="1" applyProtection="1">
      <alignment horizontal="center"/>
    </xf>
    <xf numFmtId="0" fontId="20" fillId="24" borderId="37" xfId="0" applyFont="1" applyFill="1" applyBorder="1" applyProtection="1"/>
    <xf numFmtId="0" fontId="20" fillId="24" borderId="35" xfId="0" applyFont="1" applyFill="1" applyBorder="1" applyProtection="1"/>
    <xf numFmtId="0" fontId="17" fillId="24" borderId="35" xfId="0" applyFont="1" applyFill="1" applyBorder="1" applyProtection="1"/>
    <xf numFmtId="0" fontId="4" fillId="5" borderId="48" xfId="4" applyFont="1" applyFill="1" applyBorder="1" applyAlignment="1"/>
    <xf numFmtId="166" fontId="0" fillId="10" borderId="2" xfId="0" applyNumberFormat="1" applyFill="1" applyBorder="1"/>
    <xf numFmtId="166" fontId="0" fillId="18" borderId="0" xfId="0" applyNumberFormat="1" applyFill="1" applyBorder="1"/>
    <xf numFmtId="166" fontId="27" fillId="10" borderId="0" xfId="0" applyNumberFormat="1" applyFont="1" applyFill="1" applyBorder="1"/>
    <xf numFmtId="0" fontId="3" fillId="8" borderId="62" xfId="0" applyFont="1" applyFill="1" applyBorder="1" applyProtection="1"/>
    <xf numFmtId="0" fontId="3" fillId="8" borderId="63" xfId="0" applyFont="1" applyFill="1" applyBorder="1" applyProtection="1"/>
    <xf numFmtId="0" fontId="3" fillId="8" borderId="63" xfId="0" applyFont="1" applyFill="1" applyBorder="1" applyAlignment="1" applyProtection="1">
      <alignment horizontal="right"/>
    </xf>
    <xf numFmtId="0" fontId="17" fillId="12" borderId="22" xfId="0" applyFont="1" applyFill="1" applyBorder="1" applyProtection="1"/>
    <xf numFmtId="166" fontId="27" fillId="0" borderId="0" xfId="0" applyNumberFormat="1" applyFont="1" applyFill="1" applyBorder="1"/>
    <xf numFmtId="0" fontId="4" fillId="12" borderId="23" xfId="0" applyNumberFormat="1" applyFont="1" applyFill="1" applyBorder="1" applyAlignment="1" applyProtection="1">
      <alignment vertical="center"/>
    </xf>
    <xf numFmtId="1" fontId="3" fillId="0" borderId="64" xfId="0" applyNumberFormat="1" applyFont="1" applyFill="1" applyBorder="1" applyAlignment="1" applyProtection="1">
      <alignment vertical="center"/>
    </xf>
    <xf numFmtId="0" fontId="4" fillId="12" borderId="23" xfId="0" applyFont="1" applyFill="1" applyBorder="1" applyProtection="1"/>
    <xf numFmtId="0" fontId="4" fillId="12" borderId="23" xfId="0" applyFont="1" applyFill="1" applyBorder="1" applyAlignment="1" applyProtection="1">
      <alignment vertical="center"/>
    </xf>
    <xf numFmtId="0" fontId="3" fillId="12" borderId="26" xfId="0" applyFont="1" applyFill="1" applyBorder="1" applyProtection="1"/>
    <xf numFmtId="1" fontId="3" fillId="8" borderId="0" xfId="0" applyNumberFormat="1" applyFont="1" applyFill="1" applyBorder="1" applyAlignment="1" applyProtection="1"/>
    <xf numFmtId="0" fontId="0" fillId="0" borderId="63" xfId="0" applyBorder="1"/>
    <xf numFmtId="0" fontId="4" fillId="0" borderId="0" xfId="4" applyFont="1" applyBorder="1" applyAlignment="1">
      <alignment horizontal="left"/>
    </xf>
    <xf numFmtId="0" fontId="48" fillId="0" borderId="0" xfId="4" applyFont="1" applyBorder="1" applyAlignment="1">
      <alignment horizontal="center"/>
    </xf>
    <xf numFmtId="0" fontId="48" fillId="0" borderId="0" xfId="0" applyFont="1" applyAlignment="1">
      <alignment horizontal="center"/>
    </xf>
    <xf numFmtId="0" fontId="69" fillId="0" borderId="0" xfId="4" applyFont="1" applyBorder="1" applyAlignment="1">
      <alignment horizontal="right"/>
    </xf>
    <xf numFmtId="0" fontId="69" fillId="0" borderId="22" xfId="4" applyFont="1" applyBorder="1" applyAlignment="1">
      <alignment horizontal="right"/>
    </xf>
    <xf numFmtId="0" fontId="69" fillId="0" borderId="0" xfId="0" applyFont="1" applyAlignment="1">
      <alignment horizontal="right"/>
    </xf>
    <xf numFmtId="0" fontId="69" fillId="0" borderId="0" xfId="0" applyFont="1" applyBorder="1" applyAlignment="1">
      <alignment horizontal="right"/>
    </xf>
    <xf numFmtId="0" fontId="65" fillId="0" borderId="0" xfId="0" applyFont="1"/>
    <xf numFmtId="165" fontId="7" fillId="4" borderId="63" xfId="4" applyNumberFormat="1" applyFont="1" applyFill="1" applyBorder="1" applyAlignment="1"/>
    <xf numFmtId="167" fontId="3" fillId="0" borderId="0" xfId="4" applyNumberFormat="1"/>
    <xf numFmtId="0" fontId="4" fillId="2" borderId="20" xfId="4" applyFont="1" applyFill="1" applyBorder="1" applyAlignment="1">
      <alignment horizontal="center" vertical="center" wrapText="1"/>
    </xf>
    <xf numFmtId="0" fontId="48" fillId="0" borderId="0" xfId="0" applyFont="1"/>
    <xf numFmtId="2" fontId="4" fillId="2" borderId="56" xfId="4" applyNumberFormat="1" applyFont="1" applyFill="1" applyBorder="1" applyAlignment="1">
      <alignment horizontal="center" vertical="center" wrapText="1"/>
    </xf>
    <xf numFmtId="2" fontId="4" fillId="2" borderId="57" xfId="4" applyNumberFormat="1" applyFont="1" applyFill="1" applyBorder="1" applyAlignment="1">
      <alignment horizontal="center" vertical="center" wrapText="1"/>
    </xf>
    <xf numFmtId="2" fontId="7" fillId="4" borderId="41" xfId="4" applyNumberFormat="1" applyFont="1" applyFill="1" applyBorder="1" applyAlignment="1"/>
    <xf numFmtId="2" fontId="7" fillId="4" borderId="67" xfId="4" applyNumberFormat="1" applyFont="1" applyFill="1" applyBorder="1" applyAlignment="1"/>
    <xf numFmtId="2" fontId="7" fillId="4" borderId="18" xfId="4" applyNumberFormat="1" applyFont="1" applyFill="1" applyBorder="1" applyAlignment="1"/>
    <xf numFmtId="165" fontId="4" fillId="4" borderId="41" xfId="4" applyNumberFormat="1" applyFont="1" applyFill="1" applyBorder="1" applyAlignment="1"/>
    <xf numFmtId="165" fontId="3" fillId="4" borderId="67" xfId="4" applyNumberFormat="1" applyFill="1" applyBorder="1"/>
    <xf numFmtId="0" fontId="3" fillId="8" borderId="23" xfId="0" applyFont="1" applyFill="1" applyBorder="1" applyAlignment="1" applyProtection="1"/>
    <xf numFmtId="0" fontId="3" fillId="8" borderId="62" xfId="0" applyFont="1" applyFill="1" applyBorder="1" applyAlignment="1" applyProtection="1">
      <alignment vertical="center"/>
    </xf>
    <xf numFmtId="0" fontId="22" fillId="8" borderId="24" xfId="0" applyFont="1" applyFill="1" applyBorder="1" applyAlignment="1" applyProtection="1">
      <alignment vertical="center"/>
    </xf>
    <xf numFmtId="164" fontId="3" fillId="0" borderId="0" xfId="7" applyNumberFormat="1" applyFont="1"/>
    <xf numFmtId="0" fontId="3" fillId="0" borderId="0" xfId="0" quotePrefix="1" applyFont="1"/>
    <xf numFmtId="0" fontId="48" fillId="0" borderId="0" xfId="0" applyFont="1" applyAlignment="1">
      <alignment horizontal="left"/>
    </xf>
    <xf numFmtId="0" fontId="4" fillId="8" borderId="11" xfId="4" applyFont="1" applyFill="1" applyBorder="1" applyAlignment="1">
      <alignment horizontal="center" vertical="center"/>
    </xf>
    <xf numFmtId="167" fontId="0" fillId="0" borderId="0" xfId="0" applyNumberFormat="1"/>
    <xf numFmtId="0" fontId="3" fillId="8" borderId="0" xfId="4" applyFill="1" applyAlignment="1">
      <alignment horizontal="left"/>
    </xf>
    <xf numFmtId="49" fontId="3" fillId="8" borderId="0" xfId="4" applyNumberFormat="1" applyFill="1" applyAlignment="1">
      <alignment horizontal="left"/>
    </xf>
    <xf numFmtId="0" fontId="3" fillId="8" borderId="0" xfId="4" applyFill="1" applyAlignment="1">
      <alignment horizontal="left" vertical="center"/>
    </xf>
    <xf numFmtId="0" fontId="4" fillId="8" borderId="11" xfId="4" applyFont="1" applyFill="1" applyBorder="1" applyAlignment="1">
      <alignment vertical="center"/>
    </xf>
    <xf numFmtId="0" fontId="4" fillId="8" borderId="11" xfId="4" applyFont="1" applyFill="1" applyBorder="1" applyAlignment="1">
      <alignment vertical="center" wrapText="1"/>
    </xf>
    <xf numFmtId="0" fontId="4" fillId="8" borderId="8" xfId="4" applyFont="1" applyFill="1" applyBorder="1" applyAlignment="1">
      <alignment vertical="center"/>
    </xf>
    <xf numFmtId="0" fontId="4" fillId="8" borderId="9" xfId="4" applyFont="1" applyFill="1" applyBorder="1" applyAlignment="1">
      <alignment vertical="center"/>
    </xf>
    <xf numFmtId="0" fontId="4" fillId="8" borderId="15" xfId="4" applyFont="1" applyFill="1" applyBorder="1" applyAlignment="1">
      <alignment vertical="center"/>
    </xf>
    <xf numFmtId="0" fontId="3" fillId="12" borderId="0" xfId="4" applyFill="1" applyAlignment="1">
      <alignment horizontal="left"/>
    </xf>
    <xf numFmtId="49" fontId="3" fillId="12" borderId="0" xfId="4" applyNumberFormat="1" applyFill="1" applyAlignment="1">
      <alignment horizontal="left"/>
    </xf>
    <xf numFmtId="167" fontId="3" fillId="8" borderId="0" xfId="4" applyNumberFormat="1" applyFill="1" applyAlignment="1">
      <alignment horizontal="left"/>
    </xf>
    <xf numFmtId="0" fontId="4" fillId="8" borderId="0" xfId="4" applyFont="1" applyFill="1" applyAlignment="1">
      <alignment vertical="center"/>
    </xf>
    <xf numFmtId="167" fontId="3" fillId="8" borderId="0" xfId="4" applyNumberFormat="1" applyFill="1" applyAlignment="1">
      <alignment horizontal="right" vertical="center"/>
    </xf>
    <xf numFmtId="0" fontId="3" fillId="0" borderId="0" xfId="0" applyFont="1" applyAlignment="1">
      <alignment horizontal="left"/>
    </xf>
    <xf numFmtId="0" fontId="3" fillId="16" borderId="8" xfId="4" applyFill="1" applyBorder="1" applyAlignment="1">
      <alignment horizontal="left" vertical="center"/>
    </xf>
    <xf numFmtId="0" fontId="3" fillId="17" borderId="8" xfId="4" applyFill="1" applyBorder="1" applyAlignment="1">
      <alignment horizontal="left" vertical="center"/>
    </xf>
    <xf numFmtId="0" fontId="3" fillId="12" borderId="8" xfId="4" applyFill="1" applyBorder="1" applyAlignment="1">
      <alignment horizontal="left" vertical="center"/>
    </xf>
    <xf numFmtId="0" fontId="74" fillId="8" borderId="0" xfId="4" applyFont="1" applyFill="1"/>
    <xf numFmtId="167" fontId="74" fillId="8" borderId="0" xfId="4" applyNumberFormat="1" applyFont="1" applyFill="1" applyAlignment="1">
      <alignment horizontal="right"/>
    </xf>
    <xf numFmtId="0" fontId="74" fillId="8" borderId="0" xfId="4" applyFont="1" applyFill="1" applyAlignment="1">
      <alignment horizontal="left" vertical="center"/>
    </xf>
    <xf numFmtId="165" fontId="74" fillId="8" borderId="0" xfId="4" applyNumberFormat="1" applyFont="1" applyFill="1"/>
    <xf numFmtId="167" fontId="3" fillId="17" borderId="11" xfId="4" applyNumberFormat="1" applyFill="1" applyBorder="1" applyAlignment="1">
      <alignment horizontal="center" vertical="center"/>
    </xf>
    <xf numFmtId="167" fontId="3" fillId="8" borderId="11" xfId="4" applyNumberFormat="1" applyFill="1" applyBorder="1" applyAlignment="1">
      <alignment horizontal="center" vertical="center"/>
    </xf>
    <xf numFmtId="0" fontId="3" fillId="17" borderId="70" xfId="4" applyFill="1" applyBorder="1" applyAlignment="1">
      <alignment horizontal="center" vertical="center"/>
    </xf>
    <xf numFmtId="0" fontId="3" fillId="8" borderId="70" xfId="4" applyFill="1" applyBorder="1" applyAlignment="1">
      <alignment horizontal="center" vertical="center"/>
    </xf>
    <xf numFmtId="0" fontId="48" fillId="8" borderId="11" xfId="4" applyFont="1" applyFill="1" applyBorder="1" applyAlignment="1">
      <alignment horizontal="center" vertical="center"/>
    </xf>
    <xf numFmtId="0" fontId="59" fillId="8" borderId="0" xfId="4" applyFont="1" applyFill="1" applyAlignment="1">
      <alignment horizontal="left" vertical="center"/>
    </xf>
    <xf numFmtId="0" fontId="54" fillId="3" borderId="69" xfId="4" applyFont="1" applyFill="1" applyBorder="1" applyAlignment="1">
      <alignment horizontal="center" vertical="center"/>
    </xf>
    <xf numFmtId="49" fontId="72" fillId="14" borderId="68" xfId="4" applyNumberFormat="1" applyFont="1" applyFill="1" applyBorder="1" applyAlignment="1">
      <alignment horizontal="center" vertical="center"/>
    </xf>
    <xf numFmtId="0" fontId="72" fillId="14" borderId="47" xfId="4" applyFont="1" applyFill="1" applyBorder="1" applyAlignment="1">
      <alignment horizontal="center" vertical="center"/>
    </xf>
    <xf numFmtId="167" fontId="75" fillId="0" borderId="0" xfId="4" applyNumberFormat="1" applyFont="1" applyFill="1" applyAlignment="1">
      <alignment horizontal="right" vertical="center"/>
    </xf>
    <xf numFmtId="165" fontId="75" fillId="8" borderId="0" xfId="4" applyNumberFormat="1" applyFont="1" applyFill="1" applyAlignment="1">
      <alignment vertical="center"/>
    </xf>
    <xf numFmtId="49" fontId="59" fillId="8" borderId="0" xfId="4" applyNumberFormat="1" applyFont="1" applyFill="1" applyAlignment="1" applyProtection="1">
      <alignment horizontal="left" vertical="center"/>
      <protection locked="0" hidden="1"/>
    </xf>
    <xf numFmtId="0" fontId="59" fillId="8" borderId="0" xfId="4" applyFont="1" applyFill="1" applyAlignment="1" applyProtection="1">
      <alignment horizontal="left" vertical="center"/>
      <protection locked="0" hidden="1"/>
    </xf>
    <xf numFmtId="0" fontId="3" fillId="8" borderId="0" xfId="4" applyFont="1" applyFill="1" applyAlignment="1" applyProtection="1">
      <alignment vertical="center"/>
      <protection locked="0" hidden="1"/>
    </xf>
    <xf numFmtId="0" fontId="55" fillId="12" borderId="0" xfId="0" applyFont="1" applyFill="1" applyAlignment="1"/>
    <xf numFmtId="0" fontId="59" fillId="8" borderId="0" xfId="4" applyFont="1" applyFill="1"/>
    <xf numFmtId="0" fontId="75" fillId="8" borderId="0" xfId="4" applyFont="1" applyFill="1" applyAlignment="1">
      <alignment horizontal="left"/>
    </xf>
    <xf numFmtId="0" fontId="48" fillId="0" borderId="22" xfId="0" applyFont="1" applyBorder="1"/>
    <xf numFmtId="0" fontId="17" fillId="24" borderId="0" xfId="0" applyFont="1" applyFill="1" applyProtection="1"/>
    <xf numFmtId="0" fontId="17" fillId="12" borderId="35" xfId="0" applyFont="1" applyFill="1" applyBorder="1" applyProtection="1"/>
    <xf numFmtId="169" fontId="17" fillId="12" borderId="39" xfId="0" applyNumberFormat="1" applyFont="1" applyFill="1" applyBorder="1" applyAlignment="1" applyProtection="1">
      <alignment horizontal="center"/>
    </xf>
    <xf numFmtId="0" fontId="17" fillId="12" borderId="39" xfId="0" applyFont="1" applyFill="1" applyBorder="1" applyProtection="1"/>
    <xf numFmtId="0" fontId="17" fillId="8" borderId="39" xfId="0" applyFont="1" applyFill="1" applyBorder="1" applyProtection="1"/>
    <xf numFmtId="0" fontId="17" fillId="12" borderId="36" xfId="0" applyFont="1" applyFill="1" applyBorder="1" applyProtection="1"/>
    <xf numFmtId="0" fontId="17" fillId="12" borderId="23" xfId="0" applyFont="1" applyFill="1" applyBorder="1" applyProtection="1"/>
    <xf numFmtId="0" fontId="3" fillId="8" borderId="39" xfId="0" applyFont="1" applyFill="1" applyBorder="1" applyAlignment="1" applyProtection="1">
      <alignment horizontal="right" vertical="center"/>
    </xf>
    <xf numFmtId="0" fontId="3" fillId="8" borderId="35" xfId="0" applyFont="1" applyFill="1" applyBorder="1" applyAlignment="1" applyProtection="1">
      <alignment vertical="center"/>
    </xf>
    <xf numFmtId="0" fontId="3" fillId="8" borderId="35" xfId="0" applyFont="1" applyFill="1" applyBorder="1" applyAlignment="1" applyProtection="1">
      <alignment horizontal="right"/>
    </xf>
    <xf numFmtId="0" fontId="50" fillId="8" borderId="39" xfId="0" applyFont="1" applyFill="1" applyBorder="1" applyAlignment="1" applyProtection="1">
      <alignment horizontal="right" vertical="center"/>
    </xf>
    <xf numFmtId="0" fontId="4" fillId="15" borderId="39" xfId="0" applyNumberFormat="1" applyFont="1" applyFill="1" applyBorder="1" applyAlignment="1" applyProtection="1">
      <alignment vertical="center"/>
      <protection locked="0"/>
    </xf>
    <xf numFmtId="1" fontId="49" fillId="8" borderId="25" xfId="0" applyNumberFormat="1" applyFont="1" applyFill="1" applyBorder="1" applyAlignment="1" applyProtection="1">
      <alignment horizontal="right"/>
    </xf>
    <xf numFmtId="0" fontId="3" fillId="8" borderId="36" xfId="0" applyFont="1" applyFill="1" applyBorder="1" applyAlignment="1" applyProtection="1">
      <alignment vertical="center"/>
    </xf>
    <xf numFmtId="0" fontId="60" fillId="13" borderId="35" xfId="0" applyFont="1" applyFill="1" applyBorder="1" applyAlignment="1" applyProtection="1">
      <alignment vertical="center"/>
    </xf>
    <xf numFmtId="0" fontId="17" fillId="13" borderId="35" xfId="0" applyFont="1" applyFill="1" applyBorder="1" applyProtection="1"/>
    <xf numFmtId="0" fontId="77" fillId="13" borderId="62" xfId="0" applyFont="1" applyFill="1" applyBorder="1" applyAlignment="1" applyProtection="1">
      <alignment vertical="center"/>
    </xf>
    <xf numFmtId="0" fontId="23" fillId="24" borderId="0" xfId="0" applyFont="1" applyFill="1" applyBorder="1" applyAlignment="1" applyProtection="1">
      <alignment horizontal="right" vertical="center"/>
    </xf>
    <xf numFmtId="166" fontId="0" fillId="0" borderId="0" xfId="0" applyNumberFormat="1" applyFill="1" applyBorder="1"/>
    <xf numFmtId="183" fontId="0" fillId="0" borderId="0" xfId="0" applyNumberFormat="1" applyBorder="1" applyAlignment="1">
      <alignment horizontal="right"/>
    </xf>
    <xf numFmtId="183" fontId="0" fillId="19" borderId="0" xfId="0" applyNumberFormat="1" applyFill="1" applyBorder="1" applyAlignment="1">
      <alignment horizontal="right"/>
    </xf>
    <xf numFmtId="0" fontId="0" fillId="0" borderId="22" xfId="0" applyBorder="1" applyAlignment="1">
      <alignment horizontal="left"/>
    </xf>
    <xf numFmtId="1" fontId="3" fillId="8" borderId="39" xfId="0" applyNumberFormat="1" applyFont="1" applyFill="1" applyBorder="1" applyAlignment="1" applyProtection="1">
      <alignment horizontal="right" vertical="center"/>
    </xf>
    <xf numFmtId="0" fontId="3" fillId="8" borderId="40" xfId="0" applyFont="1" applyFill="1" applyBorder="1" applyAlignment="1" applyProtection="1">
      <alignment vertical="center"/>
    </xf>
    <xf numFmtId="165" fontId="3" fillId="4" borderId="35" xfId="4" applyNumberFormat="1" applyFill="1" applyBorder="1"/>
    <xf numFmtId="165" fontId="3" fillId="27" borderId="0" xfId="4" applyNumberFormat="1" applyFill="1" applyAlignment="1">
      <alignment horizontal="center" vertical="center" wrapText="1"/>
    </xf>
    <xf numFmtId="9" fontId="3" fillId="0" borderId="47" xfId="4" applyNumberFormat="1" applyFont="1" applyFill="1" applyBorder="1" applyProtection="1">
      <protection locked="0"/>
    </xf>
    <xf numFmtId="165" fontId="4" fillId="26" borderId="0" xfId="4" applyNumberFormat="1" applyFont="1" applyFill="1" applyAlignment="1">
      <alignment horizontal="center" vertical="center" wrapText="1"/>
    </xf>
    <xf numFmtId="165" fontId="0" fillId="0" borderId="0" xfId="0" applyNumberFormat="1"/>
    <xf numFmtId="2" fontId="3" fillId="0" borderId="0" xfId="7" applyNumberFormat="1" applyFont="1"/>
    <xf numFmtId="2" fontId="4" fillId="0" borderId="0" xfId="0" applyNumberFormat="1" applyFont="1"/>
    <xf numFmtId="167" fontId="4" fillId="0" borderId="0" xfId="4" applyNumberFormat="1" applyFont="1"/>
    <xf numFmtId="166" fontId="4" fillId="0" borderId="0" xfId="4" applyNumberFormat="1" applyFont="1"/>
    <xf numFmtId="0" fontId="4" fillId="4" borderId="0" xfId="4" applyFont="1" applyFill="1" applyBorder="1" applyAlignment="1">
      <alignment horizontal="left"/>
    </xf>
    <xf numFmtId="2" fontId="3" fillId="0" borderId="0" xfId="0" applyNumberFormat="1" applyFont="1"/>
    <xf numFmtId="167" fontId="3" fillId="0" borderId="0" xfId="4" applyNumberFormat="1" applyFont="1"/>
    <xf numFmtId="2" fontId="3" fillId="0" borderId="0" xfId="4" applyNumberFormat="1" applyFont="1"/>
    <xf numFmtId="1" fontId="3" fillId="0" borderId="0" xfId="4" applyNumberFormat="1" applyFont="1"/>
    <xf numFmtId="166" fontId="3" fillId="0" borderId="0" xfId="0" applyNumberFormat="1" applyFont="1"/>
    <xf numFmtId="166" fontId="4" fillId="0" borderId="0" xfId="0" applyNumberFormat="1" applyFont="1"/>
    <xf numFmtId="0" fontId="4" fillId="4" borderId="35" xfId="4" applyFont="1" applyFill="1" applyBorder="1" applyAlignment="1"/>
    <xf numFmtId="167" fontId="3" fillId="0" borderId="0" xfId="7" applyNumberFormat="1" applyFont="1"/>
    <xf numFmtId="1" fontId="4" fillId="17" borderId="6" xfId="4" applyNumberFormat="1" applyFont="1" applyFill="1" applyBorder="1" applyAlignment="1">
      <alignment horizontal="center" vertical="center" wrapText="1"/>
    </xf>
    <xf numFmtId="1" fontId="4" fillId="25" borderId="55" xfId="4" applyNumberFormat="1" applyFont="1" applyFill="1" applyBorder="1" applyAlignment="1">
      <alignment horizontal="center" vertical="center" wrapText="1"/>
    </xf>
    <xf numFmtId="1" fontId="4" fillId="0" borderId="55" xfId="4" applyNumberFormat="1" applyFont="1" applyFill="1" applyBorder="1" applyAlignment="1">
      <alignment horizontal="center" vertical="center" wrapText="1"/>
    </xf>
    <xf numFmtId="1" fontId="0" fillId="0" borderId="0" xfId="0" applyNumberFormat="1"/>
    <xf numFmtId="1" fontId="4" fillId="17" borderId="55" xfId="4" applyNumberFormat="1" applyFont="1" applyFill="1" applyBorder="1" applyAlignment="1">
      <alignment horizontal="center" vertical="center" wrapText="1"/>
    </xf>
    <xf numFmtId="1" fontId="4" fillId="28" borderId="55" xfId="4" applyNumberFormat="1" applyFont="1" applyFill="1" applyBorder="1" applyAlignment="1">
      <alignment horizontal="center" vertical="center" wrapText="1"/>
    </xf>
    <xf numFmtId="1" fontId="4" fillId="12" borderId="55" xfId="4" applyNumberFormat="1" applyFont="1" applyFill="1" applyBorder="1" applyAlignment="1">
      <alignment horizontal="center" vertical="center" wrapText="1"/>
    </xf>
    <xf numFmtId="1" fontId="3" fillId="20" borderId="0" xfId="0" applyNumberFormat="1" applyFont="1" applyFill="1" applyBorder="1"/>
    <xf numFmtId="167" fontId="15" fillId="18" borderId="0" xfId="0" applyNumberFormat="1" applyFont="1" applyFill="1" applyBorder="1" applyAlignment="1">
      <alignment horizontal="right"/>
    </xf>
    <xf numFmtId="176" fontId="27" fillId="0" borderId="0" xfId="0" applyNumberFormat="1" applyFont="1" applyFill="1" applyBorder="1"/>
    <xf numFmtId="0" fontId="3" fillId="0" borderId="33" xfId="0" applyFont="1" applyBorder="1"/>
    <xf numFmtId="167" fontId="27" fillId="4" borderId="0" xfId="0" applyNumberFormat="1" applyFont="1" applyFill="1" applyBorder="1"/>
    <xf numFmtId="165" fontId="27" fillId="0" borderId="0" xfId="0" applyNumberFormat="1" applyFont="1" applyFill="1" applyBorder="1"/>
    <xf numFmtId="166" fontId="3" fillId="5" borderId="0" xfId="0" applyNumberFormat="1" applyFont="1" applyFill="1" applyBorder="1"/>
    <xf numFmtId="2" fontId="0" fillId="0" borderId="0" xfId="0" applyNumberFormat="1" applyFill="1" applyBorder="1" applyAlignment="1">
      <alignment horizontal="right"/>
    </xf>
    <xf numFmtId="1" fontId="4" fillId="2" borderId="73" xfId="4" applyNumberFormat="1" applyFont="1" applyFill="1" applyBorder="1" applyAlignment="1">
      <alignment horizontal="center" vertical="center" wrapText="1"/>
    </xf>
    <xf numFmtId="0" fontId="4" fillId="4" borderId="22" xfId="4" applyFont="1" applyFill="1" applyBorder="1" applyAlignment="1">
      <alignment horizontal="left"/>
    </xf>
    <xf numFmtId="0" fontId="4" fillId="4" borderId="74" xfId="4" applyFont="1" applyFill="1" applyBorder="1" applyAlignment="1">
      <alignment horizontal="left"/>
    </xf>
    <xf numFmtId="0" fontId="3" fillId="12" borderId="39" xfId="0" applyFont="1" applyFill="1" applyBorder="1" applyProtection="1"/>
    <xf numFmtId="0" fontId="17" fillId="12" borderId="40" xfId="0" applyFont="1" applyFill="1" applyBorder="1" applyProtection="1"/>
    <xf numFmtId="0" fontId="3" fillId="0" borderId="0" xfId="0" applyNumberFormat="1" applyFont="1"/>
    <xf numFmtId="1" fontId="3" fillId="0" borderId="0" xfId="0" applyNumberFormat="1" applyFont="1"/>
    <xf numFmtId="167" fontId="3" fillId="0" borderId="0" xfId="0" applyNumberFormat="1" applyFont="1"/>
    <xf numFmtId="1" fontId="50" fillId="15" borderId="0" xfId="0" applyNumberFormat="1" applyFont="1" applyFill="1" applyBorder="1" applyAlignment="1" applyProtection="1">
      <alignment horizontal="right" vertical="center"/>
      <protection locked="0"/>
    </xf>
    <xf numFmtId="0" fontId="17" fillId="12" borderId="62" xfId="0" applyFont="1" applyFill="1" applyBorder="1" applyProtection="1"/>
    <xf numFmtId="0" fontId="4" fillId="12" borderId="35" xfId="0" applyFont="1" applyFill="1" applyBorder="1" applyAlignment="1" applyProtection="1">
      <alignment horizontal="right"/>
    </xf>
    <xf numFmtId="0" fontId="4" fillId="12" borderId="64" xfId="0" applyFont="1" applyFill="1" applyBorder="1" applyProtection="1"/>
    <xf numFmtId="0" fontId="79" fillId="0" borderId="0" xfId="0" applyFont="1" applyAlignment="1">
      <alignment vertical="center" wrapText="1"/>
    </xf>
    <xf numFmtId="0" fontId="4" fillId="15" borderId="35" xfId="0" applyFont="1" applyFill="1" applyBorder="1" applyProtection="1">
      <protection locked="0"/>
    </xf>
    <xf numFmtId="0" fontId="0" fillId="18" borderId="0" xfId="0" applyNumberFormat="1" applyFill="1" applyBorder="1"/>
    <xf numFmtId="0" fontId="0" fillId="4" borderId="0" xfId="0" applyNumberFormat="1" applyFill="1" applyBorder="1"/>
    <xf numFmtId="0" fontId="0" fillId="23" borderId="0" xfId="0" applyNumberFormat="1" applyFill="1" applyBorder="1"/>
    <xf numFmtId="0" fontId="4" fillId="8" borderId="35" xfId="0" applyFont="1" applyFill="1" applyBorder="1" applyProtection="1"/>
    <xf numFmtId="0" fontId="3" fillId="8" borderId="35" xfId="0" applyFont="1" applyFill="1" applyBorder="1" applyProtection="1"/>
    <xf numFmtId="0" fontId="4" fillId="0" borderId="0" xfId="0" applyFont="1" applyAlignment="1">
      <alignment horizontal="left"/>
    </xf>
    <xf numFmtId="49" fontId="3" fillId="0" borderId="0" xfId="0" applyNumberFormat="1" applyFont="1" applyBorder="1" applyAlignment="1">
      <alignment horizontal="left"/>
    </xf>
    <xf numFmtId="167" fontId="49" fillId="12" borderId="35" xfId="0" applyNumberFormat="1" applyFont="1" applyFill="1" applyBorder="1" applyAlignment="1" applyProtection="1">
      <alignment vertical="center"/>
    </xf>
    <xf numFmtId="165" fontId="3" fillId="0" borderId="0" xfId="0" applyNumberFormat="1" applyFont="1"/>
    <xf numFmtId="1" fontId="4" fillId="12" borderId="0" xfId="0" applyNumberFormat="1" applyFont="1" applyFill="1" applyBorder="1" applyAlignment="1" applyProtection="1">
      <alignment vertical="center"/>
    </xf>
    <xf numFmtId="1" fontId="65" fillId="0" borderId="0" xfId="0" applyNumberFormat="1" applyFont="1" applyFill="1" applyBorder="1" applyAlignment="1" applyProtection="1">
      <alignment horizontal="right" vertical="center"/>
    </xf>
    <xf numFmtId="167" fontId="4" fillId="15" borderId="0" xfId="0" applyNumberFormat="1" applyFont="1" applyFill="1" applyBorder="1" applyAlignment="1" applyProtection="1">
      <alignment horizontal="right" vertical="center"/>
      <protection locked="0"/>
    </xf>
    <xf numFmtId="0" fontId="22" fillId="8" borderId="67" xfId="0" applyFont="1" applyFill="1" applyBorder="1" applyAlignment="1" applyProtection="1">
      <alignment vertical="center"/>
    </xf>
    <xf numFmtId="0" fontId="17" fillId="8" borderId="35" xfId="0" applyFont="1" applyFill="1" applyBorder="1" applyProtection="1"/>
    <xf numFmtId="0" fontId="45" fillId="8" borderId="75" xfId="0" applyFont="1" applyFill="1" applyBorder="1" applyProtection="1"/>
    <xf numFmtId="0" fontId="45" fillId="8" borderId="76" xfId="0" applyFont="1" applyFill="1" applyBorder="1" applyProtection="1"/>
    <xf numFmtId="0" fontId="45" fillId="8" borderId="77" xfId="0" applyFont="1" applyFill="1" applyBorder="1" applyProtection="1"/>
    <xf numFmtId="2" fontId="3" fillId="18" borderId="0" xfId="0" applyNumberFormat="1" applyFont="1" applyFill="1" applyBorder="1"/>
    <xf numFmtId="0" fontId="0" fillId="18" borderId="0" xfId="0" applyNumberFormat="1" applyFill="1"/>
    <xf numFmtId="2" fontId="4" fillId="0" borderId="0" xfId="0" applyNumberFormat="1" applyFont="1" applyBorder="1" applyAlignment="1">
      <alignment horizontal="right"/>
    </xf>
    <xf numFmtId="1" fontId="3" fillId="4" borderId="0" xfId="0" applyNumberFormat="1" applyFont="1" applyFill="1" applyBorder="1"/>
    <xf numFmtId="2" fontId="4" fillId="0" borderId="0" xfId="0" applyNumberFormat="1" applyFont="1" applyFill="1" applyBorder="1"/>
    <xf numFmtId="0" fontId="3" fillId="0" borderId="22" xfId="0" applyFont="1" applyFill="1" applyBorder="1"/>
    <xf numFmtId="2" fontId="7" fillId="0" borderId="2" xfId="0" applyNumberFormat="1" applyFont="1" applyFill="1" applyBorder="1"/>
    <xf numFmtId="166" fontId="4" fillId="0" borderId="2" xfId="0" applyNumberFormat="1" applyFont="1" applyFill="1" applyBorder="1"/>
    <xf numFmtId="0" fontId="48" fillId="0" borderId="0" xfId="0" applyFont="1" applyBorder="1"/>
    <xf numFmtId="0" fontId="27" fillId="18" borderId="0" xfId="0" applyNumberFormat="1" applyFont="1" applyFill="1" applyBorder="1" applyAlignment="1">
      <alignment horizontal="right"/>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0" fontId="3" fillId="8" borderId="0" xfId="0" applyFont="1" applyFill="1" applyBorder="1" applyAlignment="1" applyProtection="1">
      <alignment horizontal="right" vertical="top"/>
    </xf>
    <xf numFmtId="0" fontId="3" fillId="8" borderId="38" xfId="0" applyFont="1" applyFill="1" applyBorder="1" applyAlignment="1" applyProtection="1">
      <alignment horizontal="right"/>
    </xf>
    <xf numFmtId="0" fontId="4" fillId="2" borderId="19" xfId="4" applyFont="1" applyFill="1" applyBorder="1" applyAlignment="1">
      <alignment horizontal="center" vertical="center" wrapText="1"/>
    </xf>
    <xf numFmtId="165" fontId="4" fillId="26" borderId="19" xfId="4" applyNumberFormat="1" applyFont="1" applyFill="1" applyBorder="1" applyAlignment="1">
      <alignment horizontal="center" vertical="center" wrapText="1"/>
    </xf>
    <xf numFmtId="165" fontId="4" fillId="26" borderId="20" xfId="4" applyNumberFormat="1" applyFont="1" applyFill="1" applyBorder="1" applyAlignment="1">
      <alignment horizontal="center" vertical="center" wrapText="1"/>
    </xf>
    <xf numFmtId="165" fontId="4" fillId="26" borderId="73" xfId="4" applyNumberFormat="1" applyFont="1" applyFill="1" applyBorder="1" applyAlignment="1">
      <alignment horizontal="center" vertical="center" wrapText="1"/>
    </xf>
    <xf numFmtId="165" fontId="4" fillId="26" borderId="39" xfId="4" applyNumberFormat="1" applyFont="1" applyFill="1" applyBorder="1" applyAlignment="1">
      <alignment horizontal="center" vertical="center" wrapText="1"/>
    </xf>
    <xf numFmtId="1" fontId="4" fillId="15" borderId="55" xfId="4" applyNumberFormat="1" applyFont="1" applyFill="1" applyBorder="1" applyAlignment="1">
      <alignment horizontal="center" vertical="center" wrapText="1"/>
    </xf>
    <xf numFmtId="1" fontId="4" fillId="15" borderId="6" xfId="4" applyNumberFormat="1" applyFont="1" applyFill="1" applyBorder="1" applyAlignment="1">
      <alignment horizontal="center" vertical="center" wrapText="1"/>
    </xf>
    <xf numFmtId="167" fontId="3" fillId="8" borderId="35" xfId="0" applyNumberFormat="1" applyFont="1" applyFill="1" applyBorder="1" applyAlignment="1" applyProtection="1">
      <alignment horizontal="right" vertical="center"/>
    </xf>
    <xf numFmtId="166" fontId="0" fillId="0" borderId="0" xfId="0" applyNumberFormat="1" applyAlignment="1">
      <alignment horizontal="right"/>
    </xf>
    <xf numFmtId="0" fontId="3" fillId="23" borderId="0" xfId="0" applyNumberFormat="1" applyFont="1" applyFill="1" applyBorder="1"/>
    <xf numFmtId="9" fontId="0" fillId="19" borderId="0" xfId="0" applyNumberFormat="1" applyFill="1" applyBorder="1"/>
    <xf numFmtId="0" fontId="3" fillId="12" borderId="70" xfId="4" applyFill="1" applyBorder="1" applyAlignment="1">
      <alignment horizontal="center" vertical="center"/>
    </xf>
    <xf numFmtId="167" fontId="3" fillId="12" borderId="11" xfId="4" applyNumberFormat="1" applyFill="1" applyBorder="1" applyAlignment="1">
      <alignment horizontal="center" vertical="center"/>
    </xf>
    <xf numFmtId="0" fontId="59" fillId="12" borderId="0" xfId="4" applyFont="1" applyFill="1" applyAlignment="1">
      <alignment horizontal="left" vertical="center"/>
    </xf>
    <xf numFmtId="0" fontId="3" fillId="12" borderId="0" xfId="4" applyFill="1" applyAlignment="1">
      <alignment vertical="center"/>
    </xf>
    <xf numFmtId="0" fontId="59" fillId="12" borderId="0" xfId="4" applyFont="1" applyFill="1" applyAlignment="1" applyProtection="1">
      <alignment horizontal="left" vertical="center"/>
      <protection locked="0" hidden="1"/>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0" fontId="3" fillId="17" borderId="11" xfId="4" applyNumberFormat="1" applyFill="1" applyBorder="1" applyAlignment="1">
      <alignment horizontal="center" vertical="center"/>
    </xf>
    <xf numFmtId="167" fontId="3" fillId="8" borderId="63" xfId="0" applyNumberFormat="1" applyFont="1" applyFill="1" applyBorder="1" applyAlignment="1" applyProtection="1">
      <alignment horizontal="right" vertical="center"/>
    </xf>
    <xf numFmtId="0" fontId="3" fillId="8" borderId="0" xfId="0" applyNumberFormat="1" applyFont="1" applyFill="1" applyBorder="1" applyAlignment="1" applyProtection="1"/>
    <xf numFmtId="2" fontId="7" fillId="10" borderId="0" xfId="0" applyNumberFormat="1" applyFont="1" applyFill="1" applyBorder="1"/>
    <xf numFmtId="0" fontId="3" fillId="12" borderId="64" xfId="0" applyNumberFormat="1" applyFont="1" applyFill="1" applyBorder="1" applyAlignment="1" applyProtection="1">
      <alignment vertical="center"/>
    </xf>
    <xf numFmtId="164" fontId="0" fillId="0" borderId="0" xfId="0" applyNumberFormat="1"/>
    <xf numFmtId="0" fontId="3" fillId="12" borderId="23" xfId="0" applyNumberFormat="1" applyFont="1" applyFill="1" applyBorder="1" applyAlignment="1" applyProtection="1"/>
    <xf numFmtId="0" fontId="3" fillId="12" borderId="40" xfId="0" applyNumberFormat="1" applyFont="1" applyFill="1" applyBorder="1" applyAlignment="1" applyProtection="1"/>
    <xf numFmtId="2" fontId="3" fillId="8" borderId="39" xfId="0" applyNumberFormat="1" applyFont="1" applyFill="1" applyBorder="1" applyAlignment="1" applyProtection="1">
      <alignment horizontal="right"/>
    </xf>
    <xf numFmtId="168" fontId="7" fillId="0" borderId="0" xfId="0" applyNumberFormat="1" applyFont="1" applyFill="1" applyBorder="1"/>
    <xf numFmtId="11" fontId="7" fillId="0" borderId="0" xfId="0" applyNumberFormat="1" applyFont="1" applyFill="1" applyBorder="1"/>
    <xf numFmtId="0" fontId="3" fillId="0" borderId="11" xfId="0" applyFont="1" applyBorder="1"/>
    <xf numFmtId="0" fontId="0" fillId="0" borderId="11" xfId="0" applyFill="1" applyBorder="1"/>
    <xf numFmtId="0" fontId="3" fillId="0" borderId="0" xfId="4" applyFill="1"/>
    <xf numFmtId="0" fontId="80" fillId="0" borderId="22" xfId="0" applyFont="1" applyBorder="1"/>
    <xf numFmtId="0" fontId="3" fillId="21" borderId="0" xfId="4" applyFill="1"/>
    <xf numFmtId="0" fontId="4" fillId="0" borderId="65" xfId="4" applyFont="1" applyBorder="1" applyAlignment="1">
      <alignment horizontal="center"/>
    </xf>
    <xf numFmtId="0" fontId="4" fillId="0" borderId="66" xfId="4" applyFont="1" applyBorder="1" applyAlignment="1">
      <alignment horizontal="center"/>
    </xf>
    <xf numFmtId="0" fontId="3" fillId="0" borderId="17" xfId="4" applyBorder="1" applyAlignment="1">
      <alignment horizontal="left"/>
    </xf>
    <xf numFmtId="0" fontId="3" fillId="0" borderId="79" xfId="4" applyBorder="1"/>
    <xf numFmtId="0" fontId="3" fillId="0" borderId="17" xfId="4" applyFont="1" applyBorder="1"/>
    <xf numFmtId="0" fontId="3" fillId="0" borderId="8" xfId="4" applyBorder="1" applyAlignment="1">
      <alignment horizontal="left"/>
    </xf>
    <xf numFmtId="0" fontId="3" fillId="0" borderId="17" xfId="4" applyBorder="1"/>
    <xf numFmtId="1" fontId="3" fillId="0" borderId="11" xfId="4" applyNumberFormat="1" applyBorder="1"/>
    <xf numFmtId="0" fontId="3" fillId="0" borderId="15" xfId="4" applyBorder="1"/>
    <xf numFmtId="0" fontId="3" fillId="0" borderId="79" xfId="4" applyFill="1" applyBorder="1"/>
    <xf numFmtId="0" fontId="3" fillId="0" borderId="17" xfId="4" applyFont="1" applyBorder="1" applyAlignment="1">
      <alignment horizontal="left"/>
    </xf>
    <xf numFmtId="167" fontId="3" fillId="0" borderId="8" xfId="4" applyNumberFormat="1" applyBorder="1"/>
    <xf numFmtId="0" fontId="3" fillId="0" borderId="17" xfId="4" applyFill="1" applyBorder="1"/>
    <xf numFmtId="11" fontId="3" fillId="0" borderId="11" xfId="4" applyNumberFormat="1" applyFill="1" applyBorder="1"/>
    <xf numFmtId="1" fontId="3" fillId="0" borderId="11" xfId="4" applyNumberFormat="1" applyFill="1" applyBorder="1"/>
    <xf numFmtId="166" fontId="3" fillId="0" borderId="11" xfId="4" applyNumberFormat="1" applyFill="1" applyBorder="1"/>
    <xf numFmtId="0" fontId="3" fillId="0" borderId="8" xfId="4" applyFill="1" applyBorder="1"/>
    <xf numFmtId="0" fontId="3" fillId="2" borderId="0" xfId="4" applyFill="1"/>
    <xf numFmtId="0" fontId="3" fillId="0" borderId="21" xfId="4" applyFill="1" applyBorder="1" applyAlignment="1">
      <alignment horizontal="left"/>
    </xf>
    <xf numFmtId="1" fontId="3" fillId="0" borderId="39" xfId="4" applyNumberFormat="1" applyBorder="1"/>
    <xf numFmtId="0" fontId="3" fillId="0" borderId="40" xfId="4" applyBorder="1"/>
    <xf numFmtId="0" fontId="3" fillId="0" borderId="39" xfId="4" applyBorder="1"/>
    <xf numFmtId="166" fontId="3" fillId="0" borderId="39" xfId="4" applyNumberFormat="1" applyBorder="1"/>
    <xf numFmtId="166" fontId="3" fillId="0" borderId="38" xfId="4" applyNumberFormat="1" applyBorder="1"/>
    <xf numFmtId="0" fontId="3" fillId="0" borderId="0" xfId="4" applyFill="1" applyBorder="1" applyAlignment="1">
      <alignment horizontal="left"/>
    </xf>
    <xf numFmtId="1" fontId="3" fillId="0" borderId="0" xfId="4" applyNumberFormat="1" applyBorder="1"/>
    <xf numFmtId="0" fontId="3" fillId="0" borderId="0" xfId="4" applyBorder="1"/>
    <xf numFmtId="166" fontId="3" fillId="0" borderId="0" xfId="4" applyNumberFormat="1" applyBorder="1"/>
    <xf numFmtId="2" fontId="3" fillId="0" borderId="79" xfId="4" applyNumberFormat="1" applyBorder="1"/>
    <xf numFmtId="0" fontId="3" fillId="4" borderId="73" xfId="4" applyFill="1" applyBorder="1" applyAlignment="1">
      <alignment vertical="center"/>
    </xf>
    <xf numFmtId="0" fontId="7" fillId="0" borderId="5" xfId="4" applyFont="1" applyBorder="1" applyAlignment="1">
      <alignment horizontal="center"/>
    </xf>
    <xf numFmtId="0" fontId="7" fillId="0" borderId="6" xfId="4" applyFont="1" applyBorder="1" applyAlignment="1">
      <alignment horizontal="center"/>
    </xf>
    <xf numFmtId="0" fontId="7" fillId="0" borderId="7" xfId="4" applyFont="1" applyBorder="1" applyAlignment="1">
      <alignment horizontal="center"/>
    </xf>
    <xf numFmtId="0" fontId="7" fillId="0" borderId="5" xfId="4" applyFont="1" applyFill="1" applyBorder="1" applyAlignment="1">
      <alignment horizontal="center"/>
    </xf>
    <xf numFmtId="0" fontId="7" fillId="0" borderId="6" xfId="4" applyFont="1" applyFill="1" applyBorder="1" applyAlignment="1">
      <alignment horizontal="center"/>
    </xf>
    <xf numFmtId="2" fontId="7" fillId="0" borderId="7" xfId="4" applyNumberFormat="1" applyFont="1" applyFill="1" applyBorder="1" applyAlignment="1">
      <alignment horizontal="center"/>
    </xf>
    <xf numFmtId="0" fontId="7" fillId="0" borderId="0" xfId="4" applyFont="1" applyFill="1" applyBorder="1" applyAlignment="1">
      <alignment horizontal="center"/>
    </xf>
    <xf numFmtId="0" fontId="7" fillId="0" borderId="17" xfId="4" applyFont="1" applyBorder="1"/>
    <xf numFmtId="0" fontId="7" fillId="0" borderId="79" xfId="4" applyFont="1" applyBorder="1"/>
    <xf numFmtId="0" fontId="3" fillId="0" borderId="82" xfId="4" applyBorder="1" applyAlignment="1">
      <alignment horizontal="center"/>
    </xf>
    <xf numFmtId="0" fontId="3" fillId="0" borderId="74" xfId="4" applyBorder="1" applyAlignment="1">
      <alignment horizontal="center"/>
    </xf>
    <xf numFmtId="165" fontId="3" fillId="0" borderId="84" xfId="4" applyNumberFormat="1" applyBorder="1" applyAlignment="1">
      <alignment horizontal="center"/>
    </xf>
    <xf numFmtId="165" fontId="3" fillId="0" borderId="12" xfId="4" applyNumberFormat="1" applyBorder="1" applyAlignment="1">
      <alignment horizontal="center"/>
    </xf>
    <xf numFmtId="165" fontId="3" fillId="0" borderId="85" xfId="4" applyNumberFormat="1" applyBorder="1" applyAlignment="1">
      <alignment horizontal="center"/>
    </xf>
    <xf numFmtId="165" fontId="3" fillId="0" borderId="48" xfId="4" applyNumberFormat="1" applyBorder="1" applyAlignment="1">
      <alignment horizontal="center"/>
    </xf>
    <xf numFmtId="184" fontId="3" fillId="0" borderId="84" xfId="4" applyNumberFormat="1" applyBorder="1" applyAlignment="1">
      <alignment horizontal="center"/>
    </xf>
    <xf numFmtId="184" fontId="3" fillId="0" borderId="85" xfId="4" applyNumberFormat="1" applyBorder="1" applyAlignment="1">
      <alignment horizontal="center"/>
    </xf>
    <xf numFmtId="2" fontId="3" fillId="0" borderId="84" xfId="4" applyNumberFormat="1" applyBorder="1" applyAlignment="1">
      <alignment horizontal="center"/>
    </xf>
    <xf numFmtId="2" fontId="3" fillId="0" borderId="12" xfId="4" applyNumberFormat="1" applyBorder="1" applyAlignment="1">
      <alignment horizontal="center"/>
    </xf>
    <xf numFmtId="2" fontId="3" fillId="0" borderId="85" xfId="4" applyNumberFormat="1" applyBorder="1" applyAlignment="1">
      <alignment horizontal="center"/>
    </xf>
    <xf numFmtId="2" fontId="3" fillId="0" borderId="17" xfId="4" applyNumberFormat="1" applyBorder="1" applyAlignment="1">
      <alignment horizontal="center"/>
    </xf>
    <xf numFmtId="2" fontId="3" fillId="0" borderId="79" xfId="4" applyNumberFormat="1" applyBorder="1" applyAlignment="1">
      <alignment horizontal="center"/>
    </xf>
    <xf numFmtId="0" fontId="3" fillId="0" borderId="86" xfId="4" applyBorder="1" applyAlignment="1">
      <alignment horizontal="center"/>
    </xf>
    <xf numFmtId="165" fontId="3" fillId="0" borderId="11" xfId="4" applyNumberFormat="1" applyBorder="1" applyAlignment="1">
      <alignment horizontal="center"/>
    </xf>
    <xf numFmtId="165" fontId="3" fillId="0" borderId="79" xfId="4" applyNumberFormat="1" applyBorder="1" applyAlignment="1">
      <alignment horizontal="center"/>
    </xf>
    <xf numFmtId="0" fontId="3" fillId="0" borderId="0" xfId="4" applyAlignment="1">
      <alignment horizontal="center"/>
    </xf>
    <xf numFmtId="0" fontId="3" fillId="0" borderId="0" xfId="4" applyBorder="1" applyAlignment="1">
      <alignment horizontal="center"/>
    </xf>
    <xf numFmtId="165" fontId="3" fillId="0" borderId="0" xfId="4" applyNumberFormat="1" applyBorder="1" applyAlignment="1">
      <alignment horizontal="center"/>
    </xf>
    <xf numFmtId="184" fontId="3" fillId="0" borderId="0" xfId="4" applyNumberFormat="1" applyBorder="1" applyAlignment="1">
      <alignment horizontal="center"/>
    </xf>
    <xf numFmtId="2" fontId="3" fillId="0" borderId="87" xfId="4" applyNumberFormat="1" applyBorder="1" applyAlignment="1">
      <alignment horizontal="center"/>
    </xf>
    <xf numFmtId="2" fontId="3" fillId="0" borderId="0" xfId="4" applyNumberFormat="1" applyBorder="1" applyAlignment="1">
      <alignment horizontal="center"/>
    </xf>
    <xf numFmtId="2" fontId="3" fillId="0" borderId="0" xfId="4" applyNumberFormat="1" applyAlignment="1">
      <alignment horizontal="center"/>
    </xf>
    <xf numFmtId="0" fontId="3" fillId="0" borderId="0" xfId="4" applyFill="1" applyBorder="1" applyAlignment="1">
      <alignment horizontal="right"/>
    </xf>
    <xf numFmtId="165" fontId="3" fillId="0" borderId="17" xfId="4" applyNumberFormat="1" applyBorder="1" applyAlignment="1">
      <alignment horizontal="center"/>
    </xf>
    <xf numFmtId="165" fontId="3" fillId="0" borderId="8" xfId="4" applyNumberFormat="1" applyBorder="1" applyAlignment="1">
      <alignment horizontal="center"/>
    </xf>
    <xf numFmtId="184" fontId="3" fillId="0" borderId="79" xfId="4" applyNumberFormat="1" applyBorder="1" applyAlignment="1">
      <alignment horizontal="center"/>
    </xf>
    <xf numFmtId="1" fontId="3" fillId="0" borderId="0" xfId="4" applyNumberFormat="1" applyAlignment="1">
      <alignment horizontal="right"/>
    </xf>
    <xf numFmtId="0" fontId="3" fillId="0" borderId="0" xfId="4" applyAlignment="1">
      <alignment horizontal="right"/>
    </xf>
    <xf numFmtId="2" fontId="3" fillId="0" borderId="5" xfId="4" applyNumberFormat="1" applyBorder="1" applyAlignment="1">
      <alignment horizontal="center"/>
    </xf>
    <xf numFmtId="2" fontId="3" fillId="0" borderId="7" xfId="4" applyNumberFormat="1" applyBorder="1" applyAlignment="1">
      <alignment horizontal="center"/>
    </xf>
    <xf numFmtId="0" fontId="53" fillId="0" borderId="0" xfId="4" applyFont="1"/>
    <xf numFmtId="0" fontId="3" fillId="0" borderId="23" xfId="4" applyBorder="1"/>
    <xf numFmtId="11" fontId="3" fillId="0" borderId="0" xfId="4" applyNumberFormat="1" applyFont="1"/>
    <xf numFmtId="168" fontId="3" fillId="0" borderId="0" xfId="4" applyNumberFormat="1" applyFont="1"/>
    <xf numFmtId="2" fontId="3" fillId="29" borderId="0" xfId="4" applyNumberFormat="1" applyFill="1"/>
    <xf numFmtId="0" fontId="3" fillId="29" borderId="0" xfId="4" applyFill="1"/>
    <xf numFmtId="176" fontId="3" fillId="0" borderId="0" xfId="4" applyNumberFormat="1"/>
    <xf numFmtId="1" fontId="3" fillId="0" borderId="8" xfId="4" applyNumberFormat="1" applyBorder="1" applyAlignment="1">
      <alignment horizontal="left"/>
    </xf>
    <xf numFmtId="0" fontId="3" fillId="18" borderId="0" xfId="4" applyFill="1"/>
    <xf numFmtId="166" fontId="3" fillId="18" borderId="0" xfId="4" applyNumberFormat="1" applyFill="1"/>
    <xf numFmtId="0" fontId="3" fillId="0" borderId="0" xfId="4" quotePrefix="1" applyFill="1"/>
    <xf numFmtId="2" fontId="3" fillId="18" borderId="0" xfId="4" applyNumberFormat="1" applyFill="1"/>
    <xf numFmtId="167" fontId="3" fillId="18" borderId="0" xfId="4" applyNumberFormat="1" applyFill="1"/>
    <xf numFmtId="0" fontId="48" fillId="0" borderId="15" xfId="4" applyFont="1" applyFill="1" applyBorder="1"/>
    <xf numFmtId="2" fontId="4" fillId="0" borderId="11" xfId="4" applyNumberFormat="1" applyFont="1" applyFill="1" applyBorder="1"/>
    <xf numFmtId="0" fontId="4" fillId="0" borderId="79" xfId="4" applyFont="1" applyBorder="1"/>
    <xf numFmtId="167" fontId="4" fillId="0" borderId="11" xfId="4" applyNumberFormat="1" applyFont="1" applyFill="1" applyBorder="1"/>
    <xf numFmtId="0" fontId="82" fillId="0" borderId="79" xfId="4" applyFont="1" applyBorder="1"/>
    <xf numFmtId="0" fontId="48" fillId="0" borderId="0" xfId="4" applyFont="1"/>
    <xf numFmtId="0" fontId="3" fillId="0" borderId="80" xfId="4" applyFill="1" applyBorder="1"/>
    <xf numFmtId="0" fontId="3" fillId="0" borderId="15" xfId="4" applyFill="1" applyBorder="1"/>
    <xf numFmtId="165" fontId="7" fillId="0" borderId="0" xfId="0" applyNumberFormat="1" applyFont="1" applyBorder="1"/>
    <xf numFmtId="0" fontId="4" fillId="15" borderId="35" xfId="0" applyNumberFormat="1" applyFont="1" applyFill="1" applyBorder="1" applyAlignment="1" applyProtection="1">
      <alignment vertical="center"/>
      <protection locked="0"/>
    </xf>
    <xf numFmtId="0" fontId="4" fillId="12" borderId="64" xfId="0" applyNumberFormat="1" applyFont="1" applyFill="1" applyBorder="1" applyAlignment="1" applyProtection="1">
      <alignment vertical="center"/>
    </xf>
    <xf numFmtId="0" fontId="4" fillId="12" borderId="40" xfId="0" applyNumberFormat="1" applyFont="1" applyFill="1" applyBorder="1" applyAlignment="1" applyProtection="1">
      <alignment vertical="center"/>
    </xf>
    <xf numFmtId="0" fontId="4" fillId="11" borderId="0" xfId="0" applyFont="1" applyFill="1" applyBorder="1"/>
    <xf numFmtId="0" fontId="58" fillId="0" borderId="0" xfId="0" applyFont="1" applyBorder="1"/>
    <xf numFmtId="0" fontId="84" fillId="8" borderId="0" xfId="0" applyFont="1" applyFill="1" applyBorder="1" applyProtection="1"/>
    <xf numFmtId="0" fontId="81" fillId="12" borderId="0" xfId="0" applyNumberFormat="1" applyFont="1" applyFill="1" applyBorder="1" applyAlignment="1" applyProtection="1">
      <alignment vertical="center"/>
    </xf>
    <xf numFmtId="165" fontId="3" fillId="0" borderId="11" xfId="4" applyNumberFormat="1" applyBorder="1"/>
    <xf numFmtId="184" fontId="3" fillId="0" borderId="0" xfId="4" applyNumberFormat="1"/>
    <xf numFmtId="0" fontId="0" fillId="0" borderId="62" xfId="0" applyBorder="1"/>
    <xf numFmtId="0" fontId="0" fillId="0" borderId="64" xfId="0" applyBorder="1"/>
    <xf numFmtId="20" fontId="0" fillId="0" borderId="0" xfId="0" applyNumberFormat="1" applyBorder="1"/>
    <xf numFmtId="0" fontId="0" fillId="0" borderId="0" xfId="0" quotePrefix="1" applyBorder="1"/>
    <xf numFmtId="0" fontId="78" fillId="0" borderId="0" xfId="0" applyFont="1" applyBorder="1" applyAlignment="1">
      <alignment horizontal="right"/>
    </xf>
    <xf numFmtId="0" fontId="4" fillId="0" borderId="23" xfId="0" applyFont="1" applyBorder="1" applyAlignment="1">
      <alignment horizontal="right"/>
    </xf>
    <xf numFmtId="166" fontId="4" fillId="0" borderId="23" xfId="0" applyNumberFormat="1" applyFont="1" applyBorder="1" applyAlignment="1">
      <alignment horizontal="right"/>
    </xf>
    <xf numFmtId="166" fontId="48" fillId="0" borderId="0" xfId="0" applyNumberFormat="1" applyFont="1" applyBorder="1" applyAlignment="1">
      <alignment horizontal="left"/>
    </xf>
    <xf numFmtId="2" fontId="48" fillId="0" borderId="23" xfId="0" applyNumberFormat="1" applyFont="1" applyBorder="1" applyAlignment="1">
      <alignment horizontal="right"/>
    </xf>
    <xf numFmtId="2" fontId="48" fillId="0" borderId="0" xfId="0" applyNumberFormat="1" applyFont="1" applyBorder="1" applyAlignment="1">
      <alignment horizontal="left"/>
    </xf>
    <xf numFmtId="0" fontId="48" fillId="0" borderId="23" xfId="0" applyFont="1" applyBorder="1" applyAlignment="1">
      <alignment horizontal="right"/>
    </xf>
    <xf numFmtId="0" fontId="0" fillId="0" borderId="38" xfId="0" applyBorder="1"/>
    <xf numFmtId="0" fontId="0" fillId="0" borderId="39" xfId="0" applyBorder="1" applyAlignment="1">
      <alignment horizontal="left"/>
    </xf>
    <xf numFmtId="0" fontId="0" fillId="0" borderId="40" xfId="0" applyBorder="1"/>
    <xf numFmtId="0" fontId="4" fillId="0" borderId="62" xfId="0" applyFont="1" applyBorder="1"/>
    <xf numFmtId="0" fontId="4" fillId="8" borderId="23" xfId="0" applyFont="1" applyFill="1" applyBorder="1" applyAlignment="1" applyProtection="1"/>
    <xf numFmtId="0" fontId="22" fillId="8" borderId="38" xfId="0" applyFont="1" applyFill="1" applyBorder="1" applyAlignment="1" applyProtection="1">
      <alignment vertical="center"/>
    </xf>
    <xf numFmtId="0" fontId="47" fillId="8" borderId="39" xfId="0" applyFont="1" applyFill="1" applyBorder="1" applyAlignment="1" applyProtection="1"/>
    <xf numFmtId="0" fontId="4" fillId="8" borderId="39" xfId="0" applyFont="1" applyFill="1" applyBorder="1" applyAlignment="1" applyProtection="1"/>
    <xf numFmtId="0" fontId="4" fillId="8" borderId="40" xfId="0" applyFont="1" applyFill="1" applyBorder="1" applyAlignment="1" applyProtection="1"/>
    <xf numFmtId="0" fontId="4" fillId="12" borderId="0" xfId="0" applyNumberFormat="1" applyFont="1" applyFill="1" applyBorder="1" applyAlignment="1" applyProtection="1">
      <alignment vertical="center"/>
    </xf>
    <xf numFmtId="0" fontId="22" fillId="12" borderId="0" xfId="0" applyFont="1" applyFill="1" applyBorder="1" applyAlignment="1" applyProtection="1">
      <alignment vertical="center"/>
    </xf>
    <xf numFmtId="167" fontId="49" fillId="12" borderId="0" xfId="0" applyNumberFormat="1" applyFont="1" applyFill="1" applyBorder="1" applyAlignment="1" applyProtection="1">
      <alignment vertical="center"/>
    </xf>
    <xf numFmtId="0" fontId="10" fillId="0" borderId="0" xfId="3" applyAlignment="1" applyProtection="1"/>
    <xf numFmtId="0" fontId="50" fillId="0" borderId="0" xfId="4" applyFont="1"/>
    <xf numFmtId="0" fontId="58" fillId="0" borderId="86" xfId="4" applyFont="1" applyBorder="1" applyAlignment="1">
      <alignment horizontal="center"/>
    </xf>
    <xf numFmtId="0" fontId="58" fillId="0" borderId="74" xfId="4" applyFont="1" applyBorder="1" applyAlignment="1">
      <alignment horizontal="center"/>
    </xf>
    <xf numFmtId="165" fontId="58" fillId="0" borderId="84" xfId="4" applyNumberFormat="1" applyFont="1" applyBorder="1" applyAlignment="1">
      <alignment horizontal="center"/>
    </xf>
    <xf numFmtId="165" fontId="58" fillId="0" borderId="12" xfId="4" applyNumberFormat="1" applyFont="1" applyBorder="1" applyAlignment="1">
      <alignment horizontal="center"/>
    </xf>
    <xf numFmtId="165" fontId="58" fillId="0" borderId="85" xfId="4" applyNumberFormat="1" applyFont="1" applyBorder="1" applyAlignment="1">
      <alignment horizontal="center"/>
    </xf>
    <xf numFmtId="165" fontId="58" fillId="0" borderId="48" xfId="4" applyNumberFormat="1" applyFont="1" applyBorder="1" applyAlignment="1">
      <alignment horizontal="center"/>
    </xf>
    <xf numFmtId="165" fontId="58" fillId="0" borderId="11" xfId="4" applyNumberFormat="1" applyFont="1" applyBorder="1" applyAlignment="1">
      <alignment horizontal="center"/>
    </xf>
    <xf numFmtId="165" fontId="58" fillId="0" borderId="79" xfId="4" applyNumberFormat="1" applyFont="1" applyBorder="1" applyAlignment="1">
      <alignment horizontal="center"/>
    </xf>
    <xf numFmtId="184" fontId="58" fillId="0" borderId="84" xfId="4" applyNumberFormat="1" applyFont="1" applyBorder="1" applyAlignment="1">
      <alignment horizontal="center"/>
    </xf>
    <xf numFmtId="184" fontId="58" fillId="0" borderId="85" xfId="4" applyNumberFormat="1" applyFont="1" applyBorder="1" applyAlignment="1">
      <alignment horizontal="center"/>
    </xf>
    <xf numFmtId="2" fontId="58" fillId="0" borderId="84" xfId="4" applyNumberFormat="1" applyFont="1" applyBorder="1" applyAlignment="1">
      <alignment horizontal="center"/>
    </xf>
    <xf numFmtId="2" fontId="58" fillId="0" borderId="12" xfId="4" applyNumberFormat="1" applyFont="1" applyBorder="1" applyAlignment="1">
      <alignment horizontal="center"/>
    </xf>
    <xf numFmtId="2" fontId="58" fillId="0" borderId="79" xfId="4" applyNumberFormat="1" applyFont="1" applyBorder="1" applyAlignment="1">
      <alignment horizontal="center"/>
    </xf>
    <xf numFmtId="2" fontId="58" fillId="0" borderId="17" xfId="4" applyNumberFormat="1" applyFont="1" applyBorder="1" applyAlignment="1">
      <alignment horizontal="center"/>
    </xf>
    <xf numFmtId="1" fontId="49" fillId="12" borderId="0" xfId="0" applyNumberFormat="1" applyFont="1" applyFill="1" applyBorder="1" applyAlignment="1" applyProtection="1">
      <alignment vertical="center"/>
    </xf>
    <xf numFmtId="0" fontId="3" fillId="8" borderId="0" xfId="0" applyNumberFormat="1" applyFont="1" applyFill="1" applyBorder="1" applyAlignment="1" applyProtection="1">
      <alignment horizontal="right" vertical="center"/>
    </xf>
    <xf numFmtId="167" fontId="50" fillId="15" borderId="0" xfId="0" applyNumberFormat="1" applyFont="1" applyFill="1" applyBorder="1" applyAlignment="1" applyProtection="1">
      <alignment vertical="center"/>
      <protection locked="0"/>
    </xf>
    <xf numFmtId="0" fontId="86" fillId="0" borderId="0" xfId="0" applyFont="1"/>
    <xf numFmtId="167" fontId="3" fillId="12" borderId="0" xfId="0" applyNumberFormat="1" applyFont="1" applyFill="1" applyAlignment="1" applyProtection="1">
      <alignment horizontal="right"/>
    </xf>
    <xf numFmtId="0" fontId="0" fillId="0" borderId="0" xfId="0" quotePrefix="1" applyAlignment="1">
      <alignment wrapText="1"/>
    </xf>
    <xf numFmtId="0" fontId="0" fillId="0" borderId="0" xfId="0" applyAlignment="1">
      <alignment wrapText="1"/>
    </xf>
    <xf numFmtId="0" fontId="3" fillId="0" borderId="0" xfId="0" applyFont="1" applyAlignment="1">
      <alignment wrapText="1"/>
    </xf>
    <xf numFmtId="2" fontId="7" fillId="0" borderId="0" xfId="0" applyNumberFormat="1" applyFont="1" applyFill="1" applyBorder="1"/>
    <xf numFmtId="167" fontId="49" fillId="8" borderId="35" xfId="2" applyNumberFormat="1" applyFont="1" applyFill="1" applyBorder="1" applyAlignment="1" applyProtection="1">
      <alignment horizontal="right" vertical="center"/>
    </xf>
    <xf numFmtId="167" fontId="17" fillId="8" borderId="35" xfId="0" applyNumberFormat="1" applyFont="1" applyFill="1" applyBorder="1" applyAlignment="1" applyProtection="1">
      <alignment horizontal="right"/>
    </xf>
    <xf numFmtId="0" fontId="3" fillId="8" borderId="38" xfId="0" applyFont="1" applyFill="1" applyBorder="1" applyAlignment="1" applyProtection="1">
      <alignment vertical="center"/>
    </xf>
    <xf numFmtId="0" fontId="50" fillId="8" borderId="35" xfId="0" applyFont="1" applyFill="1" applyBorder="1" applyAlignment="1" applyProtection="1">
      <alignment horizontal="right" vertical="center"/>
    </xf>
    <xf numFmtId="0" fontId="50" fillId="12" borderId="64" xfId="0" applyNumberFormat="1" applyFont="1" applyFill="1" applyBorder="1" applyAlignment="1" applyProtection="1">
      <alignment vertical="center"/>
    </xf>
    <xf numFmtId="0" fontId="3" fillId="8" borderId="0" xfId="0" applyFont="1" applyFill="1" applyBorder="1" applyAlignment="1" applyProtection="1"/>
    <xf numFmtId="167" fontId="3" fillId="8" borderId="0" xfId="0" applyNumberFormat="1" applyFont="1" applyFill="1" applyBorder="1" applyAlignment="1" applyProtection="1"/>
    <xf numFmtId="0" fontId="87" fillId="8" borderId="39" xfId="0" applyFont="1" applyFill="1" applyBorder="1" applyAlignment="1" applyProtection="1"/>
    <xf numFmtId="0" fontId="3" fillId="8" borderId="39" xfId="0" applyFont="1" applyFill="1" applyBorder="1" applyAlignment="1" applyProtection="1"/>
    <xf numFmtId="0" fontId="49" fillId="8" borderId="39" xfId="0" applyFont="1" applyFill="1" applyBorder="1" applyAlignment="1" applyProtection="1">
      <alignment horizontal="right"/>
    </xf>
    <xf numFmtId="1" fontId="3" fillId="8" borderId="39" xfId="0" applyNumberFormat="1" applyFont="1" applyFill="1" applyBorder="1" applyAlignment="1" applyProtection="1"/>
    <xf numFmtId="0" fontId="3" fillId="8" borderId="40" xfId="0" applyFont="1" applyFill="1" applyBorder="1" applyAlignment="1" applyProtection="1"/>
    <xf numFmtId="167" fontId="79" fillId="8" borderId="0" xfId="0" applyNumberFormat="1" applyFont="1" applyFill="1" applyBorder="1" applyAlignment="1" applyProtection="1"/>
    <xf numFmtId="0" fontId="3" fillId="8" borderId="22" xfId="0" applyFont="1" applyFill="1" applyBorder="1" applyAlignment="1" applyProtection="1">
      <alignment horizontal="right"/>
    </xf>
    <xf numFmtId="0" fontId="22" fillId="12" borderId="62" xfId="0" applyFont="1" applyFill="1" applyBorder="1" applyAlignment="1" applyProtection="1">
      <alignment vertical="center"/>
    </xf>
    <xf numFmtId="0" fontId="47" fillId="8" borderId="35" xfId="0" applyFont="1" applyFill="1" applyBorder="1" applyAlignment="1" applyProtection="1"/>
    <xf numFmtId="0" fontId="3" fillId="8" borderId="35" xfId="0" applyFont="1" applyFill="1" applyBorder="1" applyAlignment="1" applyProtection="1"/>
    <xf numFmtId="0" fontId="3" fillId="8" borderId="35" xfId="0" quotePrefix="1" applyFont="1" applyFill="1" applyBorder="1" applyAlignment="1" applyProtection="1">
      <alignment horizontal="right"/>
    </xf>
    <xf numFmtId="167" fontId="3" fillId="8" borderId="35" xfId="0" applyNumberFormat="1" applyFont="1" applyFill="1" applyBorder="1" applyAlignment="1" applyProtection="1"/>
    <xf numFmtId="0" fontId="3" fillId="8" borderId="64" xfId="0" applyFont="1" applyFill="1" applyBorder="1" applyAlignment="1" applyProtection="1"/>
    <xf numFmtId="0" fontId="22" fillId="12" borderId="22" xfId="0" applyFont="1" applyFill="1" applyBorder="1" applyAlignment="1" applyProtection="1">
      <alignment vertical="center"/>
    </xf>
    <xf numFmtId="0" fontId="17" fillId="12" borderId="38" xfId="0" applyFont="1" applyFill="1" applyBorder="1" applyProtection="1"/>
    <xf numFmtId="167" fontId="3" fillId="8" borderId="0" xfId="0" applyNumberFormat="1" applyFont="1" applyFill="1" applyBorder="1" applyAlignment="1" applyProtection="1">
      <alignment horizontal="right"/>
    </xf>
    <xf numFmtId="167" fontId="3" fillId="8" borderId="39" xfId="0" applyNumberFormat="1" applyFont="1" applyFill="1" applyBorder="1" applyAlignment="1" applyProtection="1">
      <alignment horizontal="right"/>
    </xf>
    <xf numFmtId="0" fontId="3" fillId="8" borderId="64" xfId="0" applyFont="1" applyFill="1" applyBorder="1" applyAlignment="1" applyProtection="1">
      <alignment vertical="center"/>
    </xf>
    <xf numFmtId="0" fontId="50" fillId="15" borderId="39" xfId="0" applyNumberFormat="1" applyFont="1" applyFill="1" applyBorder="1" applyAlignment="1" applyProtection="1">
      <alignment horizontal="right" vertical="center"/>
      <protection locked="0"/>
    </xf>
    <xf numFmtId="0" fontId="4" fillId="8" borderId="40" xfId="0" applyFont="1" applyFill="1" applyBorder="1" applyAlignment="1" applyProtection="1">
      <alignment vertical="center"/>
    </xf>
    <xf numFmtId="0" fontId="84" fillId="8" borderId="11" xfId="0" applyFont="1" applyFill="1" applyBorder="1" applyAlignment="1" applyProtection="1">
      <alignment horizontal="right"/>
    </xf>
    <xf numFmtId="0" fontId="81" fillId="15" borderId="15" xfId="0" applyNumberFormat="1" applyFont="1" applyFill="1" applyBorder="1" applyAlignment="1" applyProtection="1">
      <alignment vertical="center"/>
      <protection locked="0"/>
    </xf>
    <xf numFmtId="0" fontId="4" fillId="0" borderId="0" xfId="0" applyFont="1" applyFill="1" applyBorder="1" applyProtection="1"/>
    <xf numFmtId="0" fontId="3" fillId="8" borderId="64" xfId="0" applyFont="1" applyFill="1" applyBorder="1" applyProtection="1"/>
    <xf numFmtId="0" fontId="3" fillId="12" borderId="40" xfId="0" applyFont="1" applyFill="1" applyBorder="1" applyProtection="1"/>
    <xf numFmtId="0" fontId="4" fillId="15" borderId="0" xfId="0" applyNumberFormat="1" applyFont="1" applyFill="1" applyBorder="1" applyAlignment="1" applyProtection="1">
      <alignment horizontal="right"/>
      <protection locked="0"/>
    </xf>
    <xf numFmtId="0" fontId="4" fillId="8" borderId="35" xfId="0" applyFont="1" applyFill="1" applyBorder="1" applyAlignment="1" applyProtection="1">
      <alignment horizontal="right" vertical="center"/>
    </xf>
    <xf numFmtId="1" fontId="3" fillId="8" borderId="35" xfId="0" applyNumberFormat="1" applyFont="1" applyFill="1" applyBorder="1" applyAlignment="1" applyProtection="1">
      <alignment horizontal="right" vertical="center"/>
    </xf>
    <xf numFmtId="0" fontId="3" fillId="8" borderId="88" xfId="0" applyFont="1" applyFill="1" applyBorder="1" applyAlignment="1" applyProtection="1">
      <alignment vertical="center"/>
    </xf>
    <xf numFmtId="0" fontId="3" fillId="8" borderId="10" xfId="0" applyFont="1" applyFill="1" applyBorder="1" applyAlignment="1" applyProtection="1">
      <alignment vertical="center"/>
    </xf>
    <xf numFmtId="0" fontId="4" fillId="8" borderId="10" xfId="0" applyFont="1" applyFill="1" applyBorder="1" applyAlignment="1" applyProtection="1">
      <alignment vertical="center"/>
    </xf>
    <xf numFmtId="0" fontId="3" fillId="8" borderId="10" xfId="0" applyFont="1" applyFill="1" applyBorder="1" applyAlignment="1" applyProtection="1">
      <alignment horizontal="right" vertical="center"/>
    </xf>
    <xf numFmtId="0" fontId="3" fillId="0" borderId="10" xfId="0" applyNumberFormat="1" applyFont="1" applyFill="1" applyBorder="1" applyAlignment="1" applyProtection="1">
      <alignment horizontal="right" vertical="center"/>
    </xf>
    <xf numFmtId="0" fontId="3" fillId="8" borderId="89" xfId="0" applyFont="1" applyFill="1" applyBorder="1" applyAlignment="1" applyProtection="1">
      <alignment vertical="center"/>
    </xf>
    <xf numFmtId="0" fontId="3" fillId="8" borderId="48" xfId="0" applyFont="1" applyFill="1" applyBorder="1" applyAlignment="1" applyProtection="1">
      <alignment vertical="center"/>
    </xf>
    <xf numFmtId="0" fontId="3" fillId="8" borderId="4" xfId="0" applyFont="1" applyFill="1" applyBorder="1" applyAlignment="1" applyProtection="1">
      <alignment vertical="center"/>
    </xf>
    <xf numFmtId="0" fontId="3" fillId="8" borderId="4" xfId="0" applyFont="1" applyFill="1" applyBorder="1" applyAlignment="1" applyProtection="1">
      <alignment horizontal="right" vertical="center"/>
    </xf>
    <xf numFmtId="0" fontId="3" fillId="8" borderId="4" xfId="0" applyNumberFormat="1" applyFont="1" applyFill="1" applyBorder="1" applyAlignment="1" applyProtection="1">
      <alignment horizontal="right" vertical="center"/>
    </xf>
    <xf numFmtId="0" fontId="3" fillId="8" borderId="16" xfId="0" applyFont="1" applyFill="1" applyBorder="1" applyAlignment="1" applyProtection="1">
      <alignment vertical="center"/>
    </xf>
    <xf numFmtId="0" fontId="22" fillId="8" borderId="0" xfId="0" applyFont="1" applyFill="1" applyBorder="1" applyAlignment="1" applyProtection="1">
      <alignment vertical="center"/>
    </xf>
    <xf numFmtId="0" fontId="45" fillId="8" borderId="62" xfId="0" applyFont="1" applyFill="1" applyBorder="1" applyProtection="1"/>
    <xf numFmtId="0" fontId="45" fillId="8" borderId="38" xfId="0" applyFont="1" applyFill="1" applyBorder="1" applyProtection="1"/>
    <xf numFmtId="0" fontId="3" fillId="8" borderId="62" xfId="0" applyFont="1" applyFill="1" applyBorder="1" applyAlignment="1" applyProtection="1">
      <alignment horizontal="right"/>
    </xf>
    <xf numFmtId="0" fontId="3" fillId="0" borderId="0" xfId="0" applyFont="1" applyFill="1" applyBorder="1" applyAlignment="1" applyProtection="1">
      <alignment horizontal="right"/>
    </xf>
    <xf numFmtId="0" fontId="49" fillId="12" borderId="0" xfId="0" applyFont="1" applyFill="1" applyBorder="1" applyAlignment="1" applyProtection="1">
      <alignment horizontal="right"/>
    </xf>
    <xf numFmtId="0" fontId="49" fillId="12" borderId="35" xfId="0" applyFont="1" applyFill="1" applyBorder="1" applyAlignment="1" applyProtection="1">
      <alignment horizontal="right"/>
    </xf>
    <xf numFmtId="0" fontId="17" fillId="12" borderId="90" xfId="0" applyFont="1" applyFill="1" applyBorder="1" applyProtection="1"/>
    <xf numFmtId="0" fontId="50" fillId="12" borderId="39" xfId="0" applyFont="1" applyFill="1" applyBorder="1" applyAlignment="1" applyProtection="1">
      <alignment horizontal="right"/>
    </xf>
    <xf numFmtId="0" fontId="3" fillId="0" borderId="0" xfId="0" applyNumberFormat="1" applyFont="1" applyFill="1" applyBorder="1" applyAlignment="1" applyProtection="1">
      <alignment vertical="center"/>
    </xf>
    <xf numFmtId="0" fontId="17" fillId="8" borderId="67" xfId="0" applyFont="1" applyFill="1" applyBorder="1" applyProtection="1"/>
    <xf numFmtId="0" fontId="3" fillId="12" borderId="0" xfId="0" applyFont="1" applyFill="1" applyBorder="1" applyAlignment="1" applyProtection="1">
      <alignment horizontal="right"/>
    </xf>
    <xf numFmtId="0" fontId="3" fillId="12" borderId="23" xfId="0" applyFont="1" applyFill="1" applyBorder="1" applyProtection="1"/>
    <xf numFmtId="0" fontId="3" fillId="0" borderId="0" xfId="0" applyFont="1" applyFill="1" applyBorder="1" applyProtection="1"/>
    <xf numFmtId="0" fontId="79" fillId="8" borderId="0" xfId="0" applyFont="1" applyFill="1" applyBorder="1" applyAlignment="1" applyProtection="1">
      <alignment horizontal="right" vertical="center"/>
    </xf>
    <xf numFmtId="0" fontId="65" fillId="8" borderId="0" xfId="0" applyFont="1" applyFill="1" applyBorder="1" applyAlignment="1" applyProtection="1">
      <alignment horizontal="right" vertical="center"/>
    </xf>
    <xf numFmtId="0" fontId="3" fillId="0" borderId="62" xfId="0" applyFont="1" applyBorder="1"/>
    <xf numFmtId="0" fontId="0" fillId="0" borderId="90" xfId="0" applyBorder="1"/>
    <xf numFmtId="0" fontId="3" fillId="0" borderId="38" xfId="0" applyFont="1" applyBorder="1"/>
    <xf numFmtId="0" fontId="4" fillId="8" borderId="35" xfId="0" applyFont="1" applyFill="1" applyBorder="1" applyAlignment="1" applyProtection="1">
      <alignment horizontal="right"/>
    </xf>
    <xf numFmtId="0" fontId="3" fillId="0"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3" fillId="8" borderId="38" xfId="0" applyFont="1" applyFill="1" applyBorder="1" applyProtection="1"/>
    <xf numFmtId="0" fontId="4" fillId="0" borderId="39" xfId="0" applyFont="1" applyFill="1" applyBorder="1" applyProtection="1"/>
    <xf numFmtId="0" fontId="3" fillId="0" borderId="39" xfId="0" applyFont="1" applyFill="1" applyBorder="1" applyAlignment="1" applyProtection="1">
      <alignment horizontal="right"/>
    </xf>
    <xf numFmtId="0" fontId="3" fillId="0" borderId="40" xfId="0" applyNumberFormat="1" applyFont="1" applyFill="1" applyBorder="1" applyAlignment="1" applyProtection="1">
      <alignment vertical="center"/>
    </xf>
    <xf numFmtId="167" fontId="3" fillId="0" borderId="39" xfId="0" applyNumberFormat="1" applyFont="1" applyFill="1" applyBorder="1" applyAlignment="1" applyProtection="1">
      <alignment horizontal="right" vertical="center"/>
    </xf>
    <xf numFmtId="0" fontId="3" fillId="12" borderId="0" xfId="0" applyFont="1" applyFill="1" applyBorder="1" applyProtection="1"/>
    <xf numFmtId="1" fontId="3" fillId="12" borderId="35" xfId="0" applyNumberFormat="1" applyFont="1" applyFill="1" applyBorder="1" applyProtection="1"/>
    <xf numFmtId="0" fontId="3" fillId="12" borderId="64" xfId="0" applyFont="1" applyFill="1" applyBorder="1" applyProtection="1"/>
    <xf numFmtId="0" fontId="3" fillId="12" borderId="0" xfId="0" applyFont="1" applyFill="1" applyBorder="1" applyAlignment="1" applyProtection="1"/>
    <xf numFmtId="0" fontId="3" fillId="12" borderId="90" xfId="0" applyFont="1" applyFill="1" applyBorder="1" applyProtection="1"/>
    <xf numFmtId="0" fontId="4" fillId="15" borderId="39" xfId="0" applyFont="1" applyFill="1" applyBorder="1" applyAlignment="1" applyProtection="1">
      <protection locked="0"/>
    </xf>
    <xf numFmtId="0" fontId="4" fillId="12" borderId="40" xfId="0" applyFont="1" applyFill="1" applyBorder="1" applyProtection="1"/>
    <xf numFmtId="167" fontId="3" fillId="12" borderId="0" xfId="0" applyNumberFormat="1" applyFont="1" applyFill="1" applyBorder="1" applyProtection="1"/>
    <xf numFmtId="0" fontId="4" fillId="8" borderId="90" xfId="0" applyFont="1" applyFill="1" applyBorder="1" applyAlignment="1" applyProtection="1">
      <alignment vertical="center"/>
    </xf>
    <xf numFmtId="0" fontId="3" fillId="8" borderId="90" xfId="0" applyNumberFormat="1" applyFont="1" applyFill="1" applyBorder="1" applyAlignment="1" applyProtection="1">
      <alignment horizontal="left" vertical="center"/>
    </xf>
    <xf numFmtId="0" fontId="3" fillId="8" borderId="90" xfId="0" applyFont="1" applyFill="1" applyBorder="1" applyAlignment="1" applyProtection="1">
      <alignment vertical="center"/>
    </xf>
    <xf numFmtId="0" fontId="3" fillId="8" borderId="35" xfId="0" applyNumberFormat="1" applyFont="1" applyFill="1" applyBorder="1" applyAlignment="1" applyProtection="1">
      <alignment horizontal="right" vertical="center"/>
    </xf>
    <xf numFmtId="0" fontId="3" fillId="8" borderId="39" xfId="0" applyNumberFormat="1" applyFont="1" applyFill="1" applyBorder="1" applyAlignment="1" applyProtection="1">
      <alignment horizontal="right" vertical="center"/>
    </xf>
    <xf numFmtId="0" fontId="3" fillId="8" borderId="40" xfId="0" applyNumberFormat="1" applyFont="1" applyFill="1" applyBorder="1" applyAlignment="1" applyProtection="1">
      <alignment horizontal="left" vertical="center"/>
    </xf>
    <xf numFmtId="0" fontId="3" fillId="8" borderId="62" xfId="0" applyFont="1" applyFill="1" applyBorder="1" applyAlignment="1" applyProtection="1">
      <alignment horizontal="right" vertical="center"/>
    </xf>
    <xf numFmtId="0" fontId="3" fillId="12" borderId="35" xfId="0" applyNumberFormat="1" applyFont="1" applyFill="1" applyBorder="1" applyAlignment="1" applyProtection="1">
      <alignment horizontal="right" vertical="center"/>
    </xf>
    <xf numFmtId="0" fontId="3" fillId="12" borderId="35" xfId="0" applyFont="1" applyFill="1" applyBorder="1" applyAlignment="1" applyProtection="1">
      <alignment vertical="center"/>
    </xf>
    <xf numFmtId="0" fontId="3" fillId="12" borderId="35" xfId="0" applyFont="1" applyFill="1" applyBorder="1" applyProtection="1"/>
    <xf numFmtId="0" fontId="3" fillId="8" borderId="22" xfId="0" applyFont="1" applyFill="1" applyBorder="1" applyAlignment="1" applyProtection="1">
      <alignment horizontal="right" vertical="center"/>
    </xf>
    <xf numFmtId="0" fontId="3" fillId="8" borderId="90" xfId="0" applyFont="1" applyFill="1" applyBorder="1" applyProtection="1"/>
    <xf numFmtId="165" fontId="17" fillId="8" borderId="39" xfId="0" applyNumberFormat="1" applyFont="1" applyFill="1" applyBorder="1" applyProtection="1"/>
    <xf numFmtId="2" fontId="3" fillId="8" borderId="39" xfId="0" applyNumberFormat="1" applyFont="1" applyFill="1" applyBorder="1" applyProtection="1"/>
    <xf numFmtId="166" fontId="3" fillId="8" borderId="39" xfId="0" applyNumberFormat="1" applyFont="1" applyFill="1" applyBorder="1" applyAlignment="1" applyProtection="1">
      <alignment horizontal="right" vertical="center"/>
    </xf>
    <xf numFmtId="0" fontId="3" fillId="8" borderId="76" xfId="0" applyFont="1" applyFill="1" applyBorder="1" applyProtection="1"/>
    <xf numFmtId="0" fontId="3" fillId="8" borderId="77" xfId="0" applyFont="1" applyFill="1" applyBorder="1" applyProtection="1"/>
    <xf numFmtId="0" fontId="3" fillId="15" borderId="0" xfId="0" applyNumberFormat="1" applyFont="1" applyFill="1" applyBorder="1" applyAlignment="1" applyProtection="1">
      <alignment horizontal="right" vertical="center"/>
      <protection locked="0"/>
    </xf>
    <xf numFmtId="166" fontId="0" fillId="30" borderId="0" xfId="0" applyNumberFormat="1" applyFill="1"/>
    <xf numFmtId="176" fontId="0" fillId="0" borderId="0" xfId="0" applyNumberFormat="1"/>
    <xf numFmtId="0" fontId="3" fillId="15" borderId="35" xfId="0" applyNumberFormat="1" applyFont="1" applyFill="1" applyBorder="1" applyAlignment="1" applyProtection="1">
      <alignment horizontal="right" vertical="center"/>
      <protection locked="0"/>
    </xf>
    <xf numFmtId="0" fontId="4" fillId="8" borderId="64" xfId="0" applyNumberFormat="1" applyFont="1" applyFill="1" applyBorder="1" applyAlignment="1" applyProtection="1">
      <alignment horizontal="left" vertical="center"/>
    </xf>
    <xf numFmtId="0" fontId="4" fillId="8" borderId="90" xfId="0" applyNumberFormat="1" applyFont="1" applyFill="1" applyBorder="1" applyAlignment="1" applyProtection="1">
      <alignment horizontal="left" vertical="center"/>
    </xf>
    <xf numFmtId="0" fontId="65" fillId="8" borderId="0" xfId="0" applyNumberFormat="1" applyFont="1" applyFill="1" applyBorder="1" applyAlignment="1" applyProtection="1">
      <alignment horizontal="right" vertical="center"/>
    </xf>
    <xf numFmtId="0" fontId="18" fillId="8" borderId="64" xfId="0" applyFont="1" applyFill="1" applyBorder="1" applyProtection="1"/>
    <xf numFmtId="0" fontId="18" fillId="8" borderId="90" xfId="0" applyFont="1" applyFill="1" applyBorder="1" applyProtection="1"/>
    <xf numFmtId="0" fontId="17" fillId="8" borderId="90" xfId="0" applyFont="1" applyFill="1" applyBorder="1" applyProtection="1"/>
    <xf numFmtId="0" fontId="3" fillId="8" borderId="38" xfId="0" applyFont="1" applyFill="1" applyBorder="1" applyAlignment="1" applyProtection="1">
      <alignment horizontal="right" vertical="center"/>
    </xf>
    <xf numFmtId="0" fontId="3" fillId="12" borderId="39" xfId="0" applyNumberFormat="1" applyFont="1" applyFill="1" applyBorder="1" applyAlignment="1" applyProtection="1">
      <alignment horizontal="right" vertical="center"/>
    </xf>
    <xf numFmtId="0" fontId="3" fillId="12" borderId="39" xfId="0" applyFont="1" applyFill="1" applyBorder="1" applyAlignment="1" applyProtection="1">
      <alignment vertical="center"/>
    </xf>
    <xf numFmtId="0" fontId="3" fillId="8" borderId="75" xfId="0" applyFont="1" applyFill="1" applyBorder="1" applyProtection="1"/>
    <xf numFmtId="0" fontId="3" fillId="15" borderId="35" xfId="0" applyFont="1" applyFill="1" applyBorder="1" applyProtection="1">
      <protection locked="0"/>
    </xf>
    <xf numFmtId="0" fontId="3" fillId="15" borderId="0" xfId="0" applyFont="1" applyFill="1" applyBorder="1" applyProtection="1">
      <protection locked="0"/>
    </xf>
    <xf numFmtId="0" fontId="65" fillId="8" borderId="0" xfId="0" applyFont="1" applyFill="1" applyBorder="1" applyAlignment="1" applyProtection="1">
      <alignment horizontal="right"/>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48" fillId="8" borderId="0" xfId="0" applyFont="1" applyFill="1" applyBorder="1" applyProtection="1"/>
    <xf numFmtId="0" fontId="58" fillId="8" borderId="0" xfId="0" applyFont="1" applyFill="1" applyBorder="1" applyProtection="1"/>
    <xf numFmtId="174" fontId="3" fillId="12" borderId="8" xfId="4" applyNumberFormat="1" applyFill="1" applyBorder="1" applyAlignment="1">
      <alignment horizontal="left" vertical="center"/>
    </xf>
    <xf numFmtId="180" fontId="3" fillId="17" borderId="8" xfId="4" applyNumberFormat="1" applyFill="1" applyBorder="1" applyAlignment="1">
      <alignment horizontal="left" vertical="center"/>
    </xf>
    <xf numFmtId="180" fontId="3" fillId="17" borderId="9" xfId="4" applyNumberFormat="1" applyFill="1" applyBorder="1" applyAlignment="1">
      <alignment horizontal="left" vertical="center"/>
    </xf>
    <xf numFmtId="1" fontId="3" fillId="17" borderId="11" xfId="4" applyNumberFormat="1" applyFill="1" applyBorder="1" applyAlignment="1">
      <alignment horizontal="center" vertical="center"/>
    </xf>
    <xf numFmtId="181" fontId="3" fillId="12" borderId="11" xfId="4" applyNumberFormat="1" applyFill="1" applyBorder="1" applyAlignment="1">
      <alignment horizontal="center" vertical="center"/>
    </xf>
    <xf numFmtId="182" fontId="3" fillId="12" borderId="9" xfId="4" applyNumberFormat="1" applyFill="1" applyBorder="1" applyAlignment="1">
      <alignment horizontal="left" vertical="center"/>
    </xf>
    <xf numFmtId="172" fontId="3" fillId="17" borderId="11" xfId="4" applyNumberFormat="1" applyFill="1" applyBorder="1" applyAlignment="1">
      <alignment horizontal="center" vertical="center"/>
    </xf>
    <xf numFmtId="11" fontId="0" fillId="0" borderId="0" xfId="0" applyNumberFormat="1"/>
    <xf numFmtId="0" fontId="58" fillId="0" borderId="0" xfId="0" applyFont="1" applyFill="1" applyBorder="1"/>
    <xf numFmtId="0" fontId="58" fillId="0" borderId="0" xfId="0" applyFont="1"/>
    <xf numFmtId="0" fontId="3" fillId="12" borderId="23" xfId="0" applyFont="1" applyFill="1" applyBorder="1" applyAlignment="1" applyProtection="1">
      <alignment vertical="center"/>
    </xf>
    <xf numFmtId="167" fontId="49" fillId="12" borderId="0" xfId="0" applyNumberFormat="1" applyFont="1" applyFill="1" applyBorder="1" applyAlignment="1" applyProtection="1">
      <alignment horizontal="right" vertical="center"/>
    </xf>
    <xf numFmtId="167" fontId="3" fillId="8" borderId="0" xfId="0" applyNumberFormat="1" applyFont="1" applyFill="1" applyBorder="1" applyAlignment="1" applyProtection="1">
      <alignment horizontal="right" vertical="center"/>
    </xf>
    <xf numFmtId="0" fontId="81" fillId="4" borderId="43" xfId="4" applyFont="1" applyFill="1" applyBorder="1" applyAlignment="1">
      <alignment horizontal="center"/>
    </xf>
    <xf numFmtId="0" fontId="3" fillId="4" borderId="47" xfId="4" applyFill="1" applyBorder="1" applyAlignment="1">
      <alignment horizontal="center"/>
    </xf>
    <xf numFmtId="0" fontId="3" fillId="4" borderId="81" xfId="4" applyFill="1" applyBorder="1" applyAlignment="1">
      <alignment horizontal="center"/>
    </xf>
    <xf numFmtId="0" fontId="4" fillId="4" borderId="43" xfId="4" applyFont="1" applyFill="1" applyBorder="1" applyAlignment="1"/>
    <xf numFmtId="0" fontId="4" fillId="4" borderId="81" xfId="4" applyFont="1" applyFill="1" applyBorder="1" applyAlignment="1"/>
    <xf numFmtId="0" fontId="4" fillId="0" borderId="17" xfId="4" applyFont="1" applyBorder="1" applyAlignment="1">
      <alignment horizontal="center"/>
    </xf>
    <xf numFmtId="0" fontId="4" fillId="0" borderId="11" xfId="4" applyFont="1" applyBorder="1" applyAlignment="1">
      <alignment horizontal="center"/>
    </xf>
    <xf numFmtId="0" fontId="4" fillId="0" borderId="79" xfId="4" applyFont="1" applyBorder="1" applyAlignment="1">
      <alignment horizontal="center"/>
    </xf>
    <xf numFmtId="0" fontId="4" fillId="0" borderId="80" xfId="4" applyFont="1" applyBorder="1" applyAlignment="1">
      <alignment horizontal="center"/>
    </xf>
    <xf numFmtId="0" fontId="4" fillId="0" borderId="83" xfId="4" applyFont="1" applyBorder="1" applyAlignment="1">
      <alignment horizontal="center"/>
    </xf>
    <xf numFmtId="0" fontId="4" fillId="0" borderId="65" xfId="4" applyFont="1" applyBorder="1" applyAlignment="1">
      <alignment horizontal="center"/>
    </xf>
    <xf numFmtId="0" fontId="4" fillId="0" borderId="78" xfId="4" applyFont="1" applyBorder="1" applyAlignment="1">
      <alignment horizontal="center"/>
    </xf>
    <xf numFmtId="0" fontId="3" fillId="0" borderId="78" xfId="4" applyFont="1" applyBorder="1" applyAlignment="1">
      <alignment horizontal="center"/>
    </xf>
    <xf numFmtId="0" fontId="3" fillId="0" borderId="66" xfId="4" applyFont="1" applyBorder="1" applyAlignment="1">
      <alignment horizontal="center"/>
    </xf>
    <xf numFmtId="0" fontId="4" fillId="0" borderId="66" xfId="4" applyFont="1" applyBorder="1" applyAlignment="1">
      <alignment horizontal="center"/>
    </xf>
    <xf numFmtId="0" fontId="81" fillId="4" borderId="76" xfId="4" applyFont="1" applyFill="1" applyBorder="1" applyAlignment="1">
      <alignment horizontal="center" vertical="top" shrinkToFit="1"/>
    </xf>
    <xf numFmtId="0" fontId="3" fillId="4" borderId="75" xfId="4" applyFill="1" applyBorder="1" applyAlignment="1">
      <alignment horizontal="center" vertical="top" shrinkToFit="1"/>
    </xf>
    <xf numFmtId="0" fontId="3" fillId="4" borderId="77" xfId="4" applyFill="1" applyBorder="1" applyAlignment="1">
      <alignment horizontal="center" vertical="top" shrinkToFit="1"/>
    </xf>
    <xf numFmtId="0" fontId="81" fillId="4" borderId="76" xfId="4" applyFont="1" applyFill="1" applyBorder="1" applyAlignment="1">
      <alignment horizontal="center" vertical="top"/>
    </xf>
    <xf numFmtId="0" fontId="81" fillId="4" borderId="82" xfId="4" applyFont="1" applyFill="1" applyBorder="1" applyAlignment="1">
      <alignment horizontal="center" vertical="top"/>
    </xf>
    <xf numFmtId="0" fontId="81" fillId="4" borderId="65" xfId="4" applyFont="1" applyFill="1" applyBorder="1" applyAlignment="1">
      <alignment horizontal="center"/>
    </xf>
    <xf numFmtId="0" fontId="81" fillId="4" borderId="78" xfId="4" applyFont="1" applyFill="1" applyBorder="1" applyAlignment="1">
      <alignment horizontal="center"/>
    </xf>
    <xf numFmtId="0" fontId="81" fillId="4" borderId="66" xfId="4" applyFont="1" applyFill="1" applyBorder="1" applyAlignment="1">
      <alignment horizontal="center"/>
    </xf>
    <xf numFmtId="0" fontId="81" fillId="4" borderId="81" xfId="4" applyFont="1" applyFill="1" applyBorder="1" applyAlignment="1">
      <alignment horizontal="center"/>
    </xf>
    <xf numFmtId="0" fontId="4" fillId="0" borderId="0" xfId="0" applyFont="1" applyAlignment="1">
      <alignment horizontal="center"/>
    </xf>
    <xf numFmtId="0" fontId="5" fillId="3" borderId="0" xfId="0" applyFont="1" applyFill="1" applyAlignment="1">
      <alignment horizontal="left"/>
    </xf>
    <xf numFmtId="0" fontId="13" fillId="3" borderId="0" xfId="4" applyFont="1" applyFill="1" applyAlignment="1">
      <alignment horizontal="left" vertical="center"/>
    </xf>
    <xf numFmtId="0" fontId="23" fillId="21" borderId="0" xfId="4" applyFont="1" applyFill="1" applyBorder="1" applyAlignment="1" applyProtection="1">
      <alignment horizontal="center" vertical="center"/>
    </xf>
    <xf numFmtId="0" fontId="4" fillId="0" borderId="0" xfId="4" applyFont="1" applyAlignment="1">
      <alignment horizontal="left" vertical="center" wrapText="1"/>
    </xf>
    <xf numFmtId="0" fontId="4" fillId="4" borderId="65" xfId="4" applyFont="1" applyFill="1" applyBorder="1" applyAlignment="1">
      <alignment horizontal="left"/>
    </xf>
    <xf numFmtId="0" fontId="4" fillId="4" borderId="71" xfId="4" applyFont="1" applyFill="1" applyBorder="1" applyAlignment="1">
      <alignment horizontal="left"/>
    </xf>
    <xf numFmtId="0" fontId="4" fillId="4" borderId="46" xfId="4" applyFont="1" applyFill="1" applyBorder="1" applyAlignment="1">
      <alignment horizontal="left"/>
    </xf>
    <xf numFmtId="0" fontId="4" fillId="4" borderId="66" xfId="4" applyFont="1" applyFill="1" applyBorder="1" applyAlignment="1">
      <alignment horizontal="left"/>
    </xf>
    <xf numFmtId="0" fontId="4" fillId="4" borderId="78" xfId="4" applyFont="1" applyFill="1" applyBorder="1" applyAlignment="1">
      <alignment horizontal="left"/>
    </xf>
    <xf numFmtId="0" fontId="54" fillId="3" borderId="69" xfId="4" applyFont="1" applyFill="1" applyBorder="1" applyAlignment="1">
      <alignment horizontal="center" vertical="center"/>
    </xf>
    <xf numFmtId="0" fontId="54" fillId="3" borderId="71" xfId="4" applyFont="1" applyFill="1" applyBorder="1" applyAlignment="1">
      <alignment horizontal="center" vertical="center"/>
    </xf>
    <xf numFmtId="0" fontId="54" fillId="3" borderId="72" xfId="4" applyFont="1" applyFill="1" applyBorder="1" applyAlignment="1">
      <alignment horizontal="center" vertical="center"/>
    </xf>
    <xf numFmtId="182" fontId="3" fillId="12" borderId="8" xfId="4" applyNumberFormat="1" applyFill="1" applyBorder="1" applyAlignment="1">
      <alignment horizontal="left" vertical="center"/>
    </xf>
    <xf numFmtId="182" fontId="3" fillId="12" borderId="9" xfId="4" applyNumberFormat="1" applyFill="1" applyBorder="1" applyAlignment="1">
      <alignment horizontal="left" vertical="center"/>
    </xf>
    <xf numFmtId="180" fontId="3" fillId="12" borderId="8" xfId="4" applyNumberFormat="1" applyFill="1" applyBorder="1" applyAlignment="1">
      <alignment horizontal="left" vertical="center"/>
    </xf>
    <xf numFmtId="180" fontId="3" fillId="12" borderId="9" xfId="4" applyNumberFormat="1" applyFill="1" applyBorder="1" applyAlignment="1">
      <alignment horizontal="left" vertical="center"/>
    </xf>
    <xf numFmtId="174" fontId="3" fillId="12" borderId="8" xfId="4" applyNumberFormat="1" applyFill="1" applyBorder="1" applyAlignment="1">
      <alignment horizontal="left" vertical="center"/>
    </xf>
    <xf numFmtId="174" fontId="3" fillId="12" borderId="9" xfId="4" applyNumberFormat="1" applyFill="1" applyBorder="1" applyAlignment="1">
      <alignment horizontal="left" vertical="center"/>
    </xf>
    <xf numFmtId="179" fontId="3" fillId="16" borderId="8" xfId="4" applyNumberFormat="1" applyFill="1" applyBorder="1" applyAlignment="1">
      <alignment horizontal="left" vertical="center"/>
    </xf>
    <xf numFmtId="179" fontId="3" fillId="16" borderId="9" xfId="4" applyNumberFormat="1" applyFill="1" applyBorder="1" applyAlignment="1">
      <alignment horizontal="left" vertical="center"/>
    </xf>
    <xf numFmtId="174" fontId="3" fillId="17" borderId="8" xfId="4" applyNumberFormat="1" applyFill="1" applyBorder="1" applyAlignment="1">
      <alignment horizontal="left" vertical="center"/>
    </xf>
    <xf numFmtId="174" fontId="3" fillId="17" borderId="9" xfId="4" applyNumberFormat="1" applyFill="1" applyBorder="1" applyAlignment="1">
      <alignment horizontal="left" vertical="center"/>
    </xf>
    <xf numFmtId="0" fontId="75" fillId="8" borderId="0" xfId="4" applyFont="1" applyFill="1" applyAlignment="1">
      <alignment horizontal="right" wrapText="1"/>
    </xf>
    <xf numFmtId="177" fontId="3" fillId="16" borderId="8" xfId="4" applyNumberFormat="1" applyFill="1" applyBorder="1" applyAlignment="1">
      <alignment horizontal="left" vertical="center"/>
    </xf>
    <xf numFmtId="177" fontId="3" fillId="16" borderId="9" xfId="4" applyNumberFormat="1" applyFill="1" applyBorder="1" applyAlignment="1">
      <alignment horizontal="left" vertical="center"/>
    </xf>
    <xf numFmtId="173" fontId="3" fillId="17" borderId="8" xfId="4" applyNumberFormat="1" applyFill="1" applyBorder="1" applyAlignment="1">
      <alignment horizontal="left" vertical="center" wrapText="1"/>
    </xf>
    <xf numFmtId="173" fontId="3" fillId="17" borderId="9" xfId="4" applyNumberFormat="1" applyFill="1" applyBorder="1" applyAlignment="1">
      <alignment horizontal="left" vertical="center" wrapText="1"/>
    </xf>
    <xf numFmtId="173" fontId="3" fillId="17" borderId="15" xfId="4" applyNumberFormat="1" applyFill="1" applyBorder="1" applyAlignment="1">
      <alignment horizontal="left" vertical="center" wrapText="1"/>
    </xf>
    <xf numFmtId="182" fontId="3" fillId="12" borderId="8" xfId="4" quotePrefix="1" applyNumberFormat="1" applyFill="1" applyBorder="1" applyAlignment="1">
      <alignment horizontal="left" vertical="center"/>
    </xf>
    <xf numFmtId="0" fontId="40" fillId="12" borderId="22" xfId="0" applyFont="1" applyFill="1" applyBorder="1" applyAlignment="1" applyProtection="1">
      <alignment horizontal="left" vertical="center"/>
    </xf>
    <xf numFmtId="0" fontId="40" fillId="12" borderId="0" xfId="0" applyFont="1" applyFill="1" applyBorder="1" applyAlignment="1" applyProtection="1">
      <alignment horizontal="left" vertical="center"/>
    </xf>
  </cellXfs>
  <cellStyles count="8">
    <cellStyle name="Comma" xfId="2" builtinId="3"/>
    <cellStyle name="Comma 2" xfId="6" xr:uid="{00000000-0005-0000-0000-000001000000}"/>
    <cellStyle name="Hyperlink" xfId="3" builtinId="8"/>
    <cellStyle name="Normal" xfId="0" builtinId="0"/>
    <cellStyle name="Normal 2" xfId="4" xr:uid="{00000000-0005-0000-0000-000004000000}"/>
    <cellStyle name="Normal 3" xfId="5" xr:uid="{00000000-0005-0000-0000-000005000000}"/>
    <cellStyle name="Percent" xfId="7" builtinId="5"/>
    <cellStyle name="RowLevel_1" xfId="1" builtinId="1" iLevel="0"/>
  </cellStyles>
  <dxfs count="79">
    <dxf>
      <border>
        <left style="thin">
          <color indexed="64"/>
        </left>
        <right style="thin">
          <color indexed="64"/>
        </right>
        <top style="thin">
          <color indexed="64"/>
        </top>
        <bottom style="thin">
          <color indexed="64"/>
        </bottom>
      </border>
    </dxf>
    <dxf>
      <font>
        <color rgb="FFFFFF99"/>
      </font>
    </dxf>
    <dxf>
      <font>
        <color theme="0"/>
      </font>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0"/>
      </font>
      <fill>
        <patternFill>
          <bgColor theme="0"/>
        </patternFill>
      </fill>
      <border>
        <right/>
        <top/>
        <bottom/>
        <vertical/>
        <horizontal/>
      </border>
    </dxf>
    <dxf>
      <font>
        <color theme="0"/>
      </font>
      <fill>
        <patternFill>
          <bgColor theme="0"/>
        </patternFill>
      </fill>
      <border>
        <right/>
        <top/>
        <bottom/>
        <vertical/>
        <horizontal/>
      </border>
    </dxf>
    <dxf>
      <font>
        <color rgb="FFFF0000"/>
      </font>
    </dxf>
    <dxf>
      <font>
        <color theme="0"/>
      </font>
      <fill>
        <patternFill>
          <bgColor theme="0"/>
        </patternFill>
      </fill>
      <border>
        <right/>
        <top/>
        <bottom/>
        <vertical/>
        <horizontal/>
      </border>
    </dxf>
    <dxf>
      <font>
        <color rgb="FFFF0000"/>
      </font>
    </dxf>
    <dxf>
      <font>
        <strike val="0"/>
        <color theme="0"/>
      </font>
      <fill>
        <patternFill>
          <bgColor rgb="FFFF0000"/>
        </patternFill>
      </fill>
    </dxf>
    <dxf>
      <font>
        <color rgb="FFFF0000"/>
      </font>
    </dxf>
    <dxf>
      <font>
        <b/>
        <i val="0"/>
        <color theme="0"/>
      </font>
      <fill>
        <patternFill patternType="solid">
          <fgColor auto="1"/>
          <bgColor rgb="FFFF0000"/>
        </patternFill>
      </fill>
    </dxf>
    <dxf>
      <font>
        <color rgb="FFFF0000"/>
      </font>
    </dxf>
    <dxf>
      <font>
        <color rgb="FFFF0000"/>
      </font>
    </dxf>
    <dxf>
      <font>
        <color rgb="FFFF0000"/>
      </font>
    </dxf>
    <dxf>
      <font>
        <strike val="0"/>
        <color theme="0"/>
      </font>
      <fill>
        <patternFill>
          <bgColor rgb="FFFF0000"/>
        </patternFill>
      </fill>
    </dxf>
    <dxf>
      <font>
        <color theme="0"/>
      </font>
      <fill>
        <patternFill>
          <bgColor theme="0"/>
        </patternFill>
      </fill>
    </dxf>
    <dxf>
      <font>
        <b/>
        <i val="0"/>
        <color rgb="FFFF0000"/>
      </font>
    </dxf>
    <dxf>
      <font>
        <strike/>
        <color rgb="FFFF0000"/>
      </font>
    </dxf>
    <dxf>
      <border>
        <top/>
        <bottom/>
        <vertical/>
        <horizontal/>
      </border>
    </dxf>
    <dxf>
      <border>
        <left/>
        <right/>
        <top/>
        <bottom/>
        <vertical/>
        <horizontal/>
      </border>
    </dxf>
    <dxf>
      <font>
        <color theme="0"/>
      </font>
      <fill>
        <patternFill>
          <bgColor theme="0"/>
        </patternFill>
      </fill>
      <border>
        <right/>
        <top/>
        <bottom/>
      </border>
    </dxf>
    <dxf>
      <border>
        <bottom/>
        <vertical/>
        <horizontal/>
      </border>
    </dxf>
    <dxf>
      <border>
        <bottom/>
        <vertical/>
        <horizontal/>
      </border>
    </dxf>
    <dxf>
      <border>
        <right/>
        <vertical/>
        <horizontal/>
      </border>
    </dxf>
    <dxf>
      <border>
        <bottom/>
        <vertical/>
        <horizontal/>
      </border>
    </dxf>
    <dxf>
      <font>
        <strike val="0"/>
        <color theme="0"/>
      </font>
      <fill>
        <patternFill>
          <bgColor theme="0"/>
        </patternFill>
      </fill>
    </dxf>
    <dxf>
      <font>
        <strike/>
        <color rgb="FFFF0000"/>
      </font>
    </dxf>
    <dxf>
      <font>
        <strike/>
        <color rgb="FFFF0000"/>
      </font>
    </dxf>
    <dxf>
      <font>
        <strike/>
        <color rgb="FFFF0000"/>
      </font>
    </dxf>
    <dxf>
      <font>
        <strike/>
        <color rgb="FFFF0000"/>
      </font>
    </dxf>
    <dxf>
      <font>
        <strike/>
        <color rgb="FFFF5050"/>
      </font>
    </dxf>
    <dxf>
      <font>
        <strike/>
        <color rgb="FFFF0000"/>
      </font>
    </dxf>
    <dxf>
      <font>
        <strike/>
        <color rgb="FFFF0000"/>
      </font>
    </dxf>
    <dxf>
      <font>
        <strike/>
        <color rgb="FFFF0000"/>
      </font>
    </dxf>
    <dxf>
      <font>
        <color theme="0"/>
      </font>
      <border>
        <bottom style="thin">
          <color auto="1"/>
        </bottom>
        <vertical/>
        <horizontal/>
      </border>
    </dxf>
    <dxf>
      <font>
        <color theme="0"/>
      </font>
    </dxf>
    <dxf>
      <font>
        <color theme="0"/>
      </font>
      <fill>
        <patternFill>
          <bgColor theme="0"/>
        </patternFill>
      </fill>
    </dxf>
    <dxf>
      <font>
        <strike/>
        <color rgb="FFFF0000"/>
      </font>
    </dxf>
    <dxf>
      <font>
        <strike/>
        <color rgb="FFFF0000"/>
      </font>
    </dxf>
    <dxf>
      <font>
        <strike/>
        <color rgb="FFFF0000"/>
      </font>
    </dxf>
    <dxf>
      <font>
        <strike/>
        <color rgb="FFFF0000"/>
      </font>
    </dxf>
    <dxf>
      <font>
        <strike/>
        <color rgb="FFFF0000"/>
      </font>
    </dxf>
    <dxf>
      <font>
        <b/>
        <i val="0"/>
        <condense val="0"/>
        <extend val="0"/>
        <color indexed="10"/>
      </font>
    </dxf>
    <dxf>
      <font>
        <color rgb="FFFF0000"/>
      </font>
    </dxf>
    <dxf>
      <font>
        <color rgb="FFFF0000"/>
      </font>
    </dxf>
    <dxf>
      <font>
        <color rgb="FFFF0000"/>
      </font>
    </dxf>
    <dxf>
      <font>
        <color theme="0"/>
      </font>
      <fill>
        <patternFill>
          <bgColor theme="0"/>
        </patternFill>
      </fill>
    </dxf>
    <dxf>
      <font>
        <b/>
        <i val="0"/>
        <color rgb="FFC00000"/>
      </font>
    </dxf>
    <dxf>
      <font>
        <color rgb="FFFF0000"/>
      </font>
    </dxf>
    <dxf>
      <font>
        <strike/>
        <color rgb="FFFF0000"/>
      </font>
    </dxf>
    <dxf>
      <font>
        <b/>
        <i val="0"/>
        <color rgb="FFFF0000"/>
      </font>
    </dxf>
    <dxf>
      <font>
        <b/>
        <i val="0"/>
        <condense val="0"/>
        <extend val="0"/>
        <color indexed="12"/>
      </font>
    </dxf>
    <dxf>
      <font>
        <b/>
        <i val="0"/>
        <condense val="0"/>
        <extend val="0"/>
        <color indexed="10"/>
      </font>
    </dxf>
    <dxf>
      <font>
        <color rgb="FFFF0000"/>
      </font>
    </dxf>
    <dxf>
      <font>
        <color theme="0"/>
      </font>
      <fill>
        <patternFill>
          <bgColor theme="0"/>
        </patternFill>
      </fill>
      <border>
        <right style="thin">
          <color auto="1"/>
        </right>
        <vertical/>
        <horizontal/>
      </border>
    </dxf>
    <dxf>
      <font>
        <color rgb="FFFF0000"/>
      </font>
    </dxf>
    <dxf>
      <font>
        <color rgb="FFFF0000"/>
      </font>
    </dxf>
    <dxf>
      <font>
        <color rgb="FFFF0000"/>
      </font>
    </dxf>
    <dxf>
      <font>
        <b/>
        <i val="0"/>
        <color rgb="FFC00000"/>
      </font>
    </dxf>
    <dxf>
      <font>
        <color theme="0"/>
      </font>
    </dxf>
    <dxf>
      <font>
        <b/>
        <i val="0"/>
        <color rgb="FFC00000"/>
      </font>
    </dxf>
    <dxf>
      <font>
        <color theme="0"/>
      </font>
      <fill>
        <patternFill>
          <bgColor theme="0"/>
        </patternFill>
      </fill>
    </dxf>
    <dxf>
      <font>
        <color rgb="FFFF0000"/>
      </font>
    </dxf>
    <dxf>
      <font>
        <strike/>
        <color rgb="FFFF0000"/>
      </font>
    </dxf>
    <dxf>
      <font>
        <color rgb="FFFF0000"/>
      </font>
    </dxf>
    <dxf>
      <font>
        <color rgb="FFFF0000"/>
      </font>
    </dxf>
    <dxf>
      <font>
        <color rgb="FFFF0000"/>
      </font>
    </dxf>
    <dxf>
      <font>
        <color rgb="FFFF0000"/>
      </font>
    </dxf>
    <dxf>
      <font>
        <b/>
        <i val="0"/>
        <color rgb="FFFF0000"/>
      </font>
    </dxf>
  </dxfs>
  <tableStyles count="0" defaultTableStyle="TableStyleMedium9" defaultPivotStyle="PivotStyleLight16"/>
  <colors>
    <mruColors>
      <color rgb="FFFFFF66"/>
      <color rgb="FFFF5050"/>
      <color rgb="FF0000FF"/>
      <color rgb="FFFFFF99"/>
      <color rgb="FF33CC33"/>
      <color rgb="FFFF9900"/>
      <color rgb="FFCCFFFF"/>
      <color rgb="FF66FFFF"/>
      <color rgb="FF00FFFF"/>
      <color rgb="FFEE61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400" b="1" i="0" u="none" strike="noStrike" baseline="0">
                <a:solidFill>
                  <a:srgbClr val="000000"/>
                </a:solidFill>
                <a:latin typeface="Arial"/>
                <a:ea typeface="Arial"/>
                <a:cs typeface="Arial"/>
              </a:defRPr>
            </a:pPr>
            <a:r>
              <a:rPr lang="en-US" sz="1400"/>
              <a:t>Bode Plot, V</a:t>
            </a:r>
            <a:r>
              <a:rPr lang="en-US" sz="1400" baseline="-25000"/>
              <a:t>IN</a:t>
            </a:r>
            <a:r>
              <a:rPr lang="en-US" sz="1400"/>
              <a:t> = V</a:t>
            </a:r>
            <a:r>
              <a:rPr lang="en-US" sz="1400" baseline="-25000"/>
              <a:t>IN(nom)</a:t>
            </a:r>
          </a:p>
        </c:rich>
      </c:tx>
      <c:layout>
        <c:manualLayout>
          <c:xMode val="edge"/>
          <c:yMode val="edge"/>
          <c:x val="4.6802568469568491E-2"/>
          <c:y val="1.6752897184919666E-2"/>
        </c:manualLayout>
      </c:layout>
      <c:overlay val="0"/>
      <c:spPr>
        <a:noFill/>
        <a:ln w="25400">
          <a:noFill/>
        </a:ln>
      </c:spPr>
    </c:title>
    <c:autoTitleDeleted val="0"/>
    <c:plotArea>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83.495889825506978</c:v>
                </c:pt>
                <c:pt idx="1">
                  <c:v>82.697750045247659</c:v>
                </c:pt>
                <c:pt idx="2">
                  <c:v>81.899350377861992</c:v>
                </c:pt>
                <c:pt idx="3">
                  <c:v>81.100715563340401</c:v>
                </c:pt>
                <c:pt idx="4">
                  <c:v>80.302388177544543</c:v>
                </c:pt>
                <c:pt idx="5">
                  <c:v>79.503056515001632</c:v>
                </c:pt>
                <c:pt idx="6">
                  <c:v>78.703869162461501</c:v>
                </c:pt>
                <c:pt idx="7">
                  <c:v>77.904310438135099</c:v>
                </c:pt>
                <c:pt idx="8">
                  <c:v>77.104971947863831</c:v>
                </c:pt>
                <c:pt idx="9">
                  <c:v>76.305255305783604</c:v>
                </c:pt>
                <c:pt idx="10">
                  <c:v>75.505625332574112</c:v>
                </c:pt>
                <c:pt idx="11">
                  <c:v>74.705971538673282</c:v>
                </c:pt>
                <c:pt idx="12">
                  <c:v>73.905872550333584</c:v>
                </c:pt>
                <c:pt idx="13">
                  <c:v>73.106097153117801</c:v>
                </c:pt>
                <c:pt idx="14">
                  <c:v>72.306005443228685</c:v>
                </c:pt>
                <c:pt idx="15">
                  <c:v>71.50590185497596</c:v>
                </c:pt>
                <c:pt idx="16">
                  <c:v>70.705716632010891</c:v>
                </c:pt>
                <c:pt idx="17">
                  <c:v>69.905556050873813</c:v>
                </c:pt>
                <c:pt idx="18">
                  <c:v>69.105177595006921</c:v>
                </c:pt>
                <c:pt idx="19">
                  <c:v>68.304783105249157</c:v>
                </c:pt>
                <c:pt idx="20">
                  <c:v>67.504196224621197</c:v>
                </c:pt>
                <c:pt idx="21">
                  <c:v>66.703559438359022</c:v>
                </c:pt>
                <c:pt idx="22">
                  <c:v>65.902676313708952</c:v>
                </c:pt>
                <c:pt idx="23">
                  <c:v>65.101714335398157</c:v>
                </c:pt>
                <c:pt idx="24">
                  <c:v>64.300432803236973</c:v>
                </c:pt>
                <c:pt idx="25">
                  <c:v>63.498911583855914</c:v>
                </c:pt>
                <c:pt idx="26">
                  <c:v>62.696911081219746</c:v>
                </c:pt>
                <c:pt idx="27">
                  <c:v>61.894623514775006</c:v>
                </c:pt>
                <c:pt idx="28">
                  <c:v>61.091942500521704</c:v>
                </c:pt>
                <c:pt idx="29">
                  <c:v>60.289277429767616</c:v>
                </c:pt>
                <c:pt idx="30">
                  <c:v>59.485163589880791</c:v>
                </c:pt>
                <c:pt idx="31">
                  <c:v>58.680596191965371</c:v>
                </c:pt>
                <c:pt idx="32">
                  <c:v>57.874877086305723</c:v>
                </c:pt>
                <c:pt idx="33">
                  <c:v>57.068398961035058</c:v>
                </c:pt>
                <c:pt idx="34">
                  <c:v>56.260323694998682</c:v>
                </c:pt>
                <c:pt idx="35">
                  <c:v>55.450848675491606</c:v>
                </c:pt>
                <c:pt idx="36">
                  <c:v>54.639545461548344</c:v>
                </c:pt>
                <c:pt idx="37">
                  <c:v>53.825614254682435</c:v>
                </c:pt>
                <c:pt idx="38">
                  <c:v>53.009403139708702</c:v>
                </c:pt>
                <c:pt idx="39">
                  <c:v>52.189752329709407</c:v>
                </c:pt>
                <c:pt idx="40">
                  <c:v>51.36638117081533</c:v>
                </c:pt>
                <c:pt idx="41">
                  <c:v>50.538531729075018</c:v>
                </c:pt>
                <c:pt idx="42">
                  <c:v>49.705522659764689</c:v>
                </c:pt>
                <c:pt idx="43">
                  <c:v>48.866193617310898</c:v>
                </c:pt>
                <c:pt idx="44">
                  <c:v>48.019725616008515</c:v>
                </c:pt>
                <c:pt idx="45">
                  <c:v>47.164776194257229</c:v>
                </c:pt>
                <c:pt idx="46">
                  <c:v>46.30021908657973</c:v>
                </c:pt>
                <c:pt idx="47">
                  <c:v>45.424452696296768</c:v>
                </c:pt>
                <c:pt idx="48">
                  <c:v>44.536184715443866</c:v>
                </c:pt>
                <c:pt idx="49">
                  <c:v>43.633624758046693</c:v>
                </c:pt>
                <c:pt idx="50">
                  <c:v>42.715346677730793</c:v>
                </c:pt>
                <c:pt idx="51">
                  <c:v>41.7796436756486</c:v>
                </c:pt>
                <c:pt idx="52">
                  <c:v>40.825492932243364</c:v>
                </c:pt>
                <c:pt idx="53">
                  <c:v>39.851825942631947</c:v>
                </c:pt>
                <c:pt idx="54">
                  <c:v>38.858637497412829</c:v>
                </c:pt>
                <c:pt idx="55">
                  <c:v>37.844130748979147</c:v>
                </c:pt>
                <c:pt idx="56">
                  <c:v>36.810230927556759</c:v>
                </c:pt>
                <c:pt idx="57">
                  <c:v>35.757481517580054</c:v>
                </c:pt>
                <c:pt idx="58">
                  <c:v>34.688629862100363</c:v>
                </c:pt>
                <c:pt idx="59">
                  <c:v>33.605583745772933</c:v>
                </c:pt>
                <c:pt idx="60">
                  <c:v>32.512338126099138</c:v>
                </c:pt>
                <c:pt idx="61">
                  <c:v>31.412640208373837</c:v>
                </c:pt>
                <c:pt idx="62">
                  <c:v>30.310144813191933</c:v>
                </c:pt>
                <c:pt idx="63">
                  <c:v>29.210270548355084</c:v>
                </c:pt>
                <c:pt idx="64">
                  <c:v>28.116390922081244</c:v>
                </c:pt>
                <c:pt idx="65">
                  <c:v>27.032853053916885</c:v>
                </c:pt>
                <c:pt idx="66">
                  <c:v>25.962978127301035</c:v>
                </c:pt>
                <c:pt idx="67">
                  <c:v>24.909671169400788</c:v>
                </c:pt>
                <c:pt idx="68">
                  <c:v>23.874649421095604</c:v>
                </c:pt>
                <c:pt idx="69">
                  <c:v>22.859461492704352</c:v>
                </c:pt>
                <c:pt idx="70">
                  <c:v>21.864455695587285</c:v>
                </c:pt>
                <c:pt idx="71">
                  <c:v>20.88974642792142</c:v>
                </c:pt>
                <c:pt idx="72">
                  <c:v>19.934505884520771</c:v>
                </c:pt>
                <c:pt idx="73">
                  <c:v>18.997940152879828</c:v>
                </c:pt>
                <c:pt idx="74">
                  <c:v>18.078492419531692</c:v>
                </c:pt>
                <c:pt idx="75">
                  <c:v>17.174812373166674</c:v>
                </c:pt>
                <c:pt idx="76">
                  <c:v>16.285116037312253</c:v>
                </c:pt>
                <c:pt idx="77">
                  <c:v>15.408104699856242</c:v>
                </c:pt>
                <c:pt idx="78">
                  <c:v>14.542206526753157</c:v>
                </c:pt>
                <c:pt idx="79">
                  <c:v>13.686501791160525</c:v>
                </c:pt>
                <c:pt idx="80">
                  <c:v>12.838211294253181</c:v>
                </c:pt>
                <c:pt idx="81">
                  <c:v>11.99731205856663</c:v>
                </c:pt>
                <c:pt idx="82">
                  <c:v>11.162138328107758</c:v>
                </c:pt>
                <c:pt idx="83">
                  <c:v>10.332307842254602</c:v>
                </c:pt>
                <c:pt idx="84">
                  <c:v>9.5063117116337423</c:v>
                </c:pt>
                <c:pt idx="85">
                  <c:v>8.6838436104996912</c:v>
                </c:pt>
                <c:pt idx="86">
                  <c:v>7.8640869317256792</c:v>
                </c:pt>
                <c:pt idx="87">
                  <c:v>7.0459803868350699</c:v>
                </c:pt>
                <c:pt idx="88">
                  <c:v>6.2297355767326534</c:v>
                </c:pt>
                <c:pt idx="89">
                  <c:v>5.4141659205542947</c:v>
                </c:pt>
                <c:pt idx="90">
                  <c:v>4.5990759359271403</c:v>
                </c:pt>
                <c:pt idx="91">
                  <c:v>3.7839006631563881</c:v>
                </c:pt>
                <c:pt idx="92">
                  <c:v>2.9682523029880632</c:v>
                </c:pt>
                <c:pt idx="93">
                  <c:v>2.1513700727371323</c:v>
                </c:pt>
                <c:pt idx="94">
                  <c:v>1.9469966275603063</c:v>
                </c:pt>
                <c:pt idx="95">
                  <c:v>1.8441352461807661</c:v>
                </c:pt>
                <c:pt idx="96">
                  <c:v>1.7424221988136868</c:v>
                </c:pt>
                <c:pt idx="97">
                  <c:v>1.6395119111844167</c:v>
                </c:pt>
                <c:pt idx="98">
                  <c:v>1.5377480297138348</c:v>
                </c:pt>
                <c:pt idx="99">
                  <c:v>1.4347581577438686</c:v>
                </c:pt>
                <c:pt idx="100">
                  <c:v>1.3329133296005424</c:v>
                </c:pt>
                <c:pt idx="101">
                  <c:v>1.2298929809836137</c:v>
                </c:pt>
                <c:pt idx="102">
                  <c:v>1.1280151100222389</c:v>
                </c:pt>
                <c:pt idx="103">
                  <c:v>1.0248602051770697</c:v>
                </c:pt>
                <c:pt idx="104">
                  <c:v>0.92284738117078802</c:v>
                </c:pt>
                <c:pt idx="105">
                  <c:v>0.8196097520076977</c:v>
                </c:pt>
                <c:pt idx="106">
                  <c:v>0.71751253007543703</c:v>
                </c:pt>
                <c:pt idx="107">
                  <c:v>0.61424020853355166</c:v>
                </c:pt>
                <c:pt idx="108">
                  <c:v>0.51210543089339233</c:v>
                </c:pt>
                <c:pt idx="109">
                  <c:v>0.40877287337487861</c:v>
                </c:pt>
                <c:pt idx="110">
                  <c:v>0.30657541789663711</c:v>
                </c:pt>
                <c:pt idx="111">
                  <c:v>0.20309130834171424</c:v>
                </c:pt>
                <c:pt idx="112">
                  <c:v>0.1007417020159927</c:v>
                </c:pt>
                <c:pt idx="113">
                  <c:v>-2.8430017083142115E-3</c:v>
                </c:pt>
                <c:pt idx="114">
                  <c:v>-0.10529507357609058</c:v>
                </c:pt>
                <c:pt idx="115">
                  <c:v>-0.2089986826783603</c:v>
                </c:pt>
                <c:pt idx="116">
                  <c:v>-0.31157129855468191</c:v>
                </c:pt>
                <c:pt idx="117">
                  <c:v>-0.41541006457613194</c:v>
                </c:pt>
                <c:pt idx="118">
                  <c:v>-0.51811929803712442</c:v>
                </c:pt>
                <c:pt idx="119">
                  <c:v>-0.62204491268289841</c:v>
                </c:pt>
                <c:pt idx="120">
                  <c:v>-0.72484367903328362</c:v>
                </c:pt>
                <c:pt idx="121">
                  <c:v>-0.82887285139316558</c:v>
                </c:pt>
                <c:pt idx="122">
                  <c:v>-0.93177768137111039</c:v>
                </c:pt>
                <c:pt idx="123">
                  <c:v>-1.0359853839891926</c:v>
                </c:pt>
                <c:pt idx="124">
                  <c:v>-1.1390698347949504</c:v>
                </c:pt>
                <c:pt idx="125">
                  <c:v>-1.2434068576018689</c:v>
                </c:pt>
                <c:pt idx="126">
                  <c:v>-1.3466229801444456</c:v>
                </c:pt>
                <c:pt idx="127">
                  <c:v>-1.451101350758329</c:v>
                </c:pt>
                <c:pt idx="128">
                  <c:v>-1.5544611251747416</c:v>
                </c:pt>
                <c:pt idx="129">
                  <c:v>-1.659091573390483</c:v>
                </c:pt>
                <c:pt idx="130">
                  <c:v>-1.7626057196480847</c:v>
                </c:pt>
                <c:pt idx="131">
                  <c:v>-1.8673978130205728</c:v>
                </c:pt>
                <c:pt idx="132">
                  <c:v>-1.9193744503074015</c:v>
                </c:pt>
                <c:pt idx="133">
                  <c:v>-1.9710759234143147</c:v>
                </c:pt>
                <c:pt idx="134">
                  <c:v>-2.0237247828825282</c:v>
                </c:pt>
                <c:pt idx="135">
                  <c:v>-2.0760920941018024</c:v>
                </c:pt>
                <c:pt idx="136">
                  <c:v>-2.1281812344687481</c:v>
                </c:pt>
                <c:pt idx="137">
                  <c:v>-2.1799955228652781</c:v>
                </c:pt>
                <c:pt idx="138">
                  <c:v>-2.2327053091899165</c:v>
                </c:pt>
                <c:pt idx="139">
                  <c:v>-2.2851344612841409</c:v>
                </c:pt>
                <c:pt idx="140">
                  <c:v>-2.3372863479645556</c:v>
                </c:pt>
                <c:pt idx="141">
                  <c:v>-2.38916427971628</c:v>
                </c:pt>
                <c:pt idx="142">
                  <c:v>-2.4419920345491519</c:v>
                </c:pt>
                <c:pt idx="143">
                  <c:v>-2.4945395269979591</c:v>
                </c:pt>
                <c:pt idx="144">
                  <c:v>-2.5468101273313981</c:v>
                </c:pt>
                <c:pt idx="145">
                  <c:v>-2.5988071474364016</c:v>
                </c:pt>
                <c:pt idx="146">
                  <c:v>-2.6517288677549393</c:v>
                </c:pt>
                <c:pt idx="147">
                  <c:v>-2.7043710196290931</c:v>
                </c:pt>
                <c:pt idx="148">
                  <c:v>-2.7567369692976751</c:v>
                </c:pt>
                <c:pt idx="149">
                  <c:v>-2.8088300246909177</c:v>
                </c:pt>
                <c:pt idx="150">
                  <c:v>-2.861848502200127</c:v>
                </c:pt>
                <c:pt idx="151">
                  <c:v>-2.9145881443611938</c:v>
                </c:pt>
                <c:pt idx="152">
                  <c:v>-2.967052312979797</c:v>
                </c:pt>
                <c:pt idx="153">
                  <c:v>-3.0192443116330292</c:v>
                </c:pt>
                <c:pt idx="154">
                  <c:v>-3.0723864678524322</c:v>
                </c:pt>
                <c:pt idx="155">
                  <c:v>-3.1252503114524037</c:v>
                </c:pt>
                <c:pt idx="156">
                  <c:v>-3.1778392039103656</c:v>
                </c:pt>
                <c:pt idx="157">
                  <c:v>-3.2301564484571226</c:v>
                </c:pt>
                <c:pt idx="158">
                  <c:v>-3.2834231122875051</c:v>
                </c:pt>
                <c:pt idx="159">
                  <c:v>-3.3364120535552089</c:v>
                </c:pt>
                <c:pt idx="160">
                  <c:v>-3.3891266325144151</c:v>
                </c:pt>
                <c:pt idx="161">
                  <c:v>-3.4415701511722223</c:v>
                </c:pt>
                <c:pt idx="162">
                  <c:v>-3.4949386777146869</c:v>
                </c:pt>
                <c:pt idx="163">
                  <c:v>-3.5480303839311933</c:v>
                </c:pt>
                <c:pt idx="164">
                  <c:v>-3.6008486235150543</c:v>
                </c:pt>
                <c:pt idx="165">
                  <c:v>-3.6533966920317158</c:v>
                </c:pt>
                <c:pt idx="166">
                  <c:v>-3.7069150263083901</c:v>
                </c:pt>
                <c:pt idx="167">
                  <c:v>-3.7601570259635513</c:v>
                </c:pt>
                <c:pt idx="168">
                  <c:v>-3.8131260459929504</c:v>
                </c:pt>
                <c:pt idx="169">
                  <c:v>-3.8658253831985179</c:v>
                </c:pt>
                <c:pt idx="170">
                  <c:v>-3.9193805503611197</c:v>
                </c:pt>
                <c:pt idx="171">
                  <c:v>-3.9726611095882216</c:v>
                </c:pt>
                <c:pt idx="172">
                  <c:v>-4.0256703949486603</c:v>
                </c:pt>
                <c:pt idx="173">
                  <c:v>-4.0784116827600947</c:v>
                </c:pt>
                <c:pt idx="174">
                  <c:v>-4.1322077361863734</c:v>
                </c:pt>
                <c:pt idx="175">
                  <c:v>-4.1857289027132714</c:v>
                </c:pt>
                <c:pt idx="176">
                  <c:v>-4.2389785322417337</c:v>
                </c:pt>
                <c:pt idx="177">
                  <c:v>-4.2919599165127833</c:v>
                </c:pt>
                <c:pt idx="178">
                  <c:v>-4.3459692834077099</c:v>
                </c:pt>
                <c:pt idx="179">
                  <c:v>-4.3997038651751774</c:v>
                </c:pt>
                <c:pt idx="180">
                  <c:v>-4.4531670210229013</c:v>
                </c:pt>
                <c:pt idx="181">
                  <c:v>-4.5063620517346639</c:v>
                </c:pt>
                <c:pt idx="182">
                  <c:v>-4.5603481241867074</c:v>
                </c:pt>
                <c:pt idx="183">
                  <c:v>-4.6140619962395739</c:v>
                </c:pt>
                <c:pt idx="184">
                  <c:v>-4.6675069913393648</c:v>
                </c:pt>
                <c:pt idx="185">
                  <c:v>-4.7206863752808212</c:v>
                </c:pt>
                <c:pt idx="186">
                  <c:v>-4.7750523102911133</c:v>
                </c:pt>
                <c:pt idx="187">
                  <c:v>-4.8291446597866656</c:v>
                </c:pt>
                <c:pt idx="188">
                  <c:v>-4.8829667843811482</c:v>
                </c:pt>
                <c:pt idx="189">
                  <c:v>-4.9365219861191445</c:v>
                </c:pt>
                <c:pt idx="190">
                  <c:v>-4.9908279805560962</c:v>
                </c:pt>
                <c:pt idx="191">
                  <c:v>-5.0448635110909299</c:v>
                </c:pt>
                <c:pt idx="192">
                  <c:v>-5.0986318931926009</c:v>
                </c:pt>
                <c:pt idx="193">
                  <c:v>-5.1521363847410129</c:v>
                </c:pt>
                <c:pt idx="194">
                  <c:v>-5.2067726141207054</c:v>
                </c:pt>
                <c:pt idx="195">
                  <c:v>-5.2611377058876974</c:v>
                </c:pt>
                <c:pt idx="196">
                  <c:v>-5.3152350003054805</c:v>
                </c:pt>
                <c:pt idx="197">
                  <c:v>-5.369067779405194</c:v>
                </c:pt>
                <c:pt idx="198">
                  <c:v>-5.4238094671245038</c:v>
                </c:pt>
                <c:pt idx="199">
                  <c:v>-5.4782816774651053</c:v>
                </c:pt>
                <c:pt idx="200">
                  <c:v>-5.5324877328604511</c:v>
                </c:pt>
                <c:pt idx="201">
                  <c:v>-5.5864308978482944</c:v>
                </c:pt>
                <c:pt idx="202">
                  <c:v>-5.6412619221423057</c:v>
                </c:pt>
                <c:pt idx="203">
                  <c:v>-5.6958253743817462</c:v>
                </c:pt>
                <c:pt idx="204">
                  <c:v>-5.7501245548487159</c:v>
                </c:pt>
                <c:pt idx="205">
                  <c:v>-5.8041627063601533</c:v>
                </c:pt>
                <c:pt idx="206">
                  <c:v>-5.8592561108124155</c:v>
                </c:pt>
                <c:pt idx="207">
                  <c:v>-5.9140822633056844</c:v>
                </c:pt>
                <c:pt idx="208">
                  <c:v>-5.9686444714534037</c:v>
                </c:pt>
                <c:pt idx="209">
                  <c:v>-6.022945985144613</c:v>
                </c:pt>
                <c:pt idx="210">
                  <c:v>-6.0784620208127293</c:v>
                </c:pt>
                <c:pt idx="211">
                  <c:v>-6.1337097034709007</c:v>
                </c:pt>
                <c:pt idx="212">
                  <c:v>-6.1886923748173022</c:v>
                </c:pt>
                <c:pt idx="213">
                  <c:v>-6.2434133179344578</c:v>
                </c:pt>
                <c:pt idx="214">
                  <c:v>-6.2989587826685582</c:v>
                </c:pt>
                <c:pt idx="215">
                  <c:v>-6.3542386989313036</c:v>
                </c:pt>
                <c:pt idx="216">
                  <c:v>-6.409256370146986</c:v>
                </c:pt>
                <c:pt idx="217">
                  <c:v>-6.4640150419091471</c:v>
                </c:pt>
                <c:pt idx="218">
                  <c:v>-6.5197576813899181</c:v>
                </c:pt>
                <c:pt idx="219">
                  <c:v>-6.5752360641306993</c:v>
                </c:pt>
                <c:pt idx="220">
                  <c:v>-6.6304534835429667</c:v>
                </c:pt>
                <c:pt idx="221">
                  <c:v>-6.6854131753263326</c:v>
                </c:pt>
                <c:pt idx="222">
                  <c:v>-6.7413349837197725</c:v>
                </c:pt>
                <c:pt idx="223">
                  <c:v>-6.796994104938876</c:v>
                </c:pt>
                <c:pt idx="224">
                  <c:v>-6.8523938173223575</c:v>
                </c:pt>
                <c:pt idx="225">
                  <c:v>-6.9075373417251811</c:v>
                </c:pt>
                <c:pt idx="226">
                  <c:v>-6.9637926257947678</c:v>
                </c:pt>
                <c:pt idx="227">
                  <c:v>-7.019785464801064</c:v>
                </c:pt>
                <c:pt idx="228">
                  <c:v>-7.0755191469371272</c:v>
                </c:pt>
                <c:pt idx="229">
                  <c:v>-7.1309969025491382</c:v>
                </c:pt>
                <c:pt idx="230">
                  <c:v>-7.2438645366141827</c:v>
                </c:pt>
                <c:pt idx="231">
                  <c:v>-7.2999088800519685</c:v>
                </c:pt>
                <c:pt idx="232">
                  <c:v>-7.3556979050197544</c:v>
                </c:pt>
                <c:pt idx="233">
                  <c:v>-7.4125501330489429</c:v>
                </c:pt>
                <c:pt idx="234">
                  <c:v>-7.4691414539686738</c:v>
                </c:pt>
                <c:pt idx="235">
                  <c:v>-7.5254751563870883</c:v>
                </c:pt>
                <c:pt idx="236">
                  <c:v>-7.5815544707557105</c:v>
                </c:pt>
                <c:pt idx="237">
                  <c:v>-7.6385127363156116</c:v>
                </c:pt>
                <c:pt idx="238">
                  <c:v>-7.6952128007769991</c:v>
                </c:pt>
                <c:pt idx="239">
                  <c:v>-7.7516579164855521</c:v>
                </c:pt>
                <c:pt idx="240">
                  <c:v>-7.807851278315904</c:v>
                </c:pt>
                <c:pt idx="241">
                  <c:v>-7.8652231982630756</c:v>
                </c:pt>
                <c:pt idx="242">
                  <c:v>-7.9223369526966092</c:v>
                </c:pt>
                <c:pt idx="243">
                  <c:v>-7.9791958079892611</c:v>
                </c:pt>
                <c:pt idx="244">
                  <c:v>-8.0358029725338902</c:v>
                </c:pt>
                <c:pt idx="245">
                  <c:v>-8.0934077514892486</c:v>
                </c:pt>
                <c:pt idx="246">
                  <c:v>-8.1507561597341542</c:v>
                </c:pt>
                <c:pt idx="247">
                  <c:v>-8.2078514443606529</c:v>
                </c:pt>
                <c:pt idx="248">
                  <c:v>-8.2646967947443297</c:v>
                </c:pt>
                <c:pt idx="249">
                  <c:v>-8.3226727391495992</c:v>
                </c:pt>
                <c:pt idx="250">
                  <c:v>-8.380393004017181</c:v>
                </c:pt>
                <c:pt idx="251">
                  <c:v>-8.4378608379111135</c:v>
                </c:pt>
                <c:pt idx="252">
                  <c:v>-8.4950794314383167</c:v>
                </c:pt>
                <c:pt idx="253">
                  <c:v>-8.553255048582395</c:v>
                </c:pt>
                <c:pt idx="254">
                  <c:v>-8.6111773093188919</c:v>
                </c:pt>
                <c:pt idx="255">
                  <c:v>-8.6688494324681216</c:v>
                </c:pt>
                <c:pt idx="256">
                  <c:v>-8.7262745793796892</c:v>
                </c:pt>
                <c:pt idx="257">
                  <c:v>-8.7849340221426715</c:v>
                </c:pt>
                <c:pt idx="258">
                  <c:v>-8.8433400869149583</c:v>
                </c:pt>
                <c:pt idx="259">
                  <c:v>-8.9014960070826437</c:v>
                </c:pt>
                <c:pt idx="260">
                  <c:v>-8.9594049579796362</c:v>
                </c:pt>
                <c:pt idx="261">
                  <c:v>-9.0183778187682027</c:v>
                </c:pt>
                <c:pt idx="262">
                  <c:v>-9.0770988947224431</c:v>
                </c:pt>
                <c:pt idx="263">
                  <c:v>-9.1355714027093171</c:v>
                </c:pt>
                <c:pt idx="264">
                  <c:v>-9.1937985016866666</c:v>
                </c:pt>
                <c:pt idx="265">
                  <c:v>-9.253069116268108</c:v>
                </c:pt>
                <c:pt idx="266">
                  <c:v>-9.3120897892485761</c:v>
                </c:pt>
                <c:pt idx="267">
                  <c:v>-9.370863715723841</c:v>
                </c:pt>
                <c:pt idx="268">
                  <c:v>-9.4293940331351891</c:v>
                </c:pt>
                <c:pt idx="269">
                  <c:v>-9.4890888387795869</c:v>
                </c:pt>
                <c:pt idx="270">
                  <c:v>-9.5485346061281309</c:v>
                </c:pt>
                <c:pt idx="271">
                  <c:v>-9.607734525939172</c:v>
                </c:pt>
                <c:pt idx="272">
                  <c:v>-9.6666917311369218</c:v>
                </c:pt>
                <c:pt idx="273">
                  <c:v>-9.7267912785420201</c:v>
                </c:pt>
                <c:pt idx="274">
                  <c:v>-9.7866429898554053</c:v>
                </c:pt>
                <c:pt idx="275">
                  <c:v>-9.8462500451714039</c:v>
                </c:pt>
                <c:pt idx="276">
                  <c:v>-9.9056155667050234</c:v>
                </c:pt>
                <c:pt idx="277">
                  <c:v>-9.9659662548491266</c:v>
                </c:pt>
                <c:pt idx="278">
                  <c:v>-10.026071682707006</c:v>
                </c:pt>
                <c:pt idx="279">
                  <c:v>-10.085934992627404</c:v>
                </c:pt>
                <c:pt idx="280">
                  <c:v>-10.145559269674735</c:v>
                </c:pt>
                <c:pt idx="281">
                  <c:v>-10.206552999680099</c:v>
                </c:pt>
                <c:pt idx="282">
                  <c:v>-10.267300988605903</c:v>
                </c:pt>
                <c:pt idx="283">
                  <c:v>-10.327806398875218</c:v>
                </c:pt>
                <c:pt idx="284">
                  <c:v>-10.388072334799517</c:v>
                </c:pt>
                <c:pt idx="285">
                  <c:v>-10.449286876659718</c:v>
                </c:pt>
                <c:pt idx="286">
                  <c:v>-10.510258718411938</c:v>
                </c:pt>
                <c:pt idx="287">
                  <c:v>-10.570990973979344</c:v>
                </c:pt>
                <c:pt idx="288">
                  <c:v>-10.631486700000023</c:v>
                </c:pt>
                <c:pt idx="289">
                  <c:v>-10.693304330872277</c:v>
                </c:pt>
                <c:pt idx="290">
                  <c:v>-10.754879377064935</c:v>
                </c:pt>
                <c:pt idx="291">
                  <c:v>-10.816214959123672</c:v>
                </c:pt>
                <c:pt idx="292">
                  <c:v>-10.877314139768997</c:v>
                </c:pt>
                <c:pt idx="293">
                  <c:v>-10.939583752007358</c:v>
                </c:pt>
                <c:pt idx="294">
                  <c:v>-11.001612216701865</c:v>
                </c:pt>
                <c:pt idx="295">
                  <c:v>-11.063402634446923</c:v>
                </c:pt>
                <c:pt idx="296">
                  <c:v>-11.124958048104233</c:v>
                </c:pt>
                <c:pt idx="297">
                  <c:v>-11.187663915587216</c:v>
                </c:pt>
                <c:pt idx="298">
                  <c:v>-11.250130299388442</c:v>
                </c:pt>
                <c:pt idx="299">
                  <c:v>-11.312360274466286</c:v>
                </c:pt>
                <c:pt idx="300">
                  <c:v>-11.374356858262706</c:v>
                </c:pt>
                <c:pt idx="301">
                  <c:v>-11.437484745747579</c:v>
                </c:pt>
                <c:pt idx="302">
                  <c:v>-11.500375013491817</c:v>
                </c:pt>
                <c:pt idx="303">
                  <c:v>-11.56303070553326</c:v>
                </c:pt>
                <c:pt idx="304">
                  <c:v>-11.625454808725298</c:v>
                </c:pt>
                <c:pt idx="305">
                  <c:v>-11.689235773811353</c:v>
                </c:pt>
                <c:pt idx="306">
                  <c:v>-11.752779353381811</c:v>
                </c:pt>
                <c:pt idx="307">
                  <c:v>-11.816088590179152</c:v>
                </c:pt>
                <c:pt idx="308">
                  <c:v>-11.879166469333743</c:v>
                </c:pt>
                <c:pt idx="309">
                  <c:v>-11.943337896788451</c:v>
                </c:pt>
                <c:pt idx="310">
                  <c:v>-12.007274225331553</c:v>
                </c:pt>
                <c:pt idx="311">
                  <c:v>-12.070978455373638</c:v>
                </c:pt>
                <c:pt idx="312">
                  <c:v>-12.134453530299625</c:v>
                </c:pt>
                <c:pt idx="313">
                  <c:v>-12.199242188960323</c:v>
                </c:pt>
                <c:pt idx="314">
                  <c:v>-12.263796452864284</c:v>
                </c:pt>
                <c:pt idx="315">
                  <c:v>-12.328119308434937</c:v>
                </c:pt>
                <c:pt idx="316">
                  <c:v>-12.392213684924855</c:v>
                </c:pt>
                <c:pt idx="317">
                  <c:v>-12.457600414316481</c:v>
                </c:pt>
                <c:pt idx="318">
                  <c:v>-12.522753691129818</c:v>
                </c:pt>
                <c:pt idx="319">
                  <c:v>-12.587676481177361</c:v>
                </c:pt>
                <c:pt idx="320">
                  <c:v>-12.652371693105504</c:v>
                </c:pt>
                <c:pt idx="321">
                  <c:v>-12.718338842072241</c:v>
                </c:pt>
                <c:pt idx="322">
                  <c:v>-12.784073689033296</c:v>
                </c:pt>
                <c:pt idx="323">
                  <c:v>-12.849579173006818</c:v>
                </c:pt>
                <c:pt idx="324">
                  <c:v>-12.914858175992316</c:v>
                </c:pt>
                <c:pt idx="325">
                  <c:v>-12.981389477476046</c:v>
                </c:pt>
                <c:pt idx="326">
                  <c:v>-13.047689807014816</c:v>
                </c:pt>
                <c:pt idx="327">
                  <c:v>-13.113762071100314</c:v>
                </c:pt>
                <c:pt idx="328">
                  <c:v>-13.179609119488374</c:v>
                </c:pt>
                <c:pt idx="329">
                  <c:v>-13.246801548035986</c:v>
                </c:pt>
                <c:pt idx="330">
                  <c:v>-13.313763722847597</c:v>
                </c:pt>
                <c:pt idx="331">
                  <c:v>-13.380498526886946</c:v>
                </c:pt>
                <c:pt idx="332">
                  <c:v>-13.447008786419163</c:v>
                </c:pt>
                <c:pt idx="333">
                  <c:v>-13.514733482229605</c:v>
                </c:pt>
                <c:pt idx="334">
                  <c:v>-13.582229570515221</c:v>
                </c:pt>
                <c:pt idx="335">
                  <c:v>-13.649499890743137</c:v>
                </c:pt>
                <c:pt idx="336">
                  <c:v>-13.716547226232507</c:v>
                </c:pt>
                <c:pt idx="337">
                  <c:v>-13.785009481486718</c:v>
                </c:pt>
                <c:pt idx="338">
                  <c:v>-13.853243426901427</c:v>
                </c:pt>
                <c:pt idx="339">
                  <c:v>-13.921251880735802</c:v>
                </c:pt>
                <c:pt idx="340">
                  <c:v>-13.989037605058577</c:v>
                </c:pt>
                <c:pt idx="341">
                  <c:v>-14.058217038662722</c:v>
                </c:pt>
                <c:pt idx="342">
                  <c:v>-14.127168644465037</c:v>
                </c:pt>
                <c:pt idx="343">
                  <c:v>-14.195895213046885</c:v>
                </c:pt>
                <c:pt idx="344">
                  <c:v>-14.264399478919207</c:v>
                </c:pt>
                <c:pt idx="345">
                  <c:v>-14.334170768028383</c:v>
                </c:pt>
                <c:pt idx="346">
                  <c:v>-14.403715552335171</c:v>
                </c:pt>
                <c:pt idx="347">
                  <c:v>-14.473036576348797</c:v>
                </c:pt>
                <c:pt idx="348">
                  <c:v>-14.54213652911861</c:v>
                </c:pt>
                <c:pt idx="349">
                  <c:v>-14.612695375597148</c:v>
                </c:pt>
                <c:pt idx="350">
                  <c:v>-14.683027775143566</c:v>
                </c:pt>
                <c:pt idx="351">
                  <c:v>-14.753136445991455</c:v>
                </c:pt>
                <c:pt idx="352">
                  <c:v>-14.823024050995098</c:v>
                </c:pt>
                <c:pt idx="353">
                  <c:v>-14.894349346728719</c:v>
                </c:pt>
                <c:pt idx="354">
                  <c:v>-14.96544840103595</c:v>
                </c:pt>
                <c:pt idx="355">
                  <c:v>-15.036323899782403</c:v>
                </c:pt>
                <c:pt idx="356">
                  <c:v>-15.106978473701862</c:v>
                </c:pt>
                <c:pt idx="357">
                  <c:v>-15.178947960178995</c:v>
                </c:pt>
                <c:pt idx="358">
                  <c:v>-15.250692166417398</c:v>
                </c:pt>
                <c:pt idx="359">
                  <c:v>-15.322213729239193</c:v>
                </c:pt>
                <c:pt idx="360">
                  <c:v>-15.39351523104752</c:v>
                </c:pt>
                <c:pt idx="361">
                  <c:v>-15.466315486205691</c:v>
                </c:pt>
                <c:pt idx="362">
                  <c:v>-15.538890222503374</c:v>
                </c:pt>
                <c:pt idx="363">
                  <c:v>-15.611242045380941</c:v>
                </c:pt>
                <c:pt idx="364">
                  <c:v>-15.683373506103379</c:v>
                </c:pt>
                <c:pt idx="365">
                  <c:v>-15.756882727363068</c:v>
                </c:pt>
                <c:pt idx="366">
                  <c:v>-15.830166907363932</c:v>
                </c:pt>
                <c:pt idx="367">
                  <c:v>-15.903228604341436</c:v>
                </c:pt>
                <c:pt idx="368">
                  <c:v>-15.976070323055245</c:v>
                </c:pt>
                <c:pt idx="369">
                  <c:v>-16.050467946674626</c:v>
                </c:pt>
                <c:pt idx="370">
                  <c:v>-16.124639856168276</c:v>
                </c:pt>
                <c:pt idx="371">
                  <c:v>-16.198588578642973</c:v>
                </c:pt>
                <c:pt idx="372">
                  <c:v>-16.272316588007453</c:v>
                </c:pt>
                <c:pt idx="373">
                  <c:v>-16.347481189432052</c:v>
                </c:pt>
                <c:pt idx="374">
                  <c:v>-16.422420080226697</c:v>
                </c:pt>
                <c:pt idx="375">
                  <c:v>-16.497135741498575</c:v>
                </c:pt>
                <c:pt idx="376">
                  <c:v>-16.571630601879814</c:v>
                </c:pt>
                <c:pt idx="377">
                  <c:v>-16.647734719168692</c:v>
                </c:pt>
                <c:pt idx="378">
                  <c:v>-16.7236120182096</c:v>
                </c:pt>
                <c:pt idx="379">
                  <c:v>-16.799264948858237</c:v>
                </c:pt>
                <c:pt idx="380">
                  <c:v>-16.874695908840526</c:v>
                </c:pt>
                <c:pt idx="381">
                  <c:v>-16.951523320102254</c:v>
                </c:pt>
                <c:pt idx="382">
                  <c:v>-17.028124002026605</c:v>
                </c:pt>
                <c:pt idx="383">
                  <c:v>-17.104500350580878</c:v>
                </c:pt>
                <c:pt idx="384">
                  <c:v>-17.180654710631778</c:v>
                </c:pt>
                <c:pt idx="385">
                  <c:v>-17.258468506854879</c:v>
                </c:pt>
                <c:pt idx="386">
                  <c:v>-17.33605400232727</c:v>
                </c:pt>
                <c:pt idx="387">
                  <c:v>-17.413413562193927</c:v>
                </c:pt>
                <c:pt idx="388">
                  <c:v>-17.490549500925866</c:v>
                </c:pt>
                <c:pt idx="389">
                  <c:v>-17.569228582425307</c:v>
                </c:pt>
                <c:pt idx="390">
                  <c:v>-17.647678392621824</c:v>
                </c:pt>
                <c:pt idx="391">
                  <c:v>-17.725901253183086</c:v>
                </c:pt>
                <c:pt idx="392">
                  <c:v>-17.803899435948161</c:v>
                </c:pt>
                <c:pt idx="393">
                  <c:v>-17.883419363291061</c:v>
                </c:pt>
                <c:pt idx="394">
                  <c:v>-17.962709057260845</c:v>
                </c:pt>
                <c:pt idx="395">
                  <c:v>-18.041770793181801</c:v>
                </c:pt>
                <c:pt idx="396">
                  <c:v>-18.120606797544188</c:v>
                </c:pt>
                <c:pt idx="397">
                  <c:v>-18.201124998174912</c:v>
                </c:pt>
                <c:pt idx="398">
                  <c:v>-18.281410950975999</c:v>
                </c:pt>
                <c:pt idx="399">
                  <c:v>-18.361466897747441</c:v>
                </c:pt>
                <c:pt idx="400">
                  <c:v>-18.441295032159875</c:v>
                </c:pt>
                <c:pt idx="401">
                  <c:v>-18.522691808461083</c:v>
                </c:pt>
                <c:pt idx="402">
                  <c:v>-18.603854862369726</c:v>
                </c:pt>
                <c:pt idx="403">
                  <c:v>-18.684786391827423</c:v>
                </c:pt>
                <c:pt idx="404">
                  <c:v>-18.765488547729532</c:v>
                </c:pt>
                <c:pt idx="405">
                  <c:v>-18.847826068802913</c:v>
                </c:pt>
                <c:pt idx="406">
                  <c:v>-18.929927870360892</c:v>
                </c:pt>
                <c:pt idx="407">
                  <c:v>-19.011796111831501</c:v>
                </c:pt>
                <c:pt idx="408">
                  <c:v>-19.093432906620095</c:v>
                </c:pt>
                <c:pt idx="409">
                  <c:v>-19.176769552742407</c:v>
                </c:pt>
                <c:pt idx="410">
                  <c:v>-19.259867976389341</c:v>
                </c:pt>
                <c:pt idx="411">
                  <c:v>-19.34273030350526</c:v>
                </c:pt>
                <c:pt idx="412">
                  <c:v>-19.42535861499449</c:v>
                </c:pt>
                <c:pt idx="413">
                  <c:v>-19.509662349091187</c:v>
                </c:pt>
                <c:pt idx="414">
                  <c:v>-19.593725360389126</c:v>
                </c:pt>
                <c:pt idx="415">
                  <c:v>-19.677549739773109</c:v>
                </c:pt>
                <c:pt idx="416">
                  <c:v>-19.761137534225266</c:v>
                </c:pt>
                <c:pt idx="417">
                  <c:v>-19.846462301150712</c:v>
                </c:pt>
                <c:pt idx="418">
                  <c:v>-19.931543348007768</c:v>
                </c:pt>
                <c:pt idx="419">
                  <c:v>-20.016382735973433</c:v>
                </c:pt>
                <c:pt idx="420">
                  <c:v>-20.100982483429281</c:v>
                </c:pt>
                <c:pt idx="421">
                  <c:v>-20.187209062630927</c:v>
                </c:pt>
                <c:pt idx="422">
                  <c:v>-20.273189408810367</c:v>
                </c:pt>
                <c:pt idx="423">
                  <c:v>-20.358925546839487</c:v>
                </c:pt>
                <c:pt idx="424">
                  <c:v>-20.444419460208053</c:v>
                </c:pt>
                <c:pt idx="425">
                  <c:v>-20.531767855969193</c:v>
                </c:pt>
                <c:pt idx="426">
                  <c:v>-20.61886604788819</c:v>
                </c:pt>
                <c:pt idx="427">
                  <c:v>-20.705716042359338</c:v>
                </c:pt>
                <c:pt idx="428">
                  <c:v>-20.792319805458618</c:v>
                </c:pt>
                <c:pt idx="429">
                  <c:v>-20.880667394325016</c:v>
                </c:pt>
                <c:pt idx="430">
                  <c:v>-20.968761306393194</c:v>
                </c:pt>
                <c:pt idx="431">
                  <c:v>-21.056603523797264</c:v>
                </c:pt>
                <c:pt idx="432">
                  <c:v>-21.144195989715907</c:v>
                </c:pt>
                <c:pt idx="433">
                  <c:v>-21.233506098068521</c:v>
                </c:pt>
                <c:pt idx="434">
                  <c:v>-21.322559061494147</c:v>
                </c:pt>
                <c:pt idx="435">
                  <c:v>-21.411356838944403</c:v>
                </c:pt>
                <c:pt idx="436">
                  <c:v>-21.499901351893151</c:v>
                </c:pt>
                <c:pt idx="437">
                  <c:v>-21.590299437048358</c:v>
                </c:pt>
                <c:pt idx="438">
                  <c:v>-21.680435981334934</c:v>
                </c:pt>
                <c:pt idx="439">
                  <c:v>-21.770312932694125</c:v>
                </c:pt>
                <c:pt idx="440">
                  <c:v>-21.859932202909217</c:v>
                </c:pt>
                <c:pt idx="441">
                  <c:v>-21.951376443411572</c:v>
                </c:pt>
                <c:pt idx="442">
                  <c:v>-22.042554784923443</c:v>
                </c:pt>
                <c:pt idx="443">
                  <c:v>-22.133469166021769</c:v>
                </c:pt>
                <c:pt idx="444">
                  <c:v>-22.224121490565313</c:v>
                </c:pt>
                <c:pt idx="445">
                  <c:v>-22.316570379622217</c:v>
                </c:pt>
                <c:pt idx="446">
                  <c:v>-22.408749055386956</c:v>
                </c:pt>
                <c:pt idx="447">
                  <c:v>-22.500659449479596</c:v>
                </c:pt>
                <c:pt idx="448">
                  <c:v>-22.592303460340663</c:v>
                </c:pt>
                <c:pt idx="449">
                  <c:v>-22.685872201619738</c:v>
                </c:pt>
                <c:pt idx="450">
                  <c:v>-22.779165550765757</c:v>
                </c:pt>
                <c:pt idx="451">
                  <c:v>-22.872185445190844</c:v>
                </c:pt>
                <c:pt idx="452">
                  <c:v>-22.964933790539007</c:v>
                </c:pt>
                <c:pt idx="453">
                  <c:v>-23.059498837098197</c:v>
                </c:pt>
                <c:pt idx="454">
                  <c:v>-23.15378385857986</c:v>
                </c:pt>
                <c:pt idx="455">
                  <c:v>-23.247790796655273</c:v>
                </c:pt>
                <c:pt idx="456">
                  <c:v>-23.341521562835265</c:v>
                </c:pt>
                <c:pt idx="457">
                  <c:v>-23.437192593436976</c:v>
                </c:pt>
                <c:pt idx="458">
                  <c:v>-23.532578150465071</c:v>
                </c:pt>
                <c:pt idx="459">
                  <c:v>-23.627680193339671</c:v>
                </c:pt>
                <c:pt idx="460">
                  <c:v>-23.722500652810353</c:v>
                </c:pt>
                <c:pt idx="461">
                  <c:v>-23.819229723001371</c:v>
                </c:pt>
                <c:pt idx="462">
                  <c:v>-23.915668005386461</c:v>
                </c:pt>
                <c:pt idx="463">
                  <c:v>-24.011817481516058</c:v>
                </c:pt>
                <c:pt idx="464">
                  <c:v>-24.107680105838419</c:v>
                </c:pt>
                <c:pt idx="465">
                  <c:v>-24.20549450730099</c:v>
                </c:pt>
                <c:pt idx="466">
                  <c:v>-24.303012512766987</c:v>
                </c:pt>
                <c:pt idx="467">
                  <c:v>-24.400236135559851</c:v>
                </c:pt>
                <c:pt idx="468">
                  <c:v>-24.497167363454388</c:v>
                </c:pt>
                <c:pt idx="469">
                  <c:v>-24.596017921295612</c:v>
                </c:pt>
                <c:pt idx="470">
                  <c:v>-24.694566668380858</c:v>
                </c:pt>
                <c:pt idx="471">
                  <c:v>-24.792815655390473</c:v>
                </c:pt>
                <c:pt idx="472">
                  <c:v>-24.890766909070287</c:v>
                </c:pt>
                <c:pt idx="473">
                  <c:v>-24.990750906338754</c:v>
                </c:pt>
                <c:pt idx="474">
                  <c:v>-25.090427007612476</c:v>
                </c:pt>
                <c:pt idx="475">
                  <c:v>-25.189797316294133</c:v>
                </c:pt>
                <c:pt idx="476">
                  <c:v>-25.288863913383224</c:v>
                </c:pt>
                <c:pt idx="477">
                  <c:v>-25.389928830533371</c:v>
                </c:pt>
                <c:pt idx="478">
                  <c:v>-25.490680044782209</c:v>
                </c:pt>
                <c:pt idx="479">
                  <c:v>-25.591119719038083</c:v>
                </c:pt>
                <c:pt idx="480">
                  <c:v>-25.691249995399513</c:v>
                </c:pt>
                <c:pt idx="481">
                  <c:v>-25.793344599158281</c:v>
                </c:pt>
                <c:pt idx="482">
                  <c:v>-25.895120010515718</c:v>
                </c:pt>
                <c:pt idx="483">
                  <c:v>-25.996578459358307</c:v>
                </c:pt>
                <c:pt idx="484">
                  <c:v>-26.097722156407048</c:v>
                </c:pt>
                <c:pt idx="485">
                  <c:v>-26.200866787498288</c:v>
                </c:pt>
                <c:pt idx="486">
                  <c:v>-26.303686656546745</c:v>
                </c:pt>
                <c:pt idx="487">
                  <c:v>-26.406184073247253</c:v>
                </c:pt>
                <c:pt idx="488">
                  <c:v>-26.508361329770519</c:v>
                </c:pt>
                <c:pt idx="489">
                  <c:v>-26.612643717107971</c:v>
                </c:pt>
                <c:pt idx="490">
                  <c:v>-26.716595316179554</c:v>
                </c:pt>
                <c:pt idx="491">
                  <c:v>-26.820218534935702</c:v>
                </c:pt>
                <c:pt idx="492">
                  <c:v>-26.923515765413146</c:v>
                </c:pt>
                <c:pt idx="493">
                  <c:v>-27.028881878020968</c:v>
                </c:pt>
                <c:pt idx="494">
                  <c:v>-27.133911673344436</c:v>
                </c:pt>
                <c:pt idx="495">
                  <c:v>-27.238607667503459</c:v>
                </c:pt>
                <c:pt idx="496">
                  <c:v>-27.342972362392285</c:v>
                </c:pt>
                <c:pt idx="497">
                  <c:v>-27.449437918661573</c:v>
                </c:pt>
                <c:pt idx="498">
                  <c:v>-27.555561754450562</c:v>
                </c:pt>
                <c:pt idx="499">
                  <c:v>-27.661346509841401</c:v>
                </c:pt>
                <c:pt idx="500">
                  <c:v>-27.766794812430206</c:v>
                </c:pt>
                <c:pt idx="501">
                  <c:v>-27.874374641511928</c:v>
                </c:pt>
                <c:pt idx="502">
                  <c:v>-27.981607556849767</c:v>
                </c:pt>
                <c:pt idx="503">
                  <c:v>-28.088496339598525</c:v>
                </c:pt>
                <c:pt idx="504">
                  <c:v>-28.195043760248019</c:v>
                </c:pt>
                <c:pt idx="505">
                  <c:v>-28.303686421470079</c:v>
                </c:pt>
                <c:pt idx="506">
                  <c:v>-28.411977703925281</c:v>
                </c:pt>
                <c:pt idx="507">
                  <c:v>-28.519920543163444</c:v>
                </c:pt>
                <c:pt idx="508">
                  <c:v>-28.627517866027485</c:v>
                </c:pt>
                <c:pt idx="509">
                  <c:v>-28.737240182851554</c:v>
                </c:pt>
                <c:pt idx="510">
                  <c:v>-28.846607047709327</c:v>
                </c:pt>
                <c:pt idx="511">
                  <c:v>-28.955621570652511</c:v>
                </c:pt>
                <c:pt idx="512">
                  <c:v>-29.064286855136444</c:v>
                </c:pt>
                <c:pt idx="513">
                  <c:v>-29.175170148981039</c:v>
                </c:pt>
                <c:pt idx="514">
                  <c:v>-29.285694010269548</c:v>
                </c:pt>
                <c:pt idx="515">
                  <c:v>-29.395861751477117</c:v>
                </c:pt>
                <c:pt idx="516">
                  <c:v>-29.505676680792625</c:v>
                </c:pt>
                <c:pt idx="517">
                  <c:v>-29.617673376942875</c:v>
                </c:pt>
                <c:pt idx="518">
                  <c:v>-29.729307724496394</c:v>
                </c:pt>
                <c:pt idx="519">
                  <c:v>-29.840583257495929</c:v>
                </c:pt>
                <c:pt idx="520">
                  <c:v>-29.951503508309468</c:v>
                </c:pt>
                <c:pt idx="521">
                  <c:v>-30.064633400687228</c:v>
                </c:pt>
                <c:pt idx="522">
                  <c:v>-30.177398812200906</c:v>
                </c:pt>
                <c:pt idx="523">
                  <c:v>-30.289803526130889</c:v>
                </c:pt>
                <c:pt idx="524">
                  <c:v>-30.401851327070368</c:v>
                </c:pt>
                <c:pt idx="525">
                  <c:v>-30.516136512379287</c:v>
                </c:pt>
                <c:pt idx="526">
                  <c:v>-30.630056034346886</c:v>
                </c:pt>
                <c:pt idx="527">
                  <c:v>-30.743613956764566</c:v>
                </c:pt>
                <c:pt idx="528">
                  <c:v>-30.856814348218016</c:v>
                </c:pt>
                <c:pt idx="529">
                  <c:v>-30.97228004116436</c:v>
                </c:pt>
                <c:pt idx="530">
                  <c:v>-31.087380027424125</c:v>
                </c:pt>
                <c:pt idx="531">
                  <c:v>-31.202118686949838</c:v>
                </c:pt>
                <c:pt idx="532">
                  <c:v>-31.316500408609038</c:v>
                </c:pt>
                <c:pt idx="533">
                  <c:v>-31.433236015295599</c:v>
                </c:pt>
                <c:pt idx="534">
                  <c:v>-31.549606854269886</c:v>
                </c:pt>
                <c:pt idx="535">
                  <c:v>-31.665617669983526</c:v>
                </c:pt>
                <c:pt idx="536">
                  <c:v>-31.781273220779035</c:v>
                </c:pt>
                <c:pt idx="537">
                  <c:v>-31.899192113428605</c:v>
                </c:pt>
                <c:pt idx="538">
                  <c:v>-32.016749541976132</c:v>
                </c:pt>
                <c:pt idx="539">
                  <c:v>-32.133950648232243</c:v>
                </c:pt>
                <c:pt idx="540">
                  <c:v>-32.250800593876043</c:v>
                </c:pt>
                <c:pt idx="541">
                  <c:v>-32.370063112410492</c:v>
                </c:pt>
                <c:pt idx="542">
                  <c:v>-32.488968634480436</c:v>
                </c:pt>
                <c:pt idx="543">
                  <c:v>-32.607522770451482</c:v>
                </c:pt>
                <c:pt idx="544">
                  <c:v>-32.72573115797401</c:v>
                </c:pt>
                <c:pt idx="545">
                  <c:v>-32.846325794386239</c:v>
                </c:pt>
                <c:pt idx="546">
                  <c:v>-32.966570512978336</c:v>
                </c:pt>
                <c:pt idx="547">
                  <c:v>-33.086471450489043</c:v>
                </c:pt>
                <c:pt idx="548">
                  <c:v>-33.206034780053386</c:v>
                </c:pt>
                <c:pt idx="549">
                  <c:v>-33.32801965063873</c:v>
                </c:pt>
                <c:pt idx="550">
                  <c:v>-33.449664318148535</c:v>
                </c:pt>
                <c:pt idx="551">
                  <c:v>-33.570975523589674</c:v>
                </c:pt>
                <c:pt idx="552">
                  <c:v>-33.69196005569065</c:v>
                </c:pt>
                <c:pt idx="553">
                  <c:v>-33.815461461782313</c:v>
                </c:pt>
                <c:pt idx="554">
                  <c:v>-33.938635187248636</c:v>
                </c:pt>
                <c:pt idx="555">
                  <c:v>-34.061488680894733</c:v>
                </c:pt>
                <c:pt idx="556">
                  <c:v>-34.184029453516459</c:v>
                </c:pt>
                <c:pt idx="557">
                  <c:v>-34.433917134666956</c:v>
                </c:pt>
                <c:pt idx="558">
                  <c:v>-34.68259223465617</c:v>
                </c:pt>
                <c:pt idx="559">
                  <c:v>-34.935782723178676</c:v>
                </c:pt>
                <c:pt idx="560">
                  <c:v>-35.187848039251563</c:v>
                </c:pt>
                <c:pt idx="561">
                  <c:v>-35.444806607598387</c:v>
                </c:pt>
                <c:pt idx="562">
                  <c:v>-35.700746996848977</c:v>
                </c:pt>
                <c:pt idx="563">
                  <c:v>-35.961216360258348</c:v>
                </c:pt>
                <c:pt idx="564">
                  <c:v>-36.220804061279914</c:v>
                </c:pt>
                <c:pt idx="565">
                  <c:v>-36.486120362748807</c:v>
                </c:pt>
                <c:pt idx="566">
                  <c:v>-36.75071574283092</c:v>
                </c:pt>
                <c:pt idx="567">
                  <c:v>-37.021183992799372</c:v>
                </c:pt>
                <c:pt idx="568">
                  <c:v>-37.291131475455629</c:v>
                </c:pt>
                <c:pt idx="569">
                  <c:v>-37.566071983368758</c:v>
                </c:pt>
                <c:pt idx="570">
                  <c:v>-37.840740390699402</c:v>
                </c:pt>
                <c:pt idx="571">
                  <c:v>-38.122817063990119</c:v>
                </c:pt>
                <c:pt idx="572">
                  <c:v>-38.40492214293451</c:v>
                </c:pt>
                <c:pt idx="573">
                  <c:v>-38.692616798239143</c:v>
                </c:pt>
                <c:pt idx="574">
                  <c:v>-38.980707231129557</c:v>
                </c:pt>
                <c:pt idx="575">
                  <c:v>-39.276970244133459</c:v>
                </c:pt>
                <c:pt idx="576">
                  <c:v>-39.574084656233921</c:v>
                </c:pt>
                <c:pt idx="577">
                  <c:v>-40.847108269806007</c:v>
                </c:pt>
                <c:pt idx="578">
                  <c:v>-42.161130560816879</c:v>
                </c:pt>
                <c:pt idx="579">
                  <c:v>-45.332753778868529</c:v>
                </c:pt>
                <c:pt idx="580">
                  <c:v>-49.835163655569545</c:v>
                </c:pt>
                <c:pt idx="581">
                  <c:v>-58.486933667710559</c:v>
                </c:pt>
                <c:pt idx="582">
                  <c:v>-65.63473343610363</c:v>
                </c:pt>
                <c:pt idx="583">
                  <c:v>-55.909935880772821</c:v>
                </c:pt>
                <c:pt idx="584">
                  <c:v>-54.028942135530514</c:v>
                </c:pt>
                <c:pt idx="585">
                  <c:v>-54.282878840442677</c:v>
                </c:pt>
                <c:pt idx="586">
                  <c:v>-55.56027376878972</c:v>
                </c:pt>
                <c:pt idx="587">
                  <c:v>-57.706519601676334</c:v>
                </c:pt>
                <c:pt idx="588">
                  <c:v>-61.709235190805948</c:v>
                </c:pt>
                <c:pt idx="589">
                  <c:v>-77.134680393592504</c:v>
                </c:pt>
                <c:pt idx="590">
                  <c:v>-66.784790984394121</c:v>
                </c:pt>
                <c:pt idx="591">
                  <c:v>-64.369945989239199</c:v>
                </c:pt>
                <c:pt idx="592">
                  <c:v>-65.728125199090982</c:v>
                </c:pt>
                <c:pt idx="593">
                  <c:v>-71.477904671888297</c:v>
                </c:pt>
                <c:pt idx="594">
                  <c:v>-75.27927623976835</c:v>
                </c:pt>
                <c:pt idx="595">
                  <c:v>-70.410822771286163</c:v>
                </c:pt>
                <c:pt idx="596">
                  <c:v>-73.488684514020576</c:v>
                </c:pt>
                <c:pt idx="597">
                  <c:v>-80.433876672047887</c:v>
                </c:pt>
                <c:pt idx="598">
                  <c:v>-74.763177532754355</c:v>
                </c:pt>
                <c:pt idx="599">
                  <c:v>-87.650679193172195</c:v>
                </c:pt>
                <c:pt idx="600">
                  <c:v>-77.805722606817582</c:v>
                </c:pt>
              </c:numCache>
            </c:numRef>
          </c:yVal>
          <c:smooth val="1"/>
          <c:extLst>
            <c:ext xmlns:c16="http://schemas.microsoft.com/office/drawing/2014/chart" uri="{C3380CC4-5D6E-409C-BE32-E72D297353CC}">
              <c16:uniqueId val="{00000000-09BC-4E96-93F9-6DC345568360}"/>
            </c:ext>
          </c:extLst>
        </c:ser>
        <c:dLbls>
          <c:dLblPos val="r"/>
          <c:showLegendKey val="0"/>
          <c:showVal val="1"/>
          <c:showCatName val="1"/>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dLbls>
            <c:delete val="1"/>
          </c:dLbls>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92.872293758645981</c:v>
                </c:pt>
                <c:pt idx="1">
                  <c:v>92.589597244823253</c:v>
                </c:pt>
                <c:pt idx="2">
                  <c:v>92.328774079618</c:v>
                </c:pt>
                <c:pt idx="3">
                  <c:v>92.087628913640714</c:v>
                </c:pt>
                <c:pt idx="4">
                  <c:v>91.864271104626084</c:v>
                </c:pt>
                <c:pt idx="5">
                  <c:v>91.656454064353483</c:v>
                </c:pt>
                <c:pt idx="6">
                  <c:v>91.462734580599729</c:v>
                </c:pt>
                <c:pt idx="7">
                  <c:v>91.281345461760608</c:v>
                </c:pt>
                <c:pt idx="8">
                  <c:v>91.110883335083045</c:v>
                </c:pt>
                <c:pt idx="9">
                  <c:v>90.949774988863041</c:v>
                </c:pt>
                <c:pt idx="10">
                  <c:v>90.796751266047039</c:v>
                </c:pt>
                <c:pt idx="11">
                  <c:v>90.650491247358005</c:v>
                </c:pt>
                <c:pt idx="12">
                  <c:v>90.509681967964696</c:v>
                </c:pt>
                <c:pt idx="13">
                  <c:v>90.373266202776037</c:v>
                </c:pt>
                <c:pt idx="14">
                  <c:v>90.23997796194368</c:v>
                </c:pt>
                <c:pt idx="15">
                  <c:v>90.108740877340409</c:v>
                </c:pt>
                <c:pt idx="16">
                  <c:v>89.978433071496156</c:v>
                </c:pt>
                <c:pt idx="17">
                  <c:v>89.847970594097688</c:v>
                </c:pt>
                <c:pt idx="18">
                  <c:v>89.716212455047597</c:v>
                </c:pt>
                <c:pt idx="19">
                  <c:v>89.582081365694904</c:v>
                </c:pt>
                <c:pt idx="20">
                  <c:v>89.444419266390412</c:v>
                </c:pt>
                <c:pt idx="21">
                  <c:v>89.302095489316557</c:v>
                </c:pt>
                <c:pt idx="22">
                  <c:v>89.153883948340962</c:v>
                </c:pt>
                <c:pt idx="23">
                  <c:v>88.998580291425</c:v>
                </c:pt>
                <c:pt idx="24">
                  <c:v>88.834848659936782</c:v>
                </c:pt>
                <c:pt idx="25">
                  <c:v>88.661352440305023</c:v>
                </c:pt>
                <c:pt idx="26">
                  <c:v>88.476613660654678</c:v>
                </c:pt>
                <c:pt idx="27">
                  <c:v>88.279171749787395</c:v>
                </c:pt>
                <c:pt idx="28">
                  <c:v>88.067413047796606</c:v>
                </c:pt>
                <c:pt idx="29">
                  <c:v>87.839777879778154</c:v>
                </c:pt>
                <c:pt idx="30">
                  <c:v>87.594055886631395</c:v>
                </c:pt>
                <c:pt idx="31">
                  <c:v>87.328641483094231</c:v>
                </c:pt>
                <c:pt idx="32">
                  <c:v>87.041304093279152</c:v>
                </c:pt>
                <c:pt idx="33">
                  <c:v>86.730078054553843</c:v>
                </c:pt>
                <c:pt idx="34">
                  <c:v>86.392428508066786</c:v>
                </c:pt>
                <c:pt idx="35">
                  <c:v>86.026126731518815</c:v>
                </c:pt>
                <c:pt idx="36">
                  <c:v>85.628610677464408</c:v>
                </c:pt>
                <c:pt idx="37">
                  <c:v>85.197042108532102</c:v>
                </c:pt>
                <c:pt idx="38">
                  <c:v>84.729174433435247</c:v>
                </c:pt>
                <c:pt idx="39">
                  <c:v>84.221970781352667</c:v>
                </c:pt>
                <c:pt idx="40">
                  <c:v>83.672991248623092</c:v>
                </c:pt>
                <c:pt idx="41">
                  <c:v>83.07971055652915</c:v>
                </c:pt>
                <c:pt idx="42">
                  <c:v>82.439983549655167</c:v>
                </c:pt>
                <c:pt idx="43">
                  <c:v>81.751773082581465</c:v>
                </c:pt>
                <c:pt idx="44">
                  <c:v>81.013977376824698</c:v>
                </c:pt>
                <c:pt idx="45">
                  <c:v>80.225950515161969</c:v>
                </c:pt>
                <c:pt idx="46">
                  <c:v>79.388394587334062</c:v>
                </c:pt>
                <c:pt idx="47">
                  <c:v>78.503005136998084</c:v>
                </c:pt>
                <c:pt idx="48">
                  <c:v>77.573532862793158</c:v>
                </c:pt>
                <c:pt idx="49">
                  <c:v>76.605260317707604</c:v>
                </c:pt>
                <c:pt idx="50">
                  <c:v>75.60615367174745</c:v>
                </c:pt>
                <c:pt idx="51">
                  <c:v>74.586361630454618</c:v>
                </c:pt>
                <c:pt idx="52">
                  <c:v>73.55931720713842</c:v>
                </c:pt>
                <c:pt idx="53">
                  <c:v>72.540812749169604</c:v>
                </c:pt>
                <c:pt idx="54">
                  <c:v>71.549785299777781</c:v>
                </c:pt>
                <c:pt idx="55">
                  <c:v>70.604951275232665</c:v>
                </c:pt>
                <c:pt idx="56">
                  <c:v>69.729355908312613</c:v>
                </c:pt>
                <c:pt idx="57">
                  <c:v>68.944397309993349</c:v>
                </c:pt>
                <c:pt idx="58">
                  <c:v>68.271717694415358</c:v>
                </c:pt>
                <c:pt idx="59">
                  <c:v>67.729705711148299</c:v>
                </c:pt>
                <c:pt idx="60">
                  <c:v>67.334136880408735</c:v>
                </c:pt>
                <c:pt idx="61">
                  <c:v>67.09573605644924</c:v>
                </c:pt>
                <c:pt idx="62">
                  <c:v>67.019886797022792</c:v>
                </c:pt>
                <c:pt idx="63">
                  <c:v>67.106181048668361</c:v>
                </c:pt>
                <c:pt idx="64">
                  <c:v>67.348262966963986</c:v>
                </c:pt>
                <c:pt idx="65">
                  <c:v>67.734233824947822</c:v>
                </c:pt>
                <c:pt idx="66">
                  <c:v>68.247582407911935</c:v>
                </c:pt>
                <c:pt idx="67">
                  <c:v>68.86812595952334</c:v>
                </c:pt>
                <c:pt idx="68">
                  <c:v>69.573663197489878</c:v>
                </c:pt>
                <c:pt idx="69">
                  <c:v>70.340623750091694</c:v>
                </c:pt>
                <c:pt idx="70">
                  <c:v>71.145955714218132</c:v>
                </c:pt>
                <c:pt idx="71">
                  <c:v>71.967473982252869</c:v>
                </c:pt>
                <c:pt idx="72">
                  <c:v>72.785248073751106</c:v>
                </c:pt>
                <c:pt idx="73">
                  <c:v>73.581354254127277</c:v>
                </c:pt>
                <c:pt idx="74">
                  <c:v>74.340860382194649</c:v>
                </c:pt>
                <c:pt idx="75">
                  <c:v>75.051091113075941</c:v>
                </c:pt>
                <c:pt idx="76">
                  <c:v>75.702056834500127</c:v>
                </c:pt>
                <c:pt idx="77">
                  <c:v>76.285540561053551</c:v>
                </c:pt>
                <c:pt idx="78">
                  <c:v>76.79538962081493</c:v>
                </c:pt>
                <c:pt idx="79">
                  <c:v>77.22663673582646</c:v>
                </c:pt>
                <c:pt idx="80">
                  <c:v>77.57634135174888</c:v>
                </c:pt>
                <c:pt idx="81">
                  <c:v>77.841094449306155</c:v>
                </c:pt>
                <c:pt idx="82">
                  <c:v>78.018744157114526</c:v>
                </c:pt>
                <c:pt idx="83">
                  <c:v>78.107092503870703</c:v>
                </c:pt>
                <c:pt idx="84">
                  <c:v>78.104171049376234</c:v>
                </c:pt>
                <c:pt idx="85">
                  <c:v>78.007783040842952</c:v>
                </c:pt>
                <c:pt idx="86">
                  <c:v>77.815490819467755</c:v>
                </c:pt>
                <c:pt idx="87">
                  <c:v>77.524261643731364</c:v>
                </c:pt>
                <c:pt idx="88">
                  <c:v>77.130994772548178</c:v>
                </c:pt>
                <c:pt idx="89">
                  <c:v>76.631417529687837</c:v>
                </c:pt>
                <c:pt idx="90">
                  <c:v>76.021019394220374</c:v>
                </c:pt>
                <c:pt idx="91">
                  <c:v>75.294349629355835</c:v>
                </c:pt>
                <c:pt idx="92">
                  <c:v>74.4453140787504</c:v>
                </c:pt>
                <c:pt idx="93">
                  <c:v>73.466576933993366</c:v>
                </c:pt>
                <c:pt idx="94">
                  <c:v>73.200840859944719</c:v>
                </c:pt>
                <c:pt idx="95">
                  <c:v>73.063861520252772</c:v>
                </c:pt>
                <c:pt idx="96">
                  <c:v>72.926263806722389</c:v>
                </c:pt>
                <c:pt idx="97">
                  <c:v>72.784859094852578</c:v>
                </c:pt>
                <c:pt idx="98">
                  <c:v>72.64285221066983</c:v>
                </c:pt>
                <c:pt idx="99">
                  <c:v>72.496915839412452</c:v>
                </c:pt>
                <c:pt idx="100">
                  <c:v>72.350393051766801</c:v>
                </c:pt>
                <c:pt idx="101">
                  <c:v>72.199929916526841</c:v>
                </c:pt>
                <c:pt idx="102">
                  <c:v>72.048896590458057</c:v>
                </c:pt>
                <c:pt idx="103">
                  <c:v>71.893687149340295</c:v>
                </c:pt>
                <c:pt idx="104">
                  <c:v>71.737922542042199</c:v>
                </c:pt>
                <c:pt idx="105">
                  <c:v>71.577971220482695</c:v>
                </c:pt>
                <c:pt idx="106">
                  <c:v>71.417480288064255</c:v>
                </c:pt>
                <c:pt idx="107">
                  <c:v>71.252793829709745</c:v>
                </c:pt>
                <c:pt idx="108">
                  <c:v>71.087583763702867</c:v>
                </c:pt>
                <c:pt idx="109">
                  <c:v>70.918055451884698</c:v>
                </c:pt>
                <c:pt idx="110">
                  <c:v>70.748019230075414</c:v>
                </c:pt>
                <c:pt idx="111">
                  <c:v>70.573425343142333</c:v>
                </c:pt>
                <c:pt idx="112">
                  <c:v>70.398338360790149</c:v>
                </c:pt>
                <c:pt idx="113">
                  <c:v>70.218685845600703</c:v>
                </c:pt>
                <c:pt idx="114">
                  <c:v>70.038555571151846</c:v>
                </c:pt>
                <c:pt idx="115">
                  <c:v>69.853736105182321</c:v>
                </c:pt>
                <c:pt idx="116">
                  <c:v>69.668454088652737</c:v>
                </c:pt>
                <c:pt idx="117">
                  <c:v>69.478359118752238</c:v>
                </c:pt>
                <c:pt idx="118">
                  <c:v>69.287816731557541</c:v>
                </c:pt>
                <c:pt idx="119">
                  <c:v>69.092456234263267</c:v>
                </c:pt>
                <c:pt idx="120">
                  <c:v>68.896663939343782</c:v>
                </c:pt>
                <c:pt idx="121">
                  <c:v>68.695930879551895</c:v>
                </c:pt>
                <c:pt idx="122">
                  <c:v>68.494781580680794</c:v>
                </c:pt>
                <c:pt idx="123">
                  <c:v>68.288449365608116</c:v>
                </c:pt>
                <c:pt idx="124">
                  <c:v>68.081716002834938</c:v>
                </c:pt>
                <c:pt idx="125">
                  <c:v>67.869796505774332</c:v>
                </c:pt>
                <c:pt idx="126">
                  <c:v>67.657491487182668</c:v>
                </c:pt>
                <c:pt idx="127">
                  <c:v>67.439878283258295</c:v>
                </c:pt>
                <c:pt idx="128">
                  <c:v>67.221895258710646</c:v>
                </c:pt>
                <c:pt idx="129">
                  <c:v>66.998482366046247</c:v>
                </c:pt>
                <c:pt idx="130">
                  <c:v>66.774715470370111</c:v>
                </c:pt>
                <c:pt idx="131">
                  <c:v>66.545397477323831</c:v>
                </c:pt>
                <c:pt idx="132">
                  <c:v>66.430610737953288</c:v>
                </c:pt>
                <c:pt idx="133">
                  <c:v>66.315741455960861</c:v>
                </c:pt>
                <c:pt idx="134">
                  <c:v>66.198058012898713</c:v>
                </c:pt>
                <c:pt idx="135">
                  <c:v>66.080292069111223</c:v>
                </c:pt>
                <c:pt idx="136">
                  <c:v>65.962445590273433</c:v>
                </c:pt>
                <c:pt idx="137">
                  <c:v>65.844520500375381</c:v>
                </c:pt>
                <c:pt idx="138">
                  <c:v>65.723838714781365</c:v>
                </c:pt>
                <c:pt idx="139">
                  <c:v>65.603078649946525</c:v>
                </c:pt>
                <c:pt idx="140">
                  <c:v>65.482242236063783</c:v>
                </c:pt>
                <c:pt idx="141">
                  <c:v>65.361331362614095</c:v>
                </c:pt>
                <c:pt idx="142">
                  <c:v>65.23747808083786</c:v>
                </c:pt>
                <c:pt idx="143">
                  <c:v>65.113550647650669</c:v>
                </c:pt>
                <c:pt idx="144">
                  <c:v>64.989550964871626</c:v>
                </c:pt>
                <c:pt idx="145">
                  <c:v>64.865480894398218</c:v>
                </c:pt>
                <c:pt idx="146">
                  <c:v>64.738465898873613</c:v>
                </c:pt>
                <c:pt idx="147">
                  <c:v>64.611381037184614</c:v>
                </c:pt>
                <c:pt idx="148">
                  <c:v>64.484228181005221</c:v>
                </c:pt>
                <c:pt idx="149">
                  <c:v>64.357009162944706</c:v>
                </c:pt>
                <c:pt idx="150">
                  <c:v>64.226782061944846</c:v>
                </c:pt>
                <c:pt idx="151">
                  <c:v>64.096489464639717</c:v>
                </c:pt>
                <c:pt idx="152">
                  <c:v>63.966133213730473</c:v>
                </c:pt>
                <c:pt idx="153">
                  <c:v>63.835715113694803</c:v>
                </c:pt>
                <c:pt idx="154">
                  <c:v>63.702164701874892</c:v>
                </c:pt>
                <c:pt idx="155">
                  <c:v>63.568553201990483</c:v>
                </c:pt>
                <c:pt idx="156">
                  <c:v>63.434882431398862</c:v>
                </c:pt>
                <c:pt idx="157">
                  <c:v>63.301154169991008</c:v>
                </c:pt>
                <c:pt idx="158">
                  <c:v>63.164231058594893</c:v>
                </c:pt>
                <c:pt idx="159">
                  <c:v>63.027251384126615</c:v>
                </c:pt>
                <c:pt idx="160">
                  <c:v>62.890216939480638</c:v>
                </c:pt>
                <c:pt idx="161">
                  <c:v>62.753129480836279</c:v>
                </c:pt>
                <c:pt idx="162">
                  <c:v>62.612846735630242</c:v>
                </c:pt>
                <c:pt idx="163">
                  <c:v>62.47251212234211</c:v>
                </c:pt>
                <c:pt idx="164">
                  <c:v>62.332127407987329</c:v>
                </c:pt>
                <c:pt idx="165">
                  <c:v>62.191694323671641</c:v>
                </c:pt>
                <c:pt idx="166">
                  <c:v>62.047881012913109</c:v>
                </c:pt>
                <c:pt idx="167">
                  <c:v>61.90402057017883</c:v>
                </c:pt>
                <c:pt idx="168">
                  <c:v>61.760114742179795</c:v>
                </c:pt>
                <c:pt idx="169">
                  <c:v>61.616165240387446</c:v>
                </c:pt>
                <c:pt idx="170">
                  <c:v>61.469083347613434</c:v>
                </c:pt>
                <c:pt idx="171">
                  <c:v>61.321959387989921</c:v>
                </c:pt>
                <c:pt idx="172">
                  <c:v>61.174795077883743</c:v>
                </c:pt>
                <c:pt idx="173">
                  <c:v>61.02759209937571</c:v>
                </c:pt>
                <c:pt idx="174">
                  <c:v>60.876639704249556</c:v>
                </c:pt>
                <c:pt idx="175">
                  <c:v>60.725650140486167</c:v>
                </c:pt>
                <c:pt idx="176">
                  <c:v>60.574625114496371</c:v>
                </c:pt>
                <c:pt idx="177">
                  <c:v>60.423566298832029</c:v>
                </c:pt>
                <c:pt idx="178">
                  <c:v>60.268759590228768</c:v>
                </c:pt>
                <c:pt idx="179">
                  <c:v>60.113920859572588</c:v>
                </c:pt>
                <c:pt idx="180">
                  <c:v>59.959051801279045</c:v>
                </c:pt>
                <c:pt idx="181">
                  <c:v>59.804154076405112</c:v>
                </c:pt>
                <c:pt idx="182">
                  <c:v>59.6461305535436</c:v>
                </c:pt>
                <c:pt idx="183">
                  <c:v>59.488080594762181</c:v>
                </c:pt>
                <c:pt idx="184">
                  <c:v>59.330005861340922</c:v>
                </c:pt>
                <c:pt idx="185">
                  <c:v>59.171907982264244</c:v>
                </c:pt>
                <c:pt idx="186">
                  <c:v>59.009447732937005</c:v>
                </c:pt>
                <c:pt idx="187">
                  <c:v>58.846966435301411</c:v>
                </c:pt>
                <c:pt idx="188">
                  <c:v>58.684465755440584</c:v>
                </c:pt>
                <c:pt idx="189">
                  <c:v>58.521947327238266</c:v>
                </c:pt>
                <c:pt idx="190">
                  <c:v>58.356310801747213</c:v>
                </c:pt>
                <c:pt idx="191">
                  <c:v>58.190659171780908</c:v>
                </c:pt>
                <c:pt idx="192">
                  <c:v>58.024994068916612</c:v>
                </c:pt>
                <c:pt idx="193">
                  <c:v>57.859317093648698</c:v>
                </c:pt>
                <c:pt idx="194">
                  <c:v>57.689285830502214</c:v>
                </c:pt>
                <c:pt idx="195">
                  <c:v>57.519245382620014</c:v>
                </c:pt>
                <c:pt idx="196">
                  <c:v>57.349197383084487</c:v>
                </c:pt>
                <c:pt idx="197">
                  <c:v>57.179143434107104</c:v>
                </c:pt>
                <c:pt idx="198">
                  <c:v>57.005361165623555</c:v>
                </c:pt>
                <c:pt idx="199">
                  <c:v>56.831575972176083</c:v>
                </c:pt>
                <c:pt idx="200">
                  <c:v>56.657789468980965</c:v>
                </c:pt>
                <c:pt idx="201">
                  <c:v>56.4840032410943</c:v>
                </c:pt>
                <c:pt idx="202">
                  <c:v>56.30649492421405</c:v>
                </c:pt>
                <c:pt idx="203">
                  <c:v>56.128990144677076</c:v>
                </c:pt>
                <c:pt idx="204">
                  <c:v>55.951490499356368</c:v>
                </c:pt>
                <c:pt idx="205">
                  <c:v>55.773997555691167</c:v>
                </c:pt>
                <c:pt idx="206">
                  <c:v>55.592168937429108</c:v>
                </c:pt>
                <c:pt idx="207">
                  <c:v>55.410350592037204</c:v>
                </c:pt>
                <c:pt idx="208">
                  <c:v>55.228544113854255</c:v>
                </c:pt>
                <c:pt idx="209">
                  <c:v>55.046751068130305</c:v>
                </c:pt>
                <c:pt idx="210">
                  <c:v>54.860009992181531</c:v>
                </c:pt>
                <c:pt idx="211">
                  <c:v>54.673286350107034</c:v>
                </c:pt>
                <c:pt idx="212">
                  <c:v>54.486581748042468</c:v>
                </c:pt>
                <c:pt idx="213">
                  <c:v>54.299897763044527</c:v>
                </c:pt>
                <c:pt idx="214">
                  <c:v>54.109515346040922</c:v>
                </c:pt>
                <c:pt idx="215">
                  <c:v>53.91915760094831</c:v>
                </c:pt>
                <c:pt idx="216">
                  <c:v>53.72882611243044</c:v>
                </c:pt>
                <c:pt idx="217">
                  <c:v>53.538522436885543</c:v>
                </c:pt>
                <c:pt idx="218">
                  <c:v>53.343909954468941</c:v>
                </c:pt>
                <c:pt idx="219">
                  <c:v>53.149329773966386</c:v>
                </c:pt>
                <c:pt idx="220">
                  <c:v>52.954783473669622</c:v>
                </c:pt>
                <c:pt idx="221">
                  <c:v>52.760272604055302</c:v>
                </c:pt>
                <c:pt idx="222">
                  <c:v>52.561463715384903</c:v>
                </c:pt>
                <c:pt idx="223">
                  <c:v>52.36269504572482</c:v>
                </c:pt>
                <c:pt idx="224">
                  <c:v>52.163968166049585</c:v>
                </c:pt>
                <c:pt idx="225">
                  <c:v>51.965284619987187</c:v>
                </c:pt>
                <c:pt idx="226">
                  <c:v>51.761696013160446</c:v>
                </c:pt>
                <c:pt idx="227">
                  <c:v>51.55815612517759</c:v>
                </c:pt>
                <c:pt idx="228">
                  <c:v>51.354666533090466</c:v>
                </c:pt>
                <c:pt idx="229">
                  <c:v>51.15122878675939</c:v>
                </c:pt>
                <c:pt idx="230">
                  <c:v>50.734627958493689</c:v>
                </c:pt>
                <c:pt idx="231">
                  <c:v>50.526415533496618</c:v>
                </c:pt>
                <c:pt idx="232">
                  <c:v>50.318263849480275</c:v>
                </c:pt>
                <c:pt idx="233">
                  <c:v>50.105235395481486</c:v>
                </c:pt>
                <c:pt idx="234">
                  <c:v>49.892273813611752</c:v>
                </c:pt>
                <c:pt idx="235">
                  <c:v>49.679380688070637</c:v>
                </c:pt>
                <c:pt idx="236">
                  <c:v>49.466557576273743</c:v>
                </c:pt>
                <c:pt idx="237">
                  <c:v>49.249490062148368</c:v>
                </c:pt>
                <c:pt idx="238">
                  <c:v>49.032498624793902</c:v>
                </c:pt>
                <c:pt idx="239">
                  <c:v>48.815584836381873</c:v>
                </c:pt>
                <c:pt idx="240">
                  <c:v>48.598750242832125</c:v>
                </c:pt>
                <c:pt idx="241">
                  <c:v>48.376455433426031</c:v>
                </c:pt>
                <c:pt idx="242">
                  <c:v>48.154247131965462</c:v>
                </c:pt>
                <c:pt idx="243">
                  <c:v>47.932126924126237</c:v>
                </c:pt>
                <c:pt idx="244">
                  <c:v>47.710096369276783</c:v>
                </c:pt>
                <c:pt idx="245">
                  <c:v>47.483239721497455</c:v>
                </c:pt>
                <c:pt idx="246">
                  <c:v>47.256479957486789</c:v>
                </c:pt>
                <c:pt idx="247">
                  <c:v>47.02981866143503</c:v>
                </c:pt>
                <c:pt idx="248">
                  <c:v>46.803257391478468</c:v>
                </c:pt>
                <c:pt idx="249">
                  <c:v>46.57127555421755</c:v>
                </c:pt>
                <c:pt idx="250">
                  <c:v>46.339401910731482</c:v>
                </c:pt>
                <c:pt idx="251">
                  <c:v>46.107638054901486</c:v>
                </c:pt>
                <c:pt idx="252">
                  <c:v>45.87598555453431</c:v>
                </c:pt>
                <c:pt idx="253">
                  <c:v>45.639546873980919</c:v>
                </c:pt>
                <c:pt idx="254">
                  <c:v>45.403227536032858</c:v>
                </c:pt>
                <c:pt idx="255">
                  <c:v>45.167029129849652</c:v>
                </c:pt>
                <c:pt idx="256">
                  <c:v>44.930953218774278</c:v>
                </c:pt>
                <c:pt idx="257">
                  <c:v>44.688890259877951</c:v>
                </c:pt>
                <c:pt idx="258">
                  <c:v>44.446959477746418</c:v>
                </c:pt>
                <c:pt idx="259">
                  <c:v>44.205162479505361</c:v>
                </c:pt>
                <c:pt idx="260">
                  <c:v>43.963500846192346</c:v>
                </c:pt>
                <c:pt idx="261">
                  <c:v>43.716488538637009</c:v>
                </c:pt>
                <c:pt idx="262">
                  <c:v>43.469621082865018</c:v>
                </c:pt>
                <c:pt idx="263">
                  <c:v>43.222900089241307</c:v>
                </c:pt>
                <c:pt idx="264">
                  <c:v>42.976327142041782</c:v>
                </c:pt>
                <c:pt idx="265">
                  <c:v>42.724429436765064</c:v>
                </c:pt>
                <c:pt idx="266">
                  <c:v>42.472689697610662</c:v>
                </c:pt>
                <c:pt idx="267">
                  <c:v>42.221109535950745</c:v>
                </c:pt>
                <c:pt idx="268">
                  <c:v>41.969690537062775</c:v>
                </c:pt>
                <c:pt idx="269">
                  <c:v>41.712367294078319</c:v>
                </c:pt>
                <c:pt idx="270">
                  <c:v>41.455216377767755</c:v>
                </c:pt>
                <c:pt idx="271">
                  <c:v>41.198239409549075</c:v>
                </c:pt>
                <c:pt idx="272">
                  <c:v>40.941437984484622</c:v>
                </c:pt>
                <c:pt idx="273">
                  <c:v>40.678763362092951</c:v>
                </c:pt>
                <c:pt idx="274">
                  <c:v>40.416275960380943</c:v>
                </c:pt>
                <c:pt idx="275">
                  <c:v>40.153977407673239</c:v>
                </c:pt>
                <c:pt idx="276">
                  <c:v>39.891869305674959</c:v>
                </c:pt>
                <c:pt idx="277">
                  <c:v>39.624523834091889</c:v>
                </c:pt>
                <c:pt idx="278">
                  <c:v>39.357380083783056</c:v>
                </c:pt>
                <c:pt idx="279">
                  <c:v>39.090439675788332</c:v>
                </c:pt>
                <c:pt idx="280">
                  <c:v>38.823704204495442</c:v>
                </c:pt>
                <c:pt idx="281">
                  <c:v>38.54995837912341</c:v>
                </c:pt>
                <c:pt idx="282">
                  <c:v>38.276432068792673</c:v>
                </c:pt>
                <c:pt idx="283">
                  <c:v>38.003126916597722</c:v>
                </c:pt>
                <c:pt idx="284">
                  <c:v>37.730044538216902</c:v>
                </c:pt>
                <c:pt idx="285">
                  <c:v>37.451791604429673</c:v>
                </c:pt>
                <c:pt idx="286">
                  <c:v>37.173773653503872</c:v>
                </c:pt>
                <c:pt idx="287">
                  <c:v>36.895992314130012</c:v>
                </c:pt>
                <c:pt idx="288">
                  <c:v>36.618449187526267</c:v>
                </c:pt>
                <c:pt idx="289">
                  <c:v>36.333977404659777</c:v>
                </c:pt>
                <c:pt idx="290">
                  <c:v>36.049759642486407</c:v>
                </c:pt>
                <c:pt idx="291">
                  <c:v>35.765797542859588</c:v>
                </c:pt>
                <c:pt idx="292">
                  <c:v>35.482092719375117</c:v>
                </c:pt>
                <c:pt idx="293">
                  <c:v>35.192099608730445</c:v>
                </c:pt>
                <c:pt idx="294">
                  <c:v>34.902379131238121</c:v>
                </c:pt>
                <c:pt idx="295">
                  <c:v>34.612932926388424</c:v>
                </c:pt>
                <c:pt idx="296">
                  <c:v>34.323762604855091</c:v>
                </c:pt>
                <c:pt idx="297">
                  <c:v>34.02834766488067</c:v>
                </c:pt>
                <c:pt idx="298">
                  <c:v>33.733224528343214</c:v>
                </c:pt>
                <c:pt idx="299">
                  <c:v>33.438394827270486</c:v>
                </c:pt>
                <c:pt idx="300">
                  <c:v>33.143860164296825</c:v>
                </c:pt>
                <c:pt idx="301">
                  <c:v>32.843126239098467</c:v>
                </c:pt>
                <c:pt idx="302">
                  <c:v>32.542703823343032</c:v>
                </c:pt>
                <c:pt idx="303">
                  <c:v>32.242594536205928</c:v>
                </c:pt>
                <c:pt idx="304">
                  <c:v>31.942799966874674</c:v>
                </c:pt>
                <c:pt idx="305">
                  <c:v>31.635677072751889</c:v>
                </c:pt>
                <c:pt idx="306">
                  <c:v>31.328888468505113</c:v>
                </c:pt>
                <c:pt idx="307">
                  <c:v>31.022435773128507</c:v>
                </c:pt>
                <c:pt idx="308">
                  <c:v>30.716320574545847</c:v>
                </c:pt>
                <c:pt idx="309">
                  <c:v>30.404104530315607</c:v>
                </c:pt>
                <c:pt idx="310">
                  <c:v>30.092243605827548</c:v>
                </c:pt>
                <c:pt idx="311">
                  <c:v>29.780739394397756</c:v>
                </c:pt>
                <c:pt idx="312">
                  <c:v>29.46959345764671</c:v>
                </c:pt>
                <c:pt idx="313">
                  <c:v>29.15123168402846</c:v>
                </c:pt>
                <c:pt idx="314">
                  <c:v>28.83324909259656</c:v>
                </c:pt>
                <c:pt idx="315">
                  <c:v>28.515647261748001</c:v>
                </c:pt>
                <c:pt idx="316">
                  <c:v>28.198427737067817</c:v>
                </c:pt>
                <c:pt idx="317">
                  <c:v>27.874053014869958</c:v>
                </c:pt>
                <c:pt idx="318">
                  <c:v>27.550082196057247</c:v>
                </c:pt>
                <c:pt idx="319">
                  <c:v>27.226516835558897</c:v>
                </c:pt>
                <c:pt idx="320">
                  <c:v>26.90335845436303</c:v>
                </c:pt>
                <c:pt idx="321">
                  <c:v>26.573107599859696</c:v>
                </c:pt>
                <c:pt idx="322">
                  <c:v>26.243285989484093</c:v>
                </c:pt>
                <c:pt idx="323">
                  <c:v>25.913895145681948</c:v>
                </c:pt>
                <c:pt idx="324">
                  <c:v>25.58493655581745</c:v>
                </c:pt>
                <c:pt idx="325">
                  <c:v>25.248950249739863</c:v>
                </c:pt>
                <c:pt idx="326">
                  <c:v>24.913419105456143</c:v>
                </c:pt>
                <c:pt idx="327">
                  <c:v>24.578344603455236</c:v>
                </c:pt>
                <c:pt idx="328">
                  <c:v>24.243728187998528</c:v>
                </c:pt>
                <c:pt idx="329">
                  <c:v>23.901579991116364</c:v>
                </c:pt>
                <c:pt idx="330">
                  <c:v>23.559915019129477</c:v>
                </c:pt>
                <c:pt idx="331">
                  <c:v>23.21873470774139</c:v>
                </c:pt>
                <c:pt idx="332">
                  <c:v>22.878040455033357</c:v>
                </c:pt>
                <c:pt idx="333">
                  <c:v>22.530455582131026</c:v>
                </c:pt>
                <c:pt idx="334">
                  <c:v>22.183380927210777</c:v>
                </c:pt>
                <c:pt idx="335">
                  <c:v>21.836817863063033</c:v>
                </c:pt>
                <c:pt idx="336">
                  <c:v>21.4907677237168</c:v>
                </c:pt>
                <c:pt idx="337">
                  <c:v>21.13676925427319</c:v>
                </c:pt>
                <c:pt idx="338">
                  <c:v>20.783311873473906</c:v>
                </c:pt>
                <c:pt idx="339">
                  <c:v>20.430396892761792</c:v>
                </c:pt>
                <c:pt idx="340">
                  <c:v>20.078025583185337</c:v>
                </c:pt>
                <c:pt idx="341">
                  <c:v>19.71778896008837</c:v>
                </c:pt>
                <c:pt idx="342">
                  <c:v>19.358124901936009</c:v>
                </c:pt>
                <c:pt idx="343">
                  <c:v>18.999034645152022</c:v>
                </c:pt>
                <c:pt idx="344">
                  <c:v>18.640519384151361</c:v>
                </c:pt>
                <c:pt idx="345">
                  <c:v>18.274781173513986</c:v>
                </c:pt>
                <c:pt idx="346">
                  <c:v>17.909645699445264</c:v>
                </c:pt>
                <c:pt idx="347">
                  <c:v>17.545114104006302</c:v>
                </c:pt>
                <c:pt idx="348">
                  <c:v>17.181187485928405</c:v>
                </c:pt>
                <c:pt idx="349">
                  <c:v>16.809013003074313</c:v>
                </c:pt>
                <c:pt idx="350">
                  <c:v>16.437475565824542</c:v>
                </c:pt>
                <c:pt idx="351">
                  <c:v>16.066576217714982</c:v>
                </c:pt>
                <c:pt idx="352">
                  <c:v>15.696315957146311</c:v>
                </c:pt>
                <c:pt idx="353">
                  <c:v>15.317903065127439</c:v>
                </c:pt>
                <c:pt idx="354">
                  <c:v>14.940162031348677</c:v>
                </c:pt>
                <c:pt idx="355">
                  <c:v>14.563093784255926</c:v>
                </c:pt>
                <c:pt idx="356">
                  <c:v>14.186699205407876</c:v>
                </c:pt>
                <c:pt idx="357">
                  <c:v>13.802795077919939</c:v>
                </c:pt>
                <c:pt idx="358">
                  <c:v>13.419596027956374</c:v>
                </c:pt>
                <c:pt idx="359">
                  <c:v>13.037102848544208</c:v>
                </c:pt>
                <c:pt idx="360">
                  <c:v>12.655316284422867</c:v>
                </c:pt>
                <c:pt idx="361">
                  <c:v>12.265030509469312</c:v>
                </c:pt>
                <c:pt idx="362">
                  <c:v>11.875487366851786</c:v>
                </c:pt>
                <c:pt idx="363">
                  <c:v>11.486687503609062</c:v>
                </c:pt>
                <c:pt idx="364">
                  <c:v>11.098631516630292</c:v>
                </c:pt>
                <c:pt idx="365">
                  <c:v>10.702721488845469</c:v>
                </c:pt>
                <c:pt idx="366">
                  <c:v>10.307589869897924</c:v>
                </c:pt>
                <c:pt idx="367">
                  <c:v>9.9132371395722885</c:v>
                </c:pt>
                <c:pt idx="368">
                  <c:v>9.5196637260324621</c:v>
                </c:pt>
                <c:pt idx="369">
                  <c:v>9.1172734087921015</c:v>
                </c:pt>
                <c:pt idx="370">
                  <c:v>8.7157017401396217</c:v>
                </c:pt>
                <c:pt idx="371">
                  <c:v>8.3149490168770797</c:v>
                </c:pt>
                <c:pt idx="372">
                  <c:v>7.9150154822820014</c:v>
                </c:pt>
                <c:pt idx="373">
                  <c:v>7.5069121783817536</c:v>
                </c:pt>
                <c:pt idx="374">
                  <c:v>7.0996657658162121</c:v>
                </c:pt>
                <c:pt idx="375">
                  <c:v>6.6932763363684558</c:v>
                </c:pt>
                <c:pt idx="376">
                  <c:v>6.2877439268382318</c:v>
                </c:pt>
                <c:pt idx="377">
                  <c:v>5.8731067936359977</c:v>
                </c:pt>
                <c:pt idx="378">
                  <c:v>5.4593693453915364</c:v>
                </c:pt>
                <c:pt idx="379">
                  <c:v>5.046531447699266</c:v>
                </c:pt>
                <c:pt idx="380">
                  <c:v>4.6345929093187692</c:v>
                </c:pt>
                <c:pt idx="381">
                  <c:v>4.214718210917539</c:v>
                </c:pt>
                <c:pt idx="382">
                  <c:v>3.7957814140874859</c:v>
                </c:pt>
                <c:pt idx="383">
                  <c:v>3.3777821372442531</c:v>
                </c:pt>
                <c:pt idx="384">
                  <c:v>2.9607199409028055</c:v>
                </c:pt>
                <c:pt idx="385">
                  <c:v>2.5342933150024578</c:v>
                </c:pt>
                <c:pt idx="386">
                  <c:v>2.1088496760041266</c:v>
                </c:pt>
                <c:pt idx="387">
                  <c:v>1.6843883680587339</c:v>
                </c:pt>
                <c:pt idx="388">
                  <c:v>1.2609086757282171</c:v>
                </c:pt>
                <c:pt idx="389">
                  <c:v>0.82871459957939919</c:v>
                </c:pt>
                <c:pt idx="390">
                  <c:v>0.39754606062814446</c:v>
                </c:pt>
                <c:pt idx="391">
                  <c:v>-3.259789379222866E-2</c:v>
                </c:pt>
                <c:pt idx="392">
                  <c:v>-0.4617182770649606</c:v>
                </c:pt>
                <c:pt idx="393">
                  <c:v>-0.89941892251579247</c:v>
                </c:pt>
                <c:pt idx="394">
                  <c:v>-1.3360518366374947</c:v>
                </c:pt>
                <c:pt idx="395">
                  <c:v>-1.7716182923163046</c:v>
                </c:pt>
                <c:pt idx="396">
                  <c:v>-2.2061196239821186</c:v>
                </c:pt>
                <c:pt idx="397">
                  <c:v>-2.6500667753169012</c:v>
                </c:pt>
                <c:pt idx="398">
                  <c:v>-3.0928994847076865</c:v>
                </c:pt>
                <c:pt idx="399">
                  <c:v>-3.5346193792850329</c:v>
                </c:pt>
                <c:pt idx="400">
                  <c:v>-3.9752281487831169</c:v>
                </c:pt>
                <c:pt idx="401">
                  <c:v>-4.4246357340508098</c:v>
                </c:pt>
                <c:pt idx="402">
                  <c:v>-4.8728852330105781</c:v>
                </c:pt>
                <c:pt idx="403">
                  <c:v>-5.3199786473618929</c:v>
                </c:pt>
                <c:pt idx="404">
                  <c:v>-5.7659180418118581</c:v>
                </c:pt>
                <c:pt idx="405">
                  <c:v>-6.2210015449888658</c:v>
                </c:pt>
                <c:pt idx="406">
                  <c:v>-6.6748814800981506</c:v>
                </c:pt>
                <c:pt idx="407">
                  <c:v>-7.1275602549546022</c:v>
                </c:pt>
                <c:pt idx="408">
                  <c:v>-7.5790403406626012</c:v>
                </c:pt>
                <c:pt idx="409">
                  <c:v>-8.0399961106142257</c:v>
                </c:pt>
                <c:pt idx="410">
                  <c:v>-8.4997010587611328</c:v>
                </c:pt>
                <c:pt idx="411">
                  <c:v>-8.9581580333108661</c:v>
                </c:pt>
                <c:pt idx="412">
                  <c:v>-9.4153699458668143</c:v>
                </c:pt>
                <c:pt idx="413">
                  <c:v>-9.881895491050642</c:v>
                </c:pt>
                <c:pt idx="414">
                  <c:v>-10.347123942156543</c:v>
                </c:pt>
                <c:pt idx="415">
                  <c:v>-10.811058614413952</c:v>
                </c:pt>
                <c:pt idx="416">
                  <c:v>-11.273702886074034</c:v>
                </c:pt>
                <c:pt idx="417">
                  <c:v>-11.745972756270845</c:v>
                </c:pt>
                <c:pt idx="418">
                  <c:v>-12.216897730441929</c:v>
                </c:pt>
                <c:pt idx="419">
                  <c:v>-12.686481627635459</c:v>
                </c:pt>
                <c:pt idx="420">
                  <c:v>-13.15472832929396</c:v>
                </c:pt>
                <c:pt idx="421">
                  <c:v>-13.631960827594384</c:v>
                </c:pt>
                <c:pt idx="422">
                  <c:v>-14.107804675982038</c:v>
                </c:pt>
                <c:pt idx="423">
                  <c:v>-14.582264210760968</c:v>
                </c:pt>
                <c:pt idx="424">
                  <c:v>-15.055343829212774</c:v>
                </c:pt>
                <c:pt idx="425">
                  <c:v>-15.538637580935529</c:v>
                </c:pt>
                <c:pt idx="426">
                  <c:v>-16.020492206682434</c:v>
                </c:pt>
                <c:pt idx="427">
                  <c:v>-16.500912624322723</c:v>
                </c:pt>
                <c:pt idx="428">
                  <c:v>-16.979903811426965</c:v>
                </c:pt>
                <c:pt idx="429">
                  <c:v>-17.468464238127183</c:v>
                </c:pt>
                <c:pt idx="430">
                  <c:v>-17.955539496619195</c:v>
                </c:pt>
                <c:pt idx="431">
                  <c:v>-18.441135098973007</c:v>
                </c:pt>
                <c:pt idx="432">
                  <c:v>-18.925256614833899</c:v>
                </c:pt>
                <c:pt idx="433">
                  <c:v>-19.418769483196314</c:v>
                </c:pt>
                <c:pt idx="434">
                  <c:v>-19.91075303317146</c:v>
                </c:pt>
                <c:pt idx="435">
                  <c:v>-20.401213394044618</c:v>
                </c:pt>
                <c:pt idx="436">
                  <c:v>-20.890156749939706</c:v>
                </c:pt>
                <c:pt idx="437">
                  <c:v>-21.389208433137554</c:v>
                </c:pt>
                <c:pt idx="438">
                  <c:v>-21.88668309772865</c:v>
                </c:pt>
                <c:pt idx="439">
                  <c:v>-22.382587547461213</c:v>
                </c:pt>
                <c:pt idx="440">
                  <c:v>-22.876928637936459</c:v>
                </c:pt>
                <c:pt idx="441">
                  <c:v>-23.381185702494832</c:v>
                </c:pt>
                <c:pt idx="442">
                  <c:v>-23.883820330842951</c:v>
                </c:pt>
                <c:pt idx="443">
                  <c:v>-24.384840025004138</c:v>
                </c:pt>
                <c:pt idx="444">
                  <c:v>-24.884252335187909</c:v>
                </c:pt>
                <c:pt idx="445">
                  <c:v>-25.393389943468463</c:v>
                </c:pt>
                <c:pt idx="446">
                  <c:v>-25.900862199983493</c:v>
                </c:pt>
                <c:pt idx="447">
                  <c:v>-26.406677325969127</c:v>
                </c:pt>
                <c:pt idx="448">
                  <c:v>-26.910843586516449</c:v>
                </c:pt>
                <c:pt idx="449">
                  <c:v>-27.425406376197429</c:v>
                </c:pt>
                <c:pt idx="450">
                  <c:v>-27.938257900979863</c:v>
                </c:pt>
                <c:pt idx="451">
                  <c:v>-28.44940716449716</c:v>
                </c:pt>
                <c:pt idx="452">
                  <c:v>-28.958863209514362</c:v>
                </c:pt>
                <c:pt idx="453">
                  <c:v>-29.478088401671044</c:v>
                </c:pt>
                <c:pt idx="454">
                  <c:v>-29.995562238989862</c:v>
                </c:pt>
                <c:pt idx="455">
                  <c:v>-30.511294504175737</c:v>
                </c:pt>
                <c:pt idx="456">
                  <c:v>-31.02529501353095</c:v>
                </c:pt>
                <c:pt idx="457">
                  <c:v>-31.549709963456735</c:v>
                </c:pt>
                <c:pt idx="458">
                  <c:v>-32.072330905804932</c:v>
                </c:pt>
                <c:pt idx="459">
                  <c:v>-32.593168467836676</c:v>
                </c:pt>
                <c:pt idx="460">
                  <c:v>-33.112233304433516</c:v>
                </c:pt>
                <c:pt idx="461">
                  <c:v>-33.641507115939476</c:v>
                </c:pt>
                <c:pt idx="462">
                  <c:v>-34.168947707637386</c:v>
                </c:pt>
                <c:pt idx="463">
                  <c:v>-34.694566568399864</c:v>
                </c:pt>
                <c:pt idx="464">
                  <c:v>-35.218375208078868</c:v>
                </c:pt>
                <c:pt idx="465">
                  <c:v>-35.752598284375637</c:v>
                </c:pt>
                <c:pt idx="466">
                  <c:v>-36.284949743027994</c:v>
                </c:pt>
                <c:pt idx="467">
                  <c:v>-36.81544197651985</c:v>
                </c:pt>
                <c:pt idx="468">
                  <c:v>-37.344087391112822</c:v>
                </c:pt>
                <c:pt idx="469">
                  <c:v>-37.882941391569318</c:v>
                </c:pt>
                <c:pt idx="470">
                  <c:v>-38.419889311648404</c:v>
                </c:pt>
                <c:pt idx="471">
                  <c:v>-38.954944460539338</c:v>
                </c:pt>
                <c:pt idx="472">
                  <c:v>-39.488120153431453</c:v>
                </c:pt>
                <c:pt idx="473">
                  <c:v>-40.032094994324069</c:v>
                </c:pt>
                <c:pt idx="474">
                  <c:v>-40.574127803402945</c:v>
                </c:pt>
                <c:pt idx="475">
                  <c:v>-41.114232878753967</c:v>
                </c:pt>
                <c:pt idx="476">
                  <c:v>-41.652424516174392</c:v>
                </c:pt>
                <c:pt idx="477">
                  <c:v>-42.201202737750833</c:v>
                </c:pt>
                <c:pt idx="478">
                  <c:v>-42.748007497887016</c:v>
                </c:pt>
                <c:pt idx="479">
                  <c:v>-43.292854095640479</c:v>
                </c:pt>
                <c:pt idx="480">
                  <c:v>-43.835757818992533</c:v>
                </c:pt>
                <c:pt idx="481">
                  <c:v>-44.38904153537851</c:v>
                </c:pt>
                <c:pt idx="482">
                  <c:v>-44.940325110340467</c:v>
                </c:pt>
                <c:pt idx="483">
                  <c:v>-45.489624852764592</c:v>
                </c:pt>
                <c:pt idx="484">
                  <c:v>-46.036957051283594</c:v>
                </c:pt>
                <c:pt idx="485">
                  <c:v>-46.594848292344921</c:v>
                </c:pt>
                <c:pt idx="486">
                  <c:v>-47.150714930911676</c:v>
                </c:pt>
                <c:pt idx="487">
                  <c:v>-47.70457432710063</c:v>
                </c:pt>
                <c:pt idx="488">
                  <c:v>-48.256443811254115</c:v>
                </c:pt>
                <c:pt idx="489">
                  <c:v>-48.819418460367842</c:v>
                </c:pt>
                <c:pt idx="490">
                  <c:v>-49.380343907586393</c:v>
                </c:pt>
                <c:pt idx="491">
                  <c:v>-49.939238643941678</c:v>
                </c:pt>
                <c:pt idx="492">
                  <c:v>-50.496121120778895</c:v>
                </c:pt>
                <c:pt idx="493">
                  <c:v>-51.063899122930366</c:v>
                </c:pt>
                <c:pt idx="494">
                  <c:v>-51.629609076184323</c:v>
                </c:pt>
                <c:pt idx="495">
                  <c:v>-52.193270611527794</c:v>
                </c:pt>
                <c:pt idx="496">
                  <c:v>-52.754903310219589</c:v>
                </c:pt>
                <c:pt idx="497">
                  <c:v>-53.327593415088302</c:v>
                </c:pt>
                <c:pt idx="498">
                  <c:v>-53.898199987507184</c:v>
                </c:pt>
                <c:pt idx="499">
                  <c:v>-54.466743845108994</c:v>
                </c:pt>
                <c:pt idx="500">
                  <c:v>-55.033245745648202</c:v>
                </c:pt>
                <c:pt idx="501">
                  <c:v>-55.610963068847553</c:v>
                </c:pt>
                <c:pt idx="502">
                  <c:v>-56.186585171516356</c:v>
                </c:pt>
                <c:pt idx="503">
                  <c:v>-56.760134107233654</c:v>
                </c:pt>
                <c:pt idx="504">
                  <c:v>-57.331631859552516</c:v>
                </c:pt>
                <c:pt idx="505">
                  <c:v>-57.914147617558228</c:v>
                </c:pt>
                <c:pt idx="506">
                  <c:v>-58.49456325924001</c:v>
                </c:pt>
                <c:pt idx="507">
                  <c:v>-59.07290208429211</c:v>
                </c:pt>
                <c:pt idx="508">
                  <c:v>-59.649187312569211</c:v>
                </c:pt>
                <c:pt idx="509">
                  <c:v>-60.236651614216868</c:v>
                </c:pt>
                <c:pt idx="510">
                  <c:v>-60.822015487881856</c:v>
                </c:pt>
                <c:pt idx="511">
                  <c:v>-61.405303533292141</c:v>
                </c:pt>
                <c:pt idx="512">
                  <c:v>-61.986540260857652</c:v>
                </c:pt>
                <c:pt idx="513">
                  <c:v>-62.579459178843962</c:v>
                </c:pt>
                <c:pt idx="514">
                  <c:v>-63.170280043673273</c:v>
                </c:pt>
                <c:pt idx="515">
                  <c:v>-63.75902885891972</c:v>
                </c:pt>
                <c:pt idx="516">
                  <c:v>-64.345731529643444</c:v>
                </c:pt>
                <c:pt idx="517">
                  <c:v>-64.943932279307177</c:v>
                </c:pt>
                <c:pt idx="518">
                  <c:v>-65.540045553928366</c:v>
                </c:pt>
                <c:pt idx="519">
                  <c:v>-66.134098781625994</c:v>
                </c:pt>
                <c:pt idx="520">
                  <c:v>-66.726119283732658</c:v>
                </c:pt>
                <c:pt idx="521">
                  <c:v>-67.32980090327834</c:v>
                </c:pt>
                <c:pt idx="522">
                  <c:v>-67.931411903072274</c:v>
                </c:pt>
                <c:pt idx="523">
                  <c:v>-68.530981207449571</c:v>
                </c:pt>
                <c:pt idx="524">
                  <c:v>-69.128537626625928</c:v>
                </c:pt>
                <c:pt idx="525">
                  <c:v>-69.737921700826206</c:v>
                </c:pt>
                <c:pt idx="526">
                  <c:v>-70.345258952261901</c:v>
                </c:pt>
                <c:pt idx="527">
                  <c:v>-70.950579881622986</c:v>
                </c:pt>
                <c:pt idx="528">
                  <c:v>-71.553914869340332</c:v>
                </c:pt>
                <c:pt idx="529">
                  <c:v>-72.169249168090772</c:v>
                </c:pt>
                <c:pt idx="530">
                  <c:v>-72.782568111146134</c:v>
                </c:pt>
                <c:pt idx="531">
                  <c:v>-73.393903865774377</c:v>
                </c:pt>
                <c:pt idx="532">
                  <c:v>-74.00328847432246</c:v>
                </c:pt>
                <c:pt idx="533">
                  <c:v>-74.62517130341206</c:v>
                </c:pt>
                <c:pt idx="534">
                  <c:v>-75.245076692811637</c:v>
                </c:pt>
                <c:pt idx="535">
                  <c:v>-75.863038631010141</c:v>
                </c:pt>
                <c:pt idx="536">
                  <c:v>-76.479090978446493</c:v>
                </c:pt>
                <c:pt idx="537">
                  <c:v>-77.107190106854546</c:v>
                </c:pt>
                <c:pt idx="538">
                  <c:v>-77.733363186006784</c:v>
                </c:pt>
                <c:pt idx="539">
                  <c:v>-78.357646036571452</c:v>
                </c:pt>
                <c:pt idx="540">
                  <c:v>-78.980074350703035</c:v>
                </c:pt>
                <c:pt idx="541">
                  <c:v>-79.615378677699425</c:v>
                </c:pt>
                <c:pt idx="542">
                  <c:v>-80.248814768409147</c:v>
                </c:pt>
                <c:pt idx="543">
                  <c:v>-80.880420516938159</c:v>
                </c:pt>
                <c:pt idx="544">
                  <c:v>-81.510233690413486</c:v>
                </c:pt>
                <c:pt idx="545">
                  <c:v>-82.152819852936375</c:v>
                </c:pt>
                <c:pt idx="546">
                  <c:v>-82.793609030789185</c:v>
                </c:pt>
                <c:pt idx="547">
                  <c:v>-83.432641288873242</c:v>
                </c:pt>
                <c:pt idx="548">
                  <c:v>-84.069956569821386</c:v>
                </c:pt>
                <c:pt idx="549">
                  <c:v>-84.720272013363513</c:v>
                </c:pt>
                <c:pt idx="550">
                  <c:v>-85.368874379983424</c:v>
                </c:pt>
                <c:pt idx="551">
                  <c:v>-86.015806079097786</c:v>
                </c:pt>
                <c:pt idx="552">
                  <c:v>-86.661109405891636</c:v>
                </c:pt>
                <c:pt idx="553">
                  <c:v>-87.319961195946121</c:v>
                </c:pt>
                <c:pt idx="554">
                  <c:v>-87.977196364239376</c:v>
                </c:pt>
                <c:pt idx="555">
                  <c:v>-88.632859925499019</c:v>
                </c:pt>
                <c:pt idx="556">
                  <c:v>-89.286996791811305</c:v>
                </c:pt>
                <c:pt idx="557">
                  <c:v>-90.621388980213908</c:v>
                </c:pt>
                <c:pt idx="558">
                  <c:v>-91.949955378680386</c:v>
                </c:pt>
                <c:pt idx="559">
                  <c:v>-93.303344736923805</c:v>
                </c:pt>
                <c:pt idx="560">
                  <c:v>-94.651445079160908</c:v>
                </c:pt>
                <c:pt idx="561">
                  <c:v>-96.026475723714896</c:v>
                </c:pt>
                <c:pt idx="562">
                  <c:v>-97.396824282496254</c:v>
                </c:pt>
                <c:pt idx="563">
                  <c:v>-98.792197252973097</c:v>
                </c:pt>
                <c:pt idx="564">
                  <c:v>-100.18360075200189</c:v>
                </c:pt>
                <c:pt idx="565">
                  <c:v>-101.60644478582486</c:v>
                </c:pt>
                <c:pt idx="566">
                  <c:v>-103.02610084564475</c:v>
                </c:pt>
                <c:pt idx="567">
                  <c:v>-104.47788134019055</c:v>
                </c:pt>
                <c:pt idx="568">
                  <c:v>-105.92737555048558</c:v>
                </c:pt>
                <c:pt idx="569">
                  <c:v>-107.40406219864622</c:v>
                </c:pt>
                <c:pt idx="570">
                  <c:v>-108.87950204170704</c:v>
                </c:pt>
                <c:pt idx="571">
                  <c:v>-110.39474860317335</c:v>
                </c:pt>
                <c:pt idx="572">
                  <c:v>-111.90990891720855</c:v>
                </c:pt>
                <c:pt idx="573">
                  <c:v>-113.45454439744373</c:v>
                </c:pt>
                <c:pt idx="574">
                  <c:v>-115.00040645682566</c:v>
                </c:pt>
                <c:pt idx="575">
                  <c:v>-116.58877274733493</c:v>
                </c:pt>
                <c:pt idx="576">
                  <c:v>-118.17985951480966</c:v>
                </c:pt>
                <c:pt idx="577">
                  <c:v>-124.96279145742255</c:v>
                </c:pt>
                <c:pt idx="578">
                  <c:v>-131.8632472389063</c:v>
                </c:pt>
                <c:pt idx="579">
                  <c:v>-147.66473971795165</c:v>
                </c:pt>
                <c:pt idx="580">
                  <c:v>-166.56823684530895</c:v>
                </c:pt>
                <c:pt idx="581">
                  <c:v>-189.4005293756536</c:v>
                </c:pt>
                <c:pt idx="582">
                  <c:v>-35.685889814297099</c:v>
                </c:pt>
                <c:pt idx="583">
                  <c:v>-62.568962212649865</c:v>
                </c:pt>
                <c:pt idx="584">
                  <c:v>-87.03752283901207</c:v>
                </c:pt>
                <c:pt idx="585">
                  <c:v>-108.53994408495589</c:v>
                </c:pt>
                <c:pt idx="586">
                  <c:v>-128.60175465872265</c:v>
                </c:pt>
                <c:pt idx="587">
                  <c:v>-149.96555044635659</c:v>
                </c:pt>
                <c:pt idx="588">
                  <c:v>-177.29652776974945</c:v>
                </c:pt>
                <c:pt idx="589">
                  <c:v>-217.31633796956328</c:v>
                </c:pt>
                <c:pt idx="590">
                  <c:v>-84.042814582778419</c:v>
                </c:pt>
                <c:pt idx="591">
                  <c:v>-120.51663847484343</c:v>
                </c:pt>
                <c:pt idx="592">
                  <c:v>-151.44942030437574</c:v>
                </c:pt>
                <c:pt idx="593">
                  <c:v>-192.88084358021905</c:v>
                </c:pt>
                <c:pt idx="594">
                  <c:v>-78.535201127302344</c:v>
                </c:pt>
                <c:pt idx="595">
                  <c:v>-129.73858495848384</c:v>
                </c:pt>
                <c:pt idx="596">
                  <c:v>-175.27845048663062</c:v>
                </c:pt>
                <c:pt idx="597">
                  <c:v>-76.123790275811871</c:v>
                </c:pt>
                <c:pt idx="598">
                  <c:v>-139.81404330126577</c:v>
                </c:pt>
                <c:pt idx="599">
                  <c:v>-212.97289523120071</c:v>
                </c:pt>
                <c:pt idx="600">
                  <c:v>-126.20869815882321</c:v>
                </c:pt>
              </c:numCache>
            </c:numRef>
          </c:yVal>
          <c:smooth val="0"/>
          <c:extLst>
            <c:ext xmlns:c16="http://schemas.microsoft.com/office/drawing/2014/chart" uri="{C3380CC4-5D6E-409C-BE32-E72D297353CC}">
              <c16:uniqueId val="{00000001-09BC-4E96-93F9-6DC345568360}"/>
            </c:ext>
          </c:extLst>
        </c:ser>
        <c:ser>
          <c:idx val="2"/>
          <c:order val="2"/>
          <c:tx>
            <c:v>PM (Deg) =</c:v>
          </c:tx>
          <c:marker>
            <c:symbol val="circle"/>
            <c:size val="5"/>
            <c:spPr>
              <a:solidFill>
                <a:schemeClr val="bg1"/>
              </a:solidFill>
              <a:ln>
                <a:solidFill>
                  <a:srgbClr val="FF0000"/>
                </a:solidFill>
              </a:ln>
            </c:spPr>
          </c:marker>
          <c:dLbls>
            <c:dLbl>
              <c:idx val="0"/>
              <c:layout>
                <c:manualLayout>
                  <c:x val="3.2895277882859918E-2"/>
                  <c:y val="-5.3973971795837287E-2"/>
                </c:manualLayout>
              </c:layout>
              <c:spPr>
                <a:noFill/>
                <a:ln>
                  <a:noFill/>
                </a:ln>
                <a:effectLst/>
              </c:spPr>
              <c:txPr>
                <a:bodyPr wrap="square" lIns="38100" tIns="19050" rIns="38100" bIns="19050" anchor="ctr" anchorCtr="0">
                  <a:noAutofit/>
                </a:bodyPr>
                <a:lstStyle/>
                <a:p>
                  <a:pPr algn="l">
                    <a:defRPr sz="1000" b="1">
                      <a:solidFill>
                        <a:srgbClr val="33CC33"/>
                      </a:solidFill>
                    </a:defRPr>
                  </a:pPr>
                  <a:endParaRPr lang="en-US"/>
                </a:p>
              </c:txPr>
              <c:dLblPos val="r"/>
              <c:showLegendKey val="0"/>
              <c:showVal val="1"/>
              <c:showCatName val="0"/>
              <c:showSerName val="1"/>
              <c:showPercent val="0"/>
              <c:showBubbleSize val="0"/>
              <c:separator> </c:separator>
              <c:extLst>
                <c:ext xmlns:c15="http://schemas.microsoft.com/office/drawing/2012/chart" uri="{CE6537A1-D6FC-4f65-9D91-7224C49458BB}">
                  <c15:layout>
                    <c:manualLayout>
                      <c:w val="0.23551374200233557"/>
                      <c:h val="7.5563560514172207E-2"/>
                    </c:manualLayout>
                  </c15:layout>
                </c:ext>
                <c:ext xmlns:c16="http://schemas.microsoft.com/office/drawing/2014/chart" uri="{C3380CC4-5D6E-409C-BE32-E72D297353CC}">
                  <c16:uniqueId val="{00000006-09BC-4E96-93F9-6DC345568360}"/>
                </c:ext>
              </c:extLst>
            </c:dLbl>
            <c:spPr>
              <a:noFill/>
              <a:ln>
                <a:noFill/>
              </a:ln>
              <a:effectLst/>
            </c:spPr>
            <c:txPr>
              <a:bodyPr wrap="square" lIns="38100" tIns="19050" rIns="38100" bIns="19050" anchor="ctr" anchorCtr="0">
                <a:spAutoFit/>
              </a:bodyPr>
              <a:lstStyle/>
              <a:p>
                <a:pPr algn="l">
                  <a:defRPr sz="1000" b="0">
                    <a:solidFill>
                      <a:srgbClr val="33CC33"/>
                    </a:solidFill>
                  </a:defRPr>
                </a:pPr>
                <a:endParaRPr lang="en-US"/>
              </a:p>
            </c:txPr>
            <c:dLblPos val="r"/>
            <c:showLegendKey val="0"/>
            <c:showVal val="1"/>
            <c:showCatName val="1"/>
            <c:showSerName val="0"/>
            <c:showPercent val="0"/>
            <c:showBubbleSize val="0"/>
            <c:separator>  (space) "deg"</c:separator>
            <c:showLeaderLines val="0"/>
            <c:extLst>
              <c:ext xmlns:c15="http://schemas.microsoft.com/office/drawing/2012/chart" uri="{CE6537A1-D6FC-4f65-9D91-7224C49458BB}">
                <c15:showLeaderLines val="1"/>
              </c:ext>
            </c:extLst>
          </c:dLbls>
          <c:xVal>
            <c:numRef>
              <c:f>'Stability Calculations'!$AL$7</c:f>
              <c:numCache>
                <c:formatCode>0</c:formatCode>
                <c:ptCount val="1"/>
                <c:pt idx="0">
                  <c:v>6606.9</c:v>
                </c:pt>
              </c:numCache>
            </c:numRef>
          </c:xVal>
          <c:yVal>
            <c:numRef>
              <c:f>'Stability Calculations'!$AL$9</c:f>
              <c:numCache>
                <c:formatCode>0.0</c:formatCode>
                <c:ptCount val="1"/>
                <c:pt idx="0">
                  <c:v>70.398338360790149</c:v>
                </c:pt>
              </c:numCache>
            </c:numRef>
          </c:yVal>
          <c:smooth val="0"/>
          <c:extLst>
            <c:ext xmlns:c16="http://schemas.microsoft.com/office/drawing/2014/chart" uri="{C3380CC4-5D6E-409C-BE32-E72D297353CC}">
              <c16:uniqueId val="{00000004-09BC-4E96-93F9-6DC345568360}"/>
            </c:ext>
          </c:extLst>
        </c:ser>
        <c:ser>
          <c:idx val="3"/>
          <c:order val="3"/>
          <c:tx>
            <c:v>Fco (Hz)=</c:v>
          </c:tx>
          <c:marker>
            <c:symbol val="none"/>
          </c:marker>
          <c:dPt>
            <c:idx val="0"/>
            <c:marker>
              <c:symbol val="circle"/>
              <c:size val="5"/>
              <c:spPr>
                <a:solidFill>
                  <a:schemeClr val="bg1"/>
                </a:solidFill>
                <a:ln>
                  <a:solidFill>
                    <a:schemeClr val="tx1"/>
                  </a:solidFill>
                </a:ln>
              </c:spPr>
            </c:marker>
            <c:bubble3D val="0"/>
            <c:extLst>
              <c:ext xmlns:c16="http://schemas.microsoft.com/office/drawing/2014/chart" uri="{C3380CC4-5D6E-409C-BE32-E72D297353CC}">
                <c16:uniqueId val="{00000008-09BC-4E96-93F9-6DC345568360}"/>
              </c:ext>
            </c:extLst>
          </c:dPt>
          <c:dLbls>
            <c:dLbl>
              <c:idx val="0"/>
              <c:layout>
                <c:manualLayout>
                  <c:x val="3.6176644338231929E-2"/>
                  <c:y val="-5.1275211005060661E-2"/>
                </c:manualLayout>
              </c:layout>
              <c:dLblPos val="r"/>
              <c:showLegendKey val="0"/>
              <c:showVal val="0"/>
              <c:showCatName val="1"/>
              <c:showSerName val="1"/>
              <c:showPercent val="0"/>
              <c:showBubbleSize val="0"/>
              <c:separator> </c:separator>
              <c:extLst>
                <c:ext xmlns:c15="http://schemas.microsoft.com/office/drawing/2012/chart" uri="{CE6537A1-D6FC-4f65-9D91-7224C49458BB}">
                  <c15:layout>
                    <c:manualLayout>
                      <c:w val="0.24163848119031853"/>
                      <c:h val="7.3223374089614143E-2"/>
                    </c:manualLayout>
                  </c15:layout>
                </c:ext>
                <c:ext xmlns:c16="http://schemas.microsoft.com/office/drawing/2014/chart" uri="{C3380CC4-5D6E-409C-BE32-E72D297353CC}">
                  <c16:uniqueId val="{00000008-09BC-4E96-93F9-6DC345568360}"/>
                </c:ext>
              </c:extLst>
            </c:dLbl>
            <c:spPr>
              <a:noFill/>
              <a:ln>
                <a:noFill/>
              </a:ln>
              <a:effectLst/>
            </c:spPr>
            <c:txPr>
              <a:bodyPr wrap="square" lIns="38100" tIns="19050" rIns="38100" bIns="19050" anchor="ctr" anchorCtr="0">
                <a:spAutoFit/>
              </a:bodyPr>
              <a:lstStyle/>
              <a:p>
                <a:pPr algn="l">
                  <a:defRPr sz="1000" b="1">
                    <a:solidFill>
                      <a:srgbClr val="33CC33"/>
                    </a:solidFill>
                  </a:defRPr>
                </a:pPr>
                <a:endParaRPr lang="en-US"/>
              </a:p>
            </c:txPr>
            <c:dLblPos val="r"/>
            <c:showLegendKey val="0"/>
            <c:showVal val="1"/>
            <c:showCatName val="1"/>
            <c:showSerName val="0"/>
            <c:showPercent val="0"/>
            <c:showBubbleSize val="0"/>
            <c:showLeaderLines val="0"/>
            <c:extLst>
              <c:ext xmlns:c15="http://schemas.microsoft.com/office/drawing/2012/chart" uri="{CE6537A1-D6FC-4f65-9D91-7224C49458BB}">
                <c15:showLeaderLines val="1"/>
              </c:ext>
            </c:extLst>
          </c:dLbls>
          <c:xVal>
            <c:numRef>
              <c:f>'Stability Calculations'!$AL$7</c:f>
              <c:numCache>
                <c:formatCode>0</c:formatCode>
                <c:ptCount val="1"/>
                <c:pt idx="0">
                  <c:v>6606.9</c:v>
                </c:pt>
              </c:numCache>
            </c:numRef>
          </c:xVal>
          <c:yVal>
            <c:numRef>
              <c:f>'Stability Calculations'!$AL$8</c:f>
              <c:numCache>
                <c:formatCode>General</c:formatCode>
                <c:ptCount val="1"/>
                <c:pt idx="0">
                  <c:v>0</c:v>
                </c:pt>
              </c:numCache>
            </c:numRef>
          </c:yVal>
          <c:smooth val="0"/>
          <c:extLst>
            <c:ext xmlns:c16="http://schemas.microsoft.com/office/drawing/2014/chart" uri="{C3380CC4-5D6E-409C-BE32-E72D297353CC}">
              <c16:uniqueId val="{00000007-09BC-4E96-93F9-6DC345568360}"/>
            </c:ext>
          </c:extLst>
        </c:ser>
        <c:dLbls>
          <c:dLblPos val="r"/>
          <c:showLegendKey val="0"/>
          <c:showVal val="1"/>
          <c:showCatName val="1"/>
          <c:showSerName val="0"/>
          <c:showPercent val="0"/>
          <c:showBubbleSize val="0"/>
        </c:dLbls>
        <c:axId val="446584704"/>
        <c:axId val="446586240"/>
      </c:scatterChart>
      <c:valAx>
        <c:axId val="446572416"/>
        <c:scaling>
          <c:logBase val="10"/>
          <c:orientation val="minMax"/>
          <c:max val="1000000"/>
          <c:min val="100"/>
        </c:scaling>
        <c:delete val="0"/>
        <c:axPos val="b"/>
        <c:majorGridlines>
          <c:spPr>
            <a:ln w="3175">
              <a:solidFill>
                <a:srgbClr val="000000"/>
              </a:solidFill>
              <a:prstDash val="solid"/>
            </a:ln>
          </c:spPr>
        </c:majorGridlines>
        <c:title>
          <c:tx>
            <c:rich>
              <a:bodyPr/>
              <a:lstStyle/>
              <a:p>
                <a:pPr>
                  <a:defRPr sz="1000" b="1"/>
                </a:pPr>
                <a:r>
                  <a:rPr lang="en-US" sz="1000" b="1"/>
                  <a:t>Frequency (Hz)</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sz="1000" b="1">
                    <a:solidFill>
                      <a:srgbClr val="FF0000"/>
                    </a:solidFill>
                  </a:defRPr>
                </a:pPr>
                <a:r>
                  <a:rPr lang="en-US" sz="1000" b="1">
                    <a:solidFill>
                      <a:srgbClr val="FF0000"/>
                    </a:solidFill>
                  </a:rPr>
                  <a:t>Gain (dB)</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000" b="1" i="0" u="none" strike="noStrike" baseline="0">
                    <a:solidFill>
                      <a:srgbClr val="0000FF"/>
                    </a:solidFill>
                    <a:latin typeface="Arial"/>
                    <a:ea typeface="Arial"/>
                    <a:cs typeface="Arial"/>
                  </a:defRPr>
                </a:pPr>
                <a:r>
                  <a:rPr lang="en-US" sz="1000"/>
                  <a:t>Phase (°)</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no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258.2196010398435</c:v>
                </c:pt>
                <c:pt idx="27">
                  <c:v>239.45884010623024</c:v>
                </c:pt>
                <c:pt idx="28">
                  <c:v>231.20562676783018</c:v>
                </c:pt>
                <c:pt idx="29">
                  <c:v>223.4958235677768</c:v>
                </c:pt>
                <c:pt idx="30">
                  <c:v>216.27747184701227</c:v>
                </c:pt>
                <c:pt idx="31">
                  <c:v>209.50503244165651</c:v>
                </c:pt>
                <c:pt idx="32">
                  <c:v>203.13842397705807</c:v>
                </c:pt>
                <c:pt idx="33">
                  <c:v>197.14222902040734</c:v>
                </c:pt>
                <c:pt idx="34">
                  <c:v>191.48503487665079</c:v>
                </c:pt>
                <c:pt idx="35">
                  <c:v>186.13888311739035</c:v>
                </c:pt>
                <c:pt idx="36">
                  <c:v>181.07880747838567</c:v>
                </c:pt>
                <c:pt idx="37">
                  <c:v>176.28244400654938</c:v>
                </c:pt>
                <c:pt idx="38">
                  <c:v>171.72970061227034</c:v>
                </c:pt>
                <c:pt idx="39">
                  <c:v>167.40247572783704</c:v>
                </c:pt>
                <c:pt idx="40">
                  <c:v>163.28441776409446</c:v>
                </c:pt>
                <c:pt idx="41">
                  <c:v>159.36071862589358</c:v>
                </c:pt>
                <c:pt idx="42">
                  <c:v>155.61793578988585</c:v>
                </c:pt>
                <c:pt idx="43">
                  <c:v>152.04383843910938</c:v>
                </c:pt>
                <c:pt idx="44">
                  <c:v>148.62727394317261</c:v>
                </c:pt>
                <c:pt idx="45">
                  <c:v>145.35805161303773</c:v>
                </c:pt>
                <c:pt idx="46">
                  <c:v>142.22684117798744</c:v>
                </c:pt>
                <c:pt idx="47">
                  <c:v>139.22508385445613</c:v>
                </c:pt>
                <c:pt idx="48">
                  <c:v>136.34491422157009</c:v>
                </c:pt>
                <c:pt idx="49">
                  <c:v>133.57909140173697</c:v>
                </c:pt>
                <c:pt idx="50">
                  <c:v>130.9209382784548</c:v>
                </c:pt>
                <c:pt idx="51">
                  <c:v>128.36428767716728</c:v>
                </c:pt>
                <c:pt idx="52">
                  <c:v>125.90343459598554</c:v>
                </c:pt>
                <c:pt idx="53">
                  <c:v>123.53309370745285</c:v>
                </c:pt>
                <c:pt idx="54">
                  <c:v>121.24836146504019</c:v>
                </c:pt>
                <c:pt idx="55">
                  <c:v>119.04468224261647</c:v>
                </c:pt>
                <c:pt idx="56">
                  <c:v>116.91781801485722</c:v>
                </c:pt>
                <c:pt idx="57">
                  <c:v>114.86382115398571</c:v>
                </c:pt>
                <c:pt idx="58">
                  <c:v>112.87900997545144</c:v>
                </c:pt>
                <c:pt idx="59">
                  <c:v>110.9599467138311</c:v>
                </c:pt>
                <c:pt idx="60">
                  <c:v>109.10341765177979</c:v>
                </c:pt>
                <c:pt idx="61">
                  <c:v>107.30641516041035</c:v>
                </c:pt>
                <c:pt idx="62">
                  <c:v>105.56612143997826</c:v>
                </c:pt>
                <c:pt idx="63">
                  <c:v>103.87989377598535</c:v>
                </c:pt>
                <c:pt idx="64">
                  <c:v>102.24525114844153</c:v>
                </c:pt>
                <c:pt idx="65">
                  <c:v>100.65986205157958</c:v>
                </c:pt>
                <c:pt idx="66">
                  <c:v>99.12153339826223</c:v>
                </c:pt>
                <c:pt idx="67">
                  <c:v>97.628200398035304</c:v>
                </c:pt>
                <c:pt idx="68">
                  <c:v>96.177917310587006</c:v>
                </c:pt>
                <c:pt idx="69">
                  <c:v>94.768848987537723</c:v>
                </c:pt>
                <c:pt idx="70">
                  <c:v>93.399263125248538</c:v>
                </c:pt>
                <c:pt idx="71">
                  <c:v>92.067523159879329</c:v>
                </c:pt>
                <c:pt idx="72">
                  <c:v>90.772081743426014</c:v>
                </c:pt>
                <c:pt idx="73">
                  <c:v>89.511474746057246</c:v>
                </c:pt>
                <c:pt idx="74">
                  <c:v>88.28431573587396</c:v>
                </c:pt>
                <c:pt idx="75">
                  <c:v>87.089290892334418</c:v>
                </c:pt>
                <c:pt idx="76">
                  <c:v>85.92515431411266</c:v>
                </c:pt>
                <c:pt idx="77">
                  <c:v>84.790723686161272</c:v>
                </c:pt>
                <c:pt idx="78">
                  <c:v>83.684876274301445</c:v>
                </c:pt>
                <c:pt idx="79">
                  <c:v>82.606545218815256</c:v>
                </c:pt>
                <c:pt idx="80">
                  <c:v>81.554716101319855</c:v>
                </c:pt>
                <c:pt idx="81">
                  <c:v>80.52842376170085</c:v>
                </c:pt>
                <c:pt idx="82">
                  <c:v>79.526749344110556</c:v>
                </c:pt>
                <c:pt idx="83">
                  <c:v>78.548817553027348</c:v>
                </c:pt>
                <c:pt idx="84">
                  <c:v>77.593794102153325</c:v>
                </c:pt>
                <c:pt idx="85">
                  <c:v>76.660883340521622</c:v>
                </c:pt>
                <c:pt idx="86">
                  <c:v>75.749326041617437</c:v>
                </c:pt>
                <c:pt idx="87">
                  <c:v>74.858397342599773</c:v>
                </c:pt>
                <c:pt idx="88">
                  <c:v>73.987404821868935</c:v>
                </c:pt>
                <c:pt idx="89">
                  <c:v>73.135686704263279</c:v>
                </c:pt>
                <c:pt idx="90">
                  <c:v>72.302610184108417</c:v>
                </c:pt>
                <c:pt idx="91">
                  <c:v>71.487569857188475</c:v>
                </c:pt>
                <c:pt idx="92">
                  <c:v>70.68998625347335</c:v>
                </c:pt>
                <c:pt idx="93">
                  <c:v>69.90930446312926</c:v>
                </c:pt>
                <c:pt idx="94">
                  <c:v>69.14499284896587</c:v>
                </c:pt>
                <c:pt idx="95">
                  <c:v>68.396541839041888</c:v>
                </c:pt>
                <c:pt idx="96">
                  <c:v>67.663462793667009</c:v>
                </c:pt>
                <c:pt idx="97">
                  <c:v>66.94528694150614</c:v>
                </c:pt>
                <c:pt idx="98">
                  <c:v>66.241564379918671</c:v>
                </c:pt>
                <c:pt idx="99">
                  <c:v>65.551863135052812</c:v>
                </c:pt>
                <c:pt idx="100">
                  <c:v>64.875768277569478</c:v>
                </c:pt>
              </c:numCache>
            </c:numRef>
          </c:val>
          <c:smooth val="0"/>
          <c:extLst>
            <c:ext xmlns:c16="http://schemas.microsoft.com/office/drawing/2014/chart" uri="{C3380CC4-5D6E-409C-BE32-E72D297353CC}">
              <c16:uniqueId val="{00000000-3709-4335-91FB-31DC56900586}"/>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344.36873969740566</c:v>
                </c:pt>
                <c:pt idx="53">
                  <c:v>338.29607401990762</c:v>
                </c:pt>
                <c:pt idx="54">
                  <c:v>332.42626905639486</c:v>
                </c:pt>
                <c:pt idx="55">
                  <c:v>326.75570900335708</c:v>
                </c:pt>
                <c:pt idx="56">
                  <c:v>321.28109289534132</c:v>
                </c:pt>
                <c:pt idx="57">
                  <c:v>315.98102551345164</c:v>
                </c:pt>
                <c:pt idx="58">
                  <c:v>310.85543918067174</c:v>
                </c:pt>
                <c:pt idx="59">
                  <c:v>305.89293459924642</c:v>
                </c:pt>
                <c:pt idx="60">
                  <c:v>301.08585036616677</c:v>
                </c:pt>
                <c:pt idx="61">
                  <c:v>296.4269975783609</c:v>
                </c:pt>
                <c:pt idx="62">
                  <c:v>291.90962396031046</c:v>
                </c:pt>
                <c:pt idx="63">
                  <c:v>287.52738121091988</c:v>
                </c:pt>
                <c:pt idx="64">
                  <c:v>283.27429523755416</c:v>
                </c:pt>
                <c:pt idx="65">
                  <c:v>279.14473898374041</c:v>
                </c:pt>
                <c:pt idx="66">
                  <c:v>275.13340759064539</c:v>
                </c:pt>
                <c:pt idx="67">
                  <c:v>271.23529566177211</c:v>
                </c:pt>
                <c:pt idx="68">
                  <c:v>267.44567642600094</c:v>
                </c:pt>
                <c:pt idx="69">
                  <c:v>263.76008261658166</c:v>
                </c:pt>
                <c:pt idx="70">
                  <c:v>260.17428890345082</c:v>
                </c:pt>
                <c:pt idx="71">
                  <c:v>256.68429573361931</c:v>
                </c:pt>
                <c:pt idx="72">
                  <c:v>253.28631444970108</c:v>
                </c:pt>
                <c:pt idx="73">
                  <c:v>249.97675357017135</c:v>
                </c:pt>
                <c:pt idx="74">
                  <c:v>246.75220612690856</c:v>
                </c:pt>
                <c:pt idx="75">
                  <c:v>243.6094379661686</c:v>
                </c:pt>
                <c:pt idx="76">
                  <c:v>240.54537692854052</c:v>
                </c:pt>
                <c:pt idx="77">
                  <c:v>237.5571028317911</c:v>
                </c:pt>
                <c:pt idx="78">
                  <c:v>234.6418381879383</c:v>
                </c:pt>
                <c:pt idx="79">
                  <c:v>231.79693959252691</c:v>
                </c:pt>
                <c:pt idx="80">
                  <c:v>229.01988972999368</c:v>
                </c:pt>
                <c:pt idx="81">
                  <c:v>226.30828994430081</c:v>
                </c:pt>
                <c:pt idx="82">
                  <c:v>223.65985332875286</c:v>
                </c:pt>
                <c:pt idx="83">
                  <c:v>221.07239829315313</c:v>
                </c:pt>
                <c:pt idx="84">
                  <c:v>218.54384257027098</c:v>
                </c:pt>
                <c:pt idx="85">
                  <c:v>216.07219762701106</c:v>
                </c:pt>
                <c:pt idx="86">
                  <c:v>213.65556344875688</c:v>
                </c:pt>
                <c:pt idx="87">
                  <c:v>211.29212366814147</c:v>
                </c:pt>
                <c:pt idx="88">
                  <c:v>208.98014101199502</c:v>
                </c:pt>
                <c:pt idx="89">
                  <c:v>206.71795304248641</c:v>
                </c:pt>
                <c:pt idx="90">
                  <c:v>204.50396817051643</c:v>
                </c:pt>
                <c:pt idx="91">
                  <c:v>202.33666192127237</c:v>
                </c:pt>
                <c:pt idx="92">
                  <c:v>200.21457343353055</c:v>
                </c:pt>
                <c:pt idx="93">
                  <c:v>198.1363021758128</c:v>
                </c:pt>
                <c:pt idx="94">
                  <c:v>196.10050486388536</c:v>
                </c:pt>
                <c:pt idx="95">
                  <c:v>194.10589256534425</c:v>
                </c:pt>
                <c:pt idx="96">
                  <c:v>192.15122797817111</c:v>
                </c:pt>
                <c:pt idx="97">
                  <c:v>190.2353228711859</c:v>
                </c:pt>
                <c:pt idx="98">
                  <c:v>188.35703567527082</c:v>
                </c:pt>
                <c:pt idx="99">
                  <c:v>186.51526921510452</c:v>
                </c:pt>
                <c:pt idx="100">
                  <c:v>184.70896857193537</c:v>
                </c:pt>
              </c:numCache>
            </c:numRef>
          </c:val>
          <c:smooth val="0"/>
          <c:extLst>
            <c:ext xmlns:c16="http://schemas.microsoft.com/office/drawing/2014/chart" uri="{C3380CC4-5D6E-409C-BE32-E72D297353CC}">
              <c16:uniqueId val="{00000001-3709-4335-91FB-31DC56900586}"/>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347.20377857196343</c:v>
                </c:pt>
                <c:pt idx="70">
                  <c:v>342.58031381416623</c:v>
                </c:pt>
                <c:pt idx="71">
                  <c:v>338.07527893240172</c:v>
                </c:pt>
                <c:pt idx="72">
                  <c:v>333.68666179247055</c:v>
                </c:pt>
                <c:pt idx="73">
                  <c:v>329.41032393380175</c:v>
                </c:pt>
                <c:pt idx="74">
                  <c:v>325.24481410662332</c:v>
                </c:pt>
                <c:pt idx="75">
                  <c:v>321.17851239443689</c:v>
                </c:pt>
                <c:pt idx="76">
                  <c:v>317.21409301181461</c:v>
                </c:pt>
                <c:pt idx="77">
                  <c:v>313.34673965567941</c:v>
                </c:pt>
                <c:pt idx="78">
                  <c:v>309.57239923992148</c:v>
                </c:pt>
                <c:pt idx="79">
                  <c:v>305.88775605725073</c:v>
                </c:pt>
                <c:pt idx="80">
                  <c:v>302.28965014662407</c:v>
                </c:pt>
                <c:pt idx="81">
                  <c:v>298.7750682546951</c:v>
                </c:pt>
                <c:pt idx="82">
                  <c:v>295.3411354194921</c:v>
                </c:pt>
                <c:pt idx="83">
                  <c:v>291.98510712691638</c:v>
                </c:pt>
                <c:pt idx="84">
                  <c:v>288.70436199508663</c:v>
                </c:pt>
                <c:pt idx="85">
                  <c:v>285.49639494554714</c:v>
                </c:pt>
                <c:pt idx="86">
                  <c:v>282.35881082395071</c:v>
                </c:pt>
                <c:pt idx="87">
                  <c:v>279.28931843607796</c:v>
                </c:pt>
                <c:pt idx="88">
                  <c:v>276.28572496798228</c:v>
                </c:pt>
                <c:pt idx="89">
                  <c:v>273.34593076170285</c:v>
                </c:pt>
                <c:pt idx="90">
                  <c:v>270.46792442038964</c:v>
                </c:pt>
                <c:pt idx="91">
                  <c:v>267.64977821885981</c:v>
                </c:pt>
                <c:pt idx="92">
                  <c:v>264.88964379757925</c:v>
                </c:pt>
                <c:pt idx="93">
                  <c:v>262.18574811985729</c:v>
                </c:pt>
                <c:pt idx="94">
                  <c:v>259.53638967367283</c:v>
                </c:pt>
                <c:pt idx="95">
                  <c:v>256.93993490103384</c:v>
                </c:pt>
                <c:pt idx="96">
                  <c:v>254.39481483912729</c:v>
                </c:pt>
                <c:pt idx="97">
                  <c:v>251.89952195874326</c:v>
                </c:pt>
                <c:pt idx="98">
                  <c:v>249.45260718659082</c:v>
                </c:pt>
                <c:pt idx="99">
                  <c:v>247.05267709914352</c:v>
                </c:pt>
                <c:pt idx="100">
                  <c:v>244.69839127659893</c:v>
                </c:pt>
              </c:numCache>
            </c:numRef>
          </c:val>
          <c:smooth val="0"/>
          <c:extLst>
            <c:ext xmlns:c16="http://schemas.microsoft.com/office/drawing/2014/chart" uri="{C3380CC4-5D6E-409C-BE32-E72D297353CC}">
              <c16:uniqueId val="{00000002-3709-4335-91FB-31DC56900586}"/>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709-4335-91FB-31DC56900586}"/>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709-4335-91FB-31DC56900586}"/>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709-4335-91FB-31DC56900586}"/>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1.1111121359242613E-2</c:v>
                </c:pt>
                <c:pt idx="1">
                  <c:v>1.1143613316617916E-2</c:v>
                </c:pt>
                <c:pt idx="2">
                  <c:v>1.8450684568183242E-2</c:v>
                </c:pt>
                <c:pt idx="3">
                  <c:v>2.7676026852274861E-2</c:v>
                </c:pt>
                <c:pt idx="4">
                  <c:v>3.6901369136366484E-2</c:v>
                </c:pt>
                <c:pt idx="5">
                  <c:v>4.61267114204581E-2</c:v>
                </c:pt>
                <c:pt idx="6">
                  <c:v>5.5352053704549722E-2</c:v>
                </c:pt>
                <c:pt idx="7">
                  <c:v>6.4577395988641345E-2</c:v>
                </c:pt>
                <c:pt idx="8">
                  <c:v>7.3802738272732968E-2</c:v>
                </c:pt>
                <c:pt idx="9">
                  <c:v>8.3028080556824577E-2</c:v>
                </c:pt>
                <c:pt idx="10">
                  <c:v>9.2253422840916199E-2</c:v>
                </c:pt>
                <c:pt idx="11">
                  <c:v>0.10147876512500781</c:v>
                </c:pt>
                <c:pt idx="12">
                  <c:v>0.11070410740909944</c:v>
                </c:pt>
                <c:pt idx="13">
                  <c:v>0.11992944969319107</c:v>
                </c:pt>
                <c:pt idx="14">
                  <c:v>0.12915479197728269</c:v>
                </c:pt>
                <c:pt idx="15">
                  <c:v>0.13838013426137427</c:v>
                </c:pt>
                <c:pt idx="16">
                  <c:v>0.14760547654546594</c:v>
                </c:pt>
                <c:pt idx="17">
                  <c:v>0.15683081882955754</c:v>
                </c:pt>
                <c:pt idx="18">
                  <c:v>0.16605616111364915</c:v>
                </c:pt>
                <c:pt idx="19">
                  <c:v>0.17528150339774079</c:v>
                </c:pt>
                <c:pt idx="20">
                  <c:v>0.1845068456818324</c:v>
                </c:pt>
                <c:pt idx="21">
                  <c:v>0.19373218796592401</c:v>
                </c:pt>
                <c:pt idx="22">
                  <c:v>0.20295753025001562</c:v>
                </c:pt>
                <c:pt idx="23">
                  <c:v>0.21218287253410725</c:v>
                </c:pt>
                <c:pt idx="24">
                  <c:v>0.22140821481819889</c:v>
                </c:pt>
                <c:pt idx="25">
                  <c:v>0.23063355710229053</c:v>
                </c:pt>
                <c:pt idx="26">
                  <c:v>0.23985889938638214</c:v>
                </c:pt>
                <c:pt idx="27">
                  <c:v>0.24908424167047377</c:v>
                </c:pt>
                <c:pt idx="28">
                  <c:v>0.25830958395456538</c:v>
                </c:pt>
                <c:pt idx="29">
                  <c:v>0.26753492623865693</c:v>
                </c:pt>
                <c:pt idx="30">
                  <c:v>0.27676026852274854</c:v>
                </c:pt>
                <c:pt idx="31">
                  <c:v>0.28598561080684015</c:v>
                </c:pt>
                <c:pt idx="32">
                  <c:v>0.29521095309093187</c:v>
                </c:pt>
                <c:pt idx="33">
                  <c:v>0.30443629537502348</c:v>
                </c:pt>
                <c:pt idx="34">
                  <c:v>0.31366163765911509</c:v>
                </c:pt>
                <c:pt idx="35">
                  <c:v>0.32288697994320664</c:v>
                </c:pt>
                <c:pt idx="36">
                  <c:v>0.32860833610078044</c:v>
                </c:pt>
                <c:pt idx="37">
                  <c:v>0.3331581014600874</c:v>
                </c:pt>
                <c:pt idx="38">
                  <c:v>0.33764724326761664</c:v>
                </c:pt>
                <c:pt idx="39">
                  <c:v>0.34207813949422794</c:v>
                </c:pt>
                <c:pt idx="40">
                  <c:v>0.34645301660245942</c:v>
                </c:pt>
                <c:pt idx="41">
                  <c:v>0.35077396272598199</c:v>
                </c:pt>
                <c:pt idx="42">
                  <c:v>0.35504293941067588</c:v>
                </c:pt>
                <c:pt idx="43">
                  <c:v>0.35926179210466863</c:v>
                </c:pt>
                <c:pt idx="44">
                  <c:v>0.36343225955649833</c:v>
                </c:pt>
                <c:pt idx="45">
                  <c:v>0.36755598225717573</c:v>
                </c:pt>
                <c:pt idx="46">
                  <c:v>0.37163451004240672</c:v>
                </c:pt>
                <c:pt idx="47">
                  <c:v>0.37566930895488743</c:v>
                </c:pt>
                <c:pt idx="48">
                  <c:v>0.37966176745283425</c:v>
                </c:pt>
                <c:pt idx="49">
                  <c:v>0.38361320203930133</c:v>
                </c:pt>
                <c:pt idx="50">
                  <c:v>0.38752486237698852</c:v>
                </c:pt>
                <c:pt idx="51">
                  <c:v>0.3913979359448771</c:v>
                </c:pt>
                <c:pt idx="52">
                  <c:v>0.38887451510518733</c:v>
                </c:pt>
                <c:pt idx="53">
                  <c:v>0.38570168287657919</c:v>
                </c:pt>
                <c:pt idx="54">
                  <c:v>0.3826122149148376</c:v>
                </c:pt>
                <c:pt idx="55">
                  <c:v>0.37980918618373261</c:v>
                </c:pt>
                <c:pt idx="56">
                  <c:v>0.38027296739565825</c:v>
                </c:pt>
                <c:pt idx="57">
                  <c:v>0.38072918664409872</c:v>
                </c:pt>
                <c:pt idx="58">
                  <c:v>0.38116714207486241</c:v>
                </c:pt>
                <c:pt idx="59">
                  <c:v>0.38159188912361575</c:v>
                </c:pt>
                <c:pt idx="60">
                  <c:v>0.38200404838090513</c:v>
                </c:pt>
                <c:pt idx="61">
                  <c:v>0.3824042021638111</c:v>
                </c:pt>
                <c:pt idx="62">
                  <c:v>0.3827928974216811</c:v>
                </c:pt>
                <c:pt idx="63">
                  <c:v>0.38317064838109544</c:v>
                </c:pt>
                <c:pt idx="64">
                  <c:v>0.38353793895696847</c:v>
                </c:pt>
                <c:pt idx="65">
                  <c:v>0.38389522495355755</c:v>
                </c:pt>
                <c:pt idx="66">
                  <c:v>0.38424293607643267</c:v>
                </c:pt>
                <c:pt idx="67">
                  <c:v>0.3845814777740803</c:v>
                </c:pt>
                <c:pt idx="68">
                  <c:v>0.38491123292574003</c:v>
                </c:pt>
                <c:pt idx="69">
                  <c:v>0.38523256339024281</c:v>
                </c:pt>
                <c:pt idx="70">
                  <c:v>0.38554581142903055</c:v>
                </c:pt>
                <c:pt idx="71">
                  <c:v>0.38585130101511556</c:v>
                </c:pt>
                <c:pt idx="72">
                  <c:v>0.38614933903851179</c:v>
                </c:pt>
                <c:pt idx="73">
                  <c:v>0.38644021641756071</c:v>
                </c:pt>
                <c:pt idx="74">
                  <c:v>0.38672420912461775</c:v>
                </c:pt>
                <c:pt idx="75">
                  <c:v>0.38700157913369632</c:v>
                </c:pt>
                <c:pt idx="76">
                  <c:v>0.38727257529691445</c:v>
                </c:pt>
                <c:pt idx="77">
                  <c:v>0.38753743415590564</c:v>
                </c:pt>
                <c:pt idx="78">
                  <c:v>0.38779638069375438</c:v>
                </c:pt>
                <c:pt idx="79">
                  <c:v>0.38804962903248397</c:v>
                </c:pt>
                <c:pt idx="80">
                  <c:v>0.38829738308063838</c:v>
                </c:pt>
                <c:pt idx="81">
                  <c:v>0.38853983713507634</c:v>
                </c:pt>
                <c:pt idx="82">
                  <c:v>0.38877717644071119</c:v>
                </c:pt>
                <c:pt idx="83">
                  <c:v>0.38900957771158529</c:v>
                </c:pt>
                <c:pt idx="84">
                  <c:v>0.38923720961635822</c:v>
                </c:pt>
                <c:pt idx="85">
                  <c:v>0.3894602332310147</c:v>
                </c:pt>
                <c:pt idx="86">
                  <c:v>0.38967880246134412</c:v>
                </c:pt>
                <c:pt idx="87">
                  <c:v>0.38989306443751953</c:v>
                </c:pt>
                <c:pt idx="88">
                  <c:v>0.390103159882906</c:v>
                </c:pt>
                <c:pt idx="89">
                  <c:v>0.39030922345903685</c:v>
                </c:pt>
                <c:pt idx="90">
                  <c:v>0.39051138408853769</c:v>
                </c:pt>
                <c:pt idx="91">
                  <c:v>0.39070976525762435</c:v>
                </c:pt>
                <c:pt idx="92">
                  <c:v>0.39090448529966737</c:v>
                </c:pt>
                <c:pt idx="93">
                  <c:v>0.39109565766119025</c:v>
                </c:pt>
                <c:pt idx="94">
                  <c:v>0.39128339115155913</c:v>
                </c:pt>
                <c:pt idx="95">
                  <c:v>0.39146779017751754</c:v>
                </c:pt>
                <c:pt idx="96">
                  <c:v>0.39164895496362934</c:v>
                </c:pt>
                <c:pt idx="97">
                  <c:v>0.39182698175960828</c:v>
                </c:pt>
                <c:pt idx="98">
                  <c:v>0.39200196303543322</c:v>
                </c:pt>
                <c:pt idx="99">
                  <c:v>0.39217398766508355</c:v>
                </c:pt>
                <c:pt idx="100">
                  <c:v>0.39234314109965945</c:v>
                </c:pt>
              </c:numCache>
            </c:numRef>
          </c:val>
          <c:smooth val="0"/>
          <c:extLst>
            <c:ext xmlns:c16="http://schemas.microsoft.com/office/drawing/2014/chart" uri="{C3380CC4-5D6E-409C-BE32-E72D297353CC}">
              <c16:uniqueId val="{00000006-3709-4335-91FB-31DC56900586}"/>
            </c:ext>
          </c:extLst>
        </c:ser>
        <c:ser>
          <c:idx val="7"/>
          <c:order val="7"/>
          <c:spPr>
            <a:ln w="31750">
              <a:solidFill>
                <a:srgbClr val="00B050"/>
              </a:solidFill>
            </a:ln>
          </c:spPr>
          <c:marker>
            <c:symbol val="none"/>
          </c:marker>
          <c:val>
            <c:numRef>
              <c:f>'Calculations - Single'!$AW$110:$AW$210</c:f>
              <c:numCache>
                <c:formatCode>0.000</c:formatCode>
                <c:ptCount val="101"/>
                <c:pt idx="0">
                  <c:v>2.9629702505343428E-2</c:v>
                </c:pt>
                <c:pt idx="1">
                  <c:v>2.9861888764464363E-2</c:v>
                </c:pt>
                <c:pt idx="2">
                  <c:v>4.9467119546025826E-2</c:v>
                </c:pt>
                <c:pt idx="3">
                  <c:v>7.4200679319038731E-2</c:v>
                </c:pt>
                <c:pt idx="4">
                  <c:v>9.8934239092051651E-2</c:v>
                </c:pt>
                <c:pt idx="5">
                  <c:v>0.12366779886506454</c:v>
                </c:pt>
                <c:pt idx="6">
                  <c:v>0.14840135863807746</c:v>
                </c:pt>
                <c:pt idx="7">
                  <c:v>0.17313491841109038</c:v>
                </c:pt>
                <c:pt idx="8">
                  <c:v>0.1978684781841033</c:v>
                </c:pt>
                <c:pt idx="9">
                  <c:v>0.22260203795711617</c:v>
                </c:pt>
                <c:pt idx="10">
                  <c:v>0.24733559773012909</c:v>
                </c:pt>
                <c:pt idx="11">
                  <c:v>0.27206915750314198</c:v>
                </c:pt>
                <c:pt idx="12">
                  <c:v>0.29680271727615493</c:v>
                </c:pt>
                <c:pt idx="13">
                  <c:v>0.32153627704916782</c:v>
                </c:pt>
                <c:pt idx="14">
                  <c:v>0.34626983682218077</c:v>
                </c:pt>
                <c:pt idx="15">
                  <c:v>0.3710033965951936</c:v>
                </c:pt>
                <c:pt idx="16">
                  <c:v>0.3957369563682066</c:v>
                </c:pt>
                <c:pt idx="17">
                  <c:v>0.4204705161412195</c:v>
                </c:pt>
                <c:pt idx="18">
                  <c:v>0.44520407591423233</c:v>
                </c:pt>
                <c:pt idx="19">
                  <c:v>0.46993763568724534</c:v>
                </c:pt>
                <c:pt idx="20">
                  <c:v>0.49467119546025817</c:v>
                </c:pt>
                <c:pt idx="21">
                  <c:v>0.51940475523327112</c:v>
                </c:pt>
                <c:pt idx="22">
                  <c:v>0.54413831500628396</c:v>
                </c:pt>
                <c:pt idx="23">
                  <c:v>0.5688718747792969</c:v>
                </c:pt>
                <c:pt idx="24">
                  <c:v>0.59360543455230985</c:v>
                </c:pt>
                <c:pt idx="25">
                  <c:v>0.6183389943253228</c:v>
                </c:pt>
                <c:pt idx="26">
                  <c:v>0.64314882952400276</c:v>
                </c:pt>
                <c:pt idx="27">
                  <c:v>0.6161912837369603</c:v>
                </c:pt>
                <c:pt idx="28">
                  <c:v>0.61733912355054399</c:v>
                </c:pt>
                <c:pt idx="29">
                  <c:v>0.61841690611378164</c:v>
                </c:pt>
                <c:pt idx="30">
                  <c:v>0.61943133150533636</c:v>
                </c:pt>
                <c:pt idx="31">
                  <c:v>0.62038827201281388</c:v>
                </c:pt>
                <c:pt idx="32">
                  <c:v>0.6212928961437747</c:v>
                </c:pt>
                <c:pt idx="33">
                  <c:v>0.62214977099165492</c:v>
                </c:pt>
                <c:pt idx="34">
                  <c:v>0.62296294723962542</c:v>
                </c:pt>
                <c:pt idx="35">
                  <c:v>0.62373603014347589</c:v>
                </c:pt>
                <c:pt idx="36">
                  <c:v>0.62447223911947169</c:v>
                </c:pt>
                <c:pt idx="37">
                  <c:v>0.6251744580157147</c:v>
                </c:pt>
                <c:pt idx="38">
                  <c:v>0.6258452777232425</c:v>
                </c:pt>
                <c:pt idx="39">
                  <c:v>0.62648703245494008</c:v>
                </c:pt>
                <c:pt idx="40">
                  <c:v>0.62710183076354642</c:v>
                </c:pt>
                <c:pt idx="41">
                  <c:v>0.62769158216780463</c:v>
                </c:pt>
                <c:pt idx="42">
                  <c:v>0.62825802009551246</c:v>
                </c:pt>
                <c:pt idx="43">
                  <c:v>0.62880272172446383</c:v>
                </c:pt>
                <c:pt idx="44">
                  <c:v>0.62932712519983081</c:v>
                </c:pt>
                <c:pt idx="45">
                  <c:v>0.62983254462399385</c:v>
                </c:pt>
                <c:pt idx="46">
                  <c:v>0.63032018314795135</c:v>
                </c:pt>
                <c:pt idx="47">
                  <c:v>0.63079114443900908</c:v>
                </c:pt>
                <c:pt idx="48">
                  <c:v>0.63124644275494746</c:v>
                </c:pt>
                <c:pt idx="49">
                  <c:v>0.63168701181830378</c:v>
                </c:pt>
                <c:pt idx="50">
                  <c:v>0.6321137126542542</c:v>
                </c:pt>
                <c:pt idx="51">
                  <c:v>0.6325273405306131</c:v>
                </c:pt>
                <c:pt idx="52">
                  <c:v>0.63292863111769815</c:v>
                </c:pt>
                <c:pt idx="53">
                  <c:v>0.63331826596849905</c:v>
                </c:pt>
                <c:pt idx="54">
                  <c:v>0.63369687740506031</c:v>
                </c:pt>
                <c:pt idx="55">
                  <c:v>0.63406505288481463</c:v>
                </c:pt>
                <c:pt idx="56">
                  <c:v>0.63442333891031077</c:v>
                </c:pt>
                <c:pt idx="57">
                  <c:v>0.63477224453708792</c:v>
                </c:pt>
                <c:pt idx="58">
                  <c:v>0.63511224452707626</c:v>
                </c:pt>
                <c:pt idx="59">
                  <c:v>0.63544378218861797</c:v>
                </c:pt>
                <c:pt idx="60">
                  <c:v>0.63576727193885152</c:v>
                </c:pt>
                <c:pt idx="61">
                  <c:v>0.63608310161961712</c:v>
                </c:pt>
                <c:pt idx="62">
                  <c:v>0.63639163459410741</c:v>
                </c:pt>
                <c:pt idx="63">
                  <c:v>0.636693211648103</c:v>
                </c:pt>
                <c:pt idx="64">
                  <c:v>0.63698815271671771</c:v>
                </c:pt>
                <c:pt idx="65">
                  <c:v>0.63727675845505805</c:v>
                </c:pt>
                <c:pt idx="66">
                  <c:v>0.6375593116690057</c:v>
                </c:pt>
                <c:pt idx="67">
                  <c:v>0.63783607862045311</c:v>
                </c:pt>
                <c:pt idx="68">
                  <c:v>0.63810731021965195</c:v>
                </c:pt>
                <c:pt idx="69">
                  <c:v>0.63837324311590615</c:v>
                </c:pt>
                <c:pt idx="70">
                  <c:v>0.63863410069657978</c:v>
                </c:pt>
                <c:pt idx="71">
                  <c:v>0.63889009400328556</c:v>
                </c:pt>
                <c:pt idx="72">
                  <c:v>0.63914142257315509</c:v>
                </c:pt>
                <c:pt idx="73">
                  <c:v>0.63938827521224428</c:v>
                </c:pt>
                <c:pt idx="74">
                  <c:v>0.63963083070737237</c:v>
                </c:pt>
                <c:pt idx="75">
                  <c:v>0.63986925848204168</c:v>
                </c:pt>
                <c:pt idx="76">
                  <c:v>0.64010371920149312</c:v>
                </c:pt>
                <c:pt idx="77">
                  <c:v>0.64033436533144361</c:v>
                </c:pt>
                <c:pt idx="78">
                  <c:v>0.64056134165458678</c:v>
                </c:pt>
                <c:pt idx="79">
                  <c:v>0.64078478574853903</c:v>
                </c:pt>
                <c:pt idx="80">
                  <c:v>0.64100482842854367</c:v>
                </c:pt>
                <c:pt idx="81">
                  <c:v>0.64122159415793123</c:v>
                </c:pt>
                <c:pt idx="82">
                  <c:v>0.64143520142904176</c:v>
                </c:pt>
                <c:pt idx="83">
                  <c:v>0.64164576311705745</c:v>
                </c:pt>
                <c:pt idx="84">
                  <c:v>0.64185338680897175</c:v>
                </c:pt>
                <c:pt idx="85">
                  <c:v>0.64205817510970364</c:v>
                </c:pt>
                <c:pt idx="86">
                  <c:v>0.64226022592719456</c:v>
                </c:pt>
                <c:pt idx="87">
                  <c:v>0.64245963273814777</c:v>
                </c:pt>
                <c:pt idx="88">
                  <c:v>0.64265648483592741</c:v>
                </c:pt>
                <c:pt idx="89">
                  <c:v>0.64285086756200105</c:v>
                </c:pt>
                <c:pt idx="90">
                  <c:v>0.64304286252218412</c:v>
                </c:pt>
                <c:pt idx="91">
                  <c:v>0.64323254778883987</c:v>
                </c:pt>
                <c:pt idx="92">
                  <c:v>0.64341999809008477</c:v>
                </c:pt>
                <c:pt idx="93">
                  <c:v>0.6436052849869669</c:v>
                </c:pt>
                <c:pt idx="94">
                  <c:v>0.64378847703949726</c:v>
                </c:pt>
                <c:pt idx="95">
                  <c:v>0.64396963996234446</c:v>
                </c:pt>
                <c:pt idx="96">
                  <c:v>0.64414883677093682</c:v>
                </c:pt>
                <c:pt idx="97">
                  <c:v>0.64432612791865207</c:v>
                </c:pt>
                <c:pt idx="98">
                  <c:v>0.64450157142572628</c:v>
                </c:pt>
                <c:pt idx="99">
                  <c:v>0.64467522300045399</c:v>
                </c:pt>
                <c:pt idx="100">
                  <c:v>0.6448471361532182</c:v>
                </c:pt>
              </c:numCache>
            </c:numRef>
          </c:val>
          <c:smooth val="0"/>
          <c:extLst>
            <c:ext xmlns:c16="http://schemas.microsoft.com/office/drawing/2014/chart" uri="{C3380CC4-5D6E-409C-BE32-E72D297353CC}">
              <c16:uniqueId val="{00000007-3709-4335-91FB-31DC56900586}"/>
            </c:ext>
          </c:extLst>
        </c:ser>
        <c:ser>
          <c:idx val="8"/>
          <c:order val="8"/>
          <c:spPr>
            <a:ln w="31750">
              <a:solidFill>
                <a:srgbClr val="0000FF"/>
              </a:solidFill>
            </a:ln>
          </c:spPr>
          <c:marker>
            <c:symbol val="none"/>
          </c:marker>
          <c:val>
            <c:numRef>
              <c:f>'Calculations - Single'!$AW$216:$AW$316</c:f>
              <c:numCache>
                <c:formatCode>0.000</c:formatCode>
                <c:ptCount val="101"/>
                <c:pt idx="0">
                  <c:v>7.4074119621311205E-3</c:v>
                </c:pt>
                <c:pt idx="1">
                  <c:v>7.421838760552928E-3</c:v>
                </c:pt>
                <c:pt idx="2">
                  <c:v>1.2287276952692794E-2</c:v>
                </c:pt>
                <c:pt idx="3">
                  <c:v>1.8430915429039192E-2</c:v>
                </c:pt>
                <c:pt idx="4">
                  <c:v>2.4574553905385588E-2</c:v>
                </c:pt>
                <c:pt idx="5">
                  <c:v>3.0718192381731981E-2</c:v>
                </c:pt>
                <c:pt idx="6">
                  <c:v>3.6861830858078384E-2</c:v>
                </c:pt>
                <c:pt idx="7">
                  <c:v>4.3005469334424777E-2</c:v>
                </c:pt>
                <c:pt idx="8">
                  <c:v>4.9149107810771177E-2</c:v>
                </c:pt>
                <c:pt idx="9">
                  <c:v>5.5292746287117563E-2</c:v>
                </c:pt>
                <c:pt idx="10">
                  <c:v>6.1436384763463962E-2</c:v>
                </c:pt>
                <c:pt idx="11">
                  <c:v>6.7580023239810355E-2</c:v>
                </c:pt>
                <c:pt idx="12">
                  <c:v>7.3723661716156769E-2</c:v>
                </c:pt>
                <c:pt idx="13">
                  <c:v>7.9867300192503154E-2</c:v>
                </c:pt>
                <c:pt idx="14">
                  <c:v>8.6010938668849554E-2</c:v>
                </c:pt>
                <c:pt idx="15">
                  <c:v>9.215457714519594E-2</c:v>
                </c:pt>
                <c:pt idx="16">
                  <c:v>9.8298215621542354E-2</c:v>
                </c:pt>
                <c:pt idx="17">
                  <c:v>0.10444185409788875</c:v>
                </c:pt>
                <c:pt idx="18">
                  <c:v>0.11058549257423513</c:v>
                </c:pt>
                <c:pt idx="19">
                  <c:v>0.11672913105058154</c:v>
                </c:pt>
                <c:pt idx="20">
                  <c:v>0.12287276952692792</c:v>
                </c:pt>
                <c:pt idx="21">
                  <c:v>0.12901640800327432</c:v>
                </c:pt>
                <c:pt idx="22">
                  <c:v>0.13516004647962071</c:v>
                </c:pt>
                <c:pt idx="23">
                  <c:v>0.14130368495596712</c:v>
                </c:pt>
                <c:pt idx="24">
                  <c:v>0.14744732343231354</c:v>
                </c:pt>
                <c:pt idx="25">
                  <c:v>0.15359096190865992</c:v>
                </c:pt>
                <c:pt idx="26">
                  <c:v>0.15973460038500631</c:v>
                </c:pt>
                <c:pt idx="27">
                  <c:v>0.16587823886135272</c:v>
                </c:pt>
                <c:pt idx="28">
                  <c:v>0.17202187733769911</c:v>
                </c:pt>
                <c:pt idx="29">
                  <c:v>0.17816551581404547</c:v>
                </c:pt>
                <c:pt idx="30">
                  <c:v>0.18430915429039188</c:v>
                </c:pt>
                <c:pt idx="31">
                  <c:v>0.19045279276673827</c:v>
                </c:pt>
                <c:pt idx="32">
                  <c:v>0.19659643124308471</c:v>
                </c:pt>
                <c:pt idx="33">
                  <c:v>0.20274006971943109</c:v>
                </c:pt>
                <c:pt idx="34">
                  <c:v>0.20888370819577751</c:v>
                </c:pt>
                <c:pt idx="35">
                  <c:v>0.21502734667212386</c:v>
                </c:pt>
                <c:pt idx="36">
                  <c:v>0.2188350867456228</c:v>
                </c:pt>
                <c:pt idx="37">
                  <c:v>0.22186165677165712</c:v>
                </c:pt>
                <c:pt idx="38">
                  <c:v>0.22484781029965134</c:v>
                </c:pt>
                <c:pt idx="39">
                  <c:v>0.22779513265394874</c:v>
                </c:pt>
                <c:pt idx="40">
                  <c:v>0.23070510815294074</c:v>
                </c:pt>
                <c:pt idx="41">
                  <c:v>0.23357912889539514</c:v>
                </c:pt>
                <c:pt idx="42">
                  <c:v>0.23641850258786404</c:v>
                </c:pt>
                <c:pt idx="43">
                  <c:v>0.23922445953806318</c:v>
                </c:pt>
                <c:pt idx="44">
                  <c:v>0.24199815892033441</c:v>
                </c:pt>
                <c:pt idx="45">
                  <c:v>0.24474069440370438</c:v>
                </c:pt>
                <c:pt idx="46">
                  <c:v>0.24745309922004999</c:v>
                </c:pt>
                <c:pt idx="47">
                  <c:v>0.25013635073897655</c:v>
                </c:pt>
                <c:pt idx="48">
                  <c:v>0.25279137460685275</c:v>
                </c:pt>
                <c:pt idx="49">
                  <c:v>0.25541904849970115</c:v>
                </c:pt>
                <c:pt idx="50">
                  <c:v>0.25802020553308325</c:v>
                </c:pt>
                <c:pt idx="51">
                  <c:v>0.26059563736653363</c:v>
                </c:pt>
                <c:pt idx="52">
                  <c:v>0.26314609703533548</c:v>
                </c:pt>
                <c:pt idx="53">
                  <c:v>0.2656723015383462</c:v>
                </c:pt>
                <c:pt idx="54">
                  <c:v>0.26817493420707861</c:v>
                </c:pt>
                <c:pt idx="55">
                  <c:v>0.27065464687821894</c:v>
                </c:pt>
                <c:pt idx="56">
                  <c:v>0.27311206188915793</c:v>
                </c:pt>
                <c:pt idx="57">
                  <c:v>0.27554777391384166</c:v>
                </c:pt>
                <c:pt idx="58">
                  <c:v>0.27796235165428868</c:v>
                </c:pt>
                <c:pt idx="59">
                  <c:v>0.28035633940140386</c:v>
                </c:pt>
                <c:pt idx="60">
                  <c:v>0.28273025847722594</c:v>
                </c:pt>
                <c:pt idx="61">
                  <c:v>0.2850846085694333</c:v>
                </c:pt>
                <c:pt idx="62">
                  <c:v>0.28741986896778604</c:v>
                </c:pt>
                <c:pt idx="63">
                  <c:v>0.28973649971116999</c:v>
                </c:pt>
                <c:pt idx="64">
                  <c:v>0.29203494265301833</c:v>
                </c:pt>
                <c:pt idx="65">
                  <c:v>0.29431562245209941</c:v>
                </c:pt>
                <c:pt idx="66">
                  <c:v>0.29657894749496233</c:v>
                </c:pt>
                <c:pt idx="67">
                  <c:v>0.29882531075571656</c:v>
                </c:pt>
                <c:pt idx="68">
                  <c:v>0.30105509059826951</c:v>
                </c:pt>
                <c:pt idx="69">
                  <c:v>0.30084577637752574</c:v>
                </c:pt>
                <c:pt idx="70">
                  <c:v>0.29899073225399508</c:v>
                </c:pt>
                <c:pt idx="71">
                  <c:v>0.2971768802668126</c:v>
                </c:pt>
                <c:pt idx="72">
                  <c:v>0.29539657938293179</c:v>
                </c:pt>
                <c:pt idx="73">
                  <c:v>0.29364802377489685</c:v>
                </c:pt>
                <c:pt idx="74">
                  <c:v>0.29281278296050745</c:v>
                </c:pt>
                <c:pt idx="75">
                  <c:v>0.2930855840501233</c:v>
                </c:pt>
                <c:pt idx="76">
                  <c:v>0.29334724912780441</c:v>
                </c:pt>
                <c:pt idx="77">
                  <c:v>0.29360166615581523</c:v>
                </c:pt>
                <c:pt idx="78">
                  <c:v>0.2938502768620958</c:v>
                </c:pt>
                <c:pt idx="79">
                  <c:v>0.2940932882509924</c:v>
                </c:pt>
                <c:pt idx="80">
                  <c:v>0.29433089760340286</c:v>
                </c:pt>
                <c:pt idx="81">
                  <c:v>0.29456329304106432</c:v>
                </c:pt>
                <c:pt idx="82">
                  <c:v>0.29479065405199528</c:v>
                </c:pt>
                <c:pt idx="83">
                  <c:v>0.29501315198017536</c:v>
                </c:pt>
                <c:pt idx="84">
                  <c:v>0.2952309504822716</c:v>
                </c:pt>
                <c:pt idx="85">
                  <c:v>0.29544420595396853</c:v>
                </c:pt>
                <c:pt idx="86">
                  <c:v>0.29565306792823715</c:v>
                </c:pt>
                <c:pt idx="87">
                  <c:v>0.29585767944767422</c:v>
                </c:pt>
                <c:pt idx="88">
                  <c:v>0.29605817741286033</c:v>
                </c:pt>
                <c:pt idx="89">
                  <c:v>0.29625469290851864</c:v>
                </c:pt>
                <c:pt idx="90">
                  <c:v>0.29644735150910817</c:v>
                </c:pt>
                <c:pt idx="91">
                  <c:v>0.2966362735653495</c:v>
                </c:pt>
                <c:pt idx="92">
                  <c:v>0.29682157447305507</c:v>
                </c:pt>
                <c:pt idx="93">
                  <c:v>0.29700336492552648</c:v>
                </c:pt>
                <c:pt idx="94">
                  <c:v>0.2971817511506803</c:v>
                </c:pt>
                <c:pt idx="95">
                  <c:v>0.29735683513396716</c:v>
                </c:pt>
                <c:pt idx="96">
                  <c:v>0.29752871482807014</c:v>
                </c:pt>
                <c:pt idx="97">
                  <c:v>0.29769748435028565</c:v>
                </c:pt>
                <c:pt idx="98">
                  <c:v>0.29786323416842447</c:v>
                </c:pt>
                <c:pt idx="99">
                  <c:v>0.29802605127600379</c:v>
                </c:pt>
                <c:pt idx="100">
                  <c:v>0.29818601935744321</c:v>
                </c:pt>
              </c:numCache>
            </c:numRef>
          </c:val>
          <c:smooth val="0"/>
          <c:extLst>
            <c:ext xmlns:c16="http://schemas.microsoft.com/office/drawing/2014/chart" uri="{C3380CC4-5D6E-409C-BE32-E72D297353CC}">
              <c16:uniqueId val="{00000008-3709-4335-91FB-31DC56900586}"/>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2.2946285985730062</c:v>
                </c:pt>
                <c:pt idx="28">
                  <c:v>2.3801777147046077</c:v>
                </c:pt>
                <c:pt idx="29">
                  <c:v>2.465767474552178</c:v>
                </c:pt>
                <c:pt idx="30">
                  <c:v>2.5513979183785538</c:v>
                </c:pt>
                <c:pt idx="31">
                  <c:v>2.6370690865244324</c:v>
                </c:pt>
                <c:pt idx="32">
                  <c:v>2.7227810194045623</c:v>
                </c:pt>
                <c:pt idx="33">
                  <c:v>2.8085337575046654</c:v>
                </c:pt>
                <c:pt idx="34">
                  <c:v>2.8943273413789323</c:v>
                </c:pt>
                <c:pt idx="35">
                  <c:v>2.9801618116479798</c:v>
                </c:pt>
                <c:pt idx="36">
                  <c:v>3.0660372089971717</c:v>
                </c:pt>
                <c:pt idx="37">
                  <c:v>3.1519535741752303</c:v>
                </c:pt>
                <c:pt idx="38">
                  <c:v>3.2379109479930972</c:v>
                </c:pt>
                <c:pt idx="39">
                  <c:v>3.3239093713229804</c:v>
                </c:pt>
                <c:pt idx="40">
                  <c:v>3.4099488850975637</c:v>
                </c:pt>
                <c:pt idx="41">
                  <c:v>3.4960295303093529</c:v>
                </c:pt>
                <c:pt idx="42">
                  <c:v>3.582151348010123</c:v>
                </c:pt>
                <c:pt idx="43">
                  <c:v>3.6683143793104662</c:v>
                </c:pt>
                <c:pt idx="44">
                  <c:v>3.7545186653794089</c:v>
                </c:pt>
                <c:pt idx="45">
                  <c:v>3.8407642474440973</c:v>
                </c:pt>
                <c:pt idx="46">
                  <c:v>3.9270511667895369</c:v>
                </c:pt>
                <c:pt idx="47">
                  <c:v>4.0133794647583754</c:v>
                </c:pt>
                <c:pt idx="48">
                  <c:v>4.0997491827507311</c:v>
                </c:pt>
                <c:pt idx="49">
                  <c:v>4.1861603622240473</c:v>
                </c:pt>
                <c:pt idx="50">
                  <c:v>4.2726130446929815</c:v>
                </c:pt>
                <c:pt idx="51">
                  <c:v>4.3591072717293127</c:v>
                </c:pt>
                <c:pt idx="52">
                  <c:v>4.4456430849618833</c:v>
                </c:pt>
                <c:pt idx="53">
                  <c:v>4.5322205260765411</c:v>
                </c:pt>
                <c:pt idx="54">
                  <c:v>4.6188396368161131</c:v>
                </c:pt>
                <c:pt idx="55">
                  <c:v>4.7055004589803895</c:v>
                </c:pt>
                <c:pt idx="56">
                  <c:v>4.792203034426108</c:v>
                </c:pt>
                <c:pt idx="57">
                  <c:v>4.8789474050669686</c:v>
                </c:pt>
                <c:pt idx="58">
                  <c:v>4.9657336128736489</c:v>
                </c:pt>
                <c:pt idx="59">
                  <c:v>5.0525616998738192</c:v>
                </c:pt>
                <c:pt idx="60">
                  <c:v>5.139431708152177</c:v>
                </c:pt>
                <c:pt idx="61">
                  <c:v>5.2263436798504888</c:v>
                </c:pt>
                <c:pt idx="62">
                  <c:v>5.313297657167622</c:v>
                </c:pt>
                <c:pt idx="63">
                  <c:v>5.4002936823596031</c:v>
                </c:pt>
                <c:pt idx="64">
                  <c:v>5.4873317977396674</c:v>
                </c:pt>
                <c:pt idx="65">
                  <c:v>5.5744120456783142</c:v>
                </c:pt>
                <c:pt idx="66">
                  <c:v>5.6615344686033628</c:v>
                </c:pt>
                <c:pt idx="67">
                  <c:v>5.7486991090000341</c:v>
                </c:pt>
                <c:pt idx="68">
                  <c:v>5.8359060094109925</c:v>
                </c:pt>
                <c:pt idx="69">
                  <c:v>5.9231552124364333</c:v>
                </c:pt>
                <c:pt idx="70">
                  <c:v>6.010446760734153</c:v>
                </c:pt>
                <c:pt idx="71">
                  <c:v>6.0977806970196173</c:v>
                </c:pt>
                <c:pt idx="72">
                  <c:v>6.1851570640660407</c:v>
                </c:pt>
                <c:pt idx="73">
                  <c:v>6.2725759047044694</c:v>
                </c:pt>
                <c:pt idx="74">
                  <c:v>6.3600372618238472</c:v>
                </c:pt>
                <c:pt idx="75">
                  <c:v>6.4475411783711172</c:v>
                </c:pt>
                <c:pt idx="76">
                  <c:v>6.5350876973512877</c:v>
                </c:pt>
                <c:pt idx="77">
                  <c:v>6.6226768618275296</c:v>
                </c:pt>
                <c:pt idx="78">
                  <c:v>6.7103087149212461</c:v>
                </c:pt>
                <c:pt idx="79">
                  <c:v>6.7979832998121807</c:v>
                </c:pt>
                <c:pt idx="80">
                  <c:v>6.885700659738486</c:v>
                </c:pt>
                <c:pt idx="81">
                  <c:v>6.973460837996817</c:v>
                </c:pt>
                <c:pt idx="82">
                  <c:v>7.0612638779424319</c:v>
                </c:pt>
                <c:pt idx="83">
                  <c:v>7.1491098229892671</c:v>
                </c:pt>
                <c:pt idx="84">
                  <c:v>7.2369987166100413</c:v>
                </c:pt>
                <c:pt idx="85">
                  <c:v>7.3249306023363348</c:v>
                </c:pt>
                <c:pt idx="86">
                  <c:v>7.4129055237586909</c:v>
                </c:pt>
                <c:pt idx="87">
                  <c:v>7.5009235245267165</c:v>
                </c:pt>
                <c:pt idx="88">
                  <c:v>7.5889846483491548</c:v>
                </c:pt>
                <c:pt idx="89">
                  <c:v>7.6770889389939967</c:v>
                </c:pt>
                <c:pt idx="90">
                  <c:v>7.7652364402885752</c:v>
                </c:pt>
                <c:pt idx="91">
                  <c:v>7.853427196119652</c:v>
                </c:pt>
                <c:pt idx="92">
                  <c:v>7.9416612504335227</c:v>
                </c:pt>
                <c:pt idx="93">
                  <c:v>8.0299386472361078</c:v>
                </c:pt>
                <c:pt idx="94">
                  <c:v>8.1182594305930511</c:v>
                </c:pt>
                <c:pt idx="95">
                  <c:v>8.2066236446298237</c:v>
                </c:pt>
                <c:pt idx="96">
                  <c:v>8.2950313335318082</c:v>
                </c:pt>
                <c:pt idx="97">
                  <c:v>8.3834825415444101</c:v>
                </c:pt>
                <c:pt idx="98">
                  <c:v>8.4719773129731504</c:v>
                </c:pt>
                <c:pt idx="99">
                  <c:v>8.5605156921837704</c:v>
                </c:pt>
                <c:pt idx="100">
                  <c:v>8.6490977236023205</c:v>
                </c:pt>
              </c:numCache>
            </c:numRef>
          </c:val>
          <c:smooth val="0"/>
          <c:extLst>
            <c:ext xmlns:c16="http://schemas.microsoft.com/office/drawing/2014/chart" uri="{C3380CC4-5D6E-409C-BE32-E72D297353CC}">
              <c16:uniqueId val="{00000000-447A-452D-BA63-8F5F5DADC23C}"/>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2.2222222222222223</c:v>
                </c:pt>
                <c:pt idx="35">
                  <c:v>2.2222222222222223</c:v>
                </c:pt>
                <c:pt idx="36">
                  <c:v>2.2460127318307075</c:v>
                </c:pt>
                <c:pt idx="37">
                  <c:v>2.2770079179466083</c:v>
                </c:pt>
                <c:pt idx="38">
                  <c:v>2.3075873842328822</c:v>
                </c:pt>
                <c:pt idx="39">
                  <c:v>2.3377674369786448</c:v>
                </c:pt>
                <c:pt idx="40">
                  <c:v>2.3675633435509362</c:v>
                </c:pt>
                <c:pt idx="41">
                  <c:v>2.3969894227686175</c:v>
                </c:pt>
                <c:pt idx="42">
                  <c:v>2.4260591254130639</c:v>
                </c:pt>
                <c:pt idx="43">
                  <c:v>2.4547851061602679</c:v>
                </c:pt>
                <c:pt idx="44">
                  <c:v>2.4831792880257684</c:v>
                </c:pt>
                <c:pt idx="45">
                  <c:v>2.5112529202534257</c:v>
                </c:pt>
                <c:pt idx="46">
                  <c:v>2.5390166304452704</c:v>
                </c:pt>
                <c:pt idx="47">
                  <c:v>2.5664804716175382</c:v>
                </c:pt>
                <c:pt idx="48">
                  <c:v>2.5936539647737278</c:v>
                </c:pt>
                <c:pt idx="49">
                  <c:v>2.6205461375058841</c:v>
                </c:pt>
                <c:pt idx="50">
                  <c:v>2.6471655590678078</c:v>
                </c:pt>
                <c:pt idx="51">
                  <c:v>2.6735203723064909</c:v>
                </c:pt>
                <c:pt idx="52">
                  <c:v>2.6996183227890382</c:v>
                </c:pt>
                <c:pt idx="53">
                  <c:v>2.725477558037114</c:v>
                </c:pt>
                <c:pt idx="54">
                  <c:v>2.7511081626991341</c:v>
                </c:pt>
                <c:pt idx="55">
                  <c:v>2.7780632105492806</c:v>
                </c:pt>
                <c:pt idx="56">
                  <c:v>2.8286666786829628</c:v>
                </c:pt>
                <c:pt idx="57">
                  <c:v>2.8793098958000329</c:v>
                </c:pt>
                <c:pt idx="58">
                  <c:v>2.9299364123645448</c:v>
                </c:pt>
                <c:pt idx="59">
                  <c:v>2.9805668212086398</c:v>
                </c:pt>
                <c:pt idx="60">
                  <c:v>3.0312011231905709</c:v>
                </c:pt>
                <c:pt idx="61">
                  <c:v>3.0818393191691085</c:v>
                </c:pt>
                <c:pt idx="62">
                  <c:v>3.1324814100035199</c:v>
                </c:pt>
                <c:pt idx="63">
                  <c:v>3.1831273965535525</c:v>
                </c:pt>
                <c:pt idx="64">
                  <c:v>3.2337772796794075</c:v>
                </c:pt>
                <c:pt idx="65">
                  <c:v>3.2844310602417357</c:v>
                </c:pt>
                <c:pt idx="66">
                  <c:v>3.3350887391016122</c:v>
                </c:pt>
                <c:pt idx="67">
                  <c:v>3.3857503171205265</c:v>
                </c:pt>
                <c:pt idx="68">
                  <c:v>3.4364157951603773</c:v>
                </c:pt>
                <c:pt idx="69">
                  <c:v>3.4870851740834508</c:v>
                </c:pt>
                <c:pt idx="70">
                  <c:v>3.5377584547524199</c:v>
                </c:pt>
                <c:pt idx="71">
                  <c:v>3.5884356380303273</c:v>
                </c:pt>
                <c:pt idx="72">
                  <c:v>3.639116724780584</c:v>
                </c:pt>
                <c:pt idx="73">
                  <c:v>3.6898017158669569</c:v>
                </c:pt>
                <c:pt idx="74">
                  <c:v>3.7404906121535646</c:v>
                </c:pt>
                <c:pt idx="75">
                  <c:v>3.7911834145048697</c:v>
                </c:pt>
                <c:pt idx="76">
                  <c:v>3.8418801237856752</c:v>
                </c:pt>
                <c:pt idx="77">
                  <c:v>3.8925807408611148</c:v>
                </c:pt>
                <c:pt idx="78">
                  <c:v>3.9432852665966514</c:v>
                </c:pt>
                <c:pt idx="79">
                  <c:v>3.9939937018580709</c:v>
                </c:pt>
                <c:pt idx="80">
                  <c:v>4.0447060475114798</c:v>
                </c:pt>
                <c:pt idx="81">
                  <c:v>4.0954223044233009</c:v>
                </c:pt>
                <c:pt idx="82">
                  <c:v>4.1461424734602659</c:v>
                </c:pt>
                <c:pt idx="83">
                  <c:v>4.196866555489418</c:v>
                </c:pt>
                <c:pt idx="84">
                  <c:v>4.2475945513781079</c:v>
                </c:pt>
                <c:pt idx="85">
                  <c:v>4.2983264619939812</c:v>
                </c:pt>
                <c:pt idx="86">
                  <c:v>4.349062288204995</c:v>
                </c:pt>
                <c:pt idx="87">
                  <c:v>4.3998020308793935</c:v>
                </c:pt>
                <c:pt idx="88">
                  <c:v>4.4505456908857228</c:v>
                </c:pt>
                <c:pt idx="89">
                  <c:v>4.5012932690928205</c:v>
                </c:pt>
                <c:pt idx="90">
                  <c:v>4.552044766369816</c:v>
                </c:pt>
                <c:pt idx="91">
                  <c:v>4.6028001835861296</c:v>
                </c:pt>
                <c:pt idx="92">
                  <c:v>4.6535595216114656</c:v>
                </c:pt>
                <c:pt idx="93">
                  <c:v>4.7043227813158177</c:v>
                </c:pt>
                <c:pt idx="94">
                  <c:v>4.755089963569465</c:v>
                </c:pt>
                <c:pt idx="95">
                  <c:v>4.8058610692429697</c:v>
                </c:pt>
                <c:pt idx="96">
                  <c:v>4.856636099207174</c:v>
                </c:pt>
                <c:pt idx="97">
                  <c:v>4.907415054333204</c:v>
                </c:pt>
                <c:pt idx="98">
                  <c:v>4.9581979354924677</c:v>
                </c:pt>
                <c:pt idx="99">
                  <c:v>5.0089847435566446</c:v>
                </c:pt>
                <c:pt idx="100">
                  <c:v>5.0597754793977003</c:v>
                </c:pt>
              </c:numCache>
            </c:numRef>
          </c:val>
          <c:smooth val="0"/>
          <c:extLst>
            <c:ext xmlns:c16="http://schemas.microsoft.com/office/drawing/2014/chart" uri="{C3380CC4-5D6E-409C-BE32-E72D297353CC}">
              <c16:uniqueId val="{00000001-447A-452D-BA63-8F5F5DADC23C}"/>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2.2222222222222223</c:v>
                </c:pt>
                <c:pt idx="35">
                  <c:v>2.2222222222222223</c:v>
                </c:pt>
                <c:pt idx="36">
                  <c:v>2.2460127318307075</c:v>
                </c:pt>
                <c:pt idx="37">
                  <c:v>2.2770079179466083</c:v>
                </c:pt>
                <c:pt idx="38">
                  <c:v>2.3075873842328822</c:v>
                </c:pt>
                <c:pt idx="39">
                  <c:v>2.3377674369786448</c:v>
                </c:pt>
                <c:pt idx="40">
                  <c:v>2.3675633435509362</c:v>
                </c:pt>
                <c:pt idx="41">
                  <c:v>2.3969894227686175</c:v>
                </c:pt>
                <c:pt idx="42">
                  <c:v>2.4260591254130639</c:v>
                </c:pt>
                <c:pt idx="43">
                  <c:v>2.4547851061602679</c:v>
                </c:pt>
                <c:pt idx="44">
                  <c:v>2.4831792880257684</c:v>
                </c:pt>
                <c:pt idx="45">
                  <c:v>2.5112529202534257</c:v>
                </c:pt>
                <c:pt idx="46">
                  <c:v>2.5390166304452704</c:v>
                </c:pt>
                <c:pt idx="47">
                  <c:v>2.5664804716175382</c:v>
                </c:pt>
                <c:pt idx="48">
                  <c:v>2.5936539647737278</c:v>
                </c:pt>
                <c:pt idx="49">
                  <c:v>2.6205461375058841</c:v>
                </c:pt>
                <c:pt idx="50">
                  <c:v>2.6471655590678078</c:v>
                </c:pt>
                <c:pt idx="51">
                  <c:v>2.6735203723064909</c:v>
                </c:pt>
                <c:pt idx="52">
                  <c:v>2.6996183227890382</c:v>
                </c:pt>
                <c:pt idx="53">
                  <c:v>2.7254667854204007</c:v>
                </c:pt>
                <c:pt idx="54">
                  <c:v>2.7510727888111424</c:v>
                </c:pt>
                <c:pt idx="55">
                  <c:v>2.7764430376234315</c:v>
                </c:pt>
                <c:pt idx="56">
                  <c:v>2.8015839330965653</c:v>
                </c:pt>
                <c:pt idx="57">
                  <c:v>2.8265015919300813</c:v>
                </c:pt>
                <c:pt idx="58">
                  <c:v>2.8512018636822836</c:v>
                </c:pt>
                <c:pt idx="59">
                  <c:v>2.8756903468243924</c:v>
                </c:pt>
                <c:pt idx="60">
                  <c:v>2.8999724035751395</c:v>
                </c:pt>
                <c:pt idx="61">
                  <c:v>2.9240531736271755</c:v>
                </c:pt>
                <c:pt idx="62">
                  <c:v>2.9479375868648048</c:v>
                </c:pt>
                <c:pt idx="63">
                  <c:v>2.9716303751622051</c:v>
                </c:pt>
                <c:pt idx="64">
                  <c:v>2.9951360833420919</c:v>
                </c:pt>
                <c:pt idx="65">
                  <c:v>3.0184590793667225</c:v>
                </c:pt>
                <c:pt idx="66">
                  <c:v>3.0416035638259489</c:v>
                </c:pt>
                <c:pt idx="67">
                  <c:v>3.0645735787807022</c:v>
                </c:pt>
                <c:pt idx="68">
                  <c:v>3.087373016014618</c:v>
                </c:pt>
                <c:pt idx="69">
                  <c:v>3.1100056247415231</c:v>
                </c:pt>
                <c:pt idx="70">
                  <c:v>3.1324750188119963</c:v>
                </c:pt>
                <c:pt idx="71">
                  <c:v>3.1548033184583897</c:v>
                </c:pt>
                <c:pt idx="72">
                  <c:v>3.1769779026278639</c:v>
                </c:pt>
                <c:pt idx="73">
                  <c:v>3.1989999381094005</c:v>
                </c:pt>
                <c:pt idx="74">
                  <c:v>3.2306690534422371</c:v>
                </c:pt>
                <c:pt idx="75">
                  <c:v>3.2744114990115216</c:v>
                </c:pt>
                <c:pt idx="76">
                  <c:v>3.318138913920504</c:v>
                </c:pt>
                <c:pt idx="77">
                  <c:v>3.3618621078444235</c:v>
                </c:pt>
                <c:pt idx="78">
                  <c:v>3.4055869566254202</c:v>
                </c:pt>
                <c:pt idx="79">
                  <c:v>3.4493134604738964</c:v>
                </c:pt>
                <c:pt idx="80">
                  <c:v>3.4930416196003269</c:v>
                </c:pt>
                <c:pt idx="81">
                  <c:v>3.536771434215261</c:v>
                </c:pt>
                <c:pt idx="82">
                  <c:v>3.580502904529316</c:v>
                </c:pt>
                <c:pt idx="83">
                  <c:v>3.6242360307531749</c:v>
                </c:pt>
                <c:pt idx="84">
                  <c:v>3.6679708130975914</c:v>
                </c:pt>
                <c:pt idx="85">
                  <c:v>3.711707251773376</c:v>
                </c:pt>
                <c:pt idx="86">
                  <c:v>3.7554453469914058</c:v>
                </c:pt>
                <c:pt idx="87">
                  <c:v>3.799185098962615</c:v>
                </c:pt>
                <c:pt idx="88">
                  <c:v>3.8429265078980017</c:v>
                </c:pt>
                <c:pt idx="89">
                  <c:v>3.886669574008617</c:v>
                </c:pt>
                <c:pt idx="90">
                  <c:v>3.9304142975055716</c:v>
                </c:pt>
                <c:pt idx="91">
                  <c:v>3.9741606786000294</c:v>
                </c:pt>
                <c:pt idx="92">
                  <c:v>4.0179087175032118</c:v>
                </c:pt>
                <c:pt idx="93">
                  <c:v>4.0616584144263888</c:v>
                </c:pt>
                <c:pt idx="94">
                  <c:v>4.1054097695808851</c:v>
                </c:pt>
                <c:pt idx="95">
                  <c:v>4.1491627831780811</c:v>
                </c:pt>
                <c:pt idx="96">
                  <c:v>4.1929174554293995</c:v>
                </c:pt>
                <c:pt idx="97">
                  <c:v>4.2366737865463202</c:v>
                </c:pt>
                <c:pt idx="98">
                  <c:v>4.280431776740369</c:v>
                </c:pt>
                <c:pt idx="99">
                  <c:v>4.3241914262231207</c:v>
                </c:pt>
                <c:pt idx="100">
                  <c:v>4.3679527352061971</c:v>
                </c:pt>
              </c:numCache>
            </c:numRef>
          </c:val>
          <c:smooth val="0"/>
          <c:extLst>
            <c:ext xmlns:c16="http://schemas.microsoft.com/office/drawing/2014/chart" uri="{C3380CC4-5D6E-409C-BE32-E72D297353CC}">
              <c16:uniqueId val="{00000002-447A-452D-BA63-8F5F5DADC23C}"/>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1.0113501853070999</c:v>
                </c:pt>
                <c:pt idx="3">
                  <c:v>1.0170252779606499</c:v>
                </c:pt>
                <c:pt idx="4">
                  <c:v>1.0227003706141999</c:v>
                </c:pt>
                <c:pt idx="5">
                  <c:v>1.0283754632677498</c:v>
                </c:pt>
                <c:pt idx="6">
                  <c:v>1.0340505559212998</c:v>
                </c:pt>
                <c:pt idx="7">
                  <c:v>1.0397256485748496</c:v>
                </c:pt>
                <c:pt idx="8">
                  <c:v>1.0454007412283997</c:v>
                </c:pt>
                <c:pt idx="9">
                  <c:v>1.0510758338819497</c:v>
                </c:pt>
                <c:pt idx="10">
                  <c:v>1.0567509265354995</c:v>
                </c:pt>
                <c:pt idx="11">
                  <c:v>1.0624260191890496</c:v>
                </c:pt>
                <c:pt idx="12">
                  <c:v>1.0681011118425996</c:v>
                </c:pt>
                <c:pt idx="13">
                  <c:v>1.0737762044961494</c:v>
                </c:pt>
                <c:pt idx="14">
                  <c:v>1.0794512971496995</c:v>
                </c:pt>
                <c:pt idx="15">
                  <c:v>1.0851263898032493</c:v>
                </c:pt>
                <c:pt idx="16">
                  <c:v>1.0908014824567993</c:v>
                </c:pt>
                <c:pt idx="17">
                  <c:v>1.0964765751103493</c:v>
                </c:pt>
                <c:pt idx="18">
                  <c:v>1.1021516677638992</c:v>
                </c:pt>
                <c:pt idx="19">
                  <c:v>1.1078267604174492</c:v>
                </c:pt>
                <c:pt idx="20">
                  <c:v>1.1135018530709992</c:v>
                </c:pt>
                <c:pt idx="21">
                  <c:v>1.1191769457245491</c:v>
                </c:pt>
                <c:pt idx="22">
                  <c:v>1.1248520383780991</c:v>
                </c:pt>
                <c:pt idx="23">
                  <c:v>1.1305271310316489</c:v>
                </c:pt>
                <c:pt idx="24">
                  <c:v>1.136202223685199</c:v>
                </c:pt>
                <c:pt idx="25">
                  <c:v>1.141877316338749</c:v>
                </c:pt>
                <c:pt idx="26">
                  <c:v>1.1475540577370533</c:v>
                </c:pt>
                <c:pt idx="27">
                  <c:v>1.2536343528524325</c:v>
                </c:pt>
                <c:pt idx="28">
                  <c:v>1.3170040685054707</c:v>
                </c:pt>
                <c:pt idx="29">
                  <c:v>1.380403890614782</c:v>
                </c:pt>
                <c:pt idx="30">
                  <c:v>1.4438338490046898</c:v>
                </c:pt>
                <c:pt idx="31">
                  <c:v>1.5072939735571926</c:v>
                </c:pt>
                <c:pt idx="32">
                  <c:v>1.5707842942091408</c:v>
                </c:pt>
                <c:pt idx="33">
                  <c:v>1.6343048409499579</c:v>
                </c:pt>
                <c:pt idx="34">
                  <c:v>1.6978556438197852</c:v>
                </c:pt>
                <c:pt idx="35">
                  <c:v>1.7614367329079683</c:v>
                </c:pt>
                <c:pt idx="36">
                  <c:v>1.8250481383518142</c:v>
                </c:pt>
                <c:pt idx="37">
                  <c:v>1.8886898903355613</c:v>
                </c:pt>
                <c:pt idx="38">
                  <c:v>1.952362019089537</c:v>
                </c:pt>
                <c:pt idx="39">
                  <c:v>2.0160645548894505</c:v>
                </c:pt>
                <c:pt idx="40">
                  <c:v>2.0797975280558081</c:v>
                </c:pt>
                <c:pt idx="41">
                  <c:v>2.1435609689534298</c:v>
                </c:pt>
                <c:pt idx="42">
                  <c:v>2.2073549079910375</c:v>
                </c:pt>
                <c:pt idx="43">
                  <c:v>2.2711793756209211</c:v>
                </c:pt>
                <c:pt idx="44">
                  <c:v>2.3350344023386569</c:v>
                </c:pt>
                <c:pt idx="45">
                  <c:v>2.3989200186828703</c:v>
                </c:pt>
                <c:pt idx="46">
                  <c:v>2.4628362552350476</c:v>
                </c:pt>
                <c:pt idx="47">
                  <c:v>2.5267831426193723</c:v>
                </c:pt>
                <c:pt idx="48">
                  <c:v>2.590760711502599</c:v>
                </c:pt>
                <c:pt idx="49">
                  <c:v>2.6547689925939446</c:v>
                </c:pt>
                <c:pt idx="50">
                  <c:v>2.7188080166450068</c:v>
                </c:pt>
                <c:pt idx="51">
                  <c:v>2.7828778144496966</c:v>
                </c:pt>
                <c:pt idx="52">
                  <c:v>2.8469784168441934</c:v>
                </c:pt>
                <c:pt idx="53">
                  <c:v>2.9111098547069028</c:v>
                </c:pt>
                <c:pt idx="54">
                  <c:v>2.9752721589584379</c:v>
                </c:pt>
                <c:pt idx="55">
                  <c:v>3.0394653605616053</c:v>
                </c:pt>
                <c:pt idx="56">
                  <c:v>3.103689490521397</c:v>
                </c:pt>
                <c:pt idx="57">
                  <c:v>3.1679445798849972</c:v>
                </c:pt>
                <c:pt idx="58">
                  <c:v>3.2322306597417976</c:v>
                </c:pt>
                <c:pt idx="59">
                  <c:v>3.2965477612234046</c:v>
                </c:pt>
                <c:pt idx="60">
                  <c:v>3.3608959155036704</c:v>
                </c:pt>
                <c:pt idx="61">
                  <c:v>3.4252751537987161</c:v>
                </c:pt>
                <c:pt idx="62">
                  <c:v>3.4896855073669624</c:v>
                </c:pt>
                <c:pt idx="63">
                  <c:v>3.5541270075091704</c:v>
                </c:pt>
                <c:pt idx="64">
                  <c:v>3.6185996855684781</c:v>
                </c:pt>
                <c:pt idx="65">
                  <c:v>3.6831035729304382</c:v>
                </c:pt>
                <c:pt idx="66">
                  <c:v>3.7476387010230674</c:v>
                </c:pt>
                <c:pt idx="67">
                  <c:v>3.8122051013168976</c:v>
                </c:pt>
                <c:pt idx="68">
                  <c:v>3.8768028053250152</c:v>
                </c:pt>
                <c:pt idx="69">
                  <c:v>3.9414318446031196</c:v>
                </c:pt>
                <c:pt idx="70">
                  <c:v>4.0060922507495782</c:v>
                </c:pt>
                <c:pt idx="71">
                  <c:v>4.0707840554054782</c:v>
                </c:pt>
                <c:pt idx="72">
                  <c:v>4.1355072902546803</c:v>
                </c:pt>
                <c:pt idx="73">
                  <c:v>4.2002619870238869</c:v>
                </c:pt>
                <c:pt idx="74">
                  <c:v>4.2650481774826856</c:v>
                </c:pt>
                <c:pt idx="75">
                  <c:v>4.3298658934436256</c:v>
                </c:pt>
                <c:pt idx="76">
                  <c:v>4.3947151667622704</c:v>
                </c:pt>
                <c:pt idx="77">
                  <c:v>4.4595960293372645</c:v>
                </c:pt>
                <c:pt idx="78">
                  <c:v>4.5245085131103879</c:v>
                </c:pt>
                <c:pt idx="79">
                  <c:v>4.5894526500666357</c:v>
                </c:pt>
                <c:pt idx="80">
                  <c:v>4.6544284722342688</c:v>
                </c:pt>
                <c:pt idx="81">
                  <c:v>4.719436011684885</c:v>
                </c:pt>
                <c:pt idx="82">
                  <c:v>4.7844753005334892</c:v>
                </c:pt>
                <c:pt idx="83">
                  <c:v>4.8495463709385511</c:v>
                </c:pt>
                <c:pt idx="84">
                  <c:v>4.9146492551020877</c:v>
                </c:pt>
                <c:pt idx="85">
                  <c:v>4.9797839852697123</c:v>
                </c:pt>
                <c:pt idx="86">
                  <c:v>5.0449505937307171</c:v>
                </c:pt>
                <c:pt idx="87">
                  <c:v>5.110149112818144</c:v>
                </c:pt>
                <c:pt idx="88">
                  <c:v>5.1753795749088383</c:v>
                </c:pt>
                <c:pt idx="89">
                  <c:v>5.2406420124235362</c:v>
                </c:pt>
                <c:pt idx="90">
                  <c:v>5.3059364578269275</c:v>
                </c:pt>
                <c:pt idx="91">
                  <c:v>5.3712629436277259</c:v>
                </c:pt>
                <c:pt idx="92">
                  <c:v>5.436621502378741</c:v>
                </c:pt>
                <c:pt idx="93">
                  <c:v>5.5020121666769519</c:v>
                </c:pt>
                <c:pt idx="94">
                  <c:v>5.5674349691635774</c:v>
                </c:pt>
                <c:pt idx="95">
                  <c:v>5.632889942524149</c:v>
                </c:pt>
                <c:pt idx="96">
                  <c:v>5.6983771194885824</c:v>
                </c:pt>
                <c:pt idx="97">
                  <c:v>5.7638965328312501</c:v>
                </c:pt>
                <c:pt idx="98">
                  <c:v>5.8294482153710581</c:v>
                </c:pt>
                <c:pt idx="99">
                  <c:v>5.8950321999715172</c:v>
                </c:pt>
                <c:pt idx="100">
                  <c:v>5.9606485195408139</c:v>
                </c:pt>
              </c:numCache>
            </c:numRef>
          </c:val>
          <c:smooth val="0"/>
          <c:extLst>
            <c:ext xmlns:c16="http://schemas.microsoft.com/office/drawing/2014/chart" uri="{C3380CC4-5D6E-409C-BE32-E72D297353CC}">
              <c16:uniqueId val="{00000000-745B-46F7-8EAC-D410ADA60268}"/>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1.0068571428571429</c:v>
                </c:pt>
                <c:pt idx="2">
                  <c:v>1.0113501853070999</c:v>
                </c:pt>
                <c:pt idx="3">
                  <c:v>1.0170252779606499</c:v>
                </c:pt>
                <c:pt idx="4">
                  <c:v>1.0227003706141999</c:v>
                </c:pt>
                <c:pt idx="5">
                  <c:v>1.0283754632677498</c:v>
                </c:pt>
                <c:pt idx="6">
                  <c:v>1.0340505559212998</c:v>
                </c:pt>
                <c:pt idx="7">
                  <c:v>1.0397256485748496</c:v>
                </c:pt>
                <c:pt idx="8">
                  <c:v>1.0454007412283997</c:v>
                </c:pt>
                <c:pt idx="9">
                  <c:v>1.0510758338819497</c:v>
                </c:pt>
                <c:pt idx="10">
                  <c:v>1.0567509265354995</c:v>
                </c:pt>
                <c:pt idx="11">
                  <c:v>1.0624260191890496</c:v>
                </c:pt>
                <c:pt idx="12">
                  <c:v>1.0681011118425996</c:v>
                </c:pt>
                <c:pt idx="13">
                  <c:v>1.0737762044961494</c:v>
                </c:pt>
                <c:pt idx="14">
                  <c:v>1.0794512971496995</c:v>
                </c:pt>
                <c:pt idx="15">
                  <c:v>1.0851263898032493</c:v>
                </c:pt>
                <c:pt idx="16">
                  <c:v>1.0908014824567993</c:v>
                </c:pt>
                <c:pt idx="17">
                  <c:v>1.0964765751103493</c:v>
                </c:pt>
                <c:pt idx="18">
                  <c:v>1.1021516677638992</c:v>
                </c:pt>
                <c:pt idx="19">
                  <c:v>1.1078267604174492</c:v>
                </c:pt>
                <c:pt idx="20">
                  <c:v>1.1135018530709992</c:v>
                </c:pt>
                <c:pt idx="21">
                  <c:v>1.1191769457245491</c:v>
                </c:pt>
                <c:pt idx="22">
                  <c:v>1.1248520383780991</c:v>
                </c:pt>
                <c:pt idx="23">
                  <c:v>1.1305271310316489</c:v>
                </c:pt>
                <c:pt idx="24">
                  <c:v>1.136202223685199</c:v>
                </c:pt>
                <c:pt idx="25">
                  <c:v>1.141877316338749</c:v>
                </c:pt>
                <c:pt idx="26">
                  <c:v>1.1475524089922988</c:v>
                </c:pt>
                <c:pt idx="27">
                  <c:v>1.1532275016458489</c:v>
                </c:pt>
                <c:pt idx="28">
                  <c:v>1.1589025942993989</c:v>
                </c:pt>
                <c:pt idx="29">
                  <c:v>1.1645776869529487</c:v>
                </c:pt>
                <c:pt idx="30">
                  <c:v>1.1702527796064988</c:v>
                </c:pt>
                <c:pt idx="31">
                  <c:v>1.1759278722600488</c:v>
                </c:pt>
                <c:pt idx="32">
                  <c:v>1.1816029649135986</c:v>
                </c:pt>
                <c:pt idx="33">
                  <c:v>1.1872780575671487</c:v>
                </c:pt>
                <c:pt idx="34">
                  <c:v>1.1929531502206987</c:v>
                </c:pt>
                <c:pt idx="35">
                  <c:v>1.1986282428742485</c:v>
                </c:pt>
                <c:pt idx="36">
                  <c:v>1.217622599709989</c:v>
                </c:pt>
                <c:pt idx="37">
                  <c:v>1.2405819968328784</c:v>
                </c:pt>
                <c:pt idx="38">
                  <c:v>1.2632334533412295</c:v>
                </c:pt>
                <c:pt idx="39">
                  <c:v>1.2855890479677203</c:v>
                </c:pt>
                <c:pt idx="40">
                  <c:v>1.3076600898731214</c:v>
                </c:pt>
                <c:pt idx="41">
                  <c:v>1.3294571855899222</c:v>
                </c:pt>
                <c:pt idx="42">
                  <c:v>1.3509902986598825</c:v>
                </c:pt>
                <c:pt idx="43">
                  <c:v>1.3722688029170707</c:v>
                </c:pt>
                <c:pt idx="44">
                  <c:v>1.3933015302248488</c:v>
                </c:pt>
                <c:pt idx="45">
                  <c:v>1.4140968133564469</c:v>
                </c:pt>
                <c:pt idx="46">
                  <c:v>1.4346625246096651</c:v>
                </c:pt>
                <c:pt idx="47">
                  <c:v>1.4550061106631968</c:v>
                </c:pt>
                <c:pt idx="48">
                  <c:v>1.4751346241122263</c:v>
                </c:pt>
                <c:pt idx="49">
                  <c:v>1.4950547520619717</c:v>
                </c:pt>
                <c:pt idx="50">
                  <c:v>1.514772842107841</c:v>
                </c:pt>
                <c:pt idx="51">
                  <c:v>1.5342949259883469</c:v>
                </c:pt>
                <c:pt idx="52">
                  <c:v>1.5536267411606044</c:v>
                </c:pt>
                <c:pt idx="53">
                  <c:v>1.572781730233253</c:v>
                </c:pt>
                <c:pt idx="54">
                  <c:v>1.5917673633162308</c:v>
                </c:pt>
                <c:pt idx="55">
                  <c:v>1.6117340654274506</c:v>
                </c:pt>
                <c:pt idx="56">
                  <c:v>1.6492181158968449</c:v>
                </c:pt>
                <c:pt idx="57">
                  <c:v>1.6867316100576375</c:v>
                </c:pt>
                <c:pt idx="58">
                  <c:v>1.7242327334387575</c:v>
                </c:pt>
                <c:pt idx="59">
                  <c:v>1.7617367399899386</c:v>
                </c:pt>
                <c:pt idx="60">
                  <c:v>1.7992436303469248</c:v>
                </c:pt>
                <c:pt idx="61">
                  <c:v>1.8367534051458416</c:v>
                </c:pt>
                <c:pt idx="62">
                  <c:v>1.8742660650231833</c:v>
                </c:pt>
                <c:pt idx="63">
                  <c:v>1.9117816106158001</c:v>
                </c:pt>
                <c:pt idx="64">
                  <c:v>1.949300042560878</c:v>
                </c:pt>
                <c:pt idx="65">
                  <c:v>1.9868213614959358</c:v>
                </c:pt>
                <c:pt idx="66">
                  <c:v>2.0243455680588074</c:v>
                </c:pt>
                <c:pt idx="67">
                  <c:v>2.0618726628876329</c:v>
                </c:pt>
                <c:pt idx="68">
                  <c:v>2.0994026466208555</c:v>
                </c:pt>
                <c:pt idx="69">
                  <c:v>2.1369355198972064</c:v>
                </c:pt>
                <c:pt idx="70">
                  <c:v>2.1744712833557021</c:v>
                </c:pt>
                <c:pt idx="71">
                  <c:v>2.2120099376356332</c:v>
                </c:pt>
                <c:pt idx="72">
                  <c:v>2.249551483376564</c:v>
                </c:pt>
                <c:pt idx="73">
                  <c:v>2.2870959212183219</c:v>
                </c:pt>
                <c:pt idx="74">
                  <c:v>2.3246432518009943</c:v>
                </c:pt>
                <c:pt idx="75">
                  <c:v>2.3621934757649239</c:v>
                </c:pt>
                <c:pt idx="76">
                  <c:v>2.3997465937507059</c:v>
                </c:pt>
                <c:pt idx="77">
                  <c:v>2.4373026063991796</c:v>
                </c:pt>
                <c:pt idx="78">
                  <c:v>2.4748615143514288</c:v>
                </c:pt>
                <c:pt idx="79">
                  <c:v>2.5124233182487767</c:v>
                </c:pt>
                <c:pt idx="80">
                  <c:v>2.5499880187327832</c:v>
                </c:pt>
                <c:pt idx="81">
                  <c:v>2.5875556164452433</c:v>
                </c:pt>
                <c:pt idx="82">
                  <c:v>2.6251261120281804</c:v>
                </c:pt>
                <c:pt idx="83">
                  <c:v>2.6626995061238485</c:v>
                </c:pt>
                <c:pt idx="84">
                  <c:v>2.7002757993747304</c:v>
                </c:pt>
                <c:pt idx="85">
                  <c:v>2.7378549924235251</c:v>
                </c:pt>
                <c:pt idx="86">
                  <c:v>2.7754370859131647</c:v>
                </c:pt>
                <c:pt idx="87">
                  <c:v>2.8130220804867934</c:v>
                </c:pt>
                <c:pt idx="88">
                  <c:v>2.8506099767877782</c:v>
                </c:pt>
                <c:pt idx="89">
                  <c:v>2.8882007754597021</c:v>
                </c:pt>
                <c:pt idx="90">
                  <c:v>2.9257944771463658</c:v>
                </c:pt>
                <c:pt idx="91">
                  <c:v>2.9633910824917828</c:v>
                </c:pt>
                <c:pt idx="92">
                  <c:v>3.0009905921401803</c:v>
                </c:pt>
                <c:pt idx="93">
                  <c:v>3.0385930067359963</c:v>
                </c:pt>
                <c:pt idx="94">
                  <c:v>3.0761983269238833</c:v>
                </c:pt>
                <c:pt idx="95">
                  <c:v>3.1138065533487014</c:v>
                </c:pt>
                <c:pt idx="96">
                  <c:v>3.1514176866555195</c:v>
                </c:pt>
                <c:pt idx="97">
                  <c:v>3.1890317274896161</c:v>
                </c:pt>
                <c:pt idx="98">
                  <c:v>3.2266486764964775</c:v>
                </c:pt>
                <c:pt idx="99">
                  <c:v>3.2642685343217943</c:v>
                </c:pt>
                <c:pt idx="100">
                  <c:v>3.301891301611465</c:v>
                </c:pt>
              </c:numCache>
            </c:numRef>
          </c:val>
          <c:smooth val="0"/>
          <c:extLst>
            <c:ext xmlns:c16="http://schemas.microsoft.com/office/drawing/2014/chart" uri="{C3380CC4-5D6E-409C-BE32-E72D297353CC}">
              <c16:uniqueId val="{00000001-745B-46F7-8EAC-D410ADA60268}"/>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1.0113501853070999</c:v>
                </c:pt>
                <c:pt idx="3">
                  <c:v>1.0170252779606499</c:v>
                </c:pt>
                <c:pt idx="4">
                  <c:v>1.0227003706141999</c:v>
                </c:pt>
                <c:pt idx="5">
                  <c:v>1.0283754632677498</c:v>
                </c:pt>
                <c:pt idx="6">
                  <c:v>1.0340505559212998</c:v>
                </c:pt>
                <c:pt idx="7">
                  <c:v>1.0397256485748496</c:v>
                </c:pt>
                <c:pt idx="8">
                  <c:v>1.0454007412283997</c:v>
                </c:pt>
                <c:pt idx="9">
                  <c:v>1.0510758338819497</c:v>
                </c:pt>
                <c:pt idx="10">
                  <c:v>1.0567509265354995</c:v>
                </c:pt>
                <c:pt idx="11">
                  <c:v>1.0624260191890496</c:v>
                </c:pt>
                <c:pt idx="12">
                  <c:v>1.0681011118425996</c:v>
                </c:pt>
                <c:pt idx="13">
                  <c:v>1.0737762044961494</c:v>
                </c:pt>
                <c:pt idx="14">
                  <c:v>1.0794512971496995</c:v>
                </c:pt>
                <c:pt idx="15">
                  <c:v>1.0851263898032493</c:v>
                </c:pt>
                <c:pt idx="16">
                  <c:v>1.0908014824567993</c:v>
                </c:pt>
                <c:pt idx="17">
                  <c:v>1.0964765751103493</c:v>
                </c:pt>
                <c:pt idx="18">
                  <c:v>1.1021516677638992</c:v>
                </c:pt>
                <c:pt idx="19">
                  <c:v>1.1078267604174492</c:v>
                </c:pt>
                <c:pt idx="20">
                  <c:v>1.1135018530709992</c:v>
                </c:pt>
                <c:pt idx="21">
                  <c:v>1.1191769457245491</c:v>
                </c:pt>
                <c:pt idx="22">
                  <c:v>1.1248520383780991</c:v>
                </c:pt>
                <c:pt idx="23">
                  <c:v>1.1305271310316489</c:v>
                </c:pt>
                <c:pt idx="24">
                  <c:v>1.136202223685199</c:v>
                </c:pt>
                <c:pt idx="25">
                  <c:v>1.141877316338749</c:v>
                </c:pt>
                <c:pt idx="26">
                  <c:v>1.1475524089922988</c:v>
                </c:pt>
                <c:pt idx="27">
                  <c:v>1.1532275016458489</c:v>
                </c:pt>
                <c:pt idx="28">
                  <c:v>1.1589025942993989</c:v>
                </c:pt>
                <c:pt idx="29">
                  <c:v>1.1645776869529487</c:v>
                </c:pt>
                <c:pt idx="30">
                  <c:v>1.1702527796064988</c:v>
                </c:pt>
                <c:pt idx="31">
                  <c:v>1.1759278722600488</c:v>
                </c:pt>
                <c:pt idx="32">
                  <c:v>1.1816029649135986</c:v>
                </c:pt>
                <c:pt idx="33">
                  <c:v>1.1872780575671487</c:v>
                </c:pt>
                <c:pt idx="34">
                  <c:v>1.1929531502206987</c:v>
                </c:pt>
                <c:pt idx="35">
                  <c:v>1.1986282428742485</c:v>
                </c:pt>
                <c:pt idx="36">
                  <c:v>1.217622599709989</c:v>
                </c:pt>
                <c:pt idx="37">
                  <c:v>1.2405819968328784</c:v>
                </c:pt>
                <c:pt idx="38">
                  <c:v>1.2632334533412295</c:v>
                </c:pt>
                <c:pt idx="39">
                  <c:v>1.2855890479677203</c:v>
                </c:pt>
                <c:pt idx="40">
                  <c:v>1.3076600898731214</c:v>
                </c:pt>
                <c:pt idx="41">
                  <c:v>1.3294571855899222</c:v>
                </c:pt>
                <c:pt idx="42">
                  <c:v>1.3509902986598825</c:v>
                </c:pt>
                <c:pt idx="43">
                  <c:v>1.3722688029170707</c:v>
                </c:pt>
                <c:pt idx="44">
                  <c:v>1.3933015302248488</c:v>
                </c:pt>
                <c:pt idx="45">
                  <c:v>1.4140968133564469</c:v>
                </c:pt>
                <c:pt idx="46">
                  <c:v>1.4346625246096651</c:v>
                </c:pt>
                <c:pt idx="47">
                  <c:v>1.4550061106631968</c:v>
                </c:pt>
                <c:pt idx="48">
                  <c:v>1.4751346241122263</c:v>
                </c:pt>
                <c:pt idx="49">
                  <c:v>1.4950547520619717</c:v>
                </c:pt>
                <c:pt idx="50">
                  <c:v>1.514772842107841</c:v>
                </c:pt>
                <c:pt idx="51">
                  <c:v>1.5342949259883469</c:v>
                </c:pt>
                <c:pt idx="52">
                  <c:v>1.5536267411606044</c:v>
                </c:pt>
                <c:pt idx="53">
                  <c:v>1.5727737505171691</c:v>
                </c:pt>
                <c:pt idx="54">
                  <c:v>1.591741160436237</c:v>
                </c:pt>
                <c:pt idx="55">
                  <c:v>1.6105339373342289</c:v>
                </c:pt>
                <c:pt idx="56">
                  <c:v>1.6291568228698836</c:v>
                </c:pt>
                <c:pt idx="57">
                  <c:v>1.6476143479317473</c:v>
                </c:pt>
                <c:pt idx="58">
                  <c:v>1.6659108455259712</c:v>
                </c:pt>
                <c:pt idx="59">
                  <c:v>1.6840504626682742</c:v>
                </c:pt>
                <c:pt idx="60">
                  <c:v>1.7020371713725311</c:v>
                </c:pt>
                <c:pt idx="61">
                  <c:v>1.7198747788184838</c:v>
                </c:pt>
                <c:pt idx="62">
                  <c:v>1.7375669367722832</c:v>
                </c:pt>
                <c:pt idx="63">
                  <c:v>1.7551171503259131</c:v>
                </c:pt>
                <c:pt idx="64">
                  <c:v>1.7725287860147181</c:v>
                </c:pt>
                <c:pt idx="65">
                  <c:v>1.7898050793662965</c:v>
                </c:pt>
                <c:pt idx="66">
                  <c:v>1.8069491419286863</c:v>
                </c:pt>
                <c:pt idx="67">
                  <c:v>1.8239639678210962</c:v>
                </c:pt>
                <c:pt idx="68">
                  <c:v>1.8408524398462189</c:v>
                </c:pt>
                <c:pt idx="69">
                  <c:v>1.857617335199482</c:v>
                </c:pt>
                <c:pt idx="70">
                  <c:v>1.87426133080724</c:v>
                </c:pt>
                <c:pt idx="71">
                  <c:v>1.8908008120267905</c:v>
                </c:pt>
                <c:pt idx="72">
                  <c:v>1.9072264299301049</c:v>
                </c:pt>
                <c:pt idx="73">
                  <c:v>1.9235390488053172</c:v>
                </c:pt>
                <c:pt idx="74">
                  <c:v>1.9469976527555666</c:v>
                </c:pt>
                <c:pt idx="75">
                  <c:v>1.9793994642883699</c:v>
                </c:pt>
                <c:pt idx="76">
                  <c:v>2.011790141998727</c:v>
                </c:pt>
                <c:pt idx="77">
                  <c:v>2.0441776930534825</c:v>
                </c:pt>
                <c:pt idx="78">
                  <c:v>2.0765664699282946</c:v>
                </c:pt>
                <c:pt idx="79">
                  <c:v>2.1089564727790178</c:v>
                </c:pt>
                <c:pt idx="80">
                  <c:v>2.1413477017615588</c:v>
                </c:pt>
                <c:pt idx="81">
                  <c:v>2.1737401570318804</c:v>
                </c:pt>
                <c:pt idx="82">
                  <c:v>2.2061338387459952</c:v>
                </c:pt>
                <c:pt idx="83">
                  <c:v>2.2385287470599646</c:v>
                </c:pt>
                <c:pt idx="84">
                  <c:v>2.2709248821299028</c:v>
                </c:pt>
                <c:pt idx="85">
                  <c:v>2.3033222441119658</c:v>
                </c:pt>
                <c:pt idx="86">
                  <c:v>2.335720833162358</c:v>
                </c:pt>
                <c:pt idx="87">
                  <c:v>2.3681206494373277</c:v>
                </c:pt>
                <c:pt idx="88">
                  <c:v>2.4005216930931699</c:v>
                </c:pt>
                <c:pt idx="89">
                  <c:v>2.4329239642862186</c:v>
                </c:pt>
                <c:pt idx="90">
                  <c:v>2.4653274631728515</c:v>
                </c:pt>
                <c:pt idx="91">
                  <c:v>2.4977321899094864</c:v>
                </c:pt>
                <c:pt idx="92">
                  <c:v>2.530138144652585</c:v>
                </c:pt>
                <c:pt idx="93">
                  <c:v>2.5625453275586416</c:v>
                </c:pt>
                <c:pt idx="94">
                  <c:v>2.594953738784195</c:v>
                </c:pt>
                <c:pt idx="95">
                  <c:v>2.6273633784858212</c:v>
                </c:pt>
                <c:pt idx="96">
                  <c:v>2.6597742468201311</c:v>
                </c:pt>
                <c:pt idx="97">
                  <c:v>2.6921863439437761</c:v>
                </c:pt>
                <c:pt idx="98">
                  <c:v>2.7245996700134421</c:v>
                </c:pt>
                <c:pt idx="99">
                  <c:v>2.7570142251858507</c:v>
                </c:pt>
                <c:pt idx="100">
                  <c:v>2.7894300096177593</c:v>
                </c:pt>
              </c:numCache>
            </c:numRef>
          </c:val>
          <c:smooth val="0"/>
          <c:extLst>
            <c:ext xmlns:c16="http://schemas.microsoft.com/office/drawing/2014/chart" uri="{C3380CC4-5D6E-409C-BE32-E72D297353CC}">
              <c16:uniqueId val="{00000002-745B-46F7-8EAC-D410ADA60268}"/>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2.6549245636923988E-5</c:v>
                </c:pt>
                <c:pt idx="1">
                  <c:v>70.04569440526835</c:v>
                </c:pt>
                <c:pt idx="2">
                  <c:v>76.28977039768678</c:v>
                </c:pt>
                <c:pt idx="3">
                  <c:v>77.858664275156926</c:v>
                </c:pt>
                <c:pt idx="4">
                  <c:v>78.667110027461746</c:v>
                </c:pt>
                <c:pt idx="5">
                  <c:v>79.159921446088049</c:v>
                </c:pt>
                <c:pt idx="6">
                  <c:v>79.491599946940767</c:v>
                </c:pt>
                <c:pt idx="7">
                  <c:v>79.7299550700575</c:v>
                </c:pt>
                <c:pt idx="8">
                  <c:v>79.909428642927125</c:v>
                </c:pt>
                <c:pt idx="9">
                  <c:v>80.049370925815239</c:v>
                </c:pt>
                <c:pt idx="10">
                  <c:v>80.16149047025003</c:v>
                </c:pt>
                <c:pt idx="11">
                  <c:v>80.253287434166381</c:v>
                </c:pt>
                <c:pt idx="12">
                  <c:v>80.329788463808342</c:v>
                </c:pt>
                <c:pt idx="13">
                  <c:v>80.394488713958694</c:v>
                </c:pt>
                <c:pt idx="14">
                  <c:v>80.449893824500421</c:v>
                </c:pt>
                <c:pt idx="15">
                  <c:v>80.497846951460161</c:v>
                </c:pt>
                <c:pt idx="16">
                  <c:v>80.539734140457668</c:v>
                </c:pt>
                <c:pt idx="17">
                  <c:v>80.576617760293544</c:v>
                </c:pt>
                <c:pt idx="18">
                  <c:v>80.60932577458199</c:v>
                </c:pt>
                <c:pt idx="19">
                  <c:v>80.638513012103445</c:v>
                </c:pt>
                <c:pt idx="20">
                  <c:v>80.664704173632913</c:v>
                </c:pt>
                <c:pt idx="21">
                  <c:v>80.688324625985402</c:v>
                </c:pt>
                <c:pt idx="22">
                  <c:v>80.709722846553163</c:v>
                </c:pt>
                <c:pt idx="23">
                  <c:v>80.7291870453423</c:v>
                </c:pt>
                <c:pt idx="24">
                  <c:v>80.746957653675835</c:v>
                </c:pt>
                <c:pt idx="25">
                  <c:v>80.763236830966264</c:v>
                </c:pt>
                <c:pt idx="26">
                  <c:v>80.778195788428732</c:v>
                </c:pt>
                <c:pt idx="27">
                  <c:v>80.791980493027026</c:v>
                </c:pt>
                <c:pt idx="28">
                  <c:v>80.804716154740404</c:v>
                </c:pt>
                <c:pt idx="29">
                  <c:v>80.816510789534291</c:v>
                </c:pt>
                <c:pt idx="30">
                  <c:v>80.827458072782235</c:v>
                </c:pt>
                <c:pt idx="31">
                  <c:v>80.837639642697198</c:v>
                </c:pt>
                <c:pt idx="32">
                  <c:v>80.847126973600169</c:v>
                </c:pt>
                <c:pt idx="33">
                  <c:v>80.855982909918396</c:v>
                </c:pt>
                <c:pt idx="34">
                  <c:v>80.864262930499365</c:v>
                </c:pt>
                <c:pt idx="35">
                  <c:v>80.872016196979558</c:v>
                </c:pt>
                <c:pt idx="36">
                  <c:v>81.000445297210277</c:v>
                </c:pt>
                <c:pt idx="37">
                  <c:v>81.160756942714201</c:v>
                </c:pt>
                <c:pt idx="38">
                  <c:v>81.313950497336023</c:v>
                </c:pt>
                <c:pt idx="39">
                  <c:v>81.46050547056953</c:v>
                </c:pt>
                <c:pt idx="40">
                  <c:v>81.600858248396648</c:v>
                </c:pt>
                <c:pt idx="41">
                  <c:v>81.735406896940916</c:v>
                </c:pt>
                <c:pt idx="42">
                  <c:v>81.864515332738847</c:v>
                </c:pt>
                <c:pt idx="43">
                  <c:v>81.988516955515777</c:v>
                </c:pt>
                <c:pt idx="44">
                  <c:v>82.107717823047196</c:v>
                </c:pt>
                <c:pt idx="45">
                  <c:v>82.222399434442821</c:v>
                </c:pt>
                <c:pt idx="46">
                  <c:v>82.332821177386109</c:v>
                </c:pt>
                <c:pt idx="47">
                  <c:v>82.43922248600191</c:v>
                </c:pt>
                <c:pt idx="48">
                  <c:v>82.54182474873005</c:v>
                </c:pt>
                <c:pt idx="49">
                  <c:v>82.640832999549801</c:v>
                </c:pt>
                <c:pt idx="50">
                  <c:v>82.736437420890667</c:v>
                </c:pt>
                <c:pt idx="51">
                  <c:v>82.828814682389677</c:v>
                </c:pt>
                <c:pt idx="52">
                  <c:v>83.086004264847119</c:v>
                </c:pt>
                <c:pt idx="53">
                  <c:v>83.352033696977571</c:v>
                </c:pt>
                <c:pt idx="54">
                  <c:v>83.60786051425265</c:v>
                </c:pt>
                <c:pt idx="55">
                  <c:v>83.847379490805707</c:v>
                </c:pt>
                <c:pt idx="56">
                  <c:v>83.9803701249554</c:v>
                </c:pt>
                <c:pt idx="57">
                  <c:v>84.107658578708211</c:v>
                </c:pt>
                <c:pt idx="58">
                  <c:v>84.229504887606296</c:v>
                </c:pt>
                <c:pt idx="59">
                  <c:v>84.346220857753067</c:v>
                </c:pt>
                <c:pt idx="60">
                  <c:v>84.458077082227433</c:v>
                </c:pt>
                <c:pt idx="61">
                  <c:v>84.565325935560836</c:v>
                </c:pt>
                <c:pt idx="62">
                  <c:v>84.668203044139048</c:v>
                </c:pt>
                <c:pt idx="63">
                  <c:v>84.766928619316872</c:v>
                </c:pt>
                <c:pt idx="64">
                  <c:v>84.861708667702828</c:v>
                </c:pt>
                <c:pt idx="65">
                  <c:v>84.952736091385532</c:v>
                </c:pt>
                <c:pt idx="66">
                  <c:v>85.04019168940296</c:v>
                </c:pt>
                <c:pt idx="67">
                  <c:v>85.124245070469456</c:v>
                </c:pt>
                <c:pt idx="68">
                  <c:v>85.205055485849215</c:v>
                </c:pt>
                <c:pt idx="69">
                  <c:v>85.282772590277176</c:v>
                </c:pt>
                <c:pt idx="70">
                  <c:v>85.357537137960662</c:v>
                </c:pt>
                <c:pt idx="71">
                  <c:v>85.429481619931565</c:v>
                </c:pt>
                <c:pt idx="72">
                  <c:v>85.498730848346014</c:v>
                </c:pt>
                <c:pt idx="73">
                  <c:v>85.565402492734833</c:v>
                </c:pt>
                <c:pt idx="74">
                  <c:v>85.629607572683526</c:v>
                </c:pt>
                <c:pt idx="75">
                  <c:v>85.691450910955851</c:v>
                </c:pt>
                <c:pt idx="76">
                  <c:v>85.75103155066374</c:v>
                </c:pt>
                <c:pt idx="77">
                  <c:v>85.808443139720822</c:v>
                </c:pt>
                <c:pt idx="78">
                  <c:v>85.863774285492354</c:v>
                </c:pt>
                <c:pt idx="79">
                  <c:v>85.917108882265126</c:v>
                </c:pt>
                <c:pt idx="80">
                  <c:v>85.968526413903859</c:v>
                </c:pt>
                <c:pt idx="81">
                  <c:v>86.018102233830746</c:v>
                </c:pt>
                <c:pt idx="82">
                  <c:v>86.065907824259412</c:v>
                </c:pt>
                <c:pt idx="83">
                  <c:v>86.112011036431539</c:v>
                </c:pt>
                <c:pt idx="84">
                  <c:v>86.156476313439313</c:v>
                </c:pt>
                <c:pt idx="85">
                  <c:v>86.199364897070367</c:v>
                </c:pt>
                <c:pt idx="86">
                  <c:v>86.240735019978828</c:v>
                </c:pt>
                <c:pt idx="87">
                  <c:v>86.280642084367827</c:v>
                </c:pt>
                <c:pt idx="88">
                  <c:v>86.319138828261359</c:v>
                </c:pt>
                <c:pt idx="89">
                  <c:v>86.356275480347605</c:v>
                </c:pt>
                <c:pt idx="90">
                  <c:v>86.392099904288727</c:v>
                </c:pt>
                <c:pt idx="91">
                  <c:v>86.426657733313334</c:v>
                </c:pt>
                <c:pt idx="92">
                  <c:v>86.459992495838293</c:v>
                </c:pt>
                <c:pt idx="93">
                  <c:v>86.492145732800864</c:v>
                </c:pt>
                <c:pt idx="94">
                  <c:v>86.523157107325432</c:v>
                </c:pt>
                <c:pt idx="95">
                  <c:v>86.553064507296014</c:v>
                </c:pt>
                <c:pt idx="96">
                  <c:v>86.581904141358095</c:v>
                </c:pt>
                <c:pt idx="97">
                  <c:v>86.6097106288303</c:v>
                </c:pt>
                <c:pt idx="98">
                  <c:v>86.636517083966595</c:v>
                </c:pt>
                <c:pt idx="99">
                  <c:v>86.66235519497468</c:v>
                </c:pt>
                <c:pt idx="100">
                  <c:v>86.687255298162938</c:v>
                </c:pt>
              </c:numCache>
            </c:numRef>
          </c:val>
          <c:smooth val="0"/>
          <c:extLst>
            <c:ext xmlns:c16="http://schemas.microsoft.com/office/drawing/2014/chart" uri="{C3380CC4-5D6E-409C-BE32-E72D297353CC}">
              <c16:uniqueId val="{00000000-8093-4275-A0A4-629DC5917466}"/>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8.6799999999999988E-7</c:v>
                </c:pt>
                <c:pt idx="1">
                  <c:v>8.6799999999999979</c:v>
                </c:pt>
                <c:pt idx="2">
                  <c:v>17.359999999999996</c:v>
                </c:pt>
                <c:pt idx="3">
                  <c:v>26.039999999999996</c:v>
                </c:pt>
                <c:pt idx="4">
                  <c:v>34.719999999999992</c:v>
                </c:pt>
                <c:pt idx="5">
                  <c:v>43.399999999999991</c:v>
                </c:pt>
                <c:pt idx="6">
                  <c:v>52.079999999999991</c:v>
                </c:pt>
                <c:pt idx="7">
                  <c:v>60.76</c:v>
                </c:pt>
                <c:pt idx="8">
                  <c:v>69.439999999999984</c:v>
                </c:pt>
                <c:pt idx="9">
                  <c:v>78.11999999999999</c:v>
                </c:pt>
                <c:pt idx="10">
                  <c:v>86.799999999999983</c:v>
                </c:pt>
                <c:pt idx="11">
                  <c:v>95.47999999999999</c:v>
                </c:pt>
                <c:pt idx="12">
                  <c:v>104.15999999999998</c:v>
                </c:pt>
                <c:pt idx="13">
                  <c:v>112.83999999999999</c:v>
                </c:pt>
                <c:pt idx="14">
                  <c:v>121.52</c:v>
                </c:pt>
                <c:pt idx="15">
                  <c:v>130.19999999999999</c:v>
                </c:pt>
                <c:pt idx="16">
                  <c:v>138.87999999999997</c:v>
                </c:pt>
                <c:pt idx="17">
                  <c:v>147.56</c:v>
                </c:pt>
                <c:pt idx="18">
                  <c:v>156.23999999999998</c:v>
                </c:pt>
                <c:pt idx="19">
                  <c:v>164.92</c:v>
                </c:pt>
                <c:pt idx="20">
                  <c:v>173.59999999999997</c:v>
                </c:pt>
                <c:pt idx="21">
                  <c:v>182.28</c:v>
                </c:pt>
                <c:pt idx="22">
                  <c:v>190.95999999999998</c:v>
                </c:pt>
                <c:pt idx="23">
                  <c:v>199.64000000000001</c:v>
                </c:pt>
                <c:pt idx="24">
                  <c:v>208.31999999999996</c:v>
                </c:pt>
                <c:pt idx="25">
                  <c:v>217</c:v>
                </c:pt>
                <c:pt idx="26">
                  <c:v>225.67999999999998</c:v>
                </c:pt>
                <c:pt idx="27">
                  <c:v>234.36</c:v>
                </c:pt>
                <c:pt idx="28">
                  <c:v>243.04</c:v>
                </c:pt>
                <c:pt idx="29">
                  <c:v>251.72</c:v>
                </c:pt>
                <c:pt idx="30">
                  <c:v>260.39999999999998</c:v>
                </c:pt>
                <c:pt idx="31">
                  <c:v>269.08</c:v>
                </c:pt>
                <c:pt idx="32">
                  <c:v>277.75999999999993</c:v>
                </c:pt>
                <c:pt idx="33">
                  <c:v>286.44</c:v>
                </c:pt>
                <c:pt idx="34">
                  <c:v>295.12</c:v>
                </c:pt>
                <c:pt idx="35">
                  <c:v>303.79999999999995</c:v>
                </c:pt>
                <c:pt idx="36">
                  <c:v>312.47999999999996</c:v>
                </c:pt>
                <c:pt idx="37">
                  <c:v>321.16000000000003</c:v>
                </c:pt>
                <c:pt idx="38">
                  <c:v>329.84</c:v>
                </c:pt>
                <c:pt idx="39">
                  <c:v>338.51999999999992</c:v>
                </c:pt>
                <c:pt idx="40">
                  <c:v>347.19999999999993</c:v>
                </c:pt>
                <c:pt idx="41">
                  <c:v>355.88</c:v>
                </c:pt>
                <c:pt idx="42">
                  <c:v>364.56</c:v>
                </c:pt>
                <c:pt idx="43">
                  <c:v>373.23999999999995</c:v>
                </c:pt>
                <c:pt idx="44">
                  <c:v>381.91999999999996</c:v>
                </c:pt>
                <c:pt idx="45">
                  <c:v>390.6</c:v>
                </c:pt>
                <c:pt idx="46">
                  <c:v>399.28000000000003</c:v>
                </c:pt>
                <c:pt idx="47">
                  <c:v>407.95999999999992</c:v>
                </c:pt>
                <c:pt idx="48">
                  <c:v>416.63999999999993</c:v>
                </c:pt>
                <c:pt idx="49">
                  <c:v>425.32</c:v>
                </c:pt>
                <c:pt idx="50">
                  <c:v>434</c:v>
                </c:pt>
                <c:pt idx="51">
                  <c:v>442.67999999999995</c:v>
                </c:pt>
                <c:pt idx="52">
                  <c:v>451.35999999999996</c:v>
                </c:pt>
                <c:pt idx="53">
                  <c:v>460.04</c:v>
                </c:pt>
                <c:pt idx="54">
                  <c:v>468.72</c:v>
                </c:pt>
                <c:pt idx="55">
                  <c:v>477.4</c:v>
                </c:pt>
                <c:pt idx="56">
                  <c:v>486.08</c:v>
                </c:pt>
                <c:pt idx="57">
                  <c:v>494.76</c:v>
                </c:pt>
                <c:pt idx="58">
                  <c:v>503.44</c:v>
                </c:pt>
                <c:pt idx="59">
                  <c:v>512.12</c:v>
                </c:pt>
                <c:pt idx="60">
                  <c:v>520.79999999999995</c:v>
                </c:pt>
                <c:pt idx="61">
                  <c:v>529.4799999999999</c:v>
                </c:pt>
                <c:pt idx="62">
                  <c:v>538.16</c:v>
                </c:pt>
                <c:pt idx="63">
                  <c:v>546.83999999999992</c:v>
                </c:pt>
                <c:pt idx="64">
                  <c:v>555.51999999999987</c:v>
                </c:pt>
                <c:pt idx="65">
                  <c:v>564.19999999999993</c:v>
                </c:pt>
                <c:pt idx="66">
                  <c:v>572.88</c:v>
                </c:pt>
                <c:pt idx="67">
                  <c:v>581.55999999999995</c:v>
                </c:pt>
                <c:pt idx="68">
                  <c:v>590.24</c:v>
                </c:pt>
                <c:pt idx="69">
                  <c:v>598.91999999999985</c:v>
                </c:pt>
                <c:pt idx="70">
                  <c:v>607.59999999999991</c:v>
                </c:pt>
                <c:pt idx="71">
                  <c:v>616.28</c:v>
                </c:pt>
                <c:pt idx="72">
                  <c:v>624.95999999999992</c:v>
                </c:pt>
                <c:pt idx="73">
                  <c:v>633.64</c:v>
                </c:pt>
                <c:pt idx="74">
                  <c:v>642.32000000000005</c:v>
                </c:pt>
                <c:pt idx="75">
                  <c:v>650.99999999999989</c:v>
                </c:pt>
                <c:pt idx="76">
                  <c:v>659.68</c:v>
                </c:pt>
                <c:pt idx="77">
                  <c:v>668.3599999999999</c:v>
                </c:pt>
                <c:pt idx="78">
                  <c:v>677.03999999999985</c:v>
                </c:pt>
                <c:pt idx="79">
                  <c:v>685.71999999999991</c:v>
                </c:pt>
                <c:pt idx="80">
                  <c:v>694.39999999999986</c:v>
                </c:pt>
                <c:pt idx="81">
                  <c:v>703.07999999999993</c:v>
                </c:pt>
                <c:pt idx="82">
                  <c:v>711.76</c:v>
                </c:pt>
                <c:pt idx="83">
                  <c:v>720.43999999999994</c:v>
                </c:pt>
                <c:pt idx="84">
                  <c:v>729.12</c:v>
                </c:pt>
                <c:pt idx="85">
                  <c:v>737.8</c:v>
                </c:pt>
                <c:pt idx="86">
                  <c:v>746.4799999999999</c:v>
                </c:pt>
                <c:pt idx="87">
                  <c:v>755.16</c:v>
                </c:pt>
                <c:pt idx="88">
                  <c:v>763.83999999999992</c:v>
                </c:pt>
                <c:pt idx="89">
                  <c:v>772.52</c:v>
                </c:pt>
                <c:pt idx="90">
                  <c:v>781.2</c:v>
                </c:pt>
                <c:pt idx="91">
                  <c:v>789.88</c:v>
                </c:pt>
                <c:pt idx="92">
                  <c:v>798.56000000000006</c:v>
                </c:pt>
                <c:pt idx="93">
                  <c:v>807.24000000000012</c:v>
                </c:pt>
                <c:pt idx="94">
                  <c:v>815.91999999999985</c:v>
                </c:pt>
                <c:pt idx="95">
                  <c:v>824.59999999999991</c:v>
                </c:pt>
                <c:pt idx="96">
                  <c:v>833.27999999999986</c:v>
                </c:pt>
                <c:pt idx="97">
                  <c:v>841.95999999999992</c:v>
                </c:pt>
                <c:pt idx="98">
                  <c:v>850.64</c:v>
                </c:pt>
                <c:pt idx="99">
                  <c:v>859.31999999999994</c:v>
                </c:pt>
                <c:pt idx="100">
                  <c:v>868</c:v>
                </c:pt>
              </c:numCache>
            </c:numRef>
          </c:val>
          <c:smooth val="0"/>
          <c:extLst>
            <c:ext xmlns:c16="http://schemas.microsoft.com/office/drawing/2014/chart" uri="{C3380CC4-5D6E-409C-BE32-E72D297353CC}">
              <c16:uniqueId val="{00000001-8093-4275-A0A4-629DC5917466}"/>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28.556611587958781</c:v>
                </c:pt>
                <c:pt idx="1">
                  <c:v>28.569611905477039</c:v>
                </c:pt>
                <c:pt idx="2">
                  <c:v>47.296984985095825</c:v>
                </c:pt>
                <c:pt idx="3">
                  <c:v>70.955721144117703</c:v>
                </c:pt>
                <c:pt idx="4">
                  <c:v>94.621290358854992</c:v>
                </c:pt>
                <c:pt idx="5">
                  <c:v>118.29369558999376</c:v>
                </c:pt>
                <c:pt idx="6">
                  <c:v>141.97293979993077</c:v>
                </c:pt>
                <c:pt idx="7">
                  <c:v>165.65902595277481</c:v>
                </c:pt>
                <c:pt idx="8">
                  <c:v>189.35195701434765</c:v>
                </c:pt>
                <c:pt idx="9">
                  <c:v>213.05173595218548</c:v>
                </c:pt>
                <c:pt idx="10">
                  <c:v>236.75836573554039</c:v>
                </c:pt>
                <c:pt idx="11">
                  <c:v>260.47184933538102</c:v>
                </c:pt>
                <c:pt idx="12">
                  <c:v>284.19218972439432</c:v>
                </c:pt>
                <c:pt idx="13">
                  <c:v>307.9193898769866</c:v>
                </c:pt>
                <c:pt idx="14">
                  <c:v>331.65345276928457</c:v>
                </c:pt>
                <c:pt idx="15">
                  <c:v>355.39438137913697</c:v>
                </c:pt>
                <c:pt idx="16">
                  <c:v>379.14217868611581</c:v>
                </c:pt>
                <c:pt idx="17">
                  <c:v>402.89684767151709</c:v>
                </c:pt>
                <c:pt idx="18">
                  <c:v>426.65839131836248</c:v>
                </c:pt>
                <c:pt idx="19">
                  <c:v>450.42681261140081</c:v>
                </c:pt>
                <c:pt idx="20">
                  <c:v>474.20211453710851</c:v>
                </c:pt>
                <c:pt idx="21">
                  <c:v>497.98430008369166</c:v>
                </c:pt>
                <c:pt idx="22">
                  <c:v>521.77337224108692</c:v>
                </c:pt>
                <c:pt idx="23">
                  <c:v>545.56933400096261</c:v>
                </c:pt>
                <c:pt idx="24">
                  <c:v>569.37218835672036</c:v>
                </c:pt>
                <c:pt idx="25">
                  <c:v>593.18193830349583</c:v>
                </c:pt>
                <c:pt idx="26">
                  <c:v>616.99858683816115</c:v>
                </c:pt>
                <c:pt idx="27">
                  <c:v>640.8221369593241</c:v>
                </c:pt>
                <c:pt idx="28">
                  <c:v>664.65259166733119</c:v>
                </c:pt>
                <c:pt idx="29">
                  <c:v>688.48995396426835</c:v>
                </c:pt>
                <c:pt idx="30">
                  <c:v>712.33422685396226</c:v>
                </c:pt>
                <c:pt idx="31">
                  <c:v>736.18541334198142</c:v>
                </c:pt>
                <c:pt idx="32">
                  <c:v>760.04351643563734</c:v>
                </c:pt>
                <c:pt idx="33">
                  <c:v>783.90853914398599</c:v>
                </c:pt>
                <c:pt idx="34">
                  <c:v>807.78048447782896</c:v>
                </c:pt>
                <c:pt idx="35">
                  <c:v>831.65935544971501</c:v>
                </c:pt>
                <c:pt idx="36">
                  <c:v>846.06364081844526</c:v>
                </c:pt>
                <c:pt idx="37">
                  <c:v>857.34676436307859</c:v>
                </c:pt>
                <c:pt idx="38">
                  <c:v>868.52093850366236</c:v>
                </c:pt>
                <c:pt idx="39">
                  <c:v>879.59115578274509</c:v>
                </c:pt>
                <c:pt idx="40">
                  <c:v>890.56208709950101</c:v>
                </c:pt>
                <c:pt idx="41">
                  <c:v>901.43810989907433</c:v>
                </c:pt>
                <c:pt idx="42">
                  <c:v>912.22333327324873</c:v>
                </c:pt>
                <c:pt idx="43">
                  <c:v>922.92162037573598</c:v>
                </c:pt>
                <c:pt idx="44">
                  <c:v>933.53660849461335</c:v>
                </c:pt>
                <c:pt idx="45">
                  <c:v>944.07172707400991</c:v>
                </c:pt>
                <c:pt idx="46">
                  <c:v>954.53021393509243</c:v>
                </c:pt>
                <c:pt idx="47">
                  <c:v>964.91512991117179</c:v>
                </c:pt>
                <c:pt idx="48">
                  <c:v>975.22937208212727</c:v>
                </c:pt>
                <c:pt idx="49">
                  <c:v>985.47568576833919</c:v>
                </c:pt>
                <c:pt idx="50">
                  <c:v>995.65667542313111</c:v>
                </c:pt>
                <c:pt idx="51">
                  <c:v>1005.7748145446865</c:v>
                </c:pt>
                <c:pt idx="52">
                  <c:v>999.34033319549701</c:v>
                </c:pt>
                <c:pt idx="53">
                  <c:v>991.22304167402979</c:v>
                </c:pt>
                <c:pt idx="54">
                  <c:v>983.3158440517135</c:v>
                </c:pt>
                <c:pt idx="55">
                  <c:v>976.18597481505981</c:v>
                </c:pt>
                <c:pt idx="56">
                  <c:v>977.83364000818676</c:v>
                </c:pt>
                <c:pt idx="57">
                  <c:v>979.54489338561598</c:v>
                </c:pt>
                <c:pt idx="58">
                  <c:v>981.31872354741461</c:v>
                </c:pt>
                <c:pt idx="59">
                  <c:v>983.15438172691631</c:v>
                </c:pt>
                <c:pt idx="60">
                  <c:v>985.05115346245793</c:v>
                </c:pt>
                <c:pt idx="61">
                  <c:v>987.00837744353123</c:v>
                </c:pt>
                <c:pt idx="62">
                  <c:v>989.0254416404498</c:v>
                </c:pt>
                <c:pt idx="63">
                  <c:v>991.10177978274555</c:v>
                </c:pt>
                <c:pt idx="64">
                  <c:v>993.2368681503541</c:v>
                </c:pt>
                <c:pt idx="65">
                  <c:v>995.43022264581657</c:v>
                </c:pt>
                <c:pt idx="66">
                  <c:v>997.68139611937886</c:v>
                </c:pt>
                <c:pt idx="67">
                  <c:v>999.98997592200601</c:v>
                </c:pt>
                <c:pt idx="68">
                  <c:v>1002.3555816641725</c:v>
                </c:pt>
                <c:pt idx="69">
                  <c:v>1004.7778631606539</c:v>
                </c:pt>
                <c:pt idx="70">
                  <c:v>1007.2564985437414</c:v>
                </c:pt>
                <c:pt idx="71">
                  <c:v>1009.7911925291385</c:v>
                </c:pt>
                <c:pt idx="72">
                  <c:v>1012.3816748205028</c:v>
                </c:pt>
                <c:pt idx="73">
                  <c:v>1015.027698640006</c:v>
                </c:pt>
                <c:pt idx="74">
                  <c:v>1017.7290393736314</c:v>
                </c:pt>
                <c:pt idx="75">
                  <c:v>1020.4854933210397</c:v>
                </c:pt>
                <c:pt idx="76">
                  <c:v>1023.2968765408706</c:v>
                </c:pt>
                <c:pt idx="77">
                  <c:v>1026.163023783246</c:v>
                </c:pt>
                <c:pt idx="78">
                  <c:v>1029.0837875020391</c:v>
                </c:pt>
                <c:pt idx="79">
                  <c:v>1032.0590369402116</c:v>
                </c:pt>
                <c:pt idx="80">
                  <c:v>1035.0886572821344</c:v>
                </c:pt>
                <c:pt idx="81">
                  <c:v>1038.1725488674022</c:v>
                </c:pt>
                <c:pt idx="82">
                  <c:v>1041.3106264611581</c:v>
                </c:pt>
                <c:pt idx="83">
                  <c:v>1044.5028185763947</c:v>
                </c:pt>
                <c:pt idx="84">
                  <c:v>1047.749066844131</c:v>
                </c:pt>
                <c:pt idx="85">
                  <c:v>1051.0493254277064</c:v>
                </c:pt>
                <c:pt idx="86">
                  <c:v>1054.4035604778023</c:v>
                </c:pt>
                <c:pt idx="87">
                  <c:v>1057.811749625067</c:v>
                </c:pt>
                <c:pt idx="88">
                  <c:v>1061.2738815075149</c:v>
                </c:pt>
                <c:pt idx="89">
                  <c:v>1064.7899553301113</c:v>
                </c:pt>
                <c:pt idx="90">
                  <c:v>1068.3599804541611</c:v>
                </c:pt>
                <c:pt idx="91">
                  <c:v>1071.9839760143416</c:v>
                </c:pt>
                <c:pt idx="92">
                  <c:v>1075.6619705613878</c:v>
                </c:pt>
                <c:pt idx="93">
                  <c:v>1079.3940017286025</c:v>
                </c:pt>
                <c:pt idx="94">
                  <c:v>1083.180115920522</c:v>
                </c:pt>
                <c:pt idx="95">
                  <c:v>1087.0203680221971</c:v>
                </c:pt>
                <c:pt idx="96">
                  <c:v>1090.9148211276747</c:v>
                </c:pt>
                <c:pt idx="97">
                  <c:v>1094.8635462863779</c:v>
                </c:pt>
                <c:pt idx="98">
                  <c:v>1098.8666222661848</c:v>
                </c:pt>
                <c:pt idx="99">
                  <c:v>1102.9241353321067</c:v>
                </c:pt>
                <c:pt idx="100">
                  <c:v>1107.0361790395373</c:v>
                </c:pt>
              </c:numCache>
            </c:numRef>
          </c:val>
          <c:smooth val="0"/>
          <c:extLst>
            <c:ext xmlns:c16="http://schemas.microsoft.com/office/drawing/2014/chart" uri="{C3380CC4-5D6E-409C-BE32-E72D297353CC}">
              <c16:uniqueId val="{00000002-8093-4275-A0A4-629DC5917466}"/>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39.521432829153625</c:v>
                </c:pt>
                <c:pt idx="1">
                  <c:v>43.128967622065275</c:v>
                </c:pt>
                <c:pt idx="2">
                  <c:v>54.750535991595669</c:v>
                </c:pt>
                <c:pt idx="3">
                  <c:v>68.480766827963933</c:v>
                </c:pt>
                <c:pt idx="4">
                  <c:v>82.211156629067986</c:v>
                </c:pt>
                <c:pt idx="5">
                  <c:v>95.941705404574137</c:v>
                </c:pt>
                <c:pt idx="6">
                  <c:v>109.67241316414936</c:v>
                </c:pt>
                <c:pt idx="7">
                  <c:v>123.40327991746146</c:v>
                </c:pt>
                <c:pt idx="8">
                  <c:v>137.13430567417899</c:v>
                </c:pt>
                <c:pt idx="9">
                  <c:v>150.8654904439714</c:v>
                </c:pt>
                <c:pt idx="10">
                  <c:v>164.59683423650884</c:v>
                </c:pt>
                <c:pt idx="11">
                  <c:v>178.32833706146215</c:v>
                </c:pt>
                <c:pt idx="12">
                  <c:v>192.05999892850312</c:v>
                </c:pt>
                <c:pt idx="13">
                  <c:v>205.79181984730428</c:v>
                </c:pt>
                <c:pt idx="14">
                  <c:v>219.52379982753885</c:v>
                </c:pt>
                <c:pt idx="15">
                  <c:v>233.25593887888093</c:v>
                </c:pt>
                <c:pt idx="16">
                  <c:v>246.98823701100542</c:v>
                </c:pt>
                <c:pt idx="17">
                  <c:v>260.72069423358801</c:v>
                </c:pt>
                <c:pt idx="18">
                  <c:v>274.45331055630493</c:v>
                </c:pt>
                <c:pt idx="19">
                  <c:v>288.18608598883355</c:v>
                </c:pt>
                <c:pt idx="20">
                  <c:v>301.91902054085193</c:v>
                </c:pt>
                <c:pt idx="21">
                  <c:v>315.65211422203868</c:v>
                </c:pt>
                <c:pt idx="22">
                  <c:v>329.38536704207348</c:v>
                </c:pt>
                <c:pt idx="23">
                  <c:v>343.11877901063662</c:v>
                </c:pt>
                <c:pt idx="24">
                  <c:v>356.85235013740936</c:v>
                </c:pt>
                <c:pt idx="25">
                  <c:v>370.58608043207346</c:v>
                </c:pt>
                <c:pt idx="26">
                  <c:v>384.31996990431173</c:v>
                </c:pt>
                <c:pt idx="27">
                  <c:v>398.05401856380774</c:v>
                </c:pt>
                <c:pt idx="28">
                  <c:v>411.78822642024551</c:v>
                </c:pt>
                <c:pt idx="29">
                  <c:v>425.52259348331023</c:v>
                </c:pt>
                <c:pt idx="30">
                  <c:v>439.25711976268786</c:v>
                </c:pt>
                <c:pt idx="31">
                  <c:v>452.99180526806504</c:v>
                </c:pt>
                <c:pt idx="32">
                  <c:v>466.72665000912906</c:v>
                </c:pt>
                <c:pt idx="33">
                  <c:v>480.46165399556827</c:v>
                </c:pt>
                <c:pt idx="34">
                  <c:v>494.19681723707151</c:v>
                </c:pt>
                <c:pt idx="35">
                  <c:v>507.93213974332849</c:v>
                </c:pt>
                <c:pt idx="36">
                  <c:v>522.38814664584913</c:v>
                </c:pt>
                <c:pt idx="37">
                  <c:v>537.08087178707694</c:v>
                </c:pt>
                <c:pt idx="38">
                  <c:v>551.7812439385674</c:v>
                </c:pt>
                <c:pt idx="39">
                  <c:v>566.48918139905879</c:v>
                </c:pt>
                <c:pt idx="40">
                  <c:v>581.20460582860926</c:v>
                </c:pt>
                <c:pt idx="41">
                  <c:v>595.92744203559903</c:v>
                </c:pt>
                <c:pt idx="42">
                  <c:v>610.65761778209753</c:v>
                </c:pt>
                <c:pt idx="43">
                  <c:v>625.39506360561541</c:v>
                </c:pt>
                <c:pt idx="44">
                  <c:v>640.13971265551186</c:v>
                </c:pt>
                <c:pt idx="45">
                  <c:v>654.89150054254173</c:v>
                </c:pt>
                <c:pt idx="46">
                  <c:v>669.65036520022375</c:v>
                </c:pt>
                <c:pt idx="47">
                  <c:v>684.41624675685875</c:v>
                </c:pt>
                <c:pt idx="48">
                  <c:v>699.18908741717371</c:v>
                </c:pt>
                <c:pt idx="49">
                  <c:v>713.96883135267819</c:v>
                </c:pt>
                <c:pt idx="50">
                  <c:v>728.75542459993119</c:v>
                </c:pt>
                <c:pt idx="51">
                  <c:v>743.54881496599739</c:v>
                </c:pt>
                <c:pt idx="52">
                  <c:v>749.81552891548972</c:v>
                </c:pt>
                <c:pt idx="53">
                  <c:v>755.0770118891113</c:v>
                </c:pt>
                <c:pt idx="54">
                  <c:v>760.30950174130953</c:v>
                </c:pt>
                <c:pt idx="55">
                  <c:v>766.16826242513582</c:v>
                </c:pt>
                <c:pt idx="56">
                  <c:v>781.94586543569164</c:v>
                </c:pt>
                <c:pt idx="57">
                  <c:v>797.77723862039386</c:v>
                </c:pt>
                <c:pt idx="58">
                  <c:v>813.65249122271132</c:v>
                </c:pt>
                <c:pt idx="59">
                  <c:v>829.57518488219591</c:v>
                </c:pt>
                <c:pt idx="60">
                  <c:v>845.54534754415272</c:v>
                </c:pt>
                <c:pt idx="61">
                  <c:v>861.56301156294967</c:v>
                </c:pt>
                <c:pt idx="62">
                  <c:v>877.62821343497978</c:v>
                </c:pt>
                <c:pt idx="63">
                  <c:v>893.74099355593978</c:v>
                </c:pt>
                <c:pt idx="64">
                  <c:v>909.90139599991733</c:v>
                </c:pt>
                <c:pt idx="65">
                  <c:v>926.10946831808508</c:v>
                </c:pt>
                <c:pt idx="66">
                  <c:v>942.36526135502947</c:v>
                </c:pt>
                <c:pt idx="67">
                  <c:v>958.66882908098216</c:v>
                </c:pt>
                <c:pt idx="68">
                  <c:v>975.02022843841598</c:v>
                </c:pt>
                <c:pt idx="69">
                  <c:v>991.4195192016108</c:v>
                </c:pt>
                <c:pt idx="70">
                  <c:v>1007.866763847989</c:v>
                </c:pt>
                <c:pt idx="71">
                  <c:v>1024.3620274400982</c:v>
                </c:pt>
                <c:pt idx="72">
                  <c:v>1040.9053775172904</c:v>
                </c:pt>
                <c:pt idx="73">
                  <c:v>1057.4968839961907</c:v>
                </c:pt>
                <c:pt idx="74">
                  <c:v>1074.136619079196</c:v>
                </c:pt>
                <c:pt idx="75">
                  <c:v>1090.8246571702709</c:v>
                </c:pt>
                <c:pt idx="76">
                  <c:v>1107.5610747974279</c:v>
                </c:pt>
                <c:pt idx="77">
                  <c:v>1124.3459505412966</c:v>
                </c:pt>
                <c:pt idx="78">
                  <c:v>1141.179364969282</c:v>
                </c:pt>
                <c:pt idx="79">
                  <c:v>1158.0614005748348</c:v>
                </c:pt>
                <c:pt idx="80">
                  <c:v>1174.9921417214132</c:v>
                </c:pt>
                <c:pt idx="81">
                  <c:v>1191.9716745907524</c:v>
                </c:pt>
                <c:pt idx="82">
                  <c:v>1209.0000871350992</c:v>
                </c:pt>
                <c:pt idx="83">
                  <c:v>1226.0774690330888</c:v>
                </c:pt>
                <c:pt idx="84">
                  <c:v>1243.2039116489864</c:v>
                </c:pt>
                <c:pt idx="85">
                  <c:v>1260.3795079950212</c:v>
                </c:pt>
                <c:pt idx="86">
                  <c:v>1277.6043526965923</c:v>
                </c:pt>
                <c:pt idx="87">
                  <c:v>1294.8785419601086</c:v>
                </c:pt>
                <c:pt idx="88">
                  <c:v>1312.2021735432863</c:v>
                </c:pt>
                <c:pt idx="89">
                  <c:v>1329.5753467277104</c:v>
                </c:pt>
                <c:pt idx="90">
                  <c:v>1346.9981622934977</c:v>
                </c:pt>
                <c:pt idx="91">
                  <c:v>1364.4707224959113</c:v>
                </c:pt>
                <c:pt idx="92">
                  <c:v>1381.9931310437892</c:v>
                </c:pt>
                <c:pt idx="93">
                  <c:v>1399.5654930796597</c:v>
                </c:pt>
                <c:pt idx="94">
                  <c:v>1417.1879151614232</c:v>
                </c:pt>
                <c:pt idx="95">
                  <c:v>1434.8605052454991</c:v>
                </c:pt>
                <c:pt idx="96">
                  <c:v>1452.5833726713333</c:v>
                </c:pt>
                <c:pt idx="97">
                  <c:v>1470.3566281471828</c:v>
                </c:pt>
                <c:pt idx="98">
                  <c:v>1488.1803837370881</c:v>
                </c:pt>
                <c:pt idx="99">
                  <c:v>1506.054752848954</c:v>
                </c:pt>
                <c:pt idx="100">
                  <c:v>1523.979850223684</c:v>
                </c:pt>
              </c:numCache>
            </c:numRef>
          </c:val>
          <c:smooth val="0"/>
          <c:extLst>
            <c:ext xmlns:c16="http://schemas.microsoft.com/office/drawing/2014/chart" uri="{C3380CC4-5D6E-409C-BE32-E72D297353CC}">
              <c16:uniqueId val="{00000003-8093-4275-A0A4-629DC5917466}"/>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258.2196010398435</c:v>
                </c:pt>
                <c:pt idx="27">
                  <c:v>239.45884010623024</c:v>
                </c:pt>
                <c:pt idx="28">
                  <c:v>231.20562676783018</c:v>
                </c:pt>
                <c:pt idx="29">
                  <c:v>223.4958235677768</c:v>
                </c:pt>
                <c:pt idx="30">
                  <c:v>216.27747184701227</c:v>
                </c:pt>
                <c:pt idx="31">
                  <c:v>209.50503244165651</c:v>
                </c:pt>
                <c:pt idx="32">
                  <c:v>203.13842397705807</c:v>
                </c:pt>
                <c:pt idx="33">
                  <c:v>197.14222902040734</c:v>
                </c:pt>
                <c:pt idx="34">
                  <c:v>191.48503487665079</c:v>
                </c:pt>
                <c:pt idx="35">
                  <c:v>186.13888311739035</c:v>
                </c:pt>
                <c:pt idx="36">
                  <c:v>181.07880747838567</c:v>
                </c:pt>
                <c:pt idx="37">
                  <c:v>176.28244400654938</c:v>
                </c:pt>
                <c:pt idx="38">
                  <c:v>171.72970061227034</c:v>
                </c:pt>
                <c:pt idx="39">
                  <c:v>167.40247572783704</c:v>
                </c:pt>
                <c:pt idx="40">
                  <c:v>163.28441776409446</c:v>
                </c:pt>
                <c:pt idx="41">
                  <c:v>159.36071862589358</c:v>
                </c:pt>
                <c:pt idx="42">
                  <c:v>155.61793578988585</c:v>
                </c:pt>
                <c:pt idx="43">
                  <c:v>152.04383843910938</c:v>
                </c:pt>
                <c:pt idx="44">
                  <c:v>148.62727394317261</c:v>
                </c:pt>
                <c:pt idx="45">
                  <c:v>145.35805161303773</c:v>
                </c:pt>
                <c:pt idx="46">
                  <c:v>142.22684117798744</c:v>
                </c:pt>
                <c:pt idx="47">
                  <c:v>139.22508385445613</c:v>
                </c:pt>
                <c:pt idx="48">
                  <c:v>136.34491422157009</c:v>
                </c:pt>
                <c:pt idx="49">
                  <c:v>133.57909140173697</c:v>
                </c:pt>
                <c:pt idx="50">
                  <c:v>130.9209382784548</c:v>
                </c:pt>
                <c:pt idx="51">
                  <c:v>128.36428767716728</c:v>
                </c:pt>
                <c:pt idx="52">
                  <c:v>125.90343459598554</c:v>
                </c:pt>
                <c:pt idx="53">
                  <c:v>123.53309370745285</c:v>
                </c:pt>
                <c:pt idx="54">
                  <c:v>121.24836146504019</c:v>
                </c:pt>
                <c:pt idx="55">
                  <c:v>119.04468224261647</c:v>
                </c:pt>
                <c:pt idx="56">
                  <c:v>116.91781801485722</c:v>
                </c:pt>
                <c:pt idx="57">
                  <c:v>114.86382115398571</c:v>
                </c:pt>
                <c:pt idx="58">
                  <c:v>112.87900997545144</c:v>
                </c:pt>
                <c:pt idx="59">
                  <c:v>110.9599467138311</c:v>
                </c:pt>
                <c:pt idx="60">
                  <c:v>109.10341765177979</c:v>
                </c:pt>
                <c:pt idx="61">
                  <c:v>107.30641516041035</c:v>
                </c:pt>
                <c:pt idx="62">
                  <c:v>105.56612143997826</c:v>
                </c:pt>
                <c:pt idx="63">
                  <c:v>103.87989377598535</c:v>
                </c:pt>
                <c:pt idx="64">
                  <c:v>102.24525114844153</c:v>
                </c:pt>
                <c:pt idx="65">
                  <c:v>100.65986205157958</c:v>
                </c:pt>
                <c:pt idx="66">
                  <c:v>99.12153339826223</c:v>
                </c:pt>
                <c:pt idx="67">
                  <c:v>97.628200398035304</c:v>
                </c:pt>
                <c:pt idx="68">
                  <c:v>96.177917310587006</c:v>
                </c:pt>
                <c:pt idx="69">
                  <c:v>94.768848987537723</c:v>
                </c:pt>
                <c:pt idx="70">
                  <c:v>93.399263125248538</c:v>
                </c:pt>
                <c:pt idx="71">
                  <c:v>92.067523159879329</c:v>
                </c:pt>
                <c:pt idx="72">
                  <c:v>90.772081743426014</c:v>
                </c:pt>
                <c:pt idx="73">
                  <c:v>89.511474746057246</c:v>
                </c:pt>
                <c:pt idx="74">
                  <c:v>88.28431573587396</c:v>
                </c:pt>
                <c:pt idx="75">
                  <c:v>87.089290892334418</c:v>
                </c:pt>
                <c:pt idx="76">
                  <c:v>85.92515431411266</c:v>
                </c:pt>
                <c:pt idx="77">
                  <c:v>84.790723686161272</c:v>
                </c:pt>
                <c:pt idx="78">
                  <c:v>83.684876274301445</c:v>
                </c:pt>
                <c:pt idx="79">
                  <c:v>82.606545218815256</c:v>
                </c:pt>
                <c:pt idx="80">
                  <c:v>81.554716101319855</c:v>
                </c:pt>
                <c:pt idx="81">
                  <c:v>80.52842376170085</c:v>
                </c:pt>
                <c:pt idx="82">
                  <c:v>79.526749344110556</c:v>
                </c:pt>
                <c:pt idx="83">
                  <c:v>78.548817553027348</c:v>
                </c:pt>
                <c:pt idx="84">
                  <c:v>77.593794102153325</c:v>
                </c:pt>
                <c:pt idx="85">
                  <c:v>76.660883340521622</c:v>
                </c:pt>
                <c:pt idx="86">
                  <c:v>75.749326041617437</c:v>
                </c:pt>
                <c:pt idx="87">
                  <c:v>74.858397342599773</c:v>
                </c:pt>
                <c:pt idx="88">
                  <c:v>73.987404821868935</c:v>
                </c:pt>
                <c:pt idx="89">
                  <c:v>73.135686704263279</c:v>
                </c:pt>
                <c:pt idx="90">
                  <c:v>72.302610184108417</c:v>
                </c:pt>
                <c:pt idx="91">
                  <c:v>71.487569857188475</c:v>
                </c:pt>
                <c:pt idx="92">
                  <c:v>70.68998625347335</c:v>
                </c:pt>
                <c:pt idx="93">
                  <c:v>69.90930446312926</c:v>
                </c:pt>
                <c:pt idx="94">
                  <c:v>69.14499284896587</c:v>
                </c:pt>
                <c:pt idx="95">
                  <c:v>68.396541839041888</c:v>
                </c:pt>
                <c:pt idx="96">
                  <c:v>67.663462793667009</c:v>
                </c:pt>
                <c:pt idx="97">
                  <c:v>66.94528694150614</c:v>
                </c:pt>
                <c:pt idx="98">
                  <c:v>66.241564379918671</c:v>
                </c:pt>
                <c:pt idx="99">
                  <c:v>65.551863135052812</c:v>
                </c:pt>
                <c:pt idx="100">
                  <c:v>64.875768277569478</c:v>
                </c:pt>
              </c:numCache>
            </c:numRef>
          </c:val>
          <c:smooth val="0"/>
          <c:extLst>
            <c:ext xmlns:c16="http://schemas.microsoft.com/office/drawing/2014/chart" uri="{C3380CC4-5D6E-409C-BE32-E72D297353CC}">
              <c16:uniqueId val="{00000000-7DBB-40A7-A5BB-CF5E7DC777D9}"/>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344.36873969740566</c:v>
                </c:pt>
                <c:pt idx="53">
                  <c:v>338.29607401990762</c:v>
                </c:pt>
                <c:pt idx="54">
                  <c:v>332.42626905639486</c:v>
                </c:pt>
                <c:pt idx="55">
                  <c:v>326.75570900335708</c:v>
                </c:pt>
                <c:pt idx="56">
                  <c:v>321.28109289534132</c:v>
                </c:pt>
                <c:pt idx="57">
                  <c:v>315.98102551345164</c:v>
                </c:pt>
                <c:pt idx="58">
                  <c:v>310.85543918067174</c:v>
                </c:pt>
                <c:pt idx="59">
                  <c:v>305.89293459924642</c:v>
                </c:pt>
                <c:pt idx="60">
                  <c:v>301.08585036616677</c:v>
                </c:pt>
                <c:pt idx="61">
                  <c:v>296.4269975783609</c:v>
                </c:pt>
                <c:pt idx="62">
                  <c:v>291.90962396031046</c:v>
                </c:pt>
                <c:pt idx="63">
                  <c:v>287.52738121091988</c:v>
                </c:pt>
                <c:pt idx="64">
                  <c:v>283.27429523755416</c:v>
                </c:pt>
                <c:pt idx="65">
                  <c:v>279.14473898374041</c:v>
                </c:pt>
                <c:pt idx="66">
                  <c:v>275.13340759064539</c:v>
                </c:pt>
                <c:pt idx="67">
                  <c:v>271.23529566177211</c:v>
                </c:pt>
                <c:pt idx="68">
                  <c:v>267.44567642600094</c:v>
                </c:pt>
                <c:pt idx="69">
                  <c:v>263.76008261658166</c:v>
                </c:pt>
                <c:pt idx="70">
                  <c:v>260.17428890345082</c:v>
                </c:pt>
                <c:pt idx="71">
                  <c:v>256.68429573361931</c:v>
                </c:pt>
                <c:pt idx="72">
                  <c:v>253.28631444970108</c:v>
                </c:pt>
                <c:pt idx="73">
                  <c:v>249.97675357017135</c:v>
                </c:pt>
                <c:pt idx="74">
                  <c:v>246.75220612690856</c:v>
                </c:pt>
                <c:pt idx="75">
                  <c:v>243.6094379661686</c:v>
                </c:pt>
                <c:pt idx="76">
                  <c:v>240.54537692854052</c:v>
                </c:pt>
                <c:pt idx="77">
                  <c:v>237.5571028317911</c:v>
                </c:pt>
                <c:pt idx="78">
                  <c:v>234.6418381879383</c:v>
                </c:pt>
                <c:pt idx="79">
                  <c:v>231.79693959252691</c:v>
                </c:pt>
                <c:pt idx="80">
                  <c:v>229.01988972999368</c:v>
                </c:pt>
                <c:pt idx="81">
                  <c:v>226.30828994430081</c:v>
                </c:pt>
                <c:pt idx="82">
                  <c:v>223.65985332875286</c:v>
                </c:pt>
                <c:pt idx="83">
                  <c:v>221.07239829315313</c:v>
                </c:pt>
                <c:pt idx="84">
                  <c:v>218.54384257027098</c:v>
                </c:pt>
                <c:pt idx="85">
                  <c:v>216.07219762701106</c:v>
                </c:pt>
                <c:pt idx="86">
                  <c:v>213.65556344875688</c:v>
                </c:pt>
                <c:pt idx="87">
                  <c:v>211.29212366814147</c:v>
                </c:pt>
                <c:pt idx="88">
                  <c:v>208.98014101199502</c:v>
                </c:pt>
                <c:pt idx="89">
                  <c:v>206.71795304248641</c:v>
                </c:pt>
                <c:pt idx="90">
                  <c:v>204.50396817051643</c:v>
                </c:pt>
                <c:pt idx="91">
                  <c:v>202.33666192127237</c:v>
                </c:pt>
                <c:pt idx="92">
                  <c:v>200.21457343353055</c:v>
                </c:pt>
                <c:pt idx="93">
                  <c:v>198.1363021758128</c:v>
                </c:pt>
                <c:pt idx="94">
                  <c:v>196.10050486388536</c:v>
                </c:pt>
                <c:pt idx="95">
                  <c:v>194.10589256534425</c:v>
                </c:pt>
                <c:pt idx="96">
                  <c:v>192.15122797817111</c:v>
                </c:pt>
                <c:pt idx="97">
                  <c:v>190.2353228711859</c:v>
                </c:pt>
                <c:pt idx="98">
                  <c:v>188.35703567527082</c:v>
                </c:pt>
                <c:pt idx="99">
                  <c:v>186.51526921510452</c:v>
                </c:pt>
                <c:pt idx="100">
                  <c:v>184.70896857193537</c:v>
                </c:pt>
              </c:numCache>
            </c:numRef>
          </c:val>
          <c:smooth val="0"/>
          <c:extLst>
            <c:ext xmlns:c16="http://schemas.microsoft.com/office/drawing/2014/chart" uri="{C3380CC4-5D6E-409C-BE32-E72D297353CC}">
              <c16:uniqueId val="{00000001-7DBB-40A7-A5BB-CF5E7DC777D9}"/>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347.20377857196343</c:v>
                </c:pt>
                <c:pt idx="70">
                  <c:v>342.58031381416623</c:v>
                </c:pt>
                <c:pt idx="71">
                  <c:v>338.07527893240172</c:v>
                </c:pt>
                <c:pt idx="72">
                  <c:v>333.68666179247055</c:v>
                </c:pt>
                <c:pt idx="73">
                  <c:v>329.41032393380175</c:v>
                </c:pt>
                <c:pt idx="74">
                  <c:v>325.24481410662332</c:v>
                </c:pt>
                <c:pt idx="75">
                  <c:v>321.17851239443689</c:v>
                </c:pt>
                <c:pt idx="76">
                  <c:v>317.21409301181461</c:v>
                </c:pt>
                <c:pt idx="77">
                  <c:v>313.34673965567941</c:v>
                </c:pt>
                <c:pt idx="78">
                  <c:v>309.57239923992148</c:v>
                </c:pt>
                <c:pt idx="79">
                  <c:v>305.88775605725073</c:v>
                </c:pt>
                <c:pt idx="80">
                  <c:v>302.28965014662407</c:v>
                </c:pt>
                <c:pt idx="81">
                  <c:v>298.7750682546951</c:v>
                </c:pt>
                <c:pt idx="82">
                  <c:v>295.3411354194921</c:v>
                </c:pt>
                <c:pt idx="83">
                  <c:v>291.98510712691638</c:v>
                </c:pt>
                <c:pt idx="84">
                  <c:v>288.70436199508663</c:v>
                </c:pt>
                <c:pt idx="85">
                  <c:v>285.49639494554714</c:v>
                </c:pt>
                <c:pt idx="86">
                  <c:v>282.35881082395071</c:v>
                </c:pt>
                <c:pt idx="87">
                  <c:v>279.28931843607796</c:v>
                </c:pt>
                <c:pt idx="88">
                  <c:v>276.28572496798228</c:v>
                </c:pt>
                <c:pt idx="89">
                  <c:v>273.34593076170285</c:v>
                </c:pt>
                <c:pt idx="90">
                  <c:v>270.46792442038964</c:v>
                </c:pt>
                <c:pt idx="91">
                  <c:v>267.64977821885981</c:v>
                </c:pt>
                <c:pt idx="92">
                  <c:v>264.88964379757925</c:v>
                </c:pt>
                <c:pt idx="93">
                  <c:v>262.18574811985729</c:v>
                </c:pt>
                <c:pt idx="94">
                  <c:v>259.53638967367283</c:v>
                </c:pt>
                <c:pt idx="95">
                  <c:v>256.93993490103384</c:v>
                </c:pt>
                <c:pt idx="96">
                  <c:v>254.39481483912729</c:v>
                </c:pt>
                <c:pt idx="97">
                  <c:v>251.89952195874326</c:v>
                </c:pt>
                <c:pt idx="98">
                  <c:v>249.45260718659082</c:v>
                </c:pt>
                <c:pt idx="99">
                  <c:v>247.05267709914352</c:v>
                </c:pt>
                <c:pt idx="100">
                  <c:v>244.69839127659893</c:v>
                </c:pt>
              </c:numCache>
            </c:numRef>
          </c:val>
          <c:smooth val="0"/>
          <c:extLst>
            <c:ext xmlns:c16="http://schemas.microsoft.com/office/drawing/2014/chart" uri="{C3380CC4-5D6E-409C-BE32-E72D297353CC}">
              <c16:uniqueId val="{00000002-7DBB-40A7-A5BB-CF5E7DC777D9}"/>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7DBB-40A7-A5BB-CF5E7DC777D9}"/>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7DBB-40A7-A5BB-CF5E7DC777D9}"/>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7DBB-40A7-A5BB-CF5E7DC777D9}"/>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2.2946285985730062</c:v>
                </c:pt>
                <c:pt idx="28">
                  <c:v>2.3801777147046077</c:v>
                </c:pt>
                <c:pt idx="29">
                  <c:v>2.465767474552178</c:v>
                </c:pt>
                <c:pt idx="30">
                  <c:v>2.5513979183785538</c:v>
                </c:pt>
                <c:pt idx="31">
                  <c:v>2.6370690865244324</c:v>
                </c:pt>
                <c:pt idx="32">
                  <c:v>2.7227810194045623</c:v>
                </c:pt>
                <c:pt idx="33">
                  <c:v>2.8085337575046654</c:v>
                </c:pt>
                <c:pt idx="34">
                  <c:v>2.8943273413789323</c:v>
                </c:pt>
                <c:pt idx="35">
                  <c:v>2.9801618116479798</c:v>
                </c:pt>
                <c:pt idx="36">
                  <c:v>3.0660372089971717</c:v>
                </c:pt>
                <c:pt idx="37">
                  <c:v>3.1519535741752303</c:v>
                </c:pt>
                <c:pt idx="38">
                  <c:v>3.2379109479930972</c:v>
                </c:pt>
                <c:pt idx="39">
                  <c:v>3.3239093713229804</c:v>
                </c:pt>
                <c:pt idx="40">
                  <c:v>3.4099488850975637</c:v>
                </c:pt>
                <c:pt idx="41">
                  <c:v>3.4960295303093529</c:v>
                </c:pt>
                <c:pt idx="42">
                  <c:v>3.582151348010123</c:v>
                </c:pt>
                <c:pt idx="43">
                  <c:v>3.6683143793104662</c:v>
                </c:pt>
                <c:pt idx="44">
                  <c:v>3.7545186653794089</c:v>
                </c:pt>
                <c:pt idx="45">
                  <c:v>3.8407642474440973</c:v>
                </c:pt>
                <c:pt idx="46">
                  <c:v>3.9270511667895369</c:v>
                </c:pt>
                <c:pt idx="47">
                  <c:v>4.0133794647583754</c:v>
                </c:pt>
                <c:pt idx="48">
                  <c:v>4.0997491827507311</c:v>
                </c:pt>
                <c:pt idx="49">
                  <c:v>4.1861603622240473</c:v>
                </c:pt>
                <c:pt idx="50">
                  <c:v>4.2726130446929815</c:v>
                </c:pt>
                <c:pt idx="51">
                  <c:v>4.3591072717293127</c:v>
                </c:pt>
                <c:pt idx="52">
                  <c:v>4.4456430849618833</c:v>
                </c:pt>
                <c:pt idx="53">
                  <c:v>4.5322205260765411</c:v>
                </c:pt>
                <c:pt idx="54">
                  <c:v>4.6188396368161131</c:v>
                </c:pt>
                <c:pt idx="55">
                  <c:v>4.7055004589803895</c:v>
                </c:pt>
                <c:pt idx="56">
                  <c:v>4.792203034426108</c:v>
                </c:pt>
                <c:pt idx="57">
                  <c:v>4.8789474050669686</c:v>
                </c:pt>
                <c:pt idx="58">
                  <c:v>4.9657336128736489</c:v>
                </c:pt>
                <c:pt idx="59">
                  <c:v>5.0525616998738192</c:v>
                </c:pt>
                <c:pt idx="60">
                  <c:v>5.139431708152177</c:v>
                </c:pt>
                <c:pt idx="61">
                  <c:v>5.2263436798504888</c:v>
                </c:pt>
                <c:pt idx="62">
                  <c:v>5.313297657167622</c:v>
                </c:pt>
                <c:pt idx="63">
                  <c:v>5.4002936823596031</c:v>
                </c:pt>
                <c:pt idx="64">
                  <c:v>5.4873317977396674</c:v>
                </c:pt>
                <c:pt idx="65">
                  <c:v>5.5744120456783142</c:v>
                </c:pt>
                <c:pt idx="66">
                  <c:v>5.6615344686033628</c:v>
                </c:pt>
                <c:pt idx="67">
                  <c:v>5.7486991090000341</c:v>
                </c:pt>
                <c:pt idx="68">
                  <c:v>5.8359060094109925</c:v>
                </c:pt>
                <c:pt idx="69">
                  <c:v>5.9231552124364333</c:v>
                </c:pt>
                <c:pt idx="70">
                  <c:v>6.010446760734153</c:v>
                </c:pt>
                <c:pt idx="71">
                  <c:v>6.0977806970196173</c:v>
                </c:pt>
                <c:pt idx="72">
                  <c:v>6.1851570640660407</c:v>
                </c:pt>
                <c:pt idx="73">
                  <c:v>6.2725759047044694</c:v>
                </c:pt>
                <c:pt idx="74">
                  <c:v>6.3600372618238472</c:v>
                </c:pt>
                <c:pt idx="75">
                  <c:v>6.4475411783711172</c:v>
                </c:pt>
                <c:pt idx="76">
                  <c:v>6.5350876973512877</c:v>
                </c:pt>
                <c:pt idx="77">
                  <c:v>6.6226768618275296</c:v>
                </c:pt>
                <c:pt idx="78">
                  <c:v>6.7103087149212461</c:v>
                </c:pt>
                <c:pt idx="79">
                  <c:v>6.7979832998121807</c:v>
                </c:pt>
                <c:pt idx="80">
                  <c:v>6.885700659738486</c:v>
                </c:pt>
                <c:pt idx="81">
                  <c:v>6.973460837996817</c:v>
                </c:pt>
                <c:pt idx="82">
                  <c:v>7.0612638779424319</c:v>
                </c:pt>
                <c:pt idx="83">
                  <c:v>7.1491098229892671</c:v>
                </c:pt>
                <c:pt idx="84">
                  <c:v>7.2369987166100413</c:v>
                </c:pt>
                <c:pt idx="85">
                  <c:v>7.3249306023363348</c:v>
                </c:pt>
                <c:pt idx="86">
                  <c:v>7.4129055237586909</c:v>
                </c:pt>
                <c:pt idx="87">
                  <c:v>7.5009235245267165</c:v>
                </c:pt>
                <c:pt idx="88">
                  <c:v>7.5889846483491548</c:v>
                </c:pt>
                <c:pt idx="89">
                  <c:v>7.6770889389939967</c:v>
                </c:pt>
                <c:pt idx="90">
                  <c:v>7.7652364402885752</c:v>
                </c:pt>
                <c:pt idx="91">
                  <c:v>7.853427196119652</c:v>
                </c:pt>
                <c:pt idx="92">
                  <c:v>7.9416612504335227</c:v>
                </c:pt>
                <c:pt idx="93">
                  <c:v>8.0299386472361078</c:v>
                </c:pt>
                <c:pt idx="94">
                  <c:v>8.1182594305930511</c:v>
                </c:pt>
                <c:pt idx="95">
                  <c:v>8.2066236446298237</c:v>
                </c:pt>
                <c:pt idx="96">
                  <c:v>8.2950313335318082</c:v>
                </c:pt>
                <c:pt idx="97">
                  <c:v>8.3834825415444101</c:v>
                </c:pt>
                <c:pt idx="98">
                  <c:v>8.4719773129731504</c:v>
                </c:pt>
                <c:pt idx="99">
                  <c:v>8.5605156921837704</c:v>
                </c:pt>
                <c:pt idx="100">
                  <c:v>8.6490977236023205</c:v>
                </c:pt>
              </c:numCache>
            </c:numRef>
          </c:val>
          <c:smooth val="0"/>
          <c:extLst>
            <c:ext xmlns:c16="http://schemas.microsoft.com/office/drawing/2014/chart" uri="{C3380CC4-5D6E-409C-BE32-E72D297353CC}">
              <c16:uniqueId val="{00000000-DE5E-470B-BC83-CF3F840E873B}"/>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2.2222222222222223</c:v>
                </c:pt>
                <c:pt idx="35">
                  <c:v>2.2222222222222223</c:v>
                </c:pt>
                <c:pt idx="36">
                  <c:v>2.2460127318307075</c:v>
                </c:pt>
                <c:pt idx="37">
                  <c:v>2.2770079179466083</c:v>
                </c:pt>
                <c:pt idx="38">
                  <c:v>2.3075873842328822</c:v>
                </c:pt>
                <c:pt idx="39">
                  <c:v>2.3377674369786448</c:v>
                </c:pt>
                <c:pt idx="40">
                  <c:v>2.3675633435509362</c:v>
                </c:pt>
                <c:pt idx="41">
                  <c:v>2.3969894227686175</c:v>
                </c:pt>
                <c:pt idx="42">
                  <c:v>2.4260591254130639</c:v>
                </c:pt>
                <c:pt idx="43">
                  <c:v>2.4547851061602679</c:v>
                </c:pt>
                <c:pt idx="44">
                  <c:v>2.4831792880257684</c:v>
                </c:pt>
                <c:pt idx="45">
                  <c:v>2.5112529202534257</c:v>
                </c:pt>
                <c:pt idx="46">
                  <c:v>2.5390166304452704</c:v>
                </c:pt>
                <c:pt idx="47">
                  <c:v>2.5664804716175382</c:v>
                </c:pt>
                <c:pt idx="48">
                  <c:v>2.5936539647737278</c:v>
                </c:pt>
                <c:pt idx="49">
                  <c:v>2.6205461375058841</c:v>
                </c:pt>
                <c:pt idx="50">
                  <c:v>2.6471655590678078</c:v>
                </c:pt>
                <c:pt idx="51">
                  <c:v>2.6735203723064909</c:v>
                </c:pt>
                <c:pt idx="52">
                  <c:v>2.6996183227890382</c:v>
                </c:pt>
                <c:pt idx="53">
                  <c:v>2.725477558037114</c:v>
                </c:pt>
                <c:pt idx="54">
                  <c:v>2.7511081626991341</c:v>
                </c:pt>
                <c:pt idx="55">
                  <c:v>2.7780632105492806</c:v>
                </c:pt>
                <c:pt idx="56">
                  <c:v>2.8286666786829628</c:v>
                </c:pt>
                <c:pt idx="57">
                  <c:v>2.8793098958000329</c:v>
                </c:pt>
                <c:pt idx="58">
                  <c:v>2.9299364123645448</c:v>
                </c:pt>
                <c:pt idx="59">
                  <c:v>2.9805668212086398</c:v>
                </c:pt>
                <c:pt idx="60">
                  <c:v>3.0312011231905709</c:v>
                </c:pt>
                <c:pt idx="61">
                  <c:v>3.0818393191691085</c:v>
                </c:pt>
                <c:pt idx="62">
                  <c:v>3.1324814100035199</c:v>
                </c:pt>
                <c:pt idx="63">
                  <c:v>3.1831273965535525</c:v>
                </c:pt>
                <c:pt idx="64">
                  <c:v>3.2337772796794075</c:v>
                </c:pt>
                <c:pt idx="65">
                  <c:v>3.2844310602417357</c:v>
                </c:pt>
                <c:pt idx="66">
                  <c:v>3.3350887391016122</c:v>
                </c:pt>
                <c:pt idx="67">
                  <c:v>3.3857503171205265</c:v>
                </c:pt>
                <c:pt idx="68">
                  <c:v>3.4364157951603773</c:v>
                </c:pt>
                <c:pt idx="69">
                  <c:v>3.4870851740834508</c:v>
                </c:pt>
                <c:pt idx="70">
                  <c:v>3.5377584547524199</c:v>
                </c:pt>
                <c:pt idx="71">
                  <c:v>3.5884356380303273</c:v>
                </c:pt>
                <c:pt idx="72">
                  <c:v>3.639116724780584</c:v>
                </c:pt>
                <c:pt idx="73">
                  <c:v>3.6898017158669569</c:v>
                </c:pt>
                <c:pt idx="74">
                  <c:v>3.7404906121535646</c:v>
                </c:pt>
                <c:pt idx="75">
                  <c:v>3.7911834145048697</c:v>
                </c:pt>
                <c:pt idx="76">
                  <c:v>3.8418801237856752</c:v>
                </c:pt>
                <c:pt idx="77">
                  <c:v>3.8925807408611148</c:v>
                </c:pt>
                <c:pt idx="78">
                  <c:v>3.9432852665966514</c:v>
                </c:pt>
                <c:pt idx="79">
                  <c:v>3.9939937018580709</c:v>
                </c:pt>
                <c:pt idx="80">
                  <c:v>4.0447060475114798</c:v>
                </c:pt>
                <c:pt idx="81">
                  <c:v>4.0954223044233009</c:v>
                </c:pt>
                <c:pt idx="82">
                  <c:v>4.1461424734602659</c:v>
                </c:pt>
                <c:pt idx="83">
                  <c:v>4.196866555489418</c:v>
                </c:pt>
                <c:pt idx="84">
                  <c:v>4.2475945513781079</c:v>
                </c:pt>
                <c:pt idx="85">
                  <c:v>4.2983264619939812</c:v>
                </c:pt>
                <c:pt idx="86">
                  <c:v>4.349062288204995</c:v>
                </c:pt>
                <c:pt idx="87">
                  <c:v>4.3998020308793935</c:v>
                </c:pt>
                <c:pt idx="88">
                  <c:v>4.4505456908857228</c:v>
                </c:pt>
                <c:pt idx="89">
                  <c:v>4.5012932690928205</c:v>
                </c:pt>
                <c:pt idx="90">
                  <c:v>4.552044766369816</c:v>
                </c:pt>
                <c:pt idx="91">
                  <c:v>4.6028001835861296</c:v>
                </c:pt>
                <c:pt idx="92">
                  <c:v>4.6535595216114656</c:v>
                </c:pt>
                <c:pt idx="93">
                  <c:v>4.7043227813158177</c:v>
                </c:pt>
                <c:pt idx="94">
                  <c:v>4.755089963569465</c:v>
                </c:pt>
                <c:pt idx="95">
                  <c:v>4.8058610692429697</c:v>
                </c:pt>
                <c:pt idx="96">
                  <c:v>4.856636099207174</c:v>
                </c:pt>
                <c:pt idx="97">
                  <c:v>4.907415054333204</c:v>
                </c:pt>
                <c:pt idx="98">
                  <c:v>4.9581979354924677</c:v>
                </c:pt>
                <c:pt idx="99">
                  <c:v>5.0089847435566446</c:v>
                </c:pt>
                <c:pt idx="100">
                  <c:v>5.0597754793977003</c:v>
                </c:pt>
              </c:numCache>
            </c:numRef>
          </c:val>
          <c:smooth val="1"/>
          <c:extLst>
            <c:ext xmlns:c16="http://schemas.microsoft.com/office/drawing/2014/chart" uri="{C3380CC4-5D6E-409C-BE32-E72D297353CC}">
              <c16:uniqueId val="{00000001-DE5E-470B-BC83-CF3F840E873B}"/>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2.2222222222222223</c:v>
                </c:pt>
                <c:pt idx="35">
                  <c:v>2.2222222222222223</c:v>
                </c:pt>
                <c:pt idx="36">
                  <c:v>2.2460127318307075</c:v>
                </c:pt>
                <c:pt idx="37">
                  <c:v>2.2770079179466083</c:v>
                </c:pt>
                <c:pt idx="38">
                  <c:v>2.3075873842328822</c:v>
                </c:pt>
                <c:pt idx="39">
                  <c:v>2.3377674369786448</c:v>
                </c:pt>
                <c:pt idx="40">
                  <c:v>2.3675633435509362</c:v>
                </c:pt>
                <c:pt idx="41">
                  <c:v>2.3969894227686175</c:v>
                </c:pt>
                <c:pt idx="42">
                  <c:v>2.4260591254130639</c:v>
                </c:pt>
                <c:pt idx="43">
                  <c:v>2.4547851061602679</c:v>
                </c:pt>
                <c:pt idx="44">
                  <c:v>2.4831792880257684</c:v>
                </c:pt>
                <c:pt idx="45">
                  <c:v>2.5112529202534257</c:v>
                </c:pt>
                <c:pt idx="46">
                  <c:v>2.5390166304452704</c:v>
                </c:pt>
                <c:pt idx="47">
                  <c:v>2.5664804716175382</c:v>
                </c:pt>
                <c:pt idx="48">
                  <c:v>2.5936539647737278</c:v>
                </c:pt>
                <c:pt idx="49">
                  <c:v>2.6205461375058841</c:v>
                </c:pt>
                <c:pt idx="50">
                  <c:v>2.6471655590678078</c:v>
                </c:pt>
                <c:pt idx="51">
                  <c:v>2.6735203723064909</c:v>
                </c:pt>
                <c:pt idx="52">
                  <c:v>2.6996183227890382</c:v>
                </c:pt>
                <c:pt idx="53">
                  <c:v>2.7254667854204007</c:v>
                </c:pt>
                <c:pt idx="54">
                  <c:v>2.7510727888111424</c:v>
                </c:pt>
                <c:pt idx="55">
                  <c:v>2.7764430376234315</c:v>
                </c:pt>
                <c:pt idx="56">
                  <c:v>2.8015839330965653</c:v>
                </c:pt>
                <c:pt idx="57">
                  <c:v>2.8265015919300813</c:v>
                </c:pt>
                <c:pt idx="58">
                  <c:v>2.8512018636822836</c:v>
                </c:pt>
                <c:pt idx="59">
                  <c:v>2.8756903468243924</c:v>
                </c:pt>
                <c:pt idx="60">
                  <c:v>2.8999724035751395</c:v>
                </c:pt>
                <c:pt idx="61">
                  <c:v>2.9240531736271755</c:v>
                </c:pt>
                <c:pt idx="62">
                  <c:v>2.9479375868648048</c:v>
                </c:pt>
                <c:pt idx="63">
                  <c:v>2.9716303751622051</c:v>
                </c:pt>
                <c:pt idx="64">
                  <c:v>2.9951360833420919</c:v>
                </c:pt>
                <c:pt idx="65">
                  <c:v>3.0184590793667225</c:v>
                </c:pt>
                <c:pt idx="66">
                  <c:v>3.0416035638259489</c:v>
                </c:pt>
                <c:pt idx="67">
                  <c:v>3.0645735787807022</c:v>
                </c:pt>
                <c:pt idx="68">
                  <c:v>3.087373016014618</c:v>
                </c:pt>
                <c:pt idx="69">
                  <c:v>3.1100056247415231</c:v>
                </c:pt>
                <c:pt idx="70">
                  <c:v>3.1324750188119963</c:v>
                </c:pt>
                <c:pt idx="71">
                  <c:v>3.1548033184583897</c:v>
                </c:pt>
                <c:pt idx="72">
                  <c:v>3.1769779026278639</c:v>
                </c:pt>
                <c:pt idx="73">
                  <c:v>3.1989999381094005</c:v>
                </c:pt>
                <c:pt idx="74">
                  <c:v>3.2306690534422371</c:v>
                </c:pt>
                <c:pt idx="75">
                  <c:v>3.2744114990115216</c:v>
                </c:pt>
                <c:pt idx="76">
                  <c:v>3.318138913920504</c:v>
                </c:pt>
                <c:pt idx="77">
                  <c:v>3.3618621078444235</c:v>
                </c:pt>
                <c:pt idx="78">
                  <c:v>3.4055869566254202</c:v>
                </c:pt>
                <c:pt idx="79">
                  <c:v>3.4493134604738964</c:v>
                </c:pt>
                <c:pt idx="80">
                  <c:v>3.4930416196003269</c:v>
                </c:pt>
                <c:pt idx="81">
                  <c:v>3.536771434215261</c:v>
                </c:pt>
                <c:pt idx="82">
                  <c:v>3.580502904529316</c:v>
                </c:pt>
                <c:pt idx="83">
                  <c:v>3.6242360307531749</c:v>
                </c:pt>
                <c:pt idx="84">
                  <c:v>3.6679708130975914</c:v>
                </c:pt>
                <c:pt idx="85">
                  <c:v>3.711707251773376</c:v>
                </c:pt>
                <c:pt idx="86">
                  <c:v>3.7554453469914058</c:v>
                </c:pt>
                <c:pt idx="87">
                  <c:v>3.799185098962615</c:v>
                </c:pt>
                <c:pt idx="88">
                  <c:v>3.8429265078980017</c:v>
                </c:pt>
                <c:pt idx="89">
                  <c:v>3.886669574008617</c:v>
                </c:pt>
                <c:pt idx="90">
                  <c:v>3.9304142975055716</c:v>
                </c:pt>
                <c:pt idx="91">
                  <c:v>3.9741606786000294</c:v>
                </c:pt>
                <c:pt idx="92">
                  <c:v>4.0179087175032118</c:v>
                </c:pt>
                <c:pt idx="93">
                  <c:v>4.0616584144263888</c:v>
                </c:pt>
                <c:pt idx="94">
                  <c:v>4.1054097695808851</c:v>
                </c:pt>
                <c:pt idx="95">
                  <c:v>4.1491627831780811</c:v>
                </c:pt>
                <c:pt idx="96">
                  <c:v>4.1929174554293995</c:v>
                </c:pt>
                <c:pt idx="97">
                  <c:v>4.2366737865463202</c:v>
                </c:pt>
                <c:pt idx="98">
                  <c:v>4.280431776740369</c:v>
                </c:pt>
                <c:pt idx="99">
                  <c:v>4.3241914262231207</c:v>
                </c:pt>
                <c:pt idx="100">
                  <c:v>4.3679527352061971</c:v>
                </c:pt>
              </c:numCache>
            </c:numRef>
          </c:val>
          <c:smooth val="1"/>
          <c:extLst>
            <c:ext xmlns:c16="http://schemas.microsoft.com/office/drawing/2014/chart" uri="{C3380CC4-5D6E-409C-BE32-E72D297353CC}">
              <c16:uniqueId val="{00000002-DE5E-470B-BC83-CF3F840E873B}"/>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3132914835E-2"/>
          <c:y val="0.12133523343001466"/>
          <c:w val="0.80670936294253548"/>
          <c:h val="0.7558980268938309"/>
        </c:manualLayout>
      </c:layout>
      <c:lineChart>
        <c:grouping val="standard"/>
        <c:varyColors val="0"/>
        <c:ser>
          <c:idx val="1"/>
          <c:order val="0"/>
          <c:tx>
            <c:v>VIN-min</c:v>
          </c:tx>
          <c:spPr>
            <a:ln w="19050">
              <a:solidFill>
                <a:srgbClr val="00B05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258.2196010398435</c:v>
                </c:pt>
                <c:pt idx="27">
                  <c:v>239.45884010623024</c:v>
                </c:pt>
                <c:pt idx="28">
                  <c:v>231.20562676783018</c:v>
                </c:pt>
                <c:pt idx="29">
                  <c:v>223.4958235677768</c:v>
                </c:pt>
                <c:pt idx="30">
                  <c:v>216.27747184701227</c:v>
                </c:pt>
                <c:pt idx="31">
                  <c:v>209.50503244165651</c:v>
                </c:pt>
                <c:pt idx="32">
                  <c:v>203.13842397705807</c:v>
                </c:pt>
                <c:pt idx="33">
                  <c:v>197.14222902040734</c:v>
                </c:pt>
                <c:pt idx="34">
                  <c:v>191.48503487665079</c:v>
                </c:pt>
                <c:pt idx="35">
                  <c:v>186.13888311739035</c:v>
                </c:pt>
                <c:pt idx="36">
                  <c:v>181.07880747838567</c:v>
                </c:pt>
                <c:pt idx="37">
                  <c:v>176.28244400654938</c:v>
                </c:pt>
                <c:pt idx="38">
                  <c:v>171.72970061227034</c:v>
                </c:pt>
                <c:pt idx="39">
                  <c:v>167.40247572783704</c:v>
                </c:pt>
                <c:pt idx="40">
                  <c:v>163.28441776409446</c:v>
                </c:pt>
                <c:pt idx="41">
                  <c:v>159.36071862589358</c:v>
                </c:pt>
                <c:pt idx="42">
                  <c:v>155.61793578988585</c:v>
                </c:pt>
                <c:pt idx="43">
                  <c:v>152.04383843910938</c:v>
                </c:pt>
                <c:pt idx="44">
                  <c:v>148.62727394317261</c:v>
                </c:pt>
                <c:pt idx="45">
                  <c:v>145.35805161303773</c:v>
                </c:pt>
                <c:pt idx="46">
                  <c:v>142.22684117798744</c:v>
                </c:pt>
                <c:pt idx="47">
                  <c:v>139.22508385445613</c:v>
                </c:pt>
                <c:pt idx="48">
                  <c:v>136.34491422157009</c:v>
                </c:pt>
                <c:pt idx="49">
                  <c:v>133.57909140173697</c:v>
                </c:pt>
                <c:pt idx="50">
                  <c:v>130.9209382784548</c:v>
                </c:pt>
                <c:pt idx="51">
                  <c:v>128.36428767716728</c:v>
                </c:pt>
                <c:pt idx="52">
                  <c:v>125.90343459598554</c:v>
                </c:pt>
                <c:pt idx="53">
                  <c:v>123.53309370745285</c:v>
                </c:pt>
                <c:pt idx="54">
                  <c:v>121.24836146504019</c:v>
                </c:pt>
                <c:pt idx="55">
                  <c:v>119.04468224261647</c:v>
                </c:pt>
                <c:pt idx="56">
                  <c:v>116.91781801485722</c:v>
                </c:pt>
                <c:pt idx="57">
                  <c:v>114.86382115398571</c:v>
                </c:pt>
                <c:pt idx="58">
                  <c:v>112.87900997545144</c:v>
                </c:pt>
                <c:pt idx="59">
                  <c:v>110.9599467138311</c:v>
                </c:pt>
                <c:pt idx="60">
                  <c:v>109.10341765177979</c:v>
                </c:pt>
                <c:pt idx="61">
                  <c:v>107.30641516041035</c:v>
                </c:pt>
                <c:pt idx="62">
                  <c:v>105.56612143997826</c:v>
                </c:pt>
                <c:pt idx="63">
                  <c:v>103.87989377598535</c:v>
                </c:pt>
                <c:pt idx="64">
                  <c:v>102.24525114844153</c:v>
                </c:pt>
                <c:pt idx="65">
                  <c:v>100.65986205157958</c:v>
                </c:pt>
                <c:pt idx="66">
                  <c:v>99.12153339826223</c:v>
                </c:pt>
                <c:pt idx="67">
                  <c:v>97.628200398035304</c:v>
                </c:pt>
                <c:pt idx="68">
                  <c:v>96.177917310587006</c:v>
                </c:pt>
                <c:pt idx="69">
                  <c:v>94.768848987537723</c:v>
                </c:pt>
                <c:pt idx="70">
                  <c:v>93.399263125248538</c:v>
                </c:pt>
                <c:pt idx="71">
                  <c:v>92.067523159879329</c:v>
                </c:pt>
                <c:pt idx="72">
                  <c:v>90.772081743426014</c:v>
                </c:pt>
                <c:pt idx="73">
                  <c:v>89.511474746057246</c:v>
                </c:pt>
                <c:pt idx="74">
                  <c:v>88.28431573587396</c:v>
                </c:pt>
                <c:pt idx="75">
                  <c:v>87.089290892334418</c:v>
                </c:pt>
                <c:pt idx="76">
                  <c:v>85.92515431411266</c:v>
                </c:pt>
                <c:pt idx="77">
                  <c:v>84.790723686161272</c:v>
                </c:pt>
                <c:pt idx="78">
                  <c:v>83.684876274301445</c:v>
                </c:pt>
                <c:pt idx="79">
                  <c:v>82.606545218815256</c:v>
                </c:pt>
                <c:pt idx="80">
                  <c:v>81.554716101319855</c:v>
                </c:pt>
                <c:pt idx="81">
                  <c:v>80.52842376170085</c:v>
                </c:pt>
                <c:pt idx="82">
                  <c:v>79.526749344110556</c:v>
                </c:pt>
                <c:pt idx="83">
                  <c:v>78.548817553027348</c:v>
                </c:pt>
                <c:pt idx="84">
                  <c:v>77.593794102153325</c:v>
                </c:pt>
                <c:pt idx="85">
                  <c:v>76.660883340521622</c:v>
                </c:pt>
                <c:pt idx="86">
                  <c:v>75.749326041617437</c:v>
                </c:pt>
                <c:pt idx="87">
                  <c:v>74.858397342599773</c:v>
                </c:pt>
                <c:pt idx="88">
                  <c:v>73.987404821868935</c:v>
                </c:pt>
                <c:pt idx="89">
                  <c:v>73.135686704263279</c:v>
                </c:pt>
                <c:pt idx="90">
                  <c:v>72.302610184108417</c:v>
                </c:pt>
                <c:pt idx="91">
                  <c:v>71.487569857188475</c:v>
                </c:pt>
                <c:pt idx="92">
                  <c:v>70.68998625347335</c:v>
                </c:pt>
                <c:pt idx="93">
                  <c:v>69.90930446312926</c:v>
                </c:pt>
                <c:pt idx="94">
                  <c:v>69.14499284896587</c:v>
                </c:pt>
                <c:pt idx="95">
                  <c:v>68.396541839041888</c:v>
                </c:pt>
                <c:pt idx="96">
                  <c:v>67.663462793667009</c:v>
                </c:pt>
                <c:pt idx="97">
                  <c:v>66.94528694150614</c:v>
                </c:pt>
                <c:pt idx="98">
                  <c:v>66.241564379918671</c:v>
                </c:pt>
                <c:pt idx="99">
                  <c:v>65.551863135052812</c:v>
                </c:pt>
                <c:pt idx="100">
                  <c:v>64.875768277569478</c:v>
                </c:pt>
              </c:numCache>
            </c:numRef>
          </c:val>
          <c:smooth val="0"/>
          <c:extLst>
            <c:ext xmlns:c16="http://schemas.microsoft.com/office/drawing/2014/chart" uri="{C3380CC4-5D6E-409C-BE32-E72D297353CC}">
              <c16:uniqueId val="{00000000-33CF-4CE8-9C2E-6191AB4D2064}"/>
            </c:ext>
          </c:extLst>
        </c:ser>
        <c:ser>
          <c:idx val="0"/>
          <c:order val="1"/>
          <c:tx>
            <c:v>VIN-nom</c:v>
          </c:tx>
          <c:spPr>
            <a:ln w="19050">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344.36873969740566</c:v>
                </c:pt>
                <c:pt idx="53">
                  <c:v>338.29607401990762</c:v>
                </c:pt>
                <c:pt idx="54">
                  <c:v>332.42626905639486</c:v>
                </c:pt>
                <c:pt idx="55">
                  <c:v>326.75570900335708</c:v>
                </c:pt>
                <c:pt idx="56">
                  <c:v>321.28109289534132</c:v>
                </c:pt>
                <c:pt idx="57">
                  <c:v>315.98102551345164</c:v>
                </c:pt>
                <c:pt idx="58">
                  <c:v>310.85543918067174</c:v>
                </c:pt>
                <c:pt idx="59">
                  <c:v>305.89293459924642</c:v>
                </c:pt>
                <c:pt idx="60">
                  <c:v>301.08585036616677</c:v>
                </c:pt>
                <c:pt idx="61">
                  <c:v>296.4269975783609</c:v>
                </c:pt>
                <c:pt idx="62">
                  <c:v>291.90962396031046</c:v>
                </c:pt>
                <c:pt idx="63">
                  <c:v>287.52738121091988</c:v>
                </c:pt>
                <c:pt idx="64">
                  <c:v>283.27429523755416</c:v>
                </c:pt>
                <c:pt idx="65">
                  <c:v>279.14473898374041</c:v>
                </c:pt>
                <c:pt idx="66">
                  <c:v>275.13340759064539</c:v>
                </c:pt>
                <c:pt idx="67">
                  <c:v>271.23529566177211</c:v>
                </c:pt>
                <c:pt idx="68">
                  <c:v>267.44567642600094</c:v>
                </c:pt>
                <c:pt idx="69">
                  <c:v>263.76008261658166</c:v>
                </c:pt>
                <c:pt idx="70">
                  <c:v>260.17428890345082</c:v>
                </c:pt>
                <c:pt idx="71">
                  <c:v>256.68429573361931</c:v>
                </c:pt>
                <c:pt idx="72">
                  <c:v>253.28631444970108</c:v>
                </c:pt>
                <c:pt idx="73">
                  <c:v>249.97675357017135</c:v>
                </c:pt>
                <c:pt idx="74">
                  <c:v>246.75220612690856</c:v>
                </c:pt>
                <c:pt idx="75">
                  <c:v>243.6094379661686</c:v>
                </c:pt>
                <c:pt idx="76">
                  <c:v>240.54537692854052</c:v>
                </c:pt>
                <c:pt idx="77">
                  <c:v>237.5571028317911</c:v>
                </c:pt>
                <c:pt idx="78">
                  <c:v>234.6418381879383</c:v>
                </c:pt>
                <c:pt idx="79">
                  <c:v>231.79693959252691</c:v>
                </c:pt>
                <c:pt idx="80">
                  <c:v>229.01988972999368</c:v>
                </c:pt>
                <c:pt idx="81">
                  <c:v>226.30828994430081</c:v>
                </c:pt>
                <c:pt idx="82">
                  <c:v>223.65985332875286</c:v>
                </c:pt>
                <c:pt idx="83">
                  <c:v>221.07239829315313</c:v>
                </c:pt>
                <c:pt idx="84">
                  <c:v>218.54384257027098</c:v>
                </c:pt>
                <c:pt idx="85">
                  <c:v>216.07219762701106</c:v>
                </c:pt>
                <c:pt idx="86">
                  <c:v>213.65556344875688</c:v>
                </c:pt>
                <c:pt idx="87">
                  <c:v>211.29212366814147</c:v>
                </c:pt>
                <c:pt idx="88">
                  <c:v>208.98014101199502</c:v>
                </c:pt>
                <c:pt idx="89">
                  <c:v>206.71795304248641</c:v>
                </c:pt>
                <c:pt idx="90">
                  <c:v>204.50396817051643</c:v>
                </c:pt>
                <c:pt idx="91">
                  <c:v>202.33666192127237</c:v>
                </c:pt>
                <c:pt idx="92">
                  <c:v>200.21457343353055</c:v>
                </c:pt>
                <c:pt idx="93">
                  <c:v>198.1363021758128</c:v>
                </c:pt>
                <c:pt idx="94">
                  <c:v>196.10050486388536</c:v>
                </c:pt>
                <c:pt idx="95">
                  <c:v>194.10589256534425</c:v>
                </c:pt>
                <c:pt idx="96">
                  <c:v>192.15122797817111</c:v>
                </c:pt>
                <c:pt idx="97">
                  <c:v>190.2353228711859</c:v>
                </c:pt>
                <c:pt idx="98">
                  <c:v>188.35703567527082</c:v>
                </c:pt>
                <c:pt idx="99">
                  <c:v>186.51526921510452</c:v>
                </c:pt>
                <c:pt idx="100">
                  <c:v>184.70896857193537</c:v>
                </c:pt>
              </c:numCache>
            </c:numRef>
          </c:val>
          <c:smooth val="0"/>
          <c:extLst>
            <c:ext xmlns:c16="http://schemas.microsoft.com/office/drawing/2014/chart" uri="{C3380CC4-5D6E-409C-BE32-E72D297353CC}">
              <c16:uniqueId val="{00000001-33CF-4CE8-9C2E-6191AB4D2064}"/>
            </c:ext>
          </c:extLst>
        </c:ser>
        <c:ser>
          <c:idx val="2"/>
          <c:order val="2"/>
          <c:tx>
            <c:v>VIN-max</c:v>
          </c:tx>
          <c:spPr>
            <a:ln w="19050">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347.20377857196343</c:v>
                </c:pt>
                <c:pt idx="70">
                  <c:v>342.58031381416623</c:v>
                </c:pt>
                <c:pt idx="71">
                  <c:v>338.07527893240172</c:v>
                </c:pt>
                <c:pt idx="72">
                  <c:v>333.68666179247055</c:v>
                </c:pt>
                <c:pt idx="73">
                  <c:v>329.41032393380175</c:v>
                </c:pt>
                <c:pt idx="74">
                  <c:v>325.24481410662332</c:v>
                </c:pt>
                <c:pt idx="75">
                  <c:v>321.17851239443689</c:v>
                </c:pt>
                <c:pt idx="76">
                  <c:v>317.21409301181461</c:v>
                </c:pt>
                <c:pt idx="77">
                  <c:v>313.34673965567941</c:v>
                </c:pt>
                <c:pt idx="78">
                  <c:v>309.57239923992148</c:v>
                </c:pt>
                <c:pt idx="79">
                  <c:v>305.88775605725073</c:v>
                </c:pt>
                <c:pt idx="80">
                  <c:v>302.28965014662407</c:v>
                </c:pt>
                <c:pt idx="81">
                  <c:v>298.7750682546951</c:v>
                </c:pt>
                <c:pt idx="82">
                  <c:v>295.3411354194921</c:v>
                </c:pt>
                <c:pt idx="83">
                  <c:v>291.98510712691638</c:v>
                </c:pt>
                <c:pt idx="84">
                  <c:v>288.70436199508663</c:v>
                </c:pt>
                <c:pt idx="85">
                  <c:v>285.49639494554714</c:v>
                </c:pt>
                <c:pt idx="86">
                  <c:v>282.35881082395071</c:v>
                </c:pt>
                <c:pt idx="87">
                  <c:v>279.28931843607796</c:v>
                </c:pt>
                <c:pt idx="88">
                  <c:v>276.28572496798228</c:v>
                </c:pt>
                <c:pt idx="89">
                  <c:v>273.34593076170285</c:v>
                </c:pt>
                <c:pt idx="90">
                  <c:v>270.46792442038964</c:v>
                </c:pt>
                <c:pt idx="91">
                  <c:v>267.64977821885981</c:v>
                </c:pt>
                <c:pt idx="92">
                  <c:v>264.88964379757925</c:v>
                </c:pt>
                <c:pt idx="93">
                  <c:v>262.18574811985729</c:v>
                </c:pt>
                <c:pt idx="94">
                  <c:v>259.53638967367283</c:v>
                </c:pt>
                <c:pt idx="95">
                  <c:v>256.93993490103384</c:v>
                </c:pt>
                <c:pt idx="96">
                  <c:v>254.39481483912729</c:v>
                </c:pt>
                <c:pt idx="97">
                  <c:v>251.89952195874326</c:v>
                </c:pt>
                <c:pt idx="98">
                  <c:v>249.45260718659082</c:v>
                </c:pt>
                <c:pt idx="99">
                  <c:v>247.05267709914352</c:v>
                </c:pt>
                <c:pt idx="100">
                  <c:v>244.69839127659893</c:v>
                </c:pt>
              </c:numCache>
            </c:numRef>
          </c:val>
          <c:smooth val="0"/>
          <c:extLst>
            <c:ext xmlns:c16="http://schemas.microsoft.com/office/drawing/2014/chart" uri="{C3380CC4-5D6E-409C-BE32-E72D297353CC}">
              <c16:uniqueId val="{00000002-33CF-4CE8-9C2E-6191AB4D2064}"/>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3CF-4CE8-9C2E-6191AB4D2064}"/>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3CF-4CE8-9C2E-6191AB4D2064}"/>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3CF-4CE8-9C2E-6191AB4D2064}"/>
            </c:ext>
          </c:extLst>
        </c:ser>
        <c:dLbls>
          <c:showLegendKey val="0"/>
          <c:showVal val="0"/>
          <c:showCatName val="0"/>
          <c:showSerName val="0"/>
          <c:showPercent val="0"/>
          <c:showBubbleSize val="0"/>
        </c:dLbls>
        <c:marker val="1"/>
        <c:smooth val="0"/>
        <c:axId val="449006208"/>
        <c:axId val="449020672"/>
      </c:lineChart>
      <c:lineChart>
        <c:grouping val="standard"/>
        <c:varyColors val="0"/>
        <c:ser>
          <c:idx val="6"/>
          <c:order val="6"/>
          <c:spPr>
            <a:ln w="31750">
              <a:solidFill>
                <a:srgbClr val="FF0000"/>
              </a:solidFill>
            </a:ln>
          </c:spPr>
          <c:marker>
            <c:symbol val="none"/>
          </c:marker>
          <c:val>
            <c:numRef>
              <c:f>'Calculations - Single'!$AW$5:$AW$105</c:f>
              <c:numCache>
                <c:formatCode>0.000</c:formatCode>
                <c:ptCount val="101"/>
                <c:pt idx="0">
                  <c:v>1.1111121359242613E-2</c:v>
                </c:pt>
                <c:pt idx="1">
                  <c:v>1.1143613316617916E-2</c:v>
                </c:pt>
                <c:pt idx="2">
                  <c:v>1.8450684568183242E-2</c:v>
                </c:pt>
                <c:pt idx="3">
                  <c:v>2.7676026852274861E-2</c:v>
                </c:pt>
                <c:pt idx="4">
                  <c:v>3.6901369136366484E-2</c:v>
                </c:pt>
                <c:pt idx="5">
                  <c:v>4.61267114204581E-2</c:v>
                </c:pt>
                <c:pt idx="6">
                  <c:v>5.5352053704549722E-2</c:v>
                </c:pt>
                <c:pt idx="7">
                  <c:v>6.4577395988641345E-2</c:v>
                </c:pt>
                <c:pt idx="8">
                  <c:v>7.3802738272732968E-2</c:v>
                </c:pt>
                <c:pt idx="9">
                  <c:v>8.3028080556824577E-2</c:v>
                </c:pt>
                <c:pt idx="10">
                  <c:v>9.2253422840916199E-2</c:v>
                </c:pt>
                <c:pt idx="11">
                  <c:v>0.10147876512500781</c:v>
                </c:pt>
                <c:pt idx="12">
                  <c:v>0.11070410740909944</c:v>
                </c:pt>
                <c:pt idx="13">
                  <c:v>0.11992944969319107</c:v>
                </c:pt>
                <c:pt idx="14">
                  <c:v>0.12915479197728269</c:v>
                </c:pt>
                <c:pt idx="15">
                  <c:v>0.13838013426137427</c:v>
                </c:pt>
                <c:pt idx="16">
                  <c:v>0.14760547654546594</c:v>
                </c:pt>
                <c:pt idx="17">
                  <c:v>0.15683081882955754</c:v>
                </c:pt>
                <c:pt idx="18">
                  <c:v>0.16605616111364915</c:v>
                </c:pt>
                <c:pt idx="19">
                  <c:v>0.17528150339774079</c:v>
                </c:pt>
                <c:pt idx="20">
                  <c:v>0.1845068456818324</c:v>
                </c:pt>
                <c:pt idx="21">
                  <c:v>0.19373218796592401</c:v>
                </c:pt>
                <c:pt idx="22">
                  <c:v>0.20295753025001562</c:v>
                </c:pt>
                <c:pt idx="23">
                  <c:v>0.21218287253410725</c:v>
                </c:pt>
                <c:pt idx="24">
                  <c:v>0.22140821481819889</c:v>
                </c:pt>
                <c:pt idx="25">
                  <c:v>0.23063355710229053</c:v>
                </c:pt>
                <c:pt idx="26">
                  <c:v>0.23985889938638214</c:v>
                </c:pt>
                <c:pt idx="27">
                  <c:v>0.24908424167047377</c:v>
                </c:pt>
                <c:pt idx="28">
                  <c:v>0.25830958395456538</c:v>
                </c:pt>
                <c:pt idx="29">
                  <c:v>0.26753492623865693</c:v>
                </c:pt>
                <c:pt idx="30">
                  <c:v>0.27676026852274854</c:v>
                </c:pt>
                <c:pt idx="31">
                  <c:v>0.28598561080684015</c:v>
                </c:pt>
                <c:pt idx="32">
                  <c:v>0.29521095309093187</c:v>
                </c:pt>
                <c:pt idx="33">
                  <c:v>0.30443629537502348</c:v>
                </c:pt>
                <c:pt idx="34">
                  <c:v>0.31366163765911509</c:v>
                </c:pt>
                <c:pt idx="35">
                  <c:v>0.32288697994320664</c:v>
                </c:pt>
                <c:pt idx="36">
                  <c:v>0.32860833610078044</c:v>
                </c:pt>
                <c:pt idx="37">
                  <c:v>0.3331581014600874</c:v>
                </c:pt>
                <c:pt idx="38">
                  <c:v>0.33764724326761664</c:v>
                </c:pt>
                <c:pt idx="39">
                  <c:v>0.34207813949422794</c:v>
                </c:pt>
                <c:pt idx="40">
                  <c:v>0.34645301660245942</c:v>
                </c:pt>
                <c:pt idx="41">
                  <c:v>0.35077396272598199</c:v>
                </c:pt>
                <c:pt idx="42">
                  <c:v>0.35504293941067588</c:v>
                </c:pt>
                <c:pt idx="43">
                  <c:v>0.35926179210466863</c:v>
                </c:pt>
                <c:pt idx="44">
                  <c:v>0.36343225955649833</c:v>
                </c:pt>
                <c:pt idx="45">
                  <c:v>0.36755598225717573</c:v>
                </c:pt>
                <c:pt idx="46">
                  <c:v>0.37163451004240672</c:v>
                </c:pt>
                <c:pt idx="47">
                  <c:v>0.37566930895488743</c:v>
                </c:pt>
                <c:pt idx="48">
                  <c:v>0.37966176745283425</c:v>
                </c:pt>
                <c:pt idx="49">
                  <c:v>0.38361320203930133</c:v>
                </c:pt>
                <c:pt idx="50">
                  <c:v>0.38752486237698852</c:v>
                </c:pt>
                <c:pt idx="51">
                  <c:v>0.3913979359448771</c:v>
                </c:pt>
                <c:pt idx="52">
                  <c:v>0.38887451510518733</c:v>
                </c:pt>
                <c:pt idx="53">
                  <c:v>0.38570168287657919</c:v>
                </c:pt>
                <c:pt idx="54">
                  <c:v>0.3826122149148376</c:v>
                </c:pt>
                <c:pt idx="55">
                  <c:v>0.37980918618373261</c:v>
                </c:pt>
                <c:pt idx="56">
                  <c:v>0.38027296739565825</c:v>
                </c:pt>
                <c:pt idx="57">
                  <c:v>0.38072918664409872</c:v>
                </c:pt>
                <c:pt idx="58">
                  <c:v>0.38116714207486241</c:v>
                </c:pt>
                <c:pt idx="59">
                  <c:v>0.38159188912361575</c:v>
                </c:pt>
                <c:pt idx="60">
                  <c:v>0.38200404838090513</c:v>
                </c:pt>
                <c:pt idx="61">
                  <c:v>0.3824042021638111</c:v>
                </c:pt>
                <c:pt idx="62">
                  <c:v>0.3827928974216811</c:v>
                </c:pt>
                <c:pt idx="63">
                  <c:v>0.38317064838109544</c:v>
                </c:pt>
                <c:pt idx="64">
                  <c:v>0.38353793895696847</c:v>
                </c:pt>
                <c:pt idx="65">
                  <c:v>0.38389522495355755</c:v>
                </c:pt>
                <c:pt idx="66">
                  <c:v>0.38424293607643267</c:v>
                </c:pt>
                <c:pt idx="67">
                  <c:v>0.3845814777740803</c:v>
                </c:pt>
                <c:pt idx="68">
                  <c:v>0.38491123292574003</c:v>
                </c:pt>
                <c:pt idx="69">
                  <c:v>0.38523256339024281</c:v>
                </c:pt>
                <c:pt idx="70">
                  <c:v>0.38554581142903055</c:v>
                </c:pt>
                <c:pt idx="71">
                  <c:v>0.38585130101511556</c:v>
                </c:pt>
                <c:pt idx="72">
                  <c:v>0.38614933903851179</c:v>
                </c:pt>
                <c:pt idx="73">
                  <c:v>0.38644021641756071</c:v>
                </c:pt>
                <c:pt idx="74">
                  <c:v>0.38672420912461775</c:v>
                </c:pt>
                <c:pt idx="75">
                  <c:v>0.38700157913369632</c:v>
                </c:pt>
                <c:pt idx="76">
                  <c:v>0.38727257529691445</c:v>
                </c:pt>
                <c:pt idx="77">
                  <c:v>0.38753743415590564</c:v>
                </c:pt>
                <c:pt idx="78">
                  <c:v>0.38779638069375438</c:v>
                </c:pt>
                <c:pt idx="79">
                  <c:v>0.38804962903248397</c:v>
                </c:pt>
                <c:pt idx="80">
                  <c:v>0.38829738308063838</c:v>
                </c:pt>
                <c:pt idx="81">
                  <c:v>0.38853983713507634</c:v>
                </c:pt>
                <c:pt idx="82">
                  <c:v>0.38877717644071119</c:v>
                </c:pt>
                <c:pt idx="83">
                  <c:v>0.38900957771158529</c:v>
                </c:pt>
                <c:pt idx="84">
                  <c:v>0.38923720961635822</c:v>
                </c:pt>
                <c:pt idx="85">
                  <c:v>0.3894602332310147</c:v>
                </c:pt>
                <c:pt idx="86">
                  <c:v>0.38967880246134412</c:v>
                </c:pt>
                <c:pt idx="87">
                  <c:v>0.38989306443751953</c:v>
                </c:pt>
                <c:pt idx="88">
                  <c:v>0.390103159882906</c:v>
                </c:pt>
                <c:pt idx="89">
                  <c:v>0.39030922345903685</c:v>
                </c:pt>
                <c:pt idx="90">
                  <c:v>0.39051138408853769</c:v>
                </c:pt>
                <c:pt idx="91">
                  <c:v>0.39070976525762435</c:v>
                </c:pt>
                <c:pt idx="92">
                  <c:v>0.39090448529966737</c:v>
                </c:pt>
                <c:pt idx="93">
                  <c:v>0.39109565766119025</c:v>
                </c:pt>
                <c:pt idx="94">
                  <c:v>0.39128339115155913</c:v>
                </c:pt>
                <c:pt idx="95">
                  <c:v>0.39146779017751754</c:v>
                </c:pt>
                <c:pt idx="96">
                  <c:v>0.39164895496362934</c:v>
                </c:pt>
                <c:pt idx="97">
                  <c:v>0.39182698175960828</c:v>
                </c:pt>
                <c:pt idx="98">
                  <c:v>0.39200196303543322</c:v>
                </c:pt>
                <c:pt idx="99">
                  <c:v>0.39217398766508355</c:v>
                </c:pt>
                <c:pt idx="100">
                  <c:v>0.39234314109965945</c:v>
                </c:pt>
              </c:numCache>
            </c:numRef>
          </c:val>
          <c:smooth val="0"/>
          <c:extLst>
            <c:ext xmlns:c16="http://schemas.microsoft.com/office/drawing/2014/chart" uri="{C3380CC4-5D6E-409C-BE32-E72D297353CC}">
              <c16:uniqueId val="{00000006-33CF-4CE8-9C2E-6191AB4D2064}"/>
            </c:ext>
          </c:extLst>
        </c:ser>
        <c:ser>
          <c:idx val="7"/>
          <c:order val="7"/>
          <c:spPr>
            <a:ln w="31750">
              <a:solidFill>
                <a:srgbClr val="00B050"/>
              </a:solidFill>
            </a:ln>
          </c:spPr>
          <c:marker>
            <c:symbol val="none"/>
          </c:marker>
          <c:val>
            <c:numRef>
              <c:f>'Calculations - Single'!$AW$110:$AW$210</c:f>
              <c:numCache>
                <c:formatCode>0.000</c:formatCode>
                <c:ptCount val="101"/>
                <c:pt idx="0">
                  <c:v>2.9629702505343428E-2</c:v>
                </c:pt>
                <c:pt idx="1">
                  <c:v>2.9861888764464363E-2</c:v>
                </c:pt>
                <c:pt idx="2">
                  <c:v>4.9467119546025826E-2</c:v>
                </c:pt>
                <c:pt idx="3">
                  <c:v>7.4200679319038731E-2</c:v>
                </c:pt>
                <c:pt idx="4">
                  <c:v>9.8934239092051651E-2</c:v>
                </c:pt>
                <c:pt idx="5">
                  <c:v>0.12366779886506454</c:v>
                </c:pt>
                <c:pt idx="6">
                  <c:v>0.14840135863807746</c:v>
                </c:pt>
                <c:pt idx="7">
                  <c:v>0.17313491841109038</c:v>
                </c:pt>
                <c:pt idx="8">
                  <c:v>0.1978684781841033</c:v>
                </c:pt>
                <c:pt idx="9">
                  <c:v>0.22260203795711617</c:v>
                </c:pt>
                <c:pt idx="10">
                  <c:v>0.24733559773012909</c:v>
                </c:pt>
                <c:pt idx="11">
                  <c:v>0.27206915750314198</c:v>
                </c:pt>
                <c:pt idx="12">
                  <c:v>0.29680271727615493</c:v>
                </c:pt>
                <c:pt idx="13">
                  <c:v>0.32153627704916782</c:v>
                </c:pt>
                <c:pt idx="14">
                  <c:v>0.34626983682218077</c:v>
                </c:pt>
                <c:pt idx="15">
                  <c:v>0.3710033965951936</c:v>
                </c:pt>
                <c:pt idx="16">
                  <c:v>0.3957369563682066</c:v>
                </c:pt>
                <c:pt idx="17">
                  <c:v>0.4204705161412195</c:v>
                </c:pt>
                <c:pt idx="18">
                  <c:v>0.44520407591423233</c:v>
                </c:pt>
                <c:pt idx="19">
                  <c:v>0.46993763568724534</c:v>
                </c:pt>
                <c:pt idx="20">
                  <c:v>0.49467119546025817</c:v>
                </c:pt>
                <c:pt idx="21">
                  <c:v>0.51940475523327112</c:v>
                </c:pt>
                <c:pt idx="22">
                  <c:v>0.54413831500628396</c:v>
                </c:pt>
                <c:pt idx="23">
                  <c:v>0.5688718747792969</c:v>
                </c:pt>
                <c:pt idx="24">
                  <c:v>0.59360543455230985</c:v>
                </c:pt>
                <c:pt idx="25">
                  <c:v>0.6183389943253228</c:v>
                </c:pt>
                <c:pt idx="26">
                  <c:v>0.64314882952400276</c:v>
                </c:pt>
                <c:pt idx="27">
                  <c:v>0.6161912837369603</c:v>
                </c:pt>
                <c:pt idx="28">
                  <c:v>0.61733912355054399</c:v>
                </c:pt>
                <c:pt idx="29">
                  <c:v>0.61841690611378164</c:v>
                </c:pt>
                <c:pt idx="30">
                  <c:v>0.61943133150533636</c:v>
                </c:pt>
                <c:pt idx="31">
                  <c:v>0.62038827201281388</c:v>
                </c:pt>
                <c:pt idx="32">
                  <c:v>0.6212928961437747</c:v>
                </c:pt>
                <c:pt idx="33">
                  <c:v>0.62214977099165492</c:v>
                </c:pt>
                <c:pt idx="34">
                  <c:v>0.62296294723962542</c:v>
                </c:pt>
                <c:pt idx="35">
                  <c:v>0.62373603014347589</c:v>
                </c:pt>
                <c:pt idx="36">
                  <c:v>0.62447223911947169</c:v>
                </c:pt>
                <c:pt idx="37">
                  <c:v>0.6251744580157147</c:v>
                </c:pt>
                <c:pt idx="38">
                  <c:v>0.6258452777232425</c:v>
                </c:pt>
                <c:pt idx="39">
                  <c:v>0.62648703245494008</c:v>
                </c:pt>
                <c:pt idx="40">
                  <c:v>0.62710183076354642</c:v>
                </c:pt>
                <c:pt idx="41">
                  <c:v>0.62769158216780463</c:v>
                </c:pt>
                <c:pt idx="42">
                  <c:v>0.62825802009551246</c:v>
                </c:pt>
                <c:pt idx="43">
                  <c:v>0.62880272172446383</c:v>
                </c:pt>
                <c:pt idx="44">
                  <c:v>0.62932712519983081</c:v>
                </c:pt>
                <c:pt idx="45">
                  <c:v>0.62983254462399385</c:v>
                </c:pt>
                <c:pt idx="46">
                  <c:v>0.63032018314795135</c:v>
                </c:pt>
                <c:pt idx="47">
                  <c:v>0.63079114443900908</c:v>
                </c:pt>
                <c:pt idx="48">
                  <c:v>0.63124644275494746</c:v>
                </c:pt>
                <c:pt idx="49">
                  <c:v>0.63168701181830378</c:v>
                </c:pt>
                <c:pt idx="50">
                  <c:v>0.6321137126542542</c:v>
                </c:pt>
                <c:pt idx="51">
                  <c:v>0.6325273405306131</c:v>
                </c:pt>
                <c:pt idx="52">
                  <c:v>0.63292863111769815</c:v>
                </c:pt>
                <c:pt idx="53">
                  <c:v>0.63331826596849905</c:v>
                </c:pt>
                <c:pt idx="54">
                  <c:v>0.63369687740506031</c:v>
                </c:pt>
                <c:pt idx="55">
                  <c:v>0.63406505288481463</c:v>
                </c:pt>
                <c:pt idx="56">
                  <c:v>0.63442333891031077</c:v>
                </c:pt>
                <c:pt idx="57">
                  <c:v>0.63477224453708792</c:v>
                </c:pt>
                <c:pt idx="58">
                  <c:v>0.63511224452707626</c:v>
                </c:pt>
                <c:pt idx="59">
                  <c:v>0.63544378218861797</c:v>
                </c:pt>
                <c:pt idx="60">
                  <c:v>0.63576727193885152</c:v>
                </c:pt>
                <c:pt idx="61">
                  <c:v>0.63608310161961712</c:v>
                </c:pt>
                <c:pt idx="62">
                  <c:v>0.63639163459410741</c:v>
                </c:pt>
                <c:pt idx="63">
                  <c:v>0.636693211648103</c:v>
                </c:pt>
                <c:pt idx="64">
                  <c:v>0.63698815271671771</c:v>
                </c:pt>
                <c:pt idx="65">
                  <c:v>0.63727675845505805</c:v>
                </c:pt>
                <c:pt idx="66">
                  <c:v>0.6375593116690057</c:v>
                </c:pt>
                <c:pt idx="67">
                  <c:v>0.63783607862045311</c:v>
                </c:pt>
                <c:pt idx="68">
                  <c:v>0.63810731021965195</c:v>
                </c:pt>
                <c:pt idx="69">
                  <c:v>0.63837324311590615</c:v>
                </c:pt>
                <c:pt idx="70">
                  <c:v>0.63863410069657978</c:v>
                </c:pt>
                <c:pt idx="71">
                  <c:v>0.63889009400328556</c:v>
                </c:pt>
                <c:pt idx="72">
                  <c:v>0.63914142257315509</c:v>
                </c:pt>
                <c:pt idx="73">
                  <c:v>0.63938827521224428</c:v>
                </c:pt>
                <c:pt idx="74">
                  <c:v>0.63963083070737237</c:v>
                </c:pt>
                <c:pt idx="75">
                  <c:v>0.63986925848204168</c:v>
                </c:pt>
                <c:pt idx="76">
                  <c:v>0.64010371920149312</c:v>
                </c:pt>
                <c:pt idx="77">
                  <c:v>0.64033436533144361</c:v>
                </c:pt>
                <c:pt idx="78">
                  <c:v>0.64056134165458678</c:v>
                </c:pt>
                <c:pt idx="79">
                  <c:v>0.64078478574853903</c:v>
                </c:pt>
                <c:pt idx="80">
                  <c:v>0.64100482842854367</c:v>
                </c:pt>
                <c:pt idx="81">
                  <c:v>0.64122159415793123</c:v>
                </c:pt>
                <c:pt idx="82">
                  <c:v>0.64143520142904176</c:v>
                </c:pt>
                <c:pt idx="83">
                  <c:v>0.64164576311705745</c:v>
                </c:pt>
                <c:pt idx="84">
                  <c:v>0.64185338680897175</c:v>
                </c:pt>
                <c:pt idx="85">
                  <c:v>0.64205817510970364</c:v>
                </c:pt>
                <c:pt idx="86">
                  <c:v>0.64226022592719456</c:v>
                </c:pt>
                <c:pt idx="87">
                  <c:v>0.64245963273814777</c:v>
                </c:pt>
                <c:pt idx="88">
                  <c:v>0.64265648483592741</c:v>
                </c:pt>
                <c:pt idx="89">
                  <c:v>0.64285086756200105</c:v>
                </c:pt>
                <c:pt idx="90">
                  <c:v>0.64304286252218412</c:v>
                </c:pt>
                <c:pt idx="91">
                  <c:v>0.64323254778883987</c:v>
                </c:pt>
                <c:pt idx="92">
                  <c:v>0.64341999809008477</c:v>
                </c:pt>
                <c:pt idx="93">
                  <c:v>0.6436052849869669</c:v>
                </c:pt>
                <c:pt idx="94">
                  <c:v>0.64378847703949726</c:v>
                </c:pt>
                <c:pt idx="95">
                  <c:v>0.64396963996234446</c:v>
                </c:pt>
                <c:pt idx="96">
                  <c:v>0.64414883677093682</c:v>
                </c:pt>
                <c:pt idx="97">
                  <c:v>0.64432612791865207</c:v>
                </c:pt>
                <c:pt idx="98">
                  <c:v>0.64450157142572628</c:v>
                </c:pt>
                <c:pt idx="99">
                  <c:v>0.64467522300045399</c:v>
                </c:pt>
                <c:pt idx="100">
                  <c:v>0.6448471361532182</c:v>
                </c:pt>
              </c:numCache>
            </c:numRef>
          </c:val>
          <c:smooth val="0"/>
          <c:extLst>
            <c:ext xmlns:c16="http://schemas.microsoft.com/office/drawing/2014/chart" uri="{C3380CC4-5D6E-409C-BE32-E72D297353CC}">
              <c16:uniqueId val="{00000007-33CF-4CE8-9C2E-6191AB4D2064}"/>
            </c:ext>
          </c:extLst>
        </c:ser>
        <c:ser>
          <c:idx val="8"/>
          <c:order val="8"/>
          <c:spPr>
            <a:ln w="31750">
              <a:solidFill>
                <a:srgbClr val="0000FF"/>
              </a:solidFill>
            </a:ln>
          </c:spPr>
          <c:marker>
            <c:symbol val="none"/>
          </c:marker>
          <c:val>
            <c:numRef>
              <c:f>'Calculations - Single'!$AW$216:$AW$316</c:f>
              <c:numCache>
                <c:formatCode>0.000</c:formatCode>
                <c:ptCount val="101"/>
                <c:pt idx="0">
                  <c:v>7.4074119621311205E-3</c:v>
                </c:pt>
                <c:pt idx="1">
                  <c:v>7.421838760552928E-3</c:v>
                </c:pt>
                <c:pt idx="2">
                  <c:v>1.2287276952692794E-2</c:v>
                </c:pt>
                <c:pt idx="3">
                  <c:v>1.8430915429039192E-2</c:v>
                </c:pt>
                <c:pt idx="4">
                  <c:v>2.4574553905385588E-2</c:v>
                </c:pt>
                <c:pt idx="5">
                  <c:v>3.0718192381731981E-2</c:v>
                </c:pt>
                <c:pt idx="6">
                  <c:v>3.6861830858078384E-2</c:v>
                </c:pt>
                <c:pt idx="7">
                  <c:v>4.3005469334424777E-2</c:v>
                </c:pt>
                <c:pt idx="8">
                  <c:v>4.9149107810771177E-2</c:v>
                </c:pt>
                <c:pt idx="9">
                  <c:v>5.5292746287117563E-2</c:v>
                </c:pt>
                <c:pt idx="10">
                  <c:v>6.1436384763463962E-2</c:v>
                </c:pt>
                <c:pt idx="11">
                  <c:v>6.7580023239810355E-2</c:v>
                </c:pt>
                <c:pt idx="12">
                  <c:v>7.3723661716156769E-2</c:v>
                </c:pt>
                <c:pt idx="13">
                  <c:v>7.9867300192503154E-2</c:v>
                </c:pt>
                <c:pt idx="14">
                  <c:v>8.6010938668849554E-2</c:v>
                </c:pt>
                <c:pt idx="15">
                  <c:v>9.215457714519594E-2</c:v>
                </c:pt>
                <c:pt idx="16">
                  <c:v>9.8298215621542354E-2</c:v>
                </c:pt>
                <c:pt idx="17">
                  <c:v>0.10444185409788875</c:v>
                </c:pt>
                <c:pt idx="18">
                  <c:v>0.11058549257423513</c:v>
                </c:pt>
                <c:pt idx="19">
                  <c:v>0.11672913105058154</c:v>
                </c:pt>
                <c:pt idx="20">
                  <c:v>0.12287276952692792</c:v>
                </c:pt>
                <c:pt idx="21">
                  <c:v>0.12901640800327432</c:v>
                </c:pt>
                <c:pt idx="22">
                  <c:v>0.13516004647962071</c:v>
                </c:pt>
                <c:pt idx="23">
                  <c:v>0.14130368495596712</c:v>
                </c:pt>
                <c:pt idx="24">
                  <c:v>0.14744732343231354</c:v>
                </c:pt>
                <c:pt idx="25">
                  <c:v>0.15359096190865992</c:v>
                </c:pt>
                <c:pt idx="26">
                  <c:v>0.15973460038500631</c:v>
                </c:pt>
                <c:pt idx="27">
                  <c:v>0.16587823886135272</c:v>
                </c:pt>
                <c:pt idx="28">
                  <c:v>0.17202187733769911</c:v>
                </c:pt>
                <c:pt idx="29">
                  <c:v>0.17816551581404547</c:v>
                </c:pt>
                <c:pt idx="30">
                  <c:v>0.18430915429039188</c:v>
                </c:pt>
                <c:pt idx="31">
                  <c:v>0.19045279276673827</c:v>
                </c:pt>
                <c:pt idx="32">
                  <c:v>0.19659643124308471</c:v>
                </c:pt>
                <c:pt idx="33">
                  <c:v>0.20274006971943109</c:v>
                </c:pt>
                <c:pt idx="34">
                  <c:v>0.20888370819577751</c:v>
                </c:pt>
                <c:pt idx="35">
                  <c:v>0.21502734667212386</c:v>
                </c:pt>
                <c:pt idx="36">
                  <c:v>0.2188350867456228</c:v>
                </c:pt>
                <c:pt idx="37">
                  <c:v>0.22186165677165712</c:v>
                </c:pt>
                <c:pt idx="38">
                  <c:v>0.22484781029965134</c:v>
                </c:pt>
                <c:pt idx="39">
                  <c:v>0.22779513265394874</c:v>
                </c:pt>
                <c:pt idx="40">
                  <c:v>0.23070510815294074</c:v>
                </c:pt>
                <c:pt idx="41">
                  <c:v>0.23357912889539514</c:v>
                </c:pt>
                <c:pt idx="42">
                  <c:v>0.23641850258786404</c:v>
                </c:pt>
                <c:pt idx="43">
                  <c:v>0.23922445953806318</c:v>
                </c:pt>
                <c:pt idx="44">
                  <c:v>0.24199815892033441</c:v>
                </c:pt>
                <c:pt idx="45">
                  <c:v>0.24474069440370438</c:v>
                </c:pt>
                <c:pt idx="46">
                  <c:v>0.24745309922004999</c:v>
                </c:pt>
                <c:pt idx="47">
                  <c:v>0.25013635073897655</c:v>
                </c:pt>
                <c:pt idx="48">
                  <c:v>0.25279137460685275</c:v>
                </c:pt>
                <c:pt idx="49">
                  <c:v>0.25541904849970115</c:v>
                </c:pt>
                <c:pt idx="50">
                  <c:v>0.25802020553308325</c:v>
                </c:pt>
                <c:pt idx="51">
                  <c:v>0.26059563736653363</c:v>
                </c:pt>
                <c:pt idx="52">
                  <c:v>0.26314609703533548</c:v>
                </c:pt>
                <c:pt idx="53">
                  <c:v>0.2656723015383462</c:v>
                </c:pt>
                <c:pt idx="54">
                  <c:v>0.26817493420707861</c:v>
                </c:pt>
                <c:pt idx="55">
                  <c:v>0.27065464687821894</c:v>
                </c:pt>
                <c:pt idx="56">
                  <c:v>0.27311206188915793</c:v>
                </c:pt>
                <c:pt idx="57">
                  <c:v>0.27554777391384166</c:v>
                </c:pt>
                <c:pt idx="58">
                  <c:v>0.27796235165428868</c:v>
                </c:pt>
                <c:pt idx="59">
                  <c:v>0.28035633940140386</c:v>
                </c:pt>
                <c:pt idx="60">
                  <c:v>0.28273025847722594</c:v>
                </c:pt>
                <c:pt idx="61">
                  <c:v>0.2850846085694333</c:v>
                </c:pt>
                <c:pt idx="62">
                  <c:v>0.28741986896778604</c:v>
                </c:pt>
                <c:pt idx="63">
                  <c:v>0.28973649971116999</c:v>
                </c:pt>
                <c:pt idx="64">
                  <c:v>0.29203494265301833</c:v>
                </c:pt>
                <c:pt idx="65">
                  <c:v>0.29431562245209941</c:v>
                </c:pt>
                <c:pt idx="66">
                  <c:v>0.29657894749496233</c:v>
                </c:pt>
                <c:pt idx="67">
                  <c:v>0.29882531075571656</c:v>
                </c:pt>
                <c:pt idx="68">
                  <c:v>0.30105509059826951</c:v>
                </c:pt>
                <c:pt idx="69">
                  <c:v>0.30084577637752574</c:v>
                </c:pt>
                <c:pt idx="70">
                  <c:v>0.29899073225399508</c:v>
                </c:pt>
                <c:pt idx="71">
                  <c:v>0.2971768802668126</c:v>
                </c:pt>
                <c:pt idx="72">
                  <c:v>0.29539657938293179</c:v>
                </c:pt>
                <c:pt idx="73">
                  <c:v>0.29364802377489685</c:v>
                </c:pt>
                <c:pt idx="74">
                  <c:v>0.29281278296050745</c:v>
                </c:pt>
                <c:pt idx="75">
                  <c:v>0.2930855840501233</c:v>
                </c:pt>
                <c:pt idx="76">
                  <c:v>0.29334724912780441</c:v>
                </c:pt>
                <c:pt idx="77">
                  <c:v>0.29360166615581523</c:v>
                </c:pt>
                <c:pt idx="78">
                  <c:v>0.2938502768620958</c:v>
                </c:pt>
                <c:pt idx="79">
                  <c:v>0.2940932882509924</c:v>
                </c:pt>
                <c:pt idx="80">
                  <c:v>0.29433089760340286</c:v>
                </c:pt>
                <c:pt idx="81">
                  <c:v>0.29456329304106432</c:v>
                </c:pt>
                <c:pt idx="82">
                  <c:v>0.29479065405199528</c:v>
                </c:pt>
                <c:pt idx="83">
                  <c:v>0.29501315198017536</c:v>
                </c:pt>
                <c:pt idx="84">
                  <c:v>0.2952309504822716</c:v>
                </c:pt>
                <c:pt idx="85">
                  <c:v>0.29544420595396853</c:v>
                </c:pt>
                <c:pt idx="86">
                  <c:v>0.29565306792823715</c:v>
                </c:pt>
                <c:pt idx="87">
                  <c:v>0.29585767944767422</c:v>
                </c:pt>
                <c:pt idx="88">
                  <c:v>0.29605817741286033</c:v>
                </c:pt>
                <c:pt idx="89">
                  <c:v>0.29625469290851864</c:v>
                </c:pt>
                <c:pt idx="90">
                  <c:v>0.29644735150910817</c:v>
                </c:pt>
                <c:pt idx="91">
                  <c:v>0.2966362735653495</c:v>
                </c:pt>
                <c:pt idx="92">
                  <c:v>0.29682157447305507</c:v>
                </c:pt>
                <c:pt idx="93">
                  <c:v>0.29700336492552648</c:v>
                </c:pt>
                <c:pt idx="94">
                  <c:v>0.2971817511506803</c:v>
                </c:pt>
                <c:pt idx="95">
                  <c:v>0.29735683513396716</c:v>
                </c:pt>
                <c:pt idx="96">
                  <c:v>0.29752871482807014</c:v>
                </c:pt>
                <c:pt idx="97">
                  <c:v>0.29769748435028565</c:v>
                </c:pt>
                <c:pt idx="98">
                  <c:v>0.29786323416842447</c:v>
                </c:pt>
                <c:pt idx="99">
                  <c:v>0.29802605127600379</c:v>
                </c:pt>
                <c:pt idx="100">
                  <c:v>0.29818601935744321</c:v>
                </c:pt>
              </c:numCache>
            </c:numRef>
          </c:val>
          <c:smooth val="0"/>
          <c:extLst>
            <c:ext xmlns:c16="http://schemas.microsoft.com/office/drawing/2014/chart" uri="{C3380CC4-5D6E-409C-BE32-E72D297353CC}">
              <c16:uniqueId val="{00000008-33CF-4CE8-9C2E-6191AB4D2064}"/>
            </c:ext>
          </c:extLst>
        </c:ser>
        <c:dLbls>
          <c:showLegendKey val="0"/>
          <c:showVal val="0"/>
          <c:showCatName val="0"/>
          <c:showSerName val="0"/>
          <c:showPercent val="0"/>
          <c:showBubbleSize val="0"/>
        </c:dLbls>
        <c:marker val="1"/>
        <c:smooth val="0"/>
        <c:axId val="449032960"/>
        <c:axId val="449022592"/>
      </c:lineChart>
      <c:catAx>
        <c:axId val="449006208"/>
        <c:scaling>
          <c:orientation val="minMax"/>
        </c:scaling>
        <c:delete val="0"/>
        <c:axPos val="b"/>
        <c:majorGridlines>
          <c:spPr>
            <a:ln w="15875">
              <a:solidFill>
                <a:srgbClr val="969696"/>
              </a:solidFill>
              <a:prstDash val="sysDash"/>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a:solidFill>
                      <a:schemeClr val="tx1"/>
                    </a:solidFill>
                    <a:latin typeface="Arial" pitchFamily="34" charset="0"/>
                    <a:cs typeface="Arial" pitchFamily="34" charset="0"/>
                  </a:rPr>
                  <a:t>Load Current (mA)</a:t>
                </a:r>
              </a:p>
            </c:rich>
          </c:tx>
          <c:layout>
            <c:manualLayout>
              <c:xMode val="edge"/>
              <c:yMode val="edge"/>
              <c:x val="0.4112305719849535"/>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20672"/>
        <c:crosses val="autoZero"/>
        <c:auto val="1"/>
        <c:lblAlgn val="ctr"/>
        <c:lblOffset val="100"/>
        <c:tickLblSkip val="20"/>
        <c:tickMarkSkip val="10"/>
        <c:noMultiLvlLbl val="0"/>
      </c:catAx>
      <c:valAx>
        <c:axId val="449020672"/>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400" b="1">
                    <a:solidFill>
                      <a:schemeClr val="tx1"/>
                    </a:solidFill>
                    <a:latin typeface="Arial" pitchFamily="34" charset="0"/>
                    <a:cs typeface="Arial" pitchFamily="34" charset="0"/>
                  </a:rPr>
                  <a:t>Switching</a:t>
                </a:r>
                <a:r>
                  <a:rPr lang="en-US" sz="1400" b="1" baseline="0">
                    <a:solidFill>
                      <a:schemeClr val="tx1"/>
                    </a:solidFill>
                    <a:latin typeface="Arial" pitchFamily="34" charset="0"/>
                    <a:cs typeface="Arial" pitchFamily="34" charset="0"/>
                  </a:rPr>
                  <a:t> Frquency (kHz)</a:t>
                </a:r>
                <a:endParaRPr lang="en-US" sz="14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006208"/>
        <c:crossesAt val="0"/>
        <c:crossBetween val="between"/>
        <c:majorUnit val="50"/>
        <c:minorUnit val="25"/>
      </c:valAx>
      <c:valAx>
        <c:axId val="449022592"/>
        <c:scaling>
          <c:orientation val="minMax"/>
          <c:min val="0"/>
        </c:scaling>
        <c:delete val="0"/>
        <c:axPos val="r"/>
        <c:title>
          <c:tx>
            <c:rich>
              <a:bodyPr rot="-5400000" vert="horz"/>
              <a:lstStyle/>
              <a:p>
                <a:pPr>
                  <a:defRPr lang="ja-JP" sz="1400" b="1"/>
                </a:pPr>
                <a:r>
                  <a:rPr lang="en-US" sz="1400" b="1"/>
                  <a:t>Duty Cycle</a:t>
                </a:r>
              </a:p>
            </c:rich>
          </c:tx>
          <c:layout>
            <c:manualLayout>
              <c:xMode val="edge"/>
              <c:yMode val="edge"/>
              <c:x val="0.96323100741439582"/>
              <c:y val="0.41073169332818471"/>
            </c:manualLayout>
          </c:layout>
          <c:overlay val="0"/>
        </c:title>
        <c:numFmt formatCode="General" sourceLinked="0"/>
        <c:majorTickMark val="in"/>
        <c:minorTickMark val="in"/>
        <c:tickLblPos val="nextTo"/>
        <c:txPr>
          <a:bodyPr/>
          <a:lstStyle/>
          <a:p>
            <a:pPr>
              <a:defRPr lang="ja-JP" sz="1200" b="1"/>
            </a:pPr>
            <a:endParaRPr lang="en-US"/>
          </a:p>
        </c:txPr>
        <c:crossAx val="449032960"/>
        <c:crosses val="max"/>
        <c:crossBetween val="between"/>
        <c:majorUnit val="0.1"/>
        <c:minorUnit val="2.0000000000000004E-2"/>
      </c:valAx>
      <c:catAx>
        <c:axId val="449032960"/>
        <c:scaling>
          <c:orientation val="minMax"/>
        </c:scaling>
        <c:delete val="1"/>
        <c:axPos val="b"/>
        <c:majorTickMark val="out"/>
        <c:minorTickMark val="none"/>
        <c:tickLblPos val="nextTo"/>
        <c:crossAx val="449022592"/>
        <c:crosses val="autoZero"/>
        <c:auto val="1"/>
        <c:lblAlgn val="ctr"/>
        <c:lblOffset val="100"/>
        <c:noMultiLvlLbl val="0"/>
      </c:catAx>
      <c:spPr>
        <a:solidFill>
          <a:srgbClr val="FFFFFF"/>
        </a:solidFill>
        <a:ln w="25400">
          <a:noFill/>
        </a:ln>
      </c:spPr>
    </c:plotArea>
    <c:legend>
      <c:legendPos val="t"/>
      <c:legendEntry>
        <c:idx val="3"/>
        <c:delete val="1"/>
      </c:legendEntry>
      <c:legendEntry>
        <c:idx val="4"/>
        <c:delete val="1"/>
      </c:legendEntry>
      <c:legendEntry>
        <c:idx val="5"/>
        <c:delete val="1"/>
      </c:legendEntry>
      <c:legendEntry>
        <c:idx val="6"/>
        <c:delete val="1"/>
      </c:legendEntry>
      <c:legendEntry>
        <c:idx val="7"/>
        <c:delete val="1"/>
      </c:legendEntry>
      <c:legendEntry>
        <c:idx val="8"/>
        <c:delete val="1"/>
      </c:legendEntry>
      <c:layout>
        <c:manualLayout>
          <c:xMode val="edge"/>
          <c:yMode val="edge"/>
          <c:x val="0.21364188347424315"/>
          <c:y val="3.4655227110648466E-2"/>
          <c:w val="0.56362386153343735"/>
          <c:h val="5.4335766847817754E-2"/>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Single'!$AJ$110:$AJ$210</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2.2946285985730062</c:v>
                </c:pt>
                <c:pt idx="28">
                  <c:v>2.3801777147046077</c:v>
                </c:pt>
                <c:pt idx="29">
                  <c:v>2.465767474552178</c:v>
                </c:pt>
                <c:pt idx="30">
                  <c:v>2.5513979183785538</c:v>
                </c:pt>
                <c:pt idx="31">
                  <c:v>2.6370690865244324</c:v>
                </c:pt>
                <c:pt idx="32">
                  <c:v>2.7227810194045623</c:v>
                </c:pt>
                <c:pt idx="33">
                  <c:v>2.8085337575046654</c:v>
                </c:pt>
                <c:pt idx="34">
                  <c:v>2.8943273413789323</c:v>
                </c:pt>
                <c:pt idx="35">
                  <c:v>2.9801618116479798</c:v>
                </c:pt>
                <c:pt idx="36">
                  <c:v>3.0660372089971717</c:v>
                </c:pt>
                <c:pt idx="37">
                  <c:v>3.1519535741752303</c:v>
                </c:pt>
                <c:pt idx="38">
                  <c:v>3.2379109479930972</c:v>
                </c:pt>
                <c:pt idx="39">
                  <c:v>3.3239093713229804</c:v>
                </c:pt>
                <c:pt idx="40">
                  <c:v>3.4099488850975637</c:v>
                </c:pt>
                <c:pt idx="41">
                  <c:v>3.4960295303093529</c:v>
                </c:pt>
                <c:pt idx="42">
                  <c:v>3.582151348010123</c:v>
                </c:pt>
                <c:pt idx="43">
                  <c:v>3.6683143793104662</c:v>
                </c:pt>
                <c:pt idx="44">
                  <c:v>3.7545186653794089</c:v>
                </c:pt>
                <c:pt idx="45">
                  <c:v>3.8407642474440973</c:v>
                </c:pt>
                <c:pt idx="46">
                  <c:v>3.9270511667895369</c:v>
                </c:pt>
                <c:pt idx="47">
                  <c:v>4.0133794647583754</c:v>
                </c:pt>
                <c:pt idx="48">
                  <c:v>4.0997491827507311</c:v>
                </c:pt>
                <c:pt idx="49">
                  <c:v>4.1861603622240473</c:v>
                </c:pt>
                <c:pt idx="50">
                  <c:v>4.2726130446929815</c:v>
                </c:pt>
                <c:pt idx="51">
                  <c:v>4.3591072717293127</c:v>
                </c:pt>
                <c:pt idx="52">
                  <c:v>4.4456430849618833</c:v>
                </c:pt>
                <c:pt idx="53">
                  <c:v>4.5322205260765411</c:v>
                </c:pt>
                <c:pt idx="54">
                  <c:v>4.6188396368161131</c:v>
                </c:pt>
                <c:pt idx="55">
                  <c:v>4.7055004589803895</c:v>
                </c:pt>
                <c:pt idx="56">
                  <c:v>4.792203034426108</c:v>
                </c:pt>
                <c:pt idx="57">
                  <c:v>4.8789474050669686</c:v>
                </c:pt>
                <c:pt idx="58">
                  <c:v>4.9657336128736489</c:v>
                </c:pt>
                <c:pt idx="59">
                  <c:v>5.0525616998738192</c:v>
                </c:pt>
                <c:pt idx="60">
                  <c:v>5.139431708152177</c:v>
                </c:pt>
                <c:pt idx="61">
                  <c:v>5.2263436798504888</c:v>
                </c:pt>
                <c:pt idx="62">
                  <c:v>5.313297657167622</c:v>
                </c:pt>
                <c:pt idx="63">
                  <c:v>5.4002936823596031</c:v>
                </c:pt>
                <c:pt idx="64">
                  <c:v>5.4873317977396674</c:v>
                </c:pt>
                <c:pt idx="65">
                  <c:v>5.5744120456783142</c:v>
                </c:pt>
                <c:pt idx="66">
                  <c:v>5.6615344686033628</c:v>
                </c:pt>
                <c:pt idx="67">
                  <c:v>5.7486991090000341</c:v>
                </c:pt>
                <c:pt idx="68">
                  <c:v>5.8359060094109925</c:v>
                </c:pt>
                <c:pt idx="69">
                  <c:v>5.9231552124364333</c:v>
                </c:pt>
                <c:pt idx="70">
                  <c:v>6.010446760734153</c:v>
                </c:pt>
                <c:pt idx="71">
                  <c:v>6.0977806970196173</c:v>
                </c:pt>
                <c:pt idx="72">
                  <c:v>6.1851570640660407</c:v>
                </c:pt>
                <c:pt idx="73">
                  <c:v>6.2725759047044694</c:v>
                </c:pt>
                <c:pt idx="74">
                  <c:v>6.3600372618238472</c:v>
                </c:pt>
                <c:pt idx="75">
                  <c:v>6.4475411783711172</c:v>
                </c:pt>
                <c:pt idx="76">
                  <c:v>6.5350876973512877</c:v>
                </c:pt>
                <c:pt idx="77">
                  <c:v>6.6226768618275296</c:v>
                </c:pt>
                <c:pt idx="78">
                  <c:v>6.7103087149212461</c:v>
                </c:pt>
                <c:pt idx="79">
                  <c:v>6.7979832998121807</c:v>
                </c:pt>
                <c:pt idx="80">
                  <c:v>6.885700659738486</c:v>
                </c:pt>
                <c:pt idx="81">
                  <c:v>6.973460837996817</c:v>
                </c:pt>
                <c:pt idx="82">
                  <c:v>7.0612638779424319</c:v>
                </c:pt>
                <c:pt idx="83">
                  <c:v>7.1491098229892671</c:v>
                </c:pt>
                <c:pt idx="84">
                  <c:v>7.2369987166100413</c:v>
                </c:pt>
                <c:pt idx="85">
                  <c:v>7.3249306023363348</c:v>
                </c:pt>
                <c:pt idx="86">
                  <c:v>7.4129055237586909</c:v>
                </c:pt>
                <c:pt idx="87">
                  <c:v>7.5009235245267165</c:v>
                </c:pt>
                <c:pt idx="88">
                  <c:v>7.5889846483491548</c:v>
                </c:pt>
                <c:pt idx="89">
                  <c:v>7.6770889389939967</c:v>
                </c:pt>
                <c:pt idx="90">
                  <c:v>7.7652364402885752</c:v>
                </c:pt>
                <c:pt idx="91">
                  <c:v>7.853427196119652</c:v>
                </c:pt>
                <c:pt idx="92">
                  <c:v>7.9416612504335227</c:v>
                </c:pt>
                <c:pt idx="93">
                  <c:v>8.0299386472361078</c:v>
                </c:pt>
                <c:pt idx="94">
                  <c:v>8.1182594305930511</c:v>
                </c:pt>
                <c:pt idx="95">
                  <c:v>8.2066236446298237</c:v>
                </c:pt>
                <c:pt idx="96">
                  <c:v>8.2950313335318082</c:v>
                </c:pt>
                <c:pt idx="97">
                  <c:v>8.3834825415444101</c:v>
                </c:pt>
                <c:pt idx="98">
                  <c:v>8.4719773129731504</c:v>
                </c:pt>
                <c:pt idx="99">
                  <c:v>8.5605156921837704</c:v>
                </c:pt>
                <c:pt idx="100">
                  <c:v>8.6490977236023205</c:v>
                </c:pt>
              </c:numCache>
            </c:numRef>
          </c:val>
          <c:smooth val="0"/>
          <c:extLst>
            <c:ext xmlns:c16="http://schemas.microsoft.com/office/drawing/2014/chart" uri="{C3380CC4-5D6E-409C-BE32-E72D297353CC}">
              <c16:uniqueId val="{00000000-6477-4C46-89EF-E7A1D5DEFAE7}"/>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2.2222222222222223</c:v>
                </c:pt>
                <c:pt idx="35">
                  <c:v>2.2222222222222223</c:v>
                </c:pt>
                <c:pt idx="36">
                  <c:v>2.2460127318307075</c:v>
                </c:pt>
                <c:pt idx="37">
                  <c:v>2.2770079179466083</c:v>
                </c:pt>
                <c:pt idx="38">
                  <c:v>2.3075873842328822</c:v>
                </c:pt>
                <c:pt idx="39">
                  <c:v>2.3377674369786448</c:v>
                </c:pt>
                <c:pt idx="40">
                  <c:v>2.3675633435509362</c:v>
                </c:pt>
                <c:pt idx="41">
                  <c:v>2.3969894227686175</c:v>
                </c:pt>
                <c:pt idx="42">
                  <c:v>2.4260591254130639</c:v>
                </c:pt>
                <c:pt idx="43">
                  <c:v>2.4547851061602679</c:v>
                </c:pt>
                <c:pt idx="44">
                  <c:v>2.4831792880257684</c:v>
                </c:pt>
                <c:pt idx="45">
                  <c:v>2.5112529202534257</c:v>
                </c:pt>
                <c:pt idx="46">
                  <c:v>2.5390166304452704</c:v>
                </c:pt>
                <c:pt idx="47">
                  <c:v>2.5664804716175382</c:v>
                </c:pt>
                <c:pt idx="48">
                  <c:v>2.5936539647737278</c:v>
                </c:pt>
                <c:pt idx="49">
                  <c:v>2.6205461375058841</c:v>
                </c:pt>
                <c:pt idx="50">
                  <c:v>2.6471655590678078</c:v>
                </c:pt>
                <c:pt idx="51">
                  <c:v>2.6735203723064909</c:v>
                </c:pt>
                <c:pt idx="52">
                  <c:v>2.6996183227890382</c:v>
                </c:pt>
                <c:pt idx="53">
                  <c:v>2.725477558037114</c:v>
                </c:pt>
                <c:pt idx="54">
                  <c:v>2.7511081626991341</c:v>
                </c:pt>
                <c:pt idx="55">
                  <c:v>2.7780632105492806</c:v>
                </c:pt>
                <c:pt idx="56">
                  <c:v>2.8286666786829628</c:v>
                </c:pt>
                <c:pt idx="57">
                  <c:v>2.8793098958000329</c:v>
                </c:pt>
                <c:pt idx="58">
                  <c:v>2.9299364123645448</c:v>
                </c:pt>
                <c:pt idx="59">
                  <c:v>2.9805668212086398</c:v>
                </c:pt>
                <c:pt idx="60">
                  <c:v>3.0312011231905709</c:v>
                </c:pt>
                <c:pt idx="61">
                  <c:v>3.0818393191691085</c:v>
                </c:pt>
                <c:pt idx="62">
                  <c:v>3.1324814100035199</c:v>
                </c:pt>
                <c:pt idx="63">
                  <c:v>3.1831273965535525</c:v>
                </c:pt>
                <c:pt idx="64">
                  <c:v>3.2337772796794075</c:v>
                </c:pt>
                <c:pt idx="65">
                  <c:v>3.2844310602417357</c:v>
                </c:pt>
                <c:pt idx="66">
                  <c:v>3.3350887391016122</c:v>
                </c:pt>
                <c:pt idx="67">
                  <c:v>3.3857503171205265</c:v>
                </c:pt>
                <c:pt idx="68">
                  <c:v>3.4364157951603773</c:v>
                </c:pt>
                <c:pt idx="69">
                  <c:v>3.4870851740834508</c:v>
                </c:pt>
                <c:pt idx="70">
                  <c:v>3.5377584547524199</c:v>
                </c:pt>
                <c:pt idx="71">
                  <c:v>3.5884356380303273</c:v>
                </c:pt>
                <c:pt idx="72">
                  <c:v>3.639116724780584</c:v>
                </c:pt>
                <c:pt idx="73">
                  <c:v>3.6898017158669569</c:v>
                </c:pt>
                <c:pt idx="74">
                  <c:v>3.7404906121535646</c:v>
                </c:pt>
                <c:pt idx="75">
                  <c:v>3.7911834145048697</c:v>
                </c:pt>
                <c:pt idx="76">
                  <c:v>3.8418801237856752</c:v>
                </c:pt>
                <c:pt idx="77">
                  <c:v>3.8925807408611148</c:v>
                </c:pt>
                <c:pt idx="78">
                  <c:v>3.9432852665966514</c:v>
                </c:pt>
                <c:pt idx="79">
                  <c:v>3.9939937018580709</c:v>
                </c:pt>
                <c:pt idx="80">
                  <c:v>4.0447060475114798</c:v>
                </c:pt>
                <c:pt idx="81">
                  <c:v>4.0954223044233009</c:v>
                </c:pt>
                <c:pt idx="82">
                  <c:v>4.1461424734602659</c:v>
                </c:pt>
                <c:pt idx="83">
                  <c:v>4.196866555489418</c:v>
                </c:pt>
                <c:pt idx="84">
                  <c:v>4.2475945513781079</c:v>
                </c:pt>
                <c:pt idx="85">
                  <c:v>4.2983264619939812</c:v>
                </c:pt>
                <c:pt idx="86">
                  <c:v>4.349062288204995</c:v>
                </c:pt>
                <c:pt idx="87">
                  <c:v>4.3998020308793935</c:v>
                </c:pt>
                <c:pt idx="88">
                  <c:v>4.4505456908857228</c:v>
                </c:pt>
                <c:pt idx="89">
                  <c:v>4.5012932690928205</c:v>
                </c:pt>
                <c:pt idx="90">
                  <c:v>4.552044766369816</c:v>
                </c:pt>
                <c:pt idx="91">
                  <c:v>4.6028001835861296</c:v>
                </c:pt>
                <c:pt idx="92">
                  <c:v>4.6535595216114656</c:v>
                </c:pt>
                <c:pt idx="93">
                  <c:v>4.7043227813158177</c:v>
                </c:pt>
                <c:pt idx="94">
                  <c:v>4.755089963569465</c:v>
                </c:pt>
                <c:pt idx="95">
                  <c:v>4.8058610692429697</c:v>
                </c:pt>
                <c:pt idx="96">
                  <c:v>4.856636099207174</c:v>
                </c:pt>
                <c:pt idx="97">
                  <c:v>4.907415054333204</c:v>
                </c:pt>
                <c:pt idx="98">
                  <c:v>4.9581979354924677</c:v>
                </c:pt>
                <c:pt idx="99">
                  <c:v>5.0089847435566446</c:v>
                </c:pt>
                <c:pt idx="100">
                  <c:v>5.0597754793977003</c:v>
                </c:pt>
              </c:numCache>
            </c:numRef>
          </c:val>
          <c:smooth val="0"/>
          <c:extLst>
            <c:ext xmlns:c16="http://schemas.microsoft.com/office/drawing/2014/chart" uri="{C3380CC4-5D6E-409C-BE32-E72D297353CC}">
              <c16:uniqueId val="{00000001-6477-4C46-89EF-E7A1D5DEFAE7}"/>
            </c:ext>
          </c:extLst>
        </c:ser>
        <c:ser>
          <c:idx val="2"/>
          <c:order val="2"/>
          <c:tx>
            <c:v>VIN-max</c:v>
          </c:tx>
          <c:spPr>
            <a:ln>
              <a:solidFill>
                <a:srgbClr val="FF0000"/>
              </a:solidFill>
              <a:prstDash val="solid"/>
            </a:ln>
          </c:spPr>
          <c:marker>
            <c:symbol val="none"/>
          </c:marker>
          <c:val>
            <c:numRef>
              <c:f>'Calculations - Single'!$AJ$216:$AJ$316</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2.2222222222222223</c:v>
                </c:pt>
                <c:pt idx="35">
                  <c:v>2.2222222222222223</c:v>
                </c:pt>
                <c:pt idx="36">
                  <c:v>2.2460127318307075</c:v>
                </c:pt>
                <c:pt idx="37">
                  <c:v>2.2770079179466083</c:v>
                </c:pt>
                <c:pt idx="38">
                  <c:v>2.3075873842328822</c:v>
                </c:pt>
                <c:pt idx="39">
                  <c:v>2.3377674369786448</c:v>
                </c:pt>
                <c:pt idx="40">
                  <c:v>2.3675633435509362</c:v>
                </c:pt>
                <c:pt idx="41">
                  <c:v>2.3969894227686175</c:v>
                </c:pt>
                <c:pt idx="42">
                  <c:v>2.4260591254130639</c:v>
                </c:pt>
                <c:pt idx="43">
                  <c:v>2.4547851061602679</c:v>
                </c:pt>
                <c:pt idx="44">
                  <c:v>2.4831792880257684</c:v>
                </c:pt>
                <c:pt idx="45">
                  <c:v>2.5112529202534257</c:v>
                </c:pt>
                <c:pt idx="46">
                  <c:v>2.5390166304452704</c:v>
                </c:pt>
                <c:pt idx="47">
                  <c:v>2.5664804716175382</c:v>
                </c:pt>
                <c:pt idx="48">
                  <c:v>2.5936539647737278</c:v>
                </c:pt>
                <c:pt idx="49">
                  <c:v>2.6205461375058841</c:v>
                </c:pt>
                <c:pt idx="50">
                  <c:v>2.6471655590678078</c:v>
                </c:pt>
                <c:pt idx="51">
                  <c:v>2.6735203723064909</c:v>
                </c:pt>
                <c:pt idx="52">
                  <c:v>2.6996183227890382</c:v>
                </c:pt>
                <c:pt idx="53">
                  <c:v>2.7254667854204007</c:v>
                </c:pt>
                <c:pt idx="54">
                  <c:v>2.7510727888111424</c:v>
                </c:pt>
                <c:pt idx="55">
                  <c:v>2.7764430376234315</c:v>
                </c:pt>
                <c:pt idx="56">
                  <c:v>2.8015839330965653</c:v>
                </c:pt>
                <c:pt idx="57">
                  <c:v>2.8265015919300813</c:v>
                </c:pt>
                <c:pt idx="58">
                  <c:v>2.8512018636822836</c:v>
                </c:pt>
                <c:pt idx="59">
                  <c:v>2.8756903468243924</c:v>
                </c:pt>
                <c:pt idx="60">
                  <c:v>2.8999724035751395</c:v>
                </c:pt>
                <c:pt idx="61">
                  <c:v>2.9240531736271755</c:v>
                </c:pt>
                <c:pt idx="62">
                  <c:v>2.9479375868648048</c:v>
                </c:pt>
                <c:pt idx="63">
                  <c:v>2.9716303751622051</c:v>
                </c:pt>
                <c:pt idx="64">
                  <c:v>2.9951360833420919</c:v>
                </c:pt>
                <c:pt idx="65">
                  <c:v>3.0184590793667225</c:v>
                </c:pt>
                <c:pt idx="66">
                  <c:v>3.0416035638259489</c:v>
                </c:pt>
                <c:pt idx="67">
                  <c:v>3.0645735787807022</c:v>
                </c:pt>
                <c:pt idx="68">
                  <c:v>3.087373016014618</c:v>
                </c:pt>
                <c:pt idx="69">
                  <c:v>3.1100056247415231</c:v>
                </c:pt>
                <c:pt idx="70">
                  <c:v>3.1324750188119963</c:v>
                </c:pt>
                <c:pt idx="71">
                  <c:v>3.1548033184583897</c:v>
                </c:pt>
                <c:pt idx="72">
                  <c:v>3.1769779026278639</c:v>
                </c:pt>
                <c:pt idx="73">
                  <c:v>3.1989999381094005</c:v>
                </c:pt>
                <c:pt idx="74">
                  <c:v>3.2306690534422371</c:v>
                </c:pt>
                <c:pt idx="75">
                  <c:v>3.2744114990115216</c:v>
                </c:pt>
                <c:pt idx="76">
                  <c:v>3.318138913920504</c:v>
                </c:pt>
                <c:pt idx="77">
                  <c:v>3.3618621078444235</c:v>
                </c:pt>
                <c:pt idx="78">
                  <c:v>3.4055869566254202</c:v>
                </c:pt>
                <c:pt idx="79">
                  <c:v>3.4493134604738964</c:v>
                </c:pt>
                <c:pt idx="80">
                  <c:v>3.4930416196003269</c:v>
                </c:pt>
                <c:pt idx="81">
                  <c:v>3.536771434215261</c:v>
                </c:pt>
                <c:pt idx="82">
                  <c:v>3.580502904529316</c:v>
                </c:pt>
                <c:pt idx="83">
                  <c:v>3.6242360307531749</c:v>
                </c:pt>
                <c:pt idx="84">
                  <c:v>3.6679708130975914</c:v>
                </c:pt>
                <c:pt idx="85">
                  <c:v>3.711707251773376</c:v>
                </c:pt>
                <c:pt idx="86">
                  <c:v>3.7554453469914058</c:v>
                </c:pt>
                <c:pt idx="87">
                  <c:v>3.799185098962615</c:v>
                </c:pt>
                <c:pt idx="88">
                  <c:v>3.8429265078980017</c:v>
                </c:pt>
                <c:pt idx="89">
                  <c:v>3.886669574008617</c:v>
                </c:pt>
                <c:pt idx="90">
                  <c:v>3.9304142975055716</c:v>
                </c:pt>
                <c:pt idx="91">
                  <c:v>3.9741606786000294</c:v>
                </c:pt>
                <c:pt idx="92">
                  <c:v>4.0179087175032118</c:v>
                </c:pt>
                <c:pt idx="93">
                  <c:v>4.0616584144263888</c:v>
                </c:pt>
                <c:pt idx="94">
                  <c:v>4.1054097695808851</c:v>
                </c:pt>
                <c:pt idx="95">
                  <c:v>4.1491627831780811</c:v>
                </c:pt>
                <c:pt idx="96">
                  <c:v>4.1929174554293995</c:v>
                </c:pt>
                <c:pt idx="97">
                  <c:v>4.2366737865463202</c:v>
                </c:pt>
                <c:pt idx="98">
                  <c:v>4.280431776740369</c:v>
                </c:pt>
                <c:pt idx="99">
                  <c:v>4.3241914262231207</c:v>
                </c:pt>
                <c:pt idx="100">
                  <c:v>4.3679527352061971</c:v>
                </c:pt>
              </c:numCache>
            </c:numRef>
          </c:val>
          <c:smooth val="0"/>
          <c:extLst>
            <c:ext xmlns:c16="http://schemas.microsoft.com/office/drawing/2014/chart" uri="{C3380CC4-5D6E-409C-BE32-E72D297353CC}">
              <c16:uniqueId val="{00000002-6477-4C46-89EF-E7A1D5DEFAE7}"/>
            </c:ext>
          </c:extLst>
        </c:ser>
        <c:dLbls>
          <c:showLegendKey val="0"/>
          <c:showVal val="0"/>
          <c:showCatName val="0"/>
          <c:showSerName val="0"/>
          <c:showPercent val="0"/>
          <c:showBubbleSize val="0"/>
        </c:dLbls>
        <c:smooth val="0"/>
        <c:axId val="448889216"/>
        <c:axId val="448891136"/>
      </c:lineChart>
      <c:catAx>
        <c:axId val="4488892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91136"/>
        <c:crosses val="autoZero"/>
        <c:auto val="1"/>
        <c:lblAlgn val="ctr"/>
        <c:lblOffset val="100"/>
        <c:tickLblSkip val="20"/>
        <c:tickMarkSkip val="10"/>
        <c:noMultiLvlLbl val="0"/>
      </c:catAx>
      <c:valAx>
        <c:axId val="4488911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889216"/>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Single'!$AK$110:$AK$210</c:f>
              <c:numCache>
                <c:formatCode>0.000</c:formatCode>
                <c:ptCount val="101"/>
                <c:pt idx="0">
                  <c:v>1.0068571428571429</c:v>
                </c:pt>
                <c:pt idx="1">
                  <c:v>1.0068571428571429</c:v>
                </c:pt>
                <c:pt idx="2">
                  <c:v>1.0113501853070999</c:v>
                </c:pt>
                <c:pt idx="3">
                  <c:v>1.0170252779606499</c:v>
                </c:pt>
                <c:pt idx="4">
                  <c:v>1.0227003706141999</c:v>
                </c:pt>
                <c:pt idx="5">
                  <c:v>1.0283754632677498</c:v>
                </c:pt>
                <c:pt idx="6">
                  <c:v>1.0340505559212998</c:v>
                </c:pt>
                <c:pt idx="7">
                  <c:v>1.0397256485748496</c:v>
                </c:pt>
                <c:pt idx="8">
                  <c:v>1.0454007412283997</c:v>
                </c:pt>
                <c:pt idx="9">
                  <c:v>1.0510758338819497</c:v>
                </c:pt>
                <c:pt idx="10">
                  <c:v>1.0567509265354995</c:v>
                </c:pt>
                <c:pt idx="11">
                  <c:v>1.0624260191890496</c:v>
                </c:pt>
                <c:pt idx="12">
                  <c:v>1.0681011118425996</c:v>
                </c:pt>
                <c:pt idx="13">
                  <c:v>1.0737762044961494</c:v>
                </c:pt>
                <c:pt idx="14">
                  <c:v>1.0794512971496995</c:v>
                </c:pt>
                <c:pt idx="15">
                  <c:v>1.0851263898032493</c:v>
                </c:pt>
                <c:pt idx="16">
                  <c:v>1.0908014824567993</c:v>
                </c:pt>
                <c:pt idx="17">
                  <c:v>1.0964765751103493</c:v>
                </c:pt>
                <c:pt idx="18">
                  <c:v>1.1021516677638992</c:v>
                </c:pt>
                <c:pt idx="19">
                  <c:v>1.1078267604174492</c:v>
                </c:pt>
                <c:pt idx="20">
                  <c:v>1.1135018530709992</c:v>
                </c:pt>
                <c:pt idx="21">
                  <c:v>1.1191769457245491</c:v>
                </c:pt>
                <c:pt idx="22">
                  <c:v>1.1248520383780991</c:v>
                </c:pt>
                <c:pt idx="23">
                  <c:v>1.1305271310316489</c:v>
                </c:pt>
                <c:pt idx="24">
                  <c:v>1.136202223685199</c:v>
                </c:pt>
                <c:pt idx="25">
                  <c:v>1.141877316338749</c:v>
                </c:pt>
                <c:pt idx="26">
                  <c:v>1.1475540577370533</c:v>
                </c:pt>
                <c:pt idx="27">
                  <c:v>1.2536343528524325</c:v>
                </c:pt>
                <c:pt idx="28">
                  <c:v>1.3170040685054707</c:v>
                </c:pt>
                <c:pt idx="29">
                  <c:v>1.380403890614782</c:v>
                </c:pt>
                <c:pt idx="30">
                  <c:v>1.4438338490046898</c:v>
                </c:pt>
                <c:pt idx="31">
                  <c:v>1.5072939735571926</c:v>
                </c:pt>
                <c:pt idx="32">
                  <c:v>1.5707842942091408</c:v>
                </c:pt>
                <c:pt idx="33">
                  <c:v>1.6343048409499579</c:v>
                </c:pt>
                <c:pt idx="34">
                  <c:v>1.6978556438197852</c:v>
                </c:pt>
                <c:pt idx="35">
                  <c:v>1.7614367329079683</c:v>
                </c:pt>
                <c:pt idx="36">
                  <c:v>1.8250481383518142</c:v>
                </c:pt>
                <c:pt idx="37">
                  <c:v>1.8886898903355613</c:v>
                </c:pt>
                <c:pt idx="38">
                  <c:v>1.952362019089537</c:v>
                </c:pt>
                <c:pt idx="39">
                  <c:v>2.0160645548894505</c:v>
                </c:pt>
                <c:pt idx="40">
                  <c:v>2.0797975280558081</c:v>
                </c:pt>
                <c:pt idx="41">
                  <c:v>2.1435609689534298</c:v>
                </c:pt>
                <c:pt idx="42">
                  <c:v>2.2073549079910375</c:v>
                </c:pt>
                <c:pt idx="43">
                  <c:v>2.2711793756209211</c:v>
                </c:pt>
                <c:pt idx="44">
                  <c:v>2.3350344023386569</c:v>
                </c:pt>
                <c:pt idx="45">
                  <c:v>2.3989200186828703</c:v>
                </c:pt>
                <c:pt idx="46">
                  <c:v>2.4628362552350476</c:v>
                </c:pt>
                <c:pt idx="47">
                  <c:v>2.5267831426193723</c:v>
                </c:pt>
                <c:pt idx="48">
                  <c:v>2.590760711502599</c:v>
                </c:pt>
                <c:pt idx="49">
                  <c:v>2.6547689925939446</c:v>
                </c:pt>
                <c:pt idx="50">
                  <c:v>2.7188080166450068</c:v>
                </c:pt>
                <c:pt idx="51">
                  <c:v>2.7828778144496966</c:v>
                </c:pt>
                <c:pt idx="52">
                  <c:v>2.8469784168441934</c:v>
                </c:pt>
                <c:pt idx="53">
                  <c:v>2.9111098547069028</c:v>
                </c:pt>
                <c:pt idx="54">
                  <c:v>2.9752721589584379</c:v>
                </c:pt>
                <c:pt idx="55">
                  <c:v>3.0394653605616053</c:v>
                </c:pt>
                <c:pt idx="56">
                  <c:v>3.103689490521397</c:v>
                </c:pt>
                <c:pt idx="57">
                  <c:v>3.1679445798849972</c:v>
                </c:pt>
                <c:pt idx="58">
                  <c:v>3.2322306597417976</c:v>
                </c:pt>
                <c:pt idx="59">
                  <c:v>3.2965477612234046</c:v>
                </c:pt>
                <c:pt idx="60">
                  <c:v>3.3608959155036704</c:v>
                </c:pt>
                <c:pt idx="61">
                  <c:v>3.4252751537987161</c:v>
                </c:pt>
                <c:pt idx="62">
                  <c:v>3.4896855073669624</c:v>
                </c:pt>
                <c:pt idx="63">
                  <c:v>3.5541270075091704</c:v>
                </c:pt>
                <c:pt idx="64">
                  <c:v>3.6185996855684781</c:v>
                </c:pt>
                <c:pt idx="65">
                  <c:v>3.6831035729304382</c:v>
                </c:pt>
                <c:pt idx="66">
                  <c:v>3.7476387010230674</c:v>
                </c:pt>
                <c:pt idx="67">
                  <c:v>3.8122051013168976</c:v>
                </c:pt>
                <c:pt idx="68">
                  <c:v>3.8768028053250152</c:v>
                </c:pt>
                <c:pt idx="69">
                  <c:v>3.9414318446031196</c:v>
                </c:pt>
                <c:pt idx="70">
                  <c:v>4.0060922507495782</c:v>
                </c:pt>
                <c:pt idx="71">
                  <c:v>4.0707840554054782</c:v>
                </c:pt>
                <c:pt idx="72">
                  <c:v>4.1355072902546803</c:v>
                </c:pt>
                <c:pt idx="73">
                  <c:v>4.2002619870238869</c:v>
                </c:pt>
                <c:pt idx="74">
                  <c:v>4.2650481774826856</c:v>
                </c:pt>
                <c:pt idx="75">
                  <c:v>4.3298658934436256</c:v>
                </c:pt>
                <c:pt idx="76">
                  <c:v>4.3947151667622704</c:v>
                </c:pt>
                <c:pt idx="77">
                  <c:v>4.4595960293372645</c:v>
                </c:pt>
                <c:pt idx="78">
                  <c:v>4.5245085131103879</c:v>
                </c:pt>
                <c:pt idx="79">
                  <c:v>4.5894526500666357</c:v>
                </c:pt>
                <c:pt idx="80">
                  <c:v>4.6544284722342688</c:v>
                </c:pt>
                <c:pt idx="81">
                  <c:v>4.719436011684885</c:v>
                </c:pt>
                <c:pt idx="82">
                  <c:v>4.7844753005334892</c:v>
                </c:pt>
                <c:pt idx="83">
                  <c:v>4.8495463709385511</c:v>
                </c:pt>
                <c:pt idx="84">
                  <c:v>4.9146492551020877</c:v>
                </c:pt>
                <c:pt idx="85">
                  <c:v>4.9797839852697123</c:v>
                </c:pt>
                <c:pt idx="86">
                  <c:v>5.0449505937307171</c:v>
                </c:pt>
                <c:pt idx="87">
                  <c:v>5.110149112818144</c:v>
                </c:pt>
                <c:pt idx="88">
                  <c:v>5.1753795749088383</c:v>
                </c:pt>
                <c:pt idx="89">
                  <c:v>5.2406420124235362</c:v>
                </c:pt>
                <c:pt idx="90">
                  <c:v>5.3059364578269275</c:v>
                </c:pt>
                <c:pt idx="91">
                  <c:v>5.3712629436277259</c:v>
                </c:pt>
                <c:pt idx="92">
                  <c:v>5.436621502378741</c:v>
                </c:pt>
                <c:pt idx="93">
                  <c:v>5.5020121666769519</c:v>
                </c:pt>
                <c:pt idx="94">
                  <c:v>5.5674349691635774</c:v>
                </c:pt>
                <c:pt idx="95">
                  <c:v>5.632889942524149</c:v>
                </c:pt>
                <c:pt idx="96">
                  <c:v>5.6983771194885824</c:v>
                </c:pt>
                <c:pt idx="97">
                  <c:v>5.7638965328312501</c:v>
                </c:pt>
                <c:pt idx="98">
                  <c:v>5.8294482153710581</c:v>
                </c:pt>
                <c:pt idx="99">
                  <c:v>5.8950321999715172</c:v>
                </c:pt>
                <c:pt idx="100">
                  <c:v>5.9606485195408139</c:v>
                </c:pt>
              </c:numCache>
            </c:numRef>
          </c:val>
          <c:smooth val="0"/>
          <c:extLst>
            <c:ext xmlns:c16="http://schemas.microsoft.com/office/drawing/2014/chart" uri="{C3380CC4-5D6E-409C-BE32-E72D297353CC}">
              <c16:uniqueId val="{00000000-B28B-4852-801F-8278A9821D66}"/>
            </c:ext>
          </c:extLst>
        </c:ser>
        <c:ser>
          <c:idx val="0"/>
          <c:order val="1"/>
          <c:tx>
            <c:v>VIN-nom</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Single'!$AK$5:$AK$105</c:f>
              <c:numCache>
                <c:formatCode>0.000</c:formatCode>
                <c:ptCount val="101"/>
                <c:pt idx="0">
                  <c:v>1.0068571428571429</c:v>
                </c:pt>
                <c:pt idx="1">
                  <c:v>1.0068571428571429</c:v>
                </c:pt>
                <c:pt idx="2">
                  <c:v>1.0113501853070999</c:v>
                </c:pt>
                <c:pt idx="3">
                  <c:v>1.0170252779606499</c:v>
                </c:pt>
                <c:pt idx="4">
                  <c:v>1.0227003706141999</c:v>
                </c:pt>
                <c:pt idx="5">
                  <c:v>1.0283754632677498</c:v>
                </c:pt>
                <c:pt idx="6">
                  <c:v>1.0340505559212998</c:v>
                </c:pt>
                <c:pt idx="7">
                  <c:v>1.0397256485748496</c:v>
                </c:pt>
                <c:pt idx="8">
                  <c:v>1.0454007412283997</c:v>
                </c:pt>
                <c:pt idx="9">
                  <c:v>1.0510758338819497</c:v>
                </c:pt>
                <c:pt idx="10">
                  <c:v>1.0567509265354995</c:v>
                </c:pt>
                <c:pt idx="11">
                  <c:v>1.0624260191890496</c:v>
                </c:pt>
                <c:pt idx="12">
                  <c:v>1.0681011118425996</c:v>
                </c:pt>
                <c:pt idx="13">
                  <c:v>1.0737762044961494</c:v>
                </c:pt>
                <c:pt idx="14">
                  <c:v>1.0794512971496995</c:v>
                </c:pt>
                <c:pt idx="15">
                  <c:v>1.0851263898032493</c:v>
                </c:pt>
                <c:pt idx="16">
                  <c:v>1.0908014824567993</c:v>
                </c:pt>
                <c:pt idx="17">
                  <c:v>1.0964765751103493</c:v>
                </c:pt>
                <c:pt idx="18">
                  <c:v>1.1021516677638992</c:v>
                </c:pt>
                <c:pt idx="19">
                  <c:v>1.1078267604174492</c:v>
                </c:pt>
                <c:pt idx="20">
                  <c:v>1.1135018530709992</c:v>
                </c:pt>
                <c:pt idx="21">
                  <c:v>1.1191769457245491</c:v>
                </c:pt>
                <c:pt idx="22">
                  <c:v>1.1248520383780991</c:v>
                </c:pt>
                <c:pt idx="23">
                  <c:v>1.1305271310316489</c:v>
                </c:pt>
                <c:pt idx="24">
                  <c:v>1.136202223685199</c:v>
                </c:pt>
                <c:pt idx="25">
                  <c:v>1.141877316338749</c:v>
                </c:pt>
                <c:pt idx="26">
                  <c:v>1.1475524089922988</c:v>
                </c:pt>
                <c:pt idx="27">
                  <c:v>1.1532275016458489</c:v>
                </c:pt>
                <c:pt idx="28">
                  <c:v>1.1589025942993989</c:v>
                </c:pt>
                <c:pt idx="29">
                  <c:v>1.1645776869529487</c:v>
                </c:pt>
                <c:pt idx="30">
                  <c:v>1.1702527796064988</c:v>
                </c:pt>
                <c:pt idx="31">
                  <c:v>1.1759278722600488</c:v>
                </c:pt>
                <c:pt idx="32">
                  <c:v>1.1816029649135986</c:v>
                </c:pt>
                <c:pt idx="33">
                  <c:v>1.1872780575671487</c:v>
                </c:pt>
                <c:pt idx="34">
                  <c:v>1.1929531502206987</c:v>
                </c:pt>
                <c:pt idx="35">
                  <c:v>1.1986282428742485</c:v>
                </c:pt>
                <c:pt idx="36">
                  <c:v>1.217622599709989</c:v>
                </c:pt>
                <c:pt idx="37">
                  <c:v>1.2405819968328784</c:v>
                </c:pt>
                <c:pt idx="38">
                  <c:v>1.2632334533412295</c:v>
                </c:pt>
                <c:pt idx="39">
                  <c:v>1.2855890479677203</c:v>
                </c:pt>
                <c:pt idx="40">
                  <c:v>1.3076600898731214</c:v>
                </c:pt>
                <c:pt idx="41">
                  <c:v>1.3294571855899222</c:v>
                </c:pt>
                <c:pt idx="42">
                  <c:v>1.3509902986598825</c:v>
                </c:pt>
                <c:pt idx="43">
                  <c:v>1.3722688029170707</c:v>
                </c:pt>
                <c:pt idx="44">
                  <c:v>1.3933015302248488</c:v>
                </c:pt>
                <c:pt idx="45">
                  <c:v>1.4140968133564469</c:v>
                </c:pt>
                <c:pt idx="46">
                  <c:v>1.4346625246096651</c:v>
                </c:pt>
                <c:pt idx="47">
                  <c:v>1.4550061106631968</c:v>
                </c:pt>
                <c:pt idx="48">
                  <c:v>1.4751346241122263</c:v>
                </c:pt>
                <c:pt idx="49">
                  <c:v>1.4950547520619717</c:v>
                </c:pt>
                <c:pt idx="50">
                  <c:v>1.514772842107841</c:v>
                </c:pt>
                <c:pt idx="51">
                  <c:v>1.5342949259883469</c:v>
                </c:pt>
                <c:pt idx="52">
                  <c:v>1.5536267411606044</c:v>
                </c:pt>
                <c:pt idx="53">
                  <c:v>1.572781730233253</c:v>
                </c:pt>
                <c:pt idx="54">
                  <c:v>1.5917673633162308</c:v>
                </c:pt>
                <c:pt idx="55">
                  <c:v>1.6117340654274506</c:v>
                </c:pt>
                <c:pt idx="56">
                  <c:v>1.6492181158968449</c:v>
                </c:pt>
                <c:pt idx="57">
                  <c:v>1.6867316100576375</c:v>
                </c:pt>
                <c:pt idx="58">
                  <c:v>1.7242327334387575</c:v>
                </c:pt>
                <c:pt idx="59">
                  <c:v>1.7617367399899386</c:v>
                </c:pt>
                <c:pt idx="60">
                  <c:v>1.7992436303469248</c:v>
                </c:pt>
                <c:pt idx="61">
                  <c:v>1.8367534051458416</c:v>
                </c:pt>
                <c:pt idx="62">
                  <c:v>1.8742660650231833</c:v>
                </c:pt>
                <c:pt idx="63">
                  <c:v>1.9117816106158001</c:v>
                </c:pt>
                <c:pt idx="64">
                  <c:v>1.949300042560878</c:v>
                </c:pt>
                <c:pt idx="65">
                  <c:v>1.9868213614959358</c:v>
                </c:pt>
                <c:pt idx="66">
                  <c:v>2.0243455680588074</c:v>
                </c:pt>
                <c:pt idx="67">
                  <c:v>2.0618726628876329</c:v>
                </c:pt>
                <c:pt idx="68">
                  <c:v>2.0994026466208555</c:v>
                </c:pt>
                <c:pt idx="69">
                  <c:v>2.1369355198972064</c:v>
                </c:pt>
                <c:pt idx="70">
                  <c:v>2.1744712833557021</c:v>
                </c:pt>
                <c:pt idx="71">
                  <c:v>2.2120099376356332</c:v>
                </c:pt>
                <c:pt idx="72">
                  <c:v>2.249551483376564</c:v>
                </c:pt>
                <c:pt idx="73">
                  <c:v>2.2870959212183219</c:v>
                </c:pt>
                <c:pt idx="74">
                  <c:v>2.3246432518009943</c:v>
                </c:pt>
                <c:pt idx="75">
                  <c:v>2.3621934757649239</c:v>
                </c:pt>
                <c:pt idx="76">
                  <c:v>2.3997465937507059</c:v>
                </c:pt>
                <c:pt idx="77">
                  <c:v>2.4373026063991796</c:v>
                </c:pt>
                <c:pt idx="78">
                  <c:v>2.4748615143514288</c:v>
                </c:pt>
                <c:pt idx="79">
                  <c:v>2.5124233182487767</c:v>
                </c:pt>
                <c:pt idx="80">
                  <c:v>2.5499880187327832</c:v>
                </c:pt>
                <c:pt idx="81">
                  <c:v>2.5875556164452433</c:v>
                </c:pt>
                <c:pt idx="82">
                  <c:v>2.6251261120281804</c:v>
                </c:pt>
                <c:pt idx="83">
                  <c:v>2.6626995061238485</c:v>
                </c:pt>
                <c:pt idx="84">
                  <c:v>2.7002757993747304</c:v>
                </c:pt>
                <c:pt idx="85">
                  <c:v>2.7378549924235251</c:v>
                </c:pt>
                <c:pt idx="86">
                  <c:v>2.7754370859131647</c:v>
                </c:pt>
                <c:pt idx="87">
                  <c:v>2.8130220804867934</c:v>
                </c:pt>
                <c:pt idx="88">
                  <c:v>2.8506099767877782</c:v>
                </c:pt>
                <c:pt idx="89">
                  <c:v>2.8882007754597021</c:v>
                </c:pt>
                <c:pt idx="90">
                  <c:v>2.9257944771463658</c:v>
                </c:pt>
                <c:pt idx="91">
                  <c:v>2.9633910824917828</c:v>
                </c:pt>
                <c:pt idx="92">
                  <c:v>3.0009905921401803</c:v>
                </c:pt>
                <c:pt idx="93">
                  <c:v>3.0385930067359963</c:v>
                </c:pt>
                <c:pt idx="94">
                  <c:v>3.0761983269238833</c:v>
                </c:pt>
                <c:pt idx="95">
                  <c:v>3.1138065533487014</c:v>
                </c:pt>
                <c:pt idx="96">
                  <c:v>3.1514176866555195</c:v>
                </c:pt>
                <c:pt idx="97">
                  <c:v>3.1890317274896161</c:v>
                </c:pt>
                <c:pt idx="98">
                  <c:v>3.2266486764964775</c:v>
                </c:pt>
                <c:pt idx="99">
                  <c:v>3.2642685343217943</c:v>
                </c:pt>
                <c:pt idx="100">
                  <c:v>3.301891301611465</c:v>
                </c:pt>
              </c:numCache>
            </c:numRef>
          </c:val>
          <c:smooth val="0"/>
          <c:extLst>
            <c:ext xmlns:c16="http://schemas.microsoft.com/office/drawing/2014/chart" uri="{C3380CC4-5D6E-409C-BE32-E72D297353CC}">
              <c16:uniqueId val="{00000001-B28B-4852-801F-8278A9821D66}"/>
            </c:ext>
          </c:extLst>
        </c:ser>
        <c:ser>
          <c:idx val="2"/>
          <c:order val="2"/>
          <c:tx>
            <c:v>VIN-max</c:v>
          </c:tx>
          <c:spPr>
            <a:ln>
              <a:solidFill>
                <a:srgbClr val="FF0000"/>
              </a:solidFill>
              <a:prstDash val="solid"/>
            </a:ln>
          </c:spPr>
          <c:marker>
            <c:symbol val="none"/>
          </c:marker>
          <c:val>
            <c:numRef>
              <c:f>'Calculations - Single'!$AK$216:$AK$316</c:f>
              <c:numCache>
                <c:formatCode>0.000</c:formatCode>
                <c:ptCount val="101"/>
                <c:pt idx="0">
                  <c:v>1.0068571428571429</c:v>
                </c:pt>
                <c:pt idx="1">
                  <c:v>1.0068571428571429</c:v>
                </c:pt>
                <c:pt idx="2">
                  <c:v>1.0113501853070999</c:v>
                </c:pt>
                <c:pt idx="3">
                  <c:v>1.0170252779606499</c:v>
                </c:pt>
                <c:pt idx="4">
                  <c:v>1.0227003706141999</c:v>
                </c:pt>
                <c:pt idx="5">
                  <c:v>1.0283754632677498</c:v>
                </c:pt>
                <c:pt idx="6">
                  <c:v>1.0340505559212998</c:v>
                </c:pt>
                <c:pt idx="7">
                  <c:v>1.0397256485748496</c:v>
                </c:pt>
                <c:pt idx="8">
                  <c:v>1.0454007412283997</c:v>
                </c:pt>
                <c:pt idx="9">
                  <c:v>1.0510758338819497</c:v>
                </c:pt>
                <c:pt idx="10">
                  <c:v>1.0567509265354995</c:v>
                </c:pt>
                <c:pt idx="11">
                  <c:v>1.0624260191890496</c:v>
                </c:pt>
                <c:pt idx="12">
                  <c:v>1.0681011118425996</c:v>
                </c:pt>
                <c:pt idx="13">
                  <c:v>1.0737762044961494</c:v>
                </c:pt>
                <c:pt idx="14">
                  <c:v>1.0794512971496995</c:v>
                </c:pt>
                <c:pt idx="15">
                  <c:v>1.0851263898032493</c:v>
                </c:pt>
                <c:pt idx="16">
                  <c:v>1.0908014824567993</c:v>
                </c:pt>
                <c:pt idx="17">
                  <c:v>1.0964765751103493</c:v>
                </c:pt>
                <c:pt idx="18">
                  <c:v>1.1021516677638992</c:v>
                </c:pt>
                <c:pt idx="19">
                  <c:v>1.1078267604174492</c:v>
                </c:pt>
                <c:pt idx="20">
                  <c:v>1.1135018530709992</c:v>
                </c:pt>
                <c:pt idx="21">
                  <c:v>1.1191769457245491</c:v>
                </c:pt>
                <c:pt idx="22">
                  <c:v>1.1248520383780991</c:v>
                </c:pt>
                <c:pt idx="23">
                  <c:v>1.1305271310316489</c:v>
                </c:pt>
                <c:pt idx="24">
                  <c:v>1.136202223685199</c:v>
                </c:pt>
                <c:pt idx="25">
                  <c:v>1.141877316338749</c:v>
                </c:pt>
                <c:pt idx="26">
                  <c:v>1.1475524089922988</c:v>
                </c:pt>
                <c:pt idx="27">
                  <c:v>1.1532275016458489</c:v>
                </c:pt>
                <c:pt idx="28">
                  <c:v>1.1589025942993989</c:v>
                </c:pt>
                <c:pt idx="29">
                  <c:v>1.1645776869529487</c:v>
                </c:pt>
                <c:pt idx="30">
                  <c:v>1.1702527796064988</c:v>
                </c:pt>
                <c:pt idx="31">
                  <c:v>1.1759278722600488</c:v>
                </c:pt>
                <c:pt idx="32">
                  <c:v>1.1816029649135986</c:v>
                </c:pt>
                <c:pt idx="33">
                  <c:v>1.1872780575671487</c:v>
                </c:pt>
                <c:pt idx="34">
                  <c:v>1.1929531502206987</c:v>
                </c:pt>
                <c:pt idx="35">
                  <c:v>1.1986282428742485</c:v>
                </c:pt>
                <c:pt idx="36">
                  <c:v>1.217622599709989</c:v>
                </c:pt>
                <c:pt idx="37">
                  <c:v>1.2405819968328784</c:v>
                </c:pt>
                <c:pt idx="38">
                  <c:v>1.2632334533412295</c:v>
                </c:pt>
                <c:pt idx="39">
                  <c:v>1.2855890479677203</c:v>
                </c:pt>
                <c:pt idx="40">
                  <c:v>1.3076600898731214</c:v>
                </c:pt>
                <c:pt idx="41">
                  <c:v>1.3294571855899222</c:v>
                </c:pt>
                <c:pt idx="42">
                  <c:v>1.3509902986598825</c:v>
                </c:pt>
                <c:pt idx="43">
                  <c:v>1.3722688029170707</c:v>
                </c:pt>
                <c:pt idx="44">
                  <c:v>1.3933015302248488</c:v>
                </c:pt>
                <c:pt idx="45">
                  <c:v>1.4140968133564469</c:v>
                </c:pt>
                <c:pt idx="46">
                  <c:v>1.4346625246096651</c:v>
                </c:pt>
                <c:pt idx="47">
                  <c:v>1.4550061106631968</c:v>
                </c:pt>
                <c:pt idx="48">
                  <c:v>1.4751346241122263</c:v>
                </c:pt>
                <c:pt idx="49">
                  <c:v>1.4950547520619717</c:v>
                </c:pt>
                <c:pt idx="50">
                  <c:v>1.514772842107841</c:v>
                </c:pt>
                <c:pt idx="51">
                  <c:v>1.5342949259883469</c:v>
                </c:pt>
                <c:pt idx="52">
                  <c:v>1.5536267411606044</c:v>
                </c:pt>
                <c:pt idx="53">
                  <c:v>1.5727737505171691</c:v>
                </c:pt>
                <c:pt idx="54">
                  <c:v>1.591741160436237</c:v>
                </c:pt>
                <c:pt idx="55">
                  <c:v>1.6105339373342289</c:v>
                </c:pt>
                <c:pt idx="56">
                  <c:v>1.6291568228698836</c:v>
                </c:pt>
                <c:pt idx="57">
                  <c:v>1.6476143479317473</c:v>
                </c:pt>
                <c:pt idx="58">
                  <c:v>1.6659108455259712</c:v>
                </c:pt>
                <c:pt idx="59">
                  <c:v>1.6840504626682742</c:v>
                </c:pt>
                <c:pt idx="60">
                  <c:v>1.7020371713725311</c:v>
                </c:pt>
                <c:pt idx="61">
                  <c:v>1.7198747788184838</c:v>
                </c:pt>
                <c:pt idx="62">
                  <c:v>1.7375669367722832</c:v>
                </c:pt>
                <c:pt idx="63">
                  <c:v>1.7551171503259131</c:v>
                </c:pt>
                <c:pt idx="64">
                  <c:v>1.7725287860147181</c:v>
                </c:pt>
                <c:pt idx="65">
                  <c:v>1.7898050793662965</c:v>
                </c:pt>
                <c:pt idx="66">
                  <c:v>1.8069491419286863</c:v>
                </c:pt>
                <c:pt idx="67">
                  <c:v>1.8239639678210962</c:v>
                </c:pt>
                <c:pt idx="68">
                  <c:v>1.8408524398462189</c:v>
                </c:pt>
                <c:pt idx="69">
                  <c:v>1.857617335199482</c:v>
                </c:pt>
                <c:pt idx="70">
                  <c:v>1.87426133080724</c:v>
                </c:pt>
                <c:pt idx="71">
                  <c:v>1.8908008120267905</c:v>
                </c:pt>
                <c:pt idx="72">
                  <c:v>1.9072264299301049</c:v>
                </c:pt>
                <c:pt idx="73">
                  <c:v>1.9235390488053172</c:v>
                </c:pt>
                <c:pt idx="74">
                  <c:v>1.9469976527555666</c:v>
                </c:pt>
                <c:pt idx="75">
                  <c:v>1.9793994642883699</c:v>
                </c:pt>
                <c:pt idx="76">
                  <c:v>2.011790141998727</c:v>
                </c:pt>
                <c:pt idx="77">
                  <c:v>2.0441776930534825</c:v>
                </c:pt>
                <c:pt idx="78">
                  <c:v>2.0765664699282946</c:v>
                </c:pt>
                <c:pt idx="79">
                  <c:v>2.1089564727790178</c:v>
                </c:pt>
                <c:pt idx="80">
                  <c:v>2.1413477017615588</c:v>
                </c:pt>
                <c:pt idx="81">
                  <c:v>2.1737401570318804</c:v>
                </c:pt>
                <c:pt idx="82">
                  <c:v>2.2061338387459952</c:v>
                </c:pt>
                <c:pt idx="83">
                  <c:v>2.2385287470599646</c:v>
                </c:pt>
                <c:pt idx="84">
                  <c:v>2.2709248821299028</c:v>
                </c:pt>
                <c:pt idx="85">
                  <c:v>2.3033222441119658</c:v>
                </c:pt>
                <c:pt idx="86">
                  <c:v>2.335720833162358</c:v>
                </c:pt>
                <c:pt idx="87">
                  <c:v>2.3681206494373277</c:v>
                </c:pt>
                <c:pt idx="88">
                  <c:v>2.4005216930931699</c:v>
                </c:pt>
                <c:pt idx="89">
                  <c:v>2.4329239642862186</c:v>
                </c:pt>
                <c:pt idx="90">
                  <c:v>2.4653274631728515</c:v>
                </c:pt>
                <c:pt idx="91">
                  <c:v>2.4977321899094864</c:v>
                </c:pt>
                <c:pt idx="92">
                  <c:v>2.530138144652585</c:v>
                </c:pt>
                <c:pt idx="93">
                  <c:v>2.5625453275586416</c:v>
                </c:pt>
                <c:pt idx="94">
                  <c:v>2.594953738784195</c:v>
                </c:pt>
                <c:pt idx="95">
                  <c:v>2.6273633784858212</c:v>
                </c:pt>
                <c:pt idx="96">
                  <c:v>2.6597742468201311</c:v>
                </c:pt>
                <c:pt idx="97">
                  <c:v>2.6921863439437761</c:v>
                </c:pt>
                <c:pt idx="98">
                  <c:v>2.7245996700134421</c:v>
                </c:pt>
                <c:pt idx="99">
                  <c:v>2.7570142251858507</c:v>
                </c:pt>
                <c:pt idx="100">
                  <c:v>2.7894300096177593</c:v>
                </c:pt>
              </c:numCache>
            </c:numRef>
          </c:val>
          <c:smooth val="0"/>
          <c:extLst>
            <c:ext xmlns:c16="http://schemas.microsoft.com/office/drawing/2014/chart" uri="{C3380CC4-5D6E-409C-BE32-E72D297353CC}">
              <c16:uniqueId val="{00000002-B28B-4852-801F-8278A9821D66}"/>
            </c:ext>
          </c:extLst>
        </c:ser>
        <c:dLbls>
          <c:showLegendKey val="0"/>
          <c:showVal val="0"/>
          <c:showCatName val="0"/>
          <c:showSerName val="0"/>
          <c:showPercent val="0"/>
          <c:showBubbleSize val="0"/>
        </c:dLbls>
        <c:smooth val="0"/>
        <c:axId val="448925696"/>
        <c:axId val="448927616"/>
      </c:lineChart>
      <c:catAx>
        <c:axId val="44892569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7616"/>
        <c:crosses val="autoZero"/>
        <c:auto val="1"/>
        <c:lblAlgn val="ctr"/>
        <c:lblOffset val="100"/>
        <c:tickLblSkip val="20"/>
        <c:tickMarkSkip val="10"/>
        <c:noMultiLvlLbl val="0"/>
      </c:catAx>
      <c:valAx>
        <c:axId val="448927616"/>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48925696"/>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2.6549245636923988E-5</c:v>
                </c:pt>
                <c:pt idx="1">
                  <c:v>70.04569440526835</c:v>
                </c:pt>
                <c:pt idx="2">
                  <c:v>76.28977039768678</c:v>
                </c:pt>
                <c:pt idx="3">
                  <c:v>77.858664275156926</c:v>
                </c:pt>
                <c:pt idx="4">
                  <c:v>78.667110027461746</c:v>
                </c:pt>
                <c:pt idx="5">
                  <c:v>79.159921446088049</c:v>
                </c:pt>
                <c:pt idx="6">
                  <c:v>79.491599946940767</c:v>
                </c:pt>
                <c:pt idx="7">
                  <c:v>79.7299550700575</c:v>
                </c:pt>
                <c:pt idx="8">
                  <c:v>79.909428642927125</c:v>
                </c:pt>
                <c:pt idx="9">
                  <c:v>80.049370925815239</c:v>
                </c:pt>
                <c:pt idx="10">
                  <c:v>80.16149047025003</c:v>
                </c:pt>
                <c:pt idx="11">
                  <c:v>80.253287434166381</c:v>
                </c:pt>
                <c:pt idx="12">
                  <c:v>80.329788463808342</c:v>
                </c:pt>
                <c:pt idx="13">
                  <c:v>80.394488713958694</c:v>
                </c:pt>
                <c:pt idx="14">
                  <c:v>80.449893824500421</c:v>
                </c:pt>
                <c:pt idx="15">
                  <c:v>80.497846951460161</c:v>
                </c:pt>
                <c:pt idx="16">
                  <c:v>80.539734140457668</c:v>
                </c:pt>
                <c:pt idx="17">
                  <c:v>80.576617760293544</c:v>
                </c:pt>
                <c:pt idx="18">
                  <c:v>80.60932577458199</c:v>
                </c:pt>
                <c:pt idx="19">
                  <c:v>80.638513012103445</c:v>
                </c:pt>
                <c:pt idx="20">
                  <c:v>80.664704173632913</c:v>
                </c:pt>
                <c:pt idx="21">
                  <c:v>80.688324625985402</c:v>
                </c:pt>
                <c:pt idx="22">
                  <c:v>80.709722846553163</c:v>
                </c:pt>
                <c:pt idx="23">
                  <c:v>80.7291870453423</c:v>
                </c:pt>
                <c:pt idx="24">
                  <c:v>80.746957653675835</c:v>
                </c:pt>
                <c:pt idx="25">
                  <c:v>80.763236830966264</c:v>
                </c:pt>
                <c:pt idx="26">
                  <c:v>80.778195788428732</c:v>
                </c:pt>
                <c:pt idx="27">
                  <c:v>80.791980493027026</c:v>
                </c:pt>
                <c:pt idx="28">
                  <c:v>80.804716154740404</c:v>
                </c:pt>
                <c:pt idx="29">
                  <c:v>80.816510789534291</c:v>
                </c:pt>
                <c:pt idx="30">
                  <c:v>80.827458072782235</c:v>
                </c:pt>
                <c:pt idx="31">
                  <c:v>80.837639642697198</c:v>
                </c:pt>
                <c:pt idx="32">
                  <c:v>80.847126973600169</c:v>
                </c:pt>
                <c:pt idx="33">
                  <c:v>80.855982909918396</c:v>
                </c:pt>
                <c:pt idx="34">
                  <c:v>80.864262930499365</c:v>
                </c:pt>
                <c:pt idx="35">
                  <c:v>80.872016196979558</c:v>
                </c:pt>
                <c:pt idx="36">
                  <c:v>81.000445297210277</c:v>
                </c:pt>
                <c:pt idx="37">
                  <c:v>81.160756942714201</c:v>
                </c:pt>
                <c:pt idx="38">
                  <c:v>81.313950497336023</c:v>
                </c:pt>
                <c:pt idx="39">
                  <c:v>81.46050547056953</c:v>
                </c:pt>
                <c:pt idx="40">
                  <c:v>81.600858248396648</c:v>
                </c:pt>
                <c:pt idx="41">
                  <c:v>81.735406896940916</c:v>
                </c:pt>
                <c:pt idx="42">
                  <c:v>81.864515332738847</c:v>
                </c:pt>
                <c:pt idx="43">
                  <c:v>81.988516955515777</c:v>
                </c:pt>
                <c:pt idx="44">
                  <c:v>82.107717823047196</c:v>
                </c:pt>
                <c:pt idx="45">
                  <c:v>82.222399434442821</c:v>
                </c:pt>
                <c:pt idx="46">
                  <c:v>82.332821177386109</c:v>
                </c:pt>
                <c:pt idx="47">
                  <c:v>82.43922248600191</c:v>
                </c:pt>
                <c:pt idx="48">
                  <c:v>82.54182474873005</c:v>
                </c:pt>
                <c:pt idx="49">
                  <c:v>82.640832999549801</c:v>
                </c:pt>
                <c:pt idx="50">
                  <c:v>82.736437420890667</c:v>
                </c:pt>
                <c:pt idx="51">
                  <c:v>82.828814682389677</c:v>
                </c:pt>
                <c:pt idx="52">
                  <c:v>83.086004264847119</c:v>
                </c:pt>
                <c:pt idx="53">
                  <c:v>83.352033696977571</c:v>
                </c:pt>
                <c:pt idx="54">
                  <c:v>83.60786051425265</c:v>
                </c:pt>
                <c:pt idx="55">
                  <c:v>83.847379490805707</c:v>
                </c:pt>
                <c:pt idx="56">
                  <c:v>83.9803701249554</c:v>
                </c:pt>
                <c:pt idx="57">
                  <c:v>84.107658578708211</c:v>
                </c:pt>
                <c:pt idx="58">
                  <c:v>84.229504887606296</c:v>
                </c:pt>
                <c:pt idx="59">
                  <c:v>84.346220857753067</c:v>
                </c:pt>
                <c:pt idx="60">
                  <c:v>84.458077082227433</c:v>
                </c:pt>
                <c:pt idx="61">
                  <c:v>84.565325935560836</c:v>
                </c:pt>
                <c:pt idx="62">
                  <c:v>84.668203044139048</c:v>
                </c:pt>
                <c:pt idx="63">
                  <c:v>84.766928619316872</c:v>
                </c:pt>
                <c:pt idx="64">
                  <c:v>84.861708667702828</c:v>
                </c:pt>
                <c:pt idx="65">
                  <c:v>84.952736091385532</c:v>
                </c:pt>
                <c:pt idx="66">
                  <c:v>85.04019168940296</c:v>
                </c:pt>
                <c:pt idx="67">
                  <c:v>85.124245070469456</c:v>
                </c:pt>
                <c:pt idx="68">
                  <c:v>85.205055485849215</c:v>
                </c:pt>
                <c:pt idx="69">
                  <c:v>85.282772590277176</c:v>
                </c:pt>
                <c:pt idx="70">
                  <c:v>85.357537137960662</c:v>
                </c:pt>
                <c:pt idx="71">
                  <c:v>85.429481619931565</c:v>
                </c:pt>
                <c:pt idx="72">
                  <c:v>85.498730848346014</c:v>
                </c:pt>
                <c:pt idx="73">
                  <c:v>85.565402492734833</c:v>
                </c:pt>
                <c:pt idx="74">
                  <c:v>85.629607572683526</c:v>
                </c:pt>
                <c:pt idx="75">
                  <c:v>85.691450910955851</c:v>
                </c:pt>
                <c:pt idx="76">
                  <c:v>85.75103155066374</c:v>
                </c:pt>
                <c:pt idx="77">
                  <c:v>85.808443139720822</c:v>
                </c:pt>
                <c:pt idx="78">
                  <c:v>85.863774285492354</c:v>
                </c:pt>
                <c:pt idx="79">
                  <c:v>85.917108882265126</c:v>
                </c:pt>
                <c:pt idx="80">
                  <c:v>85.968526413903859</c:v>
                </c:pt>
                <c:pt idx="81">
                  <c:v>86.018102233830746</c:v>
                </c:pt>
                <c:pt idx="82">
                  <c:v>86.065907824259412</c:v>
                </c:pt>
                <c:pt idx="83">
                  <c:v>86.112011036431539</c:v>
                </c:pt>
                <c:pt idx="84">
                  <c:v>86.156476313439313</c:v>
                </c:pt>
                <c:pt idx="85">
                  <c:v>86.199364897070367</c:v>
                </c:pt>
                <c:pt idx="86">
                  <c:v>86.240735019978828</c:v>
                </c:pt>
                <c:pt idx="87">
                  <c:v>86.280642084367827</c:v>
                </c:pt>
                <c:pt idx="88">
                  <c:v>86.319138828261359</c:v>
                </c:pt>
                <c:pt idx="89">
                  <c:v>86.356275480347605</c:v>
                </c:pt>
                <c:pt idx="90">
                  <c:v>86.392099904288727</c:v>
                </c:pt>
                <c:pt idx="91">
                  <c:v>86.426657733313334</c:v>
                </c:pt>
                <c:pt idx="92">
                  <c:v>86.459992495838293</c:v>
                </c:pt>
                <c:pt idx="93">
                  <c:v>86.492145732800864</c:v>
                </c:pt>
                <c:pt idx="94">
                  <c:v>86.523157107325432</c:v>
                </c:pt>
                <c:pt idx="95">
                  <c:v>86.553064507296014</c:v>
                </c:pt>
                <c:pt idx="96">
                  <c:v>86.581904141358095</c:v>
                </c:pt>
                <c:pt idx="97">
                  <c:v>86.6097106288303</c:v>
                </c:pt>
                <c:pt idx="98">
                  <c:v>86.636517083966595</c:v>
                </c:pt>
                <c:pt idx="99">
                  <c:v>86.66235519497468</c:v>
                </c:pt>
                <c:pt idx="100">
                  <c:v>86.687255298162938</c:v>
                </c:pt>
              </c:numCache>
            </c:numRef>
          </c:val>
          <c:smooth val="0"/>
          <c:extLst>
            <c:ext xmlns:c16="http://schemas.microsoft.com/office/drawing/2014/chart" uri="{C3380CC4-5D6E-409C-BE32-E72D297353CC}">
              <c16:uniqueId val="{00000000-1E04-4A6B-B26C-C435E097FB7E}"/>
            </c:ext>
          </c:extLst>
        </c:ser>
        <c:dLbls>
          <c:showLegendKey val="0"/>
          <c:showVal val="0"/>
          <c:showCatName val="0"/>
          <c:showSerName val="0"/>
          <c:showPercent val="0"/>
          <c:showBubbleSize val="0"/>
        </c:dLbls>
        <c:marker val="1"/>
        <c:smooth val="0"/>
        <c:axId val="448972288"/>
        <c:axId val="448974208"/>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val>
            <c:numRef>
              <c:f>'Calculations - Single'!$BR$5:$BR$105</c:f>
              <c:numCache>
                <c:formatCode>0.0</c:formatCode>
                <c:ptCount val="101"/>
                <c:pt idx="0">
                  <c:v>8.6799999999999988E-7</c:v>
                </c:pt>
                <c:pt idx="1">
                  <c:v>8.6799999999999979</c:v>
                </c:pt>
                <c:pt idx="2">
                  <c:v>17.359999999999996</c:v>
                </c:pt>
                <c:pt idx="3">
                  <c:v>26.039999999999996</c:v>
                </c:pt>
                <c:pt idx="4">
                  <c:v>34.719999999999992</c:v>
                </c:pt>
                <c:pt idx="5">
                  <c:v>43.399999999999991</c:v>
                </c:pt>
                <c:pt idx="6">
                  <c:v>52.079999999999991</c:v>
                </c:pt>
                <c:pt idx="7">
                  <c:v>60.76</c:v>
                </c:pt>
                <c:pt idx="8">
                  <c:v>69.439999999999984</c:v>
                </c:pt>
                <c:pt idx="9">
                  <c:v>78.11999999999999</c:v>
                </c:pt>
                <c:pt idx="10">
                  <c:v>86.799999999999983</c:v>
                </c:pt>
                <c:pt idx="11">
                  <c:v>95.47999999999999</c:v>
                </c:pt>
                <c:pt idx="12">
                  <c:v>104.15999999999998</c:v>
                </c:pt>
                <c:pt idx="13">
                  <c:v>112.83999999999999</c:v>
                </c:pt>
                <c:pt idx="14">
                  <c:v>121.52</c:v>
                </c:pt>
                <c:pt idx="15">
                  <c:v>130.19999999999999</c:v>
                </c:pt>
                <c:pt idx="16">
                  <c:v>138.87999999999997</c:v>
                </c:pt>
                <c:pt idx="17">
                  <c:v>147.56</c:v>
                </c:pt>
                <c:pt idx="18">
                  <c:v>156.23999999999998</c:v>
                </c:pt>
                <c:pt idx="19">
                  <c:v>164.92</c:v>
                </c:pt>
                <c:pt idx="20">
                  <c:v>173.59999999999997</c:v>
                </c:pt>
                <c:pt idx="21">
                  <c:v>182.28</c:v>
                </c:pt>
                <c:pt idx="22">
                  <c:v>190.95999999999998</c:v>
                </c:pt>
                <c:pt idx="23">
                  <c:v>199.64000000000001</c:v>
                </c:pt>
                <c:pt idx="24">
                  <c:v>208.31999999999996</c:v>
                </c:pt>
                <c:pt idx="25">
                  <c:v>217</c:v>
                </c:pt>
                <c:pt idx="26">
                  <c:v>225.67999999999998</c:v>
                </c:pt>
                <c:pt idx="27">
                  <c:v>234.36</c:v>
                </c:pt>
                <c:pt idx="28">
                  <c:v>243.04</c:v>
                </c:pt>
                <c:pt idx="29">
                  <c:v>251.72</c:v>
                </c:pt>
                <c:pt idx="30">
                  <c:v>260.39999999999998</c:v>
                </c:pt>
                <c:pt idx="31">
                  <c:v>269.08</c:v>
                </c:pt>
                <c:pt idx="32">
                  <c:v>277.75999999999993</c:v>
                </c:pt>
                <c:pt idx="33">
                  <c:v>286.44</c:v>
                </c:pt>
                <c:pt idx="34">
                  <c:v>295.12</c:v>
                </c:pt>
                <c:pt idx="35">
                  <c:v>303.79999999999995</c:v>
                </c:pt>
                <c:pt idx="36">
                  <c:v>312.47999999999996</c:v>
                </c:pt>
                <c:pt idx="37">
                  <c:v>321.16000000000003</c:v>
                </c:pt>
                <c:pt idx="38">
                  <c:v>329.84</c:v>
                </c:pt>
                <c:pt idx="39">
                  <c:v>338.51999999999992</c:v>
                </c:pt>
                <c:pt idx="40">
                  <c:v>347.19999999999993</c:v>
                </c:pt>
                <c:pt idx="41">
                  <c:v>355.88</c:v>
                </c:pt>
                <c:pt idx="42">
                  <c:v>364.56</c:v>
                </c:pt>
                <c:pt idx="43">
                  <c:v>373.23999999999995</c:v>
                </c:pt>
                <c:pt idx="44">
                  <c:v>381.91999999999996</c:v>
                </c:pt>
                <c:pt idx="45">
                  <c:v>390.6</c:v>
                </c:pt>
                <c:pt idx="46">
                  <c:v>399.28000000000003</c:v>
                </c:pt>
                <c:pt idx="47">
                  <c:v>407.95999999999992</c:v>
                </c:pt>
                <c:pt idx="48">
                  <c:v>416.63999999999993</c:v>
                </c:pt>
                <c:pt idx="49">
                  <c:v>425.32</c:v>
                </c:pt>
                <c:pt idx="50">
                  <c:v>434</c:v>
                </c:pt>
                <c:pt idx="51">
                  <c:v>442.67999999999995</c:v>
                </c:pt>
                <c:pt idx="52">
                  <c:v>451.35999999999996</c:v>
                </c:pt>
                <c:pt idx="53">
                  <c:v>460.04</c:v>
                </c:pt>
                <c:pt idx="54">
                  <c:v>468.72</c:v>
                </c:pt>
                <c:pt idx="55">
                  <c:v>477.4</c:v>
                </c:pt>
                <c:pt idx="56">
                  <c:v>486.08</c:v>
                </c:pt>
                <c:pt idx="57">
                  <c:v>494.76</c:v>
                </c:pt>
                <c:pt idx="58">
                  <c:v>503.44</c:v>
                </c:pt>
                <c:pt idx="59">
                  <c:v>512.12</c:v>
                </c:pt>
                <c:pt idx="60">
                  <c:v>520.79999999999995</c:v>
                </c:pt>
                <c:pt idx="61">
                  <c:v>529.4799999999999</c:v>
                </c:pt>
                <c:pt idx="62">
                  <c:v>538.16</c:v>
                </c:pt>
                <c:pt idx="63">
                  <c:v>546.83999999999992</c:v>
                </c:pt>
                <c:pt idx="64">
                  <c:v>555.51999999999987</c:v>
                </c:pt>
                <c:pt idx="65">
                  <c:v>564.19999999999993</c:v>
                </c:pt>
                <c:pt idx="66">
                  <c:v>572.88</c:v>
                </c:pt>
                <c:pt idx="67">
                  <c:v>581.55999999999995</c:v>
                </c:pt>
                <c:pt idx="68">
                  <c:v>590.24</c:v>
                </c:pt>
                <c:pt idx="69">
                  <c:v>598.91999999999985</c:v>
                </c:pt>
                <c:pt idx="70">
                  <c:v>607.59999999999991</c:v>
                </c:pt>
                <c:pt idx="71">
                  <c:v>616.28</c:v>
                </c:pt>
                <c:pt idx="72">
                  <c:v>624.95999999999992</c:v>
                </c:pt>
                <c:pt idx="73">
                  <c:v>633.64</c:v>
                </c:pt>
                <c:pt idx="74">
                  <c:v>642.32000000000005</c:v>
                </c:pt>
                <c:pt idx="75">
                  <c:v>650.99999999999989</c:v>
                </c:pt>
                <c:pt idx="76">
                  <c:v>659.68</c:v>
                </c:pt>
                <c:pt idx="77">
                  <c:v>668.3599999999999</c:v>
                </c:pt>
                <c:pt idx="78">
                  <c:v>677.03999999999985</c:v>
                </c:pt>
                <c:pt idx="79">
                  <c:v>685.71999999999991</c:v>
                </c:pt>
                <c:pt idx="80">
                  <c:v>694.39999999999986</c:v>
                </c:pt>
                <c:pt idx="81">
                  <c:v>703.07999999999993</c:v>
                </c:pt>
                <c:pt idx="82">
                  <c:v>711.76</c:v>
                </c:pt>
                <c:pt idx="83">
                  <c:v>720.43999999999994</c:v>
                </c:pt>
                <c:pt idx="84">
                  <c:v>729.12</c:v>
                </c:pt>
                <c:pt idx="85">
                  <c:v>737.8</c:v>
                </c:pt>
                <c:pt idx="86">
                  <c:v>746.4799999999999</c:v>
                </c:pt>
                <c:pt idx="87">
                  <c:v>755.16</c:v>
                </c:pt>
                <c:pt idx="88">
                  <c:v>763.83999999999992</c:v>
                </c:pt>
                <c:pt idx="89">
                  <c:v>772.52</c:v>
                </c:pt>
                <c:pt idx="90">
                  <c:v>781.2</c:v>
                </c:pt>
                <c:pt idx="91">
                  <c:v>789.88</c:v>
                </c:pt>
                <c:pt idx="92">
                  <c:v>798.56000000000006</c:v>
                </c:pt>
                <c:pt idx="93">
                  <c:v>807.24000000000012</c:v>
                </c:pt>
                <c:pt idx="94">
                  <c:v>815.91999999999985</c:v>
                </c:pt>
                <c:pt idx="95">
                  <c:v>824.59999999999991</c:v>
                </c:pt>
                <c:pt idx="96">
                  <c:v>833.27999999999986</c:v>
                </c:pt>
                <c:pt idx="97">
                  <c:v>841.95999999999992</c:v>
                </c:pt>
                <c:pt idx="98">
                  <c:v>850.64</c:v>
                </c:pt>
                <c:pt idx="99">
                  <c:v>859.31999999999994</c:v>
                </c:pt>
                <c:pt idx="100">
                  <c:v>868</c:v>
                </c:pt>
              </c:numCache>
            </c:numRef>
          </c:val>
          <c:smooth val="0"/>
          <c:extLst>
            <c:ext xmlns:c16="http://schemas.microsoft.com/office/drawing/2014/chart" uri="{C3380CC4-5D6E-409C-BE32-E72D297353CC}">
              <c16:uniqueId val="{00000001-1E04-4A6B-B26C-C435E097FB7E}"/>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val>
            <c:numRef>
              <c:f>'Calculations - Single'!$BM$5:$BM$105</c:f>
              <c:numCache>
                <c:formatCode>0.0000</c:formatCode>
                <c:ptCount val="101"/>
                <c:pt idx="0">
                  <c:v>2.8556611587958781E-2</c:v>
                </c:pt>
                <c:pt idx="1">
                  <c:v>2.8569611905477039E-2</c:v>
                </c:pt>
                <c:pt idx="2">
                  <c:v>4.7296984985095825E-2</c:v>
                </c:pt>
                <c:pt idx="3">
                  <c:v>7.0955721144117703E-2</c:v>
                </c:pt>
                <c:pt idx="4">
                  <c:v>9.4621290358854998E-2</c:v>
                </c:pt>
                <c:pt idx="5">
                  <c:v>0.11829369558999377</c:v>
                </c:pt>
                <c:pt idx="6">
                  <c:v>0.14197293979993078</c:v>
                </c:pt>
                <c:pt idx="7">
                  <c:v>0.16565902595277482</c:v>
                </c:pt>
                <c:pt idx="8">
                  <c:v>0.18935195701434765</c:v>
                </c:pt>
                <c:pt idx="9">
                  <c:v>0.21305173595218549</c:v>
                </c:pt>
                <c:pt idx="10">
                  <c:v>0.2367583657355404</c:v>
                </c:pt>
                <c:pt idx="11">
                  <c:v>0.26047184933538103</c:v>
                </c:pt>
                <c:pt idx="12">
                  <c:v>0.28419218972439431</c:v>
                </c:pt>
                <c:pt idx="13">
                  <c:v>0.30791938987698658</c:v>
                </c:pt>
                <c:pt idx="14">
                  <c:v>0.3316534527692846</c:v>
                </c:pt>
                <c:pt idx="15">
                  <c:v>0.35539438137913698</c:v>
                </c:pt>
                <c:pt idx="16">
                  <c:v>0.37914217868611583</c:v>
                </c:pt>
                <c:pt idx="17">
                  <c:v>0.40289684767151712</c:v>
                </c:pt>
                <c:pt idx="18">
                  <c:v>0.42665839131836247</c:v>
                </c:pt>
                <c:pt idx="19">
                  <c:v>0.45042681261140083</c:v>
                </c:pt>
                <c:pt idx="20">
                  <c:v>0.47420211453710853</c:v>
                </c:pt>
                <c:pt idx="21">
                  <c:v>0.49798430008369166</c:v>
                </c:pt>
                <c:pt idx="22">
                  <c:v>0.52177337224108689</c:v>
                </c:pt>
                <c:pt idx="23">
                  <c:v>0.54556933400096264</c:v>
                </c:pt>
                <c:pt idx="24">
                  <c:v>0.56937218835672032</c:v>
                </c:pt>
                <c:pt idx="25">
                  <c:v>0.59318193830349586</c:v>
                </c:pt>
                <c:pt idx="26">
                  <c:v>0.61699858683816111</c:v>
                </c:pt>
                <c:pt idx="27">
                  <c:v>0.64082213695932411</c:v>
                </c:pt>
                <c:pt idx="28">
                  <c:v>0.66465259166733115</c:v>
                </c:pt>
                <c:pt idx="29">
                  <c:v>0.68848995396426838</c:v>
                </c:pt>
                <c:pt idx="30">
                  <c:v>0.7123342268539623</c:v>
                </c:pt>
                <c:pt idx="31">
                  <c:v>0.7361854133419814</c:v>
                </c:pt>
                <c:pt idx="32">
                  <c:v>0.76004351643563739</c:v>
                </c:pt>
                <c:pt idx="33">
                  <c:v>0.78390853914398595</c:v>
                </c:pt>
                <c:pt idx="34">
                  <c:v>0.80778048447782891</c:v>
                </c:pt>
                <c:pt idx="35">
                  <c:v>0.83165935544971503</c:v>
                </c:pt>
                <c:pt idx="36">
                  <c:v>0.84606364081844532</c:v>
                </c:pt>
                <c:pt idx="37">
                  <c:v>0.85734676436307855</c:v>
                </c:pt>
                <c:pt idx="38">
                  <c:v>0.86852093850366241</c:v>
                </c:pt>
                <c:pt idx="39">
                  <c:v>0.87959115578274505</c:v>
                </c:pt>
                <c:pt idx="40">
                  <c:v>0.89056208709950102</c:v>
                </c:pt>
                <c:pt idx="41">
                  <c:v>0.90143810989907436</c:v>
                </c:pt>
                <c:pt idx="42">
                  <c:v>0.91222333327324867</c:v>
                </c:pt>
                <c:pt idx="43">
                  <c:v>0.922921620375736</c:v>
                </c:pt>
                <c:pt idx="44">
                  <c:v>0.9335366084946134</c:v>
                </c:pt>
                <c:pt idx="45">
                  <c:v>0.94407172707400988</c:v>
                </c:pt>
                <c:pt idx="46">
                  <c:v>0.95453021393509241</c:v>
                </c:pt>
                <c:pt idx="47">
                  <c:v>0.96491512991117179</c:v>
                </c:pt>
                <c:pt idx="48">
                  <c:v>0.97522937208212723</c:v>
                </c:pt>
                <c:pt idx="49">
                  <c:v>0.98547568576833922</c:v>
                </c:pt>
                <c:pt idx="50">
                  <c:v>0.99565667542313108</c:v>
                </c:pt>
                <c:pt idx="51">
                  <c:v>1.0057748145446865</c:v>
                </c:pt>
                <c:pt idx="52">
                  <c:v>0.99934033319549698</c:v>
                </c:pt>
                <c:pt idx="53">
                  <c:v>0.99122304167402975</c:v>
                </c:pt>
                <c:pt idx="54">
                  <c:v>0.98331584405171346</c:v>
                </c:pt>
                <c:pt idx="55">
                  <c:v>0.97618597481505986</c:v>
                </c:pt>
                <c:pt idx="56">
                  <c:v>0.97783364000818673</c:v>
                </c:pt>
                <c:pt idx="57">
                  <c:v>0.97954489338561601</c:v>
                </c:pt>
                <c:pt idx="58">
                  <c:v>0.98131872354741456</c:v>
                </c:pt>
                <c:pt idx="59">
                  <c:v>0.98315438172691627</c:v>
                </c:pt>
                <c:pt idx="60">
                  <c:v>0.98505115346245797</c:v>
                </c:pt>
                <c:pt idx="61">
                  <c:v>0.9870083774435312</c:v>
                </c:pt>
                <c:pt idx="62">
                  <c:v>0.98902544164044981</c:v>
                </c:pt>
                <c:pt idx="63">
                  <c:v>0.99110177978274561</c:v>
                </c:pt>
                <c:pt idx="64">
                  <c:v>0.99323686815035406</c:v>
                </c:pt>
                <c:pt idx="65">
                  <c:v>0.9954302226458166</c:v>
                </c:pt>
                <c:pt idx="66">
                  <c:v>0.99768139611937889</c:v>
                </c:pt>
                <c:pt idx="67">
                  <c:v>0.999989975922006</c:v>
                </c:pt>
                <c:pt idx="68">
                  <c:v>1.0023555816641725</c:v>
                </c:pt>
                <c:pt idx="69">
                  <c:v>1.0047778631606539</c:v>
                </c:pt>
                <c:pt idx="70">
                  <c:v>1.0072564985437413</c:v>
                </c:pt>
                <c:pt idx="71">
                  <c:v>1.0097911925291385</c:v>
                </c:pt>
                <c:pt idx="72">
                  <c:v>1.0123816748205028</c:v>
                </c:pt>
                <c:pt idx="73">
                  <c:v>1.015027698640006</c:v>
                </c:pt>
                <c:pt idx="74">
                  <c:v>1.0177290393736314</c:v>
                </c:pt>
                <c:pt idx="75">
                  <c:v>1.0204854933210397</c:v>
                </c:pt>
                <c:pt idx="76">
                  <c:v>1.0232968765408705</c:v>
                </c:pt>
                <c:pt idx="77">
                  <c:v>1.026163023783246</c:v>
                </c:pt>
                <c:pt idx="78">
                  <c:v>1.0290837875020391</c:v>
                </c:pt>
                <c:pt idx="79">
                  <c:v>1.0320590369402116</c:v>
                </c:pt>
                <c:pt idx="80">
                  <c:v>1.0350886572821343</c:v>
                </c:pt>
                <c:pt idx="81">
                  <c:v>1.0381725488674021</c:v>
                </c:pt>
                <c:pt idx="82">
                  <c:v>1.041310626461158</c:v>
                </c:pt>
                <c:pt idx="83">
                  <c:v>1.0445028185763947</c:v>
                </c:pt>
                <c:pt idx="84">
                  <c:v>1.0477490668441309</c:v>
                </c:pt>
                <c:pt idx="85">
                  <c:v>1.0510493254277065</c:v>
                </c:pt>
                <c:pt idx="86">
                  <c:v>1.0544035604778024</c:v>
                </c:pt>
                <c:pt idx="87">
                  <c:v>1.057811749625067</c:v>
                </c:pt>
                <c:pt idx="88">
                  <c:v>1.0612738815075149</c:v>
                </c:pt>
                <c:pt idx="89">
                  <c:v>1.0647899553301112</c:v>
                </c:pt>
                <c:pt idx="90">
                  <c:v>1.068359980454161</c:v>
                </c:pt>
                <c:pt idx="91">
                  <c:v>1.0719839760143415</c:v>
                </c:pt>
                <c:pt idx="92">
                  <c:v>1.0756619705613877</c:v>
                </c:pt>
                <c:pt idx="93">
                  <c:v>1.0793940017286026</c:v>
                </c:pt>
                <c:pt idx="94">
                  <c:v>1.0831801159205219</c:v>
                </c:pt>
                <c:pt idx="95">
                  <c:v>1.087020368022197</c:v>
                </c:pt>
                <c:pt idx="96">
                  <c:v>1.0909148211276747</c:v>
                </c:pt>
                <c:pt idx="97">
                  <c:v>1.0948635462863778</c:v>
                </c:pt>
                <c:pt idx="98">
                  <c:v>1.0988666222661847</c:v>
                </c:pt>
                <c:pt idx="99">
                  <c:v>1.1029241353321066</c:v>
                </c:pt>
                <c:pt idx="100">
                  <c:v>1.1070361790395373</c:v>
                </c:pt>
              </c:numCache>
            </c:numRef>
          </c:val>
          <c:smooth val="0"/>
          <c:extLst>
            <c:ext xmlns:c16="http://schemas.microsoft.com/office/drawing/2014/chart" uri="{C3380CC4-5D6E-409C-BE32-E72D297353CC}">
              <c16:uniqueId val="{00000002-1E04-4A6B-B26C-C435E097FB7E}"/>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val>
            <c:numRef>
              <c:f>'Calculations - Single'!$BX$5:$BX$105</c:f>
              <c:numCache>
                <c:formatCode>0.0</c:formatCode>
                <c:ptCount val="101"/>
                <c:pt idx="0">
                  <c:v>39.521432829153625</c:v>
                </c:pt>
                <c:pt idx="1">
                  <c:v>43.128967622065275</c:v>
                </c:pt>
                <c:pt idx="2">
                  <c:v>54.750535991595669</c:v>
                </c:pt>
                <c:pt idx="3">
                  <c:v>68.480766827963933</c:v>
                </c:pt>
                <c:pt idx="4">
                  <c:v>82.211156629067986</c:v>
                </c:pt>
                <c:pt idx="5">
                  <c:v>95.941705404574137</c:v>
                </c:pt>
                <c:pt idx="6">
                  <c:v>109.67241316414936</c:v>
                </c:pt>
                <c:pt idx="7">
                  <c:v>123.40327991746146</c:v>
                </c:pt>
                <c:pt idx="8">
                  <c:v>137.13430567417899</c:v>
                </c:pt>
                <c:pt idx="9">
                  <c:v>150.8654904439714</c:v>
                </c:pt>
                <c:pt idx="10">
                  <c:v>164.59683423650884</c:v>
                </c:pt>
                <c:pt idx="11">
                  <c:v>178.32833706146215</c:v>
                </c:pt>
                <c:pt idx="12">
                  <c:v>192.05999892850312</c:v>
                </c:pt>
                <c:pt idx="13">
                  <c:v>205.79181984730428</c:v>
                </c:pt>
                <c:pt idx="14">
                  <c:v>219.52379982753885</c:v>
                </c:pt>
                <c:pt idx="15">
                  <c:v>233.25593887888093</c:v>
                </c:pt>
                <c:pt idx="16">
                  <c:v>246.98823701100542</c:v>
                </c:pt>
                <c:pt idx="17">
                  <c:v>260.72069423358801</c:v>
                </c:pt>
                <c:pt idx="18">
                  <c:v>274.45331055630493</c:v>
                </c:pt>
                <c:pt idx="19">
                  <c:v>288.18608598883355</c:v>
                </c:pt>
                <c:pt idx="20">
                  <c:v>301.91902054085193</c:v>
                </c:pt>
                <c:pt idx="21">
                  <c:v>315.65211422203868</c:v>
                </c:pt>
                <c:pt idx="22">
                  <c:v>329.38536704207348</c:v>
                </c:pt>
                <c:pt idx="23">
                  <c:v>343.11877901063662</c:v>
                </c:pt>
                <c:pt idx="24">
                  <c:v>356.85235013740936</c:v>
                </c:pt>
                <c:pt idx="25">
                  <c:v>370.58608043207346</c:v>
                </c:pt>
                <c:pt idx="26">
                  <c:v>384.31996990431173</c:v>
                </c:pt>
                <c:pt idx="27">
                  <c:v>398.05401856380774</c:v>
                </c:pt>
                <c:pt idx="28">
                  <c:v>411.78822642024551</c:v>
                </c:pt>
                <c:pt idx="29">
                  <c:v>425.52259348331023</c:v>
                </c:pt>
                <c:pt idx="30">
                  <c:v>439.25711976268786</c:v>
                </c:pt>
                <c:pt idx="31">
                  <c:v>452.99180526806504</c:v>
                </c:pt>
                <c:pt idx="32">
                  <c:v>466.72665000912906</c:v>
                </c:pt>
                <c:pt idx="33">
                  <c:v>480.46165399556827</c:v>
                </c:pt>
                <c:pt idx="34">
                  <c:v>494.19681723707151</c:v>
                </c:pt>
                <c:pt idx="35">
                  <c:v>507.93213974332849</c:v>
                </c:pt>
                <c:pt idx="36">
                  <c:v>522.38814664584913</c:v>
                </c:pt>
                <c:pt idx="37">
                  <c:v>537.08087178707694</c:v>
                </c:pt>
                <c:pt idx="38">
                  <c:v>551.7812439385674</c:v>
                </c:pt>
                <c:pt idx="39">
                  <c:v>566.48918139905879</c:v>
                </c:pt>
                <c:pt idx="40">
                  <c:v>581.20460582860926</c:v>
                </c:pt>
                <c:pt idx="41">
                  <c:v>595.92744203559903</c:v>
                </c:pt>
                <c:pt idx="42">
                  <c:v>610.65761778209753</c:v>
                </c:pt>
                <c:pt idx="43">
                  <c:v>625.39506360561541</c:v>
                </c:pt>
                <c:pt idx="44">
                  <c:v>640.13971265551186</c:v>
                </c:pt>
                <c:pt idx="45">
                  <c:v>654.89150054254173</c:v>
                </c:pt>
                <c:pt idx="46">
                  <c:v>669.65036520022375</c:v>
                </c:pt>
                <c:pt idx="47">
                  <c:v>684.41624675685875</c:v>
                </c:pt>
                <c:pt idx="48">
                  <c:v>699.18908741717371</c:v>
                </c:pt>
                <c:pt idx="49">
                  <c:v>713.96883135267819</c:v>
                </c:pt>
                <c:pt idx="50">
                  <c:v>728.75542459993119</c:v>
                </c:pt>
                <c:pt idx="51">
                  <c:v>743.54881496599739</c:v>
                </c:pt>
                <c:pt idx="52">
                  <c:v>749.81552891548972</c:v>
                </c:pt>
                <c:pt idx="53">
                  <c:v>755.0770118891113</c:v>
                </c:pt>
                <c:pt idx="54">
                  <c:v>760.30950174130953</c:v>
                </c:pt>
                <c:pt idx="55">
                  <c:v>766.16826242513582</c:v>
                </c:pt>
                <c:pt idx="56">
                  <c:v>781.94586543569164</c:v>
                </c:pt>
                <c:pt idx="57">
                  <c:v>797.77723862039386</c:v>
                </c:pt>
                <c:pt idx="58">
                  <c:v>813.65249122271132</c:v>
                </c:pt>
                <c:pt idx="59">
                  <c:v>829.57518488219591</c:v>
                </c:pt>
                <c:pt idx="60">
                  <c:v>845.54534754415272</c:v>
                </c:pt>
                <c:pt idx="61">
                  <c:v>861.56301156294967</c:v>
                </c:pt>
                <c:pt idx="62">
                  <c:v>877.62821343497978</c:v>
                </c:pt>
                <c:pt idx="63">
                  <c:v>893.74099355593978</c:v>
                </c:pt>
                <c:pt idx="64">
                  <c:v>909.90139599991733</c:v>
                </c:pt>
                <c:pt idx="65">
                  <c:v>926.10946831808508</c:v>
                </c:pt>
                <c:pt idx="66">
                  <c:v>942.36526135502947</c:v>
                </c:pt>
                <c:pt idx="67">
                  <c:v>958.66882908098216</c:v>
                </c:pt>
                <c:pt idx="68">
                  <c:v>975.02022843841598</c:v>
                </c:pt>
                <c:pt idx="69">
                  <c:v>991.4195192016108</c:v>
                </c:pt>
                <c:pt idx="70">
                  <c:v>1007.866763847989</c:v>
                </c:pt>
                <c:pt idx="71">
                  <c:v>1024.3620274400982</c:v>
                </c:pt>
                <c:pt idx="72">
                  <c:v>1040.9053775172904</c:v>
                </c:pt>
                <c:pt idx="73">
                  <c:v>1057.4968839961907</c:v>
                </c:pt>
                <c:pt idx="74">
                  <c:v>1074.136619079196</c:v>
                </c:pt>
                <c:pt idx="75">
                  <c:v>1090.8246571702709</c:v>
                </c:pt>
                <c:pt idx="76">
                  <c:v>1107.5610747974279</c:v>
                </c:pt>
                <c:pt idx="77">
                  <c:v>1124.3459505412966</c:v>
                </c:pt>
                <c:pt idx="78">
                  <c:v>1141.179364969282</c:v>
                </c:pt>
                <c:pt idx="79">
                  <c:v>1158.0614005748348</c:v>
                </c:pt>
                <c:pt idx="80">
                  <c:v>1174.9921417214132</c:v>
                </c:pt>
                <c:pt idx="81">
                  <c:v>1191.9716745907524</c:v>
                </c:pt>
                <c:pt idx="82">
                  <c:v>1209.0000871350992</c:v>
                </c:pt>
                <c:pt idx="83">
                  <c:v>1226.0774690330888</c:v>
                </c:pt>
                <c:pt idx="84">
                  <c:v>1243.2039116489864</c:v>
                </c:pt>
                <c:pt idx="85">
                  <c:v>1260.3795079950212</c:v>
                </c:pt>
                <c:pt idx="86">
                  <c:v>1277.6043526965923</c:v>
                </c:pt>
                <c:pt idx="87">
                  <c:v>1294.8785419601086</c:v>
                </c:pt>
                <c:pt idx="88">
                  <c:v>1312.2021735432863</c:v>
                </c:pt>
                <c:pt idx="89">
                  <c:v>1329.5753467277104</c:v>
                </c:pt>
                <c:pt idx="90">
                  <c:v>1346.9981622934977</c:v>
                </c:pt>
                <c:pt idx="91">
                  <c:v>1364.4707224959113</c:v>
                </c:pt>
                <c:pt idx="92">
                  <c:v>1381.9931310437892</c:v>
                </c:pt>
                <c:pt idx="93">
                  <c:v>1399.5654930796597</c:v>
                </c:pt>
                <c:pt idx="94">
                  <c:v>1417.1879151614232</c:v>
                </c:pt>
                <c:pt idx="95">
                  <c:v>1434.8605052454991</c:v>
                </c:pt>
                <c:pt idx="96">
                  <c:v>1452.5833726713333</c:v>
                </c:pt>
                <c:pt idx="97">
                  <c:v>1470.3566281471828</c:v>
                </c:pt>
                <c:pt idx="98">
                  <c:v>1488.1803837370881</c:v>
                </c:pt>
                <c:pt idx="99">
                  <c:v>1506.054752848954</c:v>
                </c:pt>
                <c:pt idx="100">
                  <c:v>1523.979850223684</c:v>
                </c:pt>
              </c:numCache>
            </c:numRef>
          </c:val>
          <c:smooth val="0"/>
          <c:extLst>
            <c:ext xmlns:c16="http://schemas.microsoft.com/office/drawing/2014/chart" uri="{C3380CC4-5D6E-409C-BE32-E72D297353CC}">
              <c16:uniqueId val="{00000003-1E04-4A6B-B26C-C435E097FB7E}"/>
            </c:ext>
          </c:extLst>
        </c:ser>
        <c:dLbls>
          <c:showLegendKey val="0"/>
          <c:showVal val="0"/>
          <c:showCatName val="0"/>
          <c:showSerName val="0"/>
          <c:showPercent val="0"/>
          <c:showBubbleSize val="0"/>
        </c:dLbls>
        <c:marker val="1"/>
        <c:smooth val="0"/>
        <c:axId val="448986496"/>
        <c:axId val="448984576"/>
      </c:lineChart>
      <c:catAx>
        <c:axId val="44897228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48974208"/>
        <c:crosses val="autoZero"/>
        <c:auto val="1"/>
        <c:lblAlgn val="ctr"/>
        <c:lblOffset val="100"/>
        <c:tickLblSkip val="20"/>
        <c:tickMarkSkip val="20"/>
        <c:noMultiLvlLbl val="0"/>
      </c:catAx>
      <c:valAx>
        <c:axId val="448974208"/>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8972288"/>
        <c:crossesAt val="0"/>
        <c:crossBetween val="between"/>
        <c:majorUnit val="5"/>
        <c:minorUnit val="2.5"/>
      </c:valAx>
      <c:valAx>
        <c:axId val="44898457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48986496"/>
        <c:crosses val="max"/>
        <c:crossBetween val="between"/>
      </c:valAx>
      <c:catAx>
        <c:axId val="448986496"/>
        <c:scaling>
          <c:orientation val="minMax"/>
        </c:scaling>
        <c:delete val="1"/>
        <c:axPos val="b"/>
        <c:numFmt formatCode="General" sourceLinked="1"/>
        <c:majorTickMark val="out"/>
        <c:minorTickMark val="none"/>
        <c:tickLblPos val="nextTo"/>
        <c:crossAx val="44898457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Calculations'!$W$13:$W$613</c:f>
              <c:numCache>
                <c:formatCode>0.00</c:formatCode>
                <c:ptCount val="601"/>
                <c:pt idx="0">
                  <c:v>83.495889825506978</c:v>
                </c:pt>
                <c:pt idx="1">
                  <c:v>82.697750045247659</c:v>
                </c:pt>
                <c:pt idx="2">
                  <c:v>81.899350377861992</c:v>
                </c:pt>
                <c:pt idx="3">
                  <c:v>81.100715563340401</c:v>
                </c:pt>
                <c:pt idx="4">
                  <c:v>80.302388177544543</c:v>
                </c:pt>
                <c:pt idx="5">
                  <c:v>79.503056515001632</c:v>
                </c:pt>
                <c:pt idx="6">
                  <c:v>78.703869162461501</c:v>
                </c:pt>
                <c:pt idx="7">
                  <c:v>77.904310438135099</c:v>
                </c:pt>
                <c:pt idx="8">
                  <c:v>77.104971947863831</c:v>
                </c:pt>
                <c:pt idx="9">
                  <c:v>76.305255305783604</c:v>
                </c:pt>
                <c:pt idx="10">
                  <c:v>75.505625332574112</c:v>
                </c:pt>
                <c:pt idx="11">
                  <c:v>74.705971538673282</c:v>
                </c:pt>
                <c:pt idx="12">
                  <c:v>73.905872550333584</c:v>
                </c:pt>
                <c:pt idx="13">
                  <c:v>73.106097153117801</c:v>
                </c:pt>
                <c:pt idx="14">
                  <c:v>72.306005443228685</c:v>
                </c:pt>
                <c:pt idx="15">
                  <c:v>71.50590185497596</c:v>
                </c:pt>
                <c:pt idx="16">
                  <c:v>70.705716632010891</c:v>
                </c:pt>
                <c:pt idx="17">
                  <c:v>69.905556050873813</c:v>
                </c:pt>
                <c:pt idx="18">
                  <c:v>69.105177595006921</c:v>
                </c:pt>
                <c:pt idx="19">
                  <c:v>68.304783105249157</c:v>
                </c:pt>
                <c:pt idx="20">
                  <c:v>67.504196224621197</c:v>
                </c:pt>
                <c:pt idx="21">
                  <c:v>66.703559438359022</c:v>
                </c:pt>
                <c:pt idx="22">
                  <c:v>65.902676313708952</c:v>
                </c:pt>
                <c:pt idx="23">
                  <c:v>65.101714335398157</c:v>
                </c:pt>
                <c:pt idx="24">
                  <c:v>64.300432803236973</c:v>
                </c:pt>
                <c:pt idx="25">
                  <c:v>63.498911583855914</c:v>
                </c:pt>
                <c:pt idx="26">
                  <c:v>62.696911081219746</c:v>
                </c:pt>
                <c:pt idx="27">
                  <c:v>61.894623514775006</c:v>
                </c:pt>
                <c:pt idx="28">
                  <c:v>61.091942500521704</c:v>
                </c:pt>
                <c:pt idx="29">
                  <c:v>60.289277429767616</c:v>
                </c:pt>
                <c:pt idx="30">
                  <c:v>59.485163589880791</c:v>
                </c:pt>
                <c:pt idx="31">
                  <c:v>58.680596191965371</c:v>
                </c:pt>
                <c:pt idx="32">
                  <c:v>57.874877086305723</c:v>
                </c:pt>
                <c:pt idx="33">
                  <c:v>57.068398961035058</c:v>
                </c:pt>
                <c:pt idx="34">
                  <c:v>56.260323694998682</c:v>
                </c:pt>
                <c:pt idx="35">
                  <c:v>55.450848675491606</c:v>
                </c:pt>
                <c:pt idx="36">
                  <c:v>54.639545461548344</c:v>
                </c:pt>
                <c:pt idx="37">
                  <c:v>53.825614254682435</c:v>
                </c:pt>
                <c:pt idx="38">
                  <c:v>53.009403139708702</c:v>
                </c:pt>
                <c:pt idx="39">
                  <c:v>52.189752329709407</c:v>
                </c:pt>
                <c:pt idx="40">
                  <c:v>51.36638117081533</c:v>
                </c:pt>
                <c:pt idx="41">
                  <c:v>50.538531729075018</c:v>
                </c:pt>
                <c:pt idx="42">
                  <c:v>49.705522659764689</c:v>
                </c:pt>
                <c:pt idx="43">
                  <c:v>48.866193617310898</c:v>
                </c:pt>
                <c:pt idx="44">
                  <c:v>48.019725616008515</c:v>
                </c:pt>
                <c:pt idx="45">
                  <c:v>47.164776194257229</c:v>
                </c:pt>
                <c:pt idx="46">
                  <c:v>46.30021908657973</c:v>
                </c:pt>
                <c:pt idx="47">
                  <c:v>45.424452696296768</c:v>
                </c:pt>
                <c:pt idx="48">
                  <c:v>44.536184715443866</c:v>
                </c:pt>
                <c:pt idx="49">
                  <c:v>43.633624758046693</c:v>
                </c:pt>
                <c:pt idx="50">
                  <c:v>42.715346677730793</c:v>
                </c:pt>
                <c:pt idx="51">
                  <c:v>41.7796436756486</c:v>
                </c:pt>
                <c:pt idx="52">
                  <c:v>40.825492932243364</c:v>
                </c:pt>
                <c:pt idx="53">
                  <c:v>39.851825942631947</c:v>
                </c:pt>
                <c:pt idx="54">
                  <c:v>38.858637497412829</c:v>
                </c:pt>
                <c:pt idx="55">
                  <c:v>37.844130748979147</c:v>
                </c:pt>
                <c:pt idx="56">
                  <c:v>36.810230927556759</c:v>
                </c:pt>
                <c:pt idx="57">
                  <c:v>35.757481517580054</c:v>
                </c:pt>
                <c:pt idx="58">
                  <c:v>34.688629862100363</c:v>
                </c:pt>
                <c:pt idx="59">
                  <c:v>33.605583745772933</c:v>
                </c:pt>
                <c:pt idx="60">
                  <c:v>32.512338126099138</c:v>
                </c:pt>
                <c:pt idx="61">
                  <c:v>31.412640208373837</c:v>
                </c:pt>
                <c:pt idx="62">
                  <c:v>30.310144813191933</c:v>
                </c:pt>
                <c:pt idx="63">
                  <c:v>29.210270548355084</c:v>
                </c:pt>
                <c:pt idx="64">
                  <c:v>28.116390922081244</c:v>
                </c:pt>
                <c:pt idx="65">
                  <c:v>27.032853053916885</c:v>
                </c:pt>
                <c:pt idx="66">
                  <c:v>25.962978127301035</c:v>
                </c:pt>
                <c:pt idx="67">
                  <c:v>24.909671169400788</c:v>
                </c:pt>
                <c:pt idx="68">
                  <c:v>23.874649421095604</c:v>
                </c:pt>
                <c:pt idx="69">
                  <c:v>22.859461492704352</c:v>
                </c:pt>
                <c:pt idx="70">
                  <c:v>21.864455695587285</c:v>
                </c:pt>
                <c:pt idx="71">
                  <c:v>20.88974642792142</c:v>
                </c:pt>
                <c:pt idx="72">
                  <c:v>19.934505884520771</c:v>
                </c:pt>
                <c:pt idx="73">
                  <c:v>18.997940152879828</c:v>
                </c:pt>
                <c:pt idx="74">
                  <c:v>18.078492419531692</c:v>
                </c:pt>
                <c:pt idx="75">
                  <c:v>17.174812373166674</c:v>
                </c:pt>
                <c:pt idx="76">
                  <c:v>16.285116037312253</c:v>
                </c:pt>
                <c:pt idx="77">
                  <c:v>15.408104699856242</c:v>
                </c:pt>
                <c:pt idx="78">
                  <c:v>14.542206526753157</c:v>
                </c:pt>
                <c:pt idx="79">
                  <c:v>13.686501791160525</c:v>
                </c:pt>
                <c:pt idx="80">
                  <c:v>12.838211294253181</c:v>
                </c:pt>
                <c:pt idx="81">
                  <c:v>11.99731205856663</c:v>
                </c:pt>
                <c:pt idx="82">
                  <c:v>11.162138328107758</c:v>
                </c:pt>
                <c:pt idx="83">
                  <c:v>10.332307842254602</c:v>
                </c:pt>
                <c:pt idx="84">
                  <c:v>9.5063117116337423</c:v>
                </c:pt>
                <c:pt idx="85">
                  <c:v>8.6838436104996912</c:v>
                </c:pt>
                <c:pt idx="86">
                  <c:v>7.8640869317256792</c:v>
                </c:pt>
                <c:pt idx="87">
                  <c:v>7.0459803868350699</c:v>
                </c:pt>
                <c:pt idx="88">
                  <c:v>6.2297355767326534</c:v>
                </c:pt>
                <c:pt idx="89">
                  <c:v>5.4141659205542947</c:v>
                </c:pt>
                <c:pt idx="90">
                  <c:v>4.5990759359271403</c:v>
                </c:pt>
                <c:pt idx="91">
                  <c:v>3.7839006631563881</c:v>
                </c:pt>
                <c:pt idx="92">
                  <c:v>2.9682523029880632</c:v>
                </c:pt>
                <c:pt idx="93">
                  <c:v>2.1513700727371323</c:v>
                </c:pt>
                <c:pt idx="94">
                  <c:v>1.9469966275603063</c:v>
                </c:pt>
                <c:pt idx="95">
                  <c:v>1.8441352461807661</c:v>
                </c:pt>
                <c:pt idx="96">
                  <c:v>1.7424221988136868</c:v>
                </c:pt>
                <c:pt idx="97">
                  <c:v>1.6395119111844167</c:v>
                </c:pt>
                <c:pt idx="98">
                  <c:v>1.5377480297138348</c:v>
                </c:pt>
                <c:pt idx="99">
                  <c:v>1.4347581577438686</c:v>
                </c:pt>
                <c:pt idx="100">
                  <c:v>1.3329133296005424</c:v>
                </c:pt>
                <c:pt idx="101">
                  <c:v>1.2298929809836137</c:v>
                </c:pt>
                <c:pt idx="102">
                  <c:v>1.1280151100222389</c:v>
                </c:pt>
                <c:pt idx="103">
                  <c:v>1.0248602051770697</c:v>
                </c:pt>
                <c:pt idx="104">
                  <c:v>0.92284738117078802</c:v>
                </c:pt>
                <c:pt idx="105">
                  <c:v>0.8196097520076977</c:v>
                </c:pt>
                <c:pt idx="106">
                  <c:v>0.71751253007543703</c:v>
                </c:pt>
                <c:pt idx="107">
                  <c:v>0.61424020853355166</c:v>
                </c:pt>
                <c:pt idx="108">
                  <c:v>0.51210543089339233</c:v>
                </c:pt>
                <c:pt idx="109">
                  <c:v>0.40877287337487861</c:v>
                </c:pt>
                <c:pt idx="110">
                  <c:v>0.30657541789663711</c:v>
                </c:pt>
                <c:pt idx="111">
                  <c:v>0.20309130834171424</c:v>
                </c:pt>
                <c:pt idx="112">
                  <c:v>0.1007417020159927</c:v>
                </c:pt>
                <c:pt idx="113">
                  <c:v>-2.8430017083142115E-3</c:v>
                </c:pt>
                <c:pt idx="114">
                  <c:v>-0.10529507357609058</c:v>
                </c:pt>
                <c:pt idx="115">
                  <c:v>-0.2089986826783603</c:v>
                </c:pt>
                <c:pt idx="116">
                  <c:v>-0.31157129855468191</c:v>
                </c:pt>
                <c:pt idx="117">
                  <c:v>-0.41541006457613194</c:v>
                </c:pt>
                <c:pt idx="118">
                  <c:v>-0.51811929803712442</c:v>
                </c:pt>
                <c:pt idx="119">
                  <c:v>-0.62204491268289841</c:v>
                </c:pt>
                <c:pt idx="120">
                  <c:v>-0.72484367903328362</c:v>
                </c:pt>
                <c:pt idx="121">
                  <c:v>-0.82887285139316558</c:v>
                </c:pt>
                <c:pt idx="122">
                  <c:v>-0.93177768137111039</c:v>
                </c:pt>
                <c:pt idx="123">
                  <c:v>-1.0359853839891926</c:v>
                </c:pt>
                <c:pt idx="124">
                  <c:v>-1.1390698347949504</c:v>
                </c:pt>
                <c:pt idx="125">
                  <c:v>-1.2434068576018689</c:v>
                </c:pt>
                <c:pt idx="126">
                  <c:v>-1.3466229801444456</c:v>
                </c:pt>
                <c:pt idx="127">
                  <c:v>-1.451101350758329</c:v>
                </c:pt>
                <c:pt idx="128">
                  <c:v>-1.5544611251747416</c:v>
                </c:pt>
                <c:pt idx="129">
                  <c:v>-1.659091573390483</c:v>
                </c:pt>
                <c:pt idx="130">
                  <c:v>-1.7626057196480847</c:v>
                </c:pt>
                <c:pt idx="131">
                  <c:v>-1.8673978130205728</c:v>
                </c:pt>
                <c:pt idx="132">
                  <c:v>-1.9193744503074015</c:v>
                </c:pt>
                <c:pt idx="133">
                  <c:v>-1.9710759234143147</c:v>
                </c:pt>
                <c:pt idx="134">
                  <c:v>-2.0237247828825282</c:v>
                </c:pt>
                <c:pt idx="135">
                  <c:v>-2.0760920941018024</c:v>
                </c:pt>
                <c:pt idx="136">
                  <c:v>-2.1281812344687481</c:v>
                </c:pt>
                <c:pt idx="137">
                  <c:v>-2.1799955228652781</c:v>
                </c:pt>
                <c:pt idx="138">
                  <c:v>-2.2327053091899165</c:v>
                </c:pt>
                <c:pt idx="139">
                  <c:v>-2.2851344612841409</c:v>
                </c:pt>
                <c:pt idx="140">
                  <c:v>-2.3372863479645556</c:v>
                </c:pt>
                <c:pt idx="141">
                  <c:v>-2.38916427971628</c:v>
                </c:pt>
                <c:pt idx="142">
                  <c:v>-2.4419920345491519</c:v>
                </c:pt>
                <c:pt idx="143">
                  <c:v>-2.4945395269979591</c:v>
                </c:pt>
                <c:pt idx="144">
                  <c:v>-2.5468101273313981</c:v>
                </c:pt>
                <c:pt idx="145">
                  <c:v>-2.5988071474364016</c:v>
                </c:pt>
                <c:pt idx="146">
                  <c:v>-2.6517288677549393</c:v>
                </c:pt>
                <c:pt idx="147">
                  <c:v>-2.7043710196290931</c:v>
                </c:pt>
                <c:pt idx="148">
                  <c:v>-2.7567369692976751</c:v>
                </c:pt>
                <c:pt idx="149">
                  <c:v>-2.8088300246909177</c:v>
                </c:pt>
                <c:pt idx="150">
                  <c:v>-2.861848502200127</c:v>
                </c:pt>
                <c:pt idx="151">
                  <c:v>-2.9145881443611938</c:v>
                </c:pt>
                <c:pt idx="152">
                  <c:v>-2.967052312979797</c:v>
                </c:pt>
                <c:pt idx="153">
                  <c:v>-3.0192443116330292</c:v>
                </c:pt>
                <c:pt idx="154">
                  <c:v>-3.0723864678524322</c:v>
                </c:pt>
                <c:pt idx="155">
                  <c:v>-3.1252503114524037</c:v>
                </c:pt>
                <c:pt idx="156">
                  <c:v>-3.1778392039103656</c:v>
                </c:pt>
                <c:pt idx="157">
                  <c:v>-3.2301564484571226</c:v>
                </c:pt>
                <c:pt idx="158">
                  <c:v>-3.2834231122875051</c:v>
                </c:pt>
                <c:pt idx="159">
                  <c:v>-3.3364120535552089</c:v>
                </c:pt>
                <c:pt idx="160">
                  <c:v>-3.3891266325144151</c:v>
                </c:pt>
                <c:pt idx="161">
                  <c:v>-3.4415701511722223</c:v>
                </c:pt>
                <c:pt idx="162">
                  <c:v>-3.4949386777146869</c:v>
                </c:pt>
                <c:pt idx="163">
                  <c:v>-3.5480303839311933</c:v>
                </c:pt>
                <c:pt idx="164">
                  <c:v>-3.6008486235150543</c:v>
                </c:pt>
                <c:pt idx="165">
                  <c:v>-3.6533966920317158</c:v>
                </c:pt>
                <c:pt idx="166">
                  <c:v>-3.7069150263083901</c:v>
                </c:pt>
                <c:pt idx="167">
                  <c:v>-3.7601570259635513</c:v>
                </c:pt>
                <c:pt idx="168">
                  <c:v>-3.8131260459929504</c:v>
                </c:pt>
                <c:pt idx="169">
                  <c:v>-3.8658253831985179</c:v>
                </c:pt>
                <c:pt idx="170">
                  <c:v>-3.9193805503611197</c:v>
                </c:pt>
                <c:pt idx="171">
                  <c:v>-3.9726611095882216</c:v>
                </c:pt>
                <c:pt idx="172">
                  <c:v>-4.0256703949486603</c:v>
                </c:pt>
                <c:pt idx="173">
                  <c:v>-4.0784116827600947</c:v>
                </c:pt>
                <c:pt idx="174">
                  <c:v>-4.1322077361863734</c:v>
                </c:pt>
                <c:pt idx="175">
                  <c:v>-4.1857289027132714</c:v>
                </c:pt>
                <c:pt idx="176">
                  <c:v>-4.2389785322417337</c:v>
                </c:pt>
                <c:pt idx="177">
                  <c:v>-4.2919599165127833</c:v>
                </c:pt>
                <c:pt idx="178">
                  <c:v>-4.3459692834077099</c:v>
                </c:pt>
                <c:pt idx="179">
                  <c:v>-4.3997038651751774</c:v>
                </c:pt>
                <c:pt idx="180">
                  <c:v>-4.4531670210229013</c:v>
                </c:pt>
                <c:pt idx="181">
                  <c:v>-4.5063620517346639</c:v>
                </c:pt>
                <c:pt idx="182">
                  <c:v>-4.5603481241867074</c:v>
                </c:pt>
                <c:pt idx="183">
                  <c:v>-4.6140619962395739</c:v>
                </c:pt>
                <c:pt idx="184">
                  <c:v>-4.6675069913393648</c:v>
                </c:pt>
                <c:pt idx="185">
                  <c:v>-4.7206863752808212</c:v>
                </c:pt>
                <c:pt idx="186">
                  <c:v>-4.7750523102911133</c:v>
                </c:pt>
                <c:pt idx="187">
                  <c:v>-4.8291446597866656</c:v>
                </c:pt>
                <c:pt idx="188">
                  <c:v>-4.8829667843811482</c:v>
                </c:pt>
                <c:pt idx="189">
                  <c:v>-4.9365219861191445</c:v>
                </c:pt>
                <c:pt idx="190">
                  <c:v>-4.9908279805560962</c:v>
                </c:pt>
                <c:pt idx="191">
                  <c:v>-5.0448635110909299</c:v>
                </c:pt>
                <c:pt idx="192">
                  <c:v>-5.0986318931926009</c:v>
                </c:pt>
                <c:pt idx="193">
                  <c:v>-5.1521363847410129</c:v>
                </c:pt>
                <c:pt idx="194">
                  <c:v>-5.2067726141207054</c:v>
                </c:pt>
                <c:pt idx="195">
                  <c:v>-5.2611377058876974</c:v>
                </c:pt>
                <c:pt idx="196">
                  <c:v>-5.3152350003054805</c:v>
                </c:pt>
                <c:pt idx="197">
                  <c:v>-5.369067779405194</c:v>
                </c:pt>
                <c:pt idx="198">
                  <c:v>-5.4238094671245038</c:v>
                </c:pt>
                <c:pt idx="199">
                  <c:v>-5.4782816774651053</c:v>
                </c:pt>
                <c:pt idx="200">
                  <c:v>-5.5324877328604511</c:v>
                </c:pt>
                <c:pt idx="201">
                  <c:v>-5.5864308978482944</c:v>
                </c:pt>
                <c:pt idx="202">
                  <c:v>-5.6412619221423057</c:v>
                </c:pt>
                <c:pt idx="203">
                  <c:v>-5.6958253743817462</c:v>
                </c:pt>
                <c:pt idx="204">
                  <c:v>-5.7501245548487159</c:v>
                </c:pt>
                <c:pt idx="205">
                  <c:v>-5.8041627063601533</c:v>
                </c:pt>
                <c:pt idx="206">
                  <c:v>-5.8592561108124155</c:v>
                </c:pt>
                <c:pt idx="207">
                  <c:v>-5.9140822633056844</c:v>
                </c:pt>
                <c:pt idx="208">
                  <c:v>-5.9686444714534037</c:v>
                </c:pt>
                <c:pt idx="209">
                  <c:v>-6.022945985144613</c:v>
                </c:pt>
                <c:pt idx="210">
                  <c:v>-6.0784620208127293</c:v>
                </c:pt>
                <c:pt idx="211">
                  <c:v>-6.1337097034709007</c:v>
                </c:pt>
                <c:pt idx="212">
                  <c:v>-6.1886923748173022</c:v>
                </c:pt>
                <c:pt idx="213">
                  <c:v>-6.2434133179344578</c:v>
                </c:pt>
                <c:pt idx="214">
                  <c:v>-6.2989587826685582</c:v>
                </c:pt>
                <c:pt idx="215">
                  <c:v>-6.3542386989313036</c:v>
                </c:pt>
                <c:pt idx="216">
                  <c:v>-6.409256370146986</c:v>
                </c:pt>
                <c:pt idx="217">
                  <c:v>-6.4640150419091471</c:v>
                </c:pt>
                <c:pt idx="218">
                  <c:v>-6.5197576813899181</c:v>
                </c:pt>
                <c:pt idx="219">
                  <c:v>-6.5752360641306993</c:v>
                </c:pt>
                <c:pt idx="220">
                  <c:v>-6.6304534835429667</c:v>
                </c:pt>
                <c:pt idx="221">
                  <c:v>-6.6854131753263326</c:v>
                </c:pt>
                <c:pt idx="222">
                  <c:v>-6.7413349837197725</c:v>
                </c:pt>
                <c:pt idx="223">
                  <c:v>-6.796994104938876</c:v>
                </c:pt>
                <c:pt idx="224">
                  <c:v>-6.8523938173223575</c:v>
                </c:pt>
                <c:pt idx="225">
                  <c:v>-6.9075373417251811</c:v>
                </c:pt>
                <c:pt idx="226">
                  <c:v>-6.9637926257947678</c:v>
                </c:pt>
                <c:pt idx="227">
                  <c:v>-7.019785464801064</c:v>
                </c:pt>
                <c:pt idx="228">
                  <c:v>-7.0755191469371272</c:v>
                </c:pt>
                <c:pt idx="229">
                  <c:v>-7.1309969025491382</c:v>
                </c:pt>
                <c:pt idx="230">
                  <c:v>-7.2438645366141827</c:v>
                </c:pt>
                <c:pt idx="231">
                  <c:v>-7.2999088800519685</c:v>
                </c:pt>
                <c:pt idx="232">
                  <c:v>-7.3556979050197544</c:v>
                </c:pt>
                <c:pt idx="233">
                  <c:v>-7.4125501330489429</c:v>
                </c:pt>
                <c:pt idx="234">
                  <c:v>-7.4691414539686738</c:v>
                </c:pt>
                <c:pt idx="235">
                  <c:v>-7.5254751563870883</c:v>
                </c:pt>
                <c:pt idx="236">
                  <c:v>-7.5815544707557105</c:v>
                </c:pt>
                <c:pt idx="237">
                  <c:v>-7.6385127363156116</c:v>
                </c:pt>
                <c:pt idx="238">
                  <c:v>-7.6952128007769991</c:v>
                </c:pt>
                <c:pt idx="239">
                  <c:v>-7.7516579164855521</c:v>
                </c:pt>
                <c:pt idx="240">
                  <c:v>-7.807851278315904</c:v>
                </c:pt>
                <c:pt idx="241">
                  <c:v>-7.8652231982630756</c:v>
                </c:pt>
                <c:pt idx="242">
                  <c:v>-7.9223369526966092</c:v>
                </c:pt>
                <c:pt idx="243">
                  <c:v>-7.9791958079892611</c:v>
                </c:pt>
                <c:pt idx="244">
                  <c:v>-8.0358029725338902</c:v>
                </c:pt>
                <c:pt idx="245">
                  <c:v>-8.0934077514892486</c:v>
                </c:pt>
                <c:pt idx="246">
                  <c:v>-8.1507561597341542</c:v>
                </c:pt>
                <c:pt idx="247">
                  <c:v>-8.2078514443606529</c:v>
                </c:pt>
                <c:pt idx="248">
                  <c:v>-8.2646967947443297</c:v>
                </c:pt>
                <c:pt idx="249">
                  <c:v>-8.3226727391495992</c:v>
                </c:pt>
                <c:pt idx="250">
                  <c:v>-8.380393004017181</c:v>
                </c:pt>
                <c:pt idx="251">
                  <c:v>-8.4378608379111135</c:v>
                </c:pt>
                <c:pt idx="252">
                  <c:v>-8.4950794314383167</c:v>
                </c:pt>
                <c:pt idx="253">
                  <c:v>-8.553255048582395</c:v>
                </c:pt>
                <c:pt idx="254">
                  <c:v>-8.6111773093188919</c:v>
                </c:pt>
                <c:pt idx="255">
                  <c:v>-8.6688494324681216</c:v>
                </c:pt>
                <c:pt idx="256">
                  <c:v>-8.7262745793796892</c:v>
                </c:pt>
                <c:pt idx="257">
                  <c:v>-8.7849340221426715</c:v>
                </c:pt>
                <c:pt idx="258">
                  <c:v>-8.8433400869149583</c:v>
                </c:pt>
                <c:pt idx="259">
                  <c:v>-8.9014960070826437</c:v>
                </c:pt>
                <c:pt idx="260">
                  <c:v>-8.9594049579796362</c:v>
                </c:pt>
                <c:pt idx="261">
                  <c:v>-9.0183778187682027</c:v>
                </c:pt>
                <c:pt idx="262">
                  <c:v>-9.0770988947224431</c:v>
                </c:pt>
                <c:pt idx="263">
                  <c:v>-9.1355714027093171</c:v>
                </c:pt>
                <c:pt idx="264">
                  <c:v>-9.1937985016866666</c:v>
                </c:pt>
                <c:pt idx="265">
                  <c:v>-9.253069116268108</c:v>
                </c:pt>
                <c:pt idx="266">
                  <c:v>-9.3120897892485761</c:v>
                </c:pt>
                <c:pt idx="267">
                  <c:v>-9.370863715723841</c:v>
                </c:pt>
                <c:pt idx="268">
                  <c:v>-9.4293940331351891</c:v>
                </c:pt>
                <c:pt idx="269">
                  <c:v>-9.4890888387795869</c:v>
                </c:pt>
                <c:pt idx="270">
                  <c:v>-9.5485346061281309</c:v>
                </c:pt>
                <c:pt idx="271">
                  <c:v>-9.607734525939172</c:v>
                </c:pt>
                <c:pt idx="272">
                  <c:v>-9.6666917311369218</c:v>
                </c:pt>
                <c:pt idx="273">
                  <c:v>-9.7267912785420201</c:v>
                </c:pt>
                <c:pt idx="274">
                  <c:v>-9.7866429898554053</c:v>
                </c:pt>
                <c:pt idx="275">
                  <c:v>-9.8462500451714039</c:v>
                </c:pt>
                <c:pt idx="276">
                  <c:v>-9.9056155667050234</c:v>
                </c:pt>
                <c:pt idx="277">
                  <c:v>-9.9659662548491266</c:v>
                </c:pt>
                <c:pt idx="278">
                  <c:v>-10.026071682707006</c:v>
                </c:pt>
                <c:pt idx="279">
                  <c:v>-10.085934992627404</c:v>
                </c:pt>
                <c:pt idx="280">
                  <c:v>-10.145559269674735</c:v>
                </c:pt>
                <c:pt idx="281">
                  <c:v>-10.206552999680099</c:v>
                </c:pt>
                <c:pt idx="282">
                  <c:v>-10.267300988605903</c:v>
                </c:pt>
                <c:pt idx="283">
                  <c:v>-10.327806398875218</c:v>
                </c:pt>
                <c:pt idx="284">
                  <c:v>-10.388072334799517</c:v>
                </c:pt>
                <c:pt idx="285">
                  <c:v>-10.449286876659718</c:v>
                </c:pt>
                <c:pt idx="286">
                  <c:v>-10.510258718411938</c:v>
                </c:pt>
                <c:pt idx="287">
                  <c:v>-10.570990973979344</c:v>
                </c:pt>
                <c:pt idx="288">
                  <c:v>-10.631486700000023</c:v>
                </c:pt>
                <c:pt idx="289">
                  <c:v>-10.693304330872277</c:v>
                </c:pt>
                <c:pt idx="290">
                  <c:v>-10.754879377064935</c:v>
                </c:pt>
                <c:pt idx="291">
                  <c:v>-10.816214959123672</c:v>
                </c:pt>
                <c:pt idx="292">
                  <c:v>-10.877314139768997</c:v>
                </c:pt>
                <c:pt idx="293">
                  <c:v>-10.939583752007358</c:v>
                </c:pt>
                <c:pt idx="294">
                  <c:v>-11.001612216701865</c:v>
                </c:pt>
                <c:pt idx="295">
                  <c:v>-11.063402634446923</c:v>
                </c:pt>
                <c:pt idx="296">
                  <c:v>-11.124958048104233</c:v>
                </c:pt>
                <c:pt idx="297">
                  <c:v>-11.187663915587216</c:v>
                </c:pt>
                <c:pt idx="298">
                  <c:v>-11.250130299388442</c:v>
                </c:pt>
                <c:pt idx="299">
                  <c:v>-11.312360274466286</c:v>
                </c:pt>
                <c:pt idx="300">
                  <c:v>-11.374356858262706</c:v>
                </c:pt>
                <c:pt idx="301">
                  <c:v>-11.437484745747579</c:v>
                </c:pt>
                <c:pt idx="302">
                  <c:v>-11.500375013491817</c:v>
                </c:pt>
                <c:pt idx="303">
                  <c:v>-11.56303070553326</c:v>
                </c:pt>
                <c:pt idx="304">
                  <c:v>-11.625454808725298</c:v>
                </c:pt>
                <c:pt idx="305">
                  <c:v>-11.689235773811353</c:v>
                </c:pt>
                <c:pt idx="306">
                  <c:v>-11.752779353381811</c:v>
                </c:pt>
                <c:pt idx="307">
                  <c:v>-11.816088590179152</c:v>
                </c:pt>
                <c:pt idx="308">
                  <c:v>-11.879166469333743</c:v>
                </c:pt>
                <c:pt idx="309">
                  <c:v>-11.943337896788451</c:v>
                </c:pt>
                <c:pt idx="310">
                  <c:v>-12.007274225331553</c:v>
                </c:pt>
                <c:pt idx="311">
                  <c:v>-12.070978455373638</c:v>
                </c:pt>
                <c:pt idx="312">
                  <c:v>-12.134453530299625</c:v>
                </c:pt>
                <c:pt idx="313">
                  <c:v>-12.199242188960323</c:v>
                </c:pt>
                <c:pt idx="314">
                  <c:v>-12.263796452864284</c:v>
                </c:pt>
                <c:pt idx="315">
                  <c:v>-12.328119308434937</c:v>
                </c:pt>
                <c:pt idx="316">
                  <c:v>-12.392213684924855</c:v>
                </c:pt>
                <c:pt idx="317">
                  <c:v>-12.457600414316481</c:v>
                </c:pt>
                <c:pt idx="318">
                  <c:v>-12.522753691129818</c:v>
                </c:pt>
                <c:pt idx="319">
                  <c:v>-12.587676481177361</c:v>
                </c:pt>
                <c:pt idx="320">
                  <c:v>-12.652371693105504</c:v>
                </c:pt>
                <c:pt idx="321">
                  <c:v>-12.718338842072241</c:v>
                </c:pt>
                <c:pt idx="322">
                  <c:v>-12.784073689033296</c:v>
                </c:pt>
                <c:pt idx="323">
                  <c:v>-12.849579173006818</c:v>
                </c:pt>
                <c:pt idx="324">
                  <c:v>-12.914858175992316</c:v>
                </c:pt>
                <c:pt idx="325">
                  <c:v>-12.981389477476046</c:v>
                </c:pt>
                <c:pt idx="326">
                  <c:v>-13.047689807014816</c:v>
                </c:pt>
                <c:pt idx="327">
                  <c:v>-13.113762071100314</c:v>
                </c:pt>
                <c:pt idx="328">
                  <c:v>-13.179609119488374</c:v>
                </c:pt>
                <c:pt idx="329">
                  <c:v>-13.246801548035986</c:v>
                </c:pt>
                <c:pt idx="330">
                  <c:v>-13.313763722847597</c:v>
                </c:pt>
                <c:pt idx="331">
                  <c:v>-13.380498526886946</c:v>
                </c:pt>
                <c:pt idx="332">
                  <c:v>-13.447008786419163</c:v>
                </c:pt>
                <c:pt idx="333">
                  <c:v>-13.514733482229605</c:v>
                </c:pt>
                <c:pt idx="334">
                  <c:v>-13.582229570515221</c:v>
                </c:pt>
                <c:pt idx="335">
                  <c:v>-13.649499890743137</c:v>
                </c:pt>
                <c:pt idx="336">
                  <c:v>-13.716547226232507</c:v>
                </c:pt>
                <c:pt idx="337">
                  <c:v>-13.785009481486718</c:v>
                </c:pt>
                <c:pt idx="338">
                  <c:v>-13.853243426901427</c:v>
                </c:pt>
                <c:pt idx="339">
                  <c:v>-13.921251880735802</c:v>
                </c:pt>
                <c:pt idx="340">
                  <c:v>-13.989037605058577</c:v>
                </c:pt>
                <c:pt idx="341">
                  <c:v>-14.058217038662722</c:v>
                </c:pt>
                <c:pt idx="342">
                  <c:v>-14.127168644465037</c:v>
                </c:pt>
                <c:pt idx="343">
                  <c:v>-14.195895213046885</c:v>
                </c:pt>
                <c:pt idx="344">
                  <c:v>-14.264399478919207</c:v>
                </c:pt>
                <c:pt idx="345">
                  <c:v>-14.334170768028383</c:v>
                </c:pt>
                <c:pt idx="346">
                  <c:v>-14.403715552335171</c:v>
                </c:pt>
                <c:pt idx="347">
                  <c:v>-14.473036576348797</c:v>
                </c:pt>
                <c:pt idx="348">
                  <c:v>-14.54213652911861</c:v>
                </c:pt>
                <c:pt idx="349">
                  <c:v>-14.612695375597148</c:v>
                </c:pt>
                <c:pt idx="350">
                  <c:v>-14.683027775143566</c:v>
                </c:pt>
                <c:pt idx="351">
                  <c:v>-14.753136445991455</c:v>
                </c:pt>
                <c:pt idx="352">
                  <c:v>-14.823024050995098</c:v>
                </c:pt>
                <c:pt idx="353">
                  <c:v>-14.894349346728719</c:v>
                </c:pt>
                <c:pt idx="354">
                  <c:v>-14.96544840103595</c:v>
                </c:pt>
                <c:pt idx="355">
                  <c:v>-15.036323899782403</c:v>
                </c:pt>
                <c:pt idx="356">
                  <c:v>-15.106978473701862</c:v>
                </c:pt>
                <c:pt idx="357">
                  <c:v>-15.178947960178995</c:v>
                </c:pt>
                <c:pt idx="358">
                  <c:v>-15.250692166417398</c:v>
                </c:pt>
                <c:pt idx="359">
                  <c:v>-15.322213729239193</c:v>
                </c:pt>
                <c:pt idx="360">
                  <c:v>-15.39351523104752</c:v>
                </c:pt>
                <c:pt idx="361">
                  <c:v>-15.466315486205691</c:v>
                </c:pt>
                <c:pt idx="362">
                  <c:v>-15.538890222503374</c:v>
                </c:pt>
                <c:pt idx="363">
                  <c:v>-15.611242045380941</c:v>
                </c:pt>
                <c:pt idx="364">
                  <c:v>-15.683373506103379</c:v>
                </c:pt>
                <c:pt idx="365">
                  <c:v>-15.756882727363068</c:v>
                </c:pt>
                <c:pt idx="366">
                  <c:v>-15.830166907363932</c:v>
                </c:pt>
                <c:pt idx="367">
                  <c:v>-15.903228604341436</c:v>
                </c:pt>
                <c:pt idx="368">
                  <c:v>-15.976070323055245</c:v>
                </c:pt>
                <c:pt idx="369">
                  <c:v>-16.050467946674626</c:v>
                </c:pt>
                <c:pt idx="370">
                  <c:v>-16.124639856168276</c:v>
                </c:pt>
                <c:pt idx="371">
                  <c:v>-16.198588578642973</c:v>
                </c:pt>
                <c:pt idx="372">
                  <c:v>-16.272316588007453</c:v>
                </c:pt>
                <c:pt idx="373">
                  <c:v>-16.347481189432052</c:v>
                </c:pt>
                <c:pt idx="374">
                  <c:v>-16.422420080226697</c:v>
                </c:pt>
                <c:pt idx="375">
                  <c:v>-16.497135741498575</c:v>
                </c:pt>
                <c:pt idx="376">
                  <c:v>-16.571630601879814</c:v>
                </c:pt>
                <c:pt idx="377">
                  <c:v>-16.647734719168692</c:v>
                </c:pt>
                <c:pt idx="378">
                  <c:v>-16.7236120182096</c:v>
                </c:pt>
                <c:pt idx="379">
                  <c:v>-16.799264948858237</c:v>
                </c:pt>
                <c:pt idx="380">
                  <c:v>-16.874695908840526</c:v>
                </c:pt>
                <c:pt idx="381">
                  <c:v>-16.951523320102254</c:v>
                </c:pt>
                <c:pt idx="382">
                  <c:v>-17.028124002026605</c:v>
                </c:pt>
                <c:pt idx="383">
                  <c:v>-17.104500350580878</c:v>
                </c:pt>
                <c:pt idx="384">
                  <c:v>-17.180654710631778</c:v>
                </c:pt>
                <c:pt idx="385">
                  <c:v>-17.258468506854879</c:v>
                </c:pt>
                <c:pt idx="386">
                  <c:v>-17.33605400232727</c:v>
                </c:pt>
                <c:pt idx="387">
                  <c:v>-17.413413562193927</c:v>
                </c:pt>
                <c:pt idx="388">
                  <c:v>-17.490549500925866</c:v>
                </c:pt>
                <c:pt idx="389">
                  <c:v>-17.569228582425307</c:v>
                </c:pt>
                <c:pt idx="390">
                  <c:v>-17.647678392621824</c:v>
                </c:pt>
                <c:pt idx="391">
                  <c:v>-17.725901253183086</c:v>
                </c:pt>
                <c:pt idx="392">
                  <c:v>-17.803899435948161</c:v>
                </c:pt>
                <c:pt idx="393">
                  <c:v>-17.883419363291061</c:v>
                </c:pt>
                <c:pt idx="394">
                  <c:v>-17.962709057260845</c:v>
                </c:pt>
                <c:pt idx="395">
                  <c:v>-18.041770793181801</c:v>
                </c:pt>
                <c:pt idx="396">
                  <c:v>-18.120606797544188</c:v>
                </c:pt>
                <c:pt idx="397">
                  <c:v>-18.201124998174912</c:v>
                </c:pt>
                <c:pt idx="398">
                  <c:v>-18.281410950975999</c:v>
                </c:pt>
                <c:pt idx="399">
                  <c:v>-18.361466897747441</c:v>
                </c:pt>
                <c:pt idx="400">
                  <c:v>-18.441295032159875</c:v>
                </c:pt>
                <c:pt idx="401">
                  <c:v>-18.522691808461083</c:v>
                </c:pt>
                <c:pt idx="402">
                  <c:v>-18.603854862369726</c:v>
                </c:pt>
                <c:pt idx="403">
                  <c:v>-18.684786391827423</c:v>
                </c:pt>
                <c:pt idx="404">
                  <c:v>-18.765488547729532</c:v>
                </c:pt>
                <c:pt idx="405">
                  <c:v>-18.847826068802913</c:v>
                </c:pt>
                <c:pt idx="406">
                  <c:v>-18.929927870360892</c:v>
                </c:pt>
                <c:pt idx="407">
                  <c:v>-19.011796111831501</c:v>
                </c:pt>
                <c:pt idx="408">
                  <c:v>-19.093432906620095</c:v>
                </c:pt>
                <c:pt idx="409">
                  <c:v>-19.176769552742407</c:v>
                </c:pt>
                <c:pt idx="410">
                  <c:v>-19.259867976389341</c:v>
                </c:pt>
                <c:pt idx="411">
                  <c:v>-19.34273030350526</c:v>
                </c:pt>
                <c:pt idx="412">
                  <c:v>-19.42535861499449</c:v>
                </c:pt>
                <c:pt idx="413">
                  <c:v>-19.509662349091187</c:v>
                </c:pt>
                <c:pt idx="414">
                  <c:v>-19.593725360389126</c:v>
                </c:pt>
                <c:pt idx="415">
                  <c:v>-19.677549739773109</c:v>
                </c:pt>
                <c:pt idx="416">
                  <c:v>-19.761137534225266</c:v>
                </c:pt>
                <c:pt idx="417">
                  <c:v>-19.846462301150712</c:v>
                </c:pt>
                <c:pt idx="418">
                  <c:v>-19.931543348007768</c:v>
                </c:pt>
                <c:pt idx="419">
                  <c:v>-20.016382735973433</c:v>
                </c:pt>
                <c:pt idx="420">
                  <c:v>-20.100982483429281</c:v>
                </c:pt>
                <c:pt idx="421">
                  <c:v>-20.187209062630927</c:v>
                </c:pt>
                <c:pt idx="422">
                  <c:v>-20.273189408810367</c:v>
                </c:pt>
                <c:pt idx="423">
                  <c:v>-20.358925546839487</c:v>
                </c:pt>
                <c:pt idx="424">
                  <c:v>-20.444419460208053</c:v>
                </c:pt>
                <c:pt idx="425">
                  <c:v>-20.531767855969193</c:v>
                </c:pt>
                <c:pt idx="426">
                  <c:v>-20.61886604788819</c:v>
                </c:pt>
                <c:pt idx="427">
                  <c:v>-20.705716042359338</c:v>
                </c:pt>
                <c:pt idx="428">
                  <c:v>-20.792319805458618</c:v>
                </c:pt>
                <c:pt idx="429">
                  <c:v>-20.880667394325016</c:v>
                </c:pt>
                <c:pt idx="430">
                  <c:v>-20.968761306393194</c:v>
                </c:pt>
                <c:pt idx="431">
                  <c:v>-21.056603523797264</c:v>
                </c:pt>
                <c:pt idx="432">
                  <c:v>-21.144195989715907</c:v>
                </c:pt>
                <c:pt idx="433">
                  <c:v>-21.233506098068521</c:v>
                </c:pt>
                <c:pt idx="434">
                  <c:v>-21.322559061494147</c:v>
                </c:pt>
                <c:pt idx="435">
                  <c:v>-21.411356838944403</c:v>
                </c:pt>
                <c:pt idx="436">
                  <c:v>-21.499901351893151</c:v>
                </c:pt>
                <c:pt idx="437">
                  <c:v>-21.590299437048358</c:v>
                </c:pt>
                <c:pt idx="438">
                  <c:v>-21.680435981334934</c:v>
                </c:pt>
                <c:pt idx="439">
                  <c:v>-21.770312932694125</c:v>
                </c:pt>
                <c:pt idx="440">
                  <c:v>-21.859932202909217</c:v>
                </c:pt>
                <c:pt idx="441">
                  <c:v>-21.951376443411572</c:v>
                </c:pt>
                <c:pt idx="442">
                  <c:v>-22.042554784923443</c:v>
                </c:pt>
                <c:pt idx="443">
                  <c:v>-22.133469166021769</c:v>
                </c:pt>
                <c:pt idx="444">
                  <c:v>-22.224121490565313</c:v>
                </c:pt>
                <c:pt idx="445">
                  <c:v>-22.316570379622217</c:v>
                </c:pt>
                <c:pt idx="446">
                  <c:v>-22.408749055386956</c:v>
                </c:pt>
                <c:pt idx="447">
                  <c:v>-22.500659449479596</c:v>
                </c:pt>
                <c:pt idx="448">
                  <c:v>-22.592303460340663</c:v>
                </c:pt>
                <c:pt idx="449">
                  <c:v>-22.685872201619738</c:v>
                </c:pt>
                <c:pt idx="450">
                  <c:v>-22.779165550765757</c:v>
                </c:pt>
                <c:pt idx="451">
                  <c:v>-22.872185445190844</c:v>
                </c:pt>
                <c:pt idx="452">
                  <c:v>-22.964933790539007</c:v>
                </c:pt>
                <c:pt idx="453">
                  <c:v>-23.059498837098197</c:v>
                </c:pt>
                <c:pt idx="454">
                  <c:v>-23.15378385857986</c:v>
                </c:pt>
                <c:pt idx="455">
                  <c:v>-23.247790796655273</c:v>
                </c:pt>
                <c:pt idx="456">
                  <c:v>-23.341521562835265</c:v>
                </c:pt>
                <c:pt idx="457">
                  <c:v>-23.437192593436976</c:v>
                </c:pt>
                <c:pt idx="458">
                  <c:v>-23.532578150465071</c:v>
                </c:pt>
                <c:pt idx="459">
                  <c:v>-23.627680193339671</c:v>
                </c:pt>
                <c:pt idx="460">
                  <c:v>-23.722500652810353</c:v>
                </c:pt>
                <c:pt idx="461">
                  <c:v>-23.819229723001371</c:v>
                </c:pt>
                <c:pt idx="462">
                  <c:v>-23.915668005386461</c:v>
                </c:pt>
                <c:pt idx="463">
                  <c:v>-24.011817481516058</c:v>
                </c:pt>
                <c:pt idx="464">
                  <c:v>-24.107680105838419</c:v>
                </c:pt>
                <c:pt idx="465">
                  <c:v>-24.20549450730099</c:v>
                </c:pt>
                <c:pt idx="466">
                  <c:v>-24.303012512766987</c:v>
                </c:pt>
                <c:pt idx="467">
                  <c:v>-24.400236135559851</c:v>
                </c:pt>
                <c:pt idx="468">
                  <c:v>-24.497167363454388</c:v>
                </c:pt>
                <c:pt idx="469">
                  <c:v>-24.596017921295612</c:v>
                </c:pt>
                <c:pt idx="470">
                  <c:v>-24.694566668380858</c:v>
                </c:pt>
                <c:pt idx="471">
                  <c:v>-24.792815655390473</c:v>
                </c:pt>
                <c:pt idx="472">
                  <c:v>-24.890766909070287</c:v>
                </c:pt>
                <c:pt idx="473">
                  <c:v>-24.990750906338754</c:v>
                </c:pt>
                <c:pt idx="474">
                  <c:v>-25.090427007612476</c:v>
                </c:pt>
                <c:pt idx="475">
                  <c:v>-25.189797316294133</c:v>
                </c:pt>
                <c:pt idx="476">
                  <c:v>-25.288863913383224</c:v>
                </c:pt>
                <c:pt idx="477">
                  <c:v>-25.389928830533371</c:v>
                </c:pt>
                <c:pt idx="478">
                  <c:v>-25.490680044782209</c:v>
                </c:pt>
                <c:pt idx="479">
                  <c:v>-25.591119719038083</c:v>
                </c:pt>
                <c:pt idx="480">
                  <c:v>-25.691249995399513</c:v>
                </c:pt>
                <c:pt idx="481">
                  <c:v>-25.793344599158281</c:v>
                </c:pt>
                <c:pt idx="482">
                  <c:v>-25.895120010515718</c:v>
                </c:pt>
                <c:pt idx="483">
                  <c:v>-25.996578459358307</c:v>
                </c:pt>
                <c:pt idx="484">
                  <c:v>-26.097722156407048</c:v>
                </c:pt>
                <c:pt idx="485">
                  <c:v>-26.200866787498288</c:v>
                </c:pt>
                <c:pt idx="486">
                  <c:v>-26.303686656546745</c:v>
                </c:pt>
                <c:pt idx="487">
                  <c:v>-26.406184073247253</c:v>
                </c:pt>
                <c:pt idx="488">
                  <c:v>-26.508361329770519</c:v>
                </c:pt>
                <c:pt idx="489">
                  <c:v>-26.612643717107971</c:v>
                </c:pt>
                <c:pt idx="490">
                  <c:v>-26.716595316179554</c:v>
                </c:pt>
                <c:pt idx="491">
                  <c:v>-26.820218534935702</c:v>
                </c:pt>
                <c:pt idx="492">
                  <c:v>-26.923515765413146</c:v>
                </c:pt>
                <c:pt idx="493">
                  <c:v>-27.028881878020968</c:v>
                </c:pt>
                <c:pt idx="494">
                  <c:v>-27.133911673344436</c:v>
                </c:pt>
                <c:pt idx="495">
                  <c:v>-27.238607667503459</c:v>
                </c:pt>
                <c:pt idx="496">
                  <c:v>-27.342972362392285</c:v>
                </c:pt>
                <c:pt idx="497">
                  <c:v>-27.449437918661573</c:v>
                </c:pt>
                <c:pt idx="498">
                  <c:v>-27.555561754450562</c:v>
                </c:pt>
                <c:pt idx="499">
                  <c:v>-27.661346509841401</c:v>
                </c:pt>
                <c:pt idx="500">
                  <c:v>-27.766794812430206</c:v>
                </c:pt>
                <c:pt idx="501">
                  <c:v>-27.874374641511928</c:v>
                </c:pt>
                <c:pt idx="502">
                  <c:v>-27.981607556849767</c:v>
                </c:pt>
                <c:pt idx="503">
                  <c:v>-28.088496339598525</c:v>
                </c:pt>
                <c:pt idx="504">
                  <c:v>-28.195043760248019</c:v>
                </c:pt>
                <c:pt idx="505">
                  <c:v>-28.303686421470079</c:v>
                </c:pt>
                <c:pt idx="506">
                  <c:v>-28.411977703925281</c:v>
                </c:pt>
                <c:pt idx="507">
                  <c:v>-28.519920543163444</c:v>
                </c:pt>
                <c:pt idx="508">
                  <c:v>-28.627517866027485</c:v>
                </c:pt>
                <c:pt idx="509">
                  <c:v>-28.737240182851554</c:v>
                </c:pt>
                <c:pt idx="510">
                  <c:v>-28.846607047709327</c:v>
                </c:pt>
                <c:pt idx="511">
                  <c:v>-28.955621570652511</c:v>
                </c:pt>
                <c:pt idx="512">
                  <c:v>-29.064286855136444</c:v>
                </c:pt>
                <c:pt idx="513">
                  <c:v>-29.175170148981039</c:v>
                </c:pt>
                <c:pt idx="514">
                  <c:v>-29.285694010269548</c:v>
                </c:pt>
                <c:pt idx="515">
                  <c:v>-29.395861751477117</c:v>
                </c:pt>
                <c:pt idx="516">
                  <c:v>-29.505676680792625</c:v>
                </c:pt>
                <c:pt idx="517">
                  <c:v>-29.617673376942875</c:v>
                </c:pt>
                <c:pt idx="518">
                  <c:v>-29.729307724496394</c:v>
                </c:pt>
                <c:pt idx="519">
                  <c:v>-29.840583257495929</c:v>
                </c:pt>
                <c:pt idx="520">
                  <c:v>-29.951503508309468</c:v>
                </c:pt>
                <c:pt idx="521">
                  <c:v>-30.064633400687228</c:v>
                </c:pt>
                <c:pt idx="522">
                  <c:v>-30.177398812200906</c:v>
                </c:pt>
                <c:pt idx="523">
                  <c:v>-30.289803526130889</c:v>
                </c:pt>
                <c:pt idx="524">
                  <c:v>-30.401851327070368</c:v>
                </c:pt>
                <c:pt idx="525">
                  <c:v>-30.516136512379287</c:v>
                </c:pt>
                <c:pt idx="526">
                  <c:v>-30.630056034346886</c:v>
                </c:pt>
                <c:pt idx="527">
                  <c:v>-30.743613956764566</c:v>
                </c:pt>
                <c:pt idx="528">
                  <c:v>-30.856814348218016</c:v>
                </c:pt>
                <c:pt idx="529">
                  <c:v>-30.97228004116436</c:v>
                </c:pt>
                <c:pt idx="530">
                  <c:v>-31.087380027424125</c:v>
                </c:pt>
                <c:pt idx="531">
                  <c:v>-31.202118686949838</c:v>
                </c:pt>
                <c:pt idx="532">
                  <c:v>-31.316500408609038</c:v>
                </c:pt>
                <c:pt idx="533">
                  <c:v>-31.433236015295599</c:v>
                </c:pt>
                <c:pt idx="534">
                  <c:v>-31.549606854269886</c:v>
                </c:pt>
                <c:pt idx="535">
                  <c:v>-31.665617669983526</c:v>
                </c:pt>
                <c:pt idx="536">
                  <c:v>-31.781273220779035</c:v>
                </c:pt>
                <c:pt idx="537">
                  <c:v>-31.899192113428605</c:v>
                </c:pt>
                <c:pt idx="538">
                  <c:v>-32.016749541976132</c:v>
                </c:pt>
                <c:pt idx="539">
                  <c:v>-32.133950648232243</c:v>
                </c:pt>
                <c:pt idx="540">
                  <c:v>-32.250800593876043</c:v>
                </c:pt>
                <c:pt idx="541">
                  <c:v>-32.370063112410492</c:v>
                </c:pt>
                <c:pt idx="542">
                  <c:v>-32.488968634480436</c:v>
                </c:pt>
                <c:pt idx="543">
                  <c:v>-32.607522770451482</c:v>
                </c:pt>
                <c:pt idx="544">
                  <c:v>-32.72573115797401</c:v>
                </c:pt>
                <c:pt idx="545">
                  <c:v>-32.846325794386239</c:v>
                </c:pt>
                <c:pt idx="546">
                  <c:v>-32.966570512978336</c:v>
                </c:pt>
                <c:pt idx="547">
                  <c:v>-33.086471450489043</c:v>
                </c:pt>
                <c:pt idx="548">
                  <c:v>-33.206034780053386</c:v>
                </c:pt>
                <c:pt idx="549">
                  <c:v>-33.32801965063873</c:v>
                </c:pt>
                <c:pt idx="550">
                  <c:v>-33.449664318148535</c:v>
                </c:pt>
                <c:pt idx="551">
                  <c:v>-33.570975523589674</c:v>
                </c:pt>
                <c:pt idx="552">
                  <c:v>-33.69196005569065</c:v>
                </c:pt>
                <c:pt idx="553">
                  <c:v>-33.815461461782313</c:v>
                </c:pt>
                <c:pt idx="554">
                  <c:v>-33.938635187248636</c:v>
                </c:pt>
                <c:pt idx="555">
                  <c:v>-34.061488680894733</c:v>
                </c:pt>
                <c:pt idx="556">
                  <c:v>-34.184029453516459</c:v>
                </c:pt>
                <c:pt idx="557">
                  <c:v>-34.433917134666956</c:v>
                </c:pt>
                <c:pt idx="558">
                  <c:v>-34.68259223465617</c:v>
                </c:pt>
                <c:pt idx="559">
                  <c:v>-34.935782723178676</c:v>
                </c:pt>
                <c:pt idx="560">
                  <c:v>-35.187848039251563</c:v>
                </c:pt>
                <c:pt idx="561">
                  <c:v>-35.444806607598387</c:v>
                </c:pt>
                <c:pt idx="562">
                  <c:v>-35.700746996848977</c:v>
                </c:pt>
                <c:pt idx="563">
                  <c:v>-35.961216360258348</c:v>
                </c:pt>
                <c:pt idx="564">
                  <c:v>-36.220804061279914</c:v>
                </c:pt>
                <c:pt idx="565">
                  <c:v>-36.486120362748807</c:v>
                </c:pt>
                <c:pt idx="566">
                  <c:v>-36.75071574283092</c:v>
                </c:pt>
                <c:pt idx="567">
                  <c:v>-37.021183992799372</c:v>
                </c:pt>
                <c:pt idx="568">
                  <c:v>-37.291131475455629</c:v>
                </c:pt>
                <c:pt idx="569">
                  <c:v>-37.566071983368758</c:v>
                </c:pt>
                <c:pt idx="570">
                  <c:v>-37.840740390699402</c:v>
                </c:pt>
                <c:pt idx="571">
                  <c:v>-38.122817063990119</c:v>
                </c:pt>
                <c:pt idx="572">
                  <c:v>-38.40492214293451</c:v>
                </c:pt>
                <c:pt idx="573">
                  <c:v>-38.692616798239143</c:v>
                </c:pt>
                <c:pt idx="574">
                  <c:v>-38.980707231129557</c:v>
                </c:pt>
                <c:pt idx="575">
                  <c:v>-39.276970244133459</c:v>
                </c:pt>
                <c:pt idx="576">
                  <c:v>-39.574084656233921</c:v>
                </c:pt>
                <c:pt idx="577">
                  <c:v>-40.847108269806007</c:v>
                </c:pt>
                <c:pt idx="578">
                  <c:v>-42.161130560816879</c:v>
                </c:pt>
                <c:pt idx="579">
                  <c:v>-45.332753778868529</c:v>
                </c:pt>
                <c:pt idx="580">
                  <c:v>-49.835163655569545</c:v>
                </c:pt>
                <c:pt idx="581">
                  <c:v>-58.486933667710559</c:v>
                </c:pt>
                <c:pt idx="582">
                  <c:v>-65.63473343610363</c:v>
                </c:pt>
                <c:pt idx="583">
                  <c:v>-55.909935880772821</c:v>
                </c:pt>
                <c:pt idx="584">
                  <c:v>-54.028942135530514</c:v>
                </c:pt>
                <c:pt idx="585">
                  <c:v>-54.282878840442677</c:v>
                </c:pt>
                <c:pt idx="586">
                  <c:v>-55.56027376878972</c:v>
                </c:pt>
                <c:pt idx="587">
                  <c:v>-57.706519601676334</c:v>
                </c:pt>
                <c:pt idx="588">
                  <c:v>-61.709235190805948</c:v>
                </c:pt>
                <c:pt idx="589">
                  <c:v>-77.134680393592504</c:v>
                </c:pt>
                <c:pt idx="590">
                  <c:v>-66.784790984394121</c:v>
                </c:pt>
                <c:pt idx="591">
                  <c:v>-64.369945989239199</c:v>
                </c:pt>
                <c:pt idx="592">
                  <c:v>-65.728125199090982</c:v>
                </c:pt>
                <c:pt idx="593">
                  <c:v>-71.477904671888297</c:v>
                </c:pt>
                <c:pt idx="594">
                  <c:v>-75.27927623976835</c:v>
                </c:pt>
                <c:pt idx="595">
                  <c:v>-70.410822771286163</c:v>
                </c:pt>
                <c:pt idx="596">
                  <c:v>-73.488684514020576</c:v>
                </c:pt>
                <c:pt idx="597">
                  <c:v>-80.433876672047887</c:v>
                </c:pt>
                <c:pt idx="598">
                  <c:v>-74.763177532754355</c:v>
                </c:pt>
                <c:pt idx="599">
                  <c:v>-87.650679193172195</c:v>
                </c:pt>
                <c:pt idx="600">
                  <c:v>-77.805722606817582</c:v>
                </c:pt>
              </c:numCache>
            </c:numRef>
          </c:yVal>
          <c:smooth val="0"/>
          <c:extLst>
            <c:ext xmlns:c16="http://schemas.microsoft.com/office/drawing/2014/chart" uri="{C3380CC4-5D6E-409C-BE32-E72D297353CC}">
              <c16:uniqueId val="{00000000-52E8-40C0-BDC9-E7AD10D908CE}"/>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Calculations'!$Y$13:$Y$613</c:f>
              <c:numCache>
                <c:formatCode>0.00</c:formatCode>
                <c:ptCount val="601"/>
                <c:pt idx="0">
                  <c:v>92.872293758645981</c:v>
                </c:pt>
                <c:pt idx="1">
                  <c:v>92.589597244823253</c:v>
                </c:pt>
                <c:pt idx="2">
                  <c:v>92.328774079618</c:v>
                </c:pt>
                <c:pt idx="3">
                  <c:v>92.087628913640714</c:v>
                </c:pt>
                <c:pt idx="4">
                  <c:v>91.864271104626084</c:v>
                </c:pt>
                <c:pt idx="5">
                  <c:v>91.656454064353483</c:v>
                </c:pt>
                <c:pt idx="6">
                  <c:v>91.462734580599729</c:v>
                </c:pt>
                <c:pt idx="7">
                  <c:v>91.281345461760608</c:v>
                </c:pt>
                <c:pt idx="8">
                  <c:v>91.110883335083045</c:v>
                </c:pt>
                <c:pt idx="9">
                  <c:v>90.949774988863041</c:v>
                </c:pt>
                <c:pt idx="10">
                  <c:v>90.796751266047039</c:v>
                </c:pt>
                <c:pt idx="11">
                  <c:v>90.650491247358005</c:v>
                </c:pt>
                <c:pt idx="12">
                  <c:v>90.509681967964696</c:v>
                </c:pt>
                <c:pt idx="13">
                  <c:v>90.373266202776037</c:v>
                </c:pt>
                <c:pt idx="14">
                  <c:v>90.23997796194368</c:v>
                </c:pt>
                <c:pt idx="15">
                  <c:v>90.108740877340409</c:v>
                </c:pt>
                <c:pt idx="16">
                  <c:v>89.978433071496156</c:v>
                </c:pt>
                <c:pt idx="17">
                  <c:v>89.847970594097688</c:v>
                </c:pt>
                <c:pt idx="18">
                  <c:v>89.716212455047597</c:v>
                </c:pt>
                <c:pt idx="19">
                  <c:v>89.582081365694904</c:v>
                </c:pt>
                <c:pt idx="20">
                  <c:v>89.444419266390412</c:v>
                </c:pt>
                <c:pt idx="21">
                  <c:v>89.302095489316557</c:v>
                </c:pt>
                <c:pt idx="22">
                  <c:v>89.153883948340962</c:v>
                </c:pt>
                <c:pt idx="23">
                  <c:v>88.998580291425</c:v>
                </c:pt>
                <c:pt idx="24">
                  <c:v>88.834848659936782</c:v>
                </c:pt>
                <c:pt idx="25">
                  <c:v>88.661352440305023</c:v>
                </c:pt>
                <c:pt idx="26">
                  <c:v>88.476613660654678</c:v>
                </c:pt>
                <c:pt idx="27">
                  <c:v>88.279171749787395</c:v>
                </c:pt>
                <c:pt idx="28">
                  <c:v>88.067413047796606</c:v>
                </c:pt>
                <c:pt idx="29">
                  <c:v>87.839777879778154</c:v>
                </c:pt>
                <c:pt idx="30">
                  <c:v>87.594055886631395</c:v>
                </c:pt>
                <c:pt idx="31">
                  <c:v>87.328641483094231</c:v>
                </c:pt>
                <c:pt idx="32">
                  <c:v>87.041304093279152</c:v>
                </c:pt>
                <c:pt idx="33">
                  <c:v>86.730078054553843</c:v>
                </c:pt>
                <c:pt idx="34">
                  <c:v>86.392428508066786</c:v>
                </c:pt>
                <c:pt idx="35">
                  <c:v>86.026126731518815</c:v>
                </c:pt>
                <c:pt idx="36">
                  <c:v>85.628610677464408</c:v>
                </c:pt>
                <c:pt idx="37">
                  <c:v>85.197042108532102</c:v>
                </c:pt>
                <c:pt idx="38">
                  <c:v>84.729174433435247</c:v>
                </c:pt>
                <c:pt idx="39">
                  <c:v>84.221970781352667</c:v>
                </c:pt>
                <c:pt idx="40">
                  <c:v>83.672991248623092</c:v>
                </c:pt>
                <c:pt idx="41">
                  <c:v>83.07971055652915</c:v>
                </c:pt>
                <c:pt idx="42">
                  <c:v>82.439983549655167</c:v>
                </c:pt>
                <c:pt idx="43">
                  <c:v>81.751773082581465</c:v>
                </c:pt>
                <c:pt idx="44">
                  <c:v>81.013977376824698</c:v>
                </c:pt>
                <c:pt idx="45">
                  <c:v>80.225950515161969</c:v>
                </c:pt>
                <c:pt idx="46">
                  <c:v>79.388394587334062</c:v>
                </c:pt>
                <c:pt idx="47">
                  <c:v>78.503005136998084</c:v>
                </c:pt>
                <c:pt idx="48">
                  <c:v>77.573532862793158</c:v>
                </c:pt>
                <c:pt idx="49">
                  <c:v>76.605260317707604</c:v>
                </c:pt>
                <c:pt idx="50">
                  <c:v>75.60615367174745</c:v>
                </c:pt>
                <c:pt idx="51">
                  <c:v>74.586361630454618</c:v>
                </c:pt>
                <c:pt idx="52">
                  <c:v>73.55931720713842</c:v>
                </c:pt>
                <c:pt idx="53">
                  <c:v>72.540812749169604</c:v>
                </c:pt>
                <c:pt idx="54">
                  <c:v>71.549785299777781</c:v>
                </c:pt>
                <c:pt idx="55">
                  <c:v>70.604951275232665</c:v>
                </c:pt>
                <c:pt idx="56">
                  <c:v>69.729355908312613</c:v>
                </c:pt>
                <c:pt idx="57">
                  <c:v>68.944397309993349</c:v>
                </c:pt>
                <c:pt idx="58">
                  <c:v>68.271717694415358</c:v>
                </c:pt>
                <c:pt idx="59">
                  <c:v>67.729705711148299</c:v>
                </c:pt>
                <c:pt idx="60">
                  <c:v>67.334136880408735</c:v>
                </c:pt>
                <c:pt idx="61">
                  <c:v>67.09573605644924</c:v>
                </c:pt>
                <c:pt idx="62">
                  <c:v>67.019886797022792</c:v>
                </c:pt>
                <c:pt idx="63">
                  <c:v>67.106181048668361</c:v>
                </c:pt>
                <c:pt idx="64">
                  <c:v>67.348262966963986</c:v>
                </c:pt>
                <c:pt idx="65">
                  <c:v>67.734233824947822</c:v>
                </c:pt>
                <c:pt idx="66">
                  <c:v>68.247582407911935</c:v>
                </c:pt>
                <c:pt idx="67">
                  <c:v>68.86812595952334</c:v>
                </c:pt>
                <c:pt idx="68">
                  <c:v>69.573663197489878</c:v>
                </c:pt>
                <c:pt idx="69">
                  <c:v>70.340623750091694</c:v>
                </c:pt>
                <c:pt idx="70">
                  <c:v>71.145955714218132</c:v>
                </c:pt>
                <c:pt idx="71">
                  <c:v>71.967473982252869</c:v>
                </c:pt>
                <c:pt idx="72">
                  <c:v>72.785248073751106</c:v>
                </c:pt>
                <c:pt idx="73">
                  <c:v>73.581354254127277</c:v>
                </c:pt>
                <c:pt idx="74">
                  <c:v>74.340860382194649</c:v>
                </c:pt>
                <c:pt idx="75">
                  <c:v>75.051091113075941</c:v>
                </c:pt>
                <c:pt idx="76">
                  <c:v>75.702056834500127</c:v>
                </c:pt>
                <c:pt idx="77">
                  <c:v>76.285540561053551</c:v>
                </c:pt>
                <c:pt idx="78">
                  <c:v>76.79538962081493</c:v>
                </c:pt>
                <c:pt idx="79">
                  <c:v>77.22663673582646</c:v>
                </c:pt>
                <c:pt idx="80">
                  <c:v>77.57634135174888</c:v>
                </c:pt>
                <c:pt idx="81">
                  <c:v>77.841094449306155</c:v>
                </c:pt>
                <c:pt idx="82">
                  <c:v>78.018744157114526</c:v>
                </c:pt>
                <c:pt idx="83">
                  <c:v>78.107092503870703</c:v>
                </c:pt>
                <c:pt idx="84">
                  <c:v>78.104171049376234</c:v>
                </c:pt>
                <c:pt idx="85">
                  <c:v>78.007783040842952</c:v>
                </c:pt>
                <c:pt idx="86">
                  <c:v>77.815490819467755</c:v>
                </c:pt>
                <c:pt idx="87">
                  <c:v>77.524261643731364</c:v>
                </c:pt>
                <c:pt idx="88">
                  <c:v>77.130994772548178</c:v>
                </c:pt>
                <c:pt idx="89">
                  <c:v>76.631417529687837</c:v>
                </c:pt>
                <c:pt idx="90">
                  <c:v>76.021019394220374</c:v>
                </c:pt>
                <c:pt idx="91">
                  <c:v>75.294349629355835</c:v>
                </c:pt>
                <c:pt idx="92">
                  <c:v>74.4453140787504</c:v>
                </c:pt>
                <c:pt idx="93">
                  <c:v>73.466576933993366</c:v>
                </c:pt>
                <c:pt idx="94">
                  <c:v>73.200840859944719</c:v>
                </c:pt>
                <c:pt idx="95">
                  <c:v>73.063861520252772</c:v>
                </c:pt>
                <c:pt idx="96">
                  <c:v>72.926263806722389</c:v>
                </c:pt>
                <c:pt idx="97">
                  <c:v>72.784859094852578</c:v>
                </c:pt>
                <c:pt idx="98">
                  <c:v>72.64285221066983</c:v>
                </c:pt>
                <c:pt idx="99">
                  <c:v>72.496915839412452</c:v>
                </c:pt>
                <c:pt idx="100">
                  <c:v>72.350393051766801</c:v>
                </c:pt>
                <c:pt idx="101">
                  <c:v>72.199929916526841</c:v>
                </c:pt>
                <c:pt idx="102">
                  <c:v>72.048896590458057</c:v>
                </c:pt>
                <c:pt idx="103">
                  <c:v>71.893687149340295</c:v>
                </c:pt>
                <c:pt idx="104">
                  <c:v>71.737922542042199</c:v>
                </c:pt>
                <c:pt idx="105">
                  <c:v>71.577971220482695</c:v>
                </c:pt>
                <c:pt idx="106">
                  <c:v>71.417480288064255</c:v>
                </c:pt>
                <c:pt idx="107">
                  <c:v>71.252793829709745</c:v>
                </c:pt>
                <c:pt idx="108">
                  <c:v>71.087583763702867</c:v>
                </c:pt>
                <c:pt idx="109">
                  <c:v>70.918055451884698</c:v>
                </c:pt>
                <c:pt idx="110">
                  <c:v>70.748019230075414</c:v>
                </c:pt>
                <c:pt idx="111">
                  <c:v>70.573425343142333</c:v>
                </c:pt>
                <c:pt idx="112">
                  <c:v>70.398338360790149</c:v>
                </c:pt>
                <c:pt idx="113">
                  <c:v>70.218685845600703</c:v>
                </c:pt>
                <c:pt idx="114">
                  <c:v>70.038555571151846</c:v>
                </c:pt>
                <c:pt idx="115">
                  <c:v>69.853736105182321</c:v>
                </c:pt>
                <c:pt idx="116">
                  <c:v>69.668454088652737</c:v>
                </c:pt>
                <c:pt idx="117">
                  <c:v>69.478359118752238</c:v>
                </c:pt>
                <c:pt idx="118">
                  <c:v>69.287816731557541</c:v>
                </c:pt>
                <c:pt idx="119">
                  <c:v>69.092456234263267</c:v>
                </c:pt>
                <c:pt idx="120">
                  <c:v>68.896663939343782</c:v>
                </c:pt>
                <c:pt idx="121">
                  <c:v>68.695930879551895</c:v>
                </c:pt>
                <c:pt idx="122">
                  <c:v>68.494781580680794</c:v>
                </c:pt>
                <c:pt idx="123">
                  <c:v>68.288449365608116</c:v>
                </c:pt>
                <c:pt idx="124">
                  <c:v>68.081716002834938</c:v>
                </c:pt>
                <c:pt idx="125">
                  <c:v>67.869796505774332</c:v>
                </c:pt>
                <c:pt idx="126">
                  <c:v>67.657491487182668</c:v>
                </c:pt>
                <c:pt idx="127">
                  <c:v>67.439878283258295</c:v>
                </c:pt>
                <c:pt idx="128">
                  <c:v>67.221895258710646</c:v>
                </c:pt>
                <c:pt idx="129">
                  <c:v>66.998482366046247</c:v>
                </c:pt>
                <c:pt idx="130">
                  <c:v>66.774715470370111</c:v>
                </c:pt>
                <c:pt idx="131">
                  <c:v>66.545397477323831</c:v>
                </c:pt>
                <c:pt idx="132">
                  <c:v>66.430610737953288</c:v>
                </c:pt>
                <c:pt idx="133">
                  <c:v>66.315741455960861</c:v>
                </c:pt>
                <c:pt idx="134">
                  <c:v>66.198058012898713</c:v>
                </c:pt>
                <c:pt idx="135">
                  <c:v>66.080292069111223</c:v>
                </c:pt>
                <c:pt idx="136">
                  <c:v>65.962445590273433</c:v>
                </c:pt>
                <c:pt idx="137">
                  <c:v>65.844520500375381</c:v>
                </c:pt>
                <c:pt idx="138">
                  <c:v>65.723838714781365</c:v>
                </c:pt>
                <c:pt idx="139">
                  <c:v>65.603078649946525</c:v>
                </c:pt>
                <c:pt idx="140">
                  <c:v>65.482242236063783</c:v>
                </c:pt>
                <c:pt idx="141">
                  <c:v>65.361331362614095</c:v>
                </c:pt>
                <c:pt idx="142">
                  <c:v>65.23747808083786</c:v>
                </c:pt>
                <c:pt idx="143">
                  <c:v>65.113550647650669</c:v>
                </c:pt>
                <c:pt idx="144">
                  <c:v>64.989550964871626</c:v>
                </c:pt>
                <c:pt idx="145">
                  <c:v>64.865480894398218</c:v>
                </c:pt>
                <c:pt idx="146">
                  <c:v>64.738465898873613</c:v>
                </c:pt>
                <c:pt idx="147">
                  <c:v>64.611381037184614</c:v>
                </c:pt>
                <c:pt idx="148">
                  <c:v>64.484228181005221</c:v>
                </c:pt>
                <c:pt idx="149">
                  <c:v>64.357009162944706</c:v>
                </c:pt>
                <c:pt idx="150">
                  <c:v>64.226782061944846</c:v>
                </c:pt>
                <c:pt idx="151">
                  <c:v>64.096489464639717</c:v>
                </c:pt>
                <c:pt idx="152">
                  <c:v>63.966133213730473</c:v>
                </c:pt>
                <c:pt idx="153">
                  <c:v>63.835715113694803</c:v>
                </c:pt>
                <c:pt idx="154">
                  <c:v>63.702164701874892</c:v>
                </c:pt>
                <c:pt idx="155">
                  <c:v>63.568553201990483</c:v>
                </c:pt>
                <c:pt idx="156">
                  <c:v>63.434882431398862</c:v>
                </c:pt>
                <c:pt idx="157">
                  <c:v>63.301154169991008</c:v>
                </c:pt>
                <c:pt idx="158">
                  <c:v>63.164231058594893</c:v>
                </c:pt>
                <c:pt idx="159">
                  <c:v>63.027251384126615</c:v>
                </c:pt>
                <c:pt idx="160">
                  <c:v>62.890216939480638</c:v>
                </c:pt>
                <c:pt idx="161">
                  <c:v>62.753129480836279</c:v>
                </c:pt>
                <c:pt idx="162">
                  <c:v>62.612846735630242</c:v>
                </c:pt>
                <c:pt idx="163">
                  <c:v>62.47251212234211</c:v>
                </c:pt>
                <c:pt idx="164">
                  <c:v>62.332127407987329</c:v>
                </c:pt>
                <c:pt idx="165">
                  <c:v>62.191694323671641</c:v>
                </c:pt>
                <c:pt idx="166">
                  <c:v>62.047881012913109</c:v>
                </c:pt>
                <c:pt idx="167">
                  <c:v>61.90402057017883</c:v>
                </c:pt>
                <c:pt idx="168">
                  <c:v>61.760114742179795</c:v>
                </c:pt>
                <c:pt idx="169">
                  <c:v>61.616165240387446</c:v>
                </c:pt>
                <c:pt idx="170">
                  <c:v>61.469083347613434</c:v>
                </c:pt>
                <c:pt idx="171">
                  <c:v>61.321959387989921</c:v>
                </c:pt>
                <c:pt idx="172">
                  <c:v>61.174795077883743</c:v>
                </c:pt>
                <c:pt idx="173">
                  <c:v>61.02759209937571</c:v>
                </c:pt>
                <c:pt idx="174">
                  <c:v>60.876639704249556</c:v>
                </c:pt>
                <c:pt idx="175">
                  <c:v>60.725650140486167</c:v>
                </c:pt>
                <c:pt idx="176">
                  <c:v>60.574625114496371</c:v>
                </c:pt>
                <c:pt idx="177">
                  <c:v>60.423566298832029</c:v>
                </c:pt>
                <c:pt idx="178">
                  <c:v>60.268759590228768</c:v>
                </c:pt>
                <c:pt idx="179">
                  <c:v>60.113920859572588</c:v>
                </c:pt>
                <c:pt idx="180">
                  <c:v>59.959051801279045</c:v>
                </c:pt>
                <c:pt idx="181">
                  <c:v>59.804154076405112</c:v>
                </c:pt>
                <c:pt idx="182">
                  <c:v>59.6461305535436</c:v>
                </c:pt>
                <c:pt idx="183">
                  <c:v>59.488080594762181</c:v>
                </c:pt>
                <c:pt idx="184">
                  <c:v>59.330005861340922</c:v>
                </c:pt>
                <c:pt idx="185">
                  <c:v>59.171907982264244</c:v>
                </c:pt>
                <c:pt idx="186">
                  <c:v>59.009447732937005</c:v>
                </c:pt>
                <c:pt idx="187">
                  <c:v>58.846966435301411</c:v>
                </c:pt>
                <c:pt idx="188">
                  <c:v>58.684465755440584</c:v>
                </c:pt>
                <c:pt idx="189">
                  <c:v>58.521947327238266</c:v>
                </c:pt>
                <c:pt idx="190">
                  <c:v>58.356310801747213</c:v>
                </c:pt>
                <c:pt idx="191">
                  <c:v>58.190659171780908</c:v>
                </c:pt>
                <c:pt idx="192">
                  <c:v>58.024994068916612</c:v>
                </c:pt>
                <c:pt idx="193">
                  <c:v>57.859317093648698</c:v>
                </c:pt>
                <c:pt idx="194">
                  <c:v>57.689285830502214</c:v>
                </c:pt>
                <c:pt idx="195">
                  <c:v>57.519245382620014</c:v>
                </c:pt>
                <c:pt idx="196">
                  <c:v>57.349197383084487</c:v>
                </c:pt>
                <c:pt idx="197">
                  <c:v>57.179143434107104</c:v>
                </c:pt>
                <c:pt idx="198">
                  <c:v>57.005361165623555</c:v>
                </c:pt>
                <c:pt idx="199">
                  <c:v>56.831575972176083</c:v>
                </c:pt>
                <c:pt idx="200">
                  <c:v>56.657789468980965</c:v>
                </c:pt>
                <c:pt idx="201">
                  <c:v>56.4840032410943</c:v>
                </c:pt>
                <c:pt idx="202">
                  <c:v>56.30649492421405</c:v>
                </c:pt>
                <c:pt idx="203">
                  <c:v>56.128990144677076</c:v>
                </c:pt>
                <c:pt idx="204">
                  <c:v>55.951490499356368</c:v>
                </c:pt>
                <c:pt idx="205">
                  <c:v>55.773997555691167</c:v>
                </c:pt>
                <c:pt idx="206">
                  <c:v>55.592168937429108</c:v>
                </c:pt>
                <c:pt idx="207">
                  <c:v>55.410350592037204</c:v>
                </c:pt>
                <c:pt idx="208">
                  <c:v>55.228544113854255</c:v>
                </c:pt>
                <c:pt idx="209">
                  <c:v>55.046751068130305</c:v>
                </c:pt>
                <c:pt idx="210">
                  <c:v>54.860009992181531</c:v>
                </c:pt>
                <c:pt idx="211">
                  <c:v>54.673286350107034</c:v>
                </c:pt>
                <c:pt idx="212">
                  <c:v>54.486581748042468</c:v>
                </c:pt>
                <c:pt idx="213">
                  <c:v>54.299897763044527</c:v>
                </c:pt>
                <c:pt idx="214">
                  <c:v>54.109515346040922</c:v>
                </c:pt>
                <c:pt idx="215">
                  <c:v>53.91915760094831</c:v>
                </c:pt>
                <c:pt idx="216">
                  <c:v>53.72882611243044</c:v>
                </c:pt>
                <c:pt idx="217">
                  <c:v>53.538522436885543</c:v>
                </c:pt>
                <c:pt idx="218">
                  <c:v>53.343909954468941</c:v>
                </c:pt>
                <c:pt idx="219">
                  <c:v>53.149329773966386</c:v>
                </c:pt>
                <c:pt idx="220">
                  <c:v>52.954783473669622</c:v>
                </c:pt>
                <c:pt idx="221">
                  <c:v>52.760272604055302</c:v>
                </c:pt>
                <c:pt idx="222">
                  <c:v>52.561463715384903</c:v>
                </c:pt>
                <c:pt idx="223">
                  <c:v>52.36269504572482</c:v>
                </c:pt>
                <c:pt idx="224">
                  <c:v>52.163968166049585</c:v>
                </c:pt>
                <c:pt idx="225">
                  <c:v>51.965284619987187</c:v>
                </c:pt>
                <c:pt idx="226">
                  <c:v>51.761696013160446</c:v>
                </c:pt>
                <c:pt idx="227">
                  <c:v>51.55815612517759</c:v>
                </c:pt>
                <c:pt idx="228">
                  <c:v>51.354666533090466</c:v>
                </c:pt>
                <c:pt idx="229">
                  <c:v>51.15122878675939</c:v>
                </c:pt>
                <c:pt idx="230">
                  <c:v>50.734627958493689</c:v>
                </c:pt>
                <c:pt idx="231">
                  <c:v>50.526415533496618</c:v>
                </c:pt>
                <c:pt idx="232">
                  <c:v>50.318263849480275</c:v>
                </c:pt>
                <c:pt idx="233">
                  <c:v>50.105235395481486</c:v>
                </c:pt>
                <c:pt idx="234">
                  <c:v>49.892273813611752</c:v>
                </c:pt>
                <c:pt idx="235">
                  <c:v>49.679380688070637</c:v>
                </c:pt>
                <c:pt idx="236">
                  <c:v>49.466557576273743</c:v>
                </c:pt>
                <c:pt idx="237">
                  <c:v>49.249490062148368</c:v>
                </c:pt>
                <c:pt idx="238">
                  <c:v>49.032498624793902</c:v>
                </c:pt>
                <c:pt idx="239">
                  <c:v>48.815584836381873</c:v>
                </c:pt>
                <c:pt idx="240">
                  <c:v>48.598750242832125</c:v>
                </c:pt>
                <c:pt idx="241">
                  <c:v>48.376455433426031</c:v>
                </c:pt>
                <c:pt idx="242">
                  <c:v>48.154247131965462</c:v>
                </c:pt>
                <c:pt idx="243">
                  <c:v>47.932126924126237</c:v>
                </c:pt>
                <c:pt idx="244">
                  <c:v>47.710096369276783</c:v>
                </c:pt>
                <c:pt idx="245">
                  <c:v>47.483239721497455</c:v>
                </c:pt>
                <c:pt idx="246">
                  <c:v>47.256479957486789</c:v>
                </c:pt>
                <c:pt idx="247">
                  <c:v>47.02981866143503</c:v>
                </c:pt>
                <c:pt idx="248">
                  <c:v>46.803257391478468</c:v>
                </c:pt>
                <c:pt idx="249">
                  <c:v>46.57127555421755</c:v>
                </c:pt>
                <c:pt idx="250">
                  <c:v>46.339401910731482</c:v>
                </c:pt>
                <c:pt idx="251">
                  <c:v>46.107638054901486</c:v>
                </c:pt>
                <c:pt idx="252">
                  <c:v>45.87598555453431</c:v>
                </c:pt>
                <c:pt idx="253">
                  <c:v>45.639546873980919</c:v>
                </c:pt>
                <c:pt idx="254">
                  <c:v>45.403227536032858</c:v>
                </c:pt>
                <c:pt idx="255">
                  <c:v>45.167029129849652</c:v>
                </c:pt>
                <c:pt idx="256">
                  <c:v>44.930953218774278</c:v>
                </c:pt>
                <c:pt idx="257">
                  <c:v>44.688890259877951</c:v>
                </c:pt>
                <c:pt idx="258">
                  <c:v>44.446959477746418</c:v>
                </c:pt>
                <c:pt idx="259">
                  <c:v>44.205162479505361</c:v>
                </c:pt>
                <c:pt idx="260">
                  <c:v>43.963500846192346</c:v>
                </c:pt>
                <c:pt idx="261">
                  <c:v>43.716488538637009</c:v>
                </c:pt>
                <c:pt idx="262">
                  <c:v>43.469621082865018</c:v>
                </c:pt>
                <c:pt idx="263">
                  <c:v>43.222900089241307</c:v>
                </c:pt>
                <c:pt idx="264">
                  <c:v>42.976327142041782</c:v>
                </c:pt>
                <c:pt idx="265">
                  <c:v>42.724429436765064</c:v>
                </c:pt>
                <c:pt idx="266">
                  <c:v>42.472689697610662</c:v>
                </c:pt>
                <c:pt idx="267">
                  <c:v>42.221109535950745</c:v>
                </c:pt>
                <c:pt idx="268">
                  <c:v>41.969690537062775</c:v>
                </c:pt>
                <c:pt idx="269">
                  <c:v>41.712367294078319</c:v>
                </c:pt>
                <c:pt idx="270">
                  <c:v>41.455216377767755</c:v>
                </c:pt>
                <c:pt idx="271">
                  <c:v>41.198239409549075</c:v>
                </c:pt>
                <c:pt idx="272">
                  <c:v>40.941437984484622</c:v>
                </c:pt>
                <c:pt idx="273">
                  <c:v>40.678763362092951</c:v>
                </c:pt>
                <c:pt idx="274">
                  <c:v>40.416275960380943</c:v>
                </c:pt>
                <c:pt idx="275">
                  <c:v>40.153977407673239</c:v>
                </c:pt>
                <c:pt idx="276">
                  <c:v>39.891869305674959</c:v>
                </c:pt>
                <c:pt idx="277">
                  <c:v>39.624523834091889</c:v>
                </c:pt>
                <c:pt idx="278">
                  <c:v>39.357380083783056</c:v>
                </c:pt>
                <c:pt idx="279">
                  <c:v>39.090439675788332</c:v>
                </c:pt>
                <c:pt idx="280">
                  <c:v>38.823704204495442</c:v>
                </c:pt>
                <c:pt idx="281">
                  <c:v>38.54995837912341</c:v>
                </c:pt>
                <c:pt idx="282">
                  <c:v>38.276432068792673</c:v>
                </c:pt>
                <c:pt idx="283">
                  <c:v>38.003126916597722</c:v>
                </c:pt>
                <c:pt idx="284">
                  <c:v>37.730044538216902</c:v>
                </c:pt>
                <c:pt idx="285">
                  <c:v>37.451791604429673</c:v>
                </c:pt>
                <c:pt idx="286">
                  <c:v>37.173773653503872</c:v>
                </c:pt>
                <c:pt idx="287">
                  <c:v>36.895992314130012</c:v>
                </c:pt>
                <c:pt idx="288">
                  <c:v>36.618449187526267</c:v>
                </c:pt>
                <c:pt idx="289">
                  <c:v>36.333977404659777</c:v>
                </c:pt>
                <c:pt idx="290">
                  <c:v>36.049759642486407</c:v>
                </c:pt>
                <c:pt idx="291">
                  <c:v>35.765797542859588</c:v>
                </c:pt>
                <c:pt idx="292">
                  <c:v>35.482092719375117</c:v>
                </c:pt>
                <c:pt idx="293">
                  <c:v>35.192099608730445</c:v>
                </c:pt>
                <c:pt idx="294">
                  <c:v>34.902379131238121</c:v>
                </c:pt>
                <c:pt idx="295">
                  <c:v>34.612932926388424</c:v>
                </c:pt>
                <c:pt idx="296">
                  <c:v>34.323762604855091</c:v>
                </c:pt>
                <c:pt idx="297">
                  <c:v>34.02834766488067</c:v>
                </c:pt>
                <c:pt idx="298">
                  <c:v>33.733224528343214</c:v>
                </c:pt>
                <c:pt idx="299">
                  <c:v>33.438394827270486</c:v>
                </c:pt>
                <c:pt idx="300">
                  <c:v>33.143860164296825</c:v>
                </c:pt>
                <c:pt idx="301">
                  <c:v>32.843126239098467</c:v>
                </c:pt>
                <c:pt idx="302">
                  <c:v>32.542703823343032</c:v>
                </c:pt>
                <c:pt idx="303">
                  <c:v>32.242594536205928</c:v>
                </c:pt>
                <c:pt idx="304">
                  <c:v>31.942799966874674</c:v>
                </c:pt>
                <c:pt idx="305">
                  <c:v>31.635677072751889</c:v>
                </c:pt>
                <c:pt idx="306">
                  <c:v>31.328888468505113</c:v>
                </c:pt>
                <c:pt idx="307">
                  <c:v>31.022435773128507</c:v>
                </c:pt>
                <c:pt idx="308">
                  <c:v>30.716320574545847</c:v>
                </c:pt>
                <c:pt idx="309">
                  <c:v>30.404104530315607</c:v>
                </c:pt>
                <c:pt idx="310">
                  <c:v>30.092243605827548</c:v>
                </c:pt>
                <c:pt idx="311">
                  <c:v>29.780739394397756</c:v>
                </c:pt>
                <c:pt idx="312">
                  <c:v>29.46959345764671</c:v>
                </c:pt>
                <c:pt idx="313">
                  <c:v>29.15123168402846</c:v>
                </c:pt>
                <c:pt idx="314">
                  <c:v>28.83324909259656</c:v>
                </c:pt>
                <c:pt idx="315">
                  <c:v>28.515647261748001</c:v>
                </c:pt>
                <c:pt idx="316">
                  <c:v>28.198427737067817</c:v>
                </c:pt>
                <c:pt idx="317">
                  <c:v>27.874053014869958</c:v>
                </c:pt>
                <c:pt idx="318">
                  <c:v>27.550082196057247</c:v>
                </c:pt>
                <c:pt idx="319">
                  <c:v>27.226516835558897</c:v>
                </c:pt>
                <c:pt idx="320">
                  <c:v>26.90335845436303</c:v>
                </c:pt>
                <c:pt idx="321">
                  <c:v>26.573107599859696</c:v>
                </c:pt>
                <c:pt idx="322">
                  <c:v>26.243285989484093</c:v>
                </c:pt>
                <c:pt idx="323">
                  <c:v>25.913895145681948</c:v>
                </c:pt>
                <c:pt idx="324">
                  <c:v>25.58493655581745</c:v>
                </c:pt>
                <c:pt idx="325">
                  <c:v>25.248950249739863</c:v>
                </c:pt>
                <c:pt idx="326">
                  <c:v>24.913419105456143</c:v>
                </c:pt>
                <c:pt idx="327">
                  <c:v>24.578344603455236</c:v>
                </c:pt>
                <c:pt idx="328">
                  <c:v>24.243728187998528</c:v>
                </c:pt>
                <c:pt idx="329">
                  <c:v>23.901579991116364</c:v>
                </c:pt>
                <c:pt idx="330">
                  <c:v>23.559915019129477</c:v>
                </c:pt>
                <c:pt idx="331">
                  <c:v>23.21873470774139</c:v>
                </c:pt>
                <c:pt idx="332">
                  <c:v>22.878040455033357</c:v>
                </c:pt>
                <c:pt idx="333">
                  <c:v>22.530455582131026</c:v>
                </c:pt>
                <c:pt idx="334">
                  <c:v>22.183380927210777</c:v>
                </c:pt>
                <c:pt idx="335">
                  <c:v>21.836817863063033</c:v>
                </c:pt>
                <c:pt idx="336">
                  <c:v>21.4907677237168</c:v>
                </c:pt>
                <c:pt idx="337">
                  <c:v>21.13676925427319</c:v>
                </c:pt>
                <c:pt idx="338">
                  <c:v>20.783311873473906</c:v>
                </c:pt>
                <c:pt idx="339">
                  <c:v>20.430396892761792</c:v>
                </c:pt>
                <c:pt idx="340">
                  <c:v>20.078025583185337</c:v>
                </c:pt>
                <c:pt idx="341">
                  <c:v>19.71778896008837</c:v>
                </c:pt>
                <c:pt idx="342">
                  <c:v>19.358124901936009</c:v>
                </c:pt>
                <c:pt idx="343">
                  <c:v>18.999034645152022</c:v>
                </c:pt>
                <c:pt idx="344">
                  <c:v>18.640519384151361</c:v>
                </c:pt>
                <c:pt idx="345">
                  <c:v>18.274781173513986</c:v>
                </c:pt>
                <c:pt idx="346">
                  <c:v>17.909645699445264</c:v>
                </c:pt>
                <c:pt idx="347">
                  <c:v>17.545114104006302</c:v>
                </c:pt>
                <c:pt idx="348">
                  <c:v>17.181187485928405</c:v>
                </c:pt>
                <c:pt idx="349">
                  <c:v>16.809013003074313</c:v>
                </c:pt>
                <c:pt idx="350">
                  <c:v>16.437475565824542</c:v>
                </c:pt>
                <c:pt idx="351">
                  <c:v>16.066576217714982</c:v>
                </c:pt>
                <c:pt idx="352">
                  <c:v>15.696315957146311</c:v>
                </c:pt>
                <c:pt idx="353">
                  <c:v>15.317903065127439</c:v>
                </c:pt>
                <c:pt idx="354">
                  <c:v>14.940162031348677</c:v>
                </c:pt>
                <c:pt idx="355">
                  <c:v>14.563093784255926</c:v>
                </c:pt>
                <c:pt idx="356">
                  <c:v>14.186699205407876</c:v>
                </c:pt>
                <c:pt idx="357">
                  <c:v>13.802795077919939</c:v>
                </c:pt>
                <c:pt idx="358">
                  <c:v>13.419596027956374</c:v>
                </c:pt>
                <c:pt idx="359">
                  <c:v>13.037102848544208</c:v>
                </c:pt>
                <c:pt idx="360">
                  <c:v>12.655316284422867</c:v>
                </c:pt>
                <c:pt idx="361">
                  <c:v>12.265030509469312</c:v>
                </c:pt>
                <c:pt idx="362">
                  <c:v>11.875487366851786</c:v>
                </c:pt>
                <c:pt idx="363">
                  <c:v>11.486687503609062</c:v>
                </c:pt>
                <c:pt idx="364">
                  <c:v>11.098631516630292</c:v>
                </c:pt>
                <c:pt idx="365">
                  <c:v>10.702721488845469</c:v>
                </c:pt>
                <c:pt idx="366">
                  <c:v>10.307589869897924</c:v>
                </c:pt>
                <c:pt idx="367">
                  <c:v>9.9132371395722885</c:v>
                </c:pt>
                <c:pt idx="368">
                  <c:v>9.5196637260324621</c:v>
                </c:pt>
                <c:pt idx="369">
                  <c:v>9.1172734087921015</c:v>
                </c:pt>
                <c:pt idx="370">
                  <c:v>8.7157017401396217</c:v>
                </c:pt>
                <c:pt idx="371">
                  <c:v>8.3149490168770797</c:v>
                </c:pt>
                <c:pt idx="372">
                  <c:v>7.9150154822820014</c:v>
                </c:pt>
                <c:pt idx="373">
                  <c:v>7.5069121783817536</c:v>
                </c:pt>
                <c:pt idx="374">
                  <c:v>7.0996657658162121</c:v>
                </c:pt>
                <c:pt idx="375">
                  <c:v>6.6932763363684558</c:v>
                </c:pt>
                <c:pt idx="376">
                  <c:v>6.2877439268382318</c:v>
                </c:pt>
                <c:pt idx="377">
                  <c:v>5.8731067936359977</c:v>
                </c:pt>
                <c:pt idx="378">
                  <c:v>5.4593693453915364</c:v>
                </c:pt>
                <c:pt idx="379">
                  <c:v>5.046531447699266</c:v>
                </c:pt>
                <c:pt idx="380">
                  <c:v>4.6345929093187692</c:v>
                </c:pt>
                <c:pt idx="381">
                  <c:v>4.214718210917539</c:v>
                </c:pt>
                <c:pt idx="382">
                  <c:v>3.7957814140874859</c:v>
                </c:pt>
                <c:pt idx="383">
                  <c:v>3.3777821372442531</c:v>
                </c:pt>
                <c:pt idx="384">
                  <c:v>2.9607199409028055</c:v>
                </c:pt>
                <c:pt idx="385">
                  <c:v>2.5342933150024578</c:v>
                </c:pt>
                <c:pt idx="386">
                  <c:v>2.1088496760041266</c:v>
                </c:pt>
                <c:pt idx="387">
                  <c:v>1.6843883680587339</c:v>
                </c:pt>
                <c:pt idx="388">
                  <c:v>1.2609086757282171</c:v>
                </c:pt>
                <c:pt idx="389">
                  <c:v>0.82871459957939919</c:v>
                </c:pt>
                <c:pt idx="390">
                  <c:v>0.39754606062814446</c:v>
                </c:pt>
                <c:pt idx="391">
                  <c:v>-3.259789379222866E-2</c:v>
                </c:pt>
                <c:pt idx="392">
                  <c:v>-0.4617182770649606</c:v>
                </c:pt>
                <c:pt idx="393">
                  <c:v>-0.89941892251579247</c:v>
                </c:pt>
                <c:pt idx="394">
                  <c:v>-1.3360518366374947</c:v>
                </c:pt>
                <c:pt idx="395">
                  <c:v>-1.7716182923163046</c:v>
                </c:pt>
                <c:pt idx="396">
                  <c:v>-2.2061196239821186</c:v>
                </c:pt>
                <c:pt idx="397">
                  <c:v>-2.6500667753169012</c:v>
                </c:pt>
                <c:pt idx="398">
                  <c:v>-3.0928994847076865</c:v>
                </c:pt>
                <c:pt idx="399">
                  <c:v>-3.5346193792850329</c:v>
                </c:pt>
                <c:pt idx="400">
                  <c:v>-3.9752281487831169</c:v>
                </c:pt>
                <c:pt idx="401">
                  <c:v>-4.4246357340508098</c:v>
                </c:pt>
                <c:pt idx="402">
                  <c:v>-4.8728852330105781</c:v>
                </c:pt>
                <c:pt idx="403">
                  <c:v>-5.3199786473618929</c:v>
                </c:pt>
                <c:pt idx="404">
                  <c:v>-5.7659180418118581</c:v>
                </c:pt>
                <c:pt idx="405">
                  <c:v>-6.2210015449888658</c:v>
                </c:pt>
                <c:pt idx="406">
                  <c:v>-6.6748814800981506</c:v>
                </c:pt>
                <c:pt idx="407">
                  <c:v>-7.1275602549546022</c:v>
                </c:pt>
                <c:pt idx="408">
                  <c:v>-7.5790403406626012</c:v>
                </c:pt>
                <c:pt idx="409">
                  <c:v>-8.0399961106142257</c:v>
                </c:pt>
                <c:pt idx="410">
                  <c:v>-8.4997010587611328</c:v>
                </c:pt>
                <c:pt idx="411">
                  <c:v>-8.9581580333108661</c:v>
                </c:pt>
                <c:pt idx="412">
                  <c:v>-9.4153699458668143</c:v>
                </c:pt>
                <c:pt idx="413">
                  <c:v>-9.881895491050642</c:v>
                </c:pt>
                <c:pt idx="414">
                  <c:v>-10.347123942156543</c:v>
                </c:pt>
                <c:pt idx="415">
                  <c:v>-10.811058614413952</c:v>
                </c:pt>
                <c:pt idx="416">
                  <c:v>-11.273702886074034</c:v>
                </c:pt>
                <c:pt idx="417">
                  <c:v>-11.745972756270845</c:v>
                </c:pt>
                <c:pt idx="418">
                  <c:v>-12.216897730441929</c:v>
                </c:pt>
                <c:pt idx="419">
                  <c:v>-12.686481627635459</c:v>
                </c:pt>
                <c:pt idx="420">
                  <c:v>-13.15472832929396</c:v>
                </c:pt>
                <c:pt idx="421">
                  <c:v>-13.631960827594384</c:v>
                </c:pt>
                <c:pt idx="422">
                  <c:v>-14.107804675982038</c:v>
                </c:pt>
                <c:pt idx="423">
                  <c:v>-14.582264210760968</c:v>
                </c:pt>
                <c:pt idx="424">
                  <c:v>-15.055343829212774</c:v>
                </c:pt>
                <c:pt idx="425">
                  <c:v>-15.538637580935529</c:v>
                </c:pt>
                <c:pt idx="426">
                  <c:v>-16.020492206682434</c:v>
                </c:pt>
                <c:pt idx="427">
                  <c:v>-16.500912624322723</c:v>
                </c:pt>
                <c:pt idx="428">
                  <c:v>-16.979903811426965</c:v>
                </c:pt>
                <c:pt idx="429">
                  <c:v>-17.468464238127183</c:v>
                </c:pt>
                <c:pt idx="430">
                  <c:v>-17.955539496619195</c:v>
                </c:pt>
                <c:pt idx="431">
                  <c:v>-18.441135098973007</c:v>
                </c:pt>
                <c:pt idx="432">
                  <c:v>-18.925256614833899</c:v>
                </c:pt>
                <c:pt idx="433">
                  <c:v>-19.418769483196314</c:v>
                </c:pt>
                <c:pt idx="434">
                  <c:v>-19.91075303317146</c:v>
                </c:pt>
                <c:pt idx="435">
                  <c:v>-20.401213394044618</c:v>
                </c:pt>
                <c:pt idx="436">
                  <c:v>-20.890156749939706</c:v>
                </c:pt>
                <c:pt idx="437">
                  <c:v>-21.389208433137554</c:v>
                </c:pt>
                <c:pt idx="438">
                  <c:v>-21.88668309772865</c:v>
                </c:pt>
                <c:pt idx="439">
                  <c:v>-22.382587547461213</c:v>
                </c:pt>
                <c:pt idx="440">
                  <c:v>-22.876928637936459</c:v>
                </c:pt>
                <c:pt idx="441">
                  <c:v>-23.381185702494832</c:v>
                </c:pt>
                <c:pt idx="442">
                  <c:v>-23.883820330842951</c:v>
                </c:pt>
                <c:pt idx="443">
                  <c:v>-24.384840025004138</c:v>
                </c:pt>
                <c:pt idx="444">
                  <c:v>-24.884252335187909</c:v>
                </c:pt>
                <c:pt idx="445">
                  <c:v>-25.393389943468463</c:v>
                </c:pt>
                <c:pt idx="446">
                  <c:v>-25.900862199983493</c:v>
                </c:pt>
                <c:pt idx="447">
                  <c:v>-26.406677325969127</c:v>
                </c:pt>
                <c:pt idx="448">
                  <c:v>-26.910843586516449</c:v>
                </c:pt>
                <c:pt idx="449">
                  <c:v>-27.425406376197429</c:v>
                </c:pt>
                <c:pt idx="450">
                  <c:v>-27.938257900979863</c:v>
                </c:pt>
                <c:pt idx="451">
                  <c:v>-28.44940716449716</c:v>
                </c:pt>
                <c:pt idx="452">
                  <c:v>-28.958863209514362</c:v>
                </c:pt>
                <c:pt idx="453">
                  <c:v>-29.478088401671044</c:v>
                </c:pt>
                <c:pt idx="454">
                  <c:v>-29.995562238989862</c:v>
                </c:pt>
                <c:pt idx="455">
                  <c:v>-30.511294504175737</c:v>
                </c:pt>
                <c:pt idx="456">
                  <c:v>-31.02529501353095</c:v>
                </c:pt>
                <c:pt idx="457">
                  <c:v>-31.549709963456735</c:v>
                </c:pt>
                <c:pt idx="458">
                  <c:v>-32.072330905804932</c:v>
                </c:pt>
                <c:pt idx="459">
                  <c:v>-32.593168467836676</c:v>
                </c:pt>
                <c:pt idx="460">
                  <c:v>-33.112233304433516</c:v>
                </c:pt>
                <c:pt idx="461">
                  <c:v>-33.641507115939476</c:v>
                </c:pt>
                <c:pt idx="462">
                  <c:v>-34.168947707637386</c:v>
                </c:pt>
                <c:pt idx="463">
                  <c:v>-34.694566568399864</c:v>
                </c:pt>
                <c:pt idx="464">
                  <c:v>-35.218375208078868</c:v>
                </c:pt>
                <c:pt idx="465">
                  <c:v>-35.752598284375637</c:v>
                </c:pt>
                <c:pt idx="466">
                  <c:v>-36.284949743027994</c:v>
                </c:pt>
                <c:pt idx="467">
                  <c:v>-36.81544197651985</c:v>
                </c:pt>
                <c:pt idx="468">
                  <c:v>-37.344087391112822</c:v>
                </c:pt>
                <c:pt idx="469">
                  <c:v>-37.882941391569318</c:v>
                </c:pt>
                <c:pt idx="470">
                  <c:v>-38.419889311648404</c:v>
                </c:pt>
                <c:pt idx="471">
                  <c:v>-38.954944460539338</c:v>
                </c:pt>
                <c:pt idx="472">
                  <c:v>-39.488120153431453</c:v>
                </c:pt>
                <c:pt idx="473">
                  <c:v>-40.032094994324069</c:v>
                </c:pt>
                <c:pt idx="474">
                  <c:v>-40.574127803402945</c:v>
                </c:pt>
                <c:pt idx="475">
                  <c:v>-41.114232878753967</c:v>
                </c:pt>
                <c:pt idx="476">
                  <c:v>-41.652424516174392</c:v>
                </c:pt>
                <c:pt idx="477">
                  <c:v>-42.201202737750833</c:v>
                </c:pt>
                <c:pt idx="478">
                  <c:v>-42.748007497887016</c:v>
                </c:pt>
                <c:pt idx="479">
                  <c:v>-43.292854095640479</c:v>
                </c:pt>
                <c:pt idx="480">
                  <c:v>-43.835757818992533</c:v>
                </c:pt>
                <c:pt idx="481">
                  <c:v>-44.38904153537851</c:v>
                </c:pt>
                <c:pt idx="482">
                  <c:v>-44.940325110340467</c:v>
                </c:pt>
                <c:pt idx="483">
                  <c:v>-45.489624852764592</c:v>
                </c:pt>
                <c:pt idx="484">
                  <c:v>-46.036957051283594</c:v>
                </c:pt>
                <c:pt idx="485">
                  <c:v>-46.594848292344921</c:v>
                </c:pt>
                <c:pt idx="486">
                  <c:v>-47.150714930911676</c:v>
                </c:pt>
                <c:pt idx="487">
                  <c:v>-47.70457432710063</c:v>
                </c:pt>
                <c:pt idx="488">
                  <c:v>-48.256443811254115</c:v>
                </c:pt>
                <c:pt idx="489">
                  <c:v>-48.819418460367842</c:v>
                </c:pt>
                <c:pt idx="490">
                  <c:v>-49.380343907586393</c:v>
                </c:pt>
                <c:pt idx="491">
                  <c:v>-49.939238643941678</c:v>
                </c:pt>
                <c:pt idx="492">
                  <c:v>-50.496121120778895</c:v>
                </c:pt>
                <c:pt idx="493">
                  <c:v>-51.063899122930366</c:v>
                </c:pt>
                <c:pt idx="494">
                  <c:v>-51.629609076184323</c:v>
                </c:pt>
                <c:pt idx="495">
                  <c:v>-52.193270611527794</c:v>
                </c:pt>
                <c:pt idx="496">
                  <c:v>-52.754903310219589</c:v>
                </c:pt>
                <c:pt idx="497">
                  <c:v>-53.327593415088302</c:v>
                </c:pt>
                <c:pt idx="498">
                  <c:v>-53.898199987507184</c:v>
                </c:pt>
                <c:pt idx="499">
                  <c:v>-54.466743845108994</c:v>
                </c:pt>
                <c:pt idx="500">
                  <c:v>-55.033245745648202</c:v>
                </c:pt>
                <c:pt idx="501">
                  <c:v>-55.610963068847553</c:v>
                </c:pt>
                <c:pt idx="502">
                  <c:v>-56.186585171516356</c:v>
                </c:pt>
                <c:pt idx="503">
                  <c:v>-56.760134107233654</c:v>
                </c:pt>
                <c:pt idx="504">
                  <c:v>-57.331631859552516</c:v>
                </c:pt>
                <c:pt idx="505">
                  <c:v>-57.914147617558228</c:v>
                </c:pt>
                <c:pt idx="506">
                  <c:v>-58.49456325924001</c:v>
                </c:pt>
                <c:pt idx="507">
                  <c:v>-59.07290208429211</c:v>
                </c:pt>
                <c:pt idx="508">
                  <c:v>-59.649187312569211</c:v>
                </c:pt>
                <c:pt idx="509">
                  <c:v>-60.236651614216868</c:v>
                </c:pt>
                <c:pt idx="510">
                  <c:v>-60.822015487881856</c:v>
                </c:pt>
                <c:pt idx="511">
                  <c:v>-61.405303533292141</c:v>
                </c:pt>
                <c:pt idx="512">
                  <c:v>-61.986540260857652</c:v>
                </c:pt>
                <c:pt idx="513">
                  <c:v>-62.579459178843962</c:v>
                </c:pt>
                <c:pt idx="514">
                  <c:v>-63.170280043673273</c:v>
                </c:pt>
                <c:pt idx="515">
                  <c:v>-63.75902885891972</c:v>
                </c:pt>
                <c:pt idx="516">
                  <c:v>-64.345731529643444</c:v>
                </c:pt>
                <c:pt idx="517">
                  <c:v>-64.943932279307177</c:v>
                </c:pt>
                <c:pt idx="518">
                  <c:v>-65.540045553928366</c:v>
                </c:pt>
                <c:pt idx="519">
                  <c:v>-66.134098781625994</c:v>
                </c:pt>
                <c:pt idx="520">
                  <c:v>-66.726119283732658</c:v>
                </c:pt>
                <c:pt idx="521">
                  <c:v>-67.32980090327834</c:v>
                </c:pt>
                <c:pt idx="522">
                  <c:v>-67.931411903072274</c:v>
                </c:pt>
                <c:pt idx="523">
                  <c:v>-68.530981207449571</c:v>
                </c:pt>
                <c:pt idx="524">
                  <c:v>-69.128537626625928</c:v>
                </c:pt>
                <c:pt idx="525">
                  <c:v>-69.737921700826206</c:v>
                </c:pt>
                <c:pt idx="526">
                  <c:v>-70.345258952261901</c:v>
                </c:pt>
                <c:pt idx="527">
                  <c:v>-70.950579881622986</c:v>
                </c:pt>
                <c:pt idx="528">
                  <c:v>-71.553914869340332</c:v>
                </c:pt>
                <c:pt idx="529">
                  <c:v>-72.169249168090772</c:v>
                </c:pt>
                <c:pt idx="530">
                  <c:v>-72.782568111146134</c:v>
                </c:pt>
                <c:pt idx="531">
                  <c:v>-73.393903865774377</c:v>
                </c:pt>
                <c:pt idx="532">
                  <c:v>-74.00328847432246</c:v>
                </c:pt>
                <c:pt idx="533">
                  <c:v>-74.62517130341206</c:v>
                </c:pt>
                <c:pt idx="534">
                  <c:v>-75.245076692811637</c:v>
                </c:pt>
                <c:pt idx="535">
                  <c:v>-75.863038631010141</c:v>
                </c:pt>
                <c:pt idx="536">
                  <c:v>-76.479090978446493</c:v>
                </c:pt>
                <c:pt idx="537">
                  <c:v>-77.107190106854546</c:v>
                </c:pt>
                <c:pt idx="538">
                  <c:v>-77.733363186006784</c:v>
                </c:pt>
                <c:pt idx="539">
                  <c:v>-78.357646036571452</c:v>
                </c:pt>
                <c:pt idx="540">
                  <c:v>-78.980074350703035</c:v>
                </c:pt>
                <c:pt idx="541">
                  <c:v>-79.615378677699425</c:v>
                </c:pt>
                <c:pt idx="542">
                  <c:v>-80.248814768409147</c:v>
                </c:pt>
                <c:pt idx="543">
                  <c:v>-80.880420516938159</c:v>
                </c:pt>
                <c:pt idx="544">
                  <c:v>-81.510233690413486</c:v>
                </c:pt>
                <c:pt idx="545">
                  <c:v>-82.152819852936375</c:v>
                </c:pt>
                <c:pt idx="546">
                  <c:v>-82.793609030789185</c:v>
                </c:pt>
                <c:pt idx="547">
                  <c:v>-83.432641288873242</c:v>
                </c:pt>
                <c:pt idx="548">
                  <c:v>-84.069956569821386</c:v>
                </c:pt>
                <c:pt idx="549">
                  <c:v>-84.720272013363513</c:v>
                </c:pt>
                <c:pt idx="550">
                  <c:v>-85.368874379983424</c:v>
                </c:pt>
                <c:pt idx="551">
                  <c:v>-86.015806079097786</c:v>
                </c:pt>
                <c:pt idx="552">
                  <c:v>-86.661109405891636</c:v>
                </c:pt>
                <c:pt idx="553">
                  <c:v>-87.319961195946121</c:v>
                </c:pt>
                <c:pt idx="554">
                  <c:v>-87.977196364239376</c:v>
                </c:pt>
                <c:pt idx="555">
                  <c:v>-88.632859925499019</c:v>
                </c:pt>
                <c:pt idx="556">
                  <c:v>-89.286996791811305</c:v>
                </c:pt>
                <c:pt idx="557">
                  <c:v>-90.621388980213908</c:v>
                </c:pt>
                <c:pt idx="558">
                  <c:v>-91.949955378680386</c:v>
                </c:pt>
                <c:pt idx="559">
                  <c:v>-93.303344736923805</c:v>
                </c:pt>
                <c:pt idx="560">
                  <c:v>-94.651445079160908</c:v>
                </c:pt>
                <c:pt idx="561">
                  <c:v>-96.026475723714896</c:v>
                </c:pt>
                <c:pt idx="562">
                  <c:v>-97.396824282496254</c:v>
                </c:pt>
                <c:pt idx="563">
                  <c:v>-98.792197252973097</c:v>
                </c:pt>
                <c:pt idx="564">
                  <c:v>-100.18360075200189</c:v>
                </c:pt>
                <c:pt idx="565">
                  <c:v>-101.60644478582486</c:v>
                </c:pt>
                <c:pt idx="566">
                  <c:v>-103.02610084564475</c:v>
                </c:pt>
                <c:pt idx="567">
                  <c:v>-104.47788134019055</c:v>
                </c:pt>
                <c:pt idx="568">
                  <c:v>-105.92737555048558</c:v>
                </c:pt>
                <c:pt idx="569">
                  <c:v>-107.40406219864622</c:v>
                </c:pt>
                <c:pt idx="570">
                  <c:v>-108.87950204170704</c:v>
                </c:pt>
                <c:pt idx="571">
                  <c:v>-110.39474860317335</c:v>
                </c:pt>
                <c:pt idx="572">
                  <c:v>-111.90990891720855</c:v>
                </c:pt>
                <c:pt idx="573">
                  <c:v>-113.45454439744373</c:v>
                </c:pt>
                <c:pt idx="574">
                  <c:v>-115.00040645682566</c:v>
                </c:pt>
                <c:pt idx="575">
                  <c:v>-116.58877274733493</c:v>
                </c:pt>
                <c:pt idx="576">
                  <c:v>-118.17985951480966</c:v>
                </c:pt>
                <c:pt idx="577">
                  <c:v>-124.96279145742255</c:v>
                </c:pt>
                <c:pt idx="578">
                  <c:v>-131.8632472389063</c:v>
                </c:pt>
                <c:pt idx="579">
                  <c:v>-147.66473971795165</c:v>
                </c:pt>
                <c:pt idx="580">
                  <c:v>-166.56823684530895</c:v>
                </c:pt>
                <c:pt idx="581">
                  <c:v>-189.4005293756536</c:v>
                </c:pt>
                <c:pt idx="582">
                  <c:v>-35.685889814297099</c:v>
                </c:pt>
                <c:pt idx="583">
                  <c:v>-62.568962212649865</c:v>
                </c:pt>
                <c:pt idx="584">
                  <c:v>-87.03752283901207</c:v>
                </c:pt>
                <c:pt idx="585">
                  <c:v>-108.53994408495589</c:v>
                </c:pt>
                <c:pt idx="586">
                  <c:v>-128.60175465872265</c:v>
                </c:pt>
                <c:pt idx="587">
                  <c:v>-149.96555044635659</c:v>
                </c:pt>
                <c:pt idx="588">
                  <c:v>-177.29652776974945</c:v>
                </c:pt>
                <c:pt idx="589">
                  <c:v>-217.31633796956328</c:v>
                </c:pt>
                <c:pt idx="590">
                  <c:v>-84.042814582778419</c:v>
                </c:pt>
                <c:pt idx="591">
                  <c:v>-120.51663847484343</c:v>
                </c:pt>
                <c:pt idx="592">
                  <c:v>-151.44942030437574</c:v>
                </c:pt>
                <c:pt idx="593">
                  <c:v>-192.88084358021905</c:v>
                </c:pt>
                <c:pt idx="594">
                  <c:v>-78.535201127302344</c:v>
                </c:pt>
                <c:pt idx="595">
                  <c:v>-129.73858495848384</c:v>
                </c:pt>
                <c:pt idx="596">
                  <c:v>-175.27845048663062</c:v>
                </c:pt>
                <c:pt idx="597">
                  <c:v>-76.123790275811871</c:v>
                </c:pt>
                <c:pt idx="598">
                  <c:v>-139.81404330126577</c:v>
                </c:pt>
                <c:pt idx="599">
                  <c:v>-212.97289523120071</c:v>
                </c:pt>
                <c:pt idx="600">
                  <c:v>-126.20869815882321</c:v>
                </c:pt>
              </c:numCache>
            </c:numRef>
          </c:yVal>
          <c:smooth val="0"/>
          <c:extLst>
            <c:ext xmlns:c16="http://schemas.microsoft.com/office/drawing/2014/chart" uri="{C3380CC4-5D6E-409C-BE32-E72D297353CC}">
              <c16:uniqueId val="{00000001-52E8-40C0-BDC9-E7AD10D908CE}"/>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32787415920151"/>
          <c:y val="3.9892589721079133E-2"/>
          <c:w val="0.83742553316686907"/>
          <c:h val="0.83734080468357386"/>
        </c:manualLayout>
      </c:layout>
      <c:lineChart>
        <c:grouping val="standard"/>
        <c:varyColors val="0"/>
        <c:ser>
          <c:idx val="1"/>
          <c:order val="0"/>
          <c:tx>
            <c:v>VIN = 18V</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258.2196010398435</c:v>
                </c:pt>
                <c:pt idx="27">
                  <c:v>239.45884010623024</c:v>
                </c:pt>
                <c:pt idx="28">
                  <c:v>231.20562676783018</c:v>
                </c:pt>
                <c:pt idx="29">
                  <c:v>223.4958235677768</c:v>
                </c:pt>
                <c:pt idx="30">
                  <c:v>216.27747184701227</c:v>
                </c:pt>
                <c:pt idx="31">
                  <c:v>209.50503244165651</c:v>
                </c:pt>
                <c:pt idx="32">
                  <c:v>203.13842397705807</c:v>
                </c:pt>
                <c:pt idx="33">
                  <c:v>197.14222902040734</c:v>
                </c:pt>
                <c:pt idx="34">
                  <c:v>191.48503487665079</c:v>
                </c:pt>
                <c:pt idx="35">
                  <c:v>186.13888311739035</c:v>
                </c:pt>
                <c:pt idx="36">
                  <c:v>181.07880747838567</c:v>
                </c:pt>
                <c:pt idx="37">
                  <c:v>176.28244400654938</c:v>
                </c:pt>
                <c:pt idx="38">
                  <c:v>171.72970061227034</c:v>
                </c:pt>
                <c:pt idx="39">
                  <c:v>167.40247572783704</c:v>
                </c:pt>
                <c:pt idx="40">
                  <c:v>163.28441776409446</c:v>
                </c:pt>
                <c:pt idx="41">
                  <c:v>159.36071862589358</c:v>
                </c:pt>
                <c:pt idx="42">
                  <c:v>155.61793578988585</c:v>
                </c:pt>
                <c:pt idx="43">
                  <c:v>152.04383843910938</c:v>
                </c:pt>
                <c:pt idx="44">
                  <c:v>148.62727394317261</c:v>
                </c:pt>
                <c:pt idx="45">
                  <c:v>145.35805161303773</c:v>
                </c:pt>
                <c:pt idx="46">
                  <c:v>142.22684117798744</c:v>
                </c:pt>
                <c:pt idx="47">
                  <c:v>139.22508385445613</c:v>
                </c:pt>
                <c:pt idx="48">
                  <c:v>136.34491422157009</c:v>
                </c:pt>
                <c:pt idx="49">
                  <c:v>133.57909140173697</c:v>
                </c:pt>
                <c:pt idx="50">
                  <c:v>130.9209382784548</c:v>
                </c:pt>
                <c:pt idx="51">
                  <c:v>128.36428767716728</c:v>
                </c:pt>
                <c:pt idx="52">
                  <c:v>125.90343459598554</c:v>
                </c:pt>
                <c:pt idx="53">
                  <c:v>123.53309370745285</c:v>
                </c:pt>
                <c:pt idx="54">
                  <c:v>121.24836146504019</c:v>
                </c:pt>
                <c:pt idx="55">
                  <c:v>119.04468224261647</c:v>
                </c:pt>
                <c:pt idx="56">
                  <c:v>116.91781801485722</c:v>
                </c:pt>
                <c:pt idx="57">
                  <c:v>114.86382115398571</c:v>
                </c:pt>
                <c:pt idx="58">
                  <c:v>112.87900997545144</c:v>
                </c:pt>
                <c:pt idx="59">
                  <c:v>110.9599467138311</c:v>
                </c:pt>
                <c:pt idx="60">
                  <c:v>109.10341765177979</c:v>
                </c:pt>
                <c:pt idx="61">
                  <c:v>107.30641516041035</c:v>
                </c:pt>
                <c:pt idx="62">
                  <c:v>105.56612143997826</c:v>
                </c:pt>
                <c:pt idx="63">
                  <c:v>103.87989377598535</c:v>
                </c:pt>
                <c:pt idx="64">
                  <c:v>102.24525114844153</c:v>
                </c:pt>
                <c:pt idx="65">
                  <c:v>100.65986205157958</c:v>
                </c:pt>
                <c:pt idx="66">
                  <c:v>99.12153339826223</c:v>
                </c:pt>
                <c:pt idx="67">
                  <c:v>97.628200398035304</c:v>
                </c:pt>
                <c:pt idx="68">
                  <c:v>96.177917310587006</c:v>
                </c:pt>
                <c:pt idx="69">
                  <c:v>94.768848987537723</c:v>
                </c:pt>
                <c:pt idx="70">
                  <c:v>93.399263125248538</c:v>
                </c:pt>
                <c:pt idx="71">
                  <c:v>92.067523159879329</c:v>
                </c:pt>
                <c:pt idx="72">
                  <c:v>90.772081743426014</c:v>
                </c:pt>
                <c:pt idx="73">
                  <c:v>89.511474746057246</c:v>
                </c:pt>
                <c:pt idx="74">
                  <c:v>88.28431573587396</c:v>
                </c:pt>
                <c:pt idx="75">
                  <c:v>87.089290892334418</c:v>
                </c:pt>
                <c:pt idx="76">
                  <c:v>85.92515431411266</c:v>
                </c:pt>
                <c:pt idx="77">
                  <c:v>84.790723686161272</c:v>
                </c:pt>
                <c:pt idx="78">
                  <c:v>83.684876274301445</c:v>
                </c:pt>
                <c:pt idx="79">
                  <c:v>82.606545218815256</c:v>
                </c:pt>
                <c:pt idx="80">
                  <c:v>81.554716101319855</c:v>
                </c:pt>
                <c:pt idx="81">
                  <c:v>80.52842376170085</c:v>
                </c:pt>
                <c:pt idx="82">
                  <c:v>79.526749344110556</c:v>
                </c:pt>
                <c:pt idx="83">
                  <c:v>78.548817553027348</c:v>
                </c:pt>
                <c:pt idx="84">
                  <c:v>77.593794102153325</c:v>
                </c:pt>
                <c:pt idx="85">
                  <c:v>76.660883340521622</c:v>
                </c:pt>
                <c:pt idx="86">
                  <c:v>75.749326041617437</c:v>
                </c:pt>
                <c:pt idx="87">
                  <c:v>74.858397342599773</c:v>
                </c:pt>
                <c:pt idx="88">
                  <c:v>73.987404821868935</c:v>
                </c:pt>
                <c:pt idx="89">
                  <c:v>73.135686704263279</c:v>
                </c:pt>
                <c:pt idx="90">
                  <c:v>72.302610184108417</c:v>
                </c:pt>
                <c:pt idx="91">
                  <c:v>71.487569857188475</c:v>
                </c:pt>
                <c:pt idx="92">
                  <c:v>70.68998625347335</c:v>
                </c:pt>
                <c:pt idx="93">
                  <c:v>69.90930446312926</c:v>
                </c:pt>
                <c:pt idx="94">
                  <c:v>69.14499284896587</c:v>
                </c:pt>
                <c:pt idx="95">
                  <c:v>68.396541839041888</c:v>
                </c:pt>
                <c:pt idx="96">
                  <c:v>67.663462793667009</c:v>
                </c:pt>
                <c:pt idx="97">
                  <c:v>66.94528694150614</c:v>
                </c:pt>
                <c:pt idx="98">
                  <c:v>66.241564379918671</c:v>
                </c:pt>
                <c:pt idx="99">
                  <c:v>65.551863135052812</c:v>
                </c:pt>
                <c:pt idx="100">
                  <c:v>64.875768277569478</c:v>
                </c:pt>
              </c:numCache>
            </c:numRef>
          </c:val>
          <c:smooth val="0"/>
          <c:extLst>
            <c:ext xmlns:c16="http://schemas.microsoft.com/office/drawing/2014/chart" uri="{C3380CC4-5D6E-409C-BE32-E72D297353CC}">
              <c16:uniqueId val="{00000000-D9E7-4F5E-A983-604758A0F86A}"/>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344.36873969740566</c:v>
                </c:pt>
                <c:pt idx="53">
                  <c:v>338.29607401990762</c:v>
                </c:pt>
                <c:pt idx="54">
                  <c:v>332.42626905639486</c:v>
                </c:pt>
                <c:pt idx="55">
                  <c:v>326.75570900335708</c:v>
                </c:pt>
                <c:pt idx="56">
                  <c:v>321.28109289534132</c:v>
                </c:pt>
                <c:pt idx="57">
                  <c:v>315.98102551345164</c:v>
                </c:pt>
                <c:pt idx="58">
                  <c:v>310.85543918067174</c:v>
                </c:pt>
                <c:pt idx="59">
                  <c:v>305.89293459924642</c:v>
                </c:pt>
                <c:pt idx="60">
                  <c:v>301.08585036616677</c:v>
                </c:pt>
                <c:pt idx="61">
                  <c:v>296.4269975783609</c:v>
                </c:pt>
                <c:pt idx="62">
                  <c:v>291.90962396031046</c:v>
                </c:pt>
                <c:pt idx="63">
                  <c:v>287.52738121091988</c:v>
                </c:pt>
                <c:pt idx="64">
                  <c:v>283.27429523755416</c:v>
                </c:pt>
                <c:pt idx="65">
                  <c:v>279.14473898374041</c:v>
                </c:pt>
                <c:pt idx="66">
                  <c:v>275.13340759064539</c:v>
                </c:pt>
                <c:pt idx="67">
                  <c:v>271.23529566177211</c:v>
                </c:pt>
                <c:pt idx="68">
                  <c:v>267.44567642600094</c:v>
                </c:pt>
                <c:pt idx="69">
                  <c:v>263.76008261658166</c:v>
                </c:pt>
                <c:pt idx="70">
                  <c:v>260.17428890345082</c:v>
                </c:pt>
                <c:pt idx="71">
                  <c:v>256.68429573361931</c:v>
                </c:pt>
                <c:pt idx="72">
                  <c:v>253.28631444970108</c:v>
                </c:pt>
                <c:pt idx="73">
                  <c:v>249.97675357017135</c:v>
                </c:pt>
                <c:pt idx="74">
                  <c:v>246.75220612690856</c:v>
                </c:pt>
                <c:pt idx="75">
                  <c:v>243.6094379661686</c:v>
                </c:pt>
                <c:pt idx="76">
                  <c:v>240.54537692854052</c:v>
                </c:pt>
                <c:pt idx="77">
                  <c:v>237.5571028317911</c:v>
                </c:pt>
                <c:pt idx="78">
                  <c:v>234.6418381879383</c:v>
                </c:pt>
                <c:pt idx="79">
                  <c:v>231.79693959252691</c:v>
                </c:pt>
                <c:pt idx="80">
                  <c:v>229.01988972999368</c:v>
                </c:pt>
                <c:pt idx="81">
                  <c:v>226.30828994430081</c:v>
                </c:pt>
                <c:pt idx="82">
                  <c:v>223.65985332875286</c:v>
                </c:pt>
                <c:pt idx="83">
                  <c:v>221.07239829315313</c:v>
                </c:pt>
                <c:pt idx="84">
                  <c:v>218.54384257027098</c:v>
                </c:pt>
                <c:pt idx="85">
                  <c:v>216.07219762701106</c:v>
                </c:pt>
                <c:pt idx="86">
                  <c:v>213.65556344875688</c:v>
                </c:pt>
                <c:pt idx="87">
                  <c:v>211.29212366814147</c:v>
                </c:pt>
                <c:pt idx="88">
                  <c:v>208.98014101199502</c:v>
                </c:pt>
                <c:pt idx="89">
                  <c:v>206.71795304248641</c:v>
                </c:pt>
                <c:pt idx="90">
                  <c:v>204.50396817051643</c:v>
                </c:pt>
                <c:pt idx="91">
                  <c:v>202.33666192127237</c:v>
                </c:pt>
                <c:pt idx="92">
                  <c:v>200.21457343353055</c:v>
                </c:pt>
                <c:pt idx="93">
                  <c:v>198.1363021758128</c:v>
                </c:pt>
                <c:pt idx="94">
                  <c:v>196.10050486388536</c:v>
                </c:pt>
                <c:pt idx="95">
                  <c:v>194.10589256534425</c:v>
                </c:pt>
                <c:pt idx="96">
                  <c:v>192.15122797817111</c:v>
                </c:pt>
                <c:pt idx="97">
                  <c:v>190.2353228711859</c:v>
                </c:pt>
                <c:pt idx="98">
                  <c:v>188.35703567527082</c:v>
                </c:pt>
                <c:pt idx="99">
                  <c:v>186.51526921510452</c:v>
                </c:pt>
                <c:pt idx="100">
                  <c:v>184.70896857193537</c:v>
                </c:pt>
              </c:numCache>
            </c:numRef>
          </c:val>
          <c:smooth val="0"/>
          <c:extLst>
            <c:ext xmlns:c16="http://schemas.microsoft.com/office/drawing/2014/chart" uri="{C3380CC4-5D6E-409C-BE32-E72D297353CC}">
              <c16:uniqueId val="{00000001-D9E7-4F5E-A983-604758A0F86A}"/>
            </c:ext>
          </c:extLst>
        </c:ser>
        <c:ser>
          <c:idx val="2"/>
          <c:order val="2"/>
          <c:tx>
            <c:v>VIN = 36V</c:v>
          </c:tx>
          <c:spPr>
            <a:ln>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347.20377857196343</c:v>
                </c:pt>
                <c:pt idx="70">
                  <c:v>342.58031381416623</c:v>
                </c:pt>
                <c:pt idx="71">
                  <c:v>338.07527893240172</c:v>
                </c:pt>
                <c:pt idx="72">
                  <c:v>333.68666179247055</c:v>
                </c:pt>
                <c:pt idx="73">
                  <c:v>329.41032393380175</c:v>
                </c:pt>
                <c:pt idx="74">
                  <c:v>325.24481410662332</c:v>
                </c:pt>
                <c:pt idx="75">
                  <c:v>321.17851239443689</c:v>
                </c:pt>
                <c:pt idx="76">
                  <c:v>317.21409301181461</c:v>
                </c:pt>
                <c:pt idx="77">
                  <c:v>313.34673965567941</c:v>
                </c:pt>
                <c:pt idx="78">
                  <c:v>309.57239923992148</c:v>
                </c:pt>
                <c:pt idx="79">
                  <c:v>305.88775605725073</c:v>
                </c:pt>
                <c:pt idx="80">
                  <c:v>302.28965014662407</c:v>
                </c:pt>
                <c:pt idx="81">
                  <c:v>298.7750682546951</c:v>
                </c:pt>
                <c:pt idx="82">
                  <c:v>295.3411354194921</c:v>
                </c:pt>
                <c:pt idx="83">
                  <c:v>291.98510712691638</c:v>
                </c:pt>
                <c:pt idx="84">
                  <c:v>288.70436199508663</c:v>
                </c:pt>
                <c:pt idx="85">
                  <c:v>285.49639494554714</c:v>
                </c:pt>
                <c:pt idx="86">
                  <c:v>282.35881082395071</c:v>
                </c:pt>
                <c:pt idx="87">
                  <c:v>279.28931843607796</c:v>
                </c:pt>
                <c:pt idx="88">
                  <c:v>276.28572496798228</c:v>
                </c:pt>
                <c:pt idx="89">
                  <c:v>273.34593076170285</c:v>
                </c:pt>
                <c:pt idx="90">
                  <c:v>270.46792442038964</c:v>
                </c:pt>
                <c:pt idx="91">
                  <c:v>267.64977821885981</c:v>
                </c:pt>
                <c:pt idx="92">
                  <c:v>264.88964379757925</c:v>
                </c:pt>
                <c:pt idx="93">
                  <c:v>262.18574811985729</c:v>
                </c:pt>
                <c:pt idx="94">
                  <c:v>259.53638967367283</c:v>
                </c:pt>
                <c:pt idx="95">
                  <c:v>256.93993490103384</c:v>
                </c:pt>
                <c:pt idx="96">
                  <c:v>254.39481483912729</c:v>
                </c:pt>
                <c:pt idx="97">
                  <c:v>251.89952195874326</c:v>
                </c:pt>
                <c:pt idx="98">
                  <c:v>249.45260718659082</c:v>
                </c:pt>
                <c:pt idx="99">
                  <c:v>247.05267709914352</c:v>
                </c:pt>
                <c:pt idx="100">
                  <c:v>244.69839127659893</c:v>
                </c:pt>
              </c:numCache>
            </c:numRef>
          </c:val>
          <c:smooth val="0"/>
          <c:extLst>
            <c:ext xmlns:c16="http://schemas.microsoft.com/office/drawing/2014/chart" uri="{C3380CC4-5D6E-409C-BE32-E72D297353CC}">
              <c16:uniqueId val="{00000002-D9E7-4F5E-A983-604758A0F86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9E7-4F5E-A983-604758A0F86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9E7-4F5E-A983-604758A0F86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9E7-4F5E-A983-604758A0F86A}"/>
            </c:ext>
          </c:extLst>
        </c:ser>
        <c:dLbls>
          <c:showLegendKey val="0"/>
          <c:showVal val="0"/>
          <c:showCatName val="0"/>
          <c:showSerName val="0"/>
          <c:showPercent val="0"/>
          <c:showBubbleSize val="0"/>
        </c:dLbls>
        <c:smooth val="0"/>
        <c:axId val="449432576"/>
        <c:axId val="449455616"/>
      </c:lineChart>
      <c:catAx>
        <c:axId val="44943257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2543478293742543"/>
              <c:y val="0.94106692471810893"/>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55616"/>
        <c:crosses val="autoZero"/>
        <c:auto val="1"/>
        <c:lblAlgn val="ctr"/>
        <c:lblOffset val="100"/>
        <c:tickLblSkip val="20"/>
        <c:tickMarkSkip val="10"/>
        <c:noMultiLvlLbl val="0"/>
      </c:catAx>
      <c:valAx>
        <c:axId val="44945561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306292577653E-3"/>
              <c:y val="0.25732715553237367"/>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32576"/>
        <c:crossesAt val="0"/>
        <c:crossBetween val="between"/>
        <c:majorUnit val="50"/>
        <c:minorUnit val="25"/>
      </c:valAx>
      <c:spPr>
        <a:solidFill>
          <a:srgbClr val="FFFFFF"/>
        </a:solidFill>
        <a:ln w="25400">
          <a:noFill/>
        </a:ln>
      </c:spPr>
    </c:plotArea>
    <c:legend>
      <c:legendPos val="l"/>
      <c:legendEntry>
        <c:idx val="3"/>
        <c:delete val="1"/>
      </c:legendEntry>
      <c:legendEntry>
        <c:idx val="4"/>
        <c:delete val="1"/>
      </c:legendEntry>
      <c:legendEntry>
        <c:idx val="5"/>
        <c:delete val="1"/>
      </c:legendEntry>
      <c:layout>
        <c:manualLayout>
          <c:xMode val="edge"/>
          <c:yMode val="edge"/>
          <c:x val="0.71162527422808852"/>
          <c:y val="0.6653383790463161"/>
          <c:w val="0.22738313152556208"/>
          <c:h val="0.19125690419070665"/>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37724383206249"/>
          <c:y val="5.3841379336306346E-2"/>
          <c:w val="0.83437623886771184"/>
          <c:h val="0.82339183462065391"/>
        </c:manualLayout>
      </c:layout>
      <c:lineChart>
        <c:grouping val="standard"/>
        <c:varyColors val="0"/>
        <c:ser>
          <c:idx val="1"/>
          <c:order val="0"/>
          <c:tx>
            <c:v>VIN = 18V</c:v>
          </c:tx>
          <c:spPr>
            <a:ln>
              <a:solidFill>
                <a:srgbClr val="00B050"/>
              </a:solidFill>
              <a:prstDash val="sysDash"/>
            </a:ln>
          </c:spPr>
          <c:marker>
            <c:symbol val="none"/>
          </c:marker>
          <c:val>
            <c:numRef>
              <c:f>'Calculations - Single'!$AJ$110:$AJ$210</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2.2946285985730062</c:v>
                </c:pt>
                <c:pt idx="28">
                  <c:v>2.3801777147046077</c:v>
                </c:pt>
                <c:pt idx="29">
                  <c:v>2.465767474552178</c:v>
                </c:pt>
                <c:pt idx="30">
                  <c:v>2.5513979183785538</c:v>
                </c:pt>
                <c:pt idx="31">
                  <c:v>2.6370690865244324</c:v>
                </c:pt>
                <c:pt idx="32">
                  <c:v>2.7227810194045623</c:v>
                </c:pt>
                <c:pt idx="33">
                  <c:v>2.8085337575046654</c:v>
                </c:pt>
                <c:pt idx="34">
                  <c:v>2.8943273413789323</c:v>
                </c:pt>
                <c:pt idx="35">
                  <c:v>2.9801618116479798</c:v>
                </c:pt>
                <c:pt idx="36">
                  <c:v>3.0660372089971717</c:v>
                </c:pt>
                <c:pt idx="37">
                  <c:v>3.1519535741752303</c:v>
                </c:pt>
                <c:pt idx="38">
                  <c:v>3.2379109479930972</c:v>
                </c:pt>
                <c:pt idx="39">
                  <c:v>3.3239093713229804</c:v>
                </c:pt>
                <c:pt idx="40">
                  <c:v>3.4099488850975637</c:v>
                </c:pt>
                <c:pt idx="41">
                  <c:v>3.4960295303093529</c:v>
                </c:pt>
                <c:pt idx="42">
                  <c:v>3.582151348010123</c:v>
                </c:pt>
                <c:pt idx="43">
                  <c:v>3.6683143793104662</c:v>
                </c:pt>
                <c:pt idx="44">
                  <c:v>3.7545186653794089</c:v>
                </c:pt>
                <c:pt idx="45">
                  <c:v>3.8407642474440973</c:v>
                </c:pt>
                <c:pt idx="46">
                  <c:v>3.9270511667895369</c:v>
                </c:pt>
                <c:pt idx="47">
                  <c:v>4.0133794647583754</c:v>
                </c:pt>
                <c:pt idx="48">
                  <c:v>4.0997491827507311</c:v>
                </c:pt>
                <c:pt idx="49">
                  <c:v>4.1861603622240473</c:v>
                </c:pt>
                <c:pt idx="50">
                  <c:v>4.2726130446929815</c:v>
                </c:pt>
                <c:pt idx="51">
                  <c:v>4.3591072717293127</c:v>
                </c:pt>
                <c:pt idx="52">
                  <c:v>4.4456430849618833</c:v>
                </c:pt>
                <c:pt idx="53">
                  <c:v>4.5322205260765411</c:v>
                </c:pt>
                <c:pt idx="54">
                  <c:v>4.6188396368161131</c:v>
                </c:pt>
                <c:pt idx="55">
                  <c:v>4.7055004589803895</c:v>
                </c:pt>
                <c:pt idx="56">
                  <c:v>4.792203034426108</c:v>
                </c:pt>
                <c:pt idx="57">
                  <c:v>4.8789474050669686</c:v>
                </c:pt>
                <c:pt idx="58">
                  <c:v>4.9657336128736489</c:v>
                </c:pt>
                <c:pt idx="59">
                  <c:v>5.0525616998738192</c:v>
                </c:pt>
                <c:pt idx="60">
                  <c:v>5.139431708152177</c:v>
                </c:pt>
                <c:pt idx="61">
                  <c:v>5.2263436798504888</c:v>
                </c:pt>
                <c:pt idx="62">
                  <c:v>5.313297657167622</c:v>
                </c:pt>
                <c:pt idx="63">
                  <c:v>5.4002936823596031</c:v>
                </c:pt>
                <c:pt idx="64">
                  <c:v>5.4873317977396674</c:v>
                </c:pt>
                <c:pt idx="65">
                  <c:v>5.5744120456783142</c:v>
                </c:pt>
                <c:pt idx="66">
                  <c:v>5.6615344686033628</c:v>
                </c:pt>
                <c:pt idx="67">
                  <c:v>5.7486991090000341</c:v>
                </c:pt>
                <c:pt idx="68">
                  <c:v>5.8359060094109925</c:v>
                </c:pt>
                <c:pt idx="69">
                  <c:v>5.9231552124364333</c:v>
                </c:pt>
                <c:pt idx="70">
                  <c:v>6.010446760734153</c:v>
                </c:pt>
                <c:pt idx="71">
                  <c:v>6.0977806970196173</c:v>
                </c:pt>
                <c:pt idx="72">
                  <c:v>6.1851570640660407</c:v>
                </c:pt>
                <c:pt idx="73">
                  <c:v>6.2725759047044694</c:v>
                </c:pt>
                <c:pt idx="74">
                  <c:v>6.3600372618238472</c:v>
                </c:pt>
                <c:pt idx="75">
                  <c:v>6.4475411783711172</c:v>
                </c:pt>
                <c:pt idx="76">
                  <c:v>6.5350876973512877</c:v>
                </c:pt>
                <c:pt idx="77">
                  <c:v>6.6226768618275296</c:v>
                </c:pt>
                <c:pt idx="78">
                  <c:v>6.7103087149212461</c:v>
                </c:pt>
                <c:pt idx="79">
                  <c:v>6.7979832998121807</c:v>
                </c:pt>
                <c:pt idx="80">
                  <c:v>6.885700659738486</c:v>
                </c:pt>
                <c:pt idx="81">
                  <c:v>6.973460837996817</c:v>
                </c:pt>
                <c:pt idx="82">
                  <c:v>7.0612638779424319</c:v>
                </c:pt>
                <c:pt idx="83">
                  <c:v>7.1491098229892671</c:v>
                </c:pt>
                <c:pt idx="84">
                  <c:v>7.2369987166100413</c:v>
                </c:pt>
                <c:pt idx="85">
                  <c:v>7.3249306023363348</c:v>
                </c:pt>
                <c:pt idx="86">
                  <c:v>7.4129055237586909</c:v>
                </c:pt>
                <c:pt idx="87">
                  <c:v>7.5009235245267165</c:v>
                </c:pt>
                <c:pt idx="88">
                  <c:v>7.5889846483491548</c:v>
                </c:pt>
                <c:pt idx="89">
                  <c:v>7.6770889389939967</c:v>
                </c:pt>
                <c:pt idx="90">
                  <c:v>7.7652364402885752</c:v>
                </c:pt>
                <c:pt idx="91">
                  <c:v>7.853427196119652</c:v>
                </c:pt>
                <c:pt idx="92">
                  <c:v>7.9416612504335227</c:v>
                </c:pt>
                <c:pt idx="93">
                  <c:v>8.0299386472361078</c:v>
                </c:pt>
                <c:pt idx="94">
                  <c:v>8.1182594305930511</c:v>
                </c:pt>
                <c:pt idx="95">
                  <c:v>8.2066236446298237</c:v>
                </c:pt>
                <c:pt idx="96">
                  <c:v>8.2950313335318082</c:v>
                </c:pt>
                <c:pt idx="97">
                  <c:v>8.3834825415444101</c:v>
                </c:pt>
                <c:pt idx="98">
                  <c:v>8.4719773129731504</c:v>
                </c:pt>
                <c:pt idx="99">
                  <c:v>8.5605156921837704</c:v>
                </c:pt>
                <c:pt idx="100">
                  <c:v>8.6490977236023205</c:v>
                </c:pt>
              </c:numCache>
            </c:numRef>
          </c:val>
          <c:smooth val="0"/>
          <c:extLst>
            <c:ext xmlns:c16="http://schemas.microsoft.com/office/drawing/2014/chart" uri="{C3380CC4-5D6E-409C-BE32-E72D297353CC}">
              <c16:uniqueId val="{00000000-B744-4C18-B26C-E1D454627484}"/>
            </c:ext>
          </c:extLst>
        </c:ser>
        <c:ser>
          <c:idx val="0"/>
          <c:order val="1"/>
          <c:tx>
            <c:v>VIN = 24V</c:v>
          </c:tx>
          <c:spPr>
            <a:ln w="28575">
              <a:solidFill>
                <a:srgbClr val="0000FF"/>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Single'!$AJ$5:$AJ$105</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2.2222222222222223</c:v>
                </c:pt>
                <c:pt idx="35">
                  <c:v>2.2222222222222223</c:v>
                </c:pt>
                <c:pt idx="36">
                  <c:v>2.2460127318307075</c:v>
                </c:pt>
                <c:pt idx="37">
                  <c:v>2.2770079179466083</c:v>
                </c:pt>
                <c:pt idx="38">
                  <c:v>2.3075873842328822</c:v>
                </c:pt>
                <c:pt idx="39">
                  <c:v>2.3377674369786448</c:v>
                </c:pt>
                <c:pt idx="40">
                  <c:v>2.3675633435509362</c:v>
                </c:pt>
                <c:pt idx="41">
                  <c:v>2.3969894227686175</c:v>
                </c:pt>
                <c:pt idx="42">
                  <c:v>2.4260591254130639</c:v>
                </c:pt>
                <c:pt idx="43">
                  <c:v>2.4547851061602679</c:v>
                </c:pt>
                <c:pt idx="44">
                  <c:v>2.4831792880257684</c:v>
                </c:pt>
                <c:pt idx="45">
                  <c:v>2.5112529202534257</c:v>
                </c:pt>
                <c:pt idx="46">
                  <c:v>2.5390166304452704</c:v>
                </c:pt>
                <c:pt idx="47">
                  <c:v>2.5664804716175382</c:v>
                </c:pt>
                <c:pt idx="48">
                  <c:v>2.5936539647737278</c:v>
                </c:pt>
                <c:pt idx="49">
                  <c:v>2.6205461375058841</c:v>
                </c:pt>
                <c:pt idx="50">
                  <c:v>2.6471655590678078</c:v>
                </c:pt>
                <c:pt idx="51">
                  <c:v>2.6735203723064909</c:v>
                </c:pt>
                <c:pt idx="52">
                  <c:v>2.6996183227890382</c:v>
                </c:pt>
                <c:pt idx="53">
                  <c:v>2.725477558037114</c:v>
                </c:pt>
                <c:pt idx="54">
                  <c:v>2.7511081626991341</c:v>
                </c:pt>
                <c:pt idx="55">
                  <c:v>2.7780632105492806</c:v>
                </c:pt>
                <c:pt idx="56">
                  <c:v>2.8286666786829628</c:v>
                </c:pt>
                <c:pt idx="57">
                  <c:v>2.8793098958000329</c:v>
                </c:pt>
                <c:pt idx="58">
                  <c:v>2.9299364123645448</c:v>
                </c:pt>
                <c:pt idx="59">
                  <c:v>2.9805668212086398</c:v>
                </c:pt>
                <c:pt idx="60">
                  <c:v>3.0312011231905709</c:v>
                </c:pt>
                <c:pt idx="61">
                  <c:v>3.0818393191691085</c:v>
                </c:pt>
                <c:pt idx="62">
                  <c:v>3.1324814100035199</c:v>
                </c:pt>
                <c:pt idx="63">
                  <c:v>3.1831273965535525</c:v>
                </c:pt>
                <c:pt idx="64">
                  <c:v>3.2337772796794075</c:v>
                </c:pt>
                <c:pt idx="65">
                  <c:v>3.2844310602417357</c:v>
                </c:pt>
                <c:pt idx="66">
                  <c:v>3.3350887391016122</c:v>
                </c:pt>
                <c:pt idx="67">
                  <c:v>3.3857503171205265</c:v>
                </c:pt>
                <c:pt idx="68">
                  <c:v>3.4364157951603773</c:v>
                </c:pt>
                <c:pt idx="69">
                  <c:v>3.4870851740834508</c:v>
                </c:pt>
                <c:pt idx="70">
                  <c:v>3.5377584547524199</c:v>
                </c:pt>
                <c:pt idx="71">
                  <c:v>3.5884356380303273</c:v>
                </c:pt>
                <c:pt idx="72">
                  <c:v>3.639116724780584</c:v>
                </c:pt>
                <c:pt idx="73">
                  <c:v>3.6898017158669569</c:v>
                </c:pt>
                <c:pt idx="74">
                  <c:v>3.7404906121535646</c:v>
                </c:pt>
                <c:pt idx="75">
                  <c:v>3.7911834145048697</c:v>
                </c:pt>
                <c:pt idx="76">
                  <c:v>3.8418801237856752</c:v>
                </c:pt>
                <c:pt idx="77">
                  <c:v>3.8925807408611148</c:v>
                </c:pt>
                <c:pt idx="78">
                  <c:v>3.9432852665966514</c:v>
                </c:pt>
                <c:pt idx="79">
                  <c:v>3.9939937018580709</c:v>
                </c:pt>
                <c:pt idx="80">
                  <c:v>4.0447060475114798</c:v>
                </c:pt>
                <c:pt idx="81">
                  <c:v>4.0954223044233009</c:v>
                </c:pt>
                <c:pt idx="82">
                  <c:v>4.1461424734602659</c:v>
                </c:pt>
                <c:pt idx="83">
                  <c:v>4.196866555489418</c:v>
                </c:pt>
                <c:pt idx="84">
                  <c:v>4.2475945513781079</c:v>
                </c:pt>
                <c:pt idx="85">
                  <c:v>4.2983264619939812</c:v>
                </c:pt>
                <c:pt idx="86">
                  <c:v>4.349062288204995</c:v>
                </c:pt>
                <c:pt idx="87">
                  <c:v>4.3998020308793935</c:v>
                </c:pt>
                <c:pt idx="88">
                  <c:v>4.4505456908857228</c:v>
                </c:pt>
                <c:pt idx="89">
                  <c:v>4.5012932690928205</c:v>
                </c:pt>
                <c:pt idx="90">
                  <c:v>4.552044766369816</c:v>
                </c:pt>
                <c:pt idx="91">
                  <c:v>4.6028001835861296</c:v>
                </c:pt>
                <c:pt idx="92">
                  <c:v>4.6535595216114656</c:v>
                </c:pt>
                <c:pt idx="93">
                  <c:v>4.7043227813158177</c:v>
                </c:pt>
                <c:pt idx="94">
                  <c:v>4.755089963569465</c:v>
                </c:pt>
                <c:pt idx="95">
                  <c:v>4.8058610692429697</c:v>
                </c:pt>
                <c:pt idx="96">
                  <c:v>4.856636099207174</c:v>
                </c:pt>
                <c:pt idx="97">
                  <c:v>4.907415054333204</c:v>
                </c:pt>
                <c:pt idx="98">
                  <c:v>4.9581979354924677</c:v>
                </c:pt>
                <c:pt idx="99">
                  <c:v>5.0089847435566446</c:v>
                </c:pt>
                <c:pt idx="100">
                  <c:v>5.0597754793977003</c:v>
                </c:pt>
              </c:numCache>
            </c:numRef>
          </c:val>
          <c:smooth val="1"/>
          <c:extLst>
            <c:ext xmlns:c16="http://schemas.microsoft.com/office/drawing/2014/chart" uri="{C3380CC4-5D6E-409C-BE32-E72D297353CC}">
              <c16:uniqueId val="{00000001-B744-4C18-B26C-E1D454627484}"/>
            </c:ext>
          </c:extLst>
        </c:ser>
        <c:ser>
          <c:idx val="2"/>
          <c:order val="2"/>
          <c:tx>
            <c:v>VIN = 36V</c:v>
          </c:tx>
          <c:spPr>
            <a:ln>
              <a:solidFill>
                <a:srgbClr val="FF0000"/>
              </a:solidFill>
              <a:prstDash val="solid"/>
            </a:ln>
          </c:spPr>
          <c:marker>
            <c:symbol val="none"/>
          </c:marker>
          <c:val>
            <c:numRef>
              <c:f>'Calculations - Single'!$AJ$216:$AJ$316</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2.2222222222222223</c:v>
                </c:pt>
                <c:pt idx="35">
                  <c:v>2.2222222222222223</c:v>
                </c:pt>
                <c:pt idx="36">
                  <c:v>2.2460127318307075</c:v>
                </c:pt>
                <c:pt idx="37">
                  <c:v>2.2770079179466083</c:v>
                </c:pt>
                <c:pt idx="38">
                  <c:v>2.3075873842328822</c:v>
                </c:pt>
                <c:pt idx="39">
                  <c:v>2.3377674369786448</c:v>
                </c:pt>
                <c:pt idx="40">
                  <c:v>2.3675633435509362</c:v>
                </c:pt>
                <c:pt idx="41">
                  <c:v>2.3969894227686175</c:v>
                </c:pt>
                <c:pt idx="42">
                  <c:v>2.4260591254130639</c:v>
                </c:pt>
                <c:pt idx="43">
                  <c:v>2.4547851061602679</c:v>
                </c:pt>
                <c:pt idx="44">
                  <c:v>2.4831792880257684</c:v>
                </c:pt>
                <c:pt idx="45">
                  <c:v>2.5112529202534257</c:v>
                </c:pt>
                <c:pt idx="46">
                  <c:v>2.5390166304452704</c:v>
                </c:pt>
                <c:pt idx="47">
                  <c:v>2.5664804716175382</c:v>
                </c:pt>
                <c:pt idx="48">
                  <c:v>2.5936539647737278</c:v>
                </c:pt>
                <c:pt idx="49">
                  <c:v>2.6205461375058841</c:v>
                </c:pt>
                <c:pt idx="50">
                  <c:v>2.6471655590678078</c:v>
                </c:pt>
                <c:pt idx="51">
                  <c:v>2.6735203723064909</c:v>
                </c:pt>
                <c:pt idx="52">
                  <c:v>2.6996183227890382</c:v>
                </c:pt>
                <c:pt idx="53">
                  <c:v>2.7254667854204007</c:v>
                </c:pt>
                <c:pt idx="54">
                  <c:v>2.7510727888111424</c:v>
                </c:pt>
                <c:pt idx="55">
                  <c:v>2.7764430376234315</c:v>
                </c:pt>
                <c:pt idx="56">
                  <c:v>2.8015839330965653</c:v>
                </c:pt>
                <c:pt idx="57">
                  <c:v>2.8265015919300813</c:v>
                </c:pt>
                <c:pt idx="58">
                  <c:v>2.8512018636822836</c:v>
                </c:pt>
                <c:pt idx="59">
                  <c:v>2.8756903468243924</c:v>
                </c:pt>
                <c:pt idx="60">
                  <c:v>2.8999724035751395</c:v>
                </c:pt>
                <c:pt idx="61">
                  <c:v>2.9240531736271755</c:v>
                </c:pt>
                <c:pt idx="62">
                  <c:v>2.9479375868648048</c:v>
                </c:pt>
                <c:pt idx="63">
                  <c:v>2.9716303751622051</c:v>
                </c:pt>
                <c:pt idx="64">
                  <c:v>2.9951360833420919</c:v>
                </c:pt>
                <c:pt idx="65">
                  <c:v>3.0184590793667225</c:v>
                </c:pt>
                <c:pt idx="66">
                  <c:v>3.0416035638259489</c:v>
                </c:pt>
                <c:pt idx="67">
                  <c:v>3.0645735787807022</c:v>
                </c:pt>
                <c:pt idx="68">
                  <c:v>3.087373016014618</c:v>
                </c:pt>
                <c:pt idx="69">
                  <c:v>3.1100056247415231</c:v>
                </c:pt>
                <c:pt idx="70">
                  <c:v>3.1324750188119963</c:v>
                </c:pt>
                <c:pt idx="71">
                  <c:v>3.1548033184583897</c:v>
                </c:pt>
                <c:pt idx="72">
                  <c:v>3.1769779026278639</c:v>
                </c:pt>
                <c:pt idx="73">
                  <c:v>3.1989999381094005</c:v>
                </c:pt>
                <c:pt idx="74">
                  <c:v>3.2306690534422371</c:v>
                </c:pt>
                <c:pt idx="75">
                  <c:v>3.2744114990115216</c:v>
                </c:pt>
                <c:pt idx="76">
                  <c:v>3.318138913920504</c:v>
                </c:pt>
                <c:pt idx="77">
                  <c:v>3.3618621078444235</c:v>
                </c:pt>
                <c:pt idx="78">
                  <c:v>3.4055869566254202</c:v>
                </c:pt>
                <c:pt idx="79">
                  <c:v>3.4493134604738964</c:v>
                </c:pt>
                <c:pt idx="80">
                  <c:v>3.4930416196003269</c:v>
                </c:pt>
                <c:pt idx="81">
                  <c:v>3.536771434215261</c:v>
                </c:pt>
                <c:pt idx="82">
                  <c:v>3.580502904529316</c:v>
                </c:pt>
                <c:pt idx="83">
                  <c:v>3.6242360307531749</c:v>
                </c:pt>
                <c:pt idx="84">
                  <c:v>3.6679708130975914</c:v>
                </c:pt>
                <c:pt idx="85">
                  <c:v>3.711707251773376</c:v>
                </c:pt>
                <c:pt idx="86">
                  <c:v>3.7554453469914058</c:v>
                </c:pt>
                <c:pt idx="87">
                  <c:v>3.799185098962615</c:v>
                </c:pt>
                <c:pt idx="88">
                  <c:v>3.8429265078980017</c:v>
                </c:pt>
                <c:pt idx="89">
                  <c:v>3.886669574008617</c:v>
                </c:pt>
                <c:pt idx="90">
                  <c:v>3.9304142975055716</c:v>
                </c:pt>
                <c:pt idx="91">
                  <c:v>3.9741606786000294</c:v>
                </c:pt>
                <c:pt idx="92">
                  <c:v>4.0179087175032118</c:v>
                </c:pt>
                <c:pt idx="93">
                  <c:v>4.0616584144263888</c:v>
                </c:pt>
                <c:pt idx="94">
                  <c:v>4.1054097695808851</c:v>
                </c:pt>
                <c:pt idx="95">
                  <c:v>4.1491627831780811</c:v>
                </c:pt>
                <c:pt idx="96">
                  <c:v>4.1929174554293995</c:v>
                </c:pt>
                <c:pt idx="97">
                  <c:v>4.2366737865463202</c:v>
                </c:pt>
                <c:pt idx="98">
                  <c:v>4.280431776740369</c:v>
                </c:pt>
                <c:pt idx="99">
                  <c:v>4.3241914262231207</c:v>
                </c:pt>
                <c:pt idx="100">
                  <c:v>4.3679527352061971</c:v>
                </c:pt>
              </c:numCache>
            </c:numRef>
          </c:val>
          <c:smooth val="1"/>
          <c:extLst>
            <c:ext xmlns:c16="http://schemas.microsoft.com/office/drawing/2014/chart" uri="{C3380CC4-5D6E-409C-BE32-E72D297353CC}">
              <c16:uniqueId val="{00000002-B744-4C18-B26C-E1D454627484}"/>
            </c:ext>
          </c:extLst>
        </c:ser>
        <c:dLbls>
          <c:showLegendKey val="0"/>
          <c:showVal val="0"/>
          <c:showCatName val="0"/>
          <c:showSerName val="0"/>
          <c:showPercent val="0"/>
          <c:showBubbleSize val="0"/>
        </c:dLbls>
        <c:smooth val="0"/>
        <c:axId val="449487616"/>
        <c:axId val="449489536"/>
      </c:lineChart>
      <c:catAx>
        <c:axId val="449487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3000893709351745"/>
              <c:y val="0.94367744859545111"/>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9536"/>
        <c:crosses val="autoZero"/>
        <c:auto val="1"/>
        <c:lblAlgn val="ctr"/>
        <c:lblOffset val="100"/>
        <c:tickLblSkip val="20"/>
        <c:tickMarkSkip val="10"/>
        <c:noMultiLvlLbl val="0"/>
      </c:catAx>
      <c:valAx>
        <c:axId val="449489536"/>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 Primary Current (A)</a:t>
                </a:r>
              </a:p>
            </c:rich>
          </c:tx>
          <c:layout>
            <c:manualLayout>
              <c:xMode val="edge"/>
              <c:yMode val="edge"/>
              <c:x val="1.5889339002412163E-2"/>
              <c:y val="0.26208107274429915"/>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200" b="1" i="0" u="none" strike="noStrike" baseline="0">
                <a:solidFill>
                  <a:schemeClr val="tx1"/>
                </a:solidFill>
                <a:latin typeface="Arial" pitchFamily="34" charset="0"/>
                <a:ea typeface="Calibri"/>
                <a:cs typeface="Arial" pitchFamily="34" charset="0"/>
              </a:defRPr>
            </a:pPr>
            <a:endParaRPr lang="en-US"/>
          </a:p>
        </c:txPr>
        <c:crossAx val="449487616"/>
        <c:crossesAt val="0"/>
        <c:crossBetween val="between"/>
        <c:majorUnit val="0.2"/>
        <c:minorUnit val="0.1"/>
      </c:valAx>
      <c:spPr>
        <a:solidFill>
          <a:srgbClr val="FFFFFF"/>
        </a:solidFill>
        <a:ln w="25400">
          <a:noFill/>
        </a:ln>
      </c:spPr>
    </c:plotArea>
    <c:legend>
      <c:legendPos val="tr"/>
      <c:layout>
        <c:manualLayout>
          <c:xMode val="edge"/>
          <c:yMode val="edge"/>
          <c:x val="0.73589084038576502"/>
          <c:y val="0.66865627288406981"/>
          <c:w val="0.19764373891878054"/>
          <c:h val="0.17556628247792619"/>
        </c:manualLayout>
      </c:layout>
      <c:overlay val="0"/>
      <c:spPr>
        <a:solidFill>
          <a:srgbClr val="FFFFFF"/>
        </a:solidFill>
        <a:ln w="25400">
          <a:noFill/>
        </a:ln>
      </c:spPr>
      <c:txPr>
        <a:bodyPr/>
        <a:lstStyle/>
        <a:p>
          <a:pPr>
            <a:defRPr lang="ja-JP" sz="1400" b="1"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10.012467970437628</c:v>
                </c:pt>
                <c:pt idx="2">
                  <c:v>30.037403911312889</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237.11687394801285</c:v>
                </c:pt>
                <c:pt idx="27">
                  <c:v>228.71217510399072</c:v>
                </c:pt>
                <c:pt idx="28">
                  <c:v>220.79090629077334</c:v>
                </c:pt>
                <c:pt idx="29">
                  <c:v>213.39224068989424</c:v>
                </c:pt>
                <c:pt idx="30">
                  <c:v>206.46611091387595</c:v>
                </c:pt>
                <c:pt idx="31">
                  <c:v>199.96864718879655</c:v>
                </c:pt>
                <c:pt idx="32">
                  <c:v>193.86124717214813</c:v>
                </c:pt>
                <c:pt idx="33">
                  <c:v>188.10980841848749</c:v>
                </c:pt>
                <c:pt idx="34">
                  <c:v>182.68409125254396</c:v>
                </c:pt>
                <c:pt idx="35">
                  <c:v>177.55718691202003</c:v>
                </c:pt>
                <c:pt idx="36">
                  <c:v>172.70507121177818</c:v>
                </c:pt>
                <c:pt idx="37">
                  <c:v>168.10622810457852</c:v>
                </c:pt>
                <c:pt idx="38">
                  <c:v>163.74133069302343</c:v>
                </c:pt>
                <c:pt idx="39">
                  <c:v>159.59296971705476</c:v>
                </c:pt>
                <c:pt idx="40">
                  <c:v>155.64542147301893</c:v>
                </c:pt>
                <c:pt idx="41">
                  <c:v>151.88444864114015</c:v>
                </c:pt>
                <c:pt idx="42">
                  <c:v>148.29712870305036</c:v>
                </c:pt>
                <c:pt idx="43">
                  <c:v>144.87170559114992</c:v>
                </c:pt>
                <c:pt idx="44">
                  <c:v>141.59746098099774</c:v>
                </c:pt>
                <c:pt idx="45">
                  <c:v>138.46460225783966</c:v>
                </c:pt>
                <c:pt idx="46">
                  <c:v>135.46416469037217</c:v>
                </c:pt>
                <c:pt idx="47">
                  <c:v>132.58792575331745</c:v>
                </c:pt>
                <c:pt idx="48">
                  <c:v>129.82832987431564</c:v>
                </c:pt>
                <c:pt idx="49">
                  <c:v>127.17842215483743</c:v>
                </c:pt>
                <c:pt idx="50">
                  <c:v>124.63178984092414</c:v>
                </c:pt>
                <c:pt idx="51">
                  <c:v>122.1825105067725</c:v>
                </c:pt>
                <c:pt idx="52">
                  <c:v>119.82510606978157</c:v>
                </c:pt>
                <c:pt idx="53">
                  <c:v>117.55450188550293</c:v>
                </c:pt>
                <c:pt idx="54">
                  <c:v>115.36599027962956</c:v>
                </c:pt>
                <c:pt idx="55">
                  <c:v>113.25519796548701</c:v>
                </c:pt>
                <c:pt idx="56">
                  <c:v>111.21805687247338</c:v>
                </c:pt>
                <c:pt idx="57">
                  <c:v>109.25077797599847</c:v>
                </c:pt>
                <c:pt idx="58">
                  <c:v>107.34982777469709</c:v>
                </c:pt>
                <c:pt idx="59">
                  <c:v>105.51190710767578</c:v>
                </c:pt>
                <c:pt idx="60">
                  <c:v>103.73393204463981</c:v>
                </c:pt>
                <c:pt idx="61">
                  <c:v>102.01301661604374</c:v>
                </c:pt>
                <c:pt idx="62">
                  <c:v>100.34645717983406</c:v>
                </c:pt>
                <c:pt idx="63">
                  <c:v>98.731718246653998</c:v>
                </c:pt>
                <c:pt idx="64">
                  <c:v>97.166419607201391</c:v>
                </c:pt>
                <c:pt idx="65">
                  <c:v>95.648324624285308</c:v>
                </c:pt>
                <c:pt idx="66">
                  <c:v>94.175329568465941</c:v>
                </c:pt>
                <c:pt idx="67">
                  <c:v>92.745453890341267</c:v>
                </c:pt>
                <c:pt idx="68">
                  <c:v>91.356831334890998</c:v>
                </c:pt>
                <c:pt idx="69">
                  <c:v>90.007701814047167</c:v>
                </c:pt>
                <c:pt idx="70">
                  <c:v>88.696403963065379</c:v>
                </c:pt>
                <c:pt idx="71">
                  <c:v>87.421368314505528</c:v>
                </c:pt>
                <c:pt idx="72">
                  <c:v>86.181111030852392</c:v>
                </c:pt>
                <c:pt idx="73">
                  <c:v>84.974228143155131</c:v>
                </c:pt>
                <c:pt idx="74">
                  <c:v>83.799390248653992</c:v>
                </c:pt>
                <c:pt idx="75">
                  <c:v>82.655337625293186</c:v>
                </c:pt>
                <c:pt idx="76">
                  <c:v>81.540875725375344</c:v>
                </c:pt>
                <c:pt idx="77">
                  <c:v>80.45487101446767</c:v>
                </c:pt>
                <c:pt idx="78">
                  <c:v>79.396247125090042</c:v>
                </c:pt>
                <c:pt idx="79">
                  <c:v>78.363981297748111</c:v>
                </c:pt>
                <c:pt idx="80">
                  <c:v>77.357101084576357</c:v>
                </c:pt>
                <c:pt idx="81">
                  <c:v>76.374681293257453</c:v>
                </c:pt>
                <c:pt idx="82">
                  <c:v>75.415841151030449</c:v>
                </c:pt>
                <c:pt idx="83">
                  <c:v>74.479741670516049</c:v>
                </c:pt>
                <c:pt idx="84">
                  <c:v>73.565583200798827</c:v>
                </c:pt>
                <c:pt idx="85">
                  <c:v>72.672603148742766</c:v>
                </c:pt>
                <c:pt idx="86">
                  <c:v>71.800073856892311</c:v>
                </c:pt>
                <c:pt idx="87">
                  <c:v>70.947300625547939</c:v>
                </c:pt>
                <c:pt idx="88">
                  <c:v>70.113619867715443</c:v>
                </c:pt>
                <c:pt idx="89">
                  <c:v>69.298397386631748</c:v>
                </c:pt>
                <c:pt idx="90">
                  <c:v>68.501026766469593</c:v>
                </c:pt>
                <c:pt idx="91">
                  <c:v>67.72092786763919</c:v>
                </c:pt>
                <c:pt idx="92">
                  <c:v>66.957545418840752</c:v>
                </c:pt>
                <c:pt idx="93">
                  <c:v>66.210347698686775</c:v>
                </c:pt>
                <c:pt idx="94">
                  <c:v>65.478825300316004</c:v>
                </c:pt>
                <c:pt idx="95">
                  <c:v>64.762489972967174</c:v>
                </c:pt>
                <c:pt idx="96">
                  <c:v>64.060873534976949</c:v>
                </c:pt>
                <c:pt idx="97">
                  <c:v>63.373526853116537</c:v>
                </c:pt>
                <c:pt idx="98">
                  <c:v>62.700018883590893</c:v>
                </c:pt>
                <c:pt idx="99">
                  <c:v>62.039935770398017</c:v>
                </c:pt>
                <c:pt idx="100">
                  <c:v>61.392879997085096</c:v>
                </c:pt>
              </c:numCache>
            </c:numRef>
          </c:val>
          <c:smooth val="0"/>
          <c:extLst>
            <c:ext xmlns:c16="http://schemas.microsoft.com/office/drawing/2014/chart" uri="{C3380CC4-5D6E-409C-BE32-E72D297353CC}">
              <c16:uniqueId val="{00000000-CEA8-405E-B5B3-AF38AAF3801C}"/>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10.012467970437628</c:v>
                </c:pt>
                <c:pt idx="2">
                  <c:v>20.024935940875256</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260.32416723137834</c:v>
                </c:pt>
                <c:pt idx="27">
                  <c:v>270.33663520181597</c:v>
                </c:pt>
                <c:pt idx="28">
                  <c:v>280.34910317225365</c:v>
                </c:pt>
                <c:pt idx="29">
                  <c:v>290.36157114269122</c:v>
                </c:pt>
                <c:pt idx="30">
                  <c:v>300.37403911312884</c:v>
                </c:pt>
                <c:pt idx="31">
                  <c:v>310.38650708356653</c:v>
                </c:pt>
                <c:pt idx="32">
                  <c:v>320.3989750540041</c:v>
                </c:pt>
                <c:pt idx="33">
                  <c:v>330.41144302444178</c:v>
                </c:pt>
                <c:pt idx="34">
                  <c:v>340.42391099487946</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343.53260049854697</c:v>
                </c:pt>
                <c:pt idx="51">
                  <c:v>337.24233243538094</c:v>
                </c:pt>
                <c:pt idx="52">
                  <c:v>331.17803246141665</c:v>
                </c:pt>
                <c:pt idx="53">
                  <c:v>325.32434129059664</c:v>
                </c:pt>
                <c:pt idx="54">
                  <c:v>319.6688212970347</c:v>
                </c:pt>
                <c:pt idx="55">
                  <c:v>314.2059910179334</c:v>
                </c:pt>
                <c:pt idx="56">
                  <c:v>308.92616749844484</c:v>
                </c:pt>
                <c:pt idx="57">
                  <c:v>303.82030587323101</c:v>
                </c:pt>
                <c:pt idx="58">
                  <c:v>298.87994765714615</c:v>
                </c:pt>
                <c:pt idx="59">
                  <c:v>294.09717398420645</c:v>
                </c:pt>
                <c:pt idx="60">
                  <c:v>289.46456325107459</c:v>
                </c:pt>
                <c:pt idx="61">
                  <c:v>284.97515268852692</c:v>
                </c:pt>
                <c:pt idx="62">
                  <c:v>280.62240344239223</c:v>
                </c:pt>
                <c:pt idx="63">
                  <c:v>276.40016879565252</c:v>
                </c:pt>
                <c:pt idx="64">
                  <c:v>272.30266520691464</c:v>
                </c:pt>
                <c:pt idx="65">
                  <c:v>268.32444587828491</c:v>
                </c:pt>
                <c:pt idx="66">
                  <c:v>264.46037659861815</c:v>
                </c:pt>
                <c:pt idx="67">
                  <c:v>260.70561363685255</c:v>
                </c:pt>
                <c:pt idx="68">
                  <c:v>257.05558348528558</c:v>
                </c:pt>
                <c:pt idx="69">
                  <c:v>253.50596427466186</c:v>
                </c:pt>
                <c:pt idx="70">
                  <c:v>250.05266870228883</c:v>
                </c:pt>
                <c:pt idx="71">
                  <c:v>246.69182833139183</c:v>
                </c:pt>
                <c:pt idx="72">
                  <c:v>243.41977913491436</c:v>
                </c:pt>
                <c:pt idx="73">
                  <c:v>240.23304817018402</c:v>
                </c:pt>
                <c:pt idx="74">
                  <c:v>237.12834128256674</c:v>
                </c:pt>
                <c:pt idx="75">
                  <c:v>234.10253174658567</c:v>
                </c:pt>
                <c:pt idx="76">
                  <c:v>231.15264976216574</c:v>
                </c:pt>
                <c:pt idx="77">
                  <c:v>228.27587273182925</c:v>
                </c:pt>
                <c:pt idx="78">
                  <c:v>225.4695162519325</c:v>
                </c:pt>
                <c:pt idx="79">
                  <c:v>222.73102575750269</c:v>
                </c:pt>
                <c:pt idx="80">
                  <c:v>220.0579687660144</c:v>
                </c:pt>
                <c:pt idx="81">
                  <c:v>217.44802767060389</c:v>
                </c:pt>
                <c:pt idx="82">
                  <c:v>214.89899303784705</c:v>
                </c:pt>
                <c:pt idx="83">
                  <c:v>212.40875736935786</c:v>
                </c:pt>
                <c:pt idx="84">
                  <c:v>209.97530929019152</c:v>
                </c:pt>
                <c:pt idx="85">
                  <c:v>207.59672813036588</c:v>
                </c:pt>
                <c:pt idx="86">
                  <c:v>205.27117886882422</c:v>
                </c:pt>
                <c:pt idx="87">
                  <c:v>202.99690741186777</c:v>
                </c:pt>
                <c:pt idx="88">
                  <c:v>200.77223618052449</c:v>
                </c:pt>
                <c:pt idx="89">
                  <c:v>198.59555998352607</c:v>
                </c:pt>
                <c:pt idx="90">
                  <c:v>196.46534215455691</c:v>
                </c:pt>
                <c:pt idx="91">
                  <c:v>194.38011093423916</c:v>
                </c:pt>
                <c:pt idx="92">
                  <c:v>192.33845607895367</c:v>
                </c:pt>
                <c:pt idx="93">
                  <c:v>190.33902568007684</c:v>
                </c:pt>
                <c:pt idx="94">
                  <c:v>188.38052317855539</c:v>
                </c:pt>
                <c:pt idx="95">
                  <c:v>186.46170456096741</c:v>
                </c:pt>
                <c:pt idx="96">
                  <c:v>184.58137572432679</c:v>
                </c:pt>
                <c:pt idx="97">
                  <c:v>182.73838999789993</c:v>
                </c:pt>
                <c:pt idx="98">
                  <c:v>180.93164581122906</c:v>
                </c:pt>
                <c:pt idx="99">
                  <c:v>179.16008449839575</c:v>
                </c:pt>
                <c:pt idx="100">
                  <c:v>177.42268822932925</c:v>
                </c:pt>
              </c:numCache>
            </c:numRef>
          </c:val>
          <c:smooth val="0"/>
          <c:extLst>
            <c:ext xmlns:c16="http://schemas.microsoft.com/office/drawing/2014/chart" uri="{C3380CC4-5D6E-409C-BE32-E72D297353CC}">
              <c16:uniqueId val="{00000001-CEA8-405E-B5B3-AF38AAF3801C}"/>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10.012375988822143</c:v>
                </c:pt>
                <c:pt idx="2">
                  <c:v>20.024751977644286</c:v>
                </c:pt>
                <c:pt idx="3">
                  <c:v>30.037127966466429</c:v>
                </c:pt>
                <c:pt idx="4">
                  <c:v>40.049503955288571</c:v>
                </c:pt>
                <c:pt idx="5">
                  <c:v>50.061879944110721</c:v>
                </c:pt>
                <c:pt idx="6">
                  <c:v>60.074255932932857</c:v>
                </c:pt>
                <c:pt idx="7">
                  <c:v>70.086631921755</c:v>
                </c:pt>
                <c:pt idx="8">
                  <c:v>80.099007910577143</c:v>
                </c:pt>
                <c:pt idx="9">
                  <c:v>90.111383899399286</c:v>
                </c:pt>
                <c:pt idx="10">
                  <c:v>100.12375988822144</c:v>
                </c:pt>
                <c:pt idx="11">
                  <c:v>110.13613587704357</c:v>
                </c:pt>
                <c:pt idx="12">
                  <c:v>120.14851186586571</c:v>
                </c:pt>
                <c:pt idx="13">
                  <c:v>130.16088785468787</c:v>
                </c:pt>
                <c:pt idx="14">
                  <c:v>140.17326384351</c:v>
                </c:pt>
                <c:pt idx="15">
                  <c:v>150.18563983233216</c:v>
                </c:pt>
                <c:pt idx="16">
                  <c:v>160.19801582115429</c:v>
                </c:pt>
                <c:pt idx="17">
                  <c:v>170.21039180997644</c:v>
                </c:pt>
                <c:pt idx="18">
                  <c:v>180.22276779879857</c:v>
                </c:pt>
                <c:pt idx="19">
                  <c:v>190.23514378762073</c:v>
                </c:pt>
                <c:pt idx="20">
                  <c:v>200.24751977644289</c:v>
                </c:pt>
                <c:pt idx="21">
                  <c:v>210.25989576526501</c:v>
                </c:pt>
                <c:pt idx="22">
                  <c:v>220.27227175408714</c:v>
                </c:pt>
                <c:pt idx="23">
                  <c:v>230.2846477429093</c:v>
                </c:pt>
                <c:pt idx="24">
                  <c:v>240.29702373173143</c:v>
                </c:pt>
                <c:pt idx="25">
                  <c:v>250.30939972055356</c:v>
                </c:pt>
                <c:pt idx="26">
                  <c:v>260.32177570937574</c:v>
                </c:pt>
                <c:pt idx="27">
                  <c:v>270.3341516981979</c:v>
                </c:pt>
                <c:pt idx="28">
                  <c:v>280.34652768702</c:v>
                </c:pt>
                <c:pt idx="29">
                  <c:v>290.35890367584216</c:v>
                </c:pt>
                <c:pt idx="30">
                  <c:v>300.37127966466431</c:v>
                </c:pt>
                <c:pt idx="31">
                  <c:v>310.38365565348641</c:v>
                </c:pt>
                <c:pt idx="32">
                  <c:v>320.39603164230857</c:v>
                </c:pt>
                <c:pt idx="33">
                  <c:v>330.40840763113073</c:v>
                </c:pt>
                <c:pt idx="34">
                  <c:v>340.42078361995289</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348.70863121887066</c:v>
                </c:pt>
                <c:pt idx="67">
                  <c:v>343.86029290821517</c:v>
                </c:pt>
                <c:pt idx="68">
                  <c:v>339.14488892385293</c:v>
                </c:pt>
                <c:pt idx="69">
                  <c:v>334.55702615992732</c:v>
                </c:pt>
                <c:pt idx="70">
                  <c:v>330.09159934167945</c:v>
                </c:pt>
                <c:pt idx="71">
                  <c:v>325.74275284211831</c:v>
                </c:pt>
                <c:pt idx="72">
                  <c:v>321.50641651018856</c:v>
                </c:pt>
                <c:pt idx="73">
                  <c:v>317.37877014741252</c:v>
                </c:pt>
                <c:pt idx="74">
                  <c:v>313.3556837580756</c:v>
                </c:pt>
                <c:pt idx="75">
                  <c:v>309.43323397116495</c:v>
                </c:pt>
                <c:pt idx="76">
                  <c:v>305.60769127813842</c:v>
                </c:pt>
                <c:pt idx="77">
                  <c:v>301.87550820506556</c:v>
                </c:pt>
                <c:pt idx="78">
                  <c:v>298.23330834029326</c:v>
                </c:pt>
                <c:pt idx="79">
                  <c:v>294.67787614630225</c:v>
                </c:pt>
                <c:pt idx="80">
                  <c:v>291.20614749113423</c:v>
                </c:pt>
                <c:pt idx="81">
                  <c:v>287.81520084079034</c:v>
                </c:pt>
                <c:pt idx="82">
                  <c:v>284.50224905938774</c:v>
                </c:pt>
                <c:pt idx="83">
                  <c:v>281.26463176870334</c:v>
                </c:pt>
                <c:pt idx="84">
                  <c:v>278.09980822308609</c:v>
                </c:pt>
                <c:pt idx="85">
                  <c:v>275.00535065962805</c:v>
                </c:pt>
                <c:pt idx="86">
                  <c:v>271.97893808702145</c:v>
                </c:pt>
                <c:pt idx="87">
                  <c:v>269.01835047970189</c:v>
                </c:pt>
                <c:pt idx="88">
                  <c:v>266.12146334675759</c:v>
                </c:pt>
                <c:pt idx="89">
                  <c:v>263.28624264768399</c:v>
                </c:pt>
                <c:pt idx="90">
                  <c:v>260.51074002941033</c:v>
                </c:pt>
                <c:pt idx="91">
                  <c:v>257.7930883611632</c:v>
                </c:pt>
                <c:pt idx="92">
                  <c:v>255.131497545662</c:v>
                </c:pt>
                <c:pt idx="93">
                  <c:v>252.52425058689749</c:v>
                </c:pt>
                <c:pt idx="94">
                  <c:v>249.96969989634425</c:v>
                </c:pt>
                <c:pt idx="95">
                  <c:v>247.46626382090724</c:v>
                </c:pt>
                <c:pt idx="96">
                  <c:v>245.01242337722769</c:v>
                </c:pt>
                <c:pt idx="97">
                  <c:v>242.60671917817993</c:v>
                </c:pt>
                <c:pt idx="98">
                  <c:v>240.24774853849101</c:v>
                </c:pt>
                <c:pt idx="99">
                  <c:v>237.93416274742222</c:v>
                </c:pt>
                <c:pt idx="100">
                  <c:v>235.66466449736856</c:v>
                </c:pt>
              </c:numCache>
            </c:numRef>
          </c:val>
          <c:smooth val="0"/>
          <c:extLst>
            <c:ext xmlns:c16="http://schemas.microsoft.com/office/drawing/2014/chart" uri="{C3380CC4-5D6E-409C-BE32-E72D297353CC}">
              <c16:uniqueId val="{00000002-CEA8-405E-B5B3-AF38AAF3801C}"/>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CEA8-405E-B5B3-AF38AAF3801C}"/>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CEA8-405E-B5B3-AF38AAF3801C}"/>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CEA8-405E-B5B3-AF38AAF3801C}"/>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9.2592769250602718E-3</c:v>
                </c:pt>
                <c:pt idx="1">
                  <c:v>9.3091060677618267E-3</c:v>
                </c:pt>
                <c:pt idx="2">
                  <c:v>1.8618212135523653E-2</c:v>
                </c:pt>
                <c:pt idx="3">
                  <c:v>2.7927318203285489E-2</c:v>
                </c:pt>
                <c:pt idx="4">
                  <c:v>3.7236424271047307E-2</c:v>
                </c:pt>
                <c:pt idx="5">
                  <c:v>4.6545530338809149E-2</c:v>
                </c:pt>
                <c:pt idx="6">
                  <c:v>5.5854636406570977E-2</c:v>
                </c:pt>
                <c:pt idx="7">
                  <c:v>6.5163742474332806E-2</c:v>
                </c:pt>
                <c:pt idx="8">
                  <c:v>7.4472848542094613E-2</c:v>
                </c:pt>
                <c:pt idx="9">
                  <c:v>8.3781954609856449E-2</c:v>
                </c:pt>
                <c:pt idx="10">
                  <c:v>9.3091060677618298E-2</c:v>
                </c:pt>
                <c:pt idx="11">
                  <c:v>0.10240016674538012</c:v>
                </c:pt>
                <c:pt idx="12">
                  <c:v>0.11170927281314195</c:v>
                </c:pt>
                <c:pt idx="13">
                  <c:v>0.12101837888090376</c:v>
                </c:pt>
                <c:pt idx="14">
                  <c:v>0.13032748494866561</c:v>
                </c:pt>
                <c:pt idx="15">
                  <c:v>0.13963659101642739</c:v>
                </c:pt>
                <c:pt idx="16">
                  <c:v>0.14894569708418923</c:v>
                </c:pt>
                <c:pt idx="17">
                  <c:v>0.15825480315195112</c:v>
                </c:pt>
                <c:pt idx="18">
                  <c:v>0.1675639092197129</c:v>
                </c:pt>
                <c:pt idx="19">
                  <c:v>0.17687301528747473</c:v>
                </c:pt>
                <c:pt idx="20">
                  <c:v>0.1861821213552366</c:v>
                </c:pt>
                <c:pt idx="21">
                  <c:v>0.19549122742299838</c:v>
                </c:pt>
                <c:pt idx="22">
                  <c:v>0.20480033349076024</c:v>
                </c:pt>
                <c:pt idx="23">
                  <c:v>0.21410943955852205</c:v>
                </c:pt>
                <c:pt idx="24">
                  <c:v>0.22341854562628391</c:v>
                </c:pt>
                <c:pt idx="25">
                  <c:v>0.23272765169404566</c:v>
                </c:pt>
                <c:pt idx="26">
                  <c:v>0.24203675776180752</c:v>
                </c:pt>
                <c:pt idx="27">
                  <c:v>0.2513458638295693</c:v>
                </c:pt>
                <c:pt idx="28">
                  <c:v>0.26065496989733122</c:v>
                </c:pt>
                <c:pt idx="29">
                  <c:v>0.26996407596509298</c:v>
                </c:pt>
                <c:pt idx="30">
                  <c:v>0.27927318203285478</c:v>
                </c:pt>
                <c:pt idx="31">
                  <c:v>0.28858228810061665</c:v>
                </c:pt>
                <c:pt idx="32">
                  <c:v>0.29789139416837845</c:v>
                </c:pt>
                <c:pt idx="33">
                  <c:v>0.30720050023614037</c:v>
                </c:pt>
                <c:pt idx="34">
                  <c:v>0.3188817734313632</c:v>
                </c:pt>
                <c:pt idx="35">
                  <c:v>0.33263853691951434</c:v>
                </c:pt>
                <c:pt idx="36">
                  <c:v>0.33737682545191006</c:v>
                </c:pt>
                <c:pt idx="37">
                  <c:v>0.34205029298934098</c:v>
                </c:pt>
                <c:pt idx="38">
                  <c:v>0.34666155046543334</c:v>
                </c:pt>
                <c:pt idx="39">
                  <c:v>0.3512130381105642</c:v>
                </c:pt>
                <c:pt idx="40">
                  <c:v>0.35570704067967873</c:v>
                </c:pt>
                <c:pt idx="41">
                  <c:v>0.36014570097684945</c:v>
                </c:pt>
                <c:pt idx="42">
                  <c:v>0.36453103190379432</c:v>
                </c:pt>
                <c:pt idx="43">
                  <c:v>0.36886492722459502</c:v>
                </c:pt>
                <c:pt idx="44">
                  <c:v>0.37314917120995095</c:v>
                </c:pt>
                <c:pt idx="45">
                  <c:v>0.37738544730029505</c:v>
                </c:pt>
                <c:pt idx="46">
                  <c:v>0.38157534590707853</c:v>
                </c:pt>
                <c:pt idx="47">
                  <c:v>0.38572037145475302</c:v>
                </c:pt>
                <c:pt idx="48">
                  <c:v>0.38982194875186976</c:v>
                </c:pt>
                <c:pt idx="49">
                  <c:v>0.39388142876779658</c:v>
                </c:pt>
                <c:pt idx="50">
                  <c:v>0.39054758282775021</c:v>
                </c:pt>
                <c:pt idx="51">
                  <c:v>0.38723047477885558</c:v>
                </c:pt>
                <c:pt idx="52">
                  <c:v>0.38399600280779267</c:v>
                </c:pt>
                <c:pt idx="53">
                  <c:v>0.38084443286632597</c:v>
                </c:pt>
                <c:pt idx="54">
                  <c:v>0.37777407475188707</c:v>
                </c:pt>
                <c:pt idx="55">
                  <c:v>0.38291824544753283</c:v>
                </c:pt>
                <c:pt idx="56">
                  <c:v>0.38337630366960568</c:v>
                </c:pt>
                <c:pt idx="57">
                  <c:v>0.38382020638467573</c:v>
                </c:pt>
                <c:pt idx="58">
                  <c:v>0.38425064200492559</c:v>
                </c:pt>
                <c:pt idx="59">
                  <c:v>0.38466825502448587</c:v>
                </c:pt>
                <c:pt idx="60">
                  <c:v>0.38507364946671041</c:v>
                </c:pt>
                <c:pt idx="61">
                  <c:v>0.38546739201176478</c:v>
                </c:pt>
                <c:pt idx="62">
                  <c:v>0.38585001483858655</c:v>
                </c:pt>
                <c:pt idx="63">
                  <c:v>0.38622201821119861</c:v>
                </c:pt>
                <c:pt idx="64">
                  <c:v>0.38658387283580442</c:v>
                </c:pt>
                <c:pt idx="65">
                  <c:v>0.38693602201202221</c:v>
                </c:pt>
                <c:pt idx="66">
                  <c:v>0.38727888359893353</c:v>
                </c:pt>
                <c:pt idx="67">
                  <c:v>0.38761285181428173</c:v>
                </c:pt>
                <c:pt idx="68">
                  <c:v>0.38793829888310805</c:v>
                </c:pt>
                <c:pt idx="69">
                  <c:v>0.388255576550324</c:v>
                </c:pt>
                <c:pt idx="70">
                  <c:v>0.38856501747014344</c:v>
                </c:pt>
                <c:pt idx="71">
                  <c:v>0.38886693648391218</c:v>
                </c:pt>
                <c:pt idx="72">
                  <c:v>0.38916163179665764</c:v>
                </c:pt>
                <c:pt idx="73">
                  <c:v>0.38944938606159835</c:v>
                </c:pt>
                <c:pt idx="74">
                  <c:v>0.38973046738090872</c:v>
                </c:pt>
                <c:pt idx="75">
                  <c:v>0.39000513023018535</c:v>
                </c:pt>
                <c:pt idx="76">
                  <c:v>0.39027361631331836</c:v>
                </c:pt>
                <c:pt idx="77">
                  <c:v>0.39053615535380126</c:v>
                </c:pt>
                <c:pt idx="78">
                  <c:v>0.39079296582792911</c:v>
                </c:pt>
                <c:pt idx="79">
                  <c:v>0.391044255644801</c:v>
                </c:pt>
                <c:pt idx="80">
                  <c:v>0.39129022277757708</c:v>
                </c:pt>
                <c:pt idx="81">
                  <c:v>0.39153105585001702</c:v>
                </c:pt>
                <c:pt idx="82">
                  <c:v>0.39176693468195622</c:v>
                </c:pt>
                <c:pt idx="83">
                  <c:v>0.39199803079703016</c:v>
                </c:pt>
                <c:pt idx="84">
                  <c:v>0.39222450789566393</c:v>
                </c:pt>
                <c:pt idx="85">
                  <c:v>0.39244652229606669</c:v>
                </c:pt>
                <c:pt idx="86">
                  <c:v>0.39266422334572809</c:v>
                </c:pt>
                <c:pt idx="87">
                  <c:v>0.39287775380569256</c:v>
                </c:pt>
                <c:pt idx="88">
                  <c:v>0.39308725020969137</c:v>
                </c:pt>
                <c:pt idx="89">
                  <c:v>0.3932928432000285</c:v>
                </c:pt>
                <c:pt idx="90">
                  <c:v>0.39349465784195964</c:v>
                </c:pt>
                <c:pt idx="91">
                  <c:v>0.39369281391815103</c:v>
                </c:pt>
                <c:pt idx="92">
                  <c:v>0.3938874262046787</c:v>
                </c:pt>
                <c:pt idx="93">
                  <c:v>0.39407860472990086</c:v>
                </c:pt>
                <c:pt idx="94">
                  <c:v>0.39426645501743385</c:v>
                </c:pt>
                <c:pt idx="95">
                  <c:v>0.39445107831435577</c:v>
                </c:pt>
                <c:pt idx="96">
                  <c:v>0.3946325718056784</c:v>
                </c:pt>
                <c:pt idx="97">
                  <c:v>0.39481102881603874</c:v>
                </c:pt>
                <c:pt idx="98">
                  <c:v>0.39498653899949204</c:v>
                </c:pt>
                <c:pt idx="99">
                  <c:v>0.39515918851821691</c:v>
                </c:pt>
                <c:pt idx="100">
                  <c:v>0.39532906021087932</c:v>
                </c:pt>
              </c:numCache>
            </c:numRef>
          </c:val>
          <c:smooth val="0"/>
          <c:extLst>
            <c:ext xmlns:c16="http://schemas.microsoft.com/office/drawing/2014/chart" uri="{C3380CC4-5D6E-409C-BE32-E72D297353CC}">
              <c16:uniqueId val="{00000006-CEA8-405E-B5B3-AF38AAF3801C}"/>
            </c:ext>
          </c:extLst>
        </c:ser>
        <c:ser>
          <c:idx val="16"/>
          <c:order val="16"/>
          <c:spPr>
            <a:ln w="25400">
              <a:solidFill>
                <a:srgbClr val="00B050"/>
              </a:solidFill>
              <a:prstDash val="dash"/>
            </a:ln>
          </c:spPr>
          <c:marker>
            <c:symbol val="none"/>
          </c:marker>
          <c:val>
            <c:numRef>
              <c:f>'Calculations - Dual'!$AU$110:$AU$210</c:f>
              <c:numCache>
                <c:formatCode>0.000</c:formatCode>
                <c:ptCount val="101"/>
                <c:pt idx="0">
                  <c:v>2.4709909358202609E-2</c:v>
                </c:pt>
                <c:pt idx="1">
                  <c:v>2.4996404217515214E-2</c:v>
                </c:pt>
                <c:pt idx="2">
                  <c:v>7.498921265254567E-2</c:v>
                </c:pt>
                <c:pt idx="3">
                  <c:v>7.498921265254567E-2</c:v>
                </c:pt>
                <c:pt idx="4">
                  <c:v>9.9985616870060856E-2</c:v>
                </c:pt>
                <c:pt idx="5">
                  <c:v>0.12498202108757611</c:v>
                </c:pt>
                <c:pt idx="6">
                  <c:v>0.14997842530509134</c:v>
                </c:pt>
                <c:pt idx="7">
                  <c:v>0.17497482952260657</c:v>
                </c:pt>
                <c:pt idx="8">
                  <c:v>0.19997123374012171</c:v>
                </c:pt>
                <c:pt idx="9">
                  <c:v>0.22496763795763694</c:v>
                </c:pt>
                <c:pt idx="10">
                  <c:v>0.24996404217515222</c:v>
                </c:pt>
                <c:pt idx="11">
                  <c:v>0.27496044639266742</c:v>
                </c:pt>
                <c:pt idx="12">
                  <c:v>0.29995685061018268</c:v>
                </c:pt>
                <c:pt idx="13">
                  <c:v>0.32495325482769782</c:v>
                </c:pt>
                <c:pt idx="14">
                  <c:v>0.34994965904521314</c:v>
                </c:pt>
                <c:pt idx="15">
                  <c:v>0.37494606326272822</c:v>
                </c:pt>
                <c:pt idx="16">
                  <c:v>0.39994246748024342</c:v>
                </c:pt>
                <c:pt idx="17">
                  <c:v>0.42493887169775879</c:v>
                </c:pt>
                <c:pt idx="18">
                  <c:v>0.44993527591527388</c:v>
                </c:pt>
                <c:pt idx="19">
                  <c:v>0.47493168013278914</c:v>
                </c:pt>
                <c:pt idx="20">
                  <c:v>0.49992808435030445</c:v>
                </c:pt>
                <c:pt idx="21">
                  <c:v>0.52492448856781948</c:v>
                </c:pt>
                <c:pt idx="22">
                  <c:v>0.54992089278533485</c:v>
                </c:pt>
                <c:pt idx="23">
                  <c:v>0.57491729700284999</c:v>
                </c:pt>
                <c:pt idx="24">
                  <c:v>0.59991370122036536</c:v>
                </c:pt>
                <c:pt idx="25">
                  <c:v>0.62753101231410491</c:v>
                </c:pt>
                <c:pt idx="26">
                  <c:v>0.61876075259440155</c:v>
                </c:pt>
                <c:pt idx="27">
                  <c:v>0.61986958186360663</c:v>
                </c:pt>
                <c:pt idx="28">
                  <c:v>0.62100072839500819</c:v>
                </c:pt>
                <c:pt idx="29">
                  <c:v>0.62206432246403909</c:v>
                </c:pt>
                <c:pt idx="30">
                  <c:v>0.62306683851375344</c:v>
                </c:pt>
                <c:pt idx="31">
                  <c:v>0.62401394954675926</c:v>
                </c:pt>
                <c:pt idx="32">
                  <c:v>0.62491064741113012</c:v>
                </c:pt>
                <c:pt idx="33">
                  <c:v>0.62576134205362022</c:v>
                </c:pt>
                <c:pt idx="34">
                  <c:v>0.62656994390932408</c:v>
                </c:pt>
                <c:pt idx="35">
                  <c:v>0.62733993267845112</c:v>
                </c:pt>
                <c:pt idx="36">
                  <c:v>0.62807441504395678</c:v>
                </c:pt>
                <c:pt idx="37">
                  <c:v>0.62877617335054647</c:v>
                </c:pt>
                <c:pt idx="38">
                  <c:v>0.62944770685441331</c:v>
                </c:pt>
                <c:pt idx="39">
                  <c:v>0.63009126683370376</c:v>
                </c:pt>
                <c:pt idx="40">
                  <c:v>0.63070888659991664</c:v>
                </c:pt>
                <c:pt idx="41">
                  <c:v>0.63130240725377151</c:v>
                </c:pt>
                <c:pt idx="42">
                  <c:v>0.63187349987328612</c:v>
                </c:pt>
                <c:pt idx="43">
                  <c:v>0.63242368469764543</c:v>
                </c:pt>
                <c:pt idx="44">
                  <c:v>0.63295434777094406</c:v>
                </c:pt>
                <c:pt idx="45">
                  <c:v>0.6334667554297233</c:v>
                </c:pt>
                <c:pt idx="46">
                  <c:v>0.6339620669533087</c:v>
                </c:pt>
                <c:pt idx="47">
                  <c:v>0.63444134564313137</c:v>
                </c:pt>
                <c:pt idx="48">
                  <c:v>0.63490556855403668</c:v>
                </c:pt>
                <c:pt idx="49">
                  <c:v>0.63535563506512083</c:v>
                </c:pt>
                <c:pt idx="50">
                  <c:v>0.63579237444840575</c:v>
                </c:pt>
                <c:pt idx="51">
                  <c:v>0.63621655256944631</c:v>
                </c:pt>
                <c:pt idx="52">
                  <c:v>0.63662887783384392</c:v>
                </c:pt>
                <c:pt idx="53">
                  <c:v>0.63703000647685804</c:v>
                </c:pt>
                <c:pt idx="54">
                  <c:v>0.63742054727924335</c:v>
                </c:pt>
                <c:pt idx="55">
                  <c:v>0.63780106578063667</c:v>
                </c:pt>
                <c:pt idx="56">
                  <c:v>0.63817208805185821</c:v>
                </c:pt>
                <c:pt idx="57">
                  <c:v>0.63853410407907574</c:v>
                </c:pt>
                <c:pt idx="58">
                  <c:v>0.63888757080564074</c:v>
                </c:pt>
                <c:pt idx="59">
                  <c:v>0.63923291487132006</c:v>
                </c:pt>
                <c:pt idx="60">
                  <c:v>0.63957053508347961</c:v>
                </c:pt>
                <c:pt idx="61">
                  <c:v>0.63990080465032173</c:v>
                </c:pt>
                <c:pt idx="62">
                  <c:v>0.64022407320249131</c:v>
                </c:pt>
                <c:pt idx="63">
                  <c:v>0.6405406686260795</c:v>
                </c:pt>
                <c:pt idx="64">
                  <c:v>0.64085089872724232</c:v>
                </c:pt>
                <c:pt idx="65">
                  <c:v>0.64115505274620477</c:v>
                </c:pt>
                <c:pt idx="66">
                  <c:v>0.64145340273631657</c:v>
                </c:pt>
                <c:pt idx="67">
                  <c:v>0.64174620482198486</c:v>
                </c:pt>
                <c:pt idx="68">
                  <c:v>0.64203370034771678</c:v>
                </c:pt>
                <c:pt idx="69">
                  <c:v>0.64231611692911428</c:v>
                </c:pt>
                <c:pt idx="70">
                  <c:v>0.64259366941544049</c:v>
                </c:pt>
                <c:pt idx="71">
                  <c:v>0.64286656077232274</c:v>
                </c:pt>
                <c:pt idx="72">
                  <c:v>0.64313498289221527</c:v>
                </c:pt>
                <c:pt idx="73">
                  <c:v>0.64339911733942501</c:v>
                </c:pt>
                <c:pt idx="74">
                  <c:v>0.6436591360357854</c:v>
                </c:pt>
                <c:pt idx="75">
                  <c:v>0.64391520189241969</c:v>
                </c:pt>
                <c:pt idx="76">
                  <c:v>0.64416746939247593</c:v>
                </c:pt>
                <c:pt idx="77">
                  <c:v>0.64441608512921622</c:v>
                </c:pt>
                <c:pt idx="78">
                  <c:v>0.64466118830340091</c:v>
                </c:pt>
                <c:pt idx="79">
                  <c:v>0.64490291118351295</c:v>
                </c:pt>
                <c:pt idx="80">
                  <c:v>0.64514137953202499</c:v>
                </c:pt>
                <c:pt idx="81">
                  <c:v>0.6453767130005944</c:v>
                </c:pt>
                <c:pt idx="82">
                  <c:v>0.64560902549679688</c:v>
                </c:pt>
                <c:pt idx="83">
                  <c:v>0.64583842552476478</c:v>
                </c:pt>
                <c:pt idx="84">
                  <c:v>0.64606501650186565</c:v>
                </c:pt>
                <c:pt idx="85">
                  <c:v>0.64628889705337034</c:v>
                </c:pt>
                <c:pt idx="86">
                  <c:v>0.64651016128686944</c:v>
                </c:pt>
                <c:pt idx="87">
                  <c:v>0.64672889904804842</c:v>
                </c:pt>
                <c:pt idx="88">
                  <c:v>0.64694519615927859</c:v>
                </c:pt>
                <c:pt idx="89">
                  <c:v>0.64715913464235819</c:v>
                </c:pt>
                <c:pt idx="90">
                  <c:v>0.64737079292661714</c:v>
                </c:pt>
                <c:pt idx="91">
                  <c:v>0.64758024604349596</c:v>
                </c:pt>
                <c:pt idx="92">
                  <c:v>0.64778756580861419</c:v>
                </c:pt>
                <c:pt idx="93">
                  <c:v>0.64799282099225486</c:v>
                </c:pt>
                <c:pt idx="94">
                  <c:v>0.64819607747911856</c:v>
                </c:pt>
                <c:pt idx="95">
                  <c:v>0.64839739841812305</c:v>
                </c:pt>
                <c:pt idx="96">
                  <c:v>0.64859684436297027</c:v>
                </c:pt>
                <c:pt idx="97">
                  <c:v>0.64879447340413121</c:v>
                </c:pt>
                <c:pt idx="98">
                  <c:v>0.64899034129285904</c:v>
                </c:pt>
                <c:pt idx="99">
                  <c:v>0.6491845015577844</c:v>
                </c:pt>
                <c:pt idx="100">
                  <c:v>0.64937700561460521</c:v>
                </c:pt>
              </c:numCache>
            </c:numRef>
          </c:val>
          <c:smooth val="0"/>
          <c:extLst>
            <c:ext xmlns:c16="http://schemas.microsoft.com/office/drawing/2014/chart" uri="{C3380CC4-5D6E-409C-BE32-E72D297353CC}">
              <c16:uniqueId val="{00000007-CEA8-405E-B5B3-AF38AAF3801C}"/>
            </c:ext>
          </c:extLst>
        </c:ser>
        <c:ser>
          <c:idx val="17"/>
          <c:order val="17"/>
          <c:spPr>
            <a:ln w="25400">
              <a:solidFill>
                <a:srgbClr val="FF0000"/>
              </a:solidFill>
            </a:ln>
          </c:spPr>
          <c:marker>
            <c:symbol val="none"/>
          </c:marker>
          <c:val>
            <c:numRef>
              <c:f>'Calculations - Dual'!$AU$216:$AU$316</c:f>
              <c:numCache>
                <c:formatCode>0.000</c:formatCode>
                <c:ptCount val="101"/>
                <c:pt idx="0">
                  <c:v>6.1739825558965421E-3</c:v>
                </c:pt>
                <c:pt idx="1">
                  <c:v>6.197291580679689E-3</c:v>
                </c:pt>
                <c:pt idx="2">
                  <c:v>1.2394583161359378E-2</c:v>
                </c:pt>
                <c:pt idx="3">
                  <c:v>1.859187474203907E-2</c:v>
                </c:pt>
                <c:pt idx="4">
                  <c:v>2.4789166322718756E-2</c:v>
                </c:pt>
                <c:pt idx="5">
                  <c:v>3.0986457903398452E-2</c:v>
                </c:pt>
                <c:pt idx="6">
                  <c:v>3.7183749484078141E-2</c:v>
                </c:pt>
                <c:pt idx="7">
                  <c:v>4.3381041064757826E-2</c:v>
                </c:pt>
                <c:pt idx="8">
                  <c:v>4.9578332645437512E-2</c:v>
                </c:pt>
                <c:pt idx="9">
                  <c:v>5.5775624226117204E-2</c:v>
                </c:pt>
                <c:pt idx="10">
                  <c:v>6.1972915806796904E-2</c:v>
                </c:pt>
                <c:pt idx="11">
                  <c:v>6.8170207387476589E-2</c:v>
                </c:pt>
                <c:pt idx="12">
                  <c:v>7.4367498968156281E-2</c:v>
                </c:pt>
                <c:pt idx="13">
                  <c:v>8.0564790548835974E-2</c:v>
                </c:pt>
                <c:pt idx="14">
                  <c:v>8.6762082129515652E-2</c:v>
                </c:pt>
                <c:pt idx="15">
                  <c:v>9.2959373710195345E-2</c:v>
                </c:pt>
                <c:pt idx="16">
                  <c:v>9.9156665290875023E-2</c:v>
                </c:pt>
                <c:pt idx="17">
                  <c:v>0.10535395687155472</c:v>
                </c:pt>
                <c:pt idx="18">
                  <c:v>0.11155124845223441</c:v>
                </c:pt>
                <c:pt idx="19">
                  <c:v>0.1177485400329141</c:v>
                </c:pt>
                <c:pt idx="20">
                  <c:v>0.12394583161359381</c:v>
                </c:pt>
                <c:pt idx="21">
                  <c:v>0.13014312319427349</c:v>
                </c:pt>
                <c:pt idx="22">
                  <c:v>0.13634041477495318</c:v>
                </c:pt>
                <c:pt idx="23">
                  <c:v>0.14253770635563284</c:v>
                </c:pt>
                <c:pt idx="24">
                  <c:v>0.14873499793631256</c:v>
                </c:pt>
                <c:pt idx="25">
                  <c:v>0.1549322895169922</c:v>
                </c:pt>
                <c:pt idx="26">
                  <c:v>0.16112958109767195</c:v>
                </c:pt>
                <c:pt idx="27">
                  <c:v>0.16732687267835161</c:v>
                </c:pt>
                <c:pt idx="28">
                  <c:v>0.1735241642590313</c:v>
                </c:pt>
                <c:pt idx="29">
                  <c:v>0.179721455839711</c:v>
                </c:pt>
                <c:pt idx="30">
                  <c:v>0.18591874742039069</c:v>
                </c:pt>
                <c:pt idx="31">
                  <c:v>0.19211603900107035</c:v>
                </c:pt>
                <c:pt idx="32">
                  <c:v>0.19831333058175005</c:v>
                </c:pt>
                <c:pt idx="33">
                  <c:v>0.20451062216242974</c:v>
                </c:pt>
                <c:pt idx="34">
                  <c:v>0.21228712137700781</c:v>
                </c:pt>
                <c:pt idx="35">
                  <c:v>0.22144730314273819</c:v>
                </c:pt>
                <c:pt idx="36">
                  <c:v>0.22459722466599735</c:v>
                </c:pt>
                <c:pt idx="37">
                  <c:v>0.22770393089821772</c:v>
                </c:pt>
                <c:pt idx="38">
                  <c:v>0.23076916247918347</c:v>
                </c:pt>
                <c:pt idx="39">
                  <c:v>0.23379454624582205</c:v>
                </c:pt>
                <c:pt idx="40">
                  <c:v>0.2367816053841274</c:v>
                </c:pt>
                <c:pt idx="41">
                  <c:v>0.23973176844557298</c:v>
                </c:pt>
                <c:pt idx="42">
                  <c:v>0.24264637737949457</c:v>
                </c:pt>
                <c:pt idx="43">
                  <c:v>0.24552669470960312</c:v>
                </c:pt>
                <c:pt idx="44">
                  <c:v>0.24837390996351869</c:v>
                </c:pt>
                <c:pt idx="45">
                  <c:v>0.25118914544820958</c:v>
                </c:pt>
                <c:pt idx="46">
                  <c:v>0.25397346145087546</c:v>
                </c:pt>
                <c:pt idx="47">
                  <c:v>0.25672786093362659</c:v>
                </c:pt>
                <c:pt idx="48">
                  <c:v>0.25945329378090565</c:v>
                </c:pt>
                <c:pt idx="49">
                  <c:v>0.2621506606506539</c:v>
                </c:pt>
                <c:pt idx="50">
                  <c:v>0.26482081647348887</c:v>
                </c:pt>
                <c:pt idx="51">
                  <c:v>0.26746457363843318</c:v>
                </c:pt>
                <c:pt idx="52">
                  <c:v>0.27008270489884412</c:v>
                </c:pt>
                <c:pt idx="53">
                  <c:v>0.27267594602800554</c:v>
                </c:pt>
                <c:pt idx="54">
                  <c:v>0.27524499825024601</c:v>
                </c:pt>
                <c:pt idx="55">
                  <c:v>0.27779053047034885</c:v>
                </c:pt>
                <c:pt idx="56">
                  <c:v>0.28031318132133715</c:v>
                </c:pt>
                <c:pt idx="57">
                  <c:v>0.28281356104840016</c:v>
                </c:pt>
                <c:pt idx="58">
                  <c:v>0.28529225324470459</c:v>
                </c:pt>
                <c:pt idx="59">
                  <c:v>0.28774981645308051</c:v>
                </c:pt>
                <c:pt idx="60">
                  <c:v>0.29018678564603584</c:v>
                </c:pt>
                <c:pt idx="61">
                  <c:v>0.29260367359520806</c:v>
                </c:pt>
                <c:pt idx="62">
                  <c:v>0.295000972140184</c:v>
                </c:pt>
                <c:pt idx="63">
                  <c:v>0.29737915336558041</c:v>
                </c:pt>
                <c:pt idx="64">
                  <c:v>0.29973867069436516</c:v>
                </c:pt>
                <c:pt idx="65">
                  <c:v>0.30207995990459013</c:v>
                </c:pt>
                <c:pt idx="66">
                  <c:v>0.30328030550632706</c:v>
                </c:pt>
                <c:pt idx="67">
                  <c:v>0.30132920995478851</c:v>
                </c:pt>
                <c:pt idx="68">
                  <c:v>0.29941510332288784</c:v>
                </c:pt>
                <c:pt idx="69">
                  <c:v>0.29396872961869769</c:v>
                </c:pt>
                <c:pt idx="70">
                  <c:v>0.29425747179951028</c:v>
                </c:pt>
                <c:pt idx="71">
                  <c:v>0.29454368287957128</c:v>
                </c:pt>
                <c:pt idx="72">
                  <c:v>0.29482532424301283</c:v>
                </c:pt>
                <c:pt idx="73">
                  <c:v>0.29510014348212904</c:v>
                </c:pt>
                <c:pt idx="74">
                  <c:v>0.29536839986190278</c:v>
                </c:pt>
                <c:pt idx="75">
                  <c:v>0.29563033967623148</c:v>
                </c:pt>
                <c:pt idx="76">
                  <c:v>0.29588619704908897</c:v>
                </c:pt>
                <c:pt idx="77">
                  <c:v>0.29613619467703212</c:v>
                </c:pt>
                <c:pt idx="78">
                  <c:v>0.29638054451800094</c:v>
                </c:pt>
                <c:pt idx="79">
                  <c:v>0.29661944843089005</c:v>
                </c:pt>
                <c:pt idx="80">
                  <c:v>0.29685309876994842</c:v>
                </c:pt>
                <c:pt idx="81">
                  <c:v>0.29708167893768594</c:v>
                </c:pt>
                <c:pt idx="82">
                  <c:v>0.29730536389962769</c:v>
                </c:pt>
                <c:pt idx="83">
                  <c:v>0.29752432066395118</c:v>
                </c:pt>
                <c:pt idx="84">
                  <c:v>0.29773870872877162</c:v>
                </c:pt>
                <c:pt idx="85">
                  <c:v>0.29794868049959211</c:v>
                </c:pt>
                <c:pt idx="86">
                  <c:v>0.29815438167921454</c:v>
                </c:pt>
                <c:pt idx="87">
                  <c:v>0.29835595163220857</c:v>
                </c:pt>
                <c:pt idx="88">
                  <c:v>0.29855352372585442</c:v>
                </c:pt>
                <c:pt idx="89">
                  <c:v>0.298747225649311</c:v>
                </c:pt>
                <c:pt idx="90">
                  <c:v>0.29893717971261757</c:v>
                </c:pt>
                <c:pt idx="91">
                  <c:v>0.29912350312699693</c:v>
                </c:pt>
                <c:pt idx="92">
                  <c:v>0.29930630826781224</c:v>
                </c:pt>
                <c:pt idx="93">
                  <c:v>0.29948570292141613</c:v>
                </c:pt>
                <c:pt idx="94">
                  <c:v>0.29966179051703262</c:v>
                </c:pt>
                <c:pt idx="95">
                  <c:v>0.29983467034471889</c:v>
                </c:pt>
                <c:pt idx="96">
                  <c:v>0.30000443776037228</c:v>
                </c:pt>
                <c:pt idx="97">
                  <c:v>0.30017118437867318</c:v>
                </c:pt>
                <c:pt idx="98">
                  <c:v>0.30033499825478294</c:v>
                </c:pt>
                <c:pt idx="99">
                  <c:v>0.30049596405555318</c:v>
                </c:pt>
                <c:pt idx="100">
                  <c:v>0.30065416322095001</c:v>
                </c:pt>
              </c:numCache>
            </c:numRef>
          </c:val>
          <c:smooth val="0"/>
          <c:extLst>
            <c:ext xmlns:c16="http://schemas.microsoft.com/office/drawing/2014/chart" uri="{C3380CC4-5D6E-409C-BE32-E72D297353CC}">
              <c16:uniqueId val="{00000008-CEA8-405E-B5B3-AF38AAF3801C}"/>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10.012467970437628</c:v>
                </c:pt>
                <c:pt idx="2">
                  <c:v>30.037403911312889</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237.11687394801285</c:v>
                </c:pt>
                <c:pt idx="27">
                  <c:v>228.71217510399072</c:v>
                </c:pt>
                <c:pt idx="28">
                  <c:v>220.79090629077334</c:v>
                </c:pt>
                <c:pt idx="29">
                  <c:v>213.39224068989424</c:v>
                </c:pt>
                <c:pt idx="30">
                  <c:v>206.46611091387595</c:v>
                </c:pt>
                <c:pt idx="31">
                  <c:v>199.96864718879655</c:v>
                </c:pt>
                <c:pt idx="32">
                  <c:v>193.86124717214813</c:v>
                </c:pt>
                <c:pt idx="33">
                  <c:v>188.10980841848749</c:v>
                </c:pt>
                <c:pt idx="34">
                  <c:v>182.68409125254396</c:v>
                </c:pt>
                <c:pt idx="35">
                  <c:v>177.55718691202003</c:v>
                </c:pt>
                <c:pt idx="36">
                  <c:v>172.70507121177818</c:v>
                </c:pt>
                <c:pt idx="37">
                  <c:v>168.10622810457852</c:v>
                </c:pt>
                <c:pt idx="38">
                  <c:v>163.74133069302343</c:v>
                </c:pt>
                <c:pt idx="39">
                  <c:v>159.59296971705476</c:v>
                </c:pt>
                <c:pt idx="40">
                  <c:v>155.64542147301893</c:v>
                </c:pt>
                <c:pt idx="41">
                  <c:v>151.88444864114015</c:v>
                </c:pt>
                <c:pt idx="42">
                  <c:v>148.29712870305036</c:v>
                </c:pt>
                <c:pt idx="43">
                  <c:v>144.87170559114992</c:v>
                </c:pt>
                <c:pt idx="44">
                  <c:v>141.59746098099774</c:v>
                </c:pt>
                <c:pt idx="45">
                  <c:v>138.46460225783966</c:v>
                </c:pt>
                <c:pt idx="46">
                  <c:v>135.46416469037217</c:v>
                </c:pt>
                <c:pt idx="47">
                  <c:v>132.58792575331745</c:v>
                </c:pt>
                <c:pt idx="48">
                  <c:v>129.82832987431564</c:v>
                </c:pt>
                <c:pt idx="49">
                  <c:v>127.17842215483743</c:v>
                </c:pt>
                <c:pt idx="50">
                  <c:v>124.63178984092414</c:v>
                </c:pt>
                <c:pt idx="51">
                  <c:v>122.1825105067725</c:v>
                </c:pt>
                <c:pt idx="52">
                  <c:v>119.82510606978157</c:v>
                </c:pt>
                <c:pt idx="53">
                  <c:v>117.55450188550293</c:v>
                </c:pt>
                <c:pt idx="54">
                  <c:v>115.36599027962956</c:v>
                </c:pt>
                <c:pt idx="55">
                  <c:v>113.25519796548701</c:v>
                </c:pt>
                <c:pt idx="56">
                  <c:v>111.21805687247338</c:v>
                </c:pt>
                <c:pt idx="57">
                  <c:v>109.25077797599847</c:v>
                </c:pt>
                <c:pt idx="58">
                  <c:v>107.34982777469709</c:v>
                </c:pt>
                <c:pt idx="59">
                  <c:v>105.51190710767578</c:v>
                </c:pt>
                <c:pt idx="60">
                  <c:v>103.73393204463981</c:v>
                </c:pt>
                <c:pt idx="61">
                  <c:v>102.01301661604374</c:v>
                </c:pt>
                <c:pt idx="62">
                  <c:v>100.34645717983406</c:v>
                </c:pt>
                <c:pt idx="63">
                  <c:v>98.731718246653998</c:v>
                </c:pt>
                <c:pt idx="64">
                  <c:v>97.166419607201391</c:v>
                </c:pt>
                <c:pt idx="65">
                  <c:v>95.648324624285308</c:v>
                </c:pt>
                <c:pt idx="66">
                  <c:v>94.175329568465941</c:v>
                </c:pt>
                <c:pt idx="67">
                  <c:v>92.745453890341267</c:v>
                </c:pt>
                <c:pt idx="68">
                  <c:v>91.356831334890998</c:v>
                </c:pt>
                <c:pt idx="69">
                  <c:v>90.007701814047167</c:v>
                </c:pt>
                <c:pt idx="70">
                  <c:v>88.696403963065379</c:v>
                </c:pt>
                <c:pt idx="71">
                  <c:v>87.421368314505528</c:v>
                </c:pt>
                <c:pt idx="72">
                  <c:v>86.181111030852392</c:v>
                </c:pt>
                <c:pt idx="73">
                  <c:v>84.974228143155131</c:v>
                </c:pt>
                <c:pt idx="74">
                  <c:v>83.799390248653992</c:v>
                </c:pt>
                <c:pt idx="75">
                  <c:v>82.655337625293186</c:v>
                </c:pt>
                <c:pt idx="76">
                  <c:v>81.540875725375344</c:v>
                </c:pt>
                <c:pt idx="77">
                  <c:v>80.45487101446767</c:v>
                </c:pt>
                <c:pt idx="78">
                  <c:v>79.396247125090042</c:v>
                </c:pt>
                <c:pt idx="79">
                  <c:v>78.363981297748111</c:v>
                </c:pt>
                <c:pt idx="80">
                  <c:v>77.357101084576357</c:v>
                </c:pt>
                <c:pt idx="81">
                  <c:v>76.374681293257453</c:v>
                </c:pt>
                <c:pt idx="82">
                  <c:v>75.415841151030449</c:v>
                </c:pt>
                <c:pt idx="83">
                  <c:v>74.479741670516049</c:v>
                </c:pt>
                <c:pt idx="84">
                  <c:v>73.565583200798827</c:v>
                </c:pt>
                <c:pt idx="85">
                  <c:v>72.672603148742766</c:v>
                </c:pt>
                <c:pt idx="86">
                  <c:v>71.800073856892311</c:v>
                </c:pt>
                <c:pt idx="87">
                  <c:v>70.947300625547939</c:v>
                </c:pt>
                <c:pt idx="88">
                  <c:v>70.113619867715443</c:v>
                </c:pt>
                <c:pt idx="89">
                  <c:v>69.298397386631748</c:v>
                </c:pt>
                <c:pt idx="90">
                  <c:v>68.501026766469593</c:v>
                </c:pt>
                <c:pt idx="91">
                  <c:v>67.72092786763919</c:v>
                </c:pt>
                <c:pt idx="92">
                  <c:v>66.957545418840752</c:v>
                </c:pt>
                <c:pt idx="93">
                  <c:v>66.210347698686775</c:v>
                </c:pt>
                <c:pt idx="94">
                  <c:v>65.478825300316004</c:v>
                </c:pt>
                <c:pt idx="95">
                  <c:v>64.762489972967174</c:v>
                </c:pt>
                <c:pt idx="96">
                  <c:v>64.060873534976949</c:v>
                </c:pt>
                <c:pt idx="97">
                  <c:v>63.373526853116537</c:v>
                </c:pt>
                <c:pt idx="98">
                  <c:v>62.700018883590893</c:v>
                </c:pt>
                <c:pt idx="99">
                  <c:v>62.039935770398017</c:v>
                </c:pt>
                <c:pt idx="100">
                  <c:v>61.392879997085096</c:v>
                </c:pt>
              </c:numCache>
            </c:numRef>
          </c:val>
          <c:smooth val="0"/>
          <c:extLst>
            <c:ext xmlns:c16="http://schemas.microsoft.com/office/drawing/2014/chart" uri="{C3380CC4-5D6E-409C-BE32-E72D297353CC}">
              <c16:uniqueId val="{00000009-CEA8-405E-B5B3-AF38AAF3801C}"/>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10.012467970437628</c:v>
                </c:pt>
                <c:pt idx="2">
                  <c:v>20.024935940875256</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260.32416723137834</c:v>
                </c:pt>
                <c:pt idx="27">
                  <c:v>270.33663520181597</c:v>
                </c:pt>
                <c:pt idx="28">
                  <c:v>280.34910317225365</c:v>
                </c:pt>
                <c:pt idx="29">
                  <c:v>290.36157114269122</c:v>
                </c:pt>
                <c:pt idx="30">
                  <c:v>300.37403911312884</c:v>
                </c:pt>
                <c:pt idx="31">
                  <c:v>310.38650708356653</c:v>
                </c:pt>
                <c:pt idx="32">
                  <c:v>320.3989750540041</c:v>
                </c:pt>
                <c:pt idx="33">
                  <c:v>330.41144302444178</c:v>
                </c:pt>
                <c:pt idx="34">
                  <c:v>340.42391099487946</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343.53260049854697</c:v>
                </c:pt>
                <c:pt idx="51">
                  <c:v>337.24233243538094</c:v>
                </c:pt>
                <c:pt idx="52">
                  <c:v>331.17803246141665</c:v>
                </c:pt>
                <c:pt idx="53">
                  <c:v>325.32434129059664</c:v>
                </c:pt>
                <c:pt idx="54">
                  <c:v>319.6688212970347</c:v>
                </c:pt>
                <c:pt idx="55">
                  <c:v>314.2059910179334</c:v>
                </c:pt>
                <c:pt idx="56">
                  <c:v>308.92616749844484</c:v>
                </c:pt>
                <c:pt idx="57">
                  <c:v>303.82030587323101</c:v>
                </c:pt>
                <c:pt idx="58">
                  <c:v>298.87994765714615</c:v>
                </c:pt>
                <c:pt idx="59">
                  <c:v>294.09717398420645</c:v>
                </c:pt>
                <c:pt idx="60">
                  <c:v>289.46456325107459</c:v>
                </c:pt>
                <c:pt idx="61">
                  <c:v>284.97515268852692</c:v>
                </c:pt>
                <c:pt idx="62">
                  <c:v>280.62240344239223</c:v>
                </c:pt>
                <c:pt idx="63">
                  <c:v>276.40016879565252</c:v>
                </c:pt>
                <c:pt idx="64">
                  <c:v>272.30266520691464</c:v>
                </c:pt>
                <c:pt idx="65">
                  <c:v>268.32444587828491</c:v>
                </c:pt>
                <c:pt idx="66">
                  <c:v>264.46037659861815</c:v>
                </c:pt>
                <c:pt idx="67">
                  <c:v>260.70561363685255</c:v>
                </c:pt>
                <c:pt idx="68">
                  <c:v>257.05558348528558</c:v>
                </c:pt>
                <c:pt idx="69">
                  <c:v>253.50596427466186</c:v>
                </c:pt>
                <c:pt idx="70">
                  <c:v>250.05266870228883</c:v>
                </c:pt>
                <c:pt idx="71">
                  <c:v>246.69182833139183</c:v>
                </c:pt>
                <c:pt idx="72">
                  <c:v>243.41977913491436</c:v>
                </c:pt>
                <c:pt idx="73">
                  <c:v>240.23304817018402</c:v>
                </c:pt>
                <c:pt idx="74">
                  <c:v>237.12834128256674</c:v>
                </c:pt>
                <c:pt idx="75">
                  <c:v>234.10253174658567</c:v>
                </c:pt>
                <c:pt idx="76">
                  <c:v>231.15264976216574</c:v>
                </c:pt>
                <c:pt idx="77">
                  <c:v>228.27587273182925</c:v>
                </c:pt>
                <c:pt idx="78">
                  <c:v>225.4695162519325</c:v>
                </c:pt>
                <c:pt idx="79">
                  <c:v>222.73102575750269</c:v>
                </c:pt>
                <c:pt idx="80">
                  <c:v>220.0579687660144</c:v>
                </c:pt>
                <c:pt idx="81">
                  <c:v>217.44802767060389</c:v>
                </c:pt>
                <c:pt idx="82">
                  <c:v>214.89899303784705</c:v>
                </c:pt>
                <c:pt idx="83">
                  <c:v>212.40875736935786</c:v>
                </c:pt>
                <c:pt idx="84">
                  <c:v>209.97530929019152</c:v>
                </c:pt>
                <c:pt idx="85">
                  <c:v>207.59672813036588</c:v>
                </c:pt>
                <c:pt idx="86">
                  <c:v>205.27117886882422</c:v>
                </c:pt>
                <c:pt idx="87">
                  <c:v>202.99690741186777</c:v>
                </c:pt>
                <c:pt idx="88">
                  <c:v>200.77223618052449</c:v>
                </c:pt>
                <c:pt idx="89">
                  <c:v>198.59555998352607</c:v>
                </c:pt>
                <c:pt idx="90">
                  <c:v>196.46534215455691</c:v>
                </c:pt>
                <c:pt idx="91">
                  <c:v>194.38011093423916</c:v>
                </c:pt>
                <c:pt idx="92">
                  <c:v>192.33845607895367</c:v>
                </c:pt>
                <c:pt idx="93">
                  <c:v>190.33902568007684</c:v>
                </c:pt>
                <c:pt idx="94">
                  <c:v>188.38052317855539</c:v>
                </c:pt>
                <c:pt idx="95">
                  <c:v>186.46170456096741</c:v>
                </c:pt>
                <c:pt idx="96">
                  <c:v>184.58137572432679</c:v>
                </c:pt>
                <c:pt idx="97">
                  <c:v>182.73838999789993</c:v>
                </c:pt>
                <c:pt idx="98">
                  <c:v>180.93164581122906</c:v>
                </c:pt>
                <c:pt idx="99">
                  <c:v>179.16008449839575</c:v>
                </c:pt>
                <c:pt idx="100">
                  <c:v>177.42268822932925</c:v>
                </c:pt>
              </c:numCache>
            </c:numRef>
          </c:val>
          <c:smooth val="0"/>
          <c:extLst>
            <c:ext xmlns:c16="http://schemas.microsoft.com/office/drawing/2014/chart" uri="{C3380CC4-5D6E-409C-BE32-E72D297353CC}">
              <c16:uniqueId val="{0000000A-CEA8-405E-B5B3-AF38AAF3801C}"/>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10.012375988822143</c:v>
                </c:pt>
                <c:pt idx="2">
                  <c:v>20.024751977644286</c:v>
                </c:pt>
                <c:pt idx="3">
                  <c:v>30.037127966466429</c:v>
                </c:pt>
                <c:pt idx="4">
                  <c:v>40.049503955288571</c:v>
                </c:pt>
                <c:pt idx="5">
                  <c:v>50.061879944110721</c:v>
                </c:pt>
                <c:pt idx="6">
                  <c:v>60.074255932932857</c:v>
                </c:pt>
                <c:pt idx="7">
                  <c:v>70.086631921755</c:v>
                </c:pt>
                <c:pt idx="8">
                  <c:v>80.099007910577143</c:v>
                </c:pt>
                <c:pt idx="9">
                  <c:v>90.111383899399286</c:v>
                </c:pt>
                <c:pt idx="10">
                  <c:v>100.12375988822144</c:v>
                </c:pt>
                <c:pt idx="11">
                  <c:v>110.13613587704357</c:v>
                </c:pt>
                <c:pt idx="12">
                  <c:v>120.14851186586571</c:v>
                </c:pt>
                <c:pt idx="13">
                  <c:v>130.16088785468787</c:v>
                </c:pt>
                <c:pt idx="14">
                  <c:v>140.17326384351</c:v>
                </c:pt>
                <c:pt idx="15">
                  <c:v>150.18563983233216</c:v>
                </c:pt>
                <c:pt idx="16">
                  <c:v>160.19801582115429</c:v>
                </c:pt>
                <c:pt idx="17">
                  <c:v>170.21039180997644</c:v>
                </c:pt>
                <c:pt idx="18">
                  <c:v>180.22276779879857</c:v>
                </c:pt>
                <c:pt idx="19">
                  <c:v>190.23514378762073</c:v>
                </c:pt>
                <c:pt idx="20">
                  <c:v>200.24751977644289</c:v>
                </c:pt>
                <c:pt idx="21">
                  <c:v>210.25989576526501</c:v>
                </c:pt>
                <c:pt idx="22">
                  <c:v>220.27227175408714</c:v>
                </c:pt>
                <c:pt idx="23">
                  <c:v>230.2846477429093</c:v>
                </c:pt>
                <c:pt idx="24">
                  <c:v>240.29702373173143</c:v>
                </c:pt>
                <c:pt idx="25">
                  <c:v>250.30939972055356</c:v>
                </c:pt>
                <c:pt idx="26">
                  <c:v>260.32177570937574</c:v>
                </c:pt>
                <c:pt idx="27">
                  <c:v>270.3341516981979</c:v>
                </c:pt>
                <c:pt idx="28">
                  <c:v>280.34652768702</c:v>
                </c:pt>
                <c:pt idx="29">
                  <c:v>290.35890367584216</c:v>
                </c:pt>
                <c:pt idx="30">
                  <c:v>300.37127966466431</c:v>
                </c:pt>
                <c:pt idx="31">
                  <c:v>310.38365565348641</c:v>
                </c:pt>
                <c:pt idx="32">
                  <c:v>320.39603164230857</c:v>
                </c:pt>
                <c:pt idx="33">
                  <c:v>330.40840763113073</c:v>
                </c:pt>
                <c:pt idx="34">
                  <c:v>340.42078361995289</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348.70863121887066</c:v>
                </c:pt>
                <c:pt idx="67">
                  <c:v>343.86029290821517</c:v>
                </c:pt>
                <c:pt idx="68">
                  <c:v>339.14488892385293</c:v>
                </c:pt>
                <c:pt idx="69">
                  <c:v>334.55702615992732</c:v>
                </c:pt>
                <c:pt idx="70">
                  <c:v>330.09159934167945</c:v>
                </c:pt>
                <c:pt idx="71">
                  <c:v>325.74275284211831</c:v>
                </c:pt>
                <c:pt idx="72">
                  <c:v>321.50641651018856</c:v>
                </c:pt>
                <c:pt idx="73">
                  <c:v>317.37877014741252</c:v>
                </c:pt>
                <c:pt idx="74">
                  <c:v>313.3556837580756</c:v>
                </c:pt>
                <c:pt idx="75">
                  <c:v>309.43323397116495</c:v>
                </c:pt>
                <c:pt idx="76">
                  <c:v>305.60769127813842</c:v>
                </c:pt>
                <c:pt idx="77">
                  <c:v>301.87550820506556</c:v>
                </c:pt>
                <c:pt idx="78">
                  <c:v>298.23330834029326</c:v>
                </c:pt>
                <c:pt idx="79">
                  <c:v>294.67787614630225</c:v>
                </c:pt>
                <c:pt idx="80">
                  <c:v>291.20614749113423</c:v>
                </c:pt>
                <c:pt idx="81">
                  <c:v>287.81520084079034</c:v>
                </c:pt>
                <c:pt idx="82">
                  <c:v>284.50224905938774</c:v>
                </c:pt>
                <c:pt idx="83">
                  <c:v>281.26463176870334</c:v>
                </c:pt>
                <c:pt idx="84">
                  <c:v>278.09980822308609</c:v>
                </c:pt>
                <c:pt idx="85">
                  <c:v>275.00535065962805</c:v>
                </c:pt>
                <c:pt idx="86">
                  <c:v>271.97893808702145</c:v>
                </c:pt>
                <c:pt idx="87">
                  <c:v>269.01835047970189</c:v>
                </c:pt>
                <c:pt idx="88">
                  <c:v>266.12146334675759</c:v>
                </c:pt>
                <c:pt idx="89">
                  <c:v>263.28624264768399</c:v>
                </c:pt>
                <c:pt idx="90">
                  <c:v>260.51074002941033</c:v>
                </c:pt>
                <c:pt idx="91">
                  <c:v>257.7930883611632</c:v>
                </c:pt>
                <c:pt idx="92">
                  <c:v>255.131497545662</c:v>
                </c:pt>
                <c:pt idx="93">
                  <c:v>252.52425058689749</c:v>
                </c:pt>
                <c:pt idx="94">
                  <c:v>249.96969989634425</c:v>
                </c:pt>
                <c:pt idx="95">
                  <c:v>247.46626382090724</c:v>
                </c:pt>
                <c:pt idx="96">
                  <c:v>245.01242337722769</c:v>
                </c:pt>
                <c:pt idx="97">
                  <c:v>242.60671917817993</c:v>
                </c:pt>
                <c:pt idx="98">
                  <c:v>240.24774853849101</c:v>
                </c:pt>
                <c:pt idx="99">
                  <c:v>237.93416274742222</c:v>
                </c:pt>
                <c:pt idx="100">
                  <c:v>235.66466449736856</c:v>
                </c:pt>
              </c:numCache>
            </c:numRef>
          </c:val>
          <c:smooth val="0"/>
          <c:extLst>
            <c:ext xmlns:c16="http://schemas.microsoft.com/office/drawing/2014/chart" uri="{C3380CC4-5D6E-409C-BE32-E72D297353CC}">
              <c16:uniqueId val="{0000000B-CEA8-405E-B5B3-AF38AAF3801C}"/>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CEA8-405E-B5B3-AF38AAF3801C}"/>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CEA8-405E-B5B3-AF38AAF3801C}"/>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CEA8-405E-B5B3-AF38AAF3801C}"/>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9.2592769250602718E-3</c:v>
                </c:pt>
                <c:pt idx="1">
                  <c:v>9.3091060677618267E-3</c:v>
                </c:pt>
                <c:pt idx="2">
                  <c:v>1.8618212135523653E-2</c:v>
                </c:pt>
                <c:pt idx="3">
                  <c:v>2.7927318203285489E-2</c:v>
                </c:pt>
                <c:pt idx="4">
                  <c:v>3.7236424271047307E-2</c:v>
                </c:pt>
                <c:pt idx="5">
                  <c:v>4.6545530338809149E-2</c:v>
                </c:pt>
                <c:pt idx="6">
                  <c:v>5.5854636406570977E-2</c:v>
                </c:pt>
                <c:pt idx="7">
                  <c:v>6.5163742474332806E-2</c:v>
                </c:pt>
                <c:pt idx="8">
                  <c:v>7.4472848542094613E-2</c:v>
                </c:pt>
                <c:pt idx="9">
                  <c:v>8.3781954609856449E-2</c:v>
                </c:pt>
                <c:pt idx="10">
                  <c:v>9.3091060677618298E-2</c:v>
                </c:pt>
                <c:pt idx="11">
                  <c:v>0.10240016674538012</c:v>
                </c:pt>
                <c:pt idx="12">
                  <c:v>0.11170927281314195</c:v>
                </c:pt>
                <c:pt idx="13">
                  <c:v>0.12101837888090376</c:v>
                </c:pt>
                <c:pt idx="14">
                  <c:v>0.13032748494866561</c:v>
                </c:pt>
                <c:pt idx="15">
                  <c:v>0.13963659101642739</c:v>
                </c:pt>
                <c:pt idx="16">
                  <c:v>0.14894569708418923</c:v>
                </c:pt>
                <c:pt idx="17">
                  <c:v>0.15825480315195112</c:v>
                </c:pt>
                <c:pt idx="18">
                  <c:v>0.1675639092197129</c:v>
                </c:pt>
                <c:pt idx="19">
                  <c:v>0.17687301528747473</c:v>
                </c:pt>
                <c:pt idx="20">
                  <c:v>0.1861821213552366</c:v>
                </c:pt>
                <c:pt idx="21">
                  <c:v>0.19549122742299838</c:v>
                </c:pt>
                <c:pt idx="22">
                  <c:v>0.20480033349076024</c:v>
                </c:pt>
                <c:pt idx="23">
                  <c:v>0.21410943955852205</c:v>
                </c:pt>
                <c:pt idx="24">
                  <c:v>0.22341854562628391</c:v>
                </c:pt>
                <c:pt idx="25">
                  <c:v>0.23272765169404566</c:v>
                </c:pt>
                <c:pt idx="26">
                  <c:v>0.24203675776180752</c:v>
                </c:pt>
                <c:pt idx="27">
                  <c:v>0.2513458638295693</c:v>
                </c:pt>
                <c:pt idx="28">
                  <c:v>0.26065496989733122</c:v>
                </c:pt>
                <c:pt idx="29">
                  <c:v>0.26996407596509298</c:v>
                </c:pt>
                <c:pt idx="30">
                  <c:v>0.27927318203285478</c:v>
                </c:pt>
                <c:pt idx="31">
                  <c:v>0.28858228810061665</c:v>
                </c:pt>
                <c:pt idx="32">
                  <c:v>0.29789139416837845</c:v>
                </c:pt>
                <c:pt idx="33">
                  <c:v>0.30720050023614037</c:v>
                </c:pt>
                <c:pt idx="34">
                  <c:v>0.3188817734313632</c:v>
                </c:pt>
                <c:pt idx="35">
                  <c:v>0.33263853691951434</c:v>
                </c:pt>
                <c:pt idx="36">
                  <c:v>0.33737682545191006</c:v>
                </c:pt>
                <c:pt idx="37">
                  <c:v>0.34205029298934098</c:v>
                </c:pt>
                <c:pt idx="38">
                  <c:v>0.34666155046543334</c:v>
                </c:pt>
                <c:pt idx="39">
                  <c:v>0.3512130381105642</c:v>
                </c:pt>
                <c:pt idx="40">
                  <c:v>0.35570704067967873</c:v>
                </c:pt>
                <c:pt idx="41">
                  <c:v>0.36014570097684945</c:v>
                </c:pt>
                <c:pt idx="42">
                  <c:v>0.36453103190379432</c:v>
                </c:pt>
                <c:pt idx="43">
                  <c:v>0.36886492722459502</c:v>
                </c:pt>
                <c:pt idx="44">
                  <c:v>0.37314917120995095</c:v>
                </c:pt>
                <c:pt idx="45">
                  <c:v>0.37738544730029505</c:v>
                </c:pt>
                <c:pt idx="46">
                  <c:v>0.38157534590707853</c:v>
                </c:pt>
                <c:pt idx="47">
                  <c:v>0.38572037145475302</c:v>
                </c:pt>
                <c:pt idx="48">
                  <c:v>0.38982194875186976</c:v>
                </c:pt>
                <c:pt idx="49">
                  <c:v>0.39388142876779658</c:v>
                </c:pt>
                <c:pt idx="50">
                  <c:v>0.39054758282775021</c:v>
                </c:pt>
                <c:pt idx="51">
                  <c:v>0.38723047477885558</c:v>
                </c:pt>
                <c:pt idx="52">
                  <c:v>0.38399600280779267</c:v>
                </c:pt>
                <c:pt idx="53">
                  <c:v>0.38084443286632597</c:v>
                </c:pt>
                <c:pt idx="54">
                  <c:v>0.37777407475188707</c:v>
                </c:pt>
                <c:pt idx="55">
                  <c:v>0.38291824544753283</c:v>
                </c:pt>
                <c:pt idx="56">
                  <c:v>0.38337630366960568</c:v>
                </c:pt>
                <c:pt idx="57">
                  <c:v>0.38382020638467573</c:v>
                </c:pt>
                <c:pt idx="58">
                  <c:v>0.38425064200492559</c:v>
                </c:pt>
                <c:pt idx="59">
                  <c:v>0.38466825502448587</c:v>
                </c:pt>
                <c:pt idx="60">
                  <c:v>0.38507364946671041</c:v>
                </c:pt>
                <c:pt idx="61">
                  <c:v>0.38546739201176478</c:v>
                </c:pt>
                <c:pt idx="62">
                  <c:v>0.38585001483858655</c:v>
                </c:pt>
                <c:pt idx="63">
                  <c:v>0.38622201821119861</c:v>
                </c:pt>
                <c:pt idx="64">
                  <c:v>0.38658387283580442</c:v>
                </c:pt>
                <c:pt idx="65">
                  <c:v>0.38693602201202221</c:v>
                </c:pt>
                <c:pt idx="66">
                  <c:v>0.38727888359893353</c:v>
                </c:pt>
                <c:pt idx="67">
                  <c:v>0.38761285181428173</c:v>
                </c:pt>
                <c:pt idx="68">
                  <c:v>0.38793829888310805</c:v>
                </c:pt>
                <c:pt idx="69">
                  <c:v>0.388255576550324</c:v>
                </c:pt>
                <c:pt idx="70">
                  <c:v>0.38856501747014344</c:v>
                </c:pt>
                <c:pt idx="71">
                  <c:v>0.38886693648391218</c:v>
                </c:pt>
                <c:pt idx="72">
                  <c:v>0.38916163179665764</c:v>
                </c:pt>
                <c:pt idx="73">
                  <c:v>0.38944938606159835</c:v>
                </c:pt>
                <c:pt idx="74">
                  <c:v>0.38973046738090872</c:v>
                </c:pt>
                <c:pt idx="75">
                  <c:v>0.39000513023018535</c:v>
                </c:pt>
                <c:pt idx="76">
                  <c:v>0.39027361631331836</c:v>
                </c:pt>
                <c:pt idx="77">
                  <c:v>0.39053615535380126</c:v>
                </c:pt>
                <c:pt idx="78">
                  <c:v>0.39079296582792911</c:v>
                </c:pt>
                <c:pt idx="79">
                  <c:v>0.391044255644801</c:v>
                </c:pt>
                <c:pt idx="80">
                  <c:v>0.39129022277757708</c:v>
                </c:pt>
                <c:pt idx="81">
                  <c:v>0.39153105585001702</c:v>
                </c:pt>
                <c:pt idx="82">
                  <c:v>0.39176693468195622</c:v>
                </c:pt>
                <c:pt idx="83">
                  <c:v>0.39199803079703016</c:v>
                </c:pt>
                <c:pt idx="84">
                  <c:v>0.39222450789566393</c:v>
                </c:pt>
                <c:pt idx="85">
                  <c:v>0.39244652229606669</c:v>
                </c:pt>
                <c:pt idx="86">
                  <c:v>0.39266422334572809</c:v>
                </c:pt>
                <c:pt idx="87">
                  <c:v>0.39287775380569256</c:v>
                </c:pt>
                <c:pt idx="88">
                  <c:v>0.39308725020969137</c:v>
                </c:pt>
                <c:pt idx="89">
                  <c:v>0.3932928432000285</c:v>
                </c:pt>
                <c:pt idx="90">
                  <c:v>0.39349465784195964</c:v>
                </c:pt>
                <c:pt idx="91">
                  <c:v>0.39369281391815103</c:v>
                </c:pt>
                <c:pt idx="92">
                  <c:v>0.3938874262046787</c:v>
                </c:pt>
                <c:pt idx="93">
                  <c:v>0.39407860472990086</c:v>
                </c:pt>
                <c:pt idx="94">
                  <c:v>0.39426645501743385</c:v>
                </c:pt>
                <c:pt idx="95">
                  <c:v>0.39445107831435577</c:v>
                </c:pt>
                <c:pt idx="96">
                  <c:v>0.3946325718056784</c:v>
                </c:pt>
                <c:pt idx="97">
                  <c:v>0.39481102881603874</c:v>
                </c:pt>
                <c:pt idx="98">
                  <c:v>0.39498653899949204</c:v>
                </c:pt>
                <c:pt idx="99">
                  <c:v>0.39515918851821691</c:v>
                </c:pt>
                <c:pt idx="100">
                  <c:v>0.39532906021087932</c:v>
                </c:pt>
              </c:numCache>
            </c:numRef>
          </c:val>
          <c:smooth val="0"/>
          <c:extLst>
            <c:ext xmlns:c16="http://schemas.microsoft.com/office/drawing/2014/chart" uri="{C3380CC4-5D6E-409C-BE32-E72D297353CC}">
              <c16:uniqueId val="{0000000F-CEA8-405E-B5B3-AF38AAF3801C}"/>
            </c:ext>
          </c:extLst>
        </c:ser>
        <c:ser>
          <c:idx val="7"/>
          <c:order val="7"/>
          <c:spPr>
            <a:ln w="25400">
              <a:solidFill>
                <a:srgbClr val="00B050"/>
              </a:solidFill>
              <a:prstDash val="dash"/>
            </a:ln>
          </c:spPr>
          <c:marker>
            <c:symbol val="none"/>
          </c:marker>
          <c:val>
            <c:numRef>
              <c:f>'Calculations - Dual'!$AU$110:$AU$210</c:f>
              <c:numCache>
                <c:formatCode>0.000</c:formatCode>
                <c:ptCount val="101"/>
                <c:pt idx="0">
                  <c:v>2.4709909358202609E-2</c:v>
                </c:pt>
                <c:pt idx="1">
                  <c:v>2.4996404217515214E-2</c:v>
                </c:pt>
                <c:pt idx="2">
                  <c:v>7.498921265254567E-2</c:v>
                </c:pt>
                <c:pt idx="3">
                  <c:v>7.498921265254567E-2</c:v>
                </c:pt>
                <c:pt idx="4">
                  <c:v>9.9985616870060856E-2</c:v>
                </c:pt>
                <c:pt idx="5">
                  <c:v>0.12498202108757611</c:v>
                </c:pt>
                <c:pt idx="6">
                  <c:v>0.14997842530509134</c:v>
                </c:pt>
                <c:pt idx="7">
                  <c:v>0.17497482952260657</c:v>
                </c:pt>
                <c:pt idx="8">
                  <c:v>0.19997123374012171</c:v>
                </c:pt>
                <c:pt idx="9">
                  <c:v>0.22496763795763694</c:v>
                </c:pt>
                <c:pt idx="10">
                  <c:v>0.24996404217515222</c:v>
                </c:pt>
                <c:pt idx="11">
                  <c:v>0.27496044639266742</c:v>
                </c:pt>
                <c:pt idx="12">
                  <c:v>0.29995685061018268</c:v>
                </c:pt>
                <c:pt idx="13">
                  <c:v>0.32495325482769782</c:v>
                </c:pt>
                <c:pt idx="14">
                  <c:v>0.34994965904521314</c:v>
                </c:pt>
                <c:pt idx="15">
                  <c:v>0.37494606326272822</c:v>
                </c:pt>
                <c:pt idx="16">
                  <c:v>0.39994246748024342</c:v>
                </c:pt>
                <c:pt idx="17">
                  <c:v>0.42493887169775879</c:v>
                </c:pt>
                <c:pt idx="18">
                  <c:v>0.44993527591527388</c:v>
                </c:pt>
                <c:pt idx="19">
                  <c:v>0.47493168013278914</c:v>
                </c:pt>
                <c:pt idx="20">
                  <c:v>0.49992808435030445</c:v>
                </c:pt>
                <c:pt idx="21">
                  <c:v>0.52492448856781948</c:v>
                </c:pt>
                <c:pt idx="22">
                  <c:v>0.54992089278533485</c:v>
                </c:pt>
                <c:pt idx="23">
                  <c:v>0.57491729700284999</c:v>
                </c:pt>
                <c:pt idx="24">
                  <c:v>0.59991370122036536</c:v>
                </c:pt>
                <c:pt idx="25">
                  <c:v>0.62753101231410491</c:v>
                </c:pt>
                <c:pt idx="26">
                  <c:v>0.61876075259440155</c:v>
                </c:pt>
                <c:pt idx="27">
                  <c:v>0.61986958186360663</c:v>
                </c:pt>
                <c:pt idx="28">
                  <c:v>0.62100072839500819</c:v>
                </c:pt>
                <c:pt idx="29">
                  <c:v>0.62206432246403909</c:v>
                </c:pt>
                <c:pt idx="30">
                  <c:v>0.62306683851375344</c:v>
                </c:pt>
                <c:pt idx="31">
                  <c:v>0.62401394954675926</c:v>
                </c:pt>
                <c:pt idx="32">
                  <c:v>0.62491064741113012</c:v>
                </c:pt>
                <c:pt idx="33">
                  <c:v>0.62576134205362022</c:v>
                </c:pt>
                <c:pt idx="34">
                  <c:v>0.62656994390932408</c:v>
                </c:pt>
                <c:pt idx="35">
                  <c:v>0.62733993267845112</c:v>
                </c:pt>
                <c:pt idx="36">
                  <c:v>0.62807441504395678</c:v>
                </c:pt>
                <c:pt idx="37">
                  <c:v>0.62877617335054647</c:v>
                </c:pt>
                <c:pt idx="38">
                  <c:v>0.62944770685441331</c:v>
                </c:pt>
                <c:pt idx="39">
                  <c:v>0.63009126683370376</c:v>
                </c:pt>
                <c:pt idx="40">
                  <c:v>0.63070888659991664</c:v>
                </c:pt>
                <c:pt idx="41">
                  <c:v>0.63130240725377151</c:v>
                </c:pt>
                <c:pt idx="42">
                  <c:v>0.63187349987328612</c:v>
                </c:pt>
                <c:pt idx="43">
                  <c:v>0.63242368469764543</c:v>
                </c:pt>
                <c:pt idx="44">
                  <c:v>0.63295434777094406</c:v>
                </c:pt>
                <c:pt idx="45">
                  <c:v>0.6334667554297233</c:v>
                </c:pt>
                <c:pt idx="46">
                  <c:v>0.6339620669533087</c:v>
                </c:pt>
                <c:pt idx="47">
                  <c:v>0.63444134564313137</c:v>
                </c:pt>
                <c:pt idx="48">
                  <c:v>0.63490556855403668</c:v>
                </c:pt>
                <c:pt idx="49">
                  <c:v>0.63535563506512083</c:v>
                </c:pt>
                <c:pt idx="50">
                  <c:v>0.63579237444840575</c:v>
                </c:pt>
                <c:pt idx="51">
                  <c:v>0.63621655256944631</c:v>
                </c:pt>
                <c:pt idx="52">
                  <c:v>0.63662887783384392</c:v>
                </c:pt>
                <c:pt idx="53">
                  <c:v>0.63703000647685804</c:v>
                </c:pt>
                <c:pt idx="54">
                  <c:v>0.63742054727924335</c:v>
                </c:pt>
                <c:pt idx="55">
                  <c:v>0.63780106578063667</c:v>
                </c:pt>
                <c:pt idx="56">
                  <c:v>0.63817208805185821</c:v>
                </c:pt>
                <c:pt idx="57">
                  <c:v>0.63853410407907574</c:v>
                </c:pt>
                <c:pt idx="58">
                  <c:v>0.63888757080564074</c:v>
                </c:pt>
                <c:pt idx="59">
                  <c:v>0.63923291487132006</c:v>
                </c:pt>
                <c:pt idx="60">
                  <c:v>0.63957053508347961</c:v>
                </c:pt>
                <c:pt idx="61">
                  <c:v>0.63990080465032173</c:v>
                </c:pt>
                <c:pt idx="62">
                  <c:v>0.64022407320249131</c:v>
                </c:pt>
                <c:pt idx="63">
                  <c:v>0.6405406686260795</c:v>
                </c:pt>
                <c:pt idx="64">
                  <c:v>0.64085089872724232</c:v>
                </c:pt>
                <c:pt idx="65">
                  <c:v>0.64115505274620477</c:v>
                </c:pt>
                <c:pt idx="66">
                  <c:v>0.64145340273631657</c:v>
                </c:pt>
                <c:pt idx="67">
                  <c:v>0.64174620482198486</c:v>
                </c:pt>
                <c:pt idx="68">
                  <c:v>0.64203370034771678</c:v>
                </c:pt>
                <c:pt idx="69">
                  <c:v>0.64231611692911428</c:v>
                </c:pt>
                <c:pt idx="70">
                  <c:v>0.64259366941544049</c:v>
                </c:pt>
                <c:pt idx="71">
                  <c:v>0.64286656077232274</c:v>
                </c:pt>
                <c:pt idx="72">
                  <c:v>0.64313498289221527</c:v>
                </c:pt>
                <c:pt idx="73">
                  <c:v>0.64339911733942501</c:v>
                </c:pt>
                <c:pt idx="74">
                  <c:v>0.6436591360357854</c:v>
                </c:pt>
                <c:pt idx="75">
                  <c:v>0.64391520189241969</c:v>
                </c:pt>
                <c:pt idx="76">
                  <c:v>0.64416746939247593</c:v>
                </c:pt>
                <c:pt idx="77">
                  <c:v>0.64441608512921622</c:v>
                </c:pt>
                <c:pt idx="78">
                  <c:v>0.64466118830340091</c:v>
                </c:pt>
                <c:pt idx="79">
                  <c:v>0.64490291118351295</c:v>
                </c:pt>
                <c:pt idx="80">
                  <c:v>0.64514137953202499</c:v>
                </c:pt>
                <c:pt idx="81">
                  <c:v>0.6453767130005944</c:v>
                </c:pt>
                <c:pt idx="82">
                  <c:v>0.64560902549679688</c:v>
                </c:pt>
                <c:pt idx="83">
                  <c:v>0.64583842552476478</c:v>
                </c:pt>
                <c:pt idx="84">
                  <c:v>0.64606501650186565</c:v>
                </c:pt>
                <c:pt idx="85">
                  <c:v>0.64628889705337034</c:v>
                </c:pt>
                <c:pt idx="86">
                  <c:v>0.64651016128686944</c:v>
                </c:pt>
                <c:pt idx="87">
                  <c:v>0.64672889904804842</c:v>
                </c:pt>
                <c:pt idx="88">
                  <c:v>0.64694519615927859</c:v>
                </c:pt>
                <c:pt idx="89">
                  <c:v>0.64715913464235819</c:v>
                </c:pt>
                <c:pt idx="90">
                  <c:v>0.64737079292661714</c:v>
                </c:pt>
                <c:pt idx="91">
                  <c:v>0.64758024604349596</c:v>
                </c:pt>
                <c:pt idx="92">
                  <c:v>0.64778756580861419</c:v>
                </c:pt>
                <c:pt idx="93">
                  <c:v>0.64799282099225486</c:v>
                </c:pt>
                <c:pt idx="94">
                  <c:v>0.64819607747911856</c:v>
                </c:pt>
                <c:pt idx="95">
                  <c:v>0.64839739841812305</c:v>
                </c:pt>
                <c:pt idx="96">
                  <c:v>0.64859684436297027</c:v>
                </c:pt>
                <c:pt idx="97">
                  <c:v>0.64879447340413121</c:v>
                </c:pt>
                <c:pt idx="98">
                  <c:v>0.64899034129285904</c:v>
                </c:pt>
                <c:pt idx="99">
                  <c:v>0.6491845015577844</c:v>
                </c:pt>
                <c:pt idx="100">
                  <c:v>0.64937700561460521</c:v>
                </c:pt>
              </c:numCache>
            </c:numRef>
          </c:val>
          <c:smooth val="0"/>
          <c:extLst>
            <c:ext xmlns:c16="http://schemas.microsoft.com/office/drawing/2014/chart" uri="{C3380CC4-5D6E-409C-BE32-E72D297353CC}">
              <c16:uniqueId val="{00000010-CEA8-405E-B5B3-AF38AAF3801C}"/>
            </c:ext>
          </c:extLst>
        </c:ser>
        <c:ser>
          <c:idx val="8"/>
          <c:order val="8"/>
          <c:spPr>
            <a:ln w="25400">
              <a:solidFill>
                <a:srgbClr val="FF0000"/>
              </a:solidFill>
            </a:ln>
          </c:spPr>
          <c:marker>
            <c:symbol val="none"/>
          </c:marker>
          <c:val>
            <c:numRef>
              <c:f>'Calculations - Dual'!$AU$216:$AU$316</c:f>
              <c:numCache>
                <c:formatCode>0.000</c:formatCode>
                <c:ptCount val="101"/>
                <c:pt idx="0">
                  <c:v>6.1739825558965421E-3</c:v>
                </c:pt>
                <c:pt idx="1">
                  <c:v>6.197291580679689E-3</c:v>
                </c:pt>
                <c:pt idx="2">
                  <c:v>1.2394583161359378E-2</c:v>
                </c:pt>
                <c:pt idx="3">
                  <c:v>1.859187474203907E-2</c:v>
                </c:pt>
                <c:pt idx="4">
                  <c:v>2.4789166322718756E-2</c:v>
                </c:pt>
                <c:pt idx="5">
                  <c:v>3.0986457903398452E-2</c:v>
                </c:pt>
                <c:pt idx="6">
                  <c:v>3.7183749484078141E-2</c:v>
                </c:pt>
                <c:pt idx="7">
                  <c:v>4.3381041064757826E-2</c:v>
                </c:pt>
                <c:pt idx="8">
                  <c:v>4.9578332645437512E-2</c:v>
                </c:pt>
                <c:pt idx="9">
                  <c:v>5.5775624226117204E-2</c:v>
                </c:pt>
                <c:pt idx="10">
                  <c:v>6.1972915806796904E-2</c:v>
                </c:pt>
                <c:pt idx="11">
                  <c:v>6.8170207387476589E-2</c:v>
                </c:pt>
                <c:pt idx="12">
                  <c:v>7.4367498968156281E-2</c:v>
                </c:pt>
                <c:pt idx="13">
                  <c:v>8.0564790548835974E-2</c:v>
                </c:pt>
                <c:pt idx="14">
                  <c:v>8.6762082129515652E-2</c:v>
                </c:pt>
                <c:pt idx="15">
                  <c:v>9.2959373710195345E-2</c:v>
                </c:pt>
                <c:pt idx="16">
                  <c:v>9.9156665290875023E-2</c:v>
                </c:pt>
                <c:pt idx="17">
                  <c:v>0.10535395687155472</c:v>
                </c:pt>
                <c:pt idx="18">
                  <c:v>0.11155124845223441</c:v>
                </c:pt>
                <c:pt idx="19">
                  <c:v>0.1177485400329141</c:v>
                </c:pt>
                <c:pt idx="20">
                  <c:v>0.12394583161359381</c:v>
                </c:pt>
                <c:pt idx="21">
                  <c:v>0.13014312319427349</c:v>
                </c:pt>
                <c:pt idx="22">
                  <c:v>0.13634041477495318</c:v>
                </c:pt>
                <c:pt idx="23">
                  <c:v>0.14253770635563284</c:v>
                </c:pt>
                <c:pt idx="24">
                  <c:v>0.14873499793631256</c:v>
                </c:pt>
                <c:pt idx="25">
                  <c:v>0.1549322895169922</c:v>
                </c:pt>
                <c:pt idx="26">
                  <c:v>0.16112958109767195</c:v>
                </c:pt>
                <c:pt idx="27">
                  <c:v>0.16732687267835161</c:v>
                </c:pt>
                <c:pt idx="28">
                  <c:v>0.1735241642590313</c:v>
                </c:pt>
                <c:pt idx="29">
                  <c:v>0.179721455839711</c:v>
                </c:pt>
                <c:pt idx="30">
                  <c:v>0.18591874742039069</c:v>
                </c:pt>
                <c:pt idx="31">
                  <c:v>0.19211603900107035</c:v>
                </c:pt>
                <c:pt idx="32">
                  <c:v>0.19831333058175005</c:v>
                </c:pt>
                <c:pt idx="33">
                  <c:v>0.20451062216242974</c:v>
                </c:pt>
                <c:pt idx="34">
                  <c:v>0.21228712137700781</c:v>
                </c:pt>
                <c:pt idx="35">
                  <c:v>0.22144730314273819</c:v>
                </c:pt>
                <c:pt idx="36">
                  <c:v>0.22459722466599735</c:v>
                </c:pt>
                <c:pt idx="37">
                  <c:v>0.22770393089821772</c:v>
                </c:pt>
                <c:pt idx="38">
                  <c:v>0.23076916247918347</c:v>
                </c:pt>
                <c:pt idx="39">
                  <c:v>0.23379454624582205</c:v>
                </c:pt>
                <c:pt idx="40">
                  <c:v>0.2367816053841274</c:v>
                </c:pt>
                <c:pt idx="41">
                  <c:v>0.23973176844557298</c:v>
                </c:pt>
                <c:pt idx="42">
                  <c:v>0.24264637737949457</c:v>
                </c:pt>
                <c:pt idx="43">
                  <c:v>0.24552669470960312</c:v>
                </c:pt>
                <c:pt idx="44">
                  <c:v>0.24837390996351869</c:v>
                </c:pt>
                <c:pt idx="45">
                  <c:v>0.25118914544820958</c:v>
                </c:pt>
                <c:pt idx="46">
                  <c:v>0.25397346145087546</c:v>
                </c:pt>
                <c:pt idx="47">
                  <c:v>0.25672786093362659</c:v>
                </c:pt>
                <c:pt idx="48">
                  <c:v>0.25945329378090565</c:v>
                </c:pt>
                <c:pt idx="49">
                  <c:v>0.2621506606506539</c:v>
                </c:pt>
                <c:pt idx="50">
                  <c:v>0.26482081647348887</c:v>
                </c:pt>
                <c:pt idx="51">
                  <c:v>0.26746457363843318</c:v>
                </c:pt>
                <c:pt idx="52">
                  <c:v>0.27008270489884412</c:v>
                </c:pt>
                <c:pt idx="53">
                  <c:v>0.27267594602800554</c:v>
                </c:pt>
                <c:pt idx="54">
                  <c:v>0.27524499825024601</c:v>
                </c:pt>
                <c:pt idx="55">
                  <c:v>0.27779053047034885</c:v>
                </c:pt>
                <c:pt idx="56">
                  <c:v>0.28031318132133715</c:v>
                </c:pt>
                <c:pt idx="57">
                  <c:v>0.28281356104840016</c:v>
                </c:pt>
                <c:pt idx="58">
                  <c:v>0.28529225324470459</c:v>
                </c:pt>
                <c:pt idx="59">
                  <c:v>0.28774981645308051</c:v>
                </c:pt>
                <c:pt idx="60">
                  <c:v>0.29018678564603584</c:v>
                </c:pt>
                <c:pt idx="61">
                  <c:v>0.29260367359520806</c:v>
                </c:pt>
                <c:pt idx="62">
                  <c:v>0.295000972140184</c:v>
                </c:pt>
                <c:pt idx="63">
                  <c:v>0.29737915336558041</c:v>
                </c:pt>
                <c:pt idx="64">
                  <c:v>0.29973867069436516</c:v>
                </c:pt>
                <c:pt idx="65">
                  <c:v>0.30207995990459013</c:v>
                </c:pt>
                <c:pt idx="66">
                  <c:v>0.30328030550632706</c:v>
                </c:pt>
                <c:pt idx="67">
                  <c:v>0.30132920995478851</c:v>
                </c:pt>
                <c:pt idx="68">
                  <c:v>0.29941510332288784</c:v>
                </c:pt>
                <c:pt idx="69">
                  <c:v>0.29396872961869769</c:v>
                </c:pt>
                <c:pt idx="70">
                  <c:v>0.29425747179951028</c:v>
                </c:pt>
                <c:pt idx="71">
                  <c:v>0.29454368287957128</c:v>
                </c:pt>
                <c:pt idx="72">
                  <c:v>0.29482532424301283</c:v>
                </c:pt>
                <c:pt idx="73">
                  <c:v>0.29510014348212904</c:v>
                </c:pt>
                <c:pt idx="74">
                  <c:v>0.29536839986190278</c:v>
                </c:pt>
                <c:pt idx="75">
                  <c:v>0.29563033967623148</c:v>
                </c:pt>
                <c:pt idx="76">
                  <c:v>0.29588619704908897</c:v>
                </c:pt>
                <c:pt idx="77">
                  <c:v>0.29613619467703212</c:v>
                </c:pt>
                <c:pt idx="78">
                  <c:v>0.29638054451800094</c:v>
                </c:pt>
                <c:pt idx="79">
                  <c:v>0.29661944843089005</c:v>
                </c:pt>
                <c:pt idx="80">
                  <c:v>0.29685309876994842</c:v>
                </c:pt>
                <c:pt idx="81">
                  <c:v>0.29708167893768594</c:v>
                </c:pt>
                <c:pt idx="82">
                  <c:v>0.29730536389962769</c:v>
                </c:pt>
                <c:pt idx="83">
                  <c:v>0.29752432066395118</c:v>
                </c:pt>
                <c:pt idx="84">
                  <c:v>0.29773870872877162</c:v>
                </c:pt>
                <c:pt idx="85">
                  <c:v>0.29794868049959211</c:v>
                </c:pt>
                <c:pt idx="86">
                  <c:v>0.29815438167921454</c:v>
                </c:pt>
                <c:pt idx="87">
                  <c:v>0.29835595163220857</c:v>
                </c:pt>
                <c:pt idx="88">
                  <c:v>0.29855352372585442</c:v>
                </c:pt>
                <c:pt idx="89">
                  <c:v>0.298747225649311</c:v>
                </c:pt>
                <c:pt idx="90">
                  <c:v>0.29893717971261757</c:v>
                </c:pt>
                <c:pt idx="91">
                  <c:v>0.29912350312699693</c:v>
                </c:pt>
                <c:pt idx="92">
                  <c:v>0.29930630826781224</c:v>
                </c:pt>
                <c:pt idx="93">
                  <c:v>0.29948570292141613</c:v>
                </c:pt>
                <c:pt idx="94">
                  <c:v>0.29966179051703262</c:v>
                </c:pt>
                <c:pt idx="95">
                  <c:v>0.29983467034471889</c:v>
                </c:pt>
                <c:pt idx="96">
                  <c:v>0.30000443776037228</c:v>
                </c:pt>
                <c:pt idx="97">
                  <c:v>0.30017118437867318</c:v>
                </c:pt>
                <c:pt idx="98">
                  <c:v>0.30033499825478294</c:v>
                </c:pt>
                <c:pt idx="99">
                  <c:v>0.30049596405555318</c:v>
                </c:pt>
                <c:pt idx="100">
                  <c:v>0.30065416322095001</c:v>
                </c:pt>
              </c:numCache>
            </c:numRef>
          </c:val>
          <c:smooth val="0"/>
          <c:extLst>
            <c:ext xmlns:c16="http://schemas.microsoft.com/office/drawing/2014/chart" uri="{C3380CC4-5D6E-409C-BE32-E72D297353CC}">
              <c16:uniqueId val="{00000011-CEA8-405E-B5B3-AF38AAF3801C}"/>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2.2315423427516228</c:v>
                </c:pt>
                <c:pt idx="26">
                  <c:v>2.3215618295050136</c:v>
                </c:pt>
                <c:pt idx="27">
                  <c:v>2.4109871549848254</c:v>
                </c:pt>
                <c:pt idx="28">
                  <c:v>2.5009573700756866</c:v>
                </c:pt>
                <c:pt idx="29">
                  <c:v>2.590976392732188</c:v>
                </c:pt>
                <c:pt idx="30">
                  <c:v>2.6810442896570632</c:v>
                </c:pt>
                <c:pt idx="31">
                  <c:v>2.7711611276685888</c:v>
                </c:pt>
                <c:pt idx="32">
                  <c:v>2.8613269737008395</c:v>
                </c:pt>
                <c:pt idx="33">
                  <c:v>2.9515418948039405</c:v>
                </c:pt>
                <c:pt idx="34">
                  <c:v>3.04180595814432</c:v>
                </c:pt>
                <c:pt idx="35">
                  <c:v>3.1321192310049595</c:v>
                </c:pt>
                <c:pt idx="36">
                  <c:v>3.2224817807856536</c:v>
                </c:pt>
                <c:pt idx="37">
                  <c:v>3.3128936750032563</c:v>
                </c:pt>
                <c:pt idx="38">
                  <c:v>3.4033549812919466</c:v>
                </c:pt>
                <c:pt idx="39">
                  <c:v>3.4938657674034732</c:v>
                </c:pt>
                <c:pt idx="40">
                  <c:v>3.584426101207423</c:v>
                </c:pt>
                <c:pt idx="41">
                  <c:v>3.675036050691467</c:v>
                </c:pt>
                <c:pt idx="42">
                  <c:v>3.7656956839616273</c:v>
                </c:pt>
                <c:pt idx="43">
                  <c:v>3.8564050692425287</c:v>
                </c:pt>
                <c:pt idx="44">
                  <c:v>3.9471642748776641</c:v>
                </c:pt>
                <c:pt idx="45">
                  <c:v>4.0379733693296496</c:v>
                </c:pt>
                <c:pt idx="46">
                  <c:v>4.1288324211804888</c:v>
                </c:pt>
                <c:pt idx="47">
                  <c:v>4.2197414991318309</c:v>
                </c:pt>
                <c:pt idx="48">
                  <c:v>4.3107006720052379</c:v>
                </c:pt>
                <c:pt idx="49">
                  <c:v>4.4017100087424392</c:v>
                </c:pt>
                <c:pt idx="50">
                  <c:v>4.4927695784056025</c:v>
                </c:pt>
                <c:pt idx="51">
                  <c:v>4.583879450177597</c:v>
                </c:pt>
                <c:pt idx="52">
                  <c:v>4.6750396933622538</c:v>
                </c:pt>
                <c:pt idx="53">
                  <c:v>4.7662503773846332</c:v>
                </c:pt>
                <c:pt idx="54">
                  <c:v>4.8575115717912931</c:v>
                </c:pt>
                <c:pt idx="55">
                  <c:v>4.9488233462505562</c:v>
                </c:pt>
                <c:pt idx="56">
                  <c:v>5.0401857705527737</c:v>
                </c:pt>
                <c:pt idx="57">
                  <c:v>5.1315989146105947</c:v>
                </c:pt>
                <c:pt idx="58">
                  <c:v>5.2230628484592412</c:v>
                </c:pt>
                <c:pt idx="59">
                  <c:v>5.3145776422567712</c:v>
                </c:pt>
                <c:pt idx="60">
                  <c:v>5.4061433662843479</c:v>
                </c:pt>
                <c:pt idx="61">
                  <c:v>5.4977600909465183</c:v>
                </c:pt>
                <c:pt idx="62">
                  <c:v>5.5894278867714782</c:v>
                </c:pt>
                <c:pt idx="63">
                  <c:v>5.681146824411349</c:v>
                </c:pt>
                <c:pt idx="64">
                  <c:v>5.7729169746424462</c:v>
                </c:pt>
                <c:pt idx="65">
                  <c:v>5.8647384083655654</c:v>
                </c:pt>
                <c:pt idx="66">
                  <c:v>5.9566111966062358</c:v>
                </c:pt>
                <c:pt idx="67">
                  <c:v>6.0485354105150186</c:v>
                </c:pt>
                <c:pt idx="68">
                  <c:v>6.1405111213677701</c:v>
                </c:pt>
                <c:pt idx="69">
                  <c:v>6.2325384005659199</c:v>
                </c:pt>
                <c:pt idx="70">
                  <c:v>6.3246173196367517</c:v>
                </c:pt>
                <c:pt idx="71">
                  <c:v>6.4167479502336802</c:v>
                </c:pt>
                <c:pt idx="72">
                  <c:v>6.508930364136531</c:v>
                </c:pt>
                <c:pt idx="73">
                  <c:v>6.6011646332518179</c:v>
                </c:pt>
                <c:pt idx="74">
                  <c:v>6.6934508296130275</c:v>
                </c:pt>
                <c:pt idx="75">
                  <c:v>6.7857890253809003</c:v>
                </c:pt>
                <c:pt idx="76">
                  <c:v>6.878179292843706</c:v>
                </c:pt>
                <c:pt idx="77">
                  <c:v>6.9706217044175363</c:v>
                </c:pt>
                <c:pt idx="78">
                  <c:v>7.0631163326465813</c:v>
                </c:pt>
                <c:pt idx="79">
                  <c:v>7.1556632502034239</c:v>
                </c:pt>
                <c:pt idx="80">
                  <c:v>7.2482625298893071</c:v>
                </c:pt>
                <c:pt idx="81">
                  <c:v>7.3409142446344315</c:v>
                </c:pt>
                <c:pt idx="82">
                  <c:v>7.4336184674982517</c:v>
                </c:pt>
                <c:pt idx="83">
                  <c:v>7.5263752716697461</c:v>
                </c:pt>
                <c:pt idx="84">
                  <c:v>7.6191847304677101</c:v>
                </c:pt>
                <c:pt idx="85">
                  <c:v>7.7120469173410493</c:v>
                </c:pt>
                <c:pt idx="86">
                  <c:v>7.8049619058690727</c:v>
                </c:pt>
                <c:pt idx="87">
                  <c:v>7.8979297697617614</c:v>
                </c:pt>
                <c:pt idx="88">
                  <c:v>7.9909505828600969</c:v>
                </c:pt>
                <c:pt idx="89">
                  <c:v>8.0840244191363198</c:v>
                </c:pt>
                <c:pt idx="90">
                  <c:v>8.1771513526942403</c:v>
                </c:pt>
                <c:pt idx="91">
                  <c:v>8.2703314577695224</c:v>
                </c:pt>
                <c:pt idx="92">
                  <c:v>8.3635648087299881</c:v>
                </c:pt>
                <c:pt idx="93">
                  <c:v>8.4568514800759065</c:v>
                </c:pt>
                <c:pt idx="94">
                  <c:v>8.5501915464402884</c:v>
                </c:pt>
                <c:pt idx="95">
                  <c:v>8.6435850825891851</c:v>
                </c:pt>
                <c:pt idx="96">
                  <c:v>8.7370321634219952</c:v>
                </c:pt>
                <c:pt idx="97">
                  <c:v>8.830532863971742</c:v>
                </c:pt>
                <c:pt idx="98">
                  <c:v>8.9240872594053933</c:v>
                </c:pt>
                <c:pt idx="99">
                  <c:v>9.0176954250241508</c:v>
                </c:pt>
                <c:pt idx="100">
                  <c:v>9.1113574362637575</c:v>
                </c:pt>
              </c:numCache>
            </c:numRef>
          </c:val>
          <c:smooth val="0"/>
          <c:extLst>
            <c:ext xmlns:c16="http://schemas.microsoft.com/office/drawing/2014/chart" uri="{C3380CC4-5D6E-409C-BE32-E72D297353CC}">
              <c16:uniqueId val="{00000000-E5BE-46CE-908E-4F68425D4B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2.238877269653571</c:v>
                </c:pt>
                <c:pt idx="35">
                  <c:v>2.2715633383201093</c:v>
                </c:pt>
                <c:pt idx="36">
                  <c:v>2.3037857043198637</c:v>
                </c:pt>
                <c:pt idx="37">
                  <c:v>2.3355635600122602</c:v>
                </c:pt>
                <c:pt idx="38">
                  <c:v>2.3669148092581858</c:v>
                </c:pt>
                <c:pt idx="39">
                  <c:v>2.3978561853693989</c:v>
                </c:pt>
                <c:pt idx="40">
                  <c:v>2.4284033555286606</c:v>
                </c:pt>
                <c:pt idx="41">
                  <c:v>2.4585710135303045</c:v>
                </c:pt>
                <c:pt idx="42">
                  <c:v>2.4883729623993265</c:v>
                </c:pt>
                <c:pt idx="43">
                  <c:v>2.5178221882072154</c:v>
                </c:pt>
                <c:pt idx="44">
                  <c:v>2.5469309262045452</c:v>
                </c:pt>
                <c:pt idx="45">
                  <c:v>2.5757107202257234</c:v>
                </c:pt>
                <c:pt idx="46">
                  <c:v>2.6041724761839959</c:v>
                </c:pt>
                <c:pt idx="47">
                  <c:v>2.6323265103597722</c:v>
                </c:pt>
                <c:pt idx="48">
                  <c:v>2.6601825930885696</c:v>
                </c:pt>
                <c:pt idx="49">
                  <c:v>2.6877499883731741</c:v>
                </c:pt>
                <c:pt idx="50">
                  <c:v>2.7150374898753369</c:v>
                </c:pt>
                <c:pt idx="51">
                  <c:v>2.7420534536834147</c:v>
                </c:pt>
                <c:pt idx="52">
                  <c:v>2.7688058282020633</c:v>
                </c:pt>
                <c:pt idx="53">
                  <c:v>2.7953021814670209</c:v>
                </c:pt>
                <c:pt idx="54">
                  <c:v>2.8215497261510127</c:v>
                </c:pt>
                <c:pt idx="55">
                  <c:v>2.9094142323886567</c:v>
                </c:pt>
                <c:pt idx="56">
                  <c:v>2.9623928306240321</c:v>
                </c:pt>
                <c:pt idx="57">
                  <c:v>3.0153743161058242</c:v>
                </c:pt>
                <c:pt idx="58">
                  <c:v>3.0683586901287541</c:v>
                </c:pt>
                <c:pt idx="59">
                  <c:v>3.1213459539880017</c:v>
                </c:pt>
                <c:pt idx="60">
                  <c:v>3.1743361089792095</c:v>
                </c:pt>
                <c:pt idx="61">
                  <c:v>3.2273291563984814</c:v>
                </c:pt>
                <c:pt idx="62">
                  <c:v>3.280325097542383</c:v>
                </c:pt>
                <c:pt idx="63">
                  <c:v>3.3333239337079426</c:v>
                </c:pt>
                <c:pt idx="64">
                  <c:v>3.3863256661926502</c:v>
                </c:pt>
                <c:pt idx="65">
                  <c:v>3.4393302962944596</c:v>
                </c:pt>
                <c:pt idx="66">
                  <c:v>3.4923378253117847</c:v>
                </c:pt>
                <c:pt idx="67">
                  <c:v>3.5453482545435069</c:v>
                </c:pt>
                <c:pt idx="68">
                  <c:v>3.5983615852889677</c:v>
                </c:pt>
                <c:pt idx="69">
                  <c:v>3.6513778188479722</c:v>
                </c:pt>
                <c:pt idx="70">
                  <c:v>3.7043969565207884</c:v>
                </c:pt>
                <c:pt idx="71">
                  <c:v>3.7574189996081544</c:v>
                </c:pt>
                <c:pt idx="72">
                  <c:v>3.810443949411265</c:v>
                </c:pt>
                <c:pt idx="73">
                  <c:v>3.8634718072317802</c:v>
                </c:pt>
                <c:pt idx="74">
                  <c:v>3.9165025743718305</c:v>
                </c:pt>
                <c:pt idx="75">
                  <c:v>3.9695362521340067</c:v>
                </c:pt>
                <c:pt idx="76">
                  <c:v>4.022572841821364</c:v>
                </c:pt>
                <c:pt idx="77">
                  <c:v>4.075612344737424</c:v>
                </c:pt>
                <c:pt idx="78">
                  <c:v>4.1286547621861764</c:v>
                </c:pt>
                <c:pt idx="79">
                  <c:v>4.1817000954720758</c:v>
                </c:pt>
                <c:pt idx="80">
                  <c:v>4.234748345900039</c:v>
                </c:pt>
                <c:pt idx="81">
                  <c:v>4.2877995147754531</c:v>
                </c:pt>
                <c:pt idx="82">
                  <c:v>4.3408536034041685</c:v>
                </c:pt>
                <c:pt idx="83">
                  <c:v>4.3939106130925065</c:v>
                </c:pt>
                <c:pt idx="84">
                  <c:v>4.4469705451472539</c:v>
                </c:pt>
                <c:pt idx="85">
                  <c:v>4.5000334008756608</c:v>
                </c:pt>
                <c:pt idx="86">
                  <c:v>4.5530991815854494</c:v>
                </c:pt>
                <c:pt idx="87">
                  <c:v>4.6061678885848085</c:v>
                </c:pt>
                <c:pt idx="88">
                  <c:v>4.6592395231823929</c:v>
                </c:pt>
                <c:pt idx="89">
                  <c:v>4.7123140866873285</c:v>
                </c:pt>
                <c:pt idx="90">
                  <c:v>4.7653915804092062</c:v>
                </c:pt>
                <c:pt idx="91">
                  <c:v>4.8184720056580863</c:v>
                </c:pt>
                <c:pt idx="92">
                  <c:v>4.8715553637445019</c:v>
                </c:pt>
                <c:pt idx="93">
                  <c:v>4.9246416559794479</c:v>
                </c:pt>
                <c:pt idx="94">
                  <c:v>4.9777308836743943</c:v>
                </c:pt>
                <c:pt idx="95">
                  <c:v>5.0308230481412801</c:v>
                </c:pt>
                <c:pt idx="96">
                  <c:v>5.0839181506925124</c:v>
                </c:pt>
                <c:pt idx="97">
                  <c:v>5.1370161926409663</c:v>
                </c:pt>
                <c:pt idx="98">
                  <c:v>5.1901171752999886</c:v>
                </c:pt>
                <c:pt idx="99">
                  <c:v>5.2432210999834021</c:v>
                </c:pt>
                <c:pt idx="100">
                  <c:v>5.2963279680054915</c:v>
                </c:pt>
              </c:numCache>
            </c:numRef>
          </c:val>
          <c:smooth val="0"/>
          <c:extLst>
            <c:ext xmlns:c16="http://schemas.microsoft.com/office/drawing/2014/chart" uri="{C3380CC4-5D6E-409C-BE32-E72D297353CC}">
              <c16:uniqueId val="{00000001-E5BE-46CE-908E-4F68425D4B37}"/>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2.238877269653571</c:v>
                </c:pt>
                <c:pt idx="35">
                  <c:v>2.2715633383201093</c:v>
                </c:pt>
                <c:pt idx="36">
                  <c:v>2.3037857043198637</c:v>
                </c:pt>
                <c:pt idx="37">
                  <c:v>2.3355635600122602</c:v>
                </c:pt>
                <c:pt idx="38">
                  <c:v>2.3669148092581858</c:v>
                </c:pt>
                <c:pt idx="39">
                  <c:v>2.3978561853693989</c:v>
                </c:pt>
                <c:pt idx="40">
                  <c:v>2.4284033555286606</c:v>
                </c:pt>
                <c:pt idx="41">
                  <c:v>2.4585710135303045</c:v>
                </c:pt>
                <c:pt idx="42">
                  <c:v>2.4883729623993265</c:v>
                </c:pt>
                <c:pt idx="43">
                  <c:v>2.5178221882072154</c:v>
                </c:pt>
                <c:pt idx="44">
                  <c:v>2.5469309262045452</c:v>
                </c:pt>
                <c:pt idx="45">
                  <c:v>2.5757107202257234</c:v>
                </c:pt>
                <c:pt idx="46">
                  <c:v>2.6041724761839959</c:v>
                </c:pt>
                <c:pt idx="47">
                  <c:v>2.6323265103597722</c:v>
                </c:pt>
                <c:pt idx="48">
                  <c:v>2.6601825930885696</c:v>
                </c:pt>
                <c:pt idx="49">
                  <c:v>2.6877499883731741</c:v>
                </c:pt>
                <c:pt idx="50">
                  <c:v>2.7150374898753369</c:v>
                </c:pt>
                <c:pt idx="51">
                  <c:v>2.7420534536834147</c:v>
                </c:pt>
                <c:pt idx="52">
                  <c:v>2.7688058282020633</c:v>
                </c:pt>
                <c:pt idx="53">
                  <c:v>2.7953021814670209</c:v>
                </c:pt>
                <c:pt idx="54">
                  <c:v>2.8215497261510127</c:v>
                </c:pt>
                <c:pt idx="55">
                  <c:v>2.8475553424949318</c:v>
                </c:pt>
                <c:pt idx="56">
                  <c:v>2.8733255993708755</c:v>
                </c:pt>
                <c:pt idx="57">
                  <c:v>2.8988667736597642</c:v>
                </c:pt>
                <c:pt idx="58">
                  <c:v>2.9241848681054936</c:v>
                </c:pt>
                <c:pt idx="59">
                  <c:v>2.9492856277895014</c:v>
                </c:pt>
                <c:pt idx="60">
                  <c:v>2.9741745553538519</c:v>
                </c:pt>
                <c:pt idx="61">
                  <c:v>2.9988569250870998</c:v>
                </c:pt>
                <c:pt idx="62">
                  <c:v>3.0233377959750753</c:v>
                </c:pt>
                <c:pt idx="63">
                  <c:v>3.0476220238080707</c:v>
                </c:pt>
                <c:pt idx="64">
                  <c:v>3.071714272426485</c:v>
                </c:pt>
                <c:pt idx="65">
                  <c:v>3.0956190241787094</c:v>
                </c:pt>
                <c:pt idx="66">
                  <c:v>3.119340589657646</c:v>
                </c:pt>
                <c:pt idx="67">
                  <c:v>3.1428831167757871</c:v>
                </c:pt>
                <c:pt idx="68">
                  <c:v>3.1662505992329248</c:v>
                </c:pt>
                <c:pt idx="69">
                  <c:v>3.151198486069708</c:v>
                </c:pt>
                <c:pt idx="70">
                  <c:v>3.1968761654988795</c:v>
                </c:pt>
                <c:pt idx="71">
                  <c:v>3.2425594469705818</c:v>
                </c:pt>
                <c:pt idx="72">
                  <c:v>3.2882459473339369</c:v>
                </c:pt>
                <c:pt idx="73">
                  <c:v>3.3339329179592583</c:v>
                </c:pt>
                <c:pt idx="74">
                  <c:v>3.3796203591676539</c:v>
                </c:pt>
                <c:pt idx="75">
                  <c:v>3.425308271280286</c:v>
                </c:pt>
                <c:pt idx="76">
                  <c:v>3.470996654618367</c:v>
                </c:pt>
                <c:pt idx="77">
                  <c:v>3.5166855095031635</c:v>
                </c:pt>
                <c:pt idx="78">
                  <c:v>3.562374836255997</c:v>
                </c:pt>
                <c:pt idx="79">
                  <c:v>3.6080646351982399</c:v>
                </c:pt>
                <c:pt idx="80">
                  <c:v>3.6537549066513191</c:v>
                </c:pt>
                <c:pt idx="81">
                  <c:v>3.6994456509367137</c:v>
                </c:pt>
                <c:pt idx="82">
                  <c:v>3.7451368683759556</c:v>
                </c:pt>
                <c:pt idx="83">
                  <c:v>3.790828559290635</c:v>
                </c:pt>
                <c:pt idx="84">
                  <c:v>3.8365207240023862</c:v>
                </c:pt>
                <c:pt idx="85">
                  <c:v>3.8822133628329065</c:v>
                </c:pt>
                <c:pt idx="86">
                  <c:v>3.9279064761039395</c:v>
                </c:pt>
                <c:pt idx="87">
                  <c:v>3.9736000641372846</c:v>
                </c:pt>
                <c:pt idx="88">
                  <c:v>4.0192941272547964</c:v>
                </c:pt>
                <c:pt idx="89">
                  <c:v>4.0649886657783778</c:v>
                </c:pt>
                <c:pt idx="90">
                  <c:v>4.1106836800299904</c:v>
                </c:pt>
                <c:pt idx="91">
                  <c:v>4.1563791703316468</c:v>
                </c:pt>
                <c:pt idx="92">
                  <c:v>4.202075137005413</c:v>
                </c:pt>
                <c:pt idx="93">
                  <c:v>4.2477715803734082</c:v>
                </c:pt>
                <c:pt idx="94">
                  <c:v>4.2934685007578057</c:v>
                </c:pt>
                <c:pt idx="95">
                  <c:v>4.3391658984808323</c:v>
                </c:pt>
                <c:pt idx="96">
                  <c:v>4.3848637738647689</c:v>
                </c:pt>
                <c:pt idx="97">
                  <c:v>4.4305621272319451</c:v>
                </c:pt>
                <c:pt idx="98">
                  <c:v>4.4762609589047511</c:v>
                </c:pt>
                <c:pt idx="99">
                  <c:v>4.5219602692056267</c:v>
                </c:pt>
                <c:pt idx="100">
                  <c:v>4.5676600584570668</c:v>
                </c:pt>
              </c:numCache>
            </c:numRef>
          </c:val>
          <c:smooth val="0"/>
          <c:extLst>
            <c:ext xmlns:c16="http://schemas.microsoft.com/office/drawing/2014/chart" uri="{C3380CC4-5D6E-409C-BE32-E72D297353CC}">
              <c16:uniqueId val="{00000002-E5BE-46CE-908E-4F68425D4B37}"/>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1.0057214102688214</c:v>
                </c:pt>
                <c:pt idx="2">
                  <c:v>1.0171642308064646</c:v>
                </c:pt>
                <c:pt idx="3">
                  <c:v>1.0171642308064646</c:v>
                </c:pt>
                <c:pt idx="4">
                  <c:v>1.022885641075286</c:v>
                </c:pt>
                <c:pt idx="5">
                  <c:v>1.0286070513441075</c:v>
                </c:pt>
                <c:pt idx="6">
                  <c:v>1.0343284616129291</c:v>
                </c:pt>
                <c:pt idx="7">
                  <c:v>1.0400498718817506</c:v>
                </c:pt>
                <c:pt idx="8">
                  <c:v>1.045771282150572</c:v>
                </c:pt>
                <c:pt idx="9">
                  <c:v>1.0514926924193935</c:v>
                </c:pt>
                <c:pt idx="10">
                  <c:v>1.0572141026882151</c:v>
                </c:pt>
                <c:pt idx="11">
                  <c:v>1.0629355129570366</c:v>
                </c:pt>
                <c:pt idx="12">
                  <c:v>1.068656923225858</c:v>
                </c:pt>
                <c:pt idx="13">
                  <c:v>1.0743783334946795</c:v>
                </c:pt>
                <c:pt idx="14">
                  <c:v>1.0800997437635012</c:v>
                </c:pt>
                <c:pt idx="15">
                  <c:v>1.0858211540323226</c:v>
                </c:pt>
                <c:pt idx="16">
                  <c:v>1.091542564301144</c:v>
                </c:pt>
                <c:pt idx="17">
                  <c:v>1.0972639745699655</c:v>
                </c:pt>
                <c:pt idx="18">
                  <c:v>1.1029853848387869</c:v>
                </c:pt>
                <c:pt idx="19">
                  <c:v>1.1087067951076086</c:v>
                </c:pt>
                <c:pt idx="20">
                  <c:v>1.1144282053764301</c:v>
                </c:pt>
                <c:pt idx="21">
                  <c:v>1.1201496156452515</c:v>
                </c:pt>
                <c:pt idx="22">
                  <c:v>1.1258710259140732</c:v>
                </c:pt>
                <c:pt idx="23">
                  <c:v>1.1315924361828946</c:v>
                </c:pt>
                <c:pt idx="24">
                  <c:v>1.1373138464517161</c:v>
                </c:pt>
                <c:pt idx="25">
                  <c:v>1.1430352567205375</c:v>
                </c:pt>
                <c:pt idx="26">
                  <c:v>1.273584894283549</c:v>
                </c:pt>
                <c:pt idx="27">
                  <c:v>1.3398258761204467</c:v>
                </c:pt>
                <c:pt idx="28">
                  <c:v>1.4064704798914551</c:v>
                </c:pt>
                <c:pt idx="29">
                  <c:v>1.4731512374147893</c:v>
                </c:pt>
                <c:pt idx="30">
                  <c:v>1.5398681980998821</c:v>
                </c:pt>
                <c:pt idx="31">
                  <c:v>1.606621411441753</c:v>
                </c:pt>
                <c:pt idx="32">
                  <c:v>1.6734109270211979</c:v>
                </c:pt>
                <c:pt idx="33">
                  <c:v>1.7402367945049764</c:v>
                </c:pt>
                <c:pt idx="34">
                  <c:v>1.8070990636459983</c:v>
                </c:pt>
                <c:pt idx="35">
                  <c:v>1.8739977842835089</c:v>
                </c:pt>
                <c:pt idx="36">
                  <c:v>1.9409330063432824</c:v>
                </c:pt>
                <c:pt idx="37">
                  <c:v>2.0079047798378031</c:v>
                </c:pt>
                <c:pt idx="38">
                  <c:v>2.0749131548664623</c:v>
                </c:pt>
                <c:pt idx="39">
                  <c:v>2.1419581816157414</c:v>
                </c:pt>
                <c:pt idx="40">
                  <c:v>2.2090399103594081</c:v>
                </c:pt>
                <c:pt idx="41">
                  <c:v>2.2761583914586998</c:v>
                </c:pt>
                <c:pt idx="42">
                  <c:v>2.3433136753625221</c:v>
                </c:pt>
                <c:pt idx="43">
                  <c:v>2.4105058126076342</c:v>
                </c:pt>
                <c:pt idx="44">
                  <c:v>2.4777348538188457</c:v>
                </c:pt>
                <c:pt idx="45">
                  <c:v>2.5450008497092051</c:v>
                </c:pt>
                <c:pt idx="46">
                  <c:v>2.6123038510801972</c:v>
                </c:pt>
                <c:pt idx="47">
                  <c:v>2.6796439088219324</c:v>
                </c:pt>
                <c:pt idx="48">
                  <c:v>2.7470210739133449</c:v>
                </c:pt>
                <c:pt idx="49">
                  <c:v>2.814435397422383</c:v>
                </c:pt>
                <c:pt idx="50">
                  <c:v>2.8818869305062078</c:v>
                </c:pt>
                <c:pt idx="51">
                  <c:v>2.9493757244113885</c:v>
                </c:pt>
                <c:pt idx="52">
                  <c:v>3.0169018304740973</c:v>
                </c:pt>
                <c:pt idx="53">
                  <c:v>3.0844653001203044</c:v>
                </c:pt>
                <c:pt idx="54">
                  <c:v>3.1520661848659781</c:v>
                </c:pt>
                <c:pt idx="55">
                  <c:v>3.219704536317284</c:v>
                </c:pt>
                <c:pt idx="56">
                  <c:v>3.2873804061707785</c:v>
                </c:pt>
                <c:pt idx="57">
                  <c:v>3.3550938462136095</c:v>
                </c:pt>
                <c:pt idx="58">
                  <c:v>3.422844908323718</c:v>
                </c:pt>
                <c:pt idx="59">
                  <c:v>3.4906336444700363</c:v>
                </c:pt>
                <c:pt idx="60">
                  <c:v>3.5584601067126851</c:v>
                </c:pt>
                <c:pt idx="61">
                  <c:v>3.6263243472031821</c:v>
                </c:pt>
                <c:pt idx="62">
                  <c:v>3.694226418184634</c:v>
                </c:pt>
                <c:pt idx="63">
                  <c:v>3.7621663719919454</c:v>
                </c:pt>
                <c:pt idx="64">
                  <c:v>3.830144261052018</c:v>
                </c:pt>
                <c:pt idx="65">
                  <c:v>3.8981601378839583</c:v>
                </c:pt>
                <c:pt idx="66">
                  <c:v>3.9662140550992691</c:v>
                </c:pt>
                <c:pt idx="67">
                  <c:v>4.0343060654020713</c:v>
                </c:pt>
                <c:pt idx="68">
                  <c:v>4.1024362215892944</c:v>
                </c:pt>
                <c:pt idx="69">
                  <c:v>4.170604576550887</c:v>
                </c:pt>
                <c:pt idx="70">
                  <c:v>4.2388111832700215</c:v>
                </c:pt>
                <c:pt idx="71">
                  <c:v>4.3070560948233023</c:v>
                </c:pt>
                <c:pt idx="72">
                  <c:v>4.3753393643809693</c:v>
                </c:pt>
                <c:pt idx="73">
                  <c:v>4.4436610452071079</c:v>
                </c:pt>
                <c:pt idx="74">
                  <c:v>4.5120211906598557</c:v>
                </c:pt>
                <c:pt idx="75">
                  <c:v>4.5804198541916135</c:v>
                </c:pt>
                <c:pt idx="76">
                  <c:v>4.6488570893492476</c:v>
                </c:pt>
                <c:pt idx="77">
                  <c:v>4.7173329497743062</c:v>
                </c:pt>
                <c:pt idx="78">
                  <c:v>4.7858474892032286</c:v>
                </c:pt>
                <c:pt idx="79">
                  <c:v>4.8544007614675566</c:v>
                </c:pt>
                <c:pt idx="80">
                  <c:v>4.9229928204941364</c:v>
                </c:pt>
                <c:pt idx="81">
                  <c:v>4.9916237203053404</c:v>
                </c:pt>
                <c:pt idx="82">
                  <c:v>5.0602935150192812</c:v>
                </c:pt>
                <c:pt idx="83">
                  <c:v>5.1290022588500177</c:v>
                </c:pt>
                <c:pt idx="84">
                  <c:v>5.1977500061077686</c:v>
                </c:pt>
                <c:pt idx="85">
                  <c:v>5.2665368111991313</c:v>
                </c:pt>
                <c:pt idx="86">
                  <c:v>5.3353627286272962</c:v>
                </c:pt>
                <c:pt idx="87">
                  <c:v>5.404227812992251</c:v>
                </c:pt>
                <c:pt idx="88">
                  <c:v>5.4731321189910176</c:v>
                </c:pt>
                <c:pt idx="89">
                  <c:v>5.5420757014178506</c:v>
                </c:pt>
                <c:pt idx="90">
                  <c:v>5.6110586151644579</c:v>
                </c:pt>
                <c:pt idx="91">
                  <c:v>5.6800809152202225</c:v>
                </c:pt>
                <c:pt idx="92">
                  <c:v>5.7491426566724186</c:v>
                </c:pt>
                <c:pt idx="93">
                  <c:v>5.8182438947064332</c:v>
                </c:pt>
                <c:pt idx="94">
                  <c:v>5.8873846846059754</c:v>
                </c:pt>
                <c:pt idx="95">
                  <c:v>5.9565650817533058</c:v>
                </c:pt>
                <c:pt idx="96">
                  <c:v>6.0257851416294619</c:v>
                </c:pt>
                <c:pt idx="97">
                  <c:v>6.0950449198144598</c:v>
                </c:pt>
                <c:pt idx="98">
                  <c:v>6.1643444719875342</c:v>
                </c:pt>
                <c:pt idx="99">
                  <c:v>6.2336838539273547</c:v>
                </c:pt>
                <c:pt idx="100">
                  <c:v>6.3030631215122481</c:v>
                </c:pt>
              </c:numCache>
            </c:numRef>
          </c:val>
          <c:smooth val="0"/>
          <c:extLst>
            <c:ext xmlns:c16="http://schemas.microsoft.com/office/drawing/2014/chart" uri="{C3380CC4-5D6E-409C-BE32-E72D297353CC}">
              <c16:uniqueId val="{00000000-DC32-4242-87FA-45A0737872EA}"/>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1.0057214102688214</c:v>
                </c:pt>
                <c:pt idx="2">
                  <c:v>1.0114428205376429</c:v>
                </c:pt>
                <c:pt idx="3">
                  <c:v>1.0171642308064646</c:v>
                </c:pt>
                <c:pt idx="4">
                  <c:v>1.022885641075286</c:v>
                </c:pt>
                <c:pt idx="5">
                  <c:v>1.0286070513441075</c:v>
                </c:pt>
                <c:pt idx="6">
                  <c:v>1.0343284616129291</c:v>
                </c:pt>
                <c:pt idx="7">
                  <c:v>1.0400498718817506</c:v>
                </c:pt>
                <c:pt idx="8">
                  <c:v>1.045771282150572</c:v>
                </c:pt>
                <c:pt idx="9">
                  <c:v>1.0514926924193935</c:v>
                </c:pt>
                <c:pt idx="10">
                  <c:v>1.0572141026882151</c:v>
                </c:pt>
                <c:pt idx="11">
                  <c:v>1.0629355129570366</c:v>
                </c:pt>
                <c:pt idx="12">
                  <c:v>1.068656923225858</c:v>
                </c:pt>
                <c:pt idx="13">
                  <c:v>1.0743783334946795</c:v>
                </c:pt>
                <c:pt idx="14">
                  <c:v>1.0800997437635012</c:v>
                </c:pt>
                <c:pt idx="15">
                  <c:v>1.0858211540323226</c:v>
                </c:pt>
                <c:pt idx="16">
                  <c:v>1.091542564301144</c:v>
                </c:pt>
                <c:pt idx="17">
                  <c:v>1.0972639745699655</c:v>
                </c:pt>
                <c:pt idx="18">
                  <c:v>1.1029853848387869</c:v>
                </c:pt>
                <c:pt idx="19">
                  <c:v>1.1087067951076086</c:v>
                </c:pt>
                <c:pt idx="20">
                  <c:v>1.1144282053764301</c:v>
                </c:pt>
                <c:pt idx="21">
                  <c:v>1.1201496156452515</c:v>
                </c:pt>
                <c:pt idx="22">
                  <c:v>1.1258710259140732</c:v>
                </c:pt>
                <c:pt idx="23">
                  <c:v>1.1315924361828946</c:v>
                </c:pt>
                <c:pt idx="24">
                  <c:v>1.1373138464517161</c:v>
                </c:pt>
                <c:pt idx="25">
                  <c:v>1.1430352567205375</c:v>
                </c:pt>
                <c:pt idx="26">
                  <c:v>1.148756666989359</c:v>
                </c:pt>
                <c:pt idx="27">
                  <c:v>1.1544780772581806</c:v>
                </c:pt>
                <c:pt idx="28">
                  <c:v>1.1601994875270021</c:v>
                </c:pt>
                <c:pt idx="29">
                  <c:v>1.1659208977958235</c:v>
                </c:pt>
                <c:pt idx="30">
                  <c:v>1.171642308064645</c:v>
                </c:pt>
                <c:pt idx="31">
                  <c:v>1.1773637183334666</c:v>
                </c:pt>
                <c:pt idx="32">
                  <c:v>1.1830851286022881</c:v>
                </c:pt>
                <c:pt idx="33">
                  <c:v>1.1888065388711095</c:v>
                </c:pt>
                <c:pt idx="34">
                  <c:v>1.1945279491399312</c:v>
                </c:pt>
                <c:pt idx="35">
                  <c:v>1.2365489748873235</c:v>
                </c:pt>
                <c:pt idx="36">
                  <c:v>1.260417394146401</c:v>
                </c:pt>
                <c:pt idx="37">
                  <c:v>1.2839565465111391</c:v>
                </c:pt>
                <c:pt idx="38">
                  <c:v>1.3071796941007137</c:v>
                </c:pt>
                <c:pt idx="39">
                  <c:v>1.3300992319608715</c:v>
                </c:pt>
                <c:pt idx="40">
                  <c:v>1.3527267654121764</c:v>
                </c:pt>
                <c:pt idx="41">
                  <c:v>1.3750731787467274</c:v>
                </c:pt>
                <c:pt idx="42">
                  <c:v>1.3971486964274846</c:v>
                </c:pt>
                <c:pt idx="43">
                  <c:v>1.4189629377666615</c:v>
                </c:pt>
                <c:pt idx="44">
                  <c:v>1.4405249659128316</c:v>
                </c:pt>
                <c:pt idx="45">
                  <c:v>1.4618433318544453</c:v>
                </c:pt>
                <c:pt idx="46">
                  <c:v>1.4829261140457581</c:v>
                </c:pt>
                <c:pt idx="47">
                  <c:v>1.5037809541759628</c:v>
                </c:pt>
                <c:pt idx="48">
                  <c:v>1.5244150895306277</c:v>
                </c:pt>
                <c:pt idx="49">
                  <c:v>1.5448353823340384</c:v>
                </c:pt>
                <c:pt idx="50">
                  <c:v>1.5650483464097145</c:v>
                </c:pt>
                <c:pt idx="51">
                  <c:v>1.585060171452735</c:v>
                </c:pt>
                <c:pt idx="52">
                  <c:v>1.6048767451702526</c:v>
                </c:pt>
                <c:pt idx="53">
                  <c:v>1.6245036735146656</c:v>
                </c:pt>
                <c:pt idx="54">
                  <c:v>1.6439462992065115</c:v>
                </c:pt>
                <c:pt idx="55">
                  <c:v>1.709031118641803</c:v>
                </c:pt>
                <c:pt idx="56">
                  <c:v>1.7482745247420812</c:v>
                </c:pt>
                <c:pt idx="57">
                  <c:v>1.7875200695434086</c:v>
                </c:pt>
                <c:pt idx="58">
                  <c:v>1.8267677540048384</c:v>
                </c:pt>
                <c:pt idx="59">
                  <c:v>1.8660175790857625</c:v>
                </c:pt>
                <c:pt idx="60">
                  <c:v>1.9052695457459163</c:v>
                </c:pt>
                <c:pt idx="61">
                  <c:v>1.944523654945377</c:v>
                </c:pt>
                <c:pt idx="62">
                  <c:v>1.9837799076445635</c:v>
                </c:pt>
                <c:pt idx="63">
                  <c:v>2.0230383048042371</c:v>
                </c:pt>
                <c:pt idx="64">
                  <c:v>2.062298847385502</c:v>
                </c:pt>
                <c:pt idx="65">
                  <c:v>2.1015615363498052</c:v>
                </c:pt>
                <c:pt idx="66">
                  <c:v>2.1408263726589349</c:v>
                </c:pt>
                <c:pt idx="67">
                  <c:v>2.1800933572750254</c:v>
                </c:pt>
                <c:pt idx="68">
                  <c:v>2.2193624911605521</c:v>
                </c:pt>
                <c:pt idx="69">
                  <c:v>2.2586337752783332</c:v>
                </c:pt>
                <c:pt idx="70">
                  <c:v>2.2979072105915304</c:v>
                </c:pt>
                <c:pt idx="71">
                  <c:v>2.3371827980636533</c:v>
                </c:pt>
                <c:pt idx="72">
                  <c:v>2.37646053865855</c:v>
                </c:pt>
                <c:pt idx="73">
                  <c:v>2.4157404333404133</c:v>
                </c:pt>
                <c:pt idx="74">
                  <c:v>2.4550224830737841</c:v>
                </c:pt>
                <c:pt idx="75">
                  <c:v>2.4943066888235439</c:v>
                </c:pt>
                <c:pt idx="76">
                  <c:v>2.5335930515549201</c:v>
                </c:pt>
                <c:pt idx="77">
                  <c:v>2.5728815722334826</c:v>
                </c:pt>
                <c:pt idx="78">
                  <c:v>2.6121722518251511</c:v>
                </c:pt>
                <c:pt idx="79">
                  <c:v>2.6514650912961875</c:v>
                </c:pt>
                <c:pt idx="80">
                  <c:v>2.6907600916131975</c:v>
                </c:pt>
                <c:pt idx="81">
                  <c:v>2.7300572537431336</c:v>
                </c:pt>
                <c:pt idx="82">
                  <c:v>2.7693565786532934</c:v>
                </c:pt>
                <c:pt idx="83">
                  <c:v>2.8086580673113213</c:v>
                </c:pt>
                <c:pt idx="84">
                  <c:v>2.8479617206852081</c:v>
                </c:pt>
                <c:pt idx="85">
                  <c:v>2.8872675397432879</c:v>
                </c:pt>
                <c:pt idx="86">
                  <c:v>2.926575525454242</c:v>
                </c:pt>
                <c:pt idx="87">
                  <c:v>2.9658856787871013</c:v>
                </c:pt>
                <c:pt idx="88">
                  <c:v>3.0051980007112373</c:v>
                </c:pt>
                <c:pt idx="89">
                  <c:v>3.0445124921963753</c:v>
                </c:pt>
                <c:pt idx="90">
                  <c:v>3.0838291542125806</c:v>
                </c:pt>
                <c:pt idx="91">
                  <c:v>3.1231479877302695</c:v>
                </c:pt>
                <c:pt idx="92">
                  <c:v>3.1624689937202071</c:v>
                </c:pt>
                <c:pt idx="93">
                  <c:v>3.2017921731535006</c:v>
                </c:pt>
                <c:pt idx="94">
                  <c:v>3.2411175270016086</c:v>
                </c:pt>
                <c:pt idx="95">
                  <c:v>3.2804450562363385</c:v>
                </c:pt>
                <c:pt idx="96">
                  <c:v>3.3197747618298443</c:v>
                </c:pt>
                <c:pt idx="97">
                  <c:v>3.3591066447546254</c:v>
                </c:pt>
                <c:pt idx="98">
                  <c:v>3.3984407059835302</c:v>
                </c:pt>
                <c:pt idx="99">
                  <c:v>3.4377769464897625</c:v>
                </c:pt>
                <c:pt idx="100">
                  <c:v>3.4771153672468662</c:v>
                </c:pt>
              </c:numCache>
            </c:numRef>
          </c:val>
          <c:smooth val="0"/>
          <c:extLst>
            <c:ext xmlns:c16="http://schemas.microsoft.com/office/drawing/2014/chart" uri="{C3380CC4-5D6E-409C-BE32-E72D297353CC}">
              <c16:uniqueId val="{00000001-DC32-4242-87FA-45A0737872EA}"/>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1.0057213577078983</c:v>
                </c:pt>
                <c:pt idx="2">
                  <c:v>1.0114427154157968</c:v>
                </c:pt>
                <c:pt idx="3">
                  <c:v>1.0171640731236951</c:v>
                </c:pt>
                <c:pt idx="4">
                  <c:v>1.0228854308315936</c:v>
                </c:pt>
                <c:pt idx="5">
                  <c:v>1.0286067885394918</c:v>
                </c:pt>
                <c:pt idx="6">
                  <c:v>1.0343281462473901</c:v>
                </c:pt>
                <c:pt idx="7">
                  <c:v>1.0400495039552886</c:v>
                </c:pt>
                <c:pt idx="8">
                  <c:v>1.0457708616631869</c:v>
                </c:pt>
                <c:pt idx="9">
                  <c:v>1.0514922193710854</c:v>
                </c:pt>
                <c:pt idx="10">
                  <c:v>1.0572135770789837</c:v>
                </c:pt>
                <c:pt idx="11">
                  <c:v>1.0629349347868819</c:v>
                </c:pt>
                <c:pt idx="12">
                  <c:v>1.0686562924947804</c:v>
                </c:pt>
                <c:pt idx="13">
                  <c:v>1.0743776502026787</c:v>
                </c:pt>
                <c:pt idx="14">
                  <c:v>1.0800990079105772</c:v>
                </c:pt>
                <c:pt idx="15">
                  <c:v>1.0858203656184755</c:v>
                </c:pt>
                <c:pt idx="16">
                  <c:v>1.0915417233263738</c:v>
                </c:pt>
                <c:pt idx="17">
                  <c:v>1.0972630810342723</c:v>
                </c:pt>
                <c:pt idx="18">
                  <c:v>1.1029844387421706</c:v>
                </c:pt>
                <c:pt idx="19">
                  <c:v>1.1087057964500691</c:v>
                </c:pt>
                <c:pt idx="20">
                  <c:v>1.1144271541579673</c:v>
                </c:pt>
                <c:pt idx="21">
                  <c:v>1.1201485118658656</c:v>
                </c:pt>
                <c:pt idx="22">
                  <c:v>1.1258698695737641</c:v>
                </c:pt>
                <c:pt idx="23">
                  <c:v>1.1315912272816624</c:v>
                </c:pt>
                <c:pt idx="24">
                  <c:v>1.1373125849895609</c:v>
                </c:pt>
                <c:pt idx="25">
                  <c:v>1.1430339426974592</c:v>
                </c:pt>
                <c:pt idx="26">
                  <c:v>1.1487553004053577</c:v>
                </c:pt>
                <c:pt idx="27">
                  <c:v>1.1544766581132559</c:v>
                </c:pt>
                <c:pt idx="28">
                  <c:v>1.1601980158211542</c:v>
                </c:pt>
                <c:pt idx="29">
                  <c:v>1.1659193735290527</c:v>
                </c:pt>
                <c:pt idx="30">
                  <c:v>1.171640731236951</c:v>
                </c:pt>
                <c:pt idx="31">
                  <c:v>1.1773620889448493</c:v>
                </c:pt>
                <c:pt idx="32">
                  <c:v>1.1830834466527478</c:v>
                </c:pt>
                <c:pt idx="33">
                  <c:v>1.1888048043606461</c:v>
                </c:pt>
                <c:pt idx="34">
                  <c:v>1.1945261620685446</c:v>
                </c:pt>
                <c:pt idx="35">
                  <c:v>1.2365489748873235</c:v>
                </c:pt>
                <c:pt idx="36">
                  <c:v>1.260417394146401</c:v>
                </c:pt>
                <c:pt idx="37">
                  <c:v>1.2839565465111391</c:v>
                </c:pt>
                <c:pt idx="38">
                  <c:v>1.3071796941007137</c:v>
                </c:pt>
                <c:pt idx="39">
                  <c:v>1.3300992319608715</c:v>
                </c:pt>
                <c:pt idx="40">
                  <c:v>1.3527267654121764</c:v>
                </c:pt>
                <c:pt idx="41">
                  <c:v>1.3750731787467274</c:v>
                </c:pt>
                <c:pt idx="42">
                  <c:v>1.3971486964274846</c:v>
                </c:pt>
                <c:pt idx="43">
                  <c:v>1.4189629377666615</c:v>
                </c:pt>
                <c:pt idx="44">
                  <c:v>1.4405249659128316</c:v>
                </c:pt>
                <c:pt idx="45">
                  <c:v>1.4618433318544453</c:v>
                </c:pt>
                <c:pt idx="46">
                  <c:v>1.4829261140457581</c:v>
                </c:pt>
                <c:pt idx="47">
                  <c:v>1.5037809541759628</c:v>
                </c:pt>
                <c:pt idx="48">
                  <c:v>1.5244150895306277</c:v>
                </c:pt>
                <c:pt idx="49">
                  <c:v>1.5448353823340384</c:v>
                </c:pt>
                <c:pt idx="50">
                  <c:v>1.5650483464097145</c:v>
                </c:pt>
                <c:pt idx="51">
                  <c:v>1.585060171452735</c:v>
                </c:pt>
                <c:pt idx="52">
                  <c:v>1.6048767451702526</c:v>
                </c:pt>
                <c:pt idx="53">
                  <c:v>1.6245036735146656</c:v>
                </c:pt>
                <c:pt idx="54">
                  <c:v>1.6439462992065115</c:v>
                </c:pt>
                <c:pt idx="55">
                  <c:v>1.6632097187205255</c:v>
                </c:pt>
                <c:pt idx="56">
                  <c:v>1.6822987978878912</c:v>
                </c:pt>
                <c:pt idx="57">
                  <c:v>1.7012181862500309</c:v>
                </c:pt>
                <c:pt idx="58">
                  <c:v>1.7199723302839045</c:v>
                </c:pt>
                <c:pt idx="59">
                  <c:v>1.7385654856053918</c:v>
                </c:pt>
                <c:pt idx="60">
                  <c:v>1.7570017282456516</c:v>
                </c:pt>
                <c:pt idx="61">
                  <c:v>1.7752849650850944</c:v>
                </c:pt>
                <c:pt idx="62">
                  <c:v>1.7934189435206318</c:v>
                </c:pt>
                <c:pt idx="63">
                  <c:v>1.8114072604339617</c:v>
                </c:pt>
                <c:pt idx="64">
                  <c:v>1.829253370521676</c:v>
                </c:pt>
                <c:pt idx="65">
                  <c:v>1.8469605940418421</c:v>
                </c:pt>
                <c:pt idx="66">
                  <c:v>1.8645321240262398</c:v>
                </c:pt>
                <c:pt idx="67">
                  <c:v>1.8819710330026407</c:v>
                </c:pt>
                <c:pt idx="68">
                  <c:v>1.899280279267187</c:v>
                </c:pt>
                <c:pt idx="69">
                  <c:v>1.8881305658129524</c:v>
                </c:pt>
                <c:pt idx="70">
                  <c:v>1.9219658839086349</c:v>
                </c:pt>
                <c:pt idx="71">
                  <c:v>1.9558053516654514</c:v>
                </c:pt>
                <c:pt idx="72">
                  <c:v>1.9896472037864552</c:v>
                </c:pt>
                <c:pt idx="73">
                  <c:v>2.0234894042496561</c:v>
                </c:pt>
                <c:pt idx="74">
                  <c:v>2.0573319532929122</c:v>
                </c:pt>
                <c:pt idx="75">
                  <c:v>2.0911748511541211</c:v>
                </c:pt>
                <c:pt idx="76">
                  <c:v>2.1250180980712181</c:v>
                </c:pt>
                <c:pt idx="77">
                  <c:v>2.1588616942821783</c:v>
                </c:pt>
                <c:pt idx="78">
                  <c:v>2.192705640025018</c:v>
                </c:pt>
                <c:pt idx="79">
                  <c:v>2.2265499355377907</c:v>
                </c:pt>
                <c:pt idx="80">
                  <c:v>2.2603945810585904</c:v>
                </c:pt>
                <c:pt idx="81">
                  <c:v>2.2942395768255492</c:v>
                </c:pt>
                <c:pt idx="82">
                  <c:v>2.3280849230768395</c:v>
                </c:pt>
                <c:pt idx="83">
                  <c:v>2.3619306200506758</c:v>
                </c:pt>
                <c:pt idx="84">
                  <c:v>2.3957766679853068</c:v>
                </c:pt>
                <c:pt idx="85">
                  <c:v>2.4296230671190253</c:v>
                </c:pt>
                <c:pt idx="86">
                  <c:v>2.4634698176901608</c:v>
                </c:pt>
                <c:pt idx="87">
                  <c:v>2.4973169199370835</c:v>
                </c:pt>
                <c:pt idx="88">
                  <c:v>2.5311643740982031</c:v>
                </c:pt>
                <c:pt idx="89">
                  <c:v>2.565012180411967</c:v>
                </c:pt>
                <c:pt idx="90">
                  <c:v>2.5988603391168654</c:v>
                </c:pt>
                <c:pt idx="91">
                  <c:v>2.6327088504514258</c:v>
                </c:pt>
                <c:pt idx="92">
                  <c:v>2.666557714654215</c:v>
                </c:pt>
                <c:pt idx="93">
                  <c:v>2.7004069319638413</c:v>
                </c:pt>
                <c:pt idx="94">
                  <c:v>2.7342565026189507</c:v>
                </c:pt>
                <c:pt idx="95">
                  <c:v>2.7681064268582296</c:v>
                </c:pt>
                <c:pt idx="96">
                  <c:v>2.8019567049204053</c:v>
                </c:pt>
                <c:pt idx="97">
                  <c:v>2.8358073370442392</c:v>
                </c:pt>
                <c:pt idx="98">
                  <c:v>2.8696583234685402</c:v>
                </c:pt>
                <c:pt idx="99">
                  <c:v>2.9035096644321516</c:v>
                </c:pt>
                <c:pt idx="100">
                  <c:v>2.9373613601739592</c:v>
                </c:pt>
              </c:numCache>
            </c:numRef>
          </c:val>
          <c:smooth val="0"/>
          <c:extLst>
            <c:ext xmlns:c16="http://schemas.microsoft.com/office/drawing/2014/chart" uri="{C3380CC4-5D6E-409C-BE32-E72D297353CC}">
              <c16:uniqueId val="{00000002-DC32-4242-87FA-45A0737872EA}"/>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6.8262822053612889E-5</c:v>
                </c:pt>
                <c:pt idx="1">
                  <c:v>78.462306942322471</c:v>
                </c:pt>
                <c:pt idx="2">
                  <c:v>81.808787092572956</c:v>
                </c:pt>
                <c:pt idx="3">
                  <c:v>82.93314488714735</c:v>
                </c:pt>
                <c:pt idx="4">
                  <c:v>83.455332564947554</c:v>
                </c:pt>
                <c:pt idx="5">
                  <c:v>83.723792600748794</c:v>
                </c:pt>
                <c:pt idx="6">
                  <c:v>83.858857905633698</c:v>
                </c:pt>
                <c:pt idx="7">
                  <c:v>83.913429363287946</c:v>
                </c:pt>
                <c:pt idx="8">
                  <c:v>83.914559571780529</c:v>
                </c:pt>
                <c:pt idx="9">
                  <c:v>83.877618631539548</c:v>
                </c:pt>
                <c:pt idx="10">
                  <c:v>83.812050995946279</c:v>
                </c:pt>
                <c:pt idx="11">
                  <c:v>83.724025769394288</c:v>
                </c:pt>
                <c:pt idx="12">
                  <c:v>83.617776496328943</c:v>
                </c:pt>
                <c:pt idx="13">
                  <c:v>83.496329835255438</c:v>
                </c:pt>
                <c:pt idx="14">
                  <c:v>83.361925908457863</c:v>
                </c:pt>
                <c:pt idx="15">
                  <c:v>83.216272858080615</c:v>
                </c:pt>
                <c:pt idx="16">
                  <c:v>83.060707422577636</c:v>
                </c:pt>
                <c:pt idx="17">
                  <c:v>82.896299819853482</c:v>
                </c:pt>
                <c:pt idx="18">
                  <c:v>82.723924347121113</c:v>
                </c:pt>
                <c:pt idx="19">
                  <c:v>82.544308170604694</c:v>
                </c:pt>
                <c:pt idx="20">
                  <c:v>82.358065834636349</c:v>
                </c:pt>
                <c:pt idx="21">
                  <c:v>82.165724179322908</c:v>
                </c:pt>
                <c:pt idx="22">
                  <c:v>81.96774066867961</c:v>
                </c:pt>
                <c:pt idx="23">
                  <c:v>81.764517098778867</c:v>
                </c:pt>
                <c:pt idx="24">
                  <c:v>81.556410006947957</c:v>
                </c:pt>
                <c:pt idx="25">
                  <c:v>81.343738685890401</c:v>
                </c:pt>
                <c:pt idx="26">
                  <c:v>81.126791432454297</c:v>
                </c:pt>
                <c:pt idx="27">
                  <c:v>80.905830477063461</c:v>
                </c:pt>
                <c:pt idx="28">
                  <c:v>80.681095914516746</c:v>
                </c:pt>
                <c:pt idx="29">
                  <c:v>80.452808869982732</c:v>
                </c:pt>
                <c:pt idx="30">
                  <c:v>80.22117407287115</c:v>
                </c:pt>
                <c:pt idx="31">
                  <c:v>79.986381967629711</c:v>
                </c:pt>
                <c:pt idx="32">
                  <c:v>79.748610458975719</c:v>
                </c:pt>
                <c:pt idx="33">
                  <c:v>79.508026366000763</c:v>
                </c:pt>
                <c:pt idx="34">
                  <c:v>79.075511765822228</c:v>
                </c:pt>
                <c:pt idx="35">
                  <c:v>78.475511900083035</c:v>
                </c:pt>
                <c:pt idx="36">
                  <c:v>78.515083446780267</c:v>
                </c:pt>
                <c:pt idx="37">
                  <c:v>78.551774360048086</c:v>
                </c:pt>
                <c:pt idx="38">
                  <c:v>78.585801249575709</c:v>
                </c:pt>
                <c:pt idx="39">
                  <c:v>78.617359927617997</c:v>
                </c:pt>
                <c:pt idx="40">
                  <c:v>78.646627848775012</c:v>
                </c:pt>
                <c:pt idx="41">
                  <c:v>78.673766212839638</c:v>
                </c:pt>
                <c:pt idx="42">
                  <c:v>78.698921783993441</c:v>
                </c:pt>
                <c:pt idx="43">
                  <c:v>78.722228470179886</c:v>
                </c:pt>
                <c:pt idx="44">
                  <c:v>78.743808698885942</c:v>
                </c:pt>
                <c:pt idx="45">
                  <c:v>78.7637746194182</c:v>
                </c:pt>
                <c:pt idx="46">
                  <c:v>78.782229156766732</c:v>
                </c:pt>
                <c:pt idx="47">
                  <c:v>78.799266938073075</c:v>
                </c:pt>
                <c:pt idx="48">
                  <c:v>78.814975109374004</c:v>
                </c:pt>
                <c:pt idx="49">
                  <c:v>78.829434057536616</c:v>
                </c:pt>
                <c:pt idx="50">
                  <c:v>79.291781341638782</c:v>
                </c:pt>
                <c:pt idx="51">
                  <c:v>79.738914999195714</c:v>
                </c:pt>
                <c:pt idx="52">
                  <c:v>80.167578723704509</c:v>
                </c:pt>
                <c:pt idx="53">
                  <c:v>80.579017218433492</c:v>
                </c:pt>
                <c:pt idx="54">
                  <c:v>80.974242692701424</c:v>
                </c:pt>
                <c:pt idx="55">
                  <c:v>80.823929859073147</c:v>
                </c:pt>
                <c:pt idx="56">
                  <c:v>80.975639775649213</c:v>
                </c:pt>
                <c:pt idx="57">
                  <c:v>81.12252366282587</c:v>
                </c:pt>
                <c:pt idx="58">
                  <c:v>81.264786571667358</c:v>
                </c:pt>
                <c:pt idx="59">
                  <c:v>81.402621981581149</c:v>
                </c:pt>
                <c:pt idx="60">
                  <c:v>81.536212609586727</c:v>
                </c:pt>
                <c:pt idx="61">
                  <c:v>81.665731152086536</c:v>
                </c:pt>
                <c:pt idx="62">
                  <c:v>81.791340965671566</c:v>
                </c:pt>
                <c:pt idx="63">
                  <c:v>81.913196692775443</c:v>
                </c:pt>
                <c:pt idx="64">
                  <c:v>82.031444837359729</c:v>
                </c:pt>
                <c:pt idx="65">
                  <c:v>82.146224295259728</c:v>
                </c:pt>
                <c:pt idx="66">
                  <c:v>82.257666843331819</c:v>
                </c:pt>
                <c:pt idx="67">
                  <c:v>82.365897591114006</c:v>
                </c:pt>
                <c:pt idx="68">
                  <c:v>82.471035398330457</c:v>
                </c:pt>
                <c:pt idx="69">
                  <c:v>82.573193261235261</c:v>
                </c:pt>
                <c:pt idx="70">
                  <c:v>82.672478670491103</c:v>
                </c:pt>
                <c:pt idx="71">
                  <c:v>82.76899394301455</c:v>
                </c:pt>
                <c:pt idx="72">
                  <c:v>82.862836529982658</c:v>
                </c:pt>
                <c:pt idx="73">
                  <c:v>82.954099302986393</c:v>
                </c:pt>
                <c:pt idx="74">
                  <c:v>83.042870820127064</c:v>
                </c:pt>
                <c:pt idx="75">
                  <c:v>83.129235573685889</c:v>
                </c:pt>
                <c:pt idx="76">
                  <c:v>83.213274220844852</c:v>
                </c:pt>
                <c:pt idx="77">
                  <c:v>83.295063798803369</c:v>
                </c:pt>
                <c:pt idx="78">
                  <c:v>83.374677925513353</c:v>
                </c:pt>
                <c:pt idx="79">
                  <c:v>83.45218698714703</c:v>
                </c:pt>
                <c:pt idx="80">
                  <c:v>83.527658313313395</c:v>
                </c:pt>
                <c:pt idx="81">
                  <c:v>83.601156340951206</c:v>
                </c:pt>
                <c:pt idx="82">
                  <c:v>83.672742767746016</c:v>
                </c:pt>
                <c:pt idx="83">
                  <c:v>83.74247669584787</c:v>
                </c:pt>
                <c:pt idx="84">
                  <c:v>83.810414766598825</c:v>
                </c:pt>
                <c:pt idx="85">
                  <c:v>83.876611286923421</c:v>
                </c:pt>
                <c:pt idx="86">
                  <c:v>83.941118347978474</c:v>
                </c:pt>
                <c:pt idx="87">
                  <c:v>84.003985936612239</c:v>
                </c:pt>
                <c:pt idx="88">
                  <c:v>84.065262040137398</c:v>
                </c:pt>
                <c:pt idx="89">
                  <c:v>84.124992744882732</c:v>
                </c:pt>
                <c:pt idx="90">
                  <c:v>84.183222328951345</c:v>
                </c:pt>
                <c:pt idx="91">
                  <c:v>84.239993349580075</c:v>
                </c:pt>
                <c:pt idx="92">
                  <c:v>84.295346725464015</c:v>
                </c:pt>
                <c:pt idx="93">
                  <c:v>84.34932181438225</c:v>
                </c:pt>
                <c:pt idx="94">
                  <c:v>84.401956486435793</c:v>
                </c:pt>
                <c:pt idx="95">
                  <c:v>84.45328719318465</c:v>
                </c:pt>
                <c:pt idx="96">
                  <c:v>84.50334903295024</c:v>
                </c:pt>
                <c:pt idx="97">
                  <c:v>84.552175812529455</c:v>
                </c:pt>
                <c:pt idx="98">
                  <c:v>84.599800105548823</c:v>
                </c:pt>
                <c:pt idx="99">
                  <c:v>84.646253307670719</c:v>
                </c:pt>
                <c:pt idx="100">
                  <c:v>84.195767393085703</c:v>
                </c:pt>
              </c:numCache>
            </c:numRef>
          </c:val>
          <c:smooth val="0"/>
          <c:extLst>
            <c:ext xmlns:c16="http://schemas.microsoft.com/office/drawing/2014/chart" uri="{C3380CC4-5D6E-409C-BE32-E72D297353CC}">
              <c16:uniqueId val="{00000000-AC8A-4551-AD17-C0E237FEA675}"/>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1.4879999999999998E-6</c:v>
                </c:pt>
                <c:pt idx="1">
                  <c:v>9.2999999999999989</c:v>
                </c:pt>
                <c:pt idx="2">
                  <c:v>18.599999999999998</c:v>
                </c:pt>
                <c:pt idx="3">
                  <c:v>27.9</c:v>
                </c:pt>
                <c:pt idx="4">
                  <c:v>37.199999999999996</c:v>
                </c:pt>
                <c:pt idx="5">
                  <c:v>46.499999999999993</c:v>
                </c:pt>
                <c:pt idx="6">
                  <c:v>55.8</c:v>
                </c:pt>
                <c:pt idx="7">
                  <c:v>65.100000000000009</c:v>
                </c:pt>
                <c:pt idx="8">
                  <c:v>74.399999999999991</c:v>
                </c:pt>
                <c:pt idx="9">
                  <c:v>83.7</c:v>
                </c:pt>
                <c:pt idx="10">
                  <c:v>92.999999999999986</c:v>
                </c:pt>
                <c:pt idx="11">
                  <c:v>102.3</c:v>
                </c:pt>
                <c:pt idx="12">
                  <c:v>111.6</c:v>
                </c:pt>
                <c:pt idx="13">
                  <c:v>120.89999999999999</c:v>
                </c:pt>
                <c:pt idx="14">
                  <c:v>130.20000000000002</c:v>
                </c:pt>
                <c:pt idx="15">
                  <c:v>139.49999999999997</c:v>
                </c:pt>
                <c:pt idx="16">
                  <c:v>148.79999999999998</c:v>
                </c:pt>
                <c:pt idx="17">
                  <c:v>158.1</c:v>
                </c:pt>
                <c:pt idx="18">
                  <c:v>167.4</c:v>
                </c:pt>
                <c:pt idx="19">
                  <c:v>176.7</c:v>
                </c:pt>
                <c:pt idx="20">
                  <c:v>185.99999999999997</c:v>
                </c:pt>
                <c:pt idx="21">
                  <c:v>195.3</c:v>
                </c:pt>
                <c:pt idx="22">
                  <c:v>204.6</c:v>
                </c:pt>
                <c:pt idx="23">
                  <c:v>213.9</c:v>
                </c:pt>
                <c:pt idx="24">
                  <c:v>223.2</c:v>
                </c:pt>
                <c:pt idx="25">
                  <c:v>232.49999999999997</c:v>
                </c:pt>
                <c:pt idx="26">
                  <c:v>241.79999999999998</c:v>
                </c:pt>
                <c:pt idx="27">
                  <c:v>251.1</c:v>
                </c:pt>
                <c:pt idx="28">
                  <c:v>260.40000000000003</c:v>
                </c:pt>
                <c:pt idx="29">
                  <c:v>269.7</c:v>
                </c:pt>
                <c:pt idx="30">
                  <c:v>278.99999999999994</c:v>
                </c:pt>
                <c:pt idx="31">
                  <c:v>288.3</c:v>
                </c:pt>
                <c:pt idx="32">
                  <c:v>297.59999999999997</c:v>
                </c:pt>
                <c:pt idx="33">
                  <c:v>306.89999999999998</c:v>
                </c:pt>
                <c:pt idx="34">
                  <c:v>316.2</c:v>
                </c:pt>
                <c:pt idx="35">
                  <c:v>325.49999999999994</c:v>
                </c:pt>
                <c:pt idx="36">
                  <c:v>334.8</c:v>
                </c:pt>
                <c:pt idx="37">
                  <c:v>344.1</c:v>
                </c:pt>
                <c:pt idx="38">
                  <c:v>353.4</c:v>
                </c:pt>
                <c:pt idx="39">
                  <c:v>362.69999999999993</c:v>
                </c:pt>
                <c:pt idx="40">
                  <c:v>371.99999999999994</c:v>
                </c:pt>
                <c:pt idx="41">
                  <c:v>381.29999999999995</c:v>
                </c:pt>
                <c:pt idx="42">
                  <c:v>390.6</c:v>
                </c:pt>
                <c:pt idx="43">
                  <c:v>399.9</c:v>
                </c:pt>
                <c:pt idx="44">
                  <c:v>409.2</c:v>
                </c:pt>
                <c:pt idx="45">
                  <c:v>418.5</c:v>
                </c:pt>
                <c:pt idx="46">
                  <c:v>427.8</c:v>
                </c:pt>
                <c:pt idx="47">
                  <c:v>437.09999999999991</c:v>
                </c:pt>
                <c:pt idx="48">
                  <c:v>446.4</c:v>
                </c:pt>
                <c:pt idx="49">
                  <c:v>455.7</c:v>
                </c:pt>
                <c:pt idx="50">
                  <c:v>464.99999999999994</c:v>
                </c:pt>
                <c:pt idx="51">
                  <c:v>474.29999999999995</c:v>
                </c:pt>
                <c:pt idx="52">
                  <c:v>483.59999999999997</c:v>
                </c:pt>
                <c:pt idx="53">
                  <c:v>492.9</c:v>
                </c:pt>
                <c:pt idx="54">
                  <c:v>502.2</c:v>
                </c:pt>
                <c:pt idx="55">
                  <c:v>511.49999999999994</c:v>
                </c:pt>
                <c:pt idx="56">
                  <c:v>520.80000000000007</c:v>
                </c:pt>
                <c:pt idx="57">
                  <c:v>530.1</c:v>
                </c:pt>
                <c:pt idx="58">
                  <c:v>539.4</c:v>
                </c:pt>
                <c:pt idx="59">
                  <c:v>548.69999999999993</c:v>
                </c:pt>
                <c:pt idx="60">
                  <c:v>557.99999999999989</c:v>
                </c:pt>
                <c:pt idx="61">
                  <c:v>567.29999999999995</c:v>
                </c:pt>
                <c:pt idx="62">
                  <c:v>576.6</c:v>
                </c:pt>
                <c:pt idx="63">
                  <c:v>585.89999999999986</c:v>
                </c:pt>
                <c:pt idx="64">
                  <c:v>595.19999999999993</c:v>
                </c:pt>
                <c:pt idx="65">
                  <c:v>604.49999999999989</c:v>
                </c:pt>
                <c:pt idx="66">
                  <c:v>613.79999999999995</c:v>
                </c:pt>
                <c:pt idx="67">
                  <c:v>623.1</c:v>
                </c:pt>
                <c:pt idx="68">
                  <c:v>632.4</c:v>
                </c:pt>
                <c:pt idx="69">
                  <c:v>641.69999999999993</c:v>
                </c:pt>
                <c:pt idx="70">
                  <c:v>650.99999999999989</c:v>
                </c:pt>
                <c:pt idx="71">
                  <c:v>660.29999999999984</c:v>
                </c:pt>
                <c:pt idx="72">
                  <c:v>669.6</c:v>
                </c:pt>
                <c:pt idx="73">
                  <c:v>678.9</c:v>
                </c:pt>
                <c:pt idx="74">
                  <c:v>688.2</c:v>
                </c:pt>
                <c:pt idx="75">
                  <c:v>697.49999999999989</c:v>
                </c:pt>
                <c:pt idx="76">
                  <c:v>706.8</c:v>
                </c:pt>
                <c:pt idx="77">
                  <c:v>716.09999999999991</c:v>
                </c:pt>
                <c:pt idx="78">
                  <c:v>725.39999999999986</c:v>
                </c:pt>
                <c:pt idx="79">
                  <c:v>734.69999999999993</c:v>
                </c:pt>
                <c:pt idx="80">
                  <c:v>743.99999999999989</c:v>
                </c:pt>
                <c:pt idx="81">
                  <c:v>753.3</c:v>
                </c:pt>
                <c:pt idx="82">
                  <c:v>762.59999999999991</c:v>
                </c:pt>
                <c:pt idx="83">
                  <c:v>771.9</c:v>
                </c:pt>
                <c:pt idx="84">
                  <c:v>781.2</c:v>
                </c:pt>
                <c:pt idx="85">
                  <c:v>790.5</c:v>
                </c:pt>
                <c:pt idx="86">
                  <c:v>799.8</c:v>
                </c:pt>
                <c:pt idx="87">
                  <c:v>809.09999999999991</c:v>
                </c:pt>
                <c:pt idx="88">
                  <c:v>818.4</c:v>
                </c:pt>
                <c:pt idx="89">
                  <c:v>827.7</c:v>
                </c:pt>
                <c:pt idx="90">
                  <c:v>837</c:v>
                </c:pt>
                <c:pt idx="91">
                  <c:v>846.30000000000007</c:v>
                </c:pt>
                <c:pt idx="92">
                  <c:v>855.6</c:v>
                </c:pt>
                <c:pt idx="93">
                  <c:v>864.90000000000009</c:v>
                </c:pt>
                <c:pt idx="94">
                  <c:v>874.19999999999982</c:v>
                </c:pt>
                <c:pt idx="95">
                  <c:v>883.49999999999989</c:v>
                </c:pt>
                <c:pt idx="96">
                  <c:v>892.8</c:v>
                </c:pt>
                <c:pt idx="97">
                  <c:v>902.09999999999991</c:v>
                </c:pt>
                <c:pt idx="98">
                  <c:v>911.4</c:v>
                </c:pt>
                <c:pt idx="99">
                  <c:v>920.69999999999993</c:v>
                </c:pt>
                <c:pt idx="100">
                  <c:v>929.99999999999989</c:v>
                </c:pt>
              </c:numCache>
            </c:numRef>
          </c:val>
          <c:smooth val="0"/>
          <c:extLst>
            <c:ext xmlns:c16="http://schemas.microsoft.com/office/drawing/2014/chart" uri="{C3380CC4-5D6E-409C-BE32-E72D297353CC}">
              <c16:uniqueId val="{00000001-AC8A-4551-AD17-C0E237FEA675}"/>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23.882037447512634</c:v>
                </c:pt>
                <c:pt idx="1">
                  <c:v>23.861111801472518</c:v>
                </c:pt>
                <c:pt idx="2">
                  <c:v>47.729175691755003</c:v>
                </c:pt>
                <c:pt idx="3">
                  <c:v>71.604194709594012</c:v>
                </c:pt>
                <c:pt idx="4">
                  <c:v>95.486171895507283</c:v>
                </c:pt>
                <c:pt idx="5">
                  <c:v>119.37511029178521</c:v>
                </c:pt>
                <c:pt idx="6">
                  <c:v>143.27101294249178</c:v>
                </c:pt>
                <c:pt idx="7">
                  <c:v>167.17388289346633</c:v>
                </c:pt>
                <c:pt idx="8">
                  <c:v>191.08372319232438</c:v>
                </c:pt>
                <c:pt idx="9">
                  <c:v>215.00053688845935</c:v>
                </c:pt>
                <c:pt idx="10">
                  <c:v>238.9243270330436</c:v>
                </c:pt>
                <c:pt idx="11">
                  <c:v>262.85509667902949</c:v>
                </c:pt>
                <c:pt idx="12">
                  <c:v>286.79284888115166</c:v>
                </c:pt>
                <c:pt idx="13">
                  <c:v>310.73758669592667</c:v>
                </c:pt>
                <c:pt idx="14">
                  <c:v>334.6893131816563</c:v>
                </c:pt>
                <c:pt idx="15">
                  <c:v>358.64803139842689</c:v>
                </c:pt>
                <c:pt idx="16">
                  <c:v>382.61374440811244</c:v>
                </c:pt>
                <c:pt idx="17">
                  <c:v>406.58645527437432</c:v>
                </c:pt>
                <c:pt idx="18">
                  <c:v>430.56616706266362</c:v>
                </c:pt>
                <c:pt idx="19">
                  <c:v>454.55288284022231</c:v>
                </c:pt>
                <c:pt idx="20">
                  <c:v>478.54660567608408</c:v>
                </c:pt>
                <c:pt idx="21">
                  <c:v>502.54733864107595</c:v>
                </c:pt>
                <c:pt idx="22">
                  <c:v>526.55508480781998</c:v>
                </c:pt>
                <c:pt idx="23">
                  <c:v>550.5698472507338</c:v>
                </c:pt>
                <c:pt idx="24">
                  <c:v>574.59162904603238</c:v>
                </c:pt>
                <c:pt idx="25">
                  <c:v>598.62043327172887</c:v>
                </c:pt>
                <c:pt idx="26">
                  <c:v>622.65626300763756</c:v>
                </c:pt>
                <c:pt idx="27">
                  <c:v>646.69912133537252</c:v>
                </c:pt>
                <c:pt idx="28">
                  <c:v>670.74901133835147</c:v>
                </c:pt>
                <c:pt idx="29">
                  <c:v>694.80593610179437</c:v>
                </c:pt>
                <c:pt idx="30">
                  <c:v>718.86989871272863</c:v>
                </c:pt>
                <c:pt idx="31">
                  <c:v>742.9409022599865</c:v>
                </c:pt>
                <c:pt idx="32">
                  <c:v>767.01894983420823</c:v>
                </c:pt>
                <c:pt idx="33">
                  <c:v>791.10404452784371</c:v>
                </c:pt>
                <c:pt idx="34">
                  <c:v>821.06960346992912</c:v>
                </c:pt>
                <c:pt idx="35">
                  <c:v>856.18020192473477</c:v>
                </c:pt>
                <c:pt idx="36">
                  <c:v>867.9260461406169</c:v>
                </c:pt>
                <c:pt idx="37">
                  <c:v>879.55570168620591</c:v>
                </c:pt>
                <c:pt idx="38">
                  <c:v>891.07466058556361</c:v>
                </c:pt>
                <c:pt idx="39">
                  <c:v>902.48805174742824</c:v>
                </c:pt>
                <c:pt idx="40">
                  <c:v>913.80067360709654</c:v>
                </c:pt>
                <c:pt idx="41">
                  <c:v>925.01702310251017</c:v>
                </c:pt>
                <c:pt idx="42">
                  <c:v>936.14132147482132</c:v>
                </c:pt>
                <c:pt idx="43">
                  <c:v>947.17753730811739</c:v>
                </c:pt>
                <c:pt idx="44">
                  <c:v>958.12940716050832</c:v>
                </c:pt>
                <c:pt idx="45">
                  <c:v>969.00045408692608</c:v>
                </c:pt>
                <c:pt idx="46">
                  <c:v>979.79400431073293</c:v>
                </c:pt>
                <c:pt idx="47">
                  <c:v>990.51320226501468</c:v>
                </c:pt>
                <c:pt idx="48">
                  <c:v>1001.1610241939794</c:v>
                </c:pt>
                <c:pt idx="49">
                  <c:v>1011.7402904791593</c:v>
                </c:pt>
                <c:pt idx="50">
                  <c:v>1003.1903185635875</c:v>
                </c:pt>
                <c:pt idx="51">
                  <c:v>994.71074234429818</c:v>
                </c:pt>
                <c:pt idx="52">
                  <c:v>986.47032963385709</c:v>
                </c:pt>
                <c:pt idx="53">
                  <c:v>978.4391804955419</c:v>
                </c:pt>
                <c:pt idx="54">
                  <c:v>970.59948925752997</c:v>
                </c:pt>
                <c:pt idx="55">
                  <c:v>984.89248387747625</c:v>
                </c:pt>
                <c:pt idx="56">
                  <c:v>986.74010439109668</c:v>
                </c:pt>
                <c:pt idx="57">
                  <c:v>988.6553427156399</c:v>
                </c:pt>
                <c:pt idx="58">
                  <c:v>990.63741001632377</c:v>
                </c:pt>
                <c:pt idx="59">
                  <c:v>992.6855785778896</c:v>
                </c:pt>
                <c:pt idx="60">
                  <c:v>994.79917721397624</c:v>
                </c:pt>
                <c:pt idx="61">
                  <c:v>996.97758710404162</c:v>
                </c:pt>
                <c:pt idx="62">
                  <c:v>999.22023801231444</c:v>
                </c:pt>
                <c:pt idx="63">
                  <c:v>1001.5266048487259</c:v>
                </c:pt>
                <c:pt idx="64">
                  <c:v>1003.8962045364997</c:v>
                </c:pt>
                <c:pt idx="65">
                  <c:v>1006.3285931551821</c:v>
                </c:pt>
                <c:pt idx="66">
                  <c:v>1008.8233633315044</c:v>
                </c:pt>
                <c:pt idx="67">
                  <c:v>1011.3801418535604</c:v>
                </c:pt>
                <c:pt idx="68">
                  <c:v>1013.9985874865489</c:v>
                </c:pt>
                <c:pt idx="69">
                  <c:v>1016.678388970699</c:v>
                </c:pt>
                <c:pt idx="70">
                  <c:v>1019.419263184129</c:v>
                </c:pt>
                <c:pt idx="71">
                  <c:v>1022.220953455201</c:v>
                </c:pt>
                <c:pt idx="72">
                  <c:v>1025.0832280106024</c:v>
                </c:pt>
                <c:pt idx="73">
                  <c:v>1028.0058785467986</c:v>
                </c:pt>
                <c:pt idx="74">
                  <c:v>1030.9887189137801</c:v>
                </c:pt>
                <c:pt idx="75">
                  <c:v>1034.0315839011571</c:v>
                </c:pt>
                <c:pt idx="76">
                  <c:v>1037.1343281176505</c:v>
                </c:pt>
                <c:pt idx="77">
                  <c:v>1040.2968249559158</c:v>
                </c:pt>
                <c:pt idx="78">
                  <c:v>1043.5189656354271</c:v>
                </c:pt>
                <c:pt idx="79">
                  <c:v>1046.8006583168585</c:v>
                </c:pt>
                <c:pt idx="80">
                  <c:v>1050.1418272820154</c:v>
                </c:pt>
                <c:pt idx="81">
                  <c:v>1053.5424121739375</c:v>
                </c:pt>
                <c:pt idx="82">
                  <c:v>1057.0023672923123</c:v>
                </c:pt>
                <c:pt idx="83">
                  <c:v>1060.5216609397507</c:v>
                </c:pt>
                <c:pt idx="84">
                  <c:v>1064.1002748149281</c:v>
                </c:pt>
                <c:pt idx="85">
                  <c:v>1067.7382034489112</c:v>
                </c:pt>
                <c:pt idx="86">
                  <c:v>1071.4354536813619</c:v>
                </c:pt>
                <c:pt idx="87">
                  <c:v>1075.1920441735647</c:v>
                </c:pt>
                <c:pt idx="88">
                  <c:v>1079.0080049555154</c:v>
                </c:pt>
                <c:pt idx="89">
                  <c:v>1082.8833770045394</c:v>
                </c:pt>
                <c:pt idx="90">
                  <c:v>1086.8182118531281</c:v>
                </c:pt>
                <c:pt idx="91">
                  <c:v>1090.8125712238675</c:v>
                </c:pt>
                <c:pt idx="92">
                  <c:v>1094.866526689525</c:v>
                </c:pt>
                <c:pt idx="93">
                  <c:v>1098.9801593565242</c:v>
                </c:pt>
                <c:pt idx="94">
                  <c:v>1103.1535595701509</c:v>
                </c:pt>
                <c:pt idx="95">
                  <c:v>1107.38682664002</c:v>
                </c:pt>
                <c:pt idx="96">
                  <c:v>1111.680068584405</c:v>
                </c:pt>
                <c:pt idx="97">
                  <c:v>1116.0334018921674</c:v>
                </c:pt>
                <c:pt idx="98">
                  <c:v>1120.4469513011234</c:v>
                </c:pt>
                <c:pt idx="99">
                  <c:v>1124.9208495917667</c:v>
                </c:pt>
                <c:pt idx="100">
                  <c:v>1129.4552373953588</c:v>
                </c:pt>
              </c:numCache>
            </c:numRef>
          </c:val>
          <c:smooth val="0"/>
          <c:extLst>
            <c:ext xmlns:c16="http://schemas.microsoft.com/office/drawing/2014/chart" uri="{C3380CC4-5D6E-409C-BE32-E72D297353CC}">
              <c16:uniqueId val="{00000002-AC8A-4551-AD17-C0E237FEA675}"/>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37.644821610376347</c:v>
                </c:pt>
                <c:pt idx="1">
                  <c:v>37.659197024847629</c:v>
                </c:pt>
                <c:pt idx="2">
                  <c:v>48.409915227789135</c:v>
                </c:pt>
                <c:pt idx="3">
                  <c:v>59.777668715738848</c:v>
                </c:pt>
                <c:pt idx="4">
                  <c:v>71.903472267572681</c:v>
                </c:pt>
                <c:pt idx="5">
                  <c:v>84.905544678762439</c:v>
                </c:pt>
                <c:pt idx="6">
                  <c:v>98.887826303760534</c:v>
                </c:pt>
                <c:pt idx="7">
                  <c:v>113.94419912681585</c:v>
                </c:pt>
                <c:pt idx="8">
                  <c:v>130.16095650649928</c:v>
                </c:pt>
                <c:pt idx="9">
                  <c:v>147.61839953743123</c:v>
                </c:pt>
                <c:pt idx="10">
                  <c:v>166.39194054616939</c:v>
                </c:pt>
                <c:pt idx="11">
                  <c:v>186.55290400509926</c:v>
                </c:pt>
                <c:pt idx="12">
                  <c:v>208.16912983389255</c:v>
                </c:pt>
                <c:pt idx="13">
                  <c:v>231.30544136015058</c:v>
                </c:pt>
                <c:pt idx="14">
                  <c:v>256.02401701952084</c:v>
                </c:pt>
                <c:pt idx="15">
                  <c:v>282.38469145015301</c:v>
                </c:pt>
                <c:pt idx="16">
                  <c:v>310.44520345575256</c:v>
                </c:pt>
                <c:pt idx="17">
                  <c:v>340.26140311189693</c:v>
                </c:pt>
                <c:pt idx="18">
                  <c:v>371.88742686637761</c:v>
                </c:pt>
                <c:pt idx="19">
                  <c:v>405.37584716066465</c:v>
                </c:pt>
                <c:pt idx="20">
                  <c:v>440.77780148103551</c:v>
                </c:pt>
                <c:pt idx="21">
                  <c:v>478.14310459467612</c:v>
                </c:pt>
                <c:pt idx="22">
                  <c:v>517.5203468877562</c:v>
                </c:pt>
                <c:pt idx="23">
                  <c:v>558.95698110220087</c:v>
                </c:pt>
                <c:pt idx="24">
                  <c:v>602.4993993016983</c:v>
                </c:pt>
                <c:pt idx="25">
                  <c:v>648.19300154190182</c:v>
                </c:pt>
                <c:pt idx="26">
                  <c:v>696.08225744530216</c:v>
                </c:pt>
                <c:pt idx="27">
                  <c:v>746.21076166661669</c:v>
                </c:pt>
                <c:pt idx="28">
                  <c:v>798.62128406514023</c:v>
                </c:pt>
                <c:pt idx="29">
                  <c:v>853.35581526530245</c:v>
                </c:pt>
                <c:pt idx="30">
                  <c:v>910.45560817795092</c:v>
                </c:pt>
                <c:pt idx="31">
                  <c:v>969.96121596655166</c:v>
                </c:pt>
                <c:pt idx="32">
                  <c:v>1031.9125268703924</c:v>
                </c:pt>
                <c:pt idx="33">
                  <c:v>1096.3487962373731</c:v>
                </c:pt>
                <c:pt idx="34">
                  <c:v>1183.924489257281</c:v>
                </c:pt>
                <c:pt idx="35">
                  <c:v>1295.094053332394</c:v>
                </c:pt>
                <c:pt idx="36">
                  <c:v>1338.8480844093028</c:v>
                </c:pt>
                <c:pt idx="37">
                  <c:v>1382.8387235131231</c:v>
                </c:pt>
                <c:pt idx="38">
                  <c:v>1427.0614338599116</c:v>
                </c:pt>
                <c:pt idx="39">
                  <c:v>1471.511890942016</c:v>
                </c:pt>
                <c:pt idx="40">
                  <c:v>1516.1859675032181</c:v>
                </c:pt>
                <c:pt idx="41">
                  <c:v>1561.0797199272647</c:v>
                </c:pt>
                <c:pt idx="42">
                  <c:v>1606.18937587551</c:v>
                </c:pt>
                <c:pt idx="43">
                  <c:v>1651.511323031915</c:v>
                </c:pt>
                <c:pt idx="44">
                  <c:v>1697.0420988327073</c:v>
                </c:pt>
                <c:pt idx="45">
                  <c:v>1742.7783810740593</c:v>
                </c:pt>
                <c:pt idx="46">
                  <c:v>1788.7169793048406</c:v>
                </c:pt>
                <c:pt idx="47">
                  <c:v>1834.8548269231298</c:v>
                </c:pt>
                <c:pt idx="48">
                  <c:v>1881.1889739051585</c:v>
                </c:pt>
                <c:pt idx="49">
                  <c:v>1927.7165801039293</c:v>
                </c:pt>
                <c:pt idx="50">
                  <c:v>1900.835022686726</c:v>
                </c:pt>
                <c:pt idx="51">
                  <c:v>1874.3424553167438</c:v>
                </c:pt>
                <c:pt idx="52">
                  <c:v>1848.8744118530942</c:v>
                </c:pt>
                <c:pt idx="53">
                  <c:v>1824.3391204106858</c:v>
                </c:pt>
                <c:pt idx="54">
                  <c:v>1800.6717034428066</c:v>
                </c:pt>
                <c:pt idx="55">
                  <c:v>1870.2890889464143</c:v>
                </c:pt>
                <c:pt idx="56">
                  <c:v>1886.8629195671831</c:v>
                </c:pt>
                <c:pt idx="57">
                  <c:v>1903.3789114939302</c:v>
                </c:pt>
                <c:pt idx="58">
                  <c:v>1919.8422435077264</c:v>
                </c:pt>
                <c:pt idx="59">
                  <c:v>1936.257786035427</c:v>
                </c:pt>
                <c:pt idx="60">
                  <c:v>1952.630124146433</c:v>
                </c:pt>
                <c:pt idx="61">
                  <c:v>1968.9635785337659</c:v>
                </c:pt>
                <c:pt idx="62">
                  <c:v>1985.262224682165</c:v>
                </c:pt>
                <c:pt idx="63">
                  <c:v>2001.5299104029425</c:v>
                </c:pt>
                <c:pt idx="64">
                  <c:v>2017.7702718953628</c:v>
                </c:pt>
                <c:pt idx="65">
                  <c:v>2033.9867484766748</c:v>
                </c:pt>
                <c:pt idx="66">
                  <c:v>2050.182596107602</c:v>
                </c:pt>
                <c:pt idx="67">
                  <c:v>2066.3608998264021</c:v>
                </c:pt>
                <c:pt idx="68">
                  <c:v>2082.5245851927684</c:v>
                </c:pt>
                <c:pt idx="69">
                  <c:v>2098.6764288321538</c:v>
                </c:pt>
                <c:pt idx="70">
                  <c:v>2114.8190681619085</c:v>
                </c:pt>
                <c:pt idx="71">
                  <c:v>2130.9550103721749</c:v>
                </c:pt>
                <c:pt idx="72">
                  <c:v>2147.0866407273015</c:v>
                </c:pt>
                <c:pt idx="73">
                  <c:v>2163.2162302468832</c:v>
                </c:pt>
                <c:pt idx="74">
                  <c:v>2179.3459428198544</c:v>
                </c:pt>
                <c:pt idx="75">
                  <c:v>2195.47784179978</c:v>
                </c:pt>
                <c:pt idx="76">
                  <c:v>2211.6138961249362</c:v>
                </c:pt>
                <c:pt idx="77">
                  <c:v>2227.7559860026113</c:v>
                </c:pt>
                <c:pt idx="78">
                  <c:v>2243.9059081934233</c:v>
                </c:pt>
                <c:pt idx="79">
                  <c:v>2260.0653809280484</c:v>
                </c:pt>
                <c:pt idx="80">
                  <c:v>2276.2360484858832</c:v>
                </c:pt>
                <c:pt idx="81">
                  <c:v>2292.4194854624261</c:v>
                </c:pt>
                <c:pt idx="82">
                  <c:v>2308.6172007498194</c:v>
                </c:pt>
                <c:pt idx="83">
                  <c:v>2324.8306412527327</c:v>
                </c:pt>
                <c:pt idx="84">
                  <c:v>2341.0611953600123</c:v>
                </c:pt>
                <c:pt idx="85">
                  <c:v>2357.3101961905304</c:v>
                </c:pt>
                <c:pt idx="86">
                  <c:v>2373.5789246302252</c:v>
                </c:pt>
                <c:pt idx="87">
                  <c:v>2389.8686121758997</c:v>
                </c:pt>
                <c:pt idx="88">
                  <c:v>2406.1804435999111</c:v>
                </c:pt>
                <c:pt idx="89">
                  <c:v>2422.5155594488774</c:v>
                </c:pt>
                <c:pt idx="90">
                  <c:v>2438.8750583882502</c:v>
                </c:pt>
                <c:pt idx="91">
                  <c:v>2455.2599994038724</c:v>
                </c:pt>
                <c:pt idx="92">
                  <c:v>2471.6714038705345</c:v>
                </c:pt>
                <c:pt idx="93">
                  <c:v>2488.1102574968622</c:v>
                </c:pt>
                <c:pt idx="94">
                  <c:v>2504.5775121550973</c:v>
                </c:pt>
                <c:pt idx="95">
                  <c:v>2521.0740876036421</c:v>
                </c:pt>
                <c:pt idx="96">
                  <c:v>2537.6008731097036</c:v>
                </c:pt>
                <c:pt idx="97">
                  <c:v>2554.1587289786944</c:v>
                </c:pt>
                <c:pt idx="98">
                  <c:v>2570.7484879966623</c:v>
                </c:pt>
                <c:pt idx="99">
                  <c:v>2587.370956791427</c:v>
                </c:pt>
                <c:pt idx="100">
                  <c:v>2604.0269171178256</c:v>
                </c:pt>
              </c:numCache>
            </c:numRef>
          </c:val>
          <c:smooth val="0"/>
          <c:extLst>
            <c:ext xmlns:c16="http://schemas.microsoft.com/office/drawing/2014/chart" uri="{C3380CC4-5D6E-409C-BE32-E72D297353CC}">
              <c16:uniqueId val="{00000003-AC8A-4551-AD17-C0E237FEA675}"/>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10.012467970437628</c:v>
                </c:pt>
                <c:pt idx="2">
                  <c:v>30.037403911312889</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237.11687394801285</c:v>
                </c:pt>
                <c:pt idx="27">
                  <c:v>228.71217510399072</c:v>
                </c:pt>
                <c:pt idx="28">
                  <c:v>220.79090629077334</c:v>
                </c:pt>
                <c:pt idx="29">
                  <c:v>213.39224068989424</c:v>
                </c:pt>
                <c:pt idx="30">
                  <c:v>206.46611091387595</c:v>
                </c:pt>
                <c:pt idx="31">
                  <c:v>199.96864718879655</c:v>
                </c:pt>
                <c:pt idx="32">
                  <c:v>193.86124717214813</c:v>
                </c:pt>
                <c:pt idx="33">
                  <c:v>188.10980841848749</c:v>
                </c:pt>
                <c:pt idx="34">
                  <c:v>182.68409125254396</c:v>
                </c:pt>
                <c:pt idx="35">
                  <c:v>177.55718691202003</c:v>
                </c:pt>
                <c:pt idx="36">
                  <c:v>172.70507121177818</c:v>
                </c:pt>
                <c:pt idx="37">
                  <c:v>168.10622810457852</c:v>
                </c:pt>
                <c:pt idx="38">
                  <c:v>163.74133069302343</c:v>
                </c:pt>
                <c:pt idx="39">
                  <c:v>159.59296971705476</c:v>
                </c:pt>
                <c:pt idx="40">
                  <c:v>155.64542147301893</c:v>
                </c:pt>
                <c:pt idx="41">
                  <c:v>151.88444864114015</c:v>
                </c:pt>
                <c:pt idx="42">
                  <c:v>148.29712870305036</c:v>
                </c:pt>
                <c:pt idx="43">
                  <c:v>144.87170559114992</c:v>
                </c:pt>
                <c:pt idx="44">
                  <c:v>141.59746098099774</c:v>
                </c:pt>
                <c:pt idx="45">
                  <c:v>138.46460225783966</c:v>
                </c:pt>
                <c:pt idx="46">
                  <c:v>135.46416469037217</c:v>
                </c:pt>
                <c:pt idx="47">
                  <c:v>132.58792575331745</c:v>
                </c:pt>
                <c:pt idx="48">
                  <c:v>129.82832987431564</c:v>
                </c:pt>
                <c:pt idx="49">
                  <c:v>127.17842215483743</c:v>
                </c:pt>
                <c:pt idx="50">
                  <c:v>124.63178984092414</c:v>
                </c:pt>
                <c:pt idx="51">
                  <c:v>122.1825105067725</c:v>
                </c:pt>
                <c:pt idx="52">
                  <c:v>119.82510606978157</c:v>
                </c:pt>
                <c:pt idx="53">
                  <c:v>117.55450188550293</c:v>
                </c:pt>
                <c:pt idx="54">
                  <c:v>115.36599027962956</c:v>
                </c:pt>
                <c:pt idx="55">
                  <c:v>113.25519796548701</c:v>
                </c:pt>
                <c:pt idx="56">
                  <c:v>111.21805687247338</c:v>
                </c:pt>
                <c:pt idx="57">
                  <c:v>109.25077797599847</c:v>
                </c:pt>
                <c:pt idx="58">
                  <c:v>107.34982777469709</c:v>
                </c:pt>
                <c:pt idx="59">
                  <c:v>105.51190710767578</c:v>
                </c:pt>
                <c:pt idx="60">
                  <c:v>103.73393204463981</c:v>
                </c:pt>
                <c:pt idx="61">
                  <c:v>102.01301661604374</c:v>
                </c:pt>
                <c:pt idx="62">
                  <c:v>100.34645717983406</c:v>
                </c:pt>
                <c:pt idx="63">
                  <c:v>98.731718246653998</c:v>
                </c:pt>
                <c:pt idx="64">
                  <c:v>97.166419607201391</c:v>
                </c:pt>
                <c:pt idx="65">
                  <c:v>95.648324624285308</c:v>
                </c:pt>
                <c:pt idx="66">
                  <c:v>94.175329568465941</c:v>
                </c:pt>
                <c:pt idx="67">
                  <c:v>92.745453890341267</c:v>
                </c:pt>
                <c:pt idx="68">
                  <c:v>91.356831334890998</c:v>
                </c:pt>
                <c:pt idx="69">
                  <c:v>90.007701814047167</c:v>
                </c:pt>
                <c:pt idx="70">
                  <c:v>88.696403963065379</c:v>
                </c:pt>
                <c:pt idx="71">
                  <c:v>87.421368314505528</c:v>
                </c:pt>
                <c:pt idx="72">
                  <c:v>86.181111030852392</c:v>
                </c:pt>
                <c:pt idx="73">
                  <c:v>84.974228143155131</c:v>
                </c:pt>
                <c:pt idx="74">
                  <c:v>83.799390248653992</c:v>
                </c:pt>
                <c:pt idx="75">
                  <c:v>82.655337625293186</c:v>
                </c:pt>
                <c:pt idx="76">
                  <c:v>81.540875725375344</c:v>
                </c:pt>
                <c:pt idx="77">
                  <c:v>80.45487101446767</c:v>
                </c:pt>
                <c:pt idx="78">
                  <c:v>79.396247125090042</c:v>
                </c:pt>
                <c:pt idx="79">
                  <c:v>78.363981297748111</c:v>
                </c:pt>
                <c:pt idx="80">
                  <c:v>77.357101084576357</c:v>
                </c:pt>
                <c:pt idx="81">
                  <c:v>76.374681293257453</c:v>
                </c:pt>
                <c:pt idx="82">
                  <c:v>75.415841151030449</c:v>
                </c:pt>
                <c:pt idx="83">
                  <c:v>74.479741670516049</c:v>
                </c:pt>
                <c:pt idx="84">
                  <c:v>73.565583200798827</c:v>
                </c:pt>
                <c:pt idx="85">
                  <c:v>72.672603148742766</c:v>
                </c:pt>
                <c:pt idx="86">
                  <c:v>71.800073856892311</c:v>
                </c:pt>
                <c:pt idx="87">
                  <c:v>70.947300625547939</c:v>
                </c:pt>
                <c:pt idx="88">
                  <c:v>70.113619867715443</c:v>
                </c:pt>
                <c:pt idx="89">
                  <c:v>69.298397386631748</c:v>
                </c:pt>
                <c:pt idx="90">
                  <c:v>68.501026766469593</c:v>
                </c:pt>
                <c:pt idx="91">
                  <c:v>67.72092786763919</c:v>
                </c:pt>
                <c:pt idx="92">
                  <c:v>66.957545418840752</c:v>
                </c:pt>
                <c:pt idx="93">
                  <c:v>66.210347698686775</c:v>
                </c:pt>
                <c:pt idx="94">
                  <c:v>65.478825300316004</c:v>
                </c:pt>
                <c:pt idx="95">
                  <c:v>64.762489972967174</c:v>
                </c:pt>
                <c:pt idx="96">
                  <c:v>64.060873534976949</c:v>
                </c:pt>
                <c:pt idx="97">
                  <c:v>63.373526853116537</c:v>
                </c:pt>
                <c:pt idx="98">
                  <c:v>62.700018883590893</c:v>
                </c:pt>
                <c:pt idx="99">
                  <c:v>62.039935770398017</c:v>
                </c:pt>
                <c:pt idx="100">
                  <c:v>61.392879997085096</c:v>
                </c:pt>
              </c:numCache>
            </c:numRef>
          </c:val>
          <c:smooth val="0"/>
          <c:extLst>
            <c:ext xmlns:c16="http://schemas.microsoft.com/office/drawing/2014/chart" uri="{C3380CC4-5D6E-409C-BE32-E72D297353CC}">
              <c16:uniqueId val="{00000000-14B5-4C6D-ADBB-33FE896DCEBE}"/>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10.012467970437628</c:v>
                </c:pt>
                <c:pt idx="2">
                  <c:v>20.024935940875256</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260.32416723137834</c:v>
                </c:pt>
                <c:pt idx="27">
                  <c:v>270.33663520181597</c:v>
                </c:pt>
                <c:pt idx="28">
                  <c:v>280.34910317225365</c:v>
                </c:pt>
                <c:pt idx="29">
                  <c:v>290.36157114269122</c:v>
                </c:pt>
                <c:pt idx="30">
                  <c:v>300.37403911312884</c:v>
                </c:pt>
                <c:pt idx="31">
                  <c:v>310.38650708356653</c:v>
                </c:pt>
                <c:pt idx="32">
                  <c:v>320.3989750540041</c:v>
                </c:pt>
                <c:pt idx="33">
                  <c:v>330.41144302444178</c:v>
                </c:pt>
                <c:pt idx="34">
                  <c:v>340.42391099487946</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343.53260049854697</c:v>
                </c:pt>
                <c:pt idx="51">
                  <c:v>337.24233243538094</c:v>
                </c:pt>
                <c:pt idx="52">
                  <c:v>331.17803246141665</c:v>
                </c:pt>
                <c:pt idx="53">
                  <c:v>325.32434129059664</c:v>
                </c:pt>
                <c:pt idx="54">
                  <c:v>319.6688212970347</c:v>
                </c:pt>
                <c:pt idx="55">
                  <c:v>314.2059910179334</c:v>
                </c:pt>
                <c:pt idx="56">
                  <c:v>308.92616749844484</c:v>
                </c:pt>
                <c:pt idx="57">
                  <c:v>303.82030587323101</c:v>
                </c:pt>
                <c:pt idx="58">
                  <c:v>298.87994765714615</c:v>
                </c:pt>
                <c:pt idx="59">
                  <c:v>294.09717398420645</c:v>
                </c:pt>
                <c:pt idx="60">
                  <c:v>289.46456325107459</c:v>
                </c:pt>
                <c:pt idx="61">
                  <c:v>284.97515268852692</c:v>
                </c:pt>
                <c:pt idx="62">
                  <c:v>280.62240344239223</c:v>
                </c:pt>
                <c:pt idx="63">
                  <c:v>276.40016879565252</c:v>
                </c:pt>
                <c:pt idx="64">
                  <c:v>272.30266520691464</c:v>
                </c:pt>
                <c:pt idx="65">
                  <c:v>268.32444587828491</c:v>
                </c:pt>
                <c:pt idx="66">
                  <c:v>264.46037659861815</c:v>
                </c:pt>
                <c:pt idx="67">
                  <c:v>260.70561363685255</c:v>
                </c:pt>
                <c:pt idx="68">
                  <c:v>257.05558348528558</c:v>
                </c:pt>
                <c:pt idx="69">
                  <c:v>253.50596427466186</c:v>
                </c:pt>
                <c:pt idx="70">
                  <c:v>250.05266870228883</c:v>
                </c:pt>
                <c:pt idx="71">
                  <c:v>246.69182833139183</c:v>
                </c:pt>
                <c:pt idx="72">
                  <c:v>243.41977913491436</c:v>
                </c:pt>
                <c:pt idx="73">
                  <c:v>240.23304817018402</c:v>
                </c:pt>
                <c:pt idx="74">
                  <c:v>237.12834128256674</c:v>
                </c:pt>
                <c:pt idx="75">
                  <c:v>234.10253174658567</c:v>
                </c:pt>
                <c:pt idx="76">
                  <c:v>231.15264976216574</c:v>
                </c:pt>
                <c:pt idx="77">
                  <c:v>228.27587273182925</c:v>
                </c:pt>
                <c:pt idx="78">
                  <c:v>225.4695162519325</c:v>
                </c:pt>
                <c:pt idx="79">
                  <c:v>222.73102575750269</c:v>
                </c:pt>
                <c:pt idx="80">
                  <c:v>220.0579687660144</c:v>
                </c:pt>
                <c:pt idx="81">
                  <c:v>217.44802767060389</c:v>
                </c:pt>
                <c:pt idx="82">
                  <c:v>214.89899303784705</c:v>
                </c:pt>
                <c:pt idx="83">
                  <c:v>212.40875736935786</c:v>
                </c:pt>
                <c:pt idx="84">
                  <c:v>209.97530929019152</c:v>
                </c:pt>
                <c:pt idx="85">
                  <c:v>207.59672813036588</c:v>
                </c:pt>
                <c:pt idx="86">
                  <c:v>205.27117886882422</c:v>
                </c:pt>
                <c:pt idx="87">
                  <c:v>202.99690741186777</c:v>
                </c:pt>
                <c:pt idx="88">
                  <c:v>200.77223618052449</c:v>
                </c:pt>
                <c:pt idx="89">
                  <c:v>198.59555998352607</c:v>
                </c:pt>
                <c:pt idx="90">
                  <c:v>196.46534215455691</c:v>
                </c:pt>
                <c:pt idx="91">
                  <c:v>194.38011093423916</c:v>
                </c:pt>
                <c:pt idx="92">
                  <c:v>192.33845607895367</c:v>
                </c:pt>
                <c:pt idx="93">
                  <c:v>190.33902568007684</c:v>
                </c:pt>
                <c:pt idx="94">
                  <c:v>188.38052317855539</c:v>
                </c:pt>
                <c:pt idx="95">
                  <c:v>186.46170456096741</c:v>
                </c:pt>
                <c:pt idx="96">
                  <c:v>184.58137572432679</c:v>
                </c:pt>
                <c:pt idx="97">
                  <c:v>182.73838999789993</c:v>
                </c:pt>
                <c:pt idx="98">
                  <c:v>180.93164581122906</c:v>
                </c:pt>
                <c:pt idx="99">
                  <c:v>179.16008449839575</c:v>
                </c:pt>
                <c:pt idx="100">
                  <c:v>177.42268822932925</c:v>
                </c:pt>
              </c:numCache>
            </c:numRef>
          </c:val>
          <c:smooth val="0"/>
          <c:extLst>
            <c:ext xmlns:c16="http://schemas.microsoft.com/office/drawing/2014/chart" uri="{C3380CC4-5D6E-409C-BE32-E72D297353CC}">
              <c16:uniqueId val="{00000001-14B5-4C6D-ADBB-33FE896DCEBE}"/>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10.012375988822143</c:v>
                </c:pt>
                <c:pt idx="2">
                  <c:v>20.024751977644286</c:v>
                </c:pt>
                <c:pt idx="3">
                  <c:v>30.037127966466429</c:v>
                </c:pt>
                <c:pt idx="4">
                  <c:v>40.049503955288571</c:v>
                </c:pt>
                <c:pt idx="5">
                  <c:v>50.061879944110721</c:v>
                </c:pt>
                <c:pt idx="6">
                  <c:v>60.074255932932857</c:v>
                </c:pt>
                <c:pt idx="7">
                  <c:v>70.086631921755</c:v>
                </c:pt>
                <c:pt idx="8">
                  <c:v>80.099007910577143</c:v>
                </c:pt>
                <c:pt idx="9">
                  <c:v>90.111383899399286</c:v>
                </c:pt>
                <c:pt idx="10">
                  <c:v>100.12375988822144</c:v>
                </c:pt>
                <c:pt idx="11">
                  <c:v>110.13613587704357</c:v>
                </c:pt>
                <c:pt idx="12">
                  <c:v>120.14851186586571</c:v>
                </c:pt>
                <c:pt idx="13">
                  <c:v>130.16088785468787</c:v>
                </c:pt>
                <c:pt idx="14">
                  <c:v>140.17326384351</c:v>
                </c:pt>
                <c:pt idx="15">
                  <c:v>150.18563983233216</c:v>
                </c:pt>
                <c:pt idx="16">
                  <c:v>160.19801582115429</c:v>
                </c:pt>
                <c:pt idx="17">
                  <c:v>170.21039180997644</c:v>
                </c:pt>
                <c:pt idx="18">
                  <c:v>180.22276779879857</c:v>
                </c:pt>
                <c:pt idx="19">
                  <c:v>190.23514378762073</c:v>
                </c:pt>
                <c:pt idx="20">
                  <c:v>200.24751977644289</c:v>
                </c:pt>
                <c:pt idx="21">
                  <c:v>210.25989576526501</c:v>
                </c:pt>
                <c:pt idx="22">
                  <c:v>220.27227175408714</c:v>
                </c:pt>
                <c:pt idx="23">
                  <c:v>230.2846477429093</c:v>
                </c:pt>
                <c:pt idx="24">
                  <c:v>240.29702373173143</c:v>
                </c:pt>
                <c:pt idx="25">
                  <c:v>250.30939972055356</c:v>
                </c:pt>
                <c:pt idx="26">
                  <c:v>260.32177570937574</c:v>
                </c:pt>
                <c:pt idx="27">
                  <c:v>270.3341516981979</c:v>
                </c:pt>
                <c:pt idx="28">
                  <c:v>280.34652768702</c:v>
                </c:pt>
                <c:pt idx="29">
                  <c:v>290.35890367584216</c:v>
                </c:pt>
                <c:pt idx="30">
                  <c:v>300.37127966466431</c:v>
                </c:pt>
                <c:pt idx="31">
                  <c:v>310.38365565348641</c:v>
                </c:pt>
                <c:pt idx="32">
                  <c:v>320.39603164230857</c:v>
                </c:pt>
                <c:pt idx="33">
                  <c:v>330.40840763113073</c:v>
                </c:pt>
                <c:pt idx="34">
                  <c:v>340.42078361995289</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348.70863121887066</c:v>
                </c:pt>
                <c:pt idx="67">
                  <c:v>343.86029290821517</c:v>
                </c:pt>
                <c:pt idx="68">
                  <c:v>339.14488892385293</c:v>
                </c:pt>
                <c:pt idx="69">
                  <c:v>334.55702615992732</c:v>
                </c:pt>
                <c:pt idx="70">
                  <c:v>330.09159934167945</c:v>
                </c:pt>
                <c:pt idx="71">
                  <c:v>325.74275284211831</c:v>
                </c:pt>
                <c:pt idx="72">
                  <c:v>321.50641651018856</c:v>
                </c:pt>
                <c:pt idx="73">
                  <c:v>317.37877014741252</c:v>
                </c:pt>
                <c:pt idx="74">
                  <c:v>313.3556837580756</c:v>
                </c:pt>
                <c:pt idx="75">
                  <c:v>309.43323397116495</c:v>
                </c:pt>
                <c:pt idx="76">
                  <c:v>305.60769127813842</c:v>
                </c:pt>
                <c:pt idx="77">
                  <c:v>301.87550820506556</c:v>
                </c:pt>
                <c:pt idx="78">
                  <c:v>298.23330834029326</c:v>
                </c:pt>
                <c:pt idx="79">
                  <c:v>294.67787614630225</c:v>
                </c:pt>
                <c:pt idx="80">
                  <c:v>291.20614749113423</c:v>
                </c:pt>
                <c:pt idx="81">
                  <c:v>287.81520084079034</c:v>
                </c:pt>
                <c:pt idx="82">
                  <c:v>284.50224905938774</c:v>
                </c:pt>
                <c:pt idx="83">
                  <c:v>281.26463176870334</c:v>
                </c:pt>
                <c:pt idx="84">
                  <c:v>278.09980822308609</c:v>
                </c:pt>
                <c:pt idx="85">
                  <c:v>275.00535065962805</c:v>
                </c:pt>
                <c:pt idx="86">
                  <c:v>271.97893808702145</c:v>
                </c:pt>
                <c:pt idx="87">
                  <c:v>269.01835047970189</c:v>
                </c:pt>
                <c:pt idx="88">
                  <c:v>266.12146334675759</c:v>
                </c:pt>
                <c:pt idx="89">
                  <c:v>263.28624264768399</c:v>
                </c:pt>
                <c:pt idx="90">
                  <c:v>260.51074002941033</c:v>
                </c:pt>
                <c:pt idx="91">
                  <c:v>257.7930883611632</c:v>
                </c:pt>
                <c:pt idx="92">
                  <c:v>255.131497545662</c:v>
                </c:pt>
                <c:pt idx="93">
                  <c:v>252.52425058689749</c:v>
                </c:pt>
                <c:pt idx="94">
                  <c:v>249.96969989634425</c:v>
                </c:pt>
                <c:pt idx="95">
                  <c:v>247.46626382090724</c:v>
                </c:pt>
                <c:pt idx="96">
                  <c:v>245.01242337722769</c:v>
                </c:pt>
                <c:pt idx="97">
                  <c:v>242.60671917817993</c:v>
                </c:pt>
                <c:pt idx="98">
                  <c:v>240.24774853849101</c:v>
                </c:pt>
                <c:pt idx="99">
                  <c:v>237.93416274742222</c:v>
                </c:pt>
                <c:pt idx="100">
                  <c:v>235.66466449736856</c:v>
                </c:pt>
              </c:numCache>
            </c:numRef>
          </c:val>
          <c:smooth val="0"/>
          <c:extLst>
            <c:ext xmlns:c16="http://schemas.microsoft.com/office/drawing/2014/chart" uri="{C3380CC4-5D6E-409C-BE32-E72D297353CC}">
              <c16:uniqueId val="{00000002-14B5-4C6D-ADBB-33FE896DCEBE}"/>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14B5-4C6D-ADBB-33FE896DCEBE}"/>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14B5-4C6D-ADBB-33FE896DCEBE}"/>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14B5-4C6D-ADBB-33FE896DCEBE}"/>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10.012467970437628</c:v>
                </c:pt>
                <c:pt idx="2">
                  <c:v>30.037403911312889</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237.11687394801285</c:v>
                </c:pt>
                <c:pt idx="27">
                  <c:v>228.71217510399072</c:v>
                </c:pt>
                <c:pt idx="28">
                  <c:v>220.79090629077334</c:v>
                </c:pt>
                <c:pt idx="29">
                  <c:v>213.39224068989424</c:v>
                </c:pt>
                <c:pt idx="30">
                  <c:v>206.46611091387595</c:v>
                </c:pt>
                <c:pt idx="31">
                  <c:v>199.96864718879655</c:v>
                </c:pt>
                <c:pt idx="32">
                  <c:v>193.86124717214813</c:v>
                </c:pt>
                <c:pt idx="33">
                  <c:v>188.10980841848749</c:v>
                </c:pt>
                <c:pt idx="34">
                  <c:v>182.68409125254396</c:v>
                </c:pt>
                <c:pt idx="35">
                  <c:v>177.55718691202003</c:v>
                </c:pt>
                <c:pt idx="36">
                  <c:v>172.70507121177818</c:v>
                </c:pt>
                <c:pt idx="37">
                  <c:v>168.10622810457852</c:v>
                </c:pt>
                <c:pt idx="38">
                  <c:v>163.74133069302343</c:v>
                </c:pt>
                <c:pt idx="39">
                  <c:v>159.59296971705476</c:v>
                </c:pt>
                <c:pt idx="40">
                  <c:v>155.64542147301893</c:v>
                </c:pt>
                <c:pt idx="41">
                  <c:v>151.88444864114015</c:v>
                </c:pt>
                <c:pt idx="42">
                  <c:v>148.29712870305036</c:v>
                </c:pt>
                <c:pt idx="43">
                  <c:v>144.87170559114992</c:v>
                </c:pt>
                <c:pt idx="44">
                  <c:v>141.59746098099774</c:v>
                </c:pt>
                <c:pt idx="45">
                  <c:v>138.46460225783966</c:v>
                </c:pt>
                <c:pt idx="46">
                  <c:v>135.46416469037217</c:v>
                </c:pt>
                <c:pt idx="47">
                  <c:v>132.58792575331745</c:v>
                </c:pt>
                <c:pt idx="48">
                  <c:v>129.82832987431564</c:v>
                </c:pt>
                <c:pt idx="49">
                  <c:v>127.17842215483743</c:v>
                </c:pt>
                <c:pt idx="50">
                  <c:v>124.63178984092414</c:v>
                </c:pt>
                <c:pt idx="51">
                  <c:v>122.1825105067725</c:v>
                </c:pt>
                <c:pt idx="52">
                  <c:v>119.82510606978157</c:v>
                </c:pt>
                <c:pt idx="53">
                  <c:v>117.55450188550293</c:v>
                </c:pt>
                <c:pt idx="54">
                  <c:v>115.36599027962956</c:v>
                </c:pt>
                <c:pt idx="55">
                  <c:v>113.25519796548701</c:v>
                </c:pt>
                <c:pt idx="56">
                  <c:v>111.21805687247338</c:v>
                </c:pt>
                <c:pt idx="57">
                  <c:v>109.25077797599847</c:v>
                </c:pt>
                <c:pt idx="58">
                  <c:v>107.34982777469709</c:v>
                </c:pt>
                <c:pt idx="59">
                  <c:v>105.51190710767578</c:v>
                </c:pt>
                <c:pt idx="60">
                  <c:v>103.73393204463981</c:v>
                </c:pt>
                <c:pt idx="61">
                  <c:v>102.01301661604374</c:v>
                </c:pt>
                <c:pt idx="62">
                  <c:v>100.34645717983406</c:v>
                </c:pt>
                <c:pt idx="63">
                  <c:v>98.731718246653998</c:v>
                </c:pt>
                <c:pt idx="64">
                  <c:v>97.166419607201391</c:v>
                </c:pt>
                <c:pt idx="65">
                  <c:v>95.648324624285308</c:v>
                </c:pt>
                <c:pt idx="66">
                  <c:v>94.175329568465941</c:v>
                </c:pt>
                <c:pt idx="67">
                  <c:v>92.745453890341267</c:v>
                </c:pt>
                <c:pt idx="68">
                  <c:v>91.356831334890998</c:v>
                </c:pt>
                <c:pt idx="69">
                  <c:v>90.007701814047167</c:v>
                </c:pt>
                <c:pt idx="70">
                  <c:v>88.696403963065379</c:v>
                </c:pt>
                <c:pt idx="71">
                  <c:v>87.421368314505528</c:v>
                </c:pt>
                <c:pt idx="72">
                  <c:v>86.181111030852392</c:v>
                </c:pt>
                <c:pt idx="73">
                  <c:v>84.974228143155131</c:v>
                </c:pt>
                <c:pt idx="74">
                  <c:v>83.799390248653992</c:v>
                </c:pt>
                <c:pt idx="75">
                  <c:v>82.655337625293186</c:v>
                </c:pt>
                <c:pt idx="76">
                  <c:v>81.540875725375344</c:v>
                </c:pt>
                <c:pt idx="77">
                  <c:v>80.45487101446767</c:v>
                </c:pt>
                <c:pt idx="78">
                  <c:v>79.396247125090042</c:v>
                </c:pt>
                <c:pt idx="79">
                  <c:v>78.363981297748111</c:v>
                </c:pt>
                <c:pt idx="80">
                  <c:v>77.357101084576357</c:v>
                </c:pt>
                <c:pt idx="81">
                  <c:v>76.374681293257453</c:v>
                </c:pt>
                <c:pt idx="82">
                  <c:v>75.415841151030449</c:v>
                </c:pt>
                <c:pt idx="83">
                  <c:v>74.479741670516049</c:v>
                </c:pt>
                <c:pt idx="84">
                  <c:v>73.565583200798827</c:v>
                </c:pt>
                <c:pt idx="85">
                  <c:v>72.672603148742766</c:v>
                </c:pt>
                <c:pt idx="86">
                  <c:v>71.800073856892311</c:v>
                </c:pt>
                <c:pt idx="87">
                  <c:v>70.947300625547939</c:v>
                </c:pt>
                <c:pt idx="88">
                  <c:v>70.113619867715443</c:v>
                </c:pt>
                <c:pt idx="89">
                  <c:v>69.298397386631748</c:v>
                </c:pt>
                <c:pt idx="90">
                  <c:v>68.501026766469593</c:v>
                </c:pt>
                <c:pt idx="91">
                  <c:v>67.72092786763919</c:v>
                </c:pt>
                <c:pt idx="92">
                  <c:v>66.957545418840752</c:v>
                </c:pt>
                <c:pt idx="93">
                  <c:v>66.210347698686775</c:v>
                </c:pt>
                <c:pt idx="94">
                  <c:v>65.478825300316004</c:v>
                </c:pt>
                <c:pt idx="95">
                  <c:v>64.762489972967174</c:v>
                </c:pt>
                <c:pt idx="96">
                  <c:v>64.060873534976949</c:v>
                </c:pt>
                <c:pt idx="97">
                  <c:v>63.373526853116537</c:v>
                </c:pt>
                <c:pt idx="98">
                  <c:v>62.700018883590893</c:v>
                </c:pt>
                <c:pt idx="99">
                  <c:v>62.039935770398017</c:v>
                </c:pt>
                <c:pt idx="100">
                  <c:v>61.392879997085096</c:v>
                </c:pt>
              </c:numCache>
            </c:numRef>
          </c:val>
          <c:smooth val="0"/>
          <c:extLst>
            <c:ext xmlns:c16="http://schemas.microsoft.com/office/drawing/2014/chart" uri="{C3380CC4-5D6E-409C-BE32-E72D297353CC}">
              <c16:uniqueId val="{00000006-14B5-4C6D-ADBB-33FE896DCEBE}"/>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10.012467970437628</c:v>
                </c:pt>
                <c:pt idx="2">
                  <c:v>20.024935940875256</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260.32416723137834</c:v>
                </c:pt>
                <c:pt idx="27">
                  <c:v>270.33663520181597</c:v>
                </c:pt>
                <c:pt idx="28">
                  <c:v>280.34910317225365</c:v>
                </c:pt>
                <c:pt idx="29">
                  <c:v>290.36157114269122</c:v>
                </c:pt>
                <c:pt idx="30">
                  <c:v>300.37403911312884</c:v>
                </c:pt>
                <c:pt idx="31">
                  <c:v>310.38650708356653</c:v>
                </c:pt>
                <c:pt idx="32">
                  <c:v>320.3989750540041</c:v>
                </c:pt>
                <c:pt idx="33">
                  <c:v>330.41144302444178</c:v>
                </c:pt>
                <c:pt idx="34">
                  <c:v>340.42391099487946</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343.53260049854697</c:v>
                </c:pt>
                <c:pt idx="51">
                  <c:v>337.24233243538094</c:v>
                </c:pt>
                <c:pt idx="52">
                  <c:v>331.17803246141665</c:v>
                </c:pt>
                <c:pt idx="53">
                  <c:v>325.32434129059664</c:v>
                </c:pt>
                <c:pt idx="54">
                  <c:v>319.6688212970347</c:v>
                </c:pt>
                <c:pt idx="55">
                  <c:v>314.2059910179334</c:v>
                </c:pt>
                <c:pt idx="56">
                  <c:v>308.92616749844484</c:v>
                </c:pt>
                <c:pt idx="57">
                  <c:v>303.82030587323101</c:v>
                </c:pt>
                <c:pt idx="58">
                  <c:v>298.87994765714615</c:v>
                </c:pt>
                <c:pt idx="59">
                  <c:v>294.09717398420645</c:v>
                </c:pt>
                <c:pt idx="60">
                  <c:v>289.46456325107459</c:v>
                </c:pt>
                <c:pt idx="61">
                  <c:v>284.97515268852692</c:v>
                </c:pt>
                <c:pt idx="62">
                  <c:v>280.62240344239223</c:v>
                </c:pt>
                <c:pt idx="63">
                  <c:v>276.40016879565252</c:v>
                </c:pt>
                <c:pt idx="64">
                  <c:v>272.30266520691464</c:v>
                </c:pt>
                <c:pt idx="65">
                  <c:v>268.32444587828491</c:v>
                </c:pt>
                <c:pt idx="66">
                  <c:v>264.46037659861815</c:v>
                </c:pt>
                <c:pt idx="67">
                  <c:v>260.70561363685255</c:v>
                </c:pt>
                <c:pt idx="68">
                  <c:v>257.05558348528558</c:v>
                </c:pt>
                <c:pt idx="69">
                  <c:v>253.50596427466186</c:v>
                </c:pt>
                <c:pt idx="70">
                  <c:v>250.05266870228883</c:v>
                </c:pt>
                <c:pt idx="71">
                  <c:v>246.69182833139183</c:v>
                </c:pt>
                <c:pt idx="72">
                  <c:v>243.41977913491436</c:v>
                </c:pt>
                <c:pt idx="73">
                  <c:v>240.23304817018402</c:v>
                </c:pt>
                <c:pt idx="74">
                  <c:v>237.12834128256674</c:v>
                </c:pt>
                <c:pt idx="75">
                  <c:v>234.10253174658567</c:v>
                </c:pt>
                <c:pt idx="76">
                  <c:v>231.15264976216574</c:v>
                </c:pt>
                <c:pt idx="77">
                  <c:v>228.27587273182925</c:v>
                </c:pt>
                <c:pt idx="78">
                  <c:v>225.4695162519325</c:v>
                </c:pt>
                <c:pt idx="79">
                  <c:v>222.73102575750269</c:v>
                </c:pt>
                <c:pt idx="80">
                  <c:v>220.0579687660144</c:v>
                </c:pt>
                <c:pt idx="81">
                  <c:v>217.44802767060389</c:v>
                </c:pt>
                <c:pt idx="82">
                  <c:v>214.89899303784705</c:v>
                </c:pt>
                <c:pt idx="83">
                  <c:v>212.40875736935786</c:v>
                </c:pt>
                <c:pt idx="84">
                  <c:v>209.97530929019152</c:v>
                </c:pt>
                <c:pt idx="85">
                  <c:v>207.59672813036588</c:v>
                </c:pt>
                <c:pt idx="86">
                  <c:v>205.27117886882422</c:v>
                </c:pt>
                <c:pt idx="87">
                  <c:v>202.99690741186777</c:v>
                </c:pt>
                <c:pt idx="88">
                  <c:v>200.77223618052449</c:v>
                </c:pt>
                <c:pt idx="89">
                  <c:v>198.59555998352607</c:v>
                </c:pt>
                <c:pt idx="90">
                  <c:v>196.46534215455691</c:v>
                </c:pt>
                <c:pt idx="91">
                  <c:v>194.38011093423916</c:v>
                </c:pt>
                <c:pt idx="92">
                  <c:v>192.33845607895367</c:v>
                </c:pt>
                <c:pt idx="93">
                  <c:v>190.33902568007684</c:v>
                </c:pt>
                <c:pt idx="94">
                  <c:v>188.38052317855539</c:v>
                </c:pt>
                <c:pt idx="95">
                  <c:v>186.46170456096741</c:v>
                </c:pt>
                <c:pt idx="96">
                  <c:v>184.58137572432679</c:v>
                </c:pt>
                <c:pt idx="97">
                  <c:v>182.73838999789993</c:v>
                </c:pt>
                <c:pt idx="98">
                  <c:v>180.93164581122906</c:v>
                </c:pt>
                <c:pt idx="99">
                  <c:v>179.16008449839575</c:v>
                </c:pt>
                <c:pt idx="100">
                  <c:v>177.42268822932925</c:v>
                </c:pt>
              </c:numCache>
            </c:numRef>
          </c:val>
          <c:smooth val="0"/>
          <c:extLst>
            <c:ext xmlns:c16="http://schemas.microsoft.com/office/drawing/2014/chart" uri="{C3380CC4-5D6E-409C-BE32-E72D297353CC}">
              <c16:uniqueId val="{00000007-14B5-4C6D-ADBB-33FE896DCEBE}"/>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10.012375988822143</c:v>
                </c:pt>
                <c:pt idx="2">
                  <c:v>20.024751977644286</c:v>
                </c:pt>
                <c:pt idx="3">
                  <c:v>30.037127966466429</c:v>
                </c:pt>
                <c:pt idx="4">
                  <c:v>40.049503955288571</c:v>
                </c:pt>
                <c:pt idx="5">
                  <c:v>50.061879944110721</c:v>
                </c:pt>
                <c:pt idx="6">
                  <c:v>60.074255932932857</c:v>
                </c:pt>
                <c:pt idx="7">
                  <c:v>70.086631921755</c:v>
                </c:pt>
                <c:pt idx="8">
                  <c:v>80.099007910577143</c:v>
                </c:pt>
                <c:pt idx="9">
                  <c:v>90.111383899399286</c:v>
                </c:pt>
                <c:pt idx="10">
                  <c:v>100.12375988822144</c:v>
                </c:pt>
                <c:pt idx="11">
                  <c:v>110.13613587704357</c:v>
                </c:pt>
                <c:pt idx="12">
                  <c:v>120.14851186586571</c:v>
                </c:pt>
                <c:pt idx="13">
                  <c:v>130.16088785468787</c:v>
                </c:pt>
                <c:pt idx="14">
                  <c:v>140.17326384351</c:v>
                </c:pt>
                <c:pt idx="15">
                  <c:v>150.18563983233216</c:v>
                </c:pt>
                <c:pt idx="16">
                  <c:v>160.19801582115429</c:v>
                </c:pt>
                <c:pt idx="17">
                  <c:v>170.21039180997644</c:v>
                </c:pt>
                <c:pt idx="18">
                  <c:v>180.22276779879857</c:v>
                </c:pt>
                <c:pt idx="19">
                  <c:v>190.23514378762073</c:v>
                </c:pt>
                <c:pt idx="20">
                  <c:v>200.24751977644289</c:v>
                </c:pt>
                <c:pt idx="21">
                  <c:v>210.25989576526501</c:v>
                </c:pt>
                <c:pt idx="22">
                  <c:v>220.27227175408714</c:v>
                </c:pt>
                <c:pt idx="23">
                  <c:v>230.2846477429093</c:v>
                </c:pt>
                <c:pt idx="24">
                  <c:v>240.29702373173143</c:v>
                </c:pt>
                <c:pt idx="25">
                  <c:v>250.30939972055356</c:v>
                </c:pt>
                <c:pt idx="26">
                  <c:v>260.32177570937574</c:v>
                </c:pt>
                <c:pt idx="27">
                  <c:v>270.3341516981979</c:v>
                </c:pt>
                <c:pt idx="28">
                  <c:v>280.34652768702</c:v>
                </c:pt>
                <c:pt idx="29">
                  <c:v>290.35890367584216</c:v>
                </c:pt>
                <c:pt idx="30">
                  <c:v>300.37127966466431</c:v>
                </c:pt>
                <c:pt idx="31">
                  <c:v>310.38365565348641</c:v>
                </c:pt>
                <c:pt idx="32">
                  <c:v>320.39603164230857</c:v>
                </c:pt>
                <c:pt idx="33">
                  <c:v>330.40840763113073</c:v>
                </c:pt>
                <c:pt idx="34">
                  <c:v>340.42078361995289</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348.70863121887066</c:v>
                </c:pt>
                <c:pt idx="67">
                  <c:v>343.86029290821517</c:v>
                </c:pt>
                <c:pt idx="68">
                  <c:v>339.14488892385293</c:v>
                </c:pt>
                <c:pt idx="69">
                  <c:v>334.55702615992732</c:v>
                </c:pt>
                <c:pt idx="70">
                  <c:v>330.09159934167945</c:v>
                </c:pt>
                <c:pt idx="71">
                  <c:v>325.74275284211831</c:v>
                </c:pt>
                <c:pt idx="72">
                  <c:v>321.50641651018856</c:v>
                </c:pt>
                <c:pt idx="73">
                  <c:v>317.37877014741252</c:v>
                </c:pt>
                <c:pt idx="74">
                  <c:v>313.3556837580756</c:v>
                </c:pt>
                <c:pt idx="75">
                  <c:v>309.43323397116495</c:v>
                </c:pt>
                <c:pt idx="76">
                  <c:v>305.60769127813842</c:v>
                </c:pt>
                <c:pt idx="77">
                  <c:v>301.87550820506556</c:v>
                </c:pt>
                <c:pt idx="78">
                  <c:v>298.23330834029326</c:v>
                </c:pt>
                <c:pt idx="79">
                  <c:v>294.67787614630225</c:v>
                </c:pt>
                <c:pt idx="80">
                  <c:v>291.20614749113423</c:v>
                </c:pt>
                <c:pt idx="81">
                  <c:v>287.81520084079034</c:v>
                </c:pt>
                <c:pt idx="82">
                  <c:v>284.50224905938774</c:v>
                </c:pt>
                <c:pt idx="83">
                  <c:v>281.26463176870334</c:v>
                </c:pt>
                <c:pt idx="84">
                  <c:v>278.09980822308609</c:v>
                </c:pt>
                <c:pt idx="85">
                  <c:v>275.00535065962805</c:v>
                </c:pt>
                <c:pt idx="86">
                  <c:v>271.97893808702145</c:v>
                </c:pt>
                <c:pt idx="87">
                  <c:v>269.01835047970189</c:v>
                </c:pt>
                <c:pt idx="88">
                  <c:v>266.12146334675759</c:v>
                </c:pt>
                <c:pt idx="89">
                  <c:v>263.28624264768399</c:v>
                </c:pt>
                <c:pt idx="90">
                  <c:v>260.51074002941033</c:v>
                </c:pt>
                <c:pt idx="91">
                  <c:v>257.7930883611632</c:v>
                </c:pt>
                <c:pt idx="92">
                  <c:v>255.131497545662</c:v>
                </c:pt>
                <c:pt idx="93">
                  <c:v>252.52425058689749</c:v>
                </c:pt>
                <c:pt idx="94">
                  <c:v>249.96969989634425</c:v>
                </c:pt>
                <c:pt idx="95">
                  <c:v>247.46626382090724</c:v>
                </c:pt>
                <c:pt idx="96">
                  <c:v>245.01242337722769</c:v>
                </c:pt>
                <c:pt idx="97">
                  <c:v>242.60671917817993</c:v>
                </c:pt>
                <c:pt idx="98">
                  <c:v>240.24774853849101</c:v>
                </c:pt>
                <c:pt idx="99">
                  <c:v>237.93416274742222</c:v>
                </c:pt>
                <c:pt idx="100">
                  <c:v>235.66466449736856</c:v>
                </c:pt>
              </c:numCache>
            </c:numRef>
          </c:val>
          <c:smooth val="0"/>
          <c:extLst>
            <c:ext xmlns:c16="http://schemas.microsoft.com/office/drawing/2014/chart" uri="{C3380CC4-5D6E-409C-BE32-E72D297353CC}">
              <c16:uniqueId val="{00000008-14B5-4C6D-ADBB-33FE896DCEBE}"/>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14B5-4C6D-ADBB-33FE896DCEBE}"/>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14B5-4C6D-ADBB-33FE896DCEBE}"/>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14B5-4C6D-ADBB-33FE896DCEBE}"/>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9"/>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10.012467970437628</c:v>
                </c:pt>
                <c:pt idx="2">
                  <c:v>30.037403911312889</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237.11687394801285</c:v>
                </c:pt>
                <c:pt idx="27">
                  <c:v>228.71217510399072</c:v>
                </c:pt>
                <c:pt idx="28">
                  <c:v>220.79090629077334</c:v>
                </c:pt>
                <c:pt idx="29">
                  <c:v>213.39224068989424</c:v>
                </c:pt>
                <c:pt idx="30">
                  <c:v>206.46611091387595</c:v>
                </c:pt>
                <c:pt idx="31">
                  <c:v>199.96864718879655</c:v>
                </c:pt>
                <c:pt idx="32">
                  <c:v>193.86124717214813</c:v>
                </c:pt>
                <c:pt idx="33">
                  <c:v>188.10980841848749</c:v>
                </c:pt>
                <c:pt idx="34">
                  <c:v>182.68409125254396</c:v>
                </c:pt>
                <c:pt idx="35">
                  <c:v>177.55718691202003</c:v>
                </c:pt>
                <c:pt idx="36">
                  <c:v>172.70507121177818</c:v>
                </c:pt>
                <c:pt idx="37">
                  <c:v>168.10622810457852</c:v>
                </c:pt>
                <c:pt idx="38">
                  <c:v>163.74133069302343</c:v>
                </c:pt>
                <c:pt idx="39">
                  <c:v>159.59296971705476</c:v>
                </c:pt>
                <c:pt idx="40">
                  <c:v>155.64542147301893</c:v>
                </c:pt>
                <c:pt idx="41">
                  <c:v>151.88444864114015</c:v>
                </c:pt>
                <c:pt idx="42">
                  <c:v>148.29712870305036</c:v>
                </c:pt>
                <c:pt idx="43">
                  <c:v>144.87170559114992</c:v>
                </c:pt>
                <c:pt idx="44">
                  <c:v>141.59746098099774</c:v>
                </c:pt>
                <c:pt idx="45">
                  <c:v>138.46460225783966</c:v>
                </c:pt>
                <c:pt idx="46">
                  <c:v>135.46416469037217</c:v>
                </c:pt>
                <c:pt idx="47">
                  <c:v>132.58792575331745</c:v>
                </c:pt>
                <c:pt idx="48">
                  <c:v>129.82832987431564</c:v>
                </c:pt>
                <c:pt idx="49">
                  <c:v>127.17842215483743</c:v>
                </c:pt>
                <c:pt idx="50">
                  <c:v>124.63178984092414</c:v>
                </c:pt>
                <c:pt idx="51">
                  <c:v>122.1825105067725</c:v>
                </c:pt>
                <c:pt idx="52">
                  <c:v>119.82510606978157</c:v>
                </c:pt>
                <c:pt idx="53">
                  <c:v>117.55450188550293</c:v>
                </c:pt>
                <c:pt idx="54">
                  <c:v>115.36599027962956</c:v>
                </c:pt>
                <c:pt idx="55">
                  <c:v>113.25519796548701</c:v>
                </c:pt>
                <c:pt idx="56">
                  <c:v>111.21805687247338</c:v>
                </c:pt>
                <c:pt idx="57">
                  <c:v>109.25077797599847</c:v>
                </c:pt>
                <c:pt idx="58">
                  <c:v>107.34982777469709</c:v>
                </c:pt>
                <c:pt idx="59">
                  <c:v>105.51190710767578</c:v>
                </c:pt>
                <c:pt idx="60">
                  <c:v>103.73393204463981</c:v>
                </c:pt>
                <c:pt idx="61">
                  <c:v>102.01301661604374</c:v>
                </c:pt>
                <c:pt idx="62">
                  <c:v>100.34645717983406</c:v>
                </c:pt>
                <c:pt idx="63">
                  <c:v>98.731718246653998</c:v>
                </c:pt>
                <c:pt idx="64">
                  <c:v>97.166419607201391</c:v>
                </c:pt>
                <c:pt idx="65">
                  <c:v>95.648324624285308</c:v>
                </c:pt>
                <c:pt idx="66">
                  <c:v>94.175329568465941</c:v>
                </c:pt>
                <c:pt idx="67">
                  <c:v>92.745453890341267</c:v>
                </c:pt>
                <c:pt idx="68">
                  <c:v>91.356831334890998</c:v>
                </c:pt>
                <c:pt idx="69">
                  <c:v>90.007701814047167</c:v>
                </c:pt>
                <c:pt idx="70">
                  <c:v>88.696403963065379</c:v>
                </c:pt>
                <c:pt idx="71">
                  <c:v>87.421368314505528</c:v>
                </c:pt>
                <c:pt idx="72">
                  <c:v>86.181111030852392</c:v>
                </c:pt>
                <c:pt idx="73">
                  <c:v>84.974228143155131</c:v>
                </c:pt>
                <c:pt idx="74">
                  <c:v>83.799390248653992</c:v>
                </c:pt>
                <c:pt idx="75">
                  <c:v>82.655337625293186</c:v>
                </c:pt>
                <c:pt idx="76">
                  <c:v>81.540875725375344</c:v>
                </c:pt>
                <c:pt idx="77">
                  <c:v>80.45487101446767</c:v>
                </c:pt>
                <c:pt idx="78">
                  <c:v>79.396247125090042</c:v>
                </c:pt>
                <c:pt idx="79">
                  <c:v>78.363981297748111</c:v>
                </c:pt>
                <c:pt idx="80">
                  <c:v>77.357101084576357</c:v>
                </c:pt>
                <c:pt idx="81">
                  <c:v>76.374681293257453</c:v>
                </c:pt>
                <c:pt idx="82">
                  <c:v>75.415841151030449</c:v>
                </c:pt>
                <c:pt idx="83">
                  <c:v>74.479741670516049</c:v>
                </c:pt>
                <c:pt idx="84">
                  <c:v>73.565583200798827</c:v>
                </c:pt>
                <c:pt idx="85">
                  <c:v>72.672603148742766</c:v>
                </c:pt>
                <c:pt idx="86">
                  <c:v>71.800073856892311</c:v>
                </c:pt>
                <c:pt idx="87">
                  <c:v>70.947300625547939</c:v>
                </c:pt>
                <c:pt idx="88">
                  <c:v>70.113619867715443</c:v>
                </c:pt>
                <c:pt idx="89">
                  <c:v>69.298397386631748</c:v>
                </c:pt>
                <c:pt idx="90">
                  <c:v>68.501026766469593</c:v>
                </c:pt>
                <c:pt idx="91">
                  <c:v>67.72092786763919</c:v>
                </c:pt>
                <c:pt idx="92">
                  <c:v>66.957545418840752</c:v>
                </c:pt>
                <c:pt idx="93">
                  <c:v>66.210347698686775</c:v>
                </c:pt>
                <c:pt idx="94">
                  <c:v>65.478825300316004</c:v>
                </c:pt>
                <c:pt idx="95">
                  <c:v>64.762489972967174</c:v>
                </c:pt>
                <c:pt idx="96">
                  <c:v>64.060873534976949</c:v>
                </c:pt>
                <c:pt idx="97">
                  <c:v>63.373526853116537</c:v>
                </c:pt>
                <c:pt idx="98">
                  <c:v>62.700018883590893</c:v>
                </c:pt>
                <c:pt idx="99">
                  <c:v>62.039935770398017</c:v>
                </c:pt>
                <c:pt idx="100">
                  <c:v>61.392879997085096</c:v>
                </c:pt>
              </c:numCache>
            </c:numRef>
          </c:val>
          <c:smooth val="0"/>
          <c:extLst>
            <c:ext xmlns:c16="http://schemas.microsoft.com/office/drawing/2014/chart" uri="{C3380CC4-5D6E-409C-BE32-E72D297353CC}">
              <c16:uniqueId val="{00000000-DE77-4B43-A489-D4421C0BE99A}"/>
            </c:ext>
          </c:extLst>
        </c:ser>
        <c:ser>
          <c:idx val="10"/>
          <c:order val="10"/>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10.012467970437628</c:v>
                </c:pt>
                <c:pt idx="2">
                  <c:v>20.024935940875256</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260.32416723137834</c:v>
                </c:pt>
                <c:pt idx="27">
                  <c:v>270.33663520181597</c:v>
                </c:pt>
                <c:pt idx="28">
                  <c:v>280.34910317225365</c:v>
                </c:pt>
                <c:pt idx="29">
                  <c:v>290.36157114269122</c:v>
                </c:pt>
                <c:pt idx="30">
                  <c:v>300.37403911312884</c:v>
                </c:pt>
                <c:pt idx="31">
                  <c:v>310.38650708356653</c:v>
                </c:pt>
                <c:pt idx="32">
                  <c:v>320.3989750540041</c:v>
                </c:pt>
                <c:pt idx="33">
                  <c:v>330.41144302444178</c:v>
                </c:pt>
                <c:pt idx="34">
                  <c:v>340.42391099487946</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343.53260049854697</c:v>
                </c:pt>
                <c:pt idx="51">
                  <c:v>337.24233243538094</c:v>
                </c:pt>
                <c:pt idx="52">
                  <c:v>331.17803246141665</c:v>
                </c:pt>
                <c:pt idx="53">
                  <c:v>325.32434129059664</c:v>
                </c:pt>
                <c:pt idx="54">
                  <c:v>319.6688212970347</c:v>
                </c:pt>
                <c:pt idx="55">
                  <c:v>314.2059910179334</c:v>
                </c:pt>
                <c:pt idx="56">
                  <c:v>308.92616749844484</c:v>
                </c:pt>
                <c:pt idx="57">
                  <c:v>303.82030587323101</c:v>
                </c:pt>
                <c:pt idx="58">
                  <c:v>298.87994765714615</c:v>
                </c:pt>
                <c:pt idx="59">
                  <c:v>294.09717398420645</c:v>
                </c:pt>
                <c:pt idx="60">
                  <c:v>289.46456325107459</c:v>
                </c:pt>
                <c:pt idx="61">
                  <c:v>284.97515268852692</c:v>
                </c:pt>
                <c:pt idx="62">
                  <c:v>280.62240344239223</c:v>
                </c:pt>
                <c:pt idx="63">
                  <c:v>276.40016879565252</c:v>
                </c:pt>
                <c:pt idx="64">
                  <c:v>272.30266520691464</c:v>
                </c:pt>
                <c:pt idx="65">
                  <c:v>268.32444587828491</c:v>
                </c:pt>
                <c:pt idx="66">
                  <c:v>264.46037659861815</c:v>
                </c:pt>
                <c:pt idx="67">
                  <c:v>260.70561363685255</c:v>
                </c:pt>
                <c:pt idx="68">
                  <c:v>257.05558348528558</c:v>
                </c:pt>
                <c:pt idx="69">
                  <c:v>253.50596427466186</c:v>
                </c:pt>
                <c:pt idx="70">
                  <c:v>250.05266870228883</c:v>
                </c:pt>
                <c:pt idx="71">
                  <c:v>246.69182833139183</c:v>
                </c:pt>
                <c:pt idx="72">
                  <c:v>243.41977913491436</c:v>
                </c:pt>
                <c:pt idx="73">
                  <c:v>240.23304817018402</c:v>
                </c:pt>
                <c:pt idx="74">
                  <c:v>237.12834128256674</c:v>
                </c:pt>
                <c:pt idx="75">
                  <c:v>234.10253174658567</c:v>
                </c:pt>
                <c:pt idx="76">
                  <c:v>231.15264976216574</c:v>
                </c:pt>
                <c:pt idx="77">
                  <c:v>228.27587273182925</c:v>
                </c:pt>
                <c:pt idx="78">
                  <c:v>225.4695162519325</c:v>
                </c:pt>
                <c:pt idx="79">
                  <c:v>222.73102575750269</c:v>
                </c:pt>
                <c:pt idx="80">
                  <c:v>220.0579687660144</c:v>
                </c:pt>
                <c:pt idx="81">
                  <c:v>217.44802767060389</c:v>
                </c:pt>
                <c:pt idx="82">
                  <c:v>214.89899303784705</c:v>
                </c:pt>
                <c:pt idx="83">
                  <c:v>212.40875736935786</c:v>
                </c:pt>
                <c:pt idx="84">
                  <c:v>209.97530929019152</c:v>
                </c:pt>
                <c:pt idx="85">
                  <c:v>207.59672813036588</c:v>
                </c:pt>
                <c:pt idx="86">
                  <c:v>205.27117886882422</c:v>
                </c:pt>
                <c:pt idx="87">
                  <c:v>202.99690741186777</c:v>
                </c:pt>
                <c:pt idx="88">
                  <c:v>200.77223618052449</c:v>
                </c:pt>
                <c:pt idx="89">
                  <c:v>198.59555998352607</c:v>
                </c:pt>
                <c:pt idx="90">
                  <c:v>196.46534215455691</c:v>
                </c:pt>
                <c:pt idx="91">
                  <c:v>194.38011093423916</c:v>
                </c:pt>
                <c:pt idx="92">
                  <c:v>192.33845607895367</c:v>
                </c:pt>
                <c:pt idx="93">
                  <c:v>190.33902568007684</c:v>
                </c:pt>
                <c:pt idx="94">
                  <c:v>188.38052317855539</c:v>
                </c:pt>
                <c:pt idx="95">
                  <c:v>186.46170456096741</c:v>
                </c:pt>
                <c:pt idx="96">
                  <c:v>184.58137572432679</c:v>
                </c:pt>
                <c:pt idx="97">
                  <c:v>182.73838999789993</c:v>
                </c:pt>
                <c:pt idx="98">
                  <c:v>180.93164581122906</c:v>
                </c:pt>
                <c:pt idx="99">
                  <c:v>179.16008449839575</c:v>
                </c:pt>
                <c:pt idx="100">
                  <c:v>177.42268822932925</c:v>
                </c:pt>
              </c:numCache>
            </c:numRef>
          </c:val>
          <c:smooth val="0"/>
          <c:extLst>
            <c:ext xmlns:c16="http://schemas.microsoft.com/office/drawing/2014/chart" uri="{C3380CC4-5D6E-409C-BE32-E72D297353CC}">
              <c16:uniqueId val="{00000001-DE77-4B43-A489-D4421C0BE99A}"/>
            </c:ext>
          </c:extLst>
        </c:ser>
        <c:ser>
          <c:idx val="11"/>
          <c:order val="11"/>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10.012375988822143</c:v>
                </c:pt>
                <c:pt idx="2">
                  <c:v>20.024751977644286</c:v>
                </c:pt>
                <c:pt idx="3">
                  <c:v>30.037127966466429</c:v>
                </c:pt>
                <c:pt idx="4">
                  <c:v>40.049503955288571</c:v>
                </c:pt>
                <c:pt idx="5">
                  <c:v>50.061879944110721</c:v>
                </c:pt>
                <c:pt idx="6">
                  <c:v>60.074255932932857</c:v>
                </c:pt>
                <c:pt idx="7">
                  <c:v>70.086631921755</c:v>
                </c:pt>
                <c:pt idx="8">
                  <c:v>80.099007910577143</c:v>
                </c:pt>
                <c:pt idx="9">
                  <c:v>90.111383899399286</c:v>
                </c:pt>
                <c:pt idx="10">
                  <c:v>100.12375988822144</c:v>
                </c:pt>
                <c:pt idx="11">
                  <c:v>110.13613587704357</c:v>
                </c:pt>
                <c:pt idx="12">
                  <c:v>120.14851186586571</c:v>
                </c:pt>
                <c:pt idx="13">
                  <c:v>130.16088785468787</c:v>
                </c:pt>
                <c:pt idx="14">
                  <c:v>140.17326384351</c:v>
                </c:pt>
                <c:pt idx="15">
                  <c:v>150.18563983233216</c:v>
                </c:pt>
                <c:pt idx="16">
                  <c:v>160.19801582115429</c:v>
                </c:pt>
                <c:pt idx="17">
                  <c:v>170.21039180997644</c:v>
                </c:pt>
                <c:pt idx="18">
                  <c:v>180.22276779879857</c:v>
                </c:pt>
                <c:pt idx="19">
                  <c:v>190.23514378762073</c:v>
                </c:pt>
                <c:pt idx="20">
                  <c:v>200.24751977644289</c:v>
                </c:pt>
                <c:pt idx="21">
                  <c:v>210.25989576526501</c:v>
                </c:pt>
                <c:pt idx="22">
                  <c:v>220.27227175408714</c:v>
                </c:pt>
                <c:pt idx="23">
                  <c:v>230.2846477429093</c:v>
                </c:pt>
                <c:pt idx="24">
                  <c:v>240.29702373173143</c:v>
                </c:pt>
                <c:pt idx="25">
                  <c:v>250.30939972055356</c:v>
                </c:pt>
                <c:pt idx="26">
                  <c:v>260.32177570937574</c:v>
                </c:pt>
                <c:pt idx="27">
                  <c:v>270.3341516981979</c:v>
                </c:pt>
                <c:pt idx="28">
                  <c:v>280.34652768702</c:v>
                </c:pt>
                <c:pt idx="29">
                  <c:v>290.35890367584216</c:v>
                </c:pt>
                <c:pt idx="30">
                  <c:v>300.37127966466431</c:v>
                </c:pt>
                <c:pt idx="31">
                  <c:v>310.38365565348641</c:v>
                </c:pt>
                <c:pt idx="32">
                  <c:v>320.39603164230857</c:v>
                </c:pt>
                <c:pt idx="33">
                  <c:v>330.40840763113073</c:v>
                </c:pt>
                <c:pt idx="34">
                  <c:v>340.42078361995289</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348.70863121887066</c:v>
                </c:pt>
                <c:pt idx="67">
                  <c:v>343.86029290821517</c:v>
                </c:pt>
                <c:pt idx="68">
                  <c:v>339.14488892385293</c:v>
                </c:pt>
                <c:pt idx="69">
                  <c:v>334.55702615992732</c:v>
                </c:pt>
                <c:pt idx="70">
                  <c:v>330.09159934167945</c:v>
                </c:pt>
                <c:pt idx="71">
                  <c:v>325.74275284211831</c:v>
                </c:pt>
                <c:pt idx="72">
                  <c:v>321.50641651018856</c:v>
                </c:pt>
                <c:pt idx="73">
                  <c:v>317.37877014741252</c:v>
                </c:pt>
                <c:pt idx="74">
                  <c:v>313.3556837580756</c:v>
                </c:pt>
                <c:pt idx="75">
                  <c:v>309.43323397116495</c:v>
                </c:pt>
                <c:pt idx="76">
                  <c:v>305.60769127813842</c:v>
                </c:pt>
                <c:pt idx="77">
                  <c:v>301.87550820506556</c:v>
                </c:pt>
                <c:pt idx="78">
                  <c:v>298.23330834029326</c:v>
                </c:pt>
                <c:pt idx="79">
                  <c:v>294.67787614630225</c:v>
                </c:pt>
                <c:pt idx="80">
                  <c:v>291.20614749113423</c:v>
                </c:pt>
                <c:pt idx="81">
                  <c:v>287.81520084079034</c:v>
                </c:pt>
                <c:pt idx="82">
                  <c:v>284.50224905938774</c:v>
                </c:pt>
                <c:pt idx="83">
                  <c:v>281.26463176870334</c:v>
                </c:pt>
                <c:pt idx="84">
                  <c:v>278.09980822308609</c:v>
                </c:pt>
                <c:pt idx="85">
                  <c:v>275.00535065962805</c:v>
                </c:pt>
                <c:pt idx="86">
                  <c:v>271.97893808702145</c:v>
                </c:pt>
                <c:pt idx="87">
                  <c:v>269.01835047970189</c:v>
                </c:pt>
                <c:pt idx="88">
                  <c:v>266.12146334675759</c:v>
                </c:pt>
                <c:pt idx="89">
                  <c:v>263.28624264768399</c:v>
                </c:pt>
                <c:pt idx="90">
                  <c:v>260.51074002941033</c:v>
                </c:pt>
                <c:pt idx="91">
                  <c:v>257.7930883611632</c:v>
                </c:pt>
                <c:pt idx="92">
                  <c:v>255.131497545662</c:v>
                </c:pt>
                <c:pt idx="93">
                  <c:v>252.52425058689749</c:v>
                </c:pt>
                <c:pt idx="94">
                  <c:v>249.96969989634425</c:v>
                </c:pt>
                <c:pt idx="95">
                  <c:v>247.46626382090724</c:v>
                </c:pt>
                <c:pt idx="96">
                  <c:v>245.01242337722769</c:v>
                </c:pt>
                <c:pt idx="97">
                  <c:v>242.60671917817993</c:v>
                </c:pt>
                <c:pt idx="98">
                  <c:v>240.24774853849101</c:v>
                </c:pt>
                <c:pt idx="99">
                  <c:v>237.93416274742222</c:v>
                </c:pt>
                <c:pt idx="100">
                  <c:v>235.66466449736856</c:v>
                </c:pt>
              </c:numCache>
            </c:numRef>
          </c:val>
          <c:smooth val="0"/>
          <c:extLst>
            <c:ext xmlns:c16="http://schemas.microsoft.com/office/drawing/2014/chart" uri="{C3380CC4-5D6E-409C-BE32-E72D297353CC}">
              <c16:uniqueId val="{00000002-DE77-4B43-A489-D4421C0BE99A}"/>
            </c:ext>
          </c:extLst>
        </c:ser>
        <c:ser>
          <c:idx val="12"/>
          <c:order val="12"/>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DE77-4B43-A489-D4421C0BE99A}"/>
            </c:ext>
          </c:extLst>
        </c:ser>
        <c:ser>
          <c:idx val="13"/>
          <c:order val="13"/>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DE77-4B43-A489-D4421C0BE99A}"/>
            </c:ext>
          </c:extLst>
        </c:ser>
        <c:ser>
          <c:idx val="14"/>
          <c:order val="14"/>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DE77-4B43-A489-D4421C0BE99A}"/>
            </c:ext>
          </c:extLst>
        </c:ser>
        <c:ser>
          <c:idx val="15"/>
          <c:order val="15"/>
          <c:tx>
            <c:v>D1</c:v>
          </c:tx>
          <c:spPr>
            <a:ln w="25400">
              <a:solidFill>
                <a:srgbClr val="0000FF"/>
              </a:solidFill>
              <a:prstDash val="lgDash"/>
            </a:ln>
          </c:spPr>
          <c:marker>
            <c:symbol val="none"/>
          </c:marker>
          <c:val>
            <c:numRef>
              <c:f>'Calculations - Dual'!$AU$5:$AU$105</c:f>
              <c:numCache>
                <c:formatCode>0.000</c:formatCode>
                <c:ptCount val="101"/>
                <c:pt idx="0">
                  <c:v>9.2592769250602718E-3</c:v>
                </c:pt>
                <c:pt idx="1">
                  <c:v>9.3091060677618267E-3</c:v>
                </c:pt>
                <c:pt idx="2">
                  <c:v>1.8618212135523653E-2</c:v>
                </c:pt>
                <c:pt idx="3">
                  <c:v>2.7927318203285489E-2</c:v>
                </c:pt>
                <c:pt idx="4">
                  <c:v>3.7236424271047307E-2</c:v>
                </c:pt>
                <c:pt idx="5">
                  <c:v>4.6545530338809149E-2</c:v>
                </c:pt>
                <c:pt idx="6">
                  <c:v>5.5854636406570977E-2</c:v>
                </c:pt>
                <c:pt idx="7">
                  <c:v>6.5163742474332806E-2</c:v>
                </c:pt>
                <c:pt idx="8">
                  <c:v>7.4472848542094613E-2</c:v>
                </c:pt>
                <c:pt idx="9">
                  <c:v>8.3781954609856449E-2</c:v>
                </c:pt>
                <c:pt idx="10">
                  <c:v>9.3091060677618298E-2</c:v>
                </c:pt>
                <c:pt idx="11">
                  <c:v>0.10240016674538012</c:v>
                </c:pt>
                <c:pt idx="12">
                  <c:v>0.11170927281314195</c:v>
                </c:pt>
                <c:pt idx="13">
                  <c:v>0.12101837888090376</c:v>
                </c:pt>
                <c:pt idx="14">
                  <c:v>0.13032748494866561</c:v>
                </c:pt>
                <c:pt idx="15">
                  <c:v>0.13963659101642739</c:v>
                </c:pt>
                <c:pt idx="16">
                  <c:v>0.14894569708418923</c:v>
                </c:pt>
                <c:pt idx="17">
                  <c:v>0.15825480315195112</c:v>
                </c:pt>
                <c:pt idx="18">
                  <c:v>0.1675639092197129</c:v>
                </c:pt>
                <c:pt idx="19">
                  <c:v>0.17687301528747473</c:v>
                </c:pt>
                <c:pt idx="20">
                  <c:v>0.1861821213552366</c:v>
                </c:pt>
                <c:pt idx="21">
                  <c:v>0.19549122742299838</c:v>
                </c:pt>
                <c:pt idx="22">
                  <c:v>0.20480033349076024</c:v>
                </c:pt>
                <c:pt idx="23">
                  <c:v>0.21410943955852205</c:v>
                </c:pt>
                <c:pt idx="24">
                  <c:v>0.22341854562628391</c:v>
                </c:pt>
                <c:pt idx="25">
                  <c:v>0.23272765169404566</c:v>
                </c:pt>
                <c:pt idx="26">
                  <c:v>0.24203675776180752</c:v>
                </c:pt>
                <c:pt idx="27">
                  <c:v>0.2513458638295693</c:v>
                </c:pt>
                <c:pt idx="28">
                  <c:v>0.26065496989733122</c:v>
                </c:pt>
                <c:pt idx="29">
                  <c:v>0.26996407596509298</c:v>
                </c:pt>
                <c:pt idx="30">
                  <c:v>0.27927318203285478</c:v>
                </c:pt>
                <c:pt idx="31">
                  <c:v>0.28858228810061665</c:v>
                </c:pt>
                <c:pt idx="32">
                  <c:v>0.29789139416837845</c:v>
                </c:pt>
                <c:pt idx="33">
                  <c:v>0.30720050023614037</c:v>
                </c:pt>
                <c:pt idx="34">
                  <c:v>0.3188817734313632</c:v>
                </c:pt>
                <c:pt idx="35">
                  <c:v>0.33263853691951434</c:v>
                </c:pt>
                <c:pt idx="36">
                  <c:v>0.33737682545191006</c:v>
                </c:pt>
                <c:pt idx="37">
                  <c:v>0.34205029298934098</c:v>
                </c:pt>
                <c:pt idx="38">
                  <c:v>0.34666155046543334</c:v>
                </c:pt>
                <c:pt idx="39">
                  <c:v>0.3512130381105642</c:v>
                </c:pt>
                <c:pt idx="40">
                  <c:v>0.35570704067967873</c:v>
                </c:pt>
                <c:pt idx="41">
                  <c:v>0.36014570097684945</c:v>
                </c:pt>
                <c:pt idx="42">
                  <c:v>0.36453103190379432</c:v>
                </c:pt>
                <c:pt idx="43">
                  <c:v>0.36886492722459502</c:v>
                </c:pt>
                <c:pt idx="44">
                  <c:v>0.37314917120995095</c:v>
                </c:pt>
                <c:pt idx="45">
                  <c:v>0.37738544730029505</c:v>
                </c:pt>
                <c:pt idx="46">
                  <c:v>0.38157534590707853</c:v>
                </c:pt>
                <c:pt idx="47">
                  <c:v>0.38572037145475302</c:v>
                </c:pt>
                <c:pt idx="48">
                  <c:v>0.38982194875186976</c:v>
                </c:pt>
                <c:pt idx="49">
                  <c:v>0.39388142876779658</c:v>
                </c:pt>
                <c:pt idx="50">
                  <c:v>0.39054758282775021</c:v>
                </c:pt>
                <c:pt idx="51">
                  <c:v>0.38723047477885558</c:v>
                </c:pt>
                <c:pt idx="52">
                  <c:v>0.38399600280779267</c:v>
                </c:pt>
                <c:pt idx="53">
                  <c:v>0.38084443286632597</c:v>
                </c:pt>
                <c:pt idx="54">
                  <c:v>0.37777407475188707</c:v>
                </c:pt>
                <c:pt idx="55">
                  <c:v>0.38291824544753283</c:v>
                </c:pt>
                <c:pt idx="56">
                  <c:v>0.38337630366960568</c:v>
                </c:pt>
                <c:pt idx="57">
                  <c:v>0.38382020638467573</c:v>
                </c:pt>
                <c:pt idx="58">
                  <c:v>0.38425064200492559</c:v>
                </c:pt>
                <c:pt idx="59">
                  <c:v>0.38466825502448587</c:v>
                </c:pt>
                <c:pt idx="60">
                  <c:v>0.38507364946671041</c:v>
                </c:pt>
                <c:pt idx="61">
                  <c:v>0.38546739201176478</c:v>
                </c:pt>
                <c:pt idx="62">
                  <c:v>0.38585001483858655</c:v>
                </c:pt>
                <c:pt idx="63">
                  <c:v>0.38622201821119861</c:v>
                </c:pt>
                <c:pt idx="64">
                  <c:v>0.38658387283580442</c:v>
                </c:pt>
                <c:pt idx="65">
                  <c:v>0.38693602201202221</c:v>
                </c:pt>
                <c:pt idx="66">
                  <c:v>0.38727888359893353</c:v>
                </c:pt>
                <c:pt idx="67">
                  <c:v>0.38761285181428173</c:v>
                </c:pt>
                <c:pt idx="68">
                  <c:v>0.38793829888310805</c:v>
                </c:pt>
                <c:pt idx="69">
                  <c:v>0.388255576550324</c:v>
                </c:pt>
                <c:pt idx="70">
                  <c:v>0.38856501747014344</c:v>
                </c:pt>
                <c:pt idx="71">
                  <c:v>0.38886693648391218</c:v>
                </c:pt>
                <c:pt idx="72">
                  <c:v>0.38916163179665764</c:v>
                </c:pt>
                <c:pt idx="73">
                  <c:v>0.38944938606159835</c:v>
                </c:pt>
                <c:pt idx="74">
                  <c:v>0.38973046738090872</c:v>
                </c:pt>
                <c:pt idx="75">
                  <c:v>0.39000513023018535</c:v>
                </c:pt>
                <c:pt idx="76">
                  <c:v>0.39027361631331836</c:v>
                </c:pt>
                <c:pt idx="77">
                  <c:v>0.39053615535380126</c:v>
                </c:pt>
                <c:pt idx="78">
                  <c:v>0.39079296582792911</c:v>
                </c:pt>
                <c:pt idx="79">
                  <c:v>0.391044255644801</c:v>
                </c:pt>
                <c:pt idx="80">
                  <c:v>0.39129022277757708</c:v>
                </c:pt>
                <c:pt idx="81">
                  <c:v>0.39153105585001702</c:v>
                </c:pt>
                <c:pt idx="82">
                  <c:v>0.39176693468195622</c:v>
                </c:pt>
                <c:pt idx="83">
                  <c:v>0.39199803079703016</c:v>
                </c:pt>
                <c:pt idx="84">
                  <c:v>0.39222450789566393</c:v>
                </c:pt>
                <c:pt idx="85">
                  <c:v>0.39244652229606669</c:v>
                </c:pt>
                <c:pt idx="86">
                  <c:v>0.39266422334572809</c:v>
                </c:pt>
                <c:pt idx="87">
                  <c:v>0.39287775380569256</c:v>
                </c:pt>
                <c:pt idx="88">
                  <c:v>0.39308725020969137</c:v>
                </c:pt>
                <c:pt idx="89">
                  <c:v>0.3932928432000285</c:v>
                </c:pt>
                <c:pt idx="90">
                  <c:v>0.39349465784195964</c:v>
                </c:pt>
                <c:pt idx="91">
                  <c:v>0.39369281391815103</c:v>
                </c:pt>
                <c:pt idx="92">
                  <c:v>0.3938874262046787</c:v>
                </c:pt>
                <c:pt idx="93">
                  <c:v>0.39407860472990086</c:v>
                </c:pt>
                <c:pt idx="94">
                  <c:v>0.39426645501743385</c:v>
                </c:pt>
                <c:pt idx="95">
                  <c:v>0.39445107831435577</c:v>
                </c:pt>
                <c:pt idx="96">
                  <c:v>0.3946325718056784</c:v>
                </c:pt>
                <c:pt idx="97">
                  <c:v>0.39481102881603874</c:v>
                </c:pt>
                <c:pt idx="98">
                  <c:v>0.39498653899949204</c:v>
                </c:pt>
                <c:pt idx="99">
                  <c:v>0.39515918851821691</c:v>
                </c:pt>
                <c:pt idx="100">
                  <c:v>0.39532906021087932</c:v>
                </c:pt>
              </c:numCache>
            </c:numRef>
          </c:val>
          <c:smooth val="0"/>
          <c:extLst>
            <c:ext xmlns:c16="http://schemas.microsoft.com/office/drawing/2014/chart" uri="{C3380CC4-5D6E-409C-BE32-E72D297353CC}">
              <c16:uniqueId val="{00000006-DE77-4B43-A489-D4421C0BE99A}"/>
            </c:ext>
          </c:extLst>
        </c:ser>
        <c:ser>
          <c:idx val="16"/>
          <c:order val="16"/>
          <c:spPr>
            <a:ln w="25400">
              <a:solidFill>
                <a:srgbClr val="00B050"/>
              </a:solidFill>
              <a:prstDash val="dash"/>
            </a:ln>
          </c:spPr>
          <c:marker>
            <c:symbol val="none"/>
          </c:marker>
          <c:val>
            <c:numRef>
              <c:f>'Calculations - Dual'!$AU$110:$AU$210</c:f>
              <c:numCache>
                <c:formatCode>0.000</c:formatCode>
                <c:ptCount val="101"/>
                <c:pt idx="0">
                  <c:v>2.4709909358202609E-2</c:v>
                </c:pt>
                <c:pt idx="1">
                  <c:v>2.4996404217515214E-2</c:v>
                </c:pt>
                <c:pt idx="2">
                  <c:v>7.498921265254567E-2</c:v>
                </c:pt>
                <c:pt idx="3">
                  <c:v>7.498921265254567E-2</c:v>
                </c:pt>
                <c:pt idx="4">
                  <c:v>9.9985616870060856E-2</c:v>
                </c:pt>
                <c:pt idx="5">
                  <c:v>0.12498202108757611</c:v>
                </c:pt>
                <c:pt idx="6">
                  <c:v>0.14997842530509134</c:v>
                </c:pt>
                <c:pt idx="7">
                  <c:v>0.17497482952260657</c:v>
                </c:pt>
                <c:pt idx="8">
                  <c:v>0.19997123374012171</c:v>
                </c:pt>
                <c:pt idx="9">
                  <c:v>0.22496763795763694</c:v>
                </c:pt>
                <c:pt idx="10">
                  <c:v>0.24996404217515222</c:v>
                </c:pt>
                <c:pt idx="11">
                  <c:v>0.27496044639266742</c:v>
                </c:pt>
                <c:pt idx="12">
                  <c:v>0.29995685061018268</c:v>
                </c:pt>
                <c:pt idx="13">
                  <c:v>0.32495325482769782</c:v>
                </c:pt>
                <c:pt idx="14">
                  <c:v>0.34994965904521314</c:v>
                </c:pt>
                <c:pt idx="15">
                  <c:v>0.37494606326272822</c:v>
                </c:pt>
                <c:pt idx="16">
                  <c:v>0.39994246748024342</c:v>
                </c:pt>
                <c:pt idx="17">
                  <c:v>0.42493887169775879</c:v>
                </c:pt>
                <c:pt idx="18">
                  <c:v>0.44993527591527388</c:v>
                </c:pt>
                <c:pt idx="19">
                  <c:v>0.47493168013278914</c:v>
                </c:pt>
                <c:pt idx="20">
                  <c:v>0.49992808435030445</c:v>
                </c:pt>
                <c:pt idx="21">
                  <c:v>0.52492448856781948</c:v>
                </c:pt>
                <c:pt idx="22">
                  <c:v>0.54992089278533485</c:v>
                </c:pt>
                <c:pt idx="23">
                  <c:v>0.57491729700284999</c:v>
                </c:pt>
                <c:pt idx="24">
                  <c:v>0.59991370122036536</c:v>
                </c:pt>
                <c:pt idx="25">
                  <c:v>0.62753101231410491</c:v>
                </c:pt>
                <c:pt idx="26">
                  <c:v>0.61876075259440155</c:v>
                </c:pt>
                <c:pt idx="27">
                  <c:v>0.61986958186360663</c:v>
                </c:pt>
                <c:pt idx="28">
                  <c:v>0.62100072839500819</c:v>
                </c:pt>
                <c:pt idx="29">
                  <c:v>0.62206432246403909</c:v>
                </c:pt>
                <c:pt idx="30">
                  <c:v>0.62306683851375344</c:v>
                </c:pt>
                <c:pt idx="31">
                  <c:v>0.62401394954675926</c:v>
                </c:pt>
                <c:pt idx="32">
                  <c:v>0.62491064741113012</c:v>
                </c:pt>
                <c:pt idx="33">
                  <c:v>0.62576134205362022</c:v>
                </c:pt>
                <c:pt idx="34">
                  <c:v>0.62656994390932408</c:v>
                </c:pt>
                <c:pt idx="35">
                  <c:v>0.62733993267845112</c:v>
                </c:pt>
                <c:pt idx="36">
                  <c:v>0.62807441504395678</c:v>
                </c:pt>
                <c:pt idx="37">
                  <c:v>0.62877617335054647</c:v>
                </c:pt>
                <c:pt idx="38">
                  <c:v>0.62944770685441331</c:v>
                </c:pt>
                <c:pt idx="39">
                  <c:v>0.63009126683370376</c:v>
                </c:pt>
                <c:pt idx="40">
                  <c:v>0.63070888659991664</c:v>
                </c:pt>
                <c:pt idx="41">
                  <c:v>0.63130240725377151</c:v>
                </c:pt>
                <c:pt idx="42">
                  <c:v>0.63187349987328612</c:v>
                </c:pt>
                <c:pt idx="43">
                  <c:v>0.63242368469764543</c:v>
                </c:pt>
                <c:pt idx="44">
                  <c:v>0.63295434777094406</c:v>
                </c:pt>
                <c:pt idx="45">
                  <c:v>0.6334667554297233</c:v>
                </c:pt>
                <c:pt idx="46">
                  <c:v>0.6339620669533087</c:v>
                </c:pt>
                <c:pt idx="47">
                  <c:v>0.63444134564313137</c:v>
                </c:pt>
                <c:pt idx="48">
                  <c:v>0.63490556855403668</c:v>
                </c:pt>
                <c:pt idx="49">
                  <c:v>0.63535563506512083</c:v>
                </c:pt>
                <c:pt idx="50">
                  <c:v>0.63579237444840575</c:v>
                </c:pt>
                <c:pt idx="51">
                  <c:v>0.63621655256944631</c:v>
                </c:pt>
                <c:pt idx="52">
                  <c:v>0.63662887783384392</c:v>
                </c:pt>
                <c:pt idx="53">
                  <c:v>0.63703000647685804</c:v>
                </c:pt>
                <c:pt idx="54">
                  <c:v>0.63742054727924335</c:v>
                </c:pt>
                <c:pt idx="55">
                  <c:v>0.63780106578063667</c:v>
                </c:pt>
                <c:pt idx="56">
                  <c:v>0.63817208805185821</c:v>
                </c:pt>
                <c:pt idx="57">
                  <c:v>0.63853410407907574</c:v>
                </c:pt>
                <c:pt idx="58">
                  <c:v>0.63888757080564074</c:v>
                </c:pt>
                <c:pt idx="59">
                  <c:v>0.63923291487132006</c:v>
                </c:pt>
                <c:pt idx="60">
                  <c:v>0.63957053508347961</c:v>
                </c:pt>
                <c:pt idx="61">
                  <c:v>0.63990080465032173</c:v>
                </c:pt>
                <c:pt idx="62">
                  <c:v>0.64022407320249131</c:v>
                </c:pt>
                <c:pt idx="63">
                  <c:v>0.6405406686260795</c:v>
                </c:pt>
                <c:pt idx="64">
                  <c:v>0.64085089872724232</c:v>
                </c:pt>
                <c:pt idx="65">
                  <c:v>0.64115505274620477</c:v>
                </c:pt>
                <c:pt idx="66">
                  <c:v>0.64145340273631657</c:v>
                </c:pt>
                <c:pt idx="67">
                  <c:v>0.64174620482198486</c:v>
                </c:pt>
                <c:pt idx="68">
                  <c:v>0.64203370034771678</c:v>
                </c:pt>
                <c:pt idx="69">
                  <c:v>0.64231611692911428</c:v>
                </c:pt>
                <c:pt idx="70">
                  <c:v>0.64259366941544049</c:v>
                </c:pt>
                <c:pt idx="71">
                  <c:v>0.64286656077232274</c:v>
                </c:pt>
                <c:pt idx="72">
                  <c:v>0.64313498289221527</c:v>
                </c:pt>
                <c:pt idx="73">
                  <c:v>0.64339911733942501</c:v>
                </c:pt>
                <c:pt idx="74">
                  <c:v>0.6436591360357854</c:v>
                </c:pt>
                <c:pt idx="75">
                  <c:v>0.64391520189241969</c:v>
                </c:pt>
                <c:pt idx="76">
                  <c:v>0.64416746939247593</c:v>
                </c:pt>
                <c:pt idx="77">
                  <c:v>0.64441608512921622</c:v>
                </c:pt>
                <c:pt idx="78">
                  <c:v>0.64466118830340091</c:v>
                </c:pt>
                <c:pt idx="79">
                  <c:v>0.64490291118351295</c:v>
                </c:pt>
                <c:pt idx="80">
                  <c:v>0.64514137953202499</c:v>
                </c:pt>
                <c:pt idx="81">
                  <c:v>0.6453767130005944</c:v>
                </c:pt>
                <c:pt idx="82">
                  <c:v>0.64560902549679688</c:v>
                </c:pt>
                <c:pt idx="83">
                  <c:v>0.64583842552476478</c:v>
                </c:pt>
                <c:pt idx="84">
                  <c:v>0.64606501650186565</c:v>
                </c:pt>
                <c:pt idx="85">
                  <c:v>0.64628889705337034</c:v>
                </c:pt>
                <c:pt idx="86">
                  <c:v>0.64651016128686944</c:v>
                </c:pt>
                <c:pt idx="87">
                  <c:v>0.64672889904804842</c:v>
                </c:pt>
                <c:pt idx="88">
                  <c:v>0.64694519615927859</c:v>
                </c:pt>
                <c:pt idx="89">
                  <c:v>0.64715913464235819</c:v>
                </c:pt>
                <c:pt idx="90">
                  <c:v>0.64737079292661714</c:v>
                </c:pt>
                <c:pt idx="91">
                  <c:v>0.64758024604349596</c:v>
                </c:pt>
                <c:pt idx="92">
                  <c:v>0.64778756580861419</c:v>
                </c:pt>
                <c:pt idx="93">
                  <c:v>0.64799282099225486</c:v>
                </c:pt>
                <c:pt idx="94">
                  <c:v>0.64819607747911856</c:v>
                </c:pt>
                <c:pt idx="95">
                  <c:v>0.64839739841812305</c:v>
                </c:pt>
                <c:pt idx="96">
                  <c:v>0.64859684436297027</c:v>
                </c:pt>
                <c:pt idx="97">
                  <c:v>0.64879447340413121</c:v>
                </c:pt>
                <c:pt idx="98">
                  <c:v>0.64899034129285904</c:v>
                </c:pt>
                <c:pt idx="99">
                  <c:v>0.6491845015577844</c:v>
                </c:pt>
                <c:pt idx="100">
                  <c:v>0.64937700561460521</c:v>
                </c:pt>
              </c:numCache>
            </c:numRef>
          </c:val>
          <c:smooth val="0"/>
          <c:extLst>
            <c:ext xmlns:c16="http://schemas.microsoft.com/office/drawing/2014/chart" uri="{C3380CC4-5D6E-409C-BE32-E72D297353CC}">
              <c16:uniqueId val="{00000007-DE77-4B43-A489-D4421C0BE99A}"/>
            </c:ext>
          </c:extLst>
        </c:ser>
        <c:ser>
          <c:idx val="17"/>
          <c:order val="17"/>
          <c:spPr>
            <a:ln w="25400">
              <a:solidFill>
                <a:srgbClr val="FF0000"/>
              </a:solidFill>
            </a:ln>
          </c:spPr>
          <c:marker>
            <c:symbol val="none"/>
          </c:marker>
          <c:val>
            <c:numRef>
              <c:f>'Calculations - Dual'!$AU$216:$AU$316</c:f>
              <c:numCache>
                <c:formatCode>0.000</c:formatCode>
                <c:ptCount val="101"/>
                <c:pt idx="0">
                  <c:v>6.1739825558965421E-3</c:v>
                </c:pt>
                <c:pt idx="1">
                  <c:v>6.197291580679689E-3</c:v>
                </c:pt>
                <c:pt idx="2">
                  <c:v>1.2394583161359378E-2</c:v>
                </c:pt>
                <c:pt idx="3">
                  <c:v>1.859187474203907E-2</c:v>
                </c:pt>
                <c:pt idx="4">
                  <c:v>2.4789166322718756E-2</c:v>
                </c:pt>
                <c:pt idx="5">
                  <c:v>3.0986457903398452E-2</c:v>
                </c:pt>
                <c:pt idx="6">
                  <c:v>3.7183749484078141E-2</c:v>
                </c:pt>
                <c:pt idx="7">
                  <c:v>4.3381041064757826E-2</c:v>
                </c:pt>
                <c:pt idx="8">
                  <c:v>4.9578332645437512E-2</c:v>
                </c:pt>
                <c:pt idx="9">
                  <c:v>5.5775624226117204E-2</c:v>
                </c:pt>
                <c:pt idx="10">
                  <c:v>6.1972915806796904E-2</c:v>
                </c:pt>
                <c:pt idx="11">
                  <c:v>6.8170207387476589E-2</c:v>
                </c:pt>
                <c:pt idx="12">
                  <c:v>7.4367498968156281E-2</c:v>
                </c:pt>
                <c:pt idx="13">
                  <c:v>8.0564790548835974E-2</c:v>
                </c:pt>
                <c:pt idx="14">
                  <c:v>8.6762082129515652E-2</c:v>
                </c:pt>
                <c:pt idx="15">
                  <c:v>9.2959373710195345E-2</c:v>
                </c:pt>
                <c:pt idx="16">
                  <c:v>9.9156665290875023E-2</c:v>
                </c:pt>
                <c:pt idx="17">
                  <c:v>0.10535395687155472</c:v>
                </c:pt>
                <c:pt idx="18">
                  <c:v>0.11155124845223441</c:v>
                </c:pt>
                <c:pt idx="19">
                  <c:v>0.1177485400329141</c:v>
                </c:pt>
                <c:pt idx="20">
                  <c:v>0.12394583161359381</c:v>
                </c:pt>
                <c:pt idx="21">
                  <c:v>0.13014312319427349</c:v>
                </c:pt>
                <c:pt idx="22">
                  <c:v>0.13634041477495318</c:v>
                </c:pt>
                <c:pt idx="23">
                  <c:v>0.14253770635563284</c:v>
                </c:pt>
                <c:pt idx="24">
                  <c:v>0.14873499793631256</c:v>
                </c:pt>
                <c:pt idx="25">
                  <c:v>0.1549322895169922</c:v>
                </c:pt>
                <c:pt idx="26">
                  <c:v>0.16112958109767195</c:v>
                </c:pt>
                <c:pt idx="27">
                  <c:v>0.16732687267835161</c:v>
                </c:pt>
                <c:pt idx="28">
                  <c:v>0.1735241642590313</c:v>
                </c:pt>
                <c:pt idx="29">
                  <c:v>0.179721455839711</c:v>
                </c:pt>
                <c:pt idx="30">
                  <c:v>0.18591874742039069</c:v>
                </c:pt>
                <c:pt idx="31">
                  <c:v>0.19211603900107035</c:v>
                </c:pt>
                <c:pt idx="32">
                  <c:v>0.19831333058175005</c:v>
                </c:pt>
                <c:pt idx="33">
                  <c:v>0.20451062216242974</c:v>
                </c:pt>
                <c:pt idx="34">
                  <c:v>0.21228712137700781</c:v>
                </c:pt>
                <c:pt idx="35">
                  <c:v>0.22144730314273819</c:v>
                </c:pt>
                <c:pt idx="36">
                  <c:v>0.22459722466599735</c:v>
                </c:pt>
                <c:pt idx="37">
                  <c:v>0.22770393089821772</c:v>
                </c:pt>
                <c:pt idx="38">
                  <c:v>0.23076916247918347</c:v>
                </c:pt>
                <c:pt idx="39">
                  <c:v>0.23379454624582205</c:v>
                </c:pt>
                <c:pt idx="40">
                  <c:v>0.2367816053841274</c:v>
                </c:pt>
                <c:pt idx="41">
                  <c:v>0.23973176844557298</c:v>
                </c:pt>
                <c:pt idx="42">
                  <c:v>0.24264637737949457</c:v>
                </c:pt>
                <c:pt idx="43">
                  <c:v>0.24552669470960312</c:v>
                </c:pt>
                <c:pt idx="44">
                  <c:v>0.24837390996351869</c:v>
                </c:pt>
                <c:pt idx="45">
                  <c:v>0.25118914544820958</c:v>
                </c:pt>
                <c:pt idx="46">
                  <c:v>0.25397346145087546</c:v>
                </c:pt>
                <c:pt idx="47">
                  <c:v>0.25672786093362659</c:v>
                </c:pt>
                <c:pt idx="48">
                  <c:v>0.25945329378090565</c:v>
                </c:pt>
                <c:pt idx="49">
                  <c:v>0.2621506606506539</c:v>
                </c:pt>
                <c:pt idx="50">
                  <c:v>0.26482081647348887</c:v>
                </c:pt>
                <c:pt idx="51">
                  <c:v>0.26746457363843318</c:v>
                </c:pt>
                <c:pt idx="52">
                  <c:v>0.27008270489884412</c:v>
                </c:pt>
                <c:pt idx="53">
                  <c:v>0.27267594602800554</c:v>
                </c:pt>
                <c:pt idx="54">
                  <c:v>0.27524499825024601</c:v>
                </c:pt>
                <c:pt idx="55">
                  <c:v>0.27779053047034885</c:v>
                </c:pt>
                <c:pt idx="56">
                  <c:v>0.28031318132133715</c:v>
                </c:pt>
                <c:pt idx="57">
                  <c:v>0.28281356104840016</c:v>
                </c:pt>
                <c:pt idx="58">
                  <c:v>0.28529225324470459</c:v>
                </c:pt>
                <c:pt idx="59">
                  <c:v>0.28774981645308051</c:v>
                </c:pt>
                <c:pt idx="60">
                  <c:v>0.29018678564603584</c:v>
                </c:pt>
                <c:pt idx="61">
                  <c:v>0.29260367359520806</c:v>
                </c:pt>
                <c:pt idx="62">
                  <c:v>0.295000972140184</c:v>
                </c:pt>
                <c:pt idx="63">
                  <c:v>0.29737915336558041</c:v>
                </c:pt>
                <c:pt idx="64">
                  <c:v>0.29973867069436516</c:v>
                </c:pt>
                <c:pt idx="65">
                  <c:v>0.30207995990459013</c:v>
                </c:pt>
                <c:pt idx="66">
                  <c:v>0.30328030550632706</c:v>
                </c:pt>
                <c:pt idx="67">
                  <c:v>0.30132920995478851</c:v>
                </c:pt>
                <c:pt idx="68">
                  <c:v>0.29941510332288784</c:v>
                </c:pt>
                <c:pt idx="69">
                  <c:v>0.29396872961869769</c:v>
                </c:pt>
                <c:pt idx="70">
                  <c:v>0.29425747179951028</c:v>
                </c:pt>
                <c:pt idx="71">
                  <c:v>0.29454368287957128</c:v>
                </c:pt>
                <c:pt idx="72">
                  <c:v>0.29482532424301283</c:v>
                </c:pt>
                <c:pt idx="73">
                  <c:v>0.29510014348212904</c:v>
                </c:pt>
                <c:pt idx="74">
                  <c:v>0.29536839986190278</c:v>
                </c:pt>
                <c:pt idx="75">
                  <c:v>0.29563033967623148</c:v>
                </c:pt>
                <c:pt idx="76">
                  <c:v>0.29588619704908897</c:v>
                </c:pt>
                <c:pt idx="77">
                  <c:v>0.29613619467703212</c:v>
                </c:pt>
                <c:pt idx="78">
                  <c:v>0.29638054451800094</c:v>
                </c:pt>
                <c:pt idx="79">
                  <c:v>0.29661944843089005</c:v>
                </c:pt>
                <c:pt idx="80">
                  <c:v>0.29685309876994842</c:v>
                </c:pt>
                <c:pt idx="81">
                  <c:v>0.29708167893768594</c:v>
                </c:pt>
                <c:pt idx="82">
                  <c:v>0.29730536389962769</c:v>
                </c:pt>
                <c:pt idx="83">
                  <c:v>0.29752432066395118</c:v>
                </c:pt>
                <c:pt idx="84">
                  <c:v>0.29773870872877162</c:v>
                </c:pt>
                <c:pt idx="85">
                  <c:v>0.29794868049959211</c:v>
                </c:pt>
                <c:pt idx="86">
                  <c:v>0.29815438167921454</c:v>
                </c:pt>
                <c:pt idx="87">
                  <c:v>0.29835595163220857</c:v>
                </c:pt>
                <c:pt idx="88">
                  <c:v>0.29855352372585442</c:v>
                </c:pt>
                <c:pt idx="89">
                  <c:v>0.298747225649311</c:v>
                </c:pt>
                <c:pt idx="90">
                  <c:v>0.29893717971261757</c:v>
                </c:pt>
                <c:pt idx="91">
                  <c:v>0.29912350312699693</c:v>
                </c:pt>
                <c:pt idx="92">
                  <c:v>0.29930630826781224</c:v>
                </c:pt>
                <c:pt idx="93">
                  <c:v>0.29948570292141613</c:v>
                </c:pt>
                <c:pt idx="94">
                  <c:v>0.29966179051703262</c:v>
                </c:pt>
                <c:pt idx="95">
                  <c:v>0.29983467034471889</c:v>
                </c:pt>
                <c:pt idx="96">
                  <c:v>0.30000443776037228</c:v>
                </c:pt>
                <c:pt idx="97">
                  <c:v>0.30017118437867318</c:v>
                </c:pt>
                <c:pt idx="98">
                  <c:v>0.30033499825478294</c:v>
                </c:pt>
                <c:pt idx="99">
                  <c:v>0.30049596405555318</c:v>
                </c:pt>
                <c:pt idx="100">
                  <c:v>0.30065416322095001</c:v>
                </c:pt>
              </c:numCache>
            </c:numRef>
          </c:val>
          <c:smooth val="0"/>
          <c:extLst>
            <c:ext xmlns:c16="http://schemas.microsoft.com/office/drawing/2014/chart" uri="{C3380CC4-5D6E-409C-BE32-E72D297353CC}">
              <c16:uniqueId val="{00000008-DE77-4B43-A489-D4421C0BE99A}"/>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10.012467970437628</c:v>
                </c:pt>
                <c:pt idx="2">
                  <c:v>30.037403911312889</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237.11687394801285</c:v>
                </c:pt>
                <c:pt idx="27">
                  <c:v>228.71217510399072</c:v>
                </c:pt>
                <c:pt idx="28">
                  <c:v>220.79090629077334</c:v>
                </c:pt>
                <c:pt idx="29">
                  <c:v>213.39224068989424</c:v>
                </c:pt>
                <c:pt idx="30">
                  <c:v>206.46611091387595</c:v>
                </c:pt>
                <c:pt idx="31">
                  <c:v>199.96864718879655</c:v>
                </c:pt>
                <c:pt idx="32">
                  <c:v>193.86124717214813</c:v>
                </c:pt>
                <c:pt idx="33">
                  <c:v>188.10980841848749</c:v>
                </c:pt>
                <c:pt idx="34">
                  <c:v>182.68409125254396</c:v>
                </c:pt>
                <c:pt idx="35">
                  <c:v>177.55718691202003</c:v>
                </c:pt>
                <c:pt idx="36">
                  <c:v>172.70507121177818</c:v>
                </c:pt>
                <c:pt idx="37">
                  <c:v>168.10622810457852</c:v>
                </c:pt>
                <c:pt idx="38">
                  <c:v>163.74133069302343</c:v>
                </c:pt>
                <c:pt idx="39">
                  <c:v>159.59296971705476</c:v>
                </c:pt>
                <c:pt idx="40">
                  <c:v>155.64542147301893</c:v>
                </c:pt>
                <c:pt idx="41">
                  <c:v>151.88444864114015</c:v>
                </c:pt>
                <c:pt idx="42">
                  <c:v>148.29712870305036</c:v>
                </c:pt>
                <c:pt idx="43">
                  <c:v>144.87170559114992</c:v>
                </c:pt>
                <c:pt idx="44">
                  <c:v>141.59746098099774</c:v>
                </c:pt>
                <c:pt idx="45">
                  <c:v>138.46460225783966</c:v>
                </c:pt>
                <c:pt idx="46">
                  <c:v>135.46416469037217</c:v>
                </c:pt>
                <c:pt idx="47">
                  <c:v>132.58792575331745</c:v>
                </c:pt>
                <c:pt idx="48">
                  <c:v>129.82832987431564</c:v>
                </c:pt>
                <c:pt idx="49">
                  <c:v>127.17842215483743</c:v>
                </c:pt>
                <c:pt idx="50">
                  <c:v>124.63178984092414</c:v>
                </c:pt>
                <c:pt idx="51">
                  <c:v>122.1825105067725</c:v>
                </c:pt>
                <c:pt idx="52">
                  <c:v>119.82510606978157</c:v>
                </c:pt>
                <c:pt idx="53">
                  <c:v>117.55450188550293</c:v>
                </c:pt>
                <c:pt idx="54">
                  <c:v>115.36599027962956</c:v>
                </c:pt>
                <c:pt idx="55">
                  <c:v>113.25519796548701</c:v>
                </c:pt>
                <c:pt idx="56">
                  <c:v>111.21805687247338</c:v>
                </c:pt>
                <c:pt idx="57">
                  <c:v>109.25077797599847</c:v>
                </c:pt>
                <c:pt idx="58">
                  <c:v>107.34982777469709</c:v>
                </c:pt>
                <c:pt idx="59">
                  <c:v>105.51190710767578</c:v>
                </c:pt>
                <c:pt idx="60">
                  <c:v>103.73393204463981</c:v>
                </c:pt>
                <c:pt idx="61">
                  <c:v>102.01301661604374</c:v>
                </c:pt>
                <c:pt idx="62">
                  <c:v>100.34645717983406</c:v>
                </c:pt>
                <c:pt idx="63">
                  <c:v>98.731718246653998</c:v>
                </c:pt>
                <c:pt idx="64">
                  <c:v>97.166419607201391</c:v>
                </c:pt>
                <c:pt idx="65">
                  <c:v>95.648324624285308</c:v>
                </c:pt>
                <c:pt idx="66">
                  <c:v>94.175329568465941</c:v>
                </c:pt>
                <c:pt idx="67">
                  <c:v>92.745453890341267</c:v>
                </c:pt>
                <c:pt idx="68">
                  <c:v>91.356831334890998</c:v>
                </c:pt>
                <c:pt idx="69">
                  <c:v>90.007701814047167</c:v>
                </c:pt>
                <c:pt idx="70">
                  <c:v>88.696403963065379</c:v>
                </c:pt>
                <c:pt idx="71">
                  <c:v>87.421368314505528</c:v>
                </c:pt>
                <c:pt idx="72">
                  <c:v>86.181111030852392</c:v>
                </c:pt>
                <c:pt idx="73">
                  <c:v>84.974228143155131</c:v>
                </c:pt>
                <c:pt idx="74">
                  <c:v>83.799390248653992</c:v>
                </c:pt>
                <c:pt idx="75">
                  <c:v>82.655337625293186</c:v>
                </c:pt>
                <c:pt idx="76">
                  <c:v>81.540875725375344</c:v>
                </c:pt>
                <c:pt idx="77">
                  <c:v>80.45487101446767</c:v>
                </c:pt>
                <c:pt idx="78">
                  <c:v>79.396247125090042</c:v>
                </c:pt>
                <c:pt idx="79">
                  <c:v>78.363981297748111</c:v>
                </c:pt>
                <c:pt idx="80">
                  <c:v>77.357101084576357</c:v>
                </c:pt>
                <c:pt idx="81">
                  <c:v>76.374681293257453</c:v>
                </c:pt>
                <c:pt idx="82">
                  <c:v>75.415841151030449</c:v>
                </c:pt>
                <c:pt idx="83">
                  <c:v>74.479741670516049</c:v>
                </c:pt>
                <c:pt idx="84">
                  <c:v>73.565583200798827</c:v>
                </c:pt>
                <c:pt idx="85">
                  <c:v>72.672603148742766</c:v>
                </c:pt>
                <c:pt idx="86">
                  <c:v>71.800073856892311</c:v>
                </c:pt>
                <c:pt idx="87">
                  <c:v>70.947300625547939</c:v>
                </c:pt>
                <c:pt idx="88">
                  <c:v>70.113619867715443</c:v>
                </c:pt>
                <c:pt idx="89">
                  <c:v>69.298397386631748</c:v>
                </c:pt>
                <c:pt idx="90">
                  <c:v>68.501026766469593</c:v>
                </c:pt>
                <c:pt idx="91">
                  <c:v>67.72092786763919</c:v>
                </c:pt>
                <c:pt idx="92">
                  <c:v>66.957545418840752</c:v>
                </c:pt>
                <c:pt idx="93">
                  <c:v>66.210347698686775</c:v>
                </c:pt>
                <c:pt idx="94">
                  <c:v>65.478825300316004</c:v>
                </c:pt>
                <c:pt idx="95">
                  <c:v>64.762489972967174</c:v>
                </c:pt>
                <c:pt idx="96">
                  <c:v>64.060873534976949</c:v>
                </c:pt>
                <c:pt idx="97">
                  <c:v>63.373526853116537</c:v>
                </c:pt>
                <c:pt idx="98">
                  <c:v>62.700018883590893</c:v>
                </c:pt>
                <c:pt idx="99">
                  <c:v>62.039935770398017</c:v>
                </c:pt>
                <c:pt idx="100">
                  <c:v>61.392879997085096</c:v>
                </c:pt>
              </c:numCache>
            </c:numRef>
          </c:val>
          <c:smooth val="0"/>
          <c:extLst>
            <c:ext xmlns:c16="http://schemas.microsoft.com/office/drawing/2014/chart" uri="{C3380CC4-5D6E-409C-BE32-E72D297353CC}">
              <c16:uniqueId val="{00000009-DE77-4B43-A489-D4421C0BE99A}"/>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10.012467970437628</c:v>
                </c:pt>
                <c:pt idx="2">
                  <c:v>20.024935940875256</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260.32416723137834</c:v>
                </c:pt>
                <c:pt idx="27">
                  <c:v>270.33663520181597</c:v>
                </c:pt>
                <c:pt idx="28">
                  <c:v>280.34910317225365</c:v>
                </c:pt>
                <c:pt idx="29">
                  <c:v>290.36157114269122</c:v>
                </c:pt>
                <c:pt idx="30">
                  <c:v>300.37403911312884</c:v>
                </c:pt>
                <c:pt idx="31">
                  <c:v>310.38650708356653</c:v>
                </c:pt>
                <c:pt idx="32">
                  <c:v>320.3989750540041</c:v>
                </c:pt>
                <c:pt idx="33">
                  <c:v>330.41144302444178</c:v>
                </c:pt>
                <c:pt idx="34">
                  <c:v>340.42391099487946</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343.53260049854697</c:v>
                </c:pt>
                <c:pt idx="51">
                  <c:v>337.24233243538094</c:v>
                </c:pt>
                <c:pt idx="52">
                  <c:v>331.17803246141665</c:v>
                </c:pt>
                <c:pt idx="53">
                  <c:v>325.32434129059664</c:v>
                </c:pt>
                <c:pt idx="54">
                  <c:v>319.6688212970347</c:v>
                </c:pt>
                <c:pt idx="55">
                  <c:v>314.2059910179334</c:v>
                </c:pt>
                <c:pt idx="56">
                  <c:v>308.92616749844484</c:v>
                </c:pt>
                <c:pt idx="57">
                  <c:v>303.82030587323101</c:v>
                </c:pt>
                <c:pt idx="58">
                  <c:v>298.87994765714615</c:v>
                </c:pt>
                <c:pt idx="59">
                  <c:v>294.09717398420645</c:v>
                </c:pt>
                <c:pt idx="60">
                  <c:v>289.46456325107459</c:v>
                </c:pt>
                <c:pt idx="61">
                  <c:v>284.97515268852692</c:v>
                </c:pt>
                <c:pt idx="62">
                  <c:v>280.62240344239223</c:v>
                </c:pt>
                <c:pt idx="63">
                  <c:v>276.40016879565252</c:v>
                </c:pt>
                <c:pt idx="64">
                  <c:v>272.30266520691464</c:v>
                </c:pt>
                <c:pt idx="65">
                  <c:v>268.32444587828491</c:v>
                </c:pt>
                <c:pt idx="66">
                  <c:v>264.46037659861815</c:v>
                </c:pt>
                <c:pt idx="67">
                  <c:v>260.70561363685255</c:v>
                </c:pt>
                <c:pt idx="68">
                  <c:v>257.05558348528558</c:v>
                </c:pt>
                <c:pt idx="69">
                  <c:v>253.50596427466186</c:v>
                </c:pt>
                <c:pt idx="70">
                  <c:v>250.05266870228883</c:v>
                </c:pt>
                <c:pt idx="71">
                  <c:v>246.69182833139183</c:v>
                </c:pt>
                <c:pt idx="72">
                  <c:v>243.41977913491436</c:v>
                </c:pt>
                <c:pt idx="73">
                  <c:v>240.23304817018402</c:v>
                </c:pt>
                <c:pt idx="74">
                  <c:v>237.12834128256674</c:v>
                </c:pt>
                <c:pt idx="75">
                  <c:v>234.10253174658567</c:v>
                </c:pt>
                <c:pt idx="76">
                  <c:v>231.15264976216574</c:v>
                </c:pt>
                <c:pt idx="77">
                  <c:v>228.27587273182925</c:v>
                </c:pt>
                <c:pt idx="78">
                  <c:v>225.4695162519325</c:v>
                </c:pt>
                <c:pt idx="79">
                  <c:v>222.73102575750269</c:v>
                </c:pt>
                <c:pt idx="80">
                  <c:v>220.0579687660144</c:v>
                </c:pt>
                <c:pt idx="81">
                  <c:v>217.44802767060389</c:v>
                </c:pt>
                <c:pt idx="82">
                  <c:v>214.89899303784705</c:v>
                </c:pt>
                <c:pt idx="83">
                  <c:v>212.40875736935786</c:v>
                </c:pt>
                <c:pt idx="84">
                  <c:v>209.97530929019152</c:v>
                </c:pt>
                <c:pt idx="85">
                  <c:v>207.59672813036588</c:v>
                </c:pt>
                <c:pt idx="86">
                  <c:v>205.27117886882422</c:v>
                </c:pt>
                <c:pt idx="87">
                  <c:v>202.99690741186777</c:v>
                </c:pt>
                <c:pt idx="88">
                  <c:v>200.77223618052449</c:v>
                </c:pt>
                <c:pt idx="89">
                  <c:v>198.59555998352607</c:v>
                </c:pt>
                <c:pt idx="90">
                  <c:v>196.46534215455691</c:v>
                </c:pt>
                <c:pt idx="91">
                  <c:v>194.38011093423916</c:v>
                </c:pt>
                <c:pt idx="92">
                  <c:v>192.33845607895367</c:v>
                </c:pt>
                <c:pt idx="93">
                  <c:v>190.33902568007684</c:v>
                </c:pt>
                <c:pt idx="94">
                  <c:v>188.38052317855539</c:v>
                </c:pt>
                <c:pt idx="95">
                  <c:v>186.46170456096741</c:v>
                </c:pt>
                <c:pt idx="96">
                  <c:v>184.58137572432679</c:v>
                </c:pt>
                <c:pt idx="97">
                  <c:v>182.73838999789993</c:v>
                </c:pt>
                <c:pt idx="98">
                  <c:v>180.93164581122906</c:v>
                </c:pt>
                <c:pt idx="99">
                  <c:v>179.16008449839575</c:v>
                </c:pt>
                <c:pt idx="100">
                  <c:v>177.42268822932925</c:v>
                </c:pt>
              </c:numCache>
            </c:numRef>
          </c:val>
          <c:smooth val="0"/>
          <c:extLst>
            <c:ext xmlns:c16="http://schemas.microsoft.com/office/drawing/2014/chart" uri="{C3380CC4-5D6E-409C-BE32-E72D297353CC}">
              <c16:uniqueId val="{0000000A-DE77-4B43-A489-D4421C0BE99A}"/>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10.012375988822143</c:v>
                </c:pt>
                <c:pt idx="2">
                  <c:v>20.024751977644286</c:v>
                </c:pt>
                <c:pt idx="3">
                  <c:v>30.037127966466429</c:v>
                </c:pt>
                <c:pt idx="4">
                  <c:v>40.049503955288571</c:v>
                </c:pt>
                <c:pt idx="5">
                  <c:v>50.061879944110721</c:v>
                </c:pt>
                <c:pt idx="6">
                  <c:v>60.074255932932857</c:v>
                </c:pt>
                <c:pt idx="7">
                  <c:v>70.086631921755</c:v>
                </c:pt>
                <c:pt idx="8">
                  <c:v>80.099007910577143</c:v>
                </c:pt>
                <c:pt idx="9">
                  <c:v>90.111383899399286</c:v>
                </c:pt>
                <c:pt idx="10">
                  <c:v>100.12375988822144</c:v>
                </c:pt>
                <c:pt idx="11">
                  <c:v>110.13613587704357</c:v>
                </c:pt>
                <c:pt idx="12">
                  <c:v>120.14851186586571</c:v>
                </c:pt>
                <c:pt idx="13">
                  <c:v>130.16088785468787</c:v>
                </c:pt>
                <c:pt idx="14">
                  <c:v>140.17326384351</c:v>
                </c:pt>
                <c:pt idx="15">
                  <c:v>150.18563983233216</c:v>
                </c:pt>
                <c:pt idx="16">
                  <c:v>160.19801582115429</c:v>
                </c:pt>
                <c:pt idx="17">
                  <c:v>170.21039180997644</c:v>
                </c:pt>
                <c:pt idx="18">
                  <c:v>180.22276779879857</c:v>
                </c:pt>
                <c:pt idx="19">
                  <c:v>190.23514378762073</c:v>
                </c:pt>
                <c:pt idx="20">
                  <c:v>200.24751977644289</c:v>
                </c:pt>
                <c:pt idx="21">
                  <c:v>210.25989576526501</c:v>
                </c:pt>
                <c:pt idx="22">
                  <c:v>220.27227175408714</c:v>
                </c:pt>
                <c:pt idx="23">
                  <c:v>230.2846477429093</c:v>
                </c:pt>
                <c:pt idx="24">
                  <c:v>240.29702373173143</c:v>
                </c:pt>
                <c:pt idx="25">
                  <c:v>250.30939972055356</c:v>
                </c:pt>
                <c:pt idx="26">
                  <c:v>260.32177570937574</c:v>
                </c:pt>
                <c:pt idx="27">
                  <c:v>270.3341516981979</c:v>
                </c:pt>
                <c:pt idx="28">
                  <c:v>280.34652768702</c:v>
                </c:pt>
                <c:pt idx="29">
                  <c:v>290.35890367584216</c:v>
                </c:pt>
                <c:pt idx="30">
                  <c:v>300.37127966466431</c:v>
                </c:pt>
                <c:pt idx="31">
                  <c:v>310.38365565348641</c:v>
                </c:pt>
                <c:pt idx="32">
                  <c:v>320.39603164230857</c:v>
                </c:pt>
                <c:pt idx="33">
                  <c:v>330.40840763113073</c:v>
                </c:pt>
                <c:pt idx="34">
                  <c:v>340.42078361995289</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348.70863121887066</c:v>
                </c:pt>
                <c:pt idx="67">
                  <c:v>343.86029290821517</c:v>
                </c:pt>
                <c:pt idx="68">
                  <c:v>339.14488892385293</c:v>
                </c:pt>
                <c:pt idx="69">
                  <c:v>334.55702615992732</c:v>
                </c:pt>
                <c:pt idx="70">
                  <c:v>330.09159934167945</c:v>
                </c:pt>
                <c:pt idx="71">
                  <c:v>325.74275284211831</c:v>
                </c:pt>
                <c:pt idx="72">
                  <c:v>321.50641651018856</c:v>
                </c:pt>
                <c:pt idx="73">
                  <c:v>317.37877014741252</c:v>
                </c:pt>
                <c:pt idx="74">
                  <c:v>313.3556837580756</c:v>
                </c:pt>
                <c:pt idx="75">
                  <c:v>309.43323397116495</c:v>
                </c:pt>
                <c:pt idx="76">
                  <c:v>305.60769127813842</c:v>
                </c:pt>
                <c:pt idx="77">
                  <c:v>301.87550820506556</c:v>
                </c:pt>
                <c:pt idx="78">
                  <c:v>298.23330834029326</c:v>
                </c:pt>
                <c:pt idx="79">
                  <c:v>294.67787614630225</c:v>
                </c:pt>
                <c:pt idx="80">
                  <c:v>291.20614749113423</c:v>
                </c:pt>
                <c:pt idx="81">
                  <c:v>287.81520084079034</c:v>
                </c:pt>
                <c:pt idx="82">
                  <c:v>284.50224905938774</c:v>
                </c:pt>
                <c:pt idx="83">
                  <c:v>281.26463176870334</c:v>
                </c:pt>
                <c:pt idx="84">
                  <c:v>278.09980822308609</c:v>
                </c:pt>
                <c:pt idx="85">
                  <c:v>275.00535065962805</c:v>
                </c:pt>
                <c:pt idx="86">
                  <c:v>271.97893808702145</c:v>
                </c:pt>
                <c:pt idx="87">
                  <c:v>269.01835047970189</c:v>
                </c:pt>
                <c:pt idx="88">
                  <c:v>266.12146334675759</c:v>
                </c:pt>
                <c:pt idx="89">
                  <c:v>263.28624264768399</c:v>
                </c:pt>
                <c:pt idx="90">
                  <c:v>260.51074002941033</c:v>
                </c:pt>
                <c:pt idx="91">
                  <c:v>257.7930883611632</c:v>
                </c:pt>
                <c:pt idx="92">
                  <c:v>255.131497545662</c:v>
                </c:pt>
                <c:pt idx="93">
                  <c:v>252.52425058689749</c:v>
                </c:pt>
                <c:pt idx="94">
                  <c:v>249.96969989634425</c:v>
                </c:pt>
                <c:pt idx="95">
                  <c:v>247.46626382090724</c:v>
                </c:pt>
                <c:pt idx="96">
                  <c:v>245.01242337722769</c:v>
                </c:pt>
                <c:pt idx="97">
                  <c:v>242.60671917817993</c:v>
                </c:pt>
                <c:pt idx="98">
                  <c:v>240.24774853849101</c:v>
                </c:pt>
                <c:pt idx="99">
                  <c:v>237.93416274742222</c:v>
                </c:pt>
                <c:pt idx="100">
                  <c:v>235.66466449736856</c:v>
                </c:pt>
              </c:numCache>
            </c:numRef>
          </c:val>
          <c:smooth val="0"/>
          <c:extLst>
            <c:ext xmlns:c16="http://schemas.microsoft.com/office/drawing/2014/chart" uri="{C3380CC4-5D6E-409C-BE32-E72D297353CC}">
              <c16:uniqueId val="{0000000B-DE77-4B43-A489-D4421C0BE99A}"/>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C-DE77-4B43-A489-D4421C0BE99A}"/>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D-DE77-4B43-A489-D4421C0BE99A}"/>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E-DE77-4B43-A489-D4421C0BE99A}"/>
            </c:ext>
          </c:extLst>
        </c:ser>
        <c:dLbls>
          <c:showLegendKey val="0"/>
          <c:showVal val="0"/>
          <c:showCatName val="0"/>
          <c:showSerName val="0"/>
          <c:showPercent val="0"/>
          <c:showBubbleSize val="0"/>
        </c:dLbls>
        <c:marker val="1"/>
        <c:smooth val="0"/>
        <c:axId val="450325504"/>
        <c:axId val="450344064"/>
      </c:lineChart>
      <c:lineChart>
        <c:grouping val="standard"/>
        <c:varyColors val="0"/>
        <c:ser>
          <c:idx val="6"/>
          <c:order val="6"/>
          <c:tx>
            <c:v>D1</c:v>
          </c:tx>
          <c:spPr>
            <a:ln w="25400">
              <a:solidFill>
                <a:srgbClr val="0000FF"/>
              </a:solidFill>
              <a:prstDash val="lgDash"/>
            </a:ln>
          </c:spPr>
          <c:marker>
            <c:symbol val="none"/>
          </c:marker>
          <c:val>
            <c:numRef>
              <c:f>'Calculations - Dual'!$AU$5:$AU$105</c:f>
              <c:numCache>
                <c:formatCode>0.000</c:formatCode>
                <c:ptCount val="101"/>
                <c:pt idx="0">
                  <c:v>9.2592769250602718E-3</c:v>
                </c:pt>
                <c:pt idx="1">
                  <c:v>9.3091060677618267E-3</c:v>
                </c:pt>
                <c:pt idx="2">
                  <c:v>1.8618212135523653E-2</c:v>
                </c:pt>
                <c:pt idx="3">
                  <c:v>2.7927318203285489E-2</c:v>
                </c:pt>
                <c:pt idx="4">
                  <c:v>3.7236424271047307E-2</c:v>
                </c:pt>
                <c:pt idx="5">
                  <c:v>4.6545530338809149E-2</c:v>
                </c:pt>
                <c:pt idx="6">
                  <c:v>5.5854636406570977E-2</c:v>
                </c:pt>
                <c:pt idx="7">
                  <c:v>6.5163742474332806E-2</c:v>
                </c:pt>
                <c:pt idx="8">
                  <c:v>7.4472848542094613E-2</c:v>
                </c:pt>
                <c:pt idx="9">
                  <c:v>8.3781954609856449E-2</c:v>
                </c:pt>
                <c:pt idx="10">
                  <c:v>9.3091060677618298E-2</c:v>
                </c:pt>
                <c:pt idx="11">
                  <c:v>0.10240016674538012</c:v>
                </c:pt>
                <c:pt idx="12">
                  <c:v>0.11170927281314195</c:v>
                </c:pt>
                <c:pt idx="13">
                  <c:v>0.12101837888090376</c:v>
                </c:pt>
                <c:pt idx="14">
                  <c:v>0.13032748494866561</c:v>
                </c:pt>
                <c:pt idx="15">
                  <c:v>0.13963659101642739</c:v>
                </c:pt>
                <c:pt idx="16">
                  <c:v>0.14894569708418923</c:v>
                </c:pt>
                <c:pt idx="17">
                  <c:v>0.15825480315195112</c:v>
                </c:pt>
                <c:pt idx="18">
                  <c:v>0.1675639092197129</c:v>
                </c:pt>
                <c:pt idx="19">
                  <c:v>0.17687301528747473</c:v>
                </c:pt>
                <c:pt idx="20">
                  <c:v>0.1861821213552366</c:v>
                </c:pt>
                <c:pt idx="21">
                  <c:v>0.19549122742299838</c:v>
                </c:pt>
                <c:pt idx="22">
                  <c:v>0.20480033349076024</c:v>
                </c:pt>
                <c:pt idx="23">
                  <c:v>0.21410943955852205</c:v>
                </c:pt>
                <c:pt idx="24">
                  <c:v>0.22341854562628391</c:v>
                </c:pt>
                <c:pt idx="25">
                  <c:v>0.23272765169404566</c:v>
                </c:pt>
                <c:pt idx="26">
                  <c:v>0.24203675776180752</c:v>
                </c:pt>
                <c:pt idx="27">
                  <c:v>0.2513458638295693</c:v>
                </c:pt>
                <c:pt idx="28">
                  <c:v>0.26065496989733122</c:v>
                </c:pt>
                <c:pt idx="29">
                  <c:v>0.26996407596509298</c:v>
                </c:pt>
                <c:pt idx="30">
                  <c:v>0.27927318203285478</c:v>
                </c:pt>
                <c:pt idx="31">
                  <c:v>0.28858228810061665</c:v>
                </c:pt>
                <c:pt idx="32">
                  <c:v>0.29789139416837845</c:v>
                </c:pt>
                <c:pt idx="33">
                  <c:v>0.30720050023614037</c:v>
                </c:pt>
                <c:pt idx="34">
                  <c:v>0.3188817734313632</c:v>
                </c:pt>
                <c:pt idx="35">
                  <c:v>0.33263853691951434</c:v>
                </c:pt>
                <c:pt idx="36">
                  <c:v>0.33737682545191006</c:v>
                </c:pt>
                <c:pt idx="37">
                  <c:v>0.34205029298934098</c:v>
                </c:pt>
                <c:pt idx="38">
                  <c:v>0.34666155046543334</c:v>
                </c:pt>
                <c:pt idx="39">
                  <c:v>0.3512130381105642</c:v>
                </c:pt>
                <c:pt idx="40">
                  <c:v>0.35570704067967873</c:v>
                </c:pt>
                <c:pt idx="41">
                  <c:v>0.36014570097684945</c:v>
                </c:pt>
                <c:pt idx="42">
                  <c:v>0.36453103190379432</c:v>
                </c:pt>
                <c:pt idx="43">
                  <c:v>0.36886492722459502</c:v>
                </c:pt>
                <c:pt idx="44">
                  <c:v>0.37314917120995095</c:v>
                </c:pt>
                <c:pt idx="45">
                  <c:v>0.37738544730029505</c:v>
                </c:pt>
                <c:pt idx="46">
                  <c:v>0.38157534590707853</c:v>
                </c:pt>
                <c:pt idx="47">
                  <c:v>0.38572037145475302</c:v>
                </c:pt>
                <c:pt idx="48">
                  <c:v>0.38982194875186976</c:v>
                </c:pt>
                <c:pt idx="49">
                  <c:v>0.39388142876779658</c:v>
                </c:pt>
                <c:pt idx="50">
                  <c:v>0.39054758282775021</c:v>
                </c:pt>
                <c:pt idx="51">
                  <c:v>0.38723047477885558</c:v>
                </c:pt>
                <c:pt idx="52">
                  <c:v>0.38399600280779267</c:v>
                </c:pt>
                <c:pt idx="53">
                  <c:v>0.38084443286632597</c:v>
                </c:pt>
                <c:pt idx="54">
                  <c:v>0.37777407475188707</c:v>
                </c:pt>
                <c:pt idx="55">
                  <c:v>0.38291824544753283</c:v>
                </c:pt>
                <c:pt idx="56">
                  <c:v>0.38337630366960568</c:v>
                </c:pt>
                <c:pt idx="57">
                  <c:v>0.38382020638467573</c:v>
                </c:pt>
                <c:pt idx="58">
                  <c:v>0.38425064200492559</c:v>
                </c:pt>
                <c:pt idx="59">
                  <c:v>0.38466825502448587</c:v>
                </c:pt>
                <c:pt idx="60">
                  <c:v>0.38507364946671041</c:v>
                </c:pt>
                <c:pt idx="61">
                  <c:v>0.38546739201176478</c:v>
                </c:pt>
                <c:pt idx="62">
                  <c:v>0.38585001483858655</c:v>
                </c:pt>
                <c:pt idx="63">
                  <c:v>0.38622201821119861</c:v>
                </c:pt>
                <c:pt idx="64">
                  <c:v>0.38658387283580442</c:v>
                </c:pt>
                <c:pt idx="65">
                  <c:v>0.38693602201202221</c:v>
                </c:pt>
                <c:pt idx="66">
                  <c:v>0.38727888359893353</c:v>
                </c:pt>
                <c:pt idx="67">
                  <c:v>0.38761285181428173</c:v>
                </c:pt>
                <c:pt idx="68">
                  <c:v>0.38793829888310805</c:v>
                </c:pt>
                <c:pt idx="69">
                  <c:v>0.388255576550324</c:v>
                </c:pt>
                <c:pt idx="70">
                  <c:v>0.38856501747014344</c:v>
                </c:pt>
                <c:pt idx="71">
                  <c:v>0.38886693648391218</c:v>
                </c:pt>
                <c:pt idx="72">
                  <c:v>0.38916163179665764</c:v>
                </c:pt>
                <c:pt idx="73">
                  <c:v>0.38944938606159835</c:v>
                </c:pt>
                <c:pt idx="74">
                  <c:v>0.38973046738090872</c:v>
                </c:pt>
                <c:pt idx="75">
                  <c:v>0.39000513023018535</c:v>
                </c:pt>
                <c:pt idx="76">
                  <c:v>0.39027361631331836</c:v>
                </c:pt>
                <c:pt idx="77">
                  <c:v>0.39053615535380126</c:v>
                </c:pt>
                <c:pt idx="78">
                  <c:v>0.39079296582792911</c:v>
                </c:pt>
                <c:pt idx="79">
                  <c:v>0.391044255644801</c:v>
                </c:pt>
                <c:pt idx="80">
                  <c:v>0.39129022277757708</c:v>
                </c:pt>
                <c:pt idx="81">
                  <c:v>0.39153105585001702</c:v>
                </c:pt>
                <c:pt idx="82">
                  <c:v>0.39176693468195622</c:v>
                </c:pt>
                <c:pt idx="83">
                  <c:v>0.39199803079703016</c:v>
                </c:pt>
                <c:pt idx="84">
                  <c:v>0.39222450789566393</c:v>
                </c:pt>
                <c:pt idx="85">
                  <c:v>0.39244652229606669</c:v>
                </c:pt>
                <c:pt idx="86">
                  <c:v>0.39266422334572809</c:v>
                </c:pt>
                <c:pt idx="87">
                  <c:v>0.39287775380569256</c:v>
                </c:pt>
                <c:pt idx="88">
                  <c:v>0.39308725020969137</c:v>
                </c:pt>
                <c:pt idx="89">
                  <c:v>0.3932928432000285</c:v>
                </c:pt>
                <c:pt idx="90">
                  <c:v>0.39349465784195964</c:v>
                </c:pt>
                <c:pt idx="91">
                  <c:v>0.39369281391815103</c:v>
                </c:pt>
                <c:pt idx="92">
                  <c:v>0.3938874262046787</c:v>
                </c:pt>
                <c:pt idx="93">
                  <c:v>0.39407860472990086</c:v>
                </c:pt>
                <c:pt idx="94">
                  <c:v>0.39426645501743385</c:v>
                </c:pt>
                <c:pt idx="95">
                  <c:v>0.39445107831435577</c:v>
                </c:pt>
                <c:pt idx="96">
                  <c:v>0.3946325718056784</c:v>
                </c:pt>
                <c:pt idx="97">
                  <c:v>0.39481102881603874</c:v>
                </c:pt>
                <c:pt idx="98">
                  <c:v>0.39498653899949204</c:v>
                </c:pt>
                <c:pt idx="99">
                  <c:v>0.39515918851821691</c:v>
                </c:pt>
                <c:pt idx="100">
                  <c:v>0.39532906021087932</c:v>
                </c:pt>
              </c:numCache>
            </c:numRef>
          </c:val>
          <c:smooth val="0"/>
          <c:extLst>
            <c:ext xmlns:c16="http://schemas.microsoft.com/office/drawing/2014/chart" uri="{C3380CC4-5D6E-409C-BE32-E72D297353CC}">
              <c16:uniqueId val="{0000000F-DE77-4B43-A489-D4421C0BE99A}"/>
            </c:ext>
          </c:extLst>
        </c:ser>
        <c:ser>
          <c:idx val="7"/>
          <c:order val="7"/>
          <c:spPr>
            <a:ln w="25400">
              <a:solidFill>
                <a:srgbClr val="00B050"/>
              </a:solidFill>
              <a:prstDash val="dash"/>
            </a:ln>
          </c:spPr>
          <c:marker>
            <c:symbol val="none"/>
          </c:marker>
          <c:val>
            <c:numRef>
              <c:f>'Calculations - Dual'!$AU$110:$AU$210</c:f>
              <c:numCache>
                <c:formatCode>0.000</c:formatCode>
                <c:ptCount val="101"/>
                <c:pt idx="0">
                  <c:v>2.4709909358202609E-2</c:v>
                </c:pt>
                <c:pt idx="1">
                  <c:v>2.4996404217515214E-2</c:v>
                </c:pt>
                <c:pt idx="2">
                  <c:v>7.498921265254567E-2</c:v>
                </c:pt>
                <c:pt idx="3">
                  <c:v>7.498921265254567E-2</c:v>
                </c:pt>
                <c:pt idx="4">
                  <c:v>9.9985616870060856E-2</c:v>
                </c:pt>
                <c:pt idx="5">
                  <c:v>0.12498202108757611</c:v>
                </c:pt>
                <c:pt idx="6">
                  <c:v>0.14997842530509134</c:v>
                </c:pt>
                <c:pt idx="7">
                  <c:v>0.17497482952260657</c:v>
                </c:pt>
                <c:pt idx="8">
                  <c:v>0.19997123374012171</c:v>
                </c:pt>
                <c:pt idx="9">
                  <c:v>0.22496763795763694</c:v>
                </c:pt>
                <c:pt idx="10">
                  <c:v>0.24996404217515222</c:v>
                </c:pt>
                <c:pt idx="11">
                  <c:v>0.27496044639266742</c:v>
                </c:pt>
                <c:pt idx="12">
                  <c:v>0.29995685061018268</c:v>
                </c:pt>
                <c:pt idx="13">
                  <c:v>0.32495325482769782</c:v>
                </c:pt>
                <c:pt idx="14">
                  <c:v>0.34994965904521314</c:v>
                </c:pt>
                <c:pt idx="15">
                  <c:v>0.37494606326272822</c:v>
                </c:pt>
                <c:pt idx="16">
                  <c:v>0.39994246748024342</c:v>
                </c:pt>
                <c:pt idx="17">
                  <c:v>0.42493887169775879</c:v>
                </c:pt>
                <c:pt idx="18">
                  <c:v>0.44993527591527388</c:v>
                </c:pt>
                <c:pt idx="19">
                  <c:v>0.47493168013278914</c:v>
                </c:pt>
                <c:pt idx="20">
                  <c:v>0.49992808435030445</c:v>
                </c:pt>
                <c:pt idx="21">
                  <c:v>0.52492448856781948</c:v>
                </c:pt>
                <c:pt idx="22">
                  <c:v>0.54992089278533485</c:v>
                </c:pt>
                <c:pt idx="23">
                  <c:v>0.57491729700284999</c:v>
                </c:pt>
                <c:pt idx="24">
                  <c:v>0.59991370122036536</c:v>
                </c:pt>
                <c:pt idx="25">
                  <c:v>0.62753101231410491</c:v>
                </c:pt>
                <c:pt idx="26">
                  <c:v>0.61876075259440155</c:v>
                </c:pt>
                <c:pt idx="27">
                  <c:v>0.61986958186360663</c:v>
                </c:pt>
                <c:pt idx="28">
                  <c:v>0.62100072839500819</c:v>
                </c:pt>
                <c:pt idx="29">
                  <c:v>0.62206432246403909</c:v>
                </c:pt>
                <c:pt idx="30">
                  <c:v>0.62306683851375344</c:v>
                </c:pt>
                <c:pt idx="31">
                  <c:v>0.62401394954675926</c:v>
                </c:pt>
                <c:pt idx="32">
                  <c:v>0.62491064741113012</c:v>
                </c:pt>
                <c:pt idx="33">
                  <c:v>0.62576134205362022</c:v>
                </c:pt>
                <c:pt idx="34">
                  <c:v>0.62656994390932408</c:v>
                </c:pt>
                <c:pt idx="35">
                  <c:v>0.62733993267845112</c:v>
                </c:pt>
                <c:pt idx="36">
                  <c:v>0.62807441504395678</c:v>
                </c:pt>
                <c:pt idx="37">
                  <c:v>0.62877617335054647</c:v>
                </c:pt>
                <c:pt idx="38">
                  <c:v>0.62944770685441331</c:v>
                </c:pt>
                <c:pt idx="39">
                  <c:v>0.63009126683370376</c:v>
                </c:pt>
                <c:pt idx="40">
                  <c:v>0.63070888659991664</c:v>
                </c:pt>
                <c:pt idx="41">
                  <c:v>0.63130240725377151</c:v>
                </c:pt>
                <c:pt idx="42">
                  <c:v>0.63187349987328612</c:v>
                </c:pt>
                <c:pt idx="43">
                  <c:v>0.63242368469764543</c:v>
                </c:pt>
                <c:pt idx="44">
                  <c:v>0.63295434777094406</c:v>
                </c:pt>
                <c:pt idx="45">
                  <c:v>0.6334667554297233</c:v>
                </c:pt>
                <c:pt idx="46">
                  <c:v>0.6339620669533087</c:v>
                </c:pt>
                <c:pt idx="47">
                  <c:v>0.63444134564313137</c:v>
                </c:pt>
                <c:pt idx="48">
                  <c:v>0.63490556855403668</c:v>
                </c:pt>
                <c:pt idx="49">
                  <c:v>0.63535563506512083</c:v>
                </c:pt>
                <c:pt idx="50">
                  <c:v>0.63579237444840575</c:v>
                </c:pt>
                <c:pt idx="51">
                  <c:v>0.63621655256944631</c:v>
                </c:pt>
                <c:pt idx="52">
                  <c:v>0.63662887783384392</c:v>
                </c:pt>
                <c:pt idx="53">
                  <c:v>0.63703000647685804</c:v>
                </c:pt>
                <c:pt idx="54">
                  <c:v>0.63742054727924335</c:v>
                </c:pt>
                <c:pt idx="55">
                  <c:v>0.63780106578063667</c:v>
                </c:pt>
                <c:pt idx="56">
                  <c:v>0.63817208805185821</c:v>
                </c:pt>
                <c:pt idx="57">
                  <c:v>0.63853410407907574</c:v>
                </c:pt>
                <c:pt idx="58">
                  <c:v>0.63888757080564074</c:v>
                </c:pt>
                <c:pt idx="59">
                  <c:v>0.63923291487132006</c:v>
                </c:pt>
                <c:pt idx="60">
                  <c:v>0.63957053508347961</c:v>
                </c:pt>
                <c:pt idx="61">
                  <c:v>0.63990080465032173</c:v>
                </c:pt>
                <c:pt idx="62">
                  <c:v>0.64022407320249131</c:v>
                </c:pt>
                <c:pt idx="63">
                  <c:v>0.6405406686260795</c:v>
                </c:pt>
                <c:pt idx="64">
                  <c:v>0.64085089872724232</c:v>
                </c:pt>
                <c:pt idx="65">
                  <c:v>0.64115505274620477</c:v>
                </c:pt>
                <c:pt idx="66">
                  <c:v>0.64145340273631657</c:v>
                </c:pt>
                <c:pt idx="67">
                  <c:v>0.64174620482198486</c:v>
                </c:pt>
                <c:pt idx="68">
                  <c:v>0.64203370034771678</c:v>
                </c:pt>
                <c:pt idx="69">
                  <c:v>0.64231611692911428</c:v>
                </c:pt>
                <c:pt idx="70">
                  <c:v>0.64259366941544049</c:v>
                </c:pt>
                <c:pt idx="71">
                  <c:v>0.64286656077232274</c:v>
                </c:pt>
                <c:pt idx="72">
                  <c:v>0.64313498289221527</c:v>
                </c:pt>
                <c:pt idx="73">
                  <c:v>0.64339911733942501</c:v>
                </c:pt>
                <c:pt idx="74">
                  <c:v>0.6436591360357854</c:v>
                </c:pt>
                <c:pt idx="75">
                  <c:v>0.64391520189241969</c:v>
                </c:pt>
                <c:pt idx="76">
                  <c:v>0.64416746939247593</c:v>
                </c:pt>
                <c:pt idx="77">
                  <c:v>0.64441608512921622</c:v>
                </c:pt>
                <c:pt idx="78">
                  <c:v>0.64466118830340091</c:v>
                </c:pt>
                <c:pt idx="79">
                  <c:v>0.64490291118351295</c:v>
                </c:pt>
                <c:pt idx="80">
                  <c:v>0.64514137953202499</c:v>
                </c:pt>
                <c:pt idx="81">
                  <c:v>0.6453767130005944</c:v>
                </c:pt>
                <c:pt idx="82">
                  <c:v>0.64560902549679688</c:v>
                </c:pt>
                <c:pt idx="83">
                  <c:v>0.64583842552476478</c:v>
                </c:pt>
                <c:pt idx="84">
                  <c:v>0.64606501650186565</c:v>
                </c:pt>
                <c:pt idx="85">
                  <c:v>0.64628889705337034</c:v>
                </c:pt>
                <c:pt idx="86">
                  <c:v>0.64651016128686944</c:v>
                </c:pt>
                <c:pt idx="87">
                  <c:v>0.64672889904804842</c:v>
                </c:pt>
                <c:pt idx="88">
                  <c:v>0.64694519615927859</c:v>
                </c:pt>
                <c:pt idx="89">
                  <c:v>0.64715913464235819</c:v>
                </c:pt>
                <c:pt idx="90">
                  <c:v>0.64737079292661714</c:v>
                </c:pt>
                <c:pt idx="91">
                  <c:v>0.64758024604349596</c:v>
                </c:pt>
                <c:pt idx="92">
                  <c:v>0.64778756580861419</c:v>
                </c:pt>
                <c:pt idx="93">
                  <c:v>0.64799282099225486</c:v>
                </c:pt>
                <c:pt idx="94">
                  <c:v>0.64819607747911856</c:v>
                </c:pt>
                <c:pt idx="95">
                  <c:v>0.64839739841812305</c:v>
                </c:pt>
                <c:pt idx="96">
                  <c:v>0.64859684436297027</c:v>
                </c:pt>
                <c:pt idx="97">
                  <c:v>0.64879447340413121</c:v>
                </c:pt>
                <c:pt idx="98">
                  <c:v>0.64899034129285904</c:v>
                </c:pt>
                <c:pt idx="99">
                  <c:v>0.6491845015577844</c:v>
                </c:pt>
                <c:pt idx="100">
                  <c:v>0.64937700561460521</c:v>
                </c:pt>
              </c:numCache>
            </c:numRef>
          </c:val>
          <c:smooth val="0"/>
          <c:extLst>
            <c:ext xmlns:c16="http://schemas.microsoft.com/office/drawing/2014/chart" uri="{C3380CC4-5D6E-409C-BE32-E72D297353CC}">
              <c16:uniqueId val="{00000010-DE77-4B43-A489-D4421C0BE99A}"/>
            </c:ext>
          </c:extLst>
        </c:ser>
        <c:ser>
          <c:idx val="8"/>
          <c:order val="8"/>
          <c:spPr>
            <a:ln w="25400">
              <a:solidFill>
                <a:srgbClr val="FF0000"/>
              </a:solidFill>
            </a:ln>
          </c:spPr>
          <c:marker>
            <c:symbol val="none"/>
          </c:marker>
          <c:val>
            <c:numRef>
              <c:f>'Calculations - Dual'!$AU$216:$AU$316</c:f>
              <c:numCache>
                <c:formatCode>0.000</c:formatCode>
                <c:ptCount val="101"/>
                <c:pt idx="0">
                  <c:v>6.1739825558965421E-3</c:v>
                </c:pt>
                <c:pt idx="1">
                  <c:v>6.197291580679689E-3</c:v>
                </c:pt>
                <c:pt idx="2">
                  <c:v>1.2394583161359378E-2</c:v>
                </c:pt>
                <c:pt idx="3">
                  <c:v>1.859187474203907E-2</c:v>
                </c:pt>
                <c:pt idx="4">
                  <c:v>2.4789166322718756E-2</c:v>
                </c:pt>
                <c:pt idx="5">
                  <c:v>3.0986457903398452E-2</c:v>
                </c:pt>
                <c:pt idx="6">
                  <c:v>3.7183749484078141E-2</c:v>
                </c:pt>
                <c:pt idx="7">
                  <c:v>4.3381041064757826E-2</c:v>
                </c:pt>
                <c:pt idx="8">
                  <c:v>4.9578332645437512E-2</c:v>
                </c:pt>
                <c:pt idx="9">
                  <c:v>5.5775624226117204E-2</c:v>
                </c:pt>
                <c:pt idx="10">
                  <c:v>6.1972915806796904E-2</c:v>
                </c:pt>
                <c:pt idx="11">
                  <c:v>6.8170207387476589E-2</c:v>
                </c:pt>
                <c:pt idx="12">
                  <c:v>7.4367498968156281E-2</c:v>
                </c:pt>
                <c:pt idx="13">
                  <c:v>8.0564790548835974E-2</c:v>
                </c:pt>
                <c:pt idx="14">
                  <c:v>8.6762082129515652E-2</c:v>
                </c:pt>
                <c:pt idx="15">
                  <c:v>9.2959373710195345E-2</c:v>
                </c:pt>
                <c:pt idx="16">
                  <c:v>9.9156665290875023E-2</c:v>
                </c:pt>
                <c:pt idx="17">
                  <c:v>0.10535395687155472</c:v>
                </c:pt>
                <c:pt idx="18">
                  <c:v>0.11155124845223441</c:v>
                </c:pt>
                <c:pt idx="19">
                  <c:v>0.1177485400329141</c:v>
                </c:pt>
                <c:pt idx="20">
                  <c:v>0.12394583161359381</c:v>
                </c:pt>
                <c:pt idx="21">
                  <c:v>0.13014312319427349</c:v>
                </c:pt>
                <c:pt idx="22">
                  <c:v>0.13634041477495318</c:v>
                </c:pt>
                <c:pt idx="23">
                  <c:v>0.14253770635563284</c:v>
                </c:pt>
                <c:pt idx="24">
                  <c:v>0.14873499793631256</c:v>
                </c:pt>
                <c:pt idx="25">
                  <c:v>0.1549322895169922</c:v>
                </c:pt>
                <c:pt idx="26">
                  <c:v>0.16112958109767195</c:v>
                </c:pt>
                <c:pt idx="27">
                  <c:v>0.16732687267835161</c:v>
                </c:pt>
                <c:pt idx="28">
                  <c:v>0.1735241642590313</c:v>
                </c:pt>
                <c:pt idx="29">
                  <c:v>0.179721455839711</c:v>
                </c:pt>
                <c:pt idx="30">
                  <c:v>0.18591874742039069</c:v>
                </c:pt>
                <c:pt idx="31">
                  <c:v>0.19211603900107035</c:v>
                </c:pt>
                <c:pt idx="32">
                  <c:v>0.19831333058175005</c:v>
                </c:pt>
                <c:pt idx="33">
                  <c:v>0.20451062216242974</c:v>
                </c:pt>
                <c:pt idx="34">
                  <c:v>0.21228712137700781</c:v>
                </c:pt>
                <c:pt idx="35">
                  <c:v>0.22144730314273819</c:v>
                </c:pt>
                <c:pt idx="36">
                  <c:v>0.22459722466599735</c:v>
                </c:pt>
                <c:pt idx="37">
                  <c:v>0.22770393089821772</c:v>
                </c:pt>
                <c:pt idx="38">
                  <c:v>0.23076916247918347</c:v>
                </c:pt>
                <c:pt idx="39">
                  <c:v>0.23379454624582205</c:v>
                </c:pt>
                <c:pt idx="40">
                  <c:v>0.2367816053841274</c:v>
                </c:pt>
                <c:pt idx="41">
                  <c:v>0.23973176844557298</c:v>
                </c:pt>
                <c:pt idx="42">
                  <c:v>0.24264637737949457</c:v>
                </c:pt>
                <c:pt idx="43">
                  <c:v>0.24552669470960312</c:v>
                </c:pt>
                <c:pt idx="44">
                  <c:v>0.24837390996351869</c:v>
                </c:pt>
                <c:pt idx="45">
                  <c:v>0.25118914544820958</c:v>
                </c:pt>
                <c:pt idx="46">
                  <c:v>0.25397346145087546</c:v>
                </c:pt>
                <c:pt idx="47">
                  <c:v>0.25672786093362659</c:v>
                </c:pt>
                <c:pt idx="48">
                  <c:v>0.25945329378090565</c:v>
                </c:pt>
                <c:pt idx="49">
                  <c:v>0.2621506606506539</c:v>
                </c:pt>
                <c:pt idx="50">
                  <c:v>0.26482081647348887</c:v>
                </c:pt>
                <c:pt idx="51">
                  <c:v>0.26746457363843318</c:v>
                </c:pt>
                <c:pt idx="52">
                  <c:v>0.27008270489884412</c:v>
                </c:pt>
                <c:pt idx="53">
                  <c:v>0.27267594602800554</c:v>
                </c:pt>
                <c:pt idx="54">
                  <c:v>0.27524499825024601</c:v>
                </c:pt>
                <c:pt idx="55">
                  <c:v>0.27779053047034885</c:v>
                </c:pt>
                <c:pt idx="56">
                  <c:v>0.28031318132133715</c:v>
                </c:pt>
                <c:pt idx="57">
                  <c:v>0.28281356104840016</c:v>
                </c:pt>
                <c:pt idx="58">
                  <c:v>0.28529225324470459</c:v>
                </c:pt>
                <c:pt idx="59">
                  <c:v>0.28774981645308051</c:v>
                </c:pt>
                <c:pt idx="60">
                  <c:v>0.29018678564603584</c:v>
                </c:pt>
                <c:pt idx="61">
                  <c:v>0.29260367359520806</c:v>
                </c:pt>
                <c:pt idx="62">
                  <c:v>0.295000972140184</c:v>
                </c:pt>
                <c:pt idx="63">
                  <c:v>0.29737915336558041</c:v>
                </c:pt>
                <c:pt idx="64">
                  <c:v>0.29973867069436516</c:v>
                </c:pt>
                <c:pt idx="65">
                  <c:v>0.30207995990459013</c:v>
                </c:pt>
                <c:pt idx="66">
                  <c:v>0.30328030550632706</c:v>
                </c:pt>
                <c:pt idx="67">
                  <c:v>0.30132920995478851</c:v>
                </c:pt>
                <c:pt idx="68">
                  <c:v>0.29941510332288784</c:v>
                </c:pt>
                <c:pt idx="69">
                  <c:v>0.29396872961869769</c:v>
                </c:pt>
                <c:pt idx="70">
                  <c:v>0.29425747179951028</c:v>
                </c:pt>
                <c:pt idx="71">
                  <c:v>0.29454368287957128</c:v>
                </c:pt>
                <c:pt idx="72">
                  <c:v>0.29482532424301283</c:v>
                </c:pt>
                <c:pt idx="73">
                  <c:v>0.29510014348212904</c:v>
                </c:pt>
                <c:pt idx="74">
                  <c:v>0.29536839986190278</c:v>
                </c:pt>
                <c:pt idx="75">
                  <c:v>0.29563033967623148</c:v>
                </c:pt>
                <c:pt idx="76">
                  <c:v>0.29588619704908897</c:v>
                </c:pt>
                <c:pt idx="77">
                  <c:v>0.29613619467703212</c:v>
                </c:pt>
                <c:pt idx="78">
                  <c:v>0.29638054451800094</c:v>
                </c:pt>
                <c:pt idx="79">
                  <c:v>0.29661944843089005</c:v>
                </c:pt>
                <c:pt idx="80">
                  <c:v>0.29685309876994842</c:v>
                </c:pt>
                <c:pt idx="81">
                  <c:v>0.29708167893768594</c:v>
                </c:pt>
                <c:pt idx="82">
                  <c:v>0.29730536389962769</c:v>
                </c:pt>
                <c:pt idx="83">
                  <c:v>0.29752432066395118</c:v>
                </c:pt>
                <c:pt idx="84">
                  <c:v>0.29773870872877162</c:v>
                </c:pt>
                <c:pt idx="85">
                  <c:v>0.29794868049959211</c:v>
                </c:pt>
                <c:pt idx="86">
                  <c:v>0.29815438167921454</c:v>
                </c:pt>
                <c:pt idx="87">
                  <c:v>0.29835595163220857</c:v>
                </c:pt>
                <c:pt idx="88">
                  <c:v>0.29855352372585442</c:v>
                </c:pt>
                <c:pt idx="89">
                  <c:v>0.298747225649311</c:v>
                </c:pt>
                <c:pt idx="90">
                  <c:v>0.29893717971261757</c:v>
                </c:pt>
                <c:pt idx="91">
                  <c:v>0.29912350312699693</c:v>
                </c:pt>
                <c:pt idx="92">
                  <c:v>0.29930630826781224</c:v>
                </c:pt>
                <c:pt idx="93">
                  <c:v>0.29948570292141613</c:v>
                </c:pt>
                <c:pt idx="94">
                  <c:v>0.29966179051703262</c:v>
                </c:pt>
                <c:pt idx="95">
                  <c:v>0.29983467034471889</c:v>
                </c:pt>
                <c:pt idx="96">
                  <c:v>0.30000443776037228</c:v>
                </c:pt>
                <c:pt idx="97">
                  <c:v>0.30017118437867318</c:v>
                </c:pt>
                <c:pt idx="98">
                  <c:v>0.30033499825478294</c:v>
                </c:pt>
                <c:pt idx="99">
                  <c:v>0.30049596405555318</c:v>
                </c:pt>
                <c:pt idx="100">
                  <c:v>0.30065416322095001</c:v>
                </c:pt>
              </c:numCache>
            </c:numRef>
          </c:val>
          <c:smooth val="0"/>
          <c:extLst>
            <c:ext xmlns:c16="http://schemas.microsoft.com/office/drawing/2014/chart" uri="{C3380CC4-5D6E-409C-BE32-E72D297353CC}">
              <c16:uniqueId val="{00000011-DE77-4B43-A489-D4421C0BE99A}"/>
            </c:ext>
          </c:extLst>
        </c:ser>
        <c:dLbls>
          <c:showLegendKey val="0"/>
          <c:showVal val="0"/>
          <c:showCatName val="0"/>
          <c:showSerName val="0"/>
          <c:showPercent val="0"/>
          <c:showBubbleSize val="0"/>
        </c:dLbls>
        <c:marker val="1"/>
        <c:smooth val="0"/>
        <c:axId val="450348160"/>
        <c:axId val="450345984"/>
      </c:lineChart>
      <c:catAx>
        <c:axId val="450325504"/>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344064"/>
        <c:crosses val="autoZero"/>
        <c:auto val="1"/>
        <c:lblAlgn val="ctr"/>
        <c:lblOffset val="100"/>
        <c:tickLblSkip val="20"/>
        <c:tickMarkSkip val="10"/>
        <c:noMultiLvlLbl val="0"/>
      </c:catAx>
      <c:valAx>
        <c:axId val="450344064"/>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325504"/>
        <c:crossesAt val="0"/>
        <c:crossBetween val="between"/>
        <c:majorUnit val="50"/>
        <c:minorUnit val="25"/>
      </c:valAx>
      <c:valAx>
        <c:axId val="450345984"/>
        <c:scaling>
          <c:orientation val="minMax"/>
          <c:max val="0.60000000000000009"/>
        </c:scaling>
        <c:delete val="0"/>
        <c:axPos val="r"/>
        <c:title>
          <c:tx>
            <c:rich>
              <a:bodyPr rot="-5400000" vert="horz"/>
              <a:lstStyle/>
              <a:p>
                <a:pPr>
                  <a:defRPr lang="ja-JP" sz="1600" b="1"/>
                </a:pPr>
                <a:r>
                  <a:rPr lang="en-US" sz="1600" b="1"/>
                  <a:t>Duty Cycle</a:t>
                </a:r>
              </a:p>
            </c:rich>
          </c:tx>
          <c:layout>
            <c:manualLayout>
              <c:xMode val="edge"/>
              <c:yMode val="edge"/>
              <c:x val="0.96331030941631779"/>
              <c:y val="0.35675917128406437"/>
            </c:manualLayout>
          </c:layout>
          <c:overlay val="0"/>
        </c:title>
        <c:numFmt formatCode="General" sourceLinked="0"/>
        <c:majorTickMark val="out"/>
        <c:minorTickMark val="none"/>
        <c:tickLblPos val="nextTo"/>
        <c:txPr>
          <a:bodyPr/>
          <a:lstStyle/>
          <a:p>
            <a:pPr>
              <a:defRPr lang="ja-JP" sz="1400" b="1"/>
            </a:pPr>
            <a:endParaRPr lang="en-US"/>
          </a:p>
        </c:txPr>
        <c:crossAx val="450348160"/>
        <c:crosses val="max"/>
        <c:crossBetween val="between"/>
        <c:majorUnit val="0.1"/>
        <c:minorUnit val="5.000000000000001E-2"/>
      </c:valAx>
      <c:catAx>
        <c:axId val="450348160"/>
        <c:scaling>
          <c:orientation val="minMax"/>
        </c:scaling>
        <c:delete val="1"/>
        <c:axPos val="b"/>
        <c:majorTickMark val="out"/>
        <c:minorTickMark val="none"/>
        <c:tickLblPos val="nextTo"/>
        <c:crossAx val="450345984"/>
        <c:crosses val="autoZero"/>
        <c:auto val="1"/>
        <c:lblAlgn val="ctr"/>
        <c:lblOffset val="100"/>
        <c:noMultiLvlLbl val="0"/>
      </c:catAx>
      <c:spPr>
        <a:noFill/>
        <a:ln w="25400">
          <a:noFill/>
        </a:ln>
      </c:spPr>
    </c:plotArea>
    <c:legend>
      <c:legendPos val="t"/>
      <c:legendEntry>
        <c:idx val="12"/>
        <c:delete val="1"/>
      </c:legendEntry>
      <c:legendEntry>
        <c:idx val="13"/>
        <c:delete val="1"/>
      </c:legendEntry>
      <c:legendEntry>
        <c:idx val="14"/>
        <c:delete val="1"/>
      </c:legendEntry>
      <c:legendEntry>
        <c:idx val="15"/>
        <c:delete val="1"/>
      </c:legendEntry>
      <c:legendEntry>
        <c:idx val="16"/>
        <c:delete val="1"/>
      </c:legendEntry>
      <c:legendEntry>
        <c:idx val="17"/>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Dual'!$AI$110:$AI$210</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2.2315423427516228</c:v>
                </c:pt>
                <c:pt idx="26">
                  <c:v>2.3215618295050136</c:v>
                </c:pt>
                <c:pt idx="27">
                  <c:v>2.4109871549848254</c:v>
                </c:pt>
                <c:pt idx="28">
                  <c:v>2.5009573700756866</c:v>
                </c:pt>
                <c:pt idx="29">
                  <c:v>2.590976392732188</c:v>
                </c:pt>
                <c:pt idx="30">
                  <c:v>2.6810442896570632</c:v>
                </c:pt>
                <c:pt idx="31">
                  <c:v>2.7711611276685888</c:v>
                </c:pt>
                <c:pt idx="32">
                  <c:v>2.8613269737008395</c:v>
                </c:pt>
                <c:pt idx="33">
                  <c:v>2.9515418948039405</c:v>
                </c:pt>
                <c:pt idx="34">
                  <c:v>3.04180595814432</c:v>
                </c:pt>
                <c:pt idx="35">
                  <c:v>3.1321192310049595</c:v>
                </c:pt>
                <c:pt idx="36">
                  <c:v>3.2224817807856536</c:v>
                </c:pt>
                <c:pt idx="37">
                  <c:v>3.3128936750032563</c:v>
                </c:pt>
                <c:pt idx="38">
                  <c:v>3.4033549812919466</c:v>
                </c:pt>
                <c:pt idx="39">
                  <c:v>3.4938657674034732</c:v>
                </c:pt>
                <c:pt idx="40">
                  <c:v>3.584426101207423</c:v>
                </c:pt>
                <c:pt idx="41">
                  <c:v>3.675036050691467</c:v>
                </c:pt>
                <c:pt idx="42">
                  <c:v>3.7656956839616273</c:v>
                </c:pt>
                <c:pt idx="43">
                  <c:v>3.8564050692425287</c:v>
                </c:pt>
                <c:pt idx="44">
                  <c:v>3.9471642748776641</c:v>
                </c:pt>
                <c:pt idx="45">
                  <c:v>4.0379733693296496</c:v>
                </c:pt>
                <c:pt idx="46">
                  <c:v>4.1288324211804888</c:v>
                </c:pt>
                <c:pt idx="47">
                  <c:v>4.2197414991318309</c:v>
                </c:pt>
                <c:pt idx="48">
                  <c:v>4.3107006720052379</c:v>
                </c:pt>
                <c:pt idx="49">
                  <c:v>4.4017100087424392</c:v>
                </c:pt>
                <c:pt idx="50">
                  <c:v>4.4927695784056025</c:v>
                </c:pt>
                <c:pt idx="51">
                  <c:v>4.583879450177597</c:v>
                </c:pt>
                <c:pt idx="52">
                  <c:v>4.6750396933622538</c:v>
                </c:pt>
                <c:pt idx="53">
                  <c:v>4.7662503773846332</c:v>
                </c:pt>
                <c:pt idx="54">
                  <c:v>4.8575115717912931</c:v>
                </c:pt>
                <c:pt idx="55">
                  <c:v>4.9488233462505562</c:v>
                </c:pt>
                <c:pt idx="56">
                  <c:v>5.0401857705527737</c:v>
                </c:pt>
                <c:pt idx="57">
                  <c:v>5.1315989146105947</c:v>
                </c:pt>
                <c:pt idx="58">
                  <c:v>5.2230628484592412</c:v>
                </c:pt>
                <c:pt idx="59">
                  <c:v>5.3145776422567712</c:v>
                </c:pt>
                <c:pt idx="60">
                  <c:v>5.4061433662843479</c:v>
                </c:pt>
                <c:pt idx="61">
                  <c:v>5.4977600909465183</c:v>
                </c:pt>
                <c:pt idx="62">
                  <c:v>5.5894278867714782</c:v>
                </c:pt>
                <c:pt idx="63">
                  <c:v>5.681146824411349</c:v>
                </c:pt>
                <c:pt idx="64">
                  <c:v>5.7729169746424462</c:v>
                </c:pt>
                <c:pt idx="65">
                  <c:v>5.8647384083655654</c:v>
                </c:pt>
                <c:pt idx="66">
                  <c:v>5.9566111966062358</c:v>
                </c:pt>
                <c:pt idx="67">
                  <c:v>6.0485354105150186</c:v>
                </c:pt>
                <c:pt idx="68">
                  <c:v>6.1405111213677701</c:v>
                </c:pt>
                <c:pt idx="69">
                  <c:v>6.2325384005659199</c:v>
                </c:pt>
                <c:pt idx="70">
                  <c:v>6.3246173196367517</c:v>
                </c:pt>
                <c:pt idx="71">
                  <c:v>6.4167479502336802</c:v>
                </c:pt>
                <c:pt idx="72">
                  <c:v>6.508930364136531</c:v>
                </c:pt>
                <c:pt idx="73">
                  <c:v>6.6011646332518179</c:v>
                </c:pt>
                <c:pt idx="74">
                  <c:v>6.6934508296130275</c:v>
                </c:pt>
                <c:pt idx="75">
                  <c:v>6.7857890253809003</c:v>
                </c:pt>
                <c:pt idx="76">
                  <c:v>6.878179292843706</c:v>
                </c:pt>
                <c:pt idx="77">
                  <c:v>6.9706217044175363</c:v>
                </c:pt>
                <c:pt idx="78">
                  <c:v>7.0631163326465813</c:v>
                </c:pt>
                <c:pt idx="79">
                  <c:v>7.1556632502034239</c:v>
                </c:pt>
                <c:pt idx="80">
                  <c:v>7.2482625298893071</c:v>
                </c:pt>
                <c:pt idx="81">
                  <c:v>7.3409142446344315</c:v>
                </c:pt>
                <c:pt idx="82">
                  <c:v>7.4336184674982517</c:v>
                </c:pt>
                <c:pt idx="83">
                  <c:v>7.5263752716697461</c:v>
                </c:pt>
                <c:pt idx="84">
                  <c:v>7.6191847304677101</c:v>
                </c:pt>
                <c:pt idx="85">
                  <c:v>7.7120469173410493</c:v>
                </c:pt>
                <c:pt idx="86">
                  <c:v>7.8049619058690727</c:v>
                </c:pt>
                <c:pt idx="87">
                  <c:v>7.8979297697617614</c:v>
                </c:pt>
                <c:pt idx="88">
                  <c:v>7.9909505828600969</c:v>
                </c:pt>
                <c:pt idx="89">
                  <c:v>8.0840244191363198</c:v>
                </c:pt>
                <c:pt idx="90">
                  <c:v>8.1771513526942403</c:v>
                </c:pt>
                <c:pt idx="91">
                  <c:v>8.2703314577695224</c:v>
                </c:pt>
                <c:pt idx="92">
                  <c:v>8.3635648087299881</c:v>
                </c:pt>
                <c:pt idx="93">
                  <c:v>8.4568514800759065</c:v>
                </c:pt>
                <c:pt idx="94">
                  <c:v>8.5501915464402884</c:v>
                </c:pt>
                <c:pt idx="95">
                  <c:v>8.6435850825891851</c:v>
                </c:pt>
                <c:pt idx="96">
                  <c:v>8.7370321634219952</c:v>
                </c:pt>
                <c:pt idx="97">
                  <c:v>8.830532863971742</c:v>
                </c:pt>
                <c:pt idx="98">
                  <c:v>8.9240872594053933</c:v>
                </c:pt>
                <c:pt idx="99">
                  <c:v>9.0176954250241508</c:v>
                </c:pt>
                <c:pt idx="100">
                  <c:v>9.1113574362637575</c:v>
                </c:pt>
              </c:numCache>
            </c:numRef>
          </c:val>
          <c:smooth val="0"/>
          <c:extLst>
            <c:ext xmlns:c16="http://schemas.microsoft.com/office/drawing/2014/chart" uri="{C3380CC4-5D6E-409C-BE32-E72D297353CC}">
              <c16:uniqueId val="{00000000-FDDF-4115-9ADD-DED190BC6BDF}"/>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Dual'!$AI$5:$AI$105</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2.238877269653571</c:v>
                </c:pt>
                <c:pt idx="35">
                  <c:v>2.2715633383201093</c:v>
                </c:pt>
                <c:pt idx="36">
                  <c:v>2.3037857043198637</c:v>
                </c:pt>
                <c:pt idx="37">
                  <c:v>2.3355635600122602</c:v>
                </c:pt>
                <c:pt idx="38">
                  <c:v>2.3669148092581858</c:v>
                </c:pt>
                <c:pt idx="39">
                  <c:v>2.3978561853693989</c:v>
                </c:pt>
                <c:pt idx="40">
                  <c:v>2.4284033555286606</c:v>
                </c:pt>
                <c:pt idx="41">
                  <c:v>2.4585710135303045</c:v>
                </c:pt>
                <c:pt idx="42">
                  <c:v>2.4883729623993265</c:v>
                </c:pt>
                <c:pt idx="43">
                  <c:v>2.5178221882072154</c:v>
                </c:pt>
                <c:pt idx="44">
                  <c:v>2.5469309262045452</c:v>
                </c:pt>
                <c:pt idx="45">
                  <c:v>2.5757107202257234</c:v>
                </c:pt>
                <c:pt idx="46">
                  <c:v>2.6041724761839959</c:v>
                </c:pt>
                <c:pt idx="47">
                  <c:v>2.6323265103597722</c:v>
                </c:pt>
                <c:pt idx="48">
                  <c:v>2.6601825930885696</c:v>
                </c:pt>
                <c:pt idx="49">
                  <c:v>2.6877499883731741</c:v>
                </c:pt>
                <c:pt idx="50">
                  <c:v>2.7150374898753369</c:v>
                </c:pt>
                <c:pt idx="51">
                  <c:v>2.7420534536834147</c:v>
                </c:pt>
                <c:pt idx="52">
                  <c:v>2.7688058282020633</c:v>
                </c:pt>
                <c:pt idx="53">
                  <c:v>2.7953021814670209</c:v>
                </c:pt>
                <c:pt idx="54">
                  <c:v>2.8215497261510127</c:v>
                </c:pt>
                <c:pt idx="55">
                  <c:v>2.9094142323886567</c:v>
                </c:pt>
                <c:pt idx="56">
                  <c:v>2.9623928306240321</c:v>
                </c:pt>
                <c:pt idx="57">
                  <c:v>3.0153743161058242</c:v>
                </c:pt>
                <c:pt idx="58">
                  <c:v>3.0683586901287541</c:v>
                </c:pt>
                <c:pt idx="59">
                  <c:v>3.1213459539880017</c:v>
                </c:pt>
                <c:pt idx="60">
                  <c:v>3.1743361089792095</c:v>
                </c:pt>
                <c:pt idx="61">
                  <c:v>3.2273291563984814</c:v>
                </c:pt>
                <c:pt idx="62">
                  <c:v>3.280325097542383</c:v>
                </c:pt>
                <c:pt idx="63">
                  <c:v>3.3333239337079426</c:v>
                </c:pt>
                <c:pt idx="64">
                  <c:v>3.3863256661926502</c:v>
                </c:pt>
                <c:pt idx="65">
                  <c:v>3.4393302962944596</c:v>
                </c:pt>
                <c:pt idx="66">
                  <c:v>3.4923378253117847</c:v>
                </c:pt>
                <c:pt idx="67">
                  <c:v>3.5453482545435069</c:v>
                </c:pt>
                <c:pt idx="68">
                  <c:v>3.5983615852889677</c:v>
                </c:pt>
                <c:pt idx="69">
                  <c:v>3.6513778188479722</c:v>
                </c:pt>
                <c:pt idx="70">
                  <c:v>3.7043969565207884</c:v>
                </c:pt>
                <c:pt idx="71">
                  <c:v>3.7574189996081544</c:v>
                </c:pt>
                <c:pt idx="72">
                  <c:v>3.810443949411265</c:v>
                </c:pt>
                <c:pt idx="73">
                  <c:v>3.8634718072317802</c:v>
                </c:pt>
                <c:pt idx="74">
                  <c:v>3.9165025743718305</c:v>
                </c:pt>
                <c:pt idx="75">
                  <c:v>3.9695362521340067</c:v>
                </c:pt>
                <c:pt idx="76">
                  <c:v>4.022572841821364</c:v>
                </c:pt>
                <c:pt idx="77">
                  <c:v>4.075612344737424</c:v>
                </c:pt>
                <c:pt idx="78">
                  <c:v>4.1286547621861764</c:v>
                </c:pt>
                <c:pt idx="79">
                  <c:v>4.1817000954720758</c:v>
                </c:pt>
                <c:pt idx="80">
                  <c:v>4.234748345900039</c:v>
                </c:pt>
                <c:pt idx="81">
                  <c:v>4.2877995147754531</c:v>
                </c:pt>
                <c:pt idx="82">
                  <c:v>4.3408536034041685</c:v>
                </c:pt>
                <c:pt idx="83">
                  <c:v>4.3939106130925065</c:v>
                </c:pt>
                <c:pt idx="84">
                  <c:v>4.4469705451472539</c:v>
                </c:pt>
                <c:pt idx="85">
                  <c:v>4.5000334008756608</c:v>
                </c:pt>
                <c:pt idx="86">
                  <c:v>4.5530991815854494</c:v>
                </c:pt>
                <c:pt idx="87">
                  <c:v>4.6061678885848085</c:v>
                </c:pt>
                <c:pt idx="88">
                  <c:v>4.6592395231823929</c:v>
                </c:pt>
                <c:pt idx="89">
                  <c:v>4.7123140866873285</c:v>
                </c:pt>
                <c:pt idx="90">
                  <c:v>4.7653915804092062</c:v>
                </c:pt>
                <c:pt idx="91">
                  <c:v>4.8184720056580863</c:v>
                </c:pt>
                <c:pt idx="92">
                  <c:v>4.8715553637445019</c:v>
                </c:pt>
                <c:pt idx="93">
                  <c:v>4.9246416559794479</c:v>
                </c:pt>
                <c:pt idx="94">
                  <c:v>4.9777308836743943</c:v>
                </c:pt>
                <c:pt idx="95">
                  <c:v>5.0308230481412801</c:v>
                </c:pt>
                <c:pt idx="96">
                  <c:v>5.0839181506925124</c:v>
                </c:pt>
                <c:pt idx="97">
                  <c:v>5.1370161926409663</c:v>
                </c:pt>
                <c:pt idx="98">
                  <c:v>5.1901171752999886</c:v>
                </c:pt>
                <c:pt idx="99">
                  <c:v>5.2432210999834021</c:v>
                </c:pt>
                <c:pt idx="100">
                  <c:v>5.2963279680054915</c:v>
                </c:pt>
              </c:numCache>
            </c:numRef>
          </c:val>
          <c:smooth val="0"/>
          <c:extLst>
            <c:ext xmlns:c16="http://schemas.microsoft.com/office/drawing/2014/chart" uri="{C3380CC4-5D6E-409C-BE32-E72D297353CC}">
              <c16:uniqueId val="{00000001-FDDF-4115-9ADD-DED190BC6BDF}"/>
            </c:ext>
          </c:extLst>
        </c:ser>
        <c:ser>
          <c:idx val="2"/>
          <c:order val="2"/>
          <c:tx>
            <c:v>VIN-max</c:v>
          </c:tx>
          <c:spPr>
            <a:ln>
              <a:solidFill>
                <a:srgbClr val="FF0000"/>
              </a:solidFill>
              <a:prstDash val="solid"/>
            </a:ln>
          </c:spPr>
          <c:marker>
            <c:symbol val="none"/>
          </c:marker>
          <c:val>
            <c:numRef>
              <c:f>'Calculations - Dual'!$AI$216:$AI$316</c:f>
              <c:numCache>
                <c:formatCode>0.000</c:formatCode>
                <c:ptCount val="101"/>
                <c:pt idx="0">
                  <c:v>2.2222222222222223</c:v>
                </c:pt>
                <c:pt idx="1">
                  <c:v>2.2222222222222223</c:v>
                </c:pt>
                <c:pt idx="2">
                  <c:v>2.2222222222222223</c:v>
                </c:pt>
                <c:pt idx="3">
                  <c:v>2.2222222222222223</c:v>
                </c:pt>
                <c:pt idx="4">
                  <c:v>2.2222222222222223</c:v>
                </c:pt>
                <c:pt idx="5">
                  <c:v>2.2222222222222223</c:v>
                </c:pt>
                <c:pt idx="6">
                  <c:v>2.2222222222222223</c:v>
                </c:pt>
                <c:pt idx="7">
                  <c:v>2.2222222222222223</c:v>
                </c:pt>
                <c:pt idx="8">
                  <c:v>2.2222222222222223</c:v>
                </c:pt>
                <c:pt idx="9">
                  <c:v>2.2222222222222223</c:v>
                </c:pt>
                <c:pt idx="10">
                  <c:v>2.2222222222222223</c:v>
                </c:pt>
                <c:pt idx="11">
                  <c:v>2.2222222222222223</c:v>
                </c:pt>
                <c:pt idx="12">
                  <c:v>2.2222222222222223</c:v>
                </c:pt>
                <c:pt idx="13">
                  <c:v>2.2222222222222223</c:v>
                </c:pt>
                <c:pt idx="14">
                  <c:v>2.2222222222222223</c:v>
                </c:pt>
                <c:pt idx="15">
                  <c:v>2.2222222222222223</c:v>
                </c:pt>
                <c:pt idx="16">
                  <c:v>2.2222222222222223</c:v>
                </c:pt>
                <c:pt idx="17">
                  <c:v>2.2222222222222223</c:v>
                </c:pt>
                <c:pt idx="18">
                  <c:v>2.2222222222222223</c:v>
                </c:pt>
                <c:pt idx="19">
                  <c:v>2.2222222222222223</c:v>
                </c:pt>
                <c:pt idx="20">
                  <c:v>2.2222222222222223</c:v>
                </c:pt>
                <c:pt idx="21">
                  <c:v>2.2222222222222223</c:v>
                </c:pt>
                <c:pt idx="22">
                  <c:v>2.2222222222222223</c:v>
                </c:pt>
                <c:pt idx="23">
                  <c:v>2.2222222222222223</c:v>
                </c:pt>
                <c:pt idx="24">
                  <c:v>2.2222222222222223</c:v>
                </c:pt>
                <c:pt idx="25">
                  <c:v>2.2222222222222223</c:v>
                </c:pt>
                <c:pt idx="26">
                  <c:v>2.2222222222222223</c:v>
                </c:pt>
                <c:pt idx="27">
                  <c:v>2.2222222222222223</c:v>
                </c:pt>
                <c:pt idx="28">
                  <c:v>2.2222222222222223</c:v>
                </c:pt>
                <c:pt idx="29">
                  <c:v>2.2222222222222223</c:v>
                </c:pt>
                <c:pt idx="30">
                  <c:v>2.2222222222222223</c:v>
                </c:pt>
                <c:pt idx="31">
                  <c:v>2.2222222222222223</c:v>
                </c:pt>
                <c:pt idx="32">
                  <c:v>2.2222222222222223</c:v>
                </c:pt>
                <c:pt idx="33">
                  <c:v>2.2222222222222223</c:v>
                </c:pt>
                <c:pt idx="34">
                  <c:v>2.238877269653571</c:v>
                </c:pt>
                <c:pt idx="35">
                  <c:v>2.2715633383201093</c:v>
                </c:pt>
                <c:pt idx="36">
                  <c:v>2.3037857043198637</c:v>
                </c:pt>
                <c:pt idx="37">
                  <c:v>2.3355635600122602</c:v>
                </c:pt>
                <c:pt idx="38">
                  <c:v>2.3669148092581858</c:v>
                </c:pt>
                <c:pt idx="39">
                  <c:v>2.3978561853693989</c:v>
                </c:pt>
                <c:pt idx="40">
                  <c:v>2.4284033555286606</c:v>
                </c:pt>
                <c:pt idx="41">
                  <c:v>2.4585710135303045</c:v>
                </c:pt>
                <c:pt idx="42">
                  <c:v>2.4883729623993265</c:v>
                </c:pt>
                <c:pt idx="43">
                  <c:v>2.5178221882072154</c:v>
                </c:pt>
                <c:pt idx="44">
                  <c:v>2.5469309262045452</c:v>
                </c:pt>
                <c:pt idx="45">
                  <c:v>2.5757107202257234</c:v>
                </c:pt>
                <c:pt idx="46">
                  <c:v>2.6041724761839959</c:v>
                </c:pt>
                <c:pt idx="47">
                  <c:v>2.6323265103597722</c:v>
                </c:pt>
                <c:pt idx="48">
                  <c:v>2.6601825930885696</c:v>
                </c:pt>
                <c:pt idx="49">
                  <c:v>2.6877499883731741</c:v>
                </c:pt>
                <c:pt idx="50">
                  <c:v>2.7150374898753369</c:v>
                </c:pt>
                <c:pt idx="51">
                  <c:v>2.7420534536834147</c:v>
                </c:pt>
                <c:pt idx="52">
                  <c:v>2.7688058282020633</c:v>
                </c:pt>
                <c:pt idx="53">
                  <c:v>2.7953021814670209</c:v>
                </c:pt>
                <c:pt idx="54">
                  <c:v>2.8215497261510127</c:v>
                </c:pt>
                <c:pt idx="55">
                  <c:v>2.8475553424949318</c:v>
                </c:pt>
                <c:pt idx="56">
                  <c:v>2.8733255993708755</c:v>
                </c:pt>
                <c:pt idx="57">
                  <c:v>2.8988667736597642</c:v>
                </c:pt>
                <c:pt idx="58">
                  <c:v>2.9241848681054936</c:v>
                </c:pt>
                <c:pt idx="59">
                  <c:v>2.9492856277895014</c:v>
                </c:pt>
                <c:pt idx="60">
                  <c:v>2.9741745553538519</c:v>
                </c:pt>
                <c:pt idx="61">
                  <c:v>2.9988569250870998</c:v>
                </c:pt>
                <c:pt idx="62">
                  <c:v>3.0233377959750753</c:v>
                </c:pt>
                <c:pt idx="63">
                  <c:v>3.0476220238080707</c:v>
                </c:pt>
                <c:pt idx="64">
                  <c:v>3.071714272426485</c:v>
                </c:pt>
                <c:pt idx="65">
                  <c:v>3.0956190241787094</c:v>
                </c:pt>
                <c:pt idx="66">
                  <c:v>3.119340589657646</c:v>
                </c:pt>
                <c:pt idx="67">
                  <c:v>3.1428831167757871</c:v>
                </c:pt>
                <c:pt idx="68">
                  <c:v>3.1662505992329248</c:v>
                </c:pt>
                <c:pt idx="69">
                  <c:v>3.151198486069708</c:v>
                </c:pt>
                <c:pt idx="70">
                  <c:v>3.1968761654988795</c:v>
                </c:pt>
                <c:pt idx="71">
                  <c:v>3.2425594469705818</c:v>
                </c:pt>
                <c:pt idx="72">
                  <c:v>3.2882459473339369</c:v>
                </c:pt>
                <c:pt idx="73">
                  <c:v>3.3339329179592583</c:v>
                </c:pt>
                <c:pt idx="74">
                  <c:v>3.3796203591676539</c:v>
                </c:pt>
                <c:pt idx="75">
                  <c:v>3.425308271280286</c:v>
                </c:pt>
                <c:pt idx="76">
                  <c:v>3.470996654618367</c:v>
                </c:pt>
                <c:pt idx="77">
                  <c:v>3.5166855095031635</c:v>
                </c:pt>
                <c:pt idx="78">
                  <c:v>3.562374836255997</c:v>
                </c:pt>
                <c:pt idx="79">
                  <c:v>3.6080646351982399</c:v>
                </c:pt>
                <c:pt idx="80">
                  <c:v>3.6537549066513191</c:v>
                </c:pt>
                <c:pt idx="81">
                  <c:v>3.6994456509367137</c:v>
                </c:pt>
                <c:pt idx="82">
                  <c:v>3.7451368683759556</c:v>
                </c:pt>
                <c:pt idx="83">
                  <c:v>3.790828559290635</c:v>
                </c:pt>
                <c:pt idx="84">
                  <c:v>3.8365207240023862</c:v>
                </c:pt>
                <c:pt idx="85">
                  <c:v>3.8822133628329065</c:v>
                </c:pt>
                <c:pt idx="86">
                  <c:v>3.9279064761039395</c:v>
                </c:pt>
                <c:pt idx="87">
                  <c:v>3.9736000641372846</c:v>
                </c:pt>
                <c:pt idx="88">
                  <c:v>4.0192941272547964</c:v>
                </c:pt>
                <c:pt idx="89">
                  <c:v>4.0649886657783778</c:v>
                </c:pt>
                <c:pt idx="90">
                  <c:v>4.1106836800299904</c:v>
                </c:pt>
                <c:pt idx="91">
                  <c:v>4.1563791703316468</c:v>
                </c:pt>
                <c:pt idx="92">
                  <c:v>4.202075137005413</c:v>
                </c:pt>
                <c:pt idx="93">
                  <c:v>4.2477715803734082</c:v>
                </c:pt>
                <c:pt idx="94">
                  <c:v>4.2934685007578057</c:v>
                </c:pt>
                <c:pt idx="95">
                  <c:v>4.3391658984808323</c:v>
                </c:pt>
                <c:pt idx="96">
                  <c:v>4.3848637738647689</c:v>
                </c:pt>
                <c:pt idx="97">
                  <c:v>4.4305621272319451</c:v>
                </c:pt>
                <c:pt idx="98">
                  <c:v>4.4762609589047511</c:v>
                </c:pt>
                <c:pt idx="99">
                  <c:v>4.5219602692056267</c:v>
                </c:pt>
                <c:pt idx="100">
                  <c:v>4.5676600584570668</c:v>
                </c:pt>
              </c:numCache>
            </c:numRef>
          </c:val>
          <c:smooth val="0"/>
          <c:extLst>
            <c:ext xmlns:c16="http://schemas.microsoft.com/office/drawing/2014/chart" uri="{C3380CC4-5D6E-409C-BE32-E72D297353CC}">
              <c16:uniqueId val="{00000002-FDDF-4115-9ADD-DED190BC6BDF}"/>
            </c:ext>
          </c:extLst>
        </c:ser>
        <c:dLbls>
          <c:showLegendKey val="0"/>
          <c:showVal val="0"/>
          <c:showCatName val="0"/>
          <c:showSerName val="0"/>
          <c:showPercent val="0"/>
          <c:showBubbleSize val="0"/>
        </c:dLbls>
        <c:smooth val="0"/>
        <c:axId val="450384640"/>
        <c:axId val="450386560"/>
      </c:lineChart>
      <c:catAx>
        <c:axId val="450384640"/>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6560"/>
        <c:crosses val="autoZero"/>
        <c:auto val="1"/>
        <c:lblAlgn val="ctr"/>
        <c:lblOffset val="100"/>
        <c:tickLblSkip val="20"/>
        <c:tickMarkSkip val="10"/>
        <c:noMultiLvlLbl val="0"/>
      </c:catAx>
      <c:valAx>
        <c:axId val="450386560"/>
        <c:scaling>
          <c:orientation val="minMax"/>
          <c:max val="1.4"/>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Peak</a:t>
                </a:r>
                <a:r>
                  <a:rPr lang="en-US" sz="1200" b="1" baseline="0">
                    <a:solidFill>
                      <a:schemeClr val="tx1"/>
                    </a:solidFill>
                    <a:latin typeface="Arial" pitchFamily="34" charset="0"/>
                    <a:cs typeface="Arial" pitchFamily="34" charset="0"/>
                  </a:rPr>
                  <a:t> Primary Current (A)</a:t>
                </a:r>
                <a:endParaRPr lang="en-US" sz="1200" b="1">
                  <a:solidFill>
                    <a:schemeClr val="tx1"/>
                  </a:solidFill>
                  <a:latin typeface="Arial" pitchFamily="34" charset="0"/>
                  <a:cs typeface="Arial" pitchFamily="34" charset="0"/>
                </a:endParaRPr>
              </a:p>
            </c:rich>
          </c:tx>
          <c:layout>
            <c:manualLayout>
              <c:xMode val="edge"/>
              <c:yMode val="edge"/>
              <c:x val="1.8892754684734177E-2"/>
              <c:y val="0.30303578260037478"/>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384640"/>
        <c:crossesAt val="0"/>
        <c:crossBetween val="between"/>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val>
            <c:numRef>
              <c:f>'Calculations - Dual'!$AJ$110:$AJ$210</c:f>
              <c:numCache>
                <c:formatCode>0.000</c:formatCode>
                <c:ptCount val="101"/>
                <c:pt idx="0">
                  <c:v>1.0057142857142858</c:v>
                </c:pt>
                <c:pt idx="1">
                  <c:v>1.0057214102688214</c:v>
                </c:pt>
                <c:pt idx="2">
                  <c:v>1.0171642308064646</c:v>
                </c:pt>
                <c:pt idx="3">
                  <c:v>1.0171642308064646</c:v>
                </c:pt>
                <c:pt idx="4">
                  <c:v>1.022885641075286</c:v>
                </c:pt>
                <c:pt idx="5">
                  <c:v>1.0286070513441075</c:v>
                </c:pt>
                <c:pt idx="6">
                  <c:v>1.0343284616129291</c:v>
                </c:pt>
                <c:pt idx="7">
                  <c:v>1.0400498718817506</c:v>
                </c:pt>
                <c:pt idx="8">
                  <c:v>1.045771282150572</c:v>
                </c:pt>
                <c:pt idx="9">
                  <c:v>1.0514926924193935</c:v>
                </c:pt>
                <c:pt idx="10">
                  <c:v>1.0572141026882151</c:v>
                </c:pt>
                <c:pt idx="11">
                  <c:v>1.0629355129570366</c:v>
                </c:pt>
                <c:pt idx="12">
                  <c:v>1.068656923225858</c:v>
                </c:pt>
                <c:pt idx="13">
                  <c:v>1.0743783334946795</c:v>
                </c:pt>
                <c:pt idx="14">
                  <c:v>1.0800997437635012</c:v>
                </c:pt>
                <c:pt idx="15">
                  <c:v>1.0858211540323226</c:v>
                </c:pt>
                <c:pt idx="16">
                  <c:v>1.091542564301144</c:v>
                </c:pt>
                <c:pt idx="17">
                  <c:v>1.0972639745699655</c:v>
                </c:pt>
                <c:pt idx="18">
                  <c:v>1.1029853848387869</c:v>
                </c:pt>
                <c:pt idx="19">
                  <c:v>1.1087067951076086</c:v>
                </c:pt>
                <c:pt idx="20">
                  <c:v>1.1144282053764301</c:v>
                </c:pt>
                <c:pt idx="21">
                  <c:v>1.1201496156452515</c:v>
                </c:pt>
                <c:pt idx="22">
                  <c:v>1.1258710259140732</c:v>
                </c:pt>
                <c:pt idx="23">
                  <c:v>1.1315924361828946</c:v>
                </c:pt>
                <c:pt idx="24">
                  <c:v>1.1373138464517161</c:v>
                </c:pt>
                <c:pt idx="25">
                  <c:v>1.1430352567205375</c:v>
                </c:pt>
                <c:pt idx="26">
                  <c:v>1.273584894283549</c:v>
                </c:pt>
                <c:pt idx="27">
                  <c:v>1.3398258761204467</c:v>
                </c:pt>
                <c:pt idx="28">
                  <c:v>1.4064704798914551</c:v>
                </c:pt>
                <c:pt idx="29">
                  <c:v>1.4731512374147893</c:v>
                </c:pt>
                <c:pt idx="30">
                  <c:v>1.5398681980998821</c:v>
                </c:pt>
                <c:pt idx="31">
                  <c:v>1.606621411441753</c:v>
                </c:pt>
                <c:pt idx="32">
                  <c:v>1.6734109270211979</c:v>
                </c:pt>
                <c:pt idx="33">
                  <c:v>1.7402367945049764</c:v>
                </c:pt>
                <c:pt idx="34">
                  <c:v>1.8070990636459983</c:v>
                </c:pt>
                <c:pt idx="35">
                  <c:v>1.8739977842835089</c:v>
                </c:pt>
                <c:pt idx="36">
                  <c:v>1.9409330063432824</c:v>
                </c:pt>
                <c:pt idx="37">
                  <c:v>2.0079047798378031</c:v>
                </c:pt>
                <c:pt idx="38">
                  <c:v>2.0749131548664623</c:v>
                </c:pt>
                <c:pt idx="39">
                  <c:v>2.1419581816157414</c:v>
                </c:pt>
                <c:pt idx="40">
                  <c:v>2.2090399103594081</c:v>
                </c:pt>
                <c:pt idx="41">
                  <c:v>2.2761583914586998</c:v>
                </c:pt>
                <c:pt idx="42">
                  <c:v>2.3433136753625221</c:v>
                </c:pt>
                <c:pt idx="43">
                  <c:v>2.4105058126076342</c:v>
                </c:pt>
                <c:pt idx="44">
                  <c:v>2.4777348538188457</c:v>
                </c:pt>
                <c:pt idx="45">
                  <c:v>2.5450008497092051</c:v>
                </c:pt>
                <c:pt idx="46">
                  <c:v>2.6123038510801972</c:v>
                </c:pt>
                <c:pt idx="47">
                  <c:v>2.6796439088219324</c:v>
                </c:pt>
                <c:pt idx="48">
                  <c:v>2.7470210739133449</c:v>
                </c:pt>
                <c:pt idx="49">
                  <c:v>2.814435397422383</c:v>
                </c:pt>
                <c:pt idx="50">
                  <c:v>2.8818869305062078</c:v>
                </c:pt>
                <c:pt idx="51">
                  <c:v>2.9493757244113885</c:v>
                </c:pt>
                <c:pt idx="52">
                  <c:v>3.0169018304740973</c:v>
                </c:pt>
                <c:pt idx="53">
                  <c:v>3.0844653001203044</c:v>
                </c:pt>
                <c:pt idx="54">
                  <c:v>3.1520661848659781</c:v>
                </c:pt>
                <c:pt idx="55">
                  <c:v>3.219704536317284</c:v>
                </c:pt>
                <c:pt idx="56">
                  <c:v>3.2873804061707785</c:v>
                </c:pt>
                <c:pt idx="57">
                  <c:v>3.3550938462136095</c:v>
                </c:pt>
                <c:pt idx="58">
                  <c:v>3.422844908323718</c:v>
                </c:pt>
                <c:pt idx="59">
                  <c:v>3.4906336444700363</c:v>
                </c:pt>
                <c:pt idx="60">
                  <c:v>3.5584601067126851</c:v>
                </c:pt>
                <c:pt idx="61">
                  <c:v>3.6263243472031821</c:v>
                </c:pt>
                <c:pt idx="62">
                  <c:v>3.694226418184634</c:v>
                </c:pt>
                <c:pt idx="63">
                  <c:v>3.7621663719919454</c:v>
                </c:pt>
                <c:pt idx="64">
                  <c:v>3.830144261052018</c:v>
                </c:pt>
                <c:pt idx="65">
                  <c:v>3.8981601378839583</c:v>
                </c:pt>
                <c:pt idx="66">
                  <c:v>3.9662140550992691</c:v>
                </c:pt>
                <c:pt idx="67">
                  <c:v>4.0343060654020713</c:v>
                </c:pt>
                <c:pt idx="68">
                  <c:v>4.1024362215892944</c:v>
                </c:pt>
                <c:pt idx="69">
                  <c:v>4.170604576550887</c:v>
                </c:pt>
                <c:pt idx="70">
                  <c:v>4.2388111832700215</c:v>
                </c:pt>
                <c:pt idx="71">
                  <c:v>4.3070560948233023</c:v>
                </c:pt>
                <c:pt idx="72">
                  <c:v>4.3753393643809693</c:v>
                </c:pt>
                <c:pt idx="73">
                  <c:v>4.4436610452071079</c:v>
                </c:pt>
                <c:pt idx="74">
                  <c:v>4.5120211906598557</c:v>
                </c:pt>
                <c:pt idx="75">
                  <c:v>4.5804198541916135</c:v>
                </c:pt>
                <c:pt idx="76">
                  <c:v>4.6488570893492476</c:v>
                </c:pt>
                <c:pt idx="77">
                  <c:v>4.7173329497743062</c:v>
                </c:pt>
                <c:pt idx="78">
                  <c:v>4.7858474892032286</c:v>
                </c:pt>
                <c:pt idx="79">
                  <c:v>4.8544007614675566</c:v>
                </c:pt>
                <c:pt idx="80">
                  <c:v>4.9229928204941364</c:v>
                </c:pt>
                <c:pt idx="81">
                  <c:v>4.9916237203053404</c:v>
                </c:pt>
                <c:pt idx="82">
                  <c:v>5.0602935150192812</c:v>
                </c:pt>
                <c:pt idx="83">
                  <c:v>5.1290022588500177</c:v>
                </c:pt>
                <c:pt idx="84">
                  <c:v>5.1977500061077686</c:v>
                </c:pt>
                <c:pt idx="85">
                  <c:v>5.2665368111991313</c:v>
                </c:pt>
                <c:pt idx="86">
                  <c:v>5.3353627286272962</c:v>
                </c:pt>
                <c:pt idx="87">
                  <c:v>5.404227812992251</c:v>
                </c:pt>
                <c:pt idx="88">
                  <c:v>5.4731321189910176</c:v>
                </c:pt>
                <c:pt idx="89">
                  <c:v>5.5420757014178506</c:v>
                </c:pt>
                <c:pt idx="90">
                  <c:v>5.6110586151644579</c:v>
                </c:pt>
                <c:pt idx="91">
                  <c:v>5.6800809152202225</c:v>
                </c:pt>
                <c:pt idx="92">
                  <c:v>5.7491426566724186</c:v>
                </c:pt>
                <c:pt idx="93">
                  <c:v>5.8182438947064332</c:v>
                </c:pt>
                <c:pt idx="94">
                  <c:v>5.8873846846059754</c:v>
                </c:pt>
                <c:pt idx="95">
                  <c:v>5.9565650817533058</c:v>
                </c:pt>
                <c:pt idx="96">
                  <c:v>6.0257851416294619</c:v>
                </c:pt>
                <c:pt idx="97">
                  <c:v>6.0950449198144598</c:v>
                </c:pt>
                <c:pt idx="98">
                  <c:v>6.1643444719875342</c:v>
                </c:pt>
                <c:pt idx="99">
                  <c:v>6.2336838539273547</c:v>
                </c:pt>
                <c:pt idx="100">
                  <c:v>6.3030631215122481</c:v>
                </c:pt>
              </c:numCache>
            </c:numRef>
          </c:val>
          <c:smooth val="0"/>
          <c:extLst>
            <c:ext xmlns:c16="http://schemas.microsoft.com/office/drawing/2014/chart" uri="{C3380CC4-5D6E-409C-BE32-E72D297353CC}">
              <c16:uniqueId val="{00000000-3C9D-44D2-AF55-BD525814CC37}"/>
            </c:ext>
          </c:extLst>
        </c:ser>
        <c:ser>
          <c:idx val="0"/>
          <c:order val="1"/>
          <c:tx>
            <c:v>VIN-nom</c:v>
          </c:tx>
          <c:spPr>
            <a:ln w="28575">
              <a:solidFill>
                <a:srgbClr val="0000FF"/>
              </a:solidFill>
              <a:prstDash val="lgDash"/>
            </a:ln>
          </c:spPr>
          <c:marker>
            <c:symbol val="none"/>
          </c:marker>
          <c:cat>
            <c:numRef>
              <c:f>'Calculations - Dual'!$AL$5:$AL$105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Dual'!$AJ$5:$AJ$105</c:f>
              <c:numCache>
                <c:formatCode>0.000</c:formatCode>
                <c:ptCount val="101"/>
                <c:pt idx="0">
                  <c:v>1.0057142857142858</c:v>
                </c:pt>
                <c:pt idx="1">
                  <c:v>1.0057214102688214</c:v>
                </c:pt>
                <c:pt idx="2">
                  <c:v>1.0114428205376429</c:v>
                </c:pt>
                <c:pt idx="3">
                  <c:v>1.0171642308064646</c:v>
                </c:pt>
                <c:pt idx="4">
                  <c:v>1.022885641075286</c:v>
                </c:pt>
                <c:pt idx="5">
                  <c:v>1.0286070513441075</c:v>
                </c:pt>
                <c:pt idx="6">
                  <c:v>1.0343284616129291</c:v>
                </c:pt>
                <c:pt idx="7">
                  <c:v>1.0400498718817506</c:v>
                </c:pt>
                <c:pt idx="8">
                  <c:v>1.045771282150572</c:v>
                </c:pt>
                <c:pt idx="9">
                  <c:v>1.0514926924193935</c:v>
                </c:pt>
                <c:pt idx="10">
                  <c:v>1.0572141026882151</c:v>
                </c:pt>
                <c:pt idx="11">
                  <c:v>1.0629355129570366</c:v>
                </c:pt>
                <c:pt idx="12">
                  <c:v>1.068656923225858</c:v>
                </c:pt>
                <c:pt idx="13">
                  <c:v>1.0743783334946795</c:v>
                </c:pt>
                <c:pt idx="14">
                  <c:v>1.0800997437635012</c:v>
                </c:pt>
                <c:pt idx="15">
                  <c:v>1.0858211540323226</c:v>
                </c:pt>
                <c:pt idx="16">
                  <c:v>1.091542564301144</c:v>
                </c:pt>
                <c:pt idx="17">
                  <c:v>1.0972639745699655</c:v>
                </c:pt>
                <c:pt idx="18">
                  <c:v>1.1029853848387869</c:v>
                </c:pt>
                <c:pt idx="19">
                  <c:v>1.1087067951076086</c:v>
                </c:pt>
                <c:pt idx="20">
                  <c:v>1.1144282053764301</c:v>
                </c:pt>
                <c:pt idx="21">
                  <c:v>1.1201496156452515</c:v>
                </c:pt>
                <c:pt idx="22">
                  <c:v>1.1258710259140732</c:v>
                </c:pt>
                <c:pt idx="23">
                  <c:v>1.1315924361828946</c:v>
                </c:pt>
                <c:pt idx="24">
                  <c:v>1.1373138464517161</c:v>
                </c:pt>
                <c:pt idx="25">
                  <c:v>1.1430352567205375</c:v>
                </c:pt>
                <c:pt idx="26">
                  <c:v>1.148756666989359</c:v>
                </c:pt>
                <c:pt idx="27">
                  <c:v>1.1544780772581806</c:v>
                </c:pt>
                <c:pt idx="28">
                  <c:v>1.1601994875270021</c:v>
                </c:pt>
                <c:pt idx="29">
                  <c:v>1.1659208977958235</c:v>
                </c:pt>
                <c:pt idx="30">
                  <c:v>1.171642308064645</c:v>
                </c:pt>
                <c:pt idx="31">
                  <c:v>1.1773637183334666</c:v>
                </c:pt>
                <c:pt idx="32">
                  <c:v>1.1830851286022881</c:v>
                </c:pt>
                <c:pt idx="33">
                  <c:v>1.1888065388711095</c:v>
                </c:pt>
                <c:pt idx="34">
                  <c:v>1.1945279491399312</c:v>
                </c:pt>
                <c:pt idx="35">
                  <c:v>1.2365489748873235</c:v>
                </c:pt>
                <c:pt idx="36">
                  <c:v>1.260417394146401</c:v>
                </c:pt>
                <c:pt idx="37">
                  <c:v>1.2839565465111391</c:v>
                </c:pt>
                <c:pt idx="38">
                  <c:v>1.3071796941007137</c:v>
                </c:pt>
                <c:pt idx="39">
                  <c:v>1.3300992319608715</c:v>
                </c:pt>
                <c:pt idx="40">
                  <c:v>1.3527267654121764</c:v>
                </c:pt>
                <c:pt idx="41">
                  <c:v>1.3750731787467274</c:v>
                </c:pt>
                <c:pt idx="42">
                  <c:v>1.3971486964274846</c:v>
                </c:pt>
                <c:pt idx="43">
                  <c:v>1.4189629377666615</c:v>
                </c:pt>
                <c:pt idx="44">
                  <c:v>1.4405249659128316</c:v>
                </c:pt>
                <c:pt idx="45">
                  <c:v>1.4618433318544453</c:v>
                </c:pt>
                <c:pt idx="46">
                  <c:v>1.4829261140457581</c:v>
                </c:pt>
                <c:pt idx="47">
                  <c:v>1.5037809541759628</c:v>
                </c:pt>
                <c:pt idx="48">
                  <c:v>1.5244150895306277</c:v>
                </c:pt>
                <c:pt idx="49">
                  <c:v>1.5448353823340384</c:v>
                </c:pt>
                <c:pt idx="50">
                  <c:v>1.5650483464097145</c:v>
                </c:pt>
                <c:pt idx="51">
                  <c:v>1.585060171452735</c:v>
                </c:pt>
                <c:pt idx="52">
                  <c:v>1.6048767451702526</c:v>
                </c:pt>
                <c:pt idx="53">
                  <c:v>1.6245036735146656</c:v>
                </c:pt>
                <c:pt idx="54">
                  <c:v>1.6439462992065115</c:v>
                </c:pt>
                <c:pt idx="55">
                  <c:v>1.709031118641803</c:v>
                </c:pt>
                <c:pt idx="56">
                  <c:v>1.7482745247420812</c:v>
                </c:pt>
                <c:pt idx="57">
                  <c:v>1.7875200695434086</c:v>
                </c:pt>
                <c:pt idx="58">
                  <c:v>1.8267677540048384</c:v>
                </c:pt>
                <c:pt idx="59">
                  <c:v>1.8660175790857625</c:v>
                </c:pt>
                <c:pt idx="60">
                  <c:v>1.9052695457459163</c:v>
                </c:pt>
                <c:pt idx="61">
                  <c:v>1.944523654945377</c:v>
                </c:pt>
                <c:pt idx="62">
                  <c:v>1.9837799076445635</c:v>
                </c:pt>
                <c:pt idx="63">
                  <c:v>2.0230383048042371</c:v>
                </c:pt>
                <c:pt idx="64">
                  <c:v>2.062298847385502</c:v>
                </c:pt>
                <c:pt idx="65">
                  <c:v>2.1015615363498052</c:v>
                </c:pt>
                <c:pt idx="66">
                  <c:v>2.1408263726589349</c:v>
                </c:pt>
                <c:pt idx="67">
                  <c:v>2.1800933572750254</c:v>
                </c:pt>
                <c:pt idx="68">
                  <c:v>2.2193624911605521</c:v>
                </c:pt>
                <c:pt idx="69">
                  <c:v>2.2586337752783332</c:v>
                </c:pt>
                <c:pt idx="70">
                  <c:v>2.2979072105915304</c:v>
                </c:pt>
                <c:pt idx="71">
                  <c:v>2.3371827980636533</c:v>
                </c:pt>
                <c:pt idx="72">
                  <c:v>2.37646053865855</c:v>
                </c:pt>
                <c:pt idx="73">
                  <c:v>2.4157404333404133</c:v>
                </c:pt>
                <c:pt idx="74">
                  <c:v>2.4550224830737841</c:v>
                </c:pt>
                <c:pt idx="75">
                  <c:v>2.4943066888235439</c:v>
                </c:pt>
                <c:pt idx="76">
                  <c:v>2.5335930515549201</c:v>
                </c:pt>
                <c:pt idx="77">
                  <c:v>2.5728815722334826</c:v>
                </c:pt>
                <c:pt idx="78">
                  <c:v>2.6121722518251511</c:v>
                </c:pt>
                <c:pt idx="79">
                  <c:v>2.6514650912961875</c:v>
                </c:pt>
                <c:pt idx="80">
                  <c:v>2.6907600916131975</c:v>
                </c:pt>
                <c:pt idx="81">
                  <c:v>2.7300572537431336</c:v>
                </c:pt>
                <c:pt idx="82">
                  <c:v>2.7693565786532934</c:v>
                </c:pt>
                <c:pt idx="83">
                  <c:v>2.8086580673113213</c:v>
                </c:pt>
                <c:pt idx="84">
                  <c:v>2.8479617206852081</c:v>
                </c:pt>
                <c:pt idx="85">
                  <c:v>2.8872675397432879</c:v>
                </c:pt>
                <c:pt idx="86">
                  <c:v>2.926575525454242</c:v>
                </c:pt>
                <c:pt idx="87">
                  <c:v>2.9658856787871013</c:v>
                </c:pt>
                <c:pt idx="88">
                  <c:v>3.0051980007112373</c:v>
                </c:pt>
                <c:pt idx="89">
                  <c:v>3.0445124921963753</c:v>
                </c:pt>
                <c:pt idx="90">
                  <c:v>3.0838291542125806</c:v>
                </c:pt>
                <c:pt idx="91">
                  <c:v>3.1231479877302695</c:v>
                </c:pt>
                <c:pt idx="92">
                  <c:v>3.1624689937202071</c:v>
                </c:pt>
                <c:pt idx="93">
                  <c:v>3.2017921731535006</c:v>
                </c:pt>
                <c:pt idx="94">
                  <c:v>3.2411175270016086</c:v>
                </c:pt>
                <c:pt idx="95">
                  <c:v>3.2804450562363385</c:v>
                </c:pt>
                <c:pt idx="96">
                  <c:v>3.3197747618298443</c:v>
                </c:pt>
                <c:pt idx="97">
                  <c:v>3.3591066447546254</c:v>
                </c:pt>
                <c:pt idx="98">
                  <c:v>3.3984407059835302</c:v>
                </c:pt>
                <c:pt idx="99">
                  <c:v>3.4377769464897625</c:v>
                </c:pt>
                <c:pt idx="100">
                  <c:v>3.4771153672468662</c:v>
                </c:pt>
              </c:numCache>
            </c:numRef>
          </c:val>
          <c:smooth val="0"/>
          <c:extLst>
            <c:ext xmlns:c16="http://schemas.microsoft.com/office/drawing/2014/chart" uri="{C3380CC4-5D6E-409C-BE32-E72D297353CC}">
              <c16:uniqueId val="{00000001-3C9D-44D2-AF55-BD525814CC37}"/>
            </c:ext>
          </c:extLst>
        </c:ser>
        <c:ser>
          <c:idx val="2"/>
          <c:order val="2"/>
          <c:tx>
            <c:v>VIN-max</c:v>
          </c:tx>
          <c:spPr>
            <a:ln>
              <a:solidFill>
                <a:srgbClr val="FF0000"/>
              </a:solidFill>
              <a:prstDash val="solid"/>
            </a:ln>
          </c:spPr>
          <c:marker>
            <c:symbol val="none"/>
          </c:marker>
          <c:val>
            <c:numRef>
              <c:f>'Calculations - Dual'!$AJ$216:$AJ$316</c:f>
              <c:numCache>
                <c:formatCode>0.000</c:formatCode>
                <c:ptCount val="101"/>
                <c:pt idx="0">
                  <c:v>1.0057142857142858</c:v>
                </c:pt>
                <c:pt idx="1">
                  <c:v>1.0057213577078983</c:v>
                </c:pt>
                <c:pt idx="2">
                  <c:v>1.0114427154157968</c:v>
                </c:pt>
                <c:pt idx="3">
                  <c:v>1.0171640731236951</c:v>
                </c:pt>
                <c:pt idx="4">
                  <c:v>1.0228854308315936</c:v>
                </c:pt>
                <c:pt idx="5">
                  <c:v>1.0286067885394918</c:v>
                </c:pt>
                <c:pt idx="6">
                  <c:v>1.0343281462473901</c:v>
                </c:pt>
                <c:pt idx="7">
                  <c:v>1.0400495039552886</c:v>
                </c:pt>
                <c:pt idx="8">
                  <c:v>1.0457708616631869</c:v>
                </c:pt>
                <c:pt idx="9">
                  <c:v>1.0514922193710854</c:v>
                </c:pt>
                <c:pt idx="10">
                  <c:v>1.0572135770789837</c:v>
                </c:pt>
                <c:pt idx="11">
                  <c:v>1.0629349347868819</c:v>
                </c:pt>
                <c:pt idx="12">
                  <c:v>1.0686562924947804</c:v>
                </c:pt>
                <c:pt idx="13">
                  <c:v>1.0743776502026787</c:v>
                </c:pt>
                <c:pt idx="14">
                  <c:v>1.0800990079105772</c:v>
                </c:pt>
                <c:pt idx="15">
                  <c:v>1.0858203656184755</c:v>
                </c:pt>
                <c:pt idx="16">
                  <c:v>1.0915417233263738</c:v>
                </c:pt>
                <c:pt idx="17">
                  <c:v>1.0972630810342723</c:v>
                </c:pt>
                <c:pt idx="18">
                  <c:v>1.1029844387421706</c:v>
                </c:pt>
                <c:pt idx="19">
                  <c:v>1.1087057964500691</c:v>
                </c:pt>
                <c:pt idx="20">
                  <c:v>1.1144271541579673</c:v>
                </c:pt>
                <c:pt idx="21">
                  <c:v>1.1201485118658656</c:v>
                </c:pt>
                <c:pt idx="22">
                  <c:v>1.1258698695737641</c:v>
                </c:pt>
                <c:pt idx="23">
                  <c:v>1.1315912272816624</c:v>
                </c:pt>
                <c:pt idx="24">
                  <c:v>1.1373125849895609</c:v>
                </c:pt>
                <c:pt idx="25">
                  <c:v>1.1430339426974592</c:v>
                </c:pt>
                <c:pt idx="26">
                  <c:v>1.1487553004053577</c:v>
                </c:pt>
                <c:pt idx="27">
                  <c:v>1.1544766581132559</c:v>
                </c:pt>
                <c:pt idx="28">
                  <c:v>1.1601980158211542</c:v>
                </c:pt>
                <c:pt idx="29">
                  <c:v>1.1659193735290527</c:v>
                </c:pt>
                <c:pt idx="30">
                  <c:v>1.171640731236951</c:v>
                </c:pt>
                <c:pt idx="31">
                  <c:v>1.1773620889448493</c:v>
                </c:pt>
                <c:pt idx="32">
                  <c:v>1.1830834466527478</c:v>
                </c:pt>
                <c:pt idx="33">
                  <c:v>1.1888048043606461</c:v>
                </c:pt>
                <c:pt idx="34">
                  <c:v>1.1945261620685446</c:v>
                </c:pt>
                <c:pt idx="35">
                  <c:v>1.2365489748873235</c:v>
                </c:pt>
                <c:pt idx="36">
                  <c:v>1.260417394146401</c:v>
                </c:pt>
                <c:pt idx="37">
                  <c:v>1.2839565465111391</c:v>
                </c:pt>
                <c:pt idx="38">
                  <c:v>1.3071796941007137</c:v>
                </c:pt>
                <c:pt idx="39">
                  <c:v>1.3300992319608715</c:v>
                </c:pt>
                <c:pt idx="40">
                  <c:v>1.3527267654121764</c:v>
                </c:pt>
                <c:pt idx="41">
                  <c:v>1.3750731787467274</c:v>
                </c:pt>
                <c:pt idx="42">
                  <c:v>1.3971486964274846</c:v>
                </c:pt>
                <c:pt idx="43">
                  <c:v>1.4189629377666615</c:v>
                </c:pt>
                <c:pt idx="44">
                  <c:v>1.4405249659128316</c:v>
                </c:pt>
                <c:pt idx="45">
                  <c:v>1.4618433318544453</c:v>
                </c:pt>
                <c:pt idx="46">
                  <c:v>1.4829261140457581</c:v>
                </c:pt>
                <c:pt idx="47">
                  <c:v>1.5037809541759628</c:v>
                </c:pt>
                <c:pt idx="48">
                  <c:v>1.5244150895306277</c:v>
                </c:pt>
                <c:pt idx="49">
                  <c:v>1.5448353823340384</c:v>
                </c:pt>
                <c:pt idx="50">
                  <c:v>1.5650483464097145</c:v>
                </c:pt>
                <c:pt idx="51">
                  <c:v>1.585060171452735</c:v>
                </c:pt>
                <c:pt idx="52">
                  <c:v>1.6048767451702526</c:v>
                </c:pt>
                <c:pt idx="53">
                  <c:v>1.6245036735146656</c:v>
                </c:pt>
                <c:pt idx="54">
                  <c:v>1.6439462992065115</c:v>
                </c:pt>
                <c:pt idx="55">
                  <c:v>1.6632097187205255</c:v>
                </c:pt>
                <c:pt idx="56">
                  <c:v>1.6822987978878912</c:v>
                </c:pt>
                <c:pt idx="57">
                  <c:v>1.7012181862500309</c:v>
                </c:pt>
                <c:pt idx="58">
                  <c:v>1.7199723302839045</c:v>
                </c:pt>
                <c:pt idx="59">
                  <c:v>1.7385654856053918</c:v>
                </c:pt>
                <c:pt idx="60">
                  <c:v>1.7570017282456516</c:v>
                </c:pt>
                <c:pt idx="61">
                  <c:v>1.7752849650850944</c:v>
                </c:pt>
                <c:pt idx="62">
                  <c:v>1.7934189435206318</c:v>
                </c:pt>
                <c:pt idx="63">
                  <c:v>1.8114072604339617</c:v>
                </c:pt>
                <c:pt idx="64">
                  <c:v>1.829253370521676</c:v>
                </c:pt>
                <c:pt idx="65">
                  <c:v>1.8469605940418421</c:v>
                </c:pt>
                <c:pt idx="66">
                  <c:v>1.8645321240262398</c:v>
                </c:pt>
                <c:pt idx="67">
                  <c:v>1.8819710330026407</c:v>
                </c:pt>
                <c:pt idx="68">
                  <c:v>1.899280279267187</c:v>
                </c:pt>
                <c:pt idx="69">
                  <c:v>1.8881305658129524</c:v>
                </c:pt>
                <c:pt idx="70">
                  <c:v>1.9219658839086349</c:v>
                </c:pt>
                <c:pt idx="71">
                  <c:v>1.9558053516654514</c:v>
                </c:pt>
                <c:pt idx="72">
                  <c:v>1.9896472037864552</c:v>
                </c:pt>
                <c:pt idx="73">
                  <c:v>2.0234894042496561</c:v>
                </c:pt>
                <c:pt idx="74">
                  <c:v>2.0573319532929122</c:v>
                </c:pt>
                <c:pt idx="75">
                  <c:v>2.0911748511541211</c:v>
                </c:pt>
                <c:pt idx="76">
                  <c:v>2.1250180980712181</c:v>
                </c:pt>
                <c:pt idx="77">
                  <c:v>2.1588616942821783</c:v>
                </c:pt>
                <c:pt idx="78">
                  <c:v>2.192705640025018</c:v>
                </c:pt>
                <c:pt idx="79">
                  <c:v>2.2265499355377907</c:v>
                </c:pt>
                <c:pt idx="80">
                  <c:v>2.2603945810585904</c:v>
                </c:pt>
                <c:pt idx="81">
                  <c:v>2.2942395768255492</c:v>
                </c:pt>
                <c:pt idx="82">
                  <c:v>2.3280849230768395</c:v>
                </c:pt>
                <c:pt idx="83">
                  <c:v>2.3619306200506758</c:v>
                </c:pt>
                <c:pt idx="84">
                  <c:v>2.3957766679853068</c:v>
                </c:pt>
                <c:pt idx="85">
                  <c:v>2.4296230671190253</c:v>
                </c:pt>
                <c:pt idx="86">
                  <c:v>2.4634698176901608</c:v>
                </c:pt>
                <c:pt idx="87">
                  <c:v>2.4973169199370835</c:v>
                </c:pt>
                <c:pt idx="88">
                  <c:v>2.5311643740982031</c:v>
                </c:pt>
                <c:pt idx="89">
                  <c:v>2.565012180411967</c:v>
                </c:pt>
                <c:pt idx="90">
                  <c:v>2.5988603391168654</c:v>
                </c:pt>
                <c:pt idx="91">
                  <c:v>2.6327088504514258</c:v>
                </c:pt>
                <c:pt idx="92">
                  <c:v>2.666557714654215</c:v>
                </c:pt>
                <c:pt idx="93">
                  <c:v>2.7004069319638413</c:v>
                </c:pt>
                <c:pt idx="94">
                  <c:v>2.7342565026189507</c:v>
                </c:pt>
                <c:pt idx="95">
                  <c:v>2.7681064268582296</c:v>
                </c:pt>
                <c:pt idx="96">
                  <c:v>2.8019567049204053</c:v>
                </c:pt>
                <c:pt idx="97">
                  <c:v>2.8358073370442392</c:v>
                </c:pt>
                <c:pt idx="98">
                  <c:v>2.8696583234685402</c:v>
                </c:pt>
                <c:pt idx="99">
                  <c:v>2.9035096644321516</c:v>
                </c:pt>
                <c:pt idx="100">
                  <c:v>2.9373613601739592</c:v>
                </c:pt>
              </c:numCache>
            </c:numRef>
          </c:val>
          <c:smooth val="0"/>
          <c:extLst>
            <c:ext xmlns:c16="http://schemas.microsoft.com/office/drawing/2014/chart" uri="{C3380CC4-5D6E-409C-BE32-E72D297353CC}">
              <c16:uniqueId val="{00000002-3C9D-44D2-AF55-BD525814CC37}"/>
            </c:ext>
          </c:extLst>
        </c:ser>
        <c:dLbls>
          <c:showLegendKey val="0"/>
          <c:showVal val="0"/>
          <c:showCatName val="0"/>
          <c:showSerName val="0"/>
          <c:showPercent val="0"/>
          <c:showBubbleSize val="0"/>
        </c:dLbls>
        <c:smooth val="0"/>
        <c:axId val="450433408"/>
        <c:axId val="450435328"/>
      </c:lineChart>
      <c:catAx>
        <c:axId val="450433408"/>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5328"/>
        <c:crosses val="autoZero"/>
        <c:auto val="1"/>
        <c:lblAlgn val="ctr"/>
        <c:lblOffset val="100"/>
        <c:tickLblSkip val="20"/>
        <c:tickMarkSkip val="10"/>
        <c:noMultiLvlLbl val="0"/>
      </c:catAx>
      <c:valAx>
        <c:axId val="450435328"/>
        <c:scaling>
          <c:orientation val="minMax"/>
          <c:max val="2.2000000000000002"/>
          <c:min val="1"/>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COMP</a:t>
                </a:r>
                <a:r>
                  <a:rPr lang="en-US" sz="1200" b="1" baseline="0">
                    <a:solidFill>
                      <a:schemeClr val="tx1"/>
                    </a:solidFill>
                    <a:latin typeface="Arial" pitchFamily="34" charset="0"/>
                    <a:cs typeface="Arial" pitchFamily="34" charset="0"/>
                  </a:rPr>
                  <a:t> Voltage (V)</a:t>
                </a:r>
                <a:endParaRPr lang="en-US" sz="1200" b="1">
                  <a:solidFill>
                    <a:schemeClr val="tx1"/>
                  </a:solidFill>
                  <a:latin typeface="Arial" pitchFamily="34" charset="0"/>
                  <a:cs typeface="Arial" pitchFamily="34" charset="0"/>
                </a:endParaRPr>
              </a:p>
            </c:rich>
          </c:tx>
          <c:layout>
            <c:manualLayout>
              <c:xMode val="edge"/>
              <c:yMode val="edge"/>
              <c:x val="1.5939635452545176E-2"/>
              <c:y val="0.34603169988013316"/>
            </c:manualLayout>
          </c:layout>
          <c:overlay val="0"/>
          <c:spPr>
            <a:noFill/>
            <a:ln w="25400">
              <a:noFill/>
            </a:ln>
          </c:spPr>
        </c:title>
        <c:numFmt formatCode="#,##0.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0433408"/>
        <c:crossesAt val="0"/>
        <c:crossBetween val="between"/>
        <c:majorUnit val="0.2"/>
        <c:minorUnit val="0.1"/>
      </c:valAx>
      <c:spPr>
        <a:solidFill>
          <a:srgbClr val="FFFFFF"/>
        </a:solidFill>
        <a:ln w="25400">
          <a:noFill/>
        </a:ln>
      </c:spPr>
    </c:plotArea>
    <c:legend>
      <c:legendPos val="t"/>
      <c:layout>
        <c:manualLayout>
          <c:xMode val="edge"/>
          <c:yMode val="edge"/>
          <c:x val="0.50279342989103104"/>
          <c:y val="1.6951025877806759E-2"/>
          <c:w val="0.44417947756530435"/>
          <c:h val="8.979504932061760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200" b="1" i="0" u="none" strike="noStrike" baseline="0">
                <a:solidFill>
                  <a:srgbClr val="000000"/>
                </a:solidFill>
                <a:latin typeface="Arial"/>
                <a:ea typeface="Arial"/>
                <a:cs typeface="Arial"/>
              </a:defRPr>
            </a:pPr>
            <a:r>
              <a:rPr lang="en-US"/>
              <a:t>LM5185-Q1 Bode Plot</a:t>
            </a:r>
          </a:p>
        </c:rich>
      </c:tx>
      <c:layout>
        <c:manualLayout>
          <c:xMode val="edge"/>
          <c:yMode val="edge"/>
          <c:x val="0.38532555879494657"/>
          <c:y val="2.4449846994932085E-2"/>
        </c:manualLayout>
      </c:layout>
      <c:overlay val="0"/>
      <c:spPr>
        <a:noFill/>
        <a:ln w="25400">
          <a:noFill/>
        </a:ln>
      </c:spPr>
    </c:title>
    <c:autoTitleDeleted val="0"/>
    <c:plotArea>
      <c:layout>
        <c:manualLayout>
          <c:layoutTarget val="inner"/>
          <c:xMode val="edge"/>
          <c:yMode val="edge"/>
          <c:x val="0.10349854227405264"/>
          <c:y val="9.5803642121931945E-2"/>
          <c:w val="0.80272108843537593"/>
          <c:h val="0.71734049943922984"/>
        </c:manualLayout>
      </c:layout>
      <c:scatterChart>
        <c:scatterStyle val="smoothMarker"/>
        <c:varyColors val="0"/>
        <c:ser>
          <c:idx val="0"/>
          <c:order val="0"/>
          <c:tx>
            <c:strRef>
              <c:f>'Stability Calculations'!$W$12</c:f>
              <c:strCache>
                <c:ptCount val="1"/>
                <c:pt idx="0">
                  <c:v>Gain (dB)</c:v>
                </c:pt>
              </c:strCache>
            </c:strRef>
          </c:tx>
          <c:spPr>
            <a:ln w="25400">
              <a:solidFill>
                <a:srgbClr val="FF0000"/>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Calculations'!$AD$13:$AD$613</c:f>
              <c:numCache>
                <c:formatCode>0.00</c:formatCode>
                <c:ptCount val="601"/>
                <c:pt idx="0">
                  <c:v>79.587245169917381</c:v>
                </c:pt>
                <c:pt idx="1">
                  <c:v>78.789128685867993</c:v>
                </c:pt>
                <c:pt idx="2">
                  <c:v>77.990757024243564</c:v>
                </c:pt>
                <c:pt idx="3">
                  <c:v>77.192155877880509</c:v>
                </c:pt>
                <c:pt idx="4">
                  <c:v>76.393868939445156</c:v>
                </c:pt>
                <c:pt idx="5">
                  <c:v>75.594585952255699</c:v>
                </c:pt>
                <c:pt idx="6">
                  <c:v>74.795457097920419</c:v>
                </c:pt>
                <c:pt idx="7">
                  <c:v>73.995968723816631</c:v>
                </c:pt>
                <c:pt idx="8">
                  <c:v>73.196714775110493</c:v>
                </c:pt>
                <c:pt idx="9">
                  <c:v>72.397099805855902</c:v>
                </c:pt>
                <c:pt idx="10">
                  <c:v>71.597592039624985</c:v>
                </c:pt>
                <c:pt idx="11">
                  <c:v>70.798085151304051</c:v>
                </c:pt>
                <c:pt idx="12">
                  <c:v>69.99816285883297</c:v>
                </c:pt>
                <c:pt idx="13">
                  <c:v>69.19859978289675</c:v>
                </c:pt>
                <c:pt idx="14">
                  <c:v>68.398763401036021</c:v>
                </c:pt>
                <c:pt idx="15">
                  <c:v>67.598966744566852</c:v>
                </c:pt>
                <c:pt idx="16">
                  <c:v>66.799150510376592</c:v>
                </c:pt>
                <c:pt idx="17">
                  <c:v>65.999433447757511</c:v>
                </c:pt>
                <c:pt idx="18">
                  <c:v>65.199588241728989</c:v>
                </c:pt>
                <c:pt idx="19">
                  <c:v>64.39983470468475</c:v>
                </c:pt>
                <c:pt idx="20">
                  <c:v>63.600018367090797</c:v>
                </c:pt>
                <c:pt idx="21">
                  <c:v>62.800307697039884</c:v>
                </c:pt>
                <c:pt idx="22">
                  <c:v>62.000537870234929</c:v>
                </c:pt>
                <c:pt idx="23">
                  <c:v>61.200913808832667</c:v>
                </c:pt>
                <c:pt idx="24">
                  <c:v>60.401240453113452</c:v>
                </c:pt>
                <c:pt idx="25">
                  <c:v>59.601651851169891</c:v>
                </c:pt>
                <c:pt idx="26">
                  <c:v>58.801974255542063</c:v>
                </c:pt>
                <c:pt idx="27">
                  <c:v>58.00247756685944</c:v>
                </c:pt>
                <c:pt idx="28">
                  <c:v>57.203149360731153</c:v>
                </c:pt>
                <c:pt idx="29">
                  <c:v>56.404508812536378</c:v>
                </c:pt>
                <c:pt idx="30">
                  <c:v>55.605233292915948</c:v>
                </c:pt>
                <c:pt idx="31">
                  <c:v>54.806473553891934</c:v>
                </c:pt>
                <c:pt idx="32">
                  <c:v>54.007728599954845</c:v>
                </c:pt>
                <c:pt idx="33">
                  <c:v>53.209616841770035</c:v>
                </c:pt>
                <c:pt idx="34">
                  <c:v>52.411582194570066</c:v>
                </c:pt>
                <c:pt idx="35">
                  <c:v>51.614145299715773</c:v>
                </c:pt>
                <c:pt idx="36">
                  <c:v>50.817269591908961</c:v>
                </c:pt>
                <c:pt idx="37">
                  <c:v>50.020628966552721</c:v>
                </c:pt>
                <c:pt idx="38">
                  <c:v>49.225104837741696</c:v>
                </c:pt>
                <c:pt idx="39">
                  <c:v>48.430202800497085</c:v>
                </c:pt>
                <c:pt idx="40">
                  <c:v>47.636398771919055</c:v>
                </c:pt>
                <c:pt idx="41">
                  <c:v>46.843832813998063</c:v>
                </c:pt>
                <c:pt idx="42">
                  <c:v>46.052861953472515</c:v>
                </c:pt>
                <c:pt idx="43">
                  <c:v>45.263548884173716</c:v>
                </c:pt>
                <c:pt idx="44">
                  <c:v>44.476454346184923</c:v>
                </c:pt>
                <c:pt idx="45">
                  <c:v>43.691836030557255</c:v>
                </c:pt>
                <c:pt idx="46">
                  <c:v>42.910346069234649</c:v>
                </c:pt>
                <c:pt idx="47">
                  <c:v>42.132400307040932</c:v>
                </c:pt>
                <c:pt idx="48">
                  <c:v>41.358878781641494</c:v>
                </c:pt>
                <c:pt idx="49">
                  <c:v>40.590393219089805</c:v>
                </c:pt>
                <c:pt idx="50">
                  <c:v>39.82800971396901</c:v>
                </c:pt>
                <c:pt idx="51">
                  <c:v>39.072654260307118</c:v>
                </c:pt>
                <c:pt idx="52">
                  <c:v>38.325842606399931</c:v>
                </c:pt>
                <c:pt idx="53">
                  <c:v>37.589005236832584</c:v>
                </c:pt>
                <c:pt idx="54">
                  <c:v>36.864248061979374</c:v>
                </c:pt>
                <c:pt idx="55">
                  <c:v>36.152219110090329</c:v>
                </c:pt>
                <c:pt idx="56">
                  <c:v>35.455998369868304</c:v>
                </c:pt>
                <c:pt idx="57">
                  <c:v>34.777376701430036</c:v>
                </c:pt>
                <c:pt idx="58">
                  <c:v>34.119261835201364</c:v>
                </c:pt>
                <c:pt idx="59">
                  <c:v>33.483690947184741</c:v>
                </c:pt>
                <c:pt idx="60">
                  <c:v>32.873625863736422</c:v>
                </c:pt>
                <c:pt idx="61">
                  <c:v>32.291530405223163</c:v>
                </c:pt>
                <c:pt idx="62">
                  <c:v>31.739545124652849</c:v>
                </c:pt>
                <c:pt idx="63">
                  <c:v>31.220385427908859</c:v>
                </c:pt>
                <c:pt idx="64">
                  <c:v>30.735455562892454</c:v>
                </c:pt>
                <c:pt idx="65">
                  <c:v>30.286316256981756</c:v>
                </c:pt>
                <c:pt idx="66">
                  <c:v>29.873739598986919</c:v>
                </c:pt>
                <c:pt idx="67">
                  <c:v>29.497985748319099</c:v>
                </c:pt>
                <c:pt idx="68">
                  <c:v>29.158537850773531</c:v>
                </c:pt>
                <c:pt idx="69">
                  <c:v>28.854489994524272</c:v>
                </c:pt>
                <c:pt idx="70">
                  <c:v>28.58425380479499</c:v>
                </c:pt>
                <c:pt idx="71">
                  <c:v>28.345922678253068</c:v>
                </c:pt>
                <c:pt idx="72">
                  <c:v>28.13716010789927</c:v>
                </c:pt>
                <c:pt idx="73">
                  <c:v>27.955522211418153</c:v>
                </c:pt>
                <c:pt idx="74">
                  <c:v>27.798368040784275</c:v>
                </c:pt>
                <c:pt idx="75">
                  <c:v>27.663127989678792</c:v>
                </c:pt>
                <c:pt idx="76">
                  <c:v>27.547253066260303</c:v>
                </c:pt>
                <c:pt idx="77">
                  <c:v>27.448393252674602</c:v>
                </c:pt>
                <c:pt idx="78">
                  <c:v>27.364323540722314</c:v>
                </c:pt>
                <c:pt idx="79">
                  <c:v>27.293060667921033</c:v>
                </c:pt>
                <c:pt idx="80">
                  <c:v>27.23267279168391</c:v>
                </c:pt>
                <c:pt idx="81">
                  <c:v>27.181639150854508</c:v>
                </c:pt>
                <c:pt idx="82">
                  <c:v>27.138500456903841</c:v>
                </c:pt>
                <c:pt idx="83">
                  <c:v>27.102042162096946</c:v>
                </c:pt>
                <c:pt idx="84">
                  <c:v>27.071152910513</c:v>
                </c:pt>
                <c:pt idx="85">
                  <c:v>27.044912341519606</c:v>
                </c:pt>
                <c:pt idx="86">
                  <c:v>27.022500659316464</c:v>
                </c:pt>
                <c:pt idx="87">
                  <c:v>27.003200656613352</c:v>
                </c:pt>
                <c:pt idx="88">
                  <c:v>26.98641332399712</c:v>
                </c:pt>
                <c:pt idx="89">
                  <c:v>26.971580750596896</c:v>
                </c:pt>
                <c:pt idx="90">
                  <c:v>26.958224374983576</c:v>
                </c:pt>
                <c:pt idx="91">
                  <c:v>26.945902897878796</c:v>
                </c:pt>
                <c:pt idx="92">
                  <c:v>26.934209739363904</c:v>
                </c:pt>
                <c:pt idx="93">
                  <c:v>26.922752717321721</c:v>
                </c:pt>
                <c:pt idx="94">
                  <c:v>26.919882143344971</c:v>
                </c:pt>
                <c:pt idx="95">
                  <c:v>26.918432715706309</c:v>
                </c:pt>
                <c:pt idx="96">
                  <c:v>26.916995433073527</c:v>
                </c:pt>
                <c:pt idx="97">
                  <c:v>26.915536412908274</c:v>
                </c:pt>
                <c:pt idx="98">
                  <c:v>26.914088153856376</c:v>
                </c:pt>
                <c:pt idx="99">
                  <c:v>26.912616148358165</c:v>
                </c:pt>
                <c:pt idx="100">
                  <c:v>26.911153548487384</c:v>
                </c:pt>
                <c:pt idx="101">
                  <c:v>26.909666283171774</c:v>
                </c:pt>
                <c:pt idx="102">
                  <c:v>26.908187079500699</c:v>
                </c:pt>
                <c:pt idx="103">
                  <c:v>26.90668004274416</c:v>
                </c:pt>
                <c:pt idx="104">
                  <c:v>26.905179756362575</c:v>
                </c:pt>
                <c:pt idx="105">
                  <c:v>26.903650643428328</c:v>
                </c:pt>
                <c:pt idx="106">
                  <c:v>26.902126975626565</c:v>
                </c:pt>
                <c:pt idx="107">
                  <c:v>26.900573428628665</c:v>
                </c:pt>
                <c:pt idx="108">
                  <c:v>26.899024030378357</c:v>
                </c:pt>
                <c:pt idx="109">
                  <c:v>26.897442571553363</c:v>
                </c:pt>
                <c:pt idx="110">
                  <c:v>26.895863979710946</c:v>
                </c:pt>
                <c:pt idx="111">
                  <c:v>26.894250033679388</c:v>
                </c:pt>
                <c:pt idx="112">
                  <c:v>26.892637684925155</c:v>
                </c:pt>
                <c:pt idx="113">
                  <c:v>26.89098878770502</c:v>
                </c:pt>
                <c:pt idx="114">
                  <c:v>26.889340220399419</c:v>
                </c:pt>
                <c:pt idx="115">
                  <c:v>26.887652782991452</c:v>
                </c:pt>
                <c:pt idx="116">
                  <c:v>26.885964411324338</c:v>
                </c:pt>
                <c:pt idx="117">
                  <c:v>26.884234790550856</c:v>
                </c:pt>
                <c:pt idx="118">
                  <c:v>26.882502971289107</c:v>
                </c:pt>
                <c:pt idx="119">
                  <c:v>26.880728538459422</c:v>
                </c:pt>
                <c:pt idx="120">
                  <c:v>26.878950644406594</c:v>
                </c:pt>
                <c:pt idx="121">
                  <c:v>26.877127638497317</c:v>
                </c:pt>
                <c:pt idx="122">
                  <c:v>26.87529990623635</c:v>
                </c:pt>
                <c:pt idx="123">
                  <c:v>26.873423408528311</c:v>
                </c:pt>
                <c:pt idx="124">
                  <c:v>26.871540906861689</c:v>
                </c:pt>
                <c:pt idx="125">
                  <c:v>26.869608082725037</c:v>
                </c:pt>
                <c:pt idx="126">
                  <c:v>26.867667974584197</c:v>
                </c:pt>
                <c:pt idx="127">
                  <c:v>26.8656748291539</c:v>
                </c:pt>
                <c:pt idx="128">
                  <c:v>26.863673109502425</c:v>
                </c:pt>
                <c:pt idx="129">
                  <c:v>26.861615557836984</c:v>
                </c:pt>
                <c:pt idx="130">
                  <c:v>26.859548129298275</c:v>
                </c:pt>
                <c:pt idx="131">
                  <c:v>26.857421990249843</c:v>
                </c:pt>
                <c:pt idx="132">
                  <c:v>26.856354748089384</c:v>
                </c:pt>
                <c:pt idx="133">
                  <c:v>26.855284657140285</c:v>
                </c:pt>
                <c:pt idx="134">
                  <c:v>26.854186126544977</c:v>
                </c:pt>
                <c:pt idx="135">
                  <c:v>26.853084509112083</c:v>
                </c:pt>
                <c:pt idx="136">
                  <c:v>26.851979756086124</c:v>
                </c:pt>
                <c:pt idx="137">
                  <c:v>26.850871820213669</c:v>
                </c:pt>
                <c:pt idx="138">
                  <c:v>26.849735390182161</c:v>
                </c:pt>
                <c:pt idx="139">
                  <c:v>26.848595535764264</c:v>
                </c:pt>
                <c:pt idx="140">
                  <c:v>26.847452210969351</c:v>
                </c:pt>
                <c:pt idx="141">
                  <c:v>26.846305371240927</c:v>
                </c:pt>
                <c:pt idx="142">
                  <c:v>26.845127650008038</c:v>
                </c:pt>
                <c:pt idx="143">
                  <c:v>26.843946155066497</c:v>
                </c:pt>
                <c:pt idx="144">
                  <c:v>26.842760842978755</c:v>
                </c:pt>
                <c:pt idx="145">
                  <c:v>26.8415716716822</c:v>
                </c:pt>
                <c:pt idx="146">
                  <c:v>26.840350917464399</c:v>
                </c:pt>
                <c:pt idx="147">
                  <c:v>26.839126038301472</c:v>
                </c:pt>
                <c:pt idx="148">
                  <c:v>26.837896993316512</c:v>
                </c:pt>
                <c:pt idx="149">
                  <c:v>26.836663742948286</c:v>
                </c:pt>
                <c:pt idx="150">
                  <c:v>26.835397585836485</c:v>
                </c:pt>
                <c:pt idx="151">
                  <c:v>26.834126946874331</c:v>
                </c:pt>
                <c:pt idx="152">
                  <c:v>26.832851787689332</c:v>
                </c:pt>
                <c:pt idx="153">
                  <c:v>26.831572071168107</c:v>
                </c:pt>
                <c:pt idx="154">
                  <c:v>26.830257472513633</c:v>
                </c:pt>
                <c:pt idx="155">
                  <c:v>26.828938024618122</c:v>
                </c:pt>
                <c:pt idx="156">
                  <c:v>26.827613691515943</c:v>
                </c:pt>
                <c:pt idx="157">
                  <c:v>26.826284438448738</c:v>
                </c:pt>
                <c:pt idx="158">
                  <c:v>26.824918872859076</c:v>
                </c:pt>
                <c:pt idx="159">
                  <c:v>26.823548083793387</c:v>
                </c:pt>
                <c:pt idx="160">
                  <c:v>26.822172037661986</c:v>
                </c:pt>
                <c:pt idx="161">
                  <c:v>26.820790702032685</c:v>
                </c:pt>
                <c:pt idx="162">
                  <c:v>26.819372198938538</c:v>
                </c:pt>
                <c:pt idx="163">
                  <c:v>26.817948095978046</c:v>
                </c:pt>
                <c:pt idx="164">
                  <c:v>26.816518361952916</c:v>
                </c:pt>
                <c:pt idx="165">
                  <c:v>26.81508296677276</c:v>
                </c:pt>
                <c:pt idx="166">
                  <c:v>26.813607621130743</c:v>
                </c:pt>
                <c:pt idx="167">
                  <c:v>26.812126282098721</c:v>
                </c:pt>
                <c:pt idx="168">
                  <c:v>26.810638920768181</c:v>
                </c:pt>
                <c:pt idx="169">
                  <c:v>26.809145509294808</c:v>
                </c:pt>
                <c:pt idx="170">
                  <c:v>26.80761377620518</c:v>
                </c:pt>
                <c:pt idx="171">
                  <c:v>26.80607567504299</c:v>
                </c:pt>
                <c:pt idx="172">
                  <c:v>26.804531179350008</c:v>
                </c:pt>
                <c:pt idx="173">
                  <c:v>26.802980263681743</c:v>
                </c:pt>
                <c:pt idx="174">
                  <c:v>26.801383558907755</c:v>
                </c:pt>
                <c:pt idx="175">
                  <c:v>26.799780055347235</c:v>
                </c:pt>
                <c:pt idx="176">
                  <c:v>26.798169728687622</c:v>
                </c:pt>
                <c:pt idx="177">
                  <c:v>26.796552555596737</c:v>
                </c:pt>
                <c:pt idx="178">
                  <c:v>26.794888491520453</c:v>
                </c:pt>
                <c:pt idx="179">
                  <c:v>26.793217193592163</c:v>
                </c:pt>
                <c:pt idx="180">
                  <c:v>26.791538639712996</c:v>
                </c:pt>
                <c:pt idx="181">
                  <c:v>26.789852808730238</c:v>
                </c:pt>
                <c:pt idx="182">
                  <c:v>26.788125743272904</c:v>
                </c:pt>
                <c:pt idx="183">
                  <c:v>26.786391065138531</c:v>
                </c:pt>
                <c:pt idx="184">
                  <c:v>26.78464875472805</c:v>
                </c:pt>
                <c:pt idx="185">
                  <c:v>26.782898793339914</c:v>
                </c:pt>
                <c:pt idx="186">
                  <c:v>26.781092806157613</c:v>
                </c:pt>
                <c:pt idx="187">
                  <c:v>26.779278704939173</c:v>
                </c:pt>
                <c:pt idx="188">
                  <c:v>26.777456472172979</c:v>
                </c:pt>
                <c:pt idx="189">
                  <c:v>26.775626091224499</c:v>
                </c:pt>
                <c:pt idx="190">
                  <c:v>26.773752380086687</c:v>
                </c:pt>
                <c:pt idx="191">
                  <c:v>26.77187017457948</c:v>
                </c:pt>
                <c:pt idx="192">
                  <c:v>26.769979459731452</c:v>
                </c:pt>
                <c:pt idx="193">
                  <c:v>26.768080221401313</c:v>
                </c:pt>
                <c:pt idx="194">
                  <c:v>26.766122314718931</c:v>
                </c:pt>
                <c:pt idx="195">
                  <c:v>26.764155404166523</c:v>
                </c:pt>
                <c:pt idx="196">
                  <c:v>26.762179477016726</c:v>
                </c:pt>
                <c:pt idx="197">
                  <c:v>26.760194521350741</c:v>
                </c:pt>
                <c:pt idx="198">
                  <c:v>26.758156760680386</c:v>
                </c:pt>
                <c:pt idx="199">
                  <c:v>26.756109549063165</c:v>
                </c:pt>
                <c:pt idx="200">
                  <c:v>26.754052876233587</c:v>
                </c:pt>
                <c:pt idx="201">
                  <c:v>26.751986732701138</c:v>
                </c:pt>
                <c:pt idx="202">
                  <c:v>26.749866528288464</c:v>
                </c:pt>
                <c:pt idx="203">
                  <c:v>26.747736425290057</c:v>
                </c:pt>
                <c:pt idx="204">
                  <c:v>26.745596415941236</c:v>
                </c:pt>
                <c:pt idx="205">
                  <c:v>26.743446493219576</c:v>
                </c:pt>
                <c:pt idx="206">
                  <c:v>26.741233663131556</c:v>
                </c:pt>
                <c:pt idx="207">
                  <c:v>26.739010415829853</c:v>
                </c:pt>
                <c:pt idx="208">
                  <c:v>26.73677674603827</c:v>
                </c:pt>
                <c:pt idx="209">
                  <c:v>26.73453264920073</c:v>
                </c:pt>
                <c:pt idx="210">
                  <c:v>26.732216418066251</c:v>
                </c:pt>
                <c:pt idx="211">
                  <c:v>26.729889175208715</c:v>
                </c:pt>
                <c:pt idx="212">
                  <c:v>26.727550917917526</c:v>
                </c:pt>
                <c:pt idx="213">
                  <c:v>26.725201644188928</c:v>
                </c:pt>
                <c:pt idx="214">
                  <c:v>26.722794191698476</c:v>
                </c:pt>
                <c:pt idx="215">
                  <c:v>26.720375277142399</c:v>
                </c:pt>
                <c:pt idx="216">
                  <c:v>26.717944900529105</c:v>
                </c:pt>
                <c:pt idx="217">
                  <c:v>26.715503062541863</c:v>
                </c:pt>
                <c:pt idx="218">
                  <c:v>26.712993692510125</c:v>
                </c:pt>
                <c:pt idx="219">
                  <c:v>26.710472335996251</c:v>
                </c:pt>
                <c:pt idx="220">
                  <c:v>26.707938995790549</c:v>
                </c:pt>
                <c:pt idx="221">
                  <c:v>26.705393675335749</c:v>
                </c:pt>
                <c:pt idx="222">
                  <c:v>26.702779232476338</c:v>
                </c:pt>
                <c:pt idx="223">
                  <c:v>26.700152278541008</c:v>
                </c:pt>
                <c:pt idx="224">
                  <c:v>26.697512819196405</c:v>
                </c:pt>
                <c:pt idx="225">
                  <c:v>26.694860860739414</c:v>
                </c:pt>
                <c:pt idx="226">
                  <c:v>26.692129846841326</c:v>
                </c:pt>
                <c:pt idx="227">
                  <c:v>26.689385718402377</c:v>
                </c:pt>
                <c:pt idx="228">
                  <c:v>26.686628484141465</c:v>
                </c:pt>
                <c:pt idx="229">
                  <c:v>26.683858153393256</c:v>
                </c:pt>
                <c:pt idx="230">
                  <c:v>26.678141909835915</c:v>
                </c:pt>
                <c:pt idx="231">
                  <c:v>26.67526322086092</c:v>
                </c:pt>
                <c:pt idx="232">
                  <c:v>26.672370836921413</c:v>
                </c:pt>
                <c:pt idx="233">
                  <c:v>26.669395618260285</c:v>
                </c:pt>
                <c:pt idx="234">
                  <c:v>26.666406075129437</c:v>
                </c:pt>
                <c:pt idx="235">
                  <c:v>26.663402222810355</c:v>
                </c:pt>
                <c:pt idx="236">
                  <c:v>26.660384077170033</c:v>
                </c:pt>
                <c:pt idx="237">
                  <c:v>26.65728997957104</c:v>
                </c:pt>
                <c:pt idx="238">
                  <c:v>26.654181037906941</c:v>
                </c:pt>
                <c:pt idx="239">
                  <c:v>26.651057270806426</c:v>
                </c:pt>
                <c:pt idx="240">
                  <c:v>26.647918697461776</c:v>
                </c:pt>
                <c:pt idx="241">
                  <c:v>26.644684518247782</c:v>
                </c:pt>
                <c:pt idx="242">
                  <c:v>26.641434808610601</c:v>
                </c:pt>
                <c:pt idx="243">
                  <c:v>26.638169590994568</c:v>
                </c:pt>
                <c:pt idx="244">
                  <c:v>26.634888888398486</c:v>
                </c:pt>
                <c:pt idx="245">
                  <c:v>26.631519504241457</c:v>
                </c:pt>
                <c:pt idx="246">
                  <c:v>26.628133991480723</c:v>
                </c:pt>
                <c:pt idx="247">
                  <c:v>26.624732376372627</c:v>
                </c:pt>
                <c:pt idx="248">
                  <c:v>26.621314685712171</c:v>
                </c:pt>
                <c:pt idx="249">
                  <c:v>26.617796996838479</c:v>
                </c:pt>
                <c:pt idx="250">
                  <c:v>26.61426249726485</c:v>
                </c:pt>
                <c:pt idx="251">
                  <c:v>26.610711217454561</c:v>
                </c:pt>
                <c:pt idx="252">
                  <c:v>26.607143188399217</c:v>
                </c:pt>
                <c:pt idx="253">
                  <c:v>26.603482393527415</c:v>
                </c:pt>
                <c:pt idx="254">
                  <c:v>26.599804199884471</c:v>
                </c:pt>
                <c:pt idx="255">
                  <c:v>26.59610864208183</c:v>
                </c:pt>
                <c:pt idx="256">
                  <c:v>26.592395755242912</c:v>
                </c:pt>
                <c:pt idx="257">
                  <c:v>26.588568708706202</c:v>
                </c:pt>
                <c:pt idx="258">
                  <c:v>26.584723500108357</c:v>
                </c:pt>
                <c:pt idx="259">
                  <c:v>26.580860168960243</c:v>
                </c:pt>
                <c:pt idx="260">
                  <c:v>26.57697875527829</c:v>
                </c:pt>
                <c:pt idx="261">
                  <c:v>26.572990466214513</c:v>
                </c:pt>
                <c:pt idx="262">
                  <c:v>26.56898334956459</c:v>
                </c:pt>
                <c:pt idx="263">
                  <c:v>26.564957449685359</c:v>
                </c:pt>
                <c:pt idx="264">
                  <c:v>26.560912811426746</c:v>
                </c:pt>
                <c:pt idx="265">
                  <c:v>26.556758971900138</c:v>
                </c:pt>
                <c:pt idx="266">
                  <c:v>26.5525856482131</c:v>
                </c:pt>
                <c:pt idx="267">
                  <c:v>26.548392889780963</c:v>
                </c:pt>
                <c:pt idx="268">
                  <c:v>26.544180746498899</c:v>
                </c:pt>
                <c:pt idx="269">
                  <c:v>26.539846820394839</c:v>
                </c:pt>
                <c:pt idx="270">
                  <c:v>26.535492669082259</c:v>
                </c:pt>
                <c:pt idx="271">
                  <c:v>26.531118347637165</c:v>
                </c:pt>
                <c:pt idx="272">
                  <c:v>26.526723911605661</c:v>
                </c:pt>
                <c:pt idx="273">
                  <c:v>26.522205059891505</c:v>
                </c:pt>
                <c:pt idx="274">
                  <c:v>26.517665252818944</c:v>
                </c:pt>
                <c:pt idx="275">
                  <c:v>26.513104551401248</c:v>
                </c:pt>
                <c:pt idx="276">
                  <c:v>26.508523017110619</c:v>
                </c:pt>
                <c:pt idx="277">
                  <c:v>26.503825052965748</c:v>
                </c:pt>
                <c:pt idx="278">
                  <c:v>26.499105513781895</c:v>
                </c:pt>
                <c:pt idx="279">
                  <c:v>26.494364466329856</c:v>
                </c:pt>
                <c:pt idx="280">
                  <c:v>26.489601977822666</c:v>
                </c:pt>
                <c:pt idx="281">
                  <c:v>26.484688233793499</c:v>
                </c:pt>
                <c:pt idx="282">
                  <c:v>26.479752016489385</c:v>
                </c:pt>
                <c:pt idx="283">
                  <c:v>26.474793400106194</c:v>
                </c:pt>
                <c:pt idx="284">
                  <c:v>26.46981245927546</c:v>
                </c:pt>
                <c:pt idx="285">
                  <c:v>26.464710080959044</c:v>
                </c:pt>
                <c:pt idx="286">
                  <c:v>26.459584644384115</c:v>
                </c:pt>
                <c:pt idx="287">
                  <c:v>26.454436230014377</c:v>
                </c:pt>
                <c:pt idx="288">
                  <c:v>26.44926491872905</c:v>
                </c:pt>
                <c:pt idx="289">
                  <c:v>26.443936159012154</c:v>
                </c:pt>
                <c:pt idx="290">
                  <c:v>26.438583476462473</c:v>
                </c:pt>
                <c:pt idx="291">
                  <c:v>26.433206959676049</c:v>
                </c:pt>
                <c:pt idx="292">
                  <c:v>26.427806697652802</c:v>
                </c:pt>
                <c:pt idx="293">
                  <c:v>26.422257158207362</c:v>
                </c:pt>
                <c:pt idx="294">
                  <c:v>26.416682953087445</c:v>
                </c:pt>
                <c:pt idx="295">
                  <c:v>26.411084178833484</c:v>
                </c:pt>
                <c:pt idx="296">
                  <c:v>26.405460932371668</c:v>
                </c:pt>
                <c:pt idx="297">
                  <c:v>26.399685465917983</c:v>
                </c:pt>
                <c:pt idx="298">
                  <c:v>26.39388461542541</c:v>
                </c:pt>
                <c:pt idx="299">
                  <c:v>26.388058485702473</c:v>
                </c:pt>
                <c:pt idx="300">
                  <c:v>26.382207181922329</c:v>
                </c:pt>
                <c:pt idx="301">
                  <c:v>26.376200728048818</c:v>
                </c:pt>
                <c:pt idx="302">
                  <c:v>26.370168199004365</c:v>
                </c:pt>
                <c:pt idx="303">
                  <c:v>26.36410970818007</c:v>
                </c:pt>
                <c:pt idx="304">
                  <c:v>26.358025369307164</c:v>
                </c:pt>
                <c:pt idx="305">
                  <c:v>26.351758907492663</c:v>
                </c:pt>
                <c:pt idx="306">
                  <c:v>26.345465503759545</c:v>
                </c:pt>
                <c:pt idx="307">
                  <c:v>26.339145281802917</c:v>
                </c:pt>
                <c:pt idx="308">
                  <c:v>26.332798365634751</c:v>
                </c:pt>
                <c:pt idx="309">
                  <c:v>26.326290287444309</c:v>
                </c:pt>
                <c:pt idx="310">
                  <c:v>26.319754640406178</c:v>
                </c:pt>
                <c:pt idx="311">
                  <c:v>26.313191557470166</c:v>
                </c:pt>
                <c:pt idx="312">
                  <c:v>26.306601171870248</c:v>
                </c:pt>
                <c:pt idx="313">
                  <c:v>26.29982187505016</c:v>
                </c:pt>
                <c:pt idx="314">
                  <c:v>26.293014211374206</c:v>
                </c:pt>
                <c:pt idx="315">
                  <c:v>26.286178324898998</c:v>
                </c:pt>
                <c:pt idx="316">
                  <c:v>26.279314359931959</c:v>
                </c:pt>
                <c:pt idx="317">
                  <c:v>26.272258028910237</c:v>
                </c:pt>
                <c:pt idx="318">
                  <c:v>26.265172573273325</c:v>
                </c:pt>
                <c:pt idx="319">
                  <c:v>26.258058148604331</c:v>
                </c:pt>
                <c:pt idx="320">
                  <c:v>26.250914910697812</c:v>
                </c:pt>
                <c:pt idx="321">
                  <c:v>26.243575887564724</c:v>
                </c:pt>
                <c:pt idx="322">
                  <c:v>26.23620702611634</c:v>
                </c:pt>
                <c:pt idx="323">
                  <c:v>26.22880849385934</c:v>
                </c:pt>
                <c:pt idx="324">
                  <c:v>26.221380458466044</c:v>
                </c:pt>
                <c:pt idx="325">
                  <c:v>26.213753262444399</c:v>
                </c:pt>
                <c:pt idx="326">
                  <c:v>26.206095562204645</c:v>
                </c:pt>
                <c:pt idx="327">
                  <c:v>26.198407537547922</c:v>
                </c:pt>
                <c:pt idx="328">
                  <c:v>26.190689368388323</c:v>
                </c:pt>
                <c:pt idx="329">
                  <c:v>26.182755443673976</c:v>
                </c:pt>
                <c:pt idx="330">
                  <c:v>26.17479029644165</c:v>
                </c:pt>
                <c:pt idx="331">
                  <c:v>26.166794120095208</c:v>
                </c:pt>
                <c:pt idx="332">
                  <c:v>26.158767108091642</c:v>
                </c:pt>
                <c:pt idx="333">
                  <c:v>26.150534241678859</c:v>
                </c:pt>
                <c:pt idx="334">
                  <c:v>26.142269595012493</c:v>
                </c:pt>
                <c:pt idx="335">
                  <c:v>26.13397337448237</c:v>
                </c:pt>
                <c:pt idx="336">
                  <c:v>26.125645786463082</c:v>
                </c:pt>
                <c:pt idx="337">
                  <c:v>26.117081776504744</c:v>
                </c:pt>
                <c:pt idx="338">
                  <c:v>26.108485281006217</c:v>
                </c:pt>
                <c:pt idx="339">
                  <c:v>26.099856521727276</c:v>
                </c:pt>
                <c:pt idx="340">
                  <c:v>26.091195720334639</c:v>
                </c:pt>
                <c:pt idx="341">
                  <c:v>26.082294753015894</c:v>
                </c:pt>
                <c:pt idx="342">
                  <c:v>26.073360662110424</c:v>
                </c:pt>
                <c:pt idx="343">
                  <c:v>26.064393685154911</c:v>
                </c:pt>
                <c:pt idx="344">
                  <c:v>26.055394059504259</c:v>
                </c:pt>
                <c:pt idx="345">
                  <c:v>26.046164702676013</c:v>
                </c:pt>
                <c:pt idx="346">
                  <c:v>26.036901758077846</c:v>
                </c:pt>
                <c:pt idx="347">
                  <c:v>26.027605478222235</c:v>
                </c:pt>
                <c:pt idx="348">
                  <c:v>26.018276115341592</c:v>
                </c:pt>
                <c:pt idx="349">
                  <c:v>26.008685167151356</c:v>
                </c:pt>
                <c:pt idx="350">
                  <c:v>25.999060037292551</c:v>
                </c:pt>
                <c:pt idx="351">
                  <c:v>25.989400995865019</c:v>
                </c:pt>
                <c:pt idx="352">
                  <c:v>25.979708312574992</c:v>
                </c:pt>
                <c:pt idx="353">
                  <c:v>25.969750279415592</c:v>
                </c:pt>
                <c:pt idx="354">
                  <c:v>25.959757554112226</c:v>
                </c:pt>
                <c:pt idx="355">
                  <c:v>25.949730424682688</c:v>
                </c:pt>
                <c:pt idx="356">
                  <c:v>25.939669178623834</c:v>
                </c:pt>
                <c:pt idx="357">
                  <c:v>25.929353632090329</c:v>
                </c:pt>
                <c:pt idx="358">
                  <c:v>25.919003070196688</c:v>
                </c:pt>
                <c:pt idx="359">
                  <c:v>25.908617797834999</c:v>
                </c:pt>
                <c:pt idx="360">
                  <c:v>25.898198119238877</c:v>
                </c:pt>
                <c:pt idx="361">
                  <c:v>25.887491124043827</c:v>
                </c:pt>
                <c:pt idx="362">
                  <c:v>25.876748682224097</c:v>
                </c:pt>
                <c:pt idx="363">
                  <c:v>25.865971118333523</c:v>
                </c:pt>
                <c:pt idx="364">
                  <c:v>25.85515875610788</c:v>
                </c:pt>
                <c:pt idx="365">
                  <c:v>25.844070488499845</c:v>
                </c:pt>
                <c:pt idx="366">
                  <c:v>25.832946540154303</c:v>
                </c:pt>
                <c:pt idx="367">
                  <c:v>25.821787254078142</c:v>
                </c:pt>
                <c:pt idx="368">
                  <c:v>25.810592972289754</c:v>
                </c:pt>
                <c:pt idx="369">
                  <c:v>25.799088983812346</c:v>
                </c:pt>
                <c:pt idx="370">
                  <c:v>25.787548990349123</c:v>
                </c:pt>
                <c:pt idx="371">
                  <c:v>25.775973356256014</c:v>
                </c:pt>
                <c:pt idx="372">
                  <c:v>25.76436244470252</c:v>
                </c:pt>
                <c:pt idx="373">
                  <c:v>25.752453646272539</c:v>
                </c:pt>
                <c:pt idx="374">
                  <c:v>25.7405087258153</c:v>
                </c:pt>
                <c:pt idx="375">
                  <c:v>25.728528067625209</c:v>
                </c:pt>
                <c:pt idx="376">
                  <c:v>25.716512054601004</c:v>
                </c:pt>
                <c:pt idx="377">
                  <c:v>25.704163653596275</c:v>
                </c:pt>
                <c:pt idx="378">
                  <c:v>25.691778943085694</c:v>
                </c:pt>
                <c:pt idx="379">
                  <c:v>25.679358330268339</c:v>
                </c:pt>
                <c:pt idx="380">
                  <c:v>25.666902220705239</c:v>
                </c:pt>
                <c:pt idx="381">
                  <c:v>25.654141837544898</c:v>
                </c:pt>
                <c:pt idx="382">
                  <c:v>25.641345263680787</c:v>
                </c:pt>
                <c:pt idx="383">
                  <c:v>25.628512925978587</c:v>
                </c:pt>
                <c:pt idx="384">
                  <c:v>25.615645249421696</c:v>
                </c:pt>
                <c:pt idx="385">
                  <c:v>25.602422450469234</c:v>
                </c:pt>
                <c:pt idx="386">
                  <c:v>25.58916343685981</c:v>
                </c:pt>
                <c:pt idx="387">
                  <c:v>25.575868659662412</c:v>
                </c:pt>
                <c:pt idx="388">
                  <c:v>25.562538567772304</c:v>
                </c:pt>
                <c:pt idx="389">
                  <c:v>25.548866146972244</c:v>
                </c:pt>
                <c:pt idx="390">
                  <c:v>25.535157713405503</c:v>
                </c:pt>
                <c:pt idx="391">
                  <c:v>25.521413740416754</c:v>
                </c:pt>
                <c:pt idx="392">
                  <c:v>25.507634698875084</c:v>
                </c:pt>
                <c:pt idx="393">
                  <c:v>25.493510428048079</c:v>
                </c:pt>
                <c:pt idx="394">
                  <c:v>25.479350483352942</c:v>
                </c:pt>
                <c:pt idx="395">
                  <c:v>25.465155359935213</c:v>
                </c:pt>
                <c:pt idx="396">
                  <c:v>25.450925550144156</c:v>
                </c:pt>
                <c:pt idx="397">
                  <c:v>25.436314828614719</c:v>
                </c:pt>
                <c:pt idx="398">
                  <c:v>25.42166875262566</c:v>
                </c:pt>
                <c:pt idx="399">
                  <c:v>25.406987842007339</c:v>
                </c:pt>
                <c:pt idx="400">
                  <c:v>25.392272613426947</c:v>
                </c:pt>
                <c:pt idx="401">
                  <c:v>25.377190258909636</c:v>
                </c:pt>
                <c:pt idx="402">
                  <c:v>25.362073102103992</c:v>
                </c:pt>
                <c:pt idx="403">
                  <c:v>25.346921685080126</c:v>
                </c:pt>
                <c:pt idx="404">
                  <c:v>25.331736546372028</c:v>
                </c:pt>
                <c:pt idx="405">
                  <c:v>25.316165089046336</c:v>
                </c:pt>
                <c:pt idx="406">
                  <c:v>25.300559457899809</c:v>
                </c:pt>
                <c:pt idx="407">
                  <c:v>25.284920218187786</c:v>
                </c:pt>
                <c:pt idx="408">
                  <c:v>25.269247931222274</c:v>
                </c:pt>
                <c:pt idx="409">
                  <c:v>25.253170051067009</c:v>
                </c:pt>
                <c:pt idx="410">
                  <c:v>25.237058714240629</c:v>
                </c:pt>
                <c:pt idx="411">
                  <c:v>25.220914510043393</c:v>
                </c:pt>
                <c:pt idx="412">
                  <c:v>25.204738023388593</c:v>
                </c:pt>
                <c:pt idx="413">
                  <c:v>25.188153720382985</c:v>
                </c:pt>
                <c:pt idx="414">
                  <c:v>25.171536845587099</c:v>
                </c:pt>
                <c:pt idx="415">
                  <c:v>25.154888011215167</c:v>
                </c:pt>
                <c:pt idx="416">
                  <c:v>25.138207824632204</c:v>
                </c:pt>
                <c:pt idx="417">
                  <c:v>25.12110068981249</c:v>
                </c:pt>
                <c:pt idx="418">
                  <c:v>25.103961972353417</c:v>
                </c:pt>
                <c:pt idx="419">
                  <c:v>25.086792307977809</c:v>
                </c:pt>
                <c:pt idx="420">
                  <c:v>25.069592327059723</c:v>
                </c:pt>
                <c:pt idx="421">
                  <c:v>25.051980982667295</c:v>
                </c:pt>
                <c:pt idx="422">
                  <c:v>25.034339279546298</c:v>
                </c:pt>
                <c:pt idx="423">
                  <c:v>25.016667873523836</c:v>
                </c:pt>
                <c:pt idx="424">
                  <c:v>24.998967414586058</c:v>
                </c:pt>
                <c:pt idx="425">
                  <c:v>24.980801952382365</c:v>
                </c:pt>
                <c:pt idx="426">
                  <c:v>24.962607352641612</c:v>
                </c:pt>
                <c:pt idx="427">
                  <c:v>24.944384295465753</c:v>
                </c:pt>
                <c:pt idx="428">
                  <c:v>24.926133454540846</c:v>
                </c:pt>
                <c:pt idx="429">
                  <c:v>24.907433788795558</c:v>
                </c:pt>
                <c:pt idx="430">
                  <c:v>24.888706449389495</c:v>
                </c:pt>
                <c:pt idx="431">
                  <c:v>24.869952136904118</c:v>
                </c:pt>
                <c:pt idx="432">
                  <c:v>24.851171544941725</c:v>
                </c:pt>
                <c:pt idx="433">
                  <c:v>24.831941269218277</c:v>
                </c:pt>
                <c:pt idx="434">
                  <c:v>24.812684960757451</c:v>
                </c:pt>
                <c:pt idx="435">
                  <c:v>24.793403338592238</c:v>
                </c:pt>
                <c:pt idx="436">
                  <c:v>24.774097114206448</c:v>
                </c:pt>
                <c:pt idx="437">
                  <c:v>24.754305196321432</c:v>
                </c:pt>
                <c:pt idx="438">
                  <c:v>24.734488972820738</c:v>
                </c:pt>
                <c:pt idx="439">
                  <c:v>24.714649182940587</c:v>
                </c:pt>
                <c:pt idx="440">
                  <c:v>24.694786557737256</c:v>
                </c:pt>
                <c:pt idx="441">
                  <c:v>24.674437882082998</c:v>
                </c:pt>
                <c:pt idx="442">
                  <c:v>24.654066816581768</c:v>
                </c:pt>
                <c:pt idx="443">
                  <c:v>24.633674118253403</c:v>
                </c:pt>
                <c:pt idx="444">
                  <c:v>24.613260535304121</c:v>
                </c:pt>
                <c:pt idx="445">
                  <c:v>24.592360954219195</c:v>
                </c:pt>
                <c:pt idx="446">
                  <c:v>24.571441081059142</c:v>
                </c:pt>
                <c:pt idx="447">
                  <c:v>24.550501688029765</c:v>
                </c:pt>
                <c:pt idx="448">
                  <c:v>24.529543537892316</c:v>
                </c:pt>
                <c:pt idx="449">
                  <c:v>24.508063885140011</c:v>
                </c:pt>
                <c:pt idx="450">
                  <c:v>24.486566153080872</c:v>
                </c:pt>
                <c:pt idx="451">
                  <c:v>24.465051130281964</c:v>
                </c:pt>
                <c:pt idx="452">
                  <c:v>24.44351959517579</c:v>
                </c:pt>
                <c:pt idx="453">
                  <c:v>24.421485297885148</c:v>
                </c:pt>
                <c:pt idx="454">
                  <c:v>24.39943534795102</c:v>
                </c:pt>
                <c:pt idx="455">
                  <c:v>24.377370545333363</c:v>
                </c:pt>
                <c:pt idx="456">
                  <c:v>24.355291679212286</c:v>
                </c:pt>
                <c:pt idx="457">
                  <c:v>24.332675091183106</c:v>
                </c:pt>
                <c:pt idx="458">
                  <c:v>24.310045403755275</c:v>
                </c:pt>
                <c:pt idx="459">
                  <c:v>24.287403429057189</c:v>
                </c:pt>
                <c:pt idx="460">
                  <c:v>24.264749967737576</c:v>
                </c:pt>
                <c:pt idx="461">
                  <c:v>24.24156030026829</c:v>
                </c:pt>
                <c:pt idx="462">
                  <c:v>24.2183602668857</c:v>
                </c:pt>
                <c:pt idx="463">
                  <c:v>24.19515068852311</c:v>
                </c:pt>
                <c:pt idx="464">
                  <c:v>24.171932373954892</c:v>
                </c:pt>
                <c:pt idx="465">
                  <c:v>24.148161665726771</c:v>
                </c:pt>
                <c:pt idx="466">
                  <c:v>24.12438348256368</c:v>
                </c:pt>
                <c:pt idx="467">
                  <c:v>24.100598652610827</c:v>
                </c:pt>
                <c:pt idx="468">
                  <c:v>24.076807991163776</c:v>
                </c:pt>
                <c:pt idx="469">
                  <c:v>24.052467308681425</c:v>
                </c:pt>
                <c:pt idx="470">
                  <c:v>24.028122209602284</c:v>
                </c:pt>
                <c:pt idx="471">
                  <c:v>24.003773525622798</c:v>
                </c:pt>
                <c:pt idx="472">
                  <c:v>23.979422074931787</c:v>
                </c:pt>
                <c:pt idx="473">
                  <c:v>23.954487070891858</c:v>
                </c:pt>
                <c:pt idx="474">
                  <c:v>23.929550859599264</c:v>
                </c:pt>
                <c:pt idx="475">
                  <c:v>23.904614276196181</c:v>
                </c:pt>
                <c:pt idx="476">
                  <c:v>23.879678141616832</c:v>
                </c:pt>
                <c:pt idx="477">
                  <c:v>23.854161712625334</c:v>
                </c:pt>
                <c:pt idx="478">
                  <c:v>23.828647448169406</c:v>
                </c:pt>
                <c:pt idx="479">
                  <c:v>23.80313618282656</c:v>
                </c:pt>
                <c:pt idx="480">
                  <c:v>23.777628736310099</c:v>
                </c:pt>
                <c:pt idx="481">
                  <c:v>23.751544712869471</c:v>
                </c:pt>
                <c:pt idx="482">
                  <c:v>23.725466372049425</c:v>
                </c:pt>
                <c:pt idx="483">
                  <c:v>23.699394543826745</c:v>
                </c:pt>
                <c:pt idx="484">
                  <c:v>23.673330042709257</c:v>
                </c:pt>
                <c:pt idx="485">
                  <c:v>23.646674981143228</c:v>
                </c:pt>
                <c:pt idx="486">
                  <c:v>23.620029262947398</c:v>
                </c:pt>
                <c:pt idx="487">
                  <c:v>23.593393711141847</c:v>
                </c:pt>
                <c:pt idx="488">
                  <c:v>23.566769132687678</c:v>
                </c:pt>
                <c:pt idx="489">
                  <c:v>23.539522398839033</c:v>
                </c:pt>
                <c:pt idx="490">
                  <c:v>23.51228882873956</c:v>
                </c:pt>
                <c:pt idx="491">
                  <c:v>23.485069237540927</c:v>
                </c:pt>
                <c:pt idx="492">
                  <c:v>23.457864423721844</c:v>
                </c:pt>
                <c:pt idx="493">
                  <c:v>23.430042632109132</c:v>
                </c:pt>
                <c:pt idx="494">
                  <c:v>23.402237952839258</c:v>
                </c:pt>
                <c:pt idx="495">
                  <c:v>23.374451188809417</c:v>
                </c:pt>
                <c:pt idx="496">
                  <c:v>23.346683125699698</c:v>
                </c:pt>
                <c:pt idx="497">
                  <c:v>23.318285681476773</c:v>
                </c:pt>
                <c:pt idx="498">
                  <c:v>23.289909434192953</c:v>
                </c:pt>
                <c:pt idx="499">
                  <c:v>23.261555171677184</c:v>
                </c:pt>
                <c:pt idx="500">
                  <c:v>23.233223664028465</c:v>
                </c:pt>
                <c:pt idx="501">
                  <c:v>23.20425093916959</c:v>
                </c:pt>
                <c:pt idx="502">
                  <c:v>23.175303627557998</c:v>
                </c:pt>
                <c:pt idx="503">
                  <c:v>23.146382499019722</c:v>
                </c:pt>
                <c:pt idx="504">
                  <c:v>23.117488305175165</c:v>
                </c:pt>
                <c:pt idx="505">
                  <c:v>23.087959541140805</c:v>
                </c:pt>
                <c:pt idx="506">
                  <c:v>23.058460496536306</c:v>
                </c:pt>
                <c:pt idx="507">
                  <c:v>23.028991918804135</c:v>
                </c:pt>
                <c:pt idx="508">
                  <c:v>22.99955453679306</c:v>
                </c:pt>
                <c:pt idx="509">
                  <c:v>22.969471815028683</c:v>
                </c:pt>
                <c:pt idx="510">
                  <c:v>22.939423228380541</c:v>
                </c:pt>
                <c:pt idx="511">
                  <c:v>22.909409498983607</c:v>
                </c:pt>
                <c:pt idx="512">
                  <c:v>22.879431330038358</c:v>
                </c:pt>
                <c:pt idx="513">
                  <c:v>22.848779906694322</c:v>
                </c:pt>
                <c:pt idx="514">
                  <c:v>22.818167182199144</c:v>
                </c:pt>
                <c:pt idx="515">
                  <c:v>22.787593851592934</c:v>
                </c:pt>
                <c:pt idx="516">
                  <c:v>22.757060590648678</c:v>
                </c:pt>
                <c:pt idx="517">
                  <c:v>22.725862289535137</c:v>
                </c:pt>
                <c:pt idx="518">
                  <c:v>22.694707306832932</c:v>
                </c:pt>
                <c:pt idx="519">
                  <c:v>22.663596306163257</c:v>
                </c:pt>
                <c:pt idx="520">
                  <c:v>22.632529931650147</c:v>
                </c:pt>
                <c:pt idx="521">
                  <c:v>22.600789561997008</c:v>
                </c:pt>
                <c:pt idx="522">
                  <c:v>22.569097217017188</c:v>
                </c:pt>
                <c:pt idx="523">
                  <c:v>22.537453525892971</c:v>
                </c:pt>
                <c:pt idx="524">
                  <c:v>22.505859098141158</c:v>
                </c:pt>
                <c:pt idx="525">
                  <c:v>22.473582337898836</c:v>
                </c:pt>
                <c:pt idx="526">
                  <c:v>22.441358386274317</c:v>
                </c:pt>
                <c:pt idx="527">
                  <c:v>22.409187835004406</c:v>
                </c:pt>
                <c:pt idx="528">
                  <c:v>22.377071256057842</c:v>
                </c:pt>
                <c:pt idx="529">
                  <c:v>22.344264628662565</c:v>
                </c:pt>
                <c:pt idx="530">
                  <c:v>22.31151566185984</c:v>
                </c:pt>
                <c:pt idx="531">
                  <c:v>22.278824906970712</c:v>
                </c:pt>
                <c:pt idx="532">
                  <c:v>22.246192895514927</c:v>
                </c:pt>
                <c:pt idx="533">
                  <c:v>22.212846552059023</c:v>
                </c:pt>
                <c:pt idx="534">
                  <c:v>22.179562843882987</c:v>
                </c:pt>
                <c:pt idx="535">
                  <c:v>22.146342279752691</c:v>
                </c:pt>
                <c:pt idx="536">
                  <c:v>22.113185348631571</c:v>
                </c:pt>
                <c:pt idx="537">
                  <c:v>22.079341934355639</c:v>
                </c:pt>
                <c:pt idx="538">
                  <c:v>22.045566048374553</c:v>
                </c:pt>
                <c:pt idx="539">
                  <c:v>22.011858152485825</c:v>
                </c:pt>
                <c:pt idx="540">
                  <c:v>21.978218688840123</c:v>
                </c:pt>
                <c:pt idx="541">
                  <c:v>21.943852845565083</c:v>
                </c:pt>
                <c:pt idx="542">
                  <c:v>21.909559595264525</c:v>
                </c:pt>
                <c:pt idx="543">
                  <c:v>21.875339351451121</c:v>
                </c:pt>
                <c:pt idx="544">
                  <c:v>21.841192508143955</c:v>
                </c:pt>
                <c:pt idx="545">
                  <c:v>21.80633104487892</c:v>
                </c:pt>
                <c:pt idx="546">
                  <c:v>21.771547196195353</c:v>
                </c:pt>
                <c:pt idx="547">
                  <c:v>21.736841323997137</c:v>
                </c:pt>
                <c:pt idx="548">
                  <c:v>21.702213770966353</c:v>
                </c:pt>
                <c:pt idx="549">
                  <c:v>21.666866975013491</c:v>
                </c:pt>
                <c:pt idx="550">
                  <c:v>21.631602828091019</c:v>
                </c:pt>
                <c:pt idx="551">
                  <c:v>21.596421638038841</c:v>
                </c:pt>
                <c:pt idx="552">
                  <c:v>21.561323693825791</c:v>
                </c:pt>
                <c:pt idx="553">
                  <c:v>21.525486017536597</c:v>
                </c:pt>
                <c:pt idx="554">
                  <c:v>21.489736106787575</c:v>
                </c:pt>
                <c:pt idx="555">
                  <c:v>21.454074213396076</c:v>
                </c:pt>
                <c:pt idx="556">
                  <c:v>21.418500570704566</c:v>
                </c:pt>
                <c:pt idx="557">
                  <c:v>21.345960324322284</c:v>
                </c:pt>
                <c:pt idx="558">
                  <c:v>21.2737923434482</c:v>
                </c:pt>
                <c:pt idx="559">
                  <c:v>21.200356727926284</c:v>
                </c:pt>
                <c:pt idx="560">
                  <c:v>21.127313170827634</c:v>
                </c:pt>
                <c:pt idx="561">
                  <c:v>21.052943609311615</c:v>
                </c:pt>
                <c:pt idx="562">
                  <c:v>20.978986464010063</c:v>
                </c:pt>
                <c:pt idx="563">
                  <c:v>20.903868422203288</c:v>
                </c:pt>
                <c:pt idx="564">
                  <c:v>20.829181189345203</c:v>
                </c:pt>
                <c:pt idx="565">
                  <c:v>20.753058178768935</c:v>
                </c:pt>
                <c:pt idx="566">
                  <c:v>20.677387423197459</c:v>
                </c:pt>
                <c:pt idx="567">
                  <c:v>20.600324302190785</c:v>
                </c:pt>
                <c:pt idx="568">
                  <c:v>20.523734318650213</c:v>
                </c:pt>
                <c:pt idx="569">
                  <c:v>20.446098735334687</c:v>
                </c:pt>
                <c:pt idx="570">
                  <c:v>20.368952689648737</c:v>
                </c:pt>
                <c:pt idx="571">
                  <c:v>20.290197000264527</c:v>
                </c:pt>
                <c:pt idx="572">
                  <c:v>20.211954235508244</c:v>
                </c:pt>
                <c:pt idx="573">
                  <c:v>20.132743642041333</c:v>
                </c:pt>
                <c:pt idx="574">
                  <c:v>20.054060785579747</c:v>
                </c:pt>
                <c:pt idx="575">
                  <c:v>19.973860836298446</c:v>
                </c:pt>
                <c:pt idx="576">
                  <c:v>19.894210538354191</c:v>
                </c:pt>
                <c:pt idx="577">
                  <c:v>19.563014101950067</c:v>
                </c:pt>
                <c:pt idx="578">
                  <c:v>19.241324373328723</c:v>
                </c:pt>
                <c:pt idx="579">
                  <c:v>18.56807067888402</c:v>
                </c:pt>
                <c:pt idx="580">
                  <c:v>17.875763418697083</c:v>
                </c:pt>
                <c:pt idx="581">
                  <c:v>17.167661411304554</c:v>
                </c:pt>
                <c:pt idx="582">
                  <c:v>16.445410597369214</c:v>
                </c:pt>
                <c:pt idx="583">
                  <c:v>15.711448689159106</c:v>
                </c:pt>
                <c:pt idx="584">
                  <c:v>14.966925613111918</c:v>
                </c:pt>
                <c:pt idx="585">
                  <c:v>14.213770983984226</c:v>
                </c:pt>
                <c:pt idx="586">
                  <c:v>13.453195076691877</c:v>
                </c:pt>
                <c:pt idx="587">
                  <c:v>12.685930731345778</c:v>
                </c:pt>
                <c:pt idx="588">
                  <c:v>11.913696063685579</c:v>
                </c:pt>
                <c:pt idx="589">
                  <c:v>11.136716041466778</c:v>
                </c:pt>
                <c:pt idx="590">
                  <c:v>10.356003548404599</c:v>
                </c:pt>
                <c:pt idx="591">
                  <c:v>9.5721033169376533</c:v>
                </c:pt>
                <c:pt idx="592">
                  <c:v>8.7856408123527601</c:v>
                </c:pt>
                <c:pt idx="593">
                  <c:v>7.9968204257131177</c:v>
                </c:pt>
                <c:pt idx="594">
                  <c:v>7.2062178176225711</c:v>
                </c:pt>
                <c:pt idx="595">
                  <c:v>6.4139805832092298</c:v>
                </c:pt>
                <c:pt idx="596">
                  <c:v>5.6205257441004104</c:v>
                </c:pt>
                <c:pt idx="597">
                  <c:v>4.8258972913001488</c:v>
                </c:pt>
                <c:pt idx="598">
                  <c:v>4.0304700828226583</c:v>
                </c:pt>
                <c:pt idx="599">
                  <c:v>3.2341903714423608</c:v>
                </c:pt>
                <c:pt idx="600">
                  <c:v>2.4373052504825492</c:v>
                </c:pt>
              </c:numCache>
            </c:numRef>
          </c:yVal>
          <c:smooth val="0"/>
          <c:extLst>
            <c:ext xmlns:c16="http://schemas.microsoft.com/office/drawing/2014/chart" uri="{C3380CC4-5D6E-409C-BE32-E72D297353CC}">
              <c16:uniqueId val="{00000000-C943-44AE-BE69-B37F145E1EAF}"/>
            </c:ext>
          </c:extLst>
        </c:ser>
        <c:dLbls>
          <c:showLegendKey val="0"/>
          <c:showVal val="0"/>
          <c:showCatName val="0"/>
          <c:showSerName val="0"/>
          <c:showPercent val="0"/>
          <c:showBubbleSize val="0"/>
        </c:dLbls>
        <c:axId val="446572416"/>
        <c:axId val="446582784"/>
      </c:scatterChart>
      <c:scatterChart>
        <c:scatterStyle val="lineMarker"/>
        <c:varyColors val="0"/>
        <c:ser>
          <c:idx val="1"/>
          <c:order val="1"/>
          <c:tx>
            <c:strRef>
              <c:f>'Stability Calculations'!$Y$12</c:f>
              <c:strCache>
                <c:ptCount val="1"/>
                <c:pt idx="0">
                  <c:v>Phase Margin (°)</c:v>
                </c:pt>
              </c:strCache>
            </c:strRef>
          </c:tx>
          <c:spPr>
            <a:ln w="25400">
              <a:solidFill>
                <a:srgbClr val="0000FF"/>
              </a:solidFill>
              <a:prstDash val="solid"/>
            </a:ln>
          </c:spPr>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Calculations'!$AE$13:$AE$613</c:f>
              <c:numCache>
                <c:formatCode>0.00</c:formatCode>
                <c:ptCount val="601"/>
                <c:pt idx="0">
                  <c:v>-86.830970722434245</c:v>
                </c:pt>
                <c:pt idx="1">
                  <c:v>-87.085032837335888</c:v>
                </c:pt>
                <c:pt idx="2">
                  <c:v>-87.314462202933115</c:v>
                </c:pt>
                <c:pt idx="3">
                  <c:v>-87.52118718842874</c:v>
                </c:pt>
                <c:pt idx="4">
                  <c:v>-87.70683148026194</c:v>
                </c:pt>
                <c:pt idx="5">
                  <c:v>-87.87325605958145</c:v>
                </c:pt>
                <c:pt idx="6">
                  <c:v>-88.021607586837476</c:v>
                </c:pt>
                <c:pt idx="7">
                  <c:v>-88.153238077550753</c:v>
                </c:pt>
                <c:pt idx="8">
                  <c:v>-88.26916547592495</c:v>
                </c:pt>
                <c:pt idx="9">
                  <c:v>-88.370458985089741</c:v>
                </c:pt>
                <c:pt idx="10">
                  <c:v>-88.457913556916651</c:v>
                </c:pt>
                <c:pt idx="11">
                  <c:v>-88.532287075044763</c:v>
                </c:pt>
                <c:pt idx="12">
                  <c:v>-88.594240699804715</c:v>
                </c:pt>
                <c:pt idx="13">
                  <c:v>-88.644239494526133</c:v>
                </c:pt>
                <c:pt idx="14">
                  <c:v>-88.682750028073116</c:v>
                </c:pt>
                <c:pt idx="15">
                  <c:v>-88.710079452753888</c:v>
                </c:pt>
                <c:pt idx="16">
                  <c:v>-88.726462483827063</c:v>
                </c:pt>
                <c:pt idx="17">
                  <c:v>-88.732037516285942</c:v>
                </c:pt>
                <c:pt idx="18">
                  <c:v>-88.726852926206547</c:v>
                </c:pt>
                <c:pt idx="19">
                  <c:v>-88.710865352478237</c:v>
                </c:pt>
                <c:pt idx="20">
                  <c:v>-88.683936426684824</c:v>
                </c:pt>
                <c:pt idx="21">
                  <c:v>-88.645843904776896</c:v>
                </c:pt>
                <c:pt idx="22">
                  <c:v>-88.596257171253484</c:v>
                </c:pt>
                <c:pt idx="23">
                  <c:v>-88.534769477082264</c:v>
                </c:pt>
                <c:pt idx="24">
                  <c:v>-88.460845350869363</c:v>
                </c:pt>
                <c:pt idx="25">
                  <c:v>-88.373869688991746</c:v>
                </c:pt>
                <c:pt idx="26">
                  <c:v>-88.273083827784077</c:v>
                </c:pt>
                <c:pt idx="27">
                  <c:v>-88.157667141622696</c:v>
                </c:pt>
                <c:pt idx="28">
                  <c:v>-88.026645874797609</c:v>
                </c:pt>
                <c:pt idx="29">
                  <c:v>-87.879017155248832</c:v>
                </c:pt>
                <c:pt idx="30">
                  <c:v>-87.7132811810893</c:v>
                </c:pt>
                <c:pt idx="31">
                  <c:v>-87.528262507859552</c:v>
                </c:pt>
                <c:pt idx="32">
                  <c:v>-87.32228826671836</c:v>
                </c:pt>
                <c:pt idx="33">
                  <c:v>-87.093789621555814</c:v>
                </c:pt>
                <c:pt idx="34">
                  <c:v>-86.840689381353442</c:v>
                </c:pt>
                <c:pt idx="35">
                  <c:v>-86.56102566378722</c:v>
                </c:pt>
                <c:pt idx="36">
                  <c:v>-86.252457178339412</c:v>
                </c:pt>
                <c:pt idx="37">
                  <c:v>-85.912263025410795</c:v>
                </c:pt>
                <c:pt idx="38">
                  <c:v>-85.53799106516162</c:v>
                </c:pt>
                <c:pt idx="39">
                  <c:v>-85.126314052028818</c:v>
                </c:pt>
                <c:pt idx="40">
                  <c:v>-84.674067319857315</c:v>
                </c:pt>
                <c:pt idx="41">
                  <c:v>-84.177621858941848</c:v>
                </c:pt>
                <c:pt idx="42">
                  <c:v>-83.633161820039248</c:v>
                </c:pt>
                <c:pt idx="43">
                  <c:v>-83.03632283038813</c:v>
                </c:pt>
                <c:pt idx="44">
                  <c:v>-82.382742925480443</c:v>
                </c:pt>
                <c:pt idx="45">
                  <c:v>-81.667460308272254</c:v>
                </c:pt>
                <c:pt idx="46">
                  <c:v>-80.885485878962868</c:v>
                </c:pt>
                <c:pt idx="47">
                  <c:v>-80.031232113090923</c:v>
                </c:pt>
                <c:pt idx="48">
                  <c:v>-79.099246973034852</c:v>
                </c:pt>
                <c:pt idx="49">
                  <c:v>-78.083436698505267</c:v>
                </c:pt>
                <c:pt idx="50">
                  <c:v>-76.977978547492498</c:v>
                </c:pt>
                <c:pt idx="51">
                  <c:v>-75.776621549886954</c:v>
                </c:pt>
                <c:pt idx="52">
                  <c:v>-74.473913771722152</c:v>
                </c:pt>
                <c:pt idx="53">
                  <c:v>-73.064350943995677</c:v>
                </c:pt>
                <c:pt idx="54">
                  <c:v>-71.544031720858001</c:v>
                </c:pt>
                <c:pt idx="55">
                  <c:v>-69.906289926756713</c:v>
                </c:pt>
                <c:pt idx="56">
                  <c:v>-68.150461168714671</c:v>
                </c:pt>
                <c:pt idx="57">
                  <c:v>-66.274094002747347</c:v>
                </c:pt>
                <c:pt idx="58">
                  <c:v>-64.279236135737975</c:v>
                </c:pt>
                <c:pt idx="59">
                  <c:v>-62.167407871749411</c:v>
                </c:pt>
                <c:pt idx="60">
                  <c:v>-59.945531479454345</c:v>
                </c:pt>
                <c:pt idx="61">
                  <c:v>-57.622050749183849</c:v>
                </c:pt>
                <c:pt idx="62">
                  <c:v>-55.207517274196746</c:v>
                </c:pt>
                <c:pt idx="63">
                  <c:v>-52.719166379608708</c:v>
                </c:pt>
                <c:pt idx="64">
                  <c:v>-50.172769588231432</c:v>
                </c:pt>
                <c:pt idx="65">
                  <c:v>-47.589359765125145</c:v>
                </c:pt>
                <c:pt idx="66">
                  <c:v>-44.990454429436689</c:v>
                </c:pt>
                <c:pt idx="67">
                  <c:v>-42.398945034482288</c:v>
                </c:pt>
                <c:pt idx="68">
                  <c:v>-39.836483686432331</c:v>
                </c:pt>
                <c:pt idx="69">
                  <c:v>-37.325138236502355</c:v>
                </c:pt>
                <c:pt idx="70">
                  <c:v>-34.883960037683288</c:v>
                </c:pt>
                <c:pt idx="71">
                  <c:v>-32.53054294261667</c:v>
                </c:pt>
                <c:pt idx="72">
                  <c:v>-30.27862155752095</c:v>
                </c:pt>
                <c:pt idx="73">
                  <c:v>-28.139937352617864</c:v>
                </c:pt>
                <c:pt idx="74">
                  <c:v>-26.122109184862182</c:v>
                </c:pt>
                <c:pt idx="75">
                  <c:v>-24.230795747512261</c:v>
                </c:pt>
                <c:pt idx="76">
                  <c:v>-22.468391507474543</c:v>
                </c:pt>
                <c:pt idx="77">
                  <c:v>-20.836124217005803</c:v>
                </c:pt>
                <c:pt idx="78">
                  <c:v>-19.332793548317429</c:v>
                </c:pt>
                <c:pt idx="79">
                  <c:v>-17.956735637206503</c:v>
                </c:pt>
                <c:pt idx="80">
                  <c:v>-16.702244193909088</c:v>
                </c:pt>
                <c:pt idx="81">
                  <c:v>-15.567087296874176</c:v>
                </c:pt>
                <c:pt idx="82">
                  <c:v>-14.545995664160708</c:v>
                </c:pt>
                <c:pt idx="83">
                  <c:v>-13.6350455825701</c:v>
                </c:pt>
                <c:pt idx="84">
                  <c:v>-12.828927684140499</c:v>
                </c:pt>
                <c:pt idx="85">
                  <c:v>-12.12370475533077</c:v>
                </c:pt>
                <c:pt idx="86">
                  <c:v>-11.515109499446911</c:v>
                </c:pt>
                <c:pt idx="87">
                  <c:v>-10.999132019934727</c:v>
                </c:pt>
                <c:pt idx="88">
                  <c:v>-10.572963767193819</c:v>
                </c:pt>
                <c:pt idx="89">
                  <c:v>-10.233426047647717</c:v>
                </c:pt>
                <c:pt idx="90">
                  <c:v>-9.9783853225705066</c:v>
                </c:pt>
                <c:pt idx="91">
                  <c:v>-9.8060584106247468</c:v>
                </c:pt>
                <c:pt idx="92">
                  <c:v>-9.7152549898117044</c:v>
                </c:pt>
                <c:pt idx="93">
                  <c:v>-9.7053153469288738</c:v>
                </c:pt>
                <c:pt idx="94">
                  <c:v>-9.7154428466200056</c:v>
                </c:pt>
                <c:pt idx="95">
                  <c:v>-9.722446412531184</c:v>
                </c:pt>
                <c:pt idx="96">
                  <c:v>-9.7306264696198763</c:v>
                </c:pt>
                <c:pt idx="97">
                  <c:v>-9.7401722604252559</c:v>
                </c:pt>
                <c:pt idx="98">
                  <c:v>-9.7508671112497929</c:v>
                </c:pt>
                <c:pt idx="99">
                  <c:v>-9.7629616787965325</c:v>
                </c:pt>
                <c:pt idx="100">
                  <c:v>-9.7761789493335201</c:v>
                </c:pt>
                <c:pt idx="101">
                  <c:v>-9.7908206535318172</c:v>
                </c:pt>
                <c:pt idx="102">
                  <c:v>-9.8065580363484361</c:v>
                </c:pt>
                <c:pt idx="103">
                  <c:v>-9.8237674967930637</c:v>
                </c:pt>
                <c:pt idx="104">
                  <c:v>-9.8420481674820781</c:v>
                </c:pt>
                <c:pt idx="105">
                  <c:v>-9.8618260231726058</c:v>
                </c:pt>
                <c:pt idx="106">
                  <c:v>-9.8826498632197293</c:v>
                </c:pt>
                <c:pt idx="107">
                  <c:v>-9.904993030068356</c:v>
                </c:pt>
                <c:pt idx="108">
                  <c:v>-9.9283563554331149</c:v>
                </c:pt>
                <c:pt idx="109">
                  <c:v>-9.9532757154938754</c:v>
                </c:pt>
                <c:pt idx="110">
                  <c:v>-9.9791902827208609</c:v>
                </c:pt>
                <c:pt idx="111">
                  <c:v>-10.006717645441922</c:v>
                </c:pt>
                <c:pt idx="112">
                  <c:v>-10.035217305407286</c:v>
                </c:pt>
                <c:pt idx="113">
                  <c:v>-10.065351744595313</c:v>
                </c:pt>
                <c:pt idx="114">
                  <c:v>-10.096434877950758</c:v>
                </c:pt>
                <c:pt idx="115">
                  <c:v>-10.129193147239789</c:v>
                </c:pt>
                <c:pt idx="116">
                  <c:v>-10.162877110956456</c:v>
                </c:pt>
                <c:pt idx="117">
                  <c:v>-10.198277475213308</c:v>
                </c:pt>
                <c:pt idx="118">
                  <c:v>-10.234581063241947</c:v>
                </c:pt>
                <c:pt idx="119">
                  <c:v>-10.272619739914949</c:v>
                </c:pt>
                <c:pt idx="120">
                  <c:v>-10.311538583355407</c:v>
                </c:pt>
                <c:pt idx="121">
                  <c:v>-10.352233096593977</c:v>
                </c:pt>
                <c:pt idx="122">
                  <c:v>-10.393785258322414</c:v>
                </c:pt>
                <c:pt idx="123">
                  <c:v>-10.437179704876312</c:v>
                </c:pt>
                <c:pt idx="124">
                  <c:v>-10.481410706967623</c:v>
                </c:pt>
                <c:pt idx="125">
                  <c:v>-10.527501334675257</c:v>
                </c:pt>
                <c:pt idx="126">
                  <c:v>-10.574406810513739</c:v>
                </c:pt>
                <c:pt idx="127">
                  <c:v>-10.62321405731446</c:v>
                </c:pt>
                <c:pt idx="128">
                  <c:v>-10.672814812842356</c:v>
                </c:pt>
                <c:pt idx="129">
                  <c:v>-10.724359803006942</c:v>
                </c:pt>
                <c:pt idx="130">
                  <c:v>-10.776677282541103</c:v>
                </c:pt>
                <c:pt idx="131">
                  <c:v>-10.830981679838105</c:v>
                </c:pt>
                <c:pt idx="132">
                  <c:v>-10.858417497661902</c:v>
                </c:pt>
                <c:pt idx="133">
                  <c:v>-10.886037823673856</c:v>
                </c:pt>
                <c:pt idx="134">
                  <c:v>-10.914502393814086</c:v>
                </c:pt>
                <c:pt idx="135">
                  <c:v>-10.943153358551122</c:v>
                </c:pt>
                <c:pt idx="136">
                  <c:v>-10.971987299700775</c:v>
                </c:pt>
                <c:pt idx="137">
                  <c:v>-11.00100087542112</c:v>
                </c:pt>
                <c:pt idx="138">
                  <c:v>-11.030855563629057</c:v>
                </c:pt>
                <c:pt idx="139">
                  <c:v>-11.060891301059074</c:v>
                </c:pt>
                <c:pt idx="140">
                  <c:v>-11.091104747058649</c:v>
                </c:pt>
                <c:pt idx="141">
                  <c:v>-11.121492635462232</c:v>
                </c:pt>
                <c:pt idx="142">
                  <c:v>-11.15277848705486</c:v>
                </c:pt>
                <c:pt idx="143">
                  <c:v>-11.184240455610013</c:v>
                </c:pt>
                <c:pt idx="144">
                  <c:v>-11.21587526617239</c:v>
                </c:pt>
                <c:pt idx="145">
                  <c:v>-11.247679716751064</c:v>
                </c:pt>
                <c:pt idx="146">
                  <c:v>-11.280393204003394</c:v>
                </c:pt>
                <c:pt idx="147">
                  <c:v>-11.313277724805136</c:v>
                </c:pt>
                <c:pt idx="148">
                  <c:v>-11.346330073468978</c:v>
                </c:pt>
                <c:pt idx="149">
                  <c:v>-11.379547115625858</c:v>
                </c:pt>
                <c:pt idx="150">
                  <c:v>-11.413699435089635</c:v>
                </c:pt>
                <c:pt idx="151">
                  <c:v>-11.448017734172319</c:v>
                </c:pt>
                <c:pt idx="152">
                  <c:v>-11.482498874954173</c:v>
                </c:pt>
                <c:pt idx="153">
                  <c:v>-11.517139789214518</c:v>
                </c:pt>
                <c:pt idx="154">
                  <c:v>-11.552758495788085</c:v>
                </c:pt>
                <c:pt idx="155">
                  <c:v>-11.588538297542941</c:v>
                </c:pt>
                <c:pt idx="156">
                  <c:v>-11.624476118700239</c:v>
                </c:pt>
                <c:pt idx="157">
                  <c:v>-11.660568951709454</c:v>
                </c:pt>
                <c:pt idx="158">
                  <c:v>-11.697665928900737</c:v>
                </c:pt>
                <c:pt idx="159">
                  <c:v>-11.734919112283174</c:v>
                </c:pt>
                <c:pt idx="160">
                  <c:v>-11.77232548732276</c:v>
                </c:pt>
                <c:pt idx="161">
                  <c:v>-11.809882106252168</c:v>
                </c:pt>
                <c:pt idx="162">
                  <c:v>-11.848452017407096</c:v>
                </c:pt>
                <c:pt idx="163">
                  <c:v>-11.887173105245976</c:v>
                </c:pt>
                <c:pt idx="164">
                  <c:v>-11.92604241943541</c:v>
                </c:pt>
                <c:pt idx="165">
                  <c:v>-11.965057074842893</c:v>
                </c:pt>
                <c:pt idx="166">
                  <c:v>-12.00514499444283</c:v>
                </c:pt>
                <c:pt idx="167">
                  <c:v>-12.045379316203228</c:v>
                </c:pt>
                <c:pt idx="168">
                  <c:v>-12.08575714529168</c:v>
                </c:pt>
                <c:pt idx="169">
                  <c:v>-12.126275650749285</c:v>
                </c:pt>
                <c:pt idx="170">
                  <c:v>-12.167806010246395</c:v>
                </c:pt>
                <c:pt idx="171">
                  <c:v>-12.209477373737281</c:v>
                </c:pt>
                <c:pt idx="172">
                  <c:v>-12.251286919045548</c:v>
                </c:pt>
                <c:pt idx="173">
                  <c:v>-12.293231886022467</c:v>
                </c:pt>
                <c:pt idx="174">
                  <c:v>-12.336372048852432</c:v>
                </c:pt>
                <c:pt idx="175">
                  <c:v>-12.379648864640814</c:v>
                </c:pt>
                <c:pt idx="176">
                  <c:v>-12.423059550973303</c:v>
                </c:pt>
                <c:pt idx="177">
                  <c:v>-12.466601386562013</c:v>
                </c:pt>
                <c:pt idx="178">
                  <c:v>-12.51134716628196</c:v>
                </c:pt>
                <c:pt idx="179">
                  <c:v>-12.556225030118693</c:v>
                </c:pt>
                <c:pt idx="180">
                  <c:v>-12.601232239648576</c:v>
                </c:pt>
                <c:pt idx="181">
                  <c:v>-12.646366116532857</c:v>
                </c:pt>
                <c:pt idx="182">
                  <c:v>-12.692530446899983</c:v>
                </c:pt>
                <c:pt idx="183">
                  <c:v>-12.73882111691074</c:v>
                </c:pt>
                <c:pt idx="184">
                  <c:v>-12.78523546678491</c:v>
                </c:pt>
                <c:pt idx="185">
                  <c:v>-12.831770894761588</c:v>
                </c:pt>
                <c:pt idx="186">
                  <c:v>-12.879707200154247</c:v>
                </c:pt>
                <c:pt idx="187">
                  <c:v>-12.92776593501663</c:v>
                </c:pt>
                <c:pt idx="188">
                  <c:v>-12.97594445817248</c:v>
                </c:pt>
                <c:pt idx="189">
                  <c:v>-13.024240186126342</c:v>
                </c:pt>
                <c:pt idx="190">
                  <c:v>-13.073575553001202</c:v>
                </c:pt>
                <c:pt idx="191">
                  <c:v>-13.123027399476223</c:v>
                </c:pt>
                <c:pt idx="192">
                  <c:v>-13.172593165954245</c:v>
                </c:pt>
                <c:pt idx="193">
                  <c:v>-13.22227034834172</c:v>
                </c:pt>
                <c:pt idx="194">
                  <c:v>-13.273363195256399</c:v>
                </c:pt>
                <c:pt idx="195">
                  <c:v>-13.324568206100542</c:v>
                </c:pt>
                <c:pt idx="196">
                  <c:v>-13.375882846856438</c:v>
                </c:pt>
                <c:pt idx="197">
                  <c:v>-13.427304638434565</c:v>
                </c:pt>
                <c:pt idx="198">
                  <c:v>-13.479960626757739</c:v>
                </c:pt>
                <c:pt idx="199">
                  <c:v>-13.532723444528118</c:v>
                </c:pt>
                <c:pt idx="200">
                  <c:v>-13.585590614150078</c:v>
                </c:pt>
                <c:pt idx="201">
                  <c:v>-13.638559711478463</c:v>
                </c:pt>
                <c:pt idx="202">
                  <c:v>-13.692766622055512</c:v>
                </c:pt>
                <c:pt idx="203">
                  <c:v>-13.747074927129718</c:v>
                </c:pt>
                <c:pt idx="204">
                  <c:v>-13.80148220654281</c:v>
                </c:pt>
                <c:pt idx="205">
                  <c:v>-13.855986092068704</c:v>
                </c:pt>
                <c:pt idx="206">
                  <c:v>-13.911921747734013</c:v>
                </c:pt>
                <c:pt idx="207">
                  <c:v>-13.967953925261661</c:v>
                </c:pt>
                <c:pt idx="208">
                  <c:v>-14.024080238476435</c:v>
                </c:pt>
                <c:pt idx="209">
                  <c:v>-14.080298352273445</c:v>
                </c:pt>
                <c:pt idx="210">
                  <c:v>-14.138144624961582</c:v>
                </c:pt>
                <c:pt idx="211">
                  <c:v>-14.196082943146074</c:v>
                </c:pt>
                <c:pt idx="212">
                  <c:v>-14.254110934275172</c:v>
                </c:pt>
                <c:pt idx="213">
                  <c:v>-14.312226276569884</c:v>
                </c:pt>
                <c:pt idx="214">
                  <c:v>-14.371587688447349</c:v>
                </c:pt>
                <c:pt idx="215">
                  <c:v>-14.431035245239871</c:v>
                </c:pt>
                <c:pt idx="216">
                  <c:v>-14.490566637768318</c:v>
                </c:pt>
                <c:pt idx="217">
                  <c:v>-14.550179605904296</c:v>
                </c:pt>
                <c:pt idx="218">
                  <c:v>-14.61123390843886</c:v>
                </c:pt>
                <c:pt idx="219">
                  <c:v>-14.672368917657652</c:v>
                </c:pt>
                <c:pt idx="220">
                  <c:v>-14.73358236578372</c:v>
                </c:pt>
                <c:pt idx="221">
                  <c:v>-14.794872032982061</c:v>
                </c:pt>
                <c:pt idx="222">
                  <c:v>-14.857604554215856</c:v>
                </c:pt>
                <c:pt idx="223">
                  <c:v>-14.920412186802219</c:v>
                </c:pt>
                <c:pt idx="224">
                  <c:v>-14.983292705979281</c:v>
                </c:pt>
                <c:pt idx="225">
                  <c:v>-15.046243933764194</c:v>
                </c:pt>
                <c:pt idx="226">
                  <c:v>-15.110835182406218</c:v>
                </c:pt>
                <c:pt idx="227">
                  <c:v>-15.175496220328581</c:v>
                </c:pt>
                <c:pt idx="228">
                  <c:v>-15.240224847234341</c:v>
                </c:pt>
                <c:pt idx="229">
                  <c:v>-15.305018908951977</c:v>
                </c:pt>
                <c:pt idx="230">
                  <c:v>-15.437953607642477</c:v>
                </c:pt>
                <c:pt idx="231">
                  <c:v>-15.504515119001667</c:v>
                </c:pt>
                <c:pt idx="232">
                  <c:v>-15.571136553273524</c:v>
                </c:pt>
                <c:pt idx="233">
                  <c:v>-15.63939940389114</c:v>
                </c:pt>
                <c:pt idx="234">
                  <c:v>-15.707720684244482</c:v>
                </c:pt>
                <c:pt idx="235">
                  <c:v>-15.776098251465731</c:v>
                </c:pt>
                <c:pt idx="236">
                  <c:v>-15.844530007242192</c:v>
                </c:pt>
                <c:pt idx="237">
                  <c:v>-15.914403950300331</c:v>
                </c:pt>
                <c:pt idx="238">
                  <c:v>-15.984330026683619</c:v>
                </c:pt>
                <c:pt idx="239">
                  <c:v>-16.054306143372294</c:v>
                </c:pt>
                <c:pt idx="240">
                  <c:v>-16.124330250527006</c:v>
                </c:pt>
                <c:pt idx="241">
                  <c:v>-16.196192490479856</c:v>
                </c:pt>
                <c:pt idx="242">
                  <c:v>-16.268100973485801</c:v>
                </c:pt>
                <c:pt idx="243">
                  <c:v>-16.340053622290075</c:v>
                </c:pt>
                <c:pt idx="244">
                  <c:v>-16.412048402376819</c:v>
                </c:pt>
                <c:pt idx="245">
                  <c:v>-16.485680102105825</c:v>
                </c:pt>
                <c:pt idx="246">
                  <c:v>-16.559351654286395</c:v>
                </c:pt>
                <c:pt idx="247">
                  <c:v>-16.633061017111043</c:v>
                </c:pt>
                <c:pt idx="248">
                  <c:v>-16.706806190530177</c:v>
                </c:pt>
                <c:pt idx="249">
                  <c:v>-16.78238511014499</c:v>
                </c:pt>
                <c:pt idx="250">
                  <c:v>-16.857997489180953</c:v>
                </c:pt>
                <c:pt idx="251">
                  <c:v>-16.933641306637519</c:v>
                </c:pt>
                <c:pt idx="252">
                  <c:v>-17.009314582690347</c:v>
                </c:pt>
                <c:pt idx="253">
                  <c:v>-17.086617794262263</c:v>
                </c:pt>
                <c:pt idx="254">
                  <c:v>-17.16394767834657</c:v>
                </c:pt>
                <c:pt idx="255">
                  <c:v>-17.24130225256723</c:v>
                </c:pt>
                <c:pt idx="256">
                  <c:v>-17.318679574664969</c:v>
                </c:pt>
                <c:pt idx="257">
                  <c:v>-17.398083135455241</c:v>
                </c:pt>
                <c:pt idx="258">
                  <c:v>-17.477506621636902</c:v>
                </c:pt>
                <c:pt idx="259">
                  <c:v>-17.556948060690239</c:v>
                </c:pt>
                <c:pt idx="260">
                  <c:v>-17.636405519933358</c:v>
                </c:pt>
                <c:pt idx="261">
                  <c:v>-17.717683427410108</c:v>
                </c:pt>
                <c:pt idx="262">
                  <c:v>-17.798974125531068</c:v>
                </c:pt>
                <c:pt idx="263">
                  <c:v>-17.880275669282732</c:v>
                </c:pt>
                <c:pt idx="264">
                  <c:v>-17.961586152744751</c:v>
                </c:pt>
                <c:pt idx="265">
                  <c:v>-18.044710831069871</c:v>
                </c:pt>
                <c:pt idx="266">
                  <c:v>-18.127840943995437</c:v>
                </c:pt>
                <c:pt idx="267">
                  <c:v>-18.210974575703762</c:v>
                </c:pt>
                <c:pt idx="268">
                  <c:v>-18.294109848693861</c:v>
                </c:pt>
                <c:pt idx="269">
                  <c:v>-18.379252998757678</c:v>
                </c:pt>
                <c:pt idx="270">
                  <c:v>-18.464394003024321</c:v>
                </c:pt>
                <c:pt idx="271">
                  <c:v>-18.549530963081082</c:v>
                </c:pt>
                <c:pt idx="272">
                  <c:v>-18.634662018384713</c:v>
                </c:pt>
                <c:pt idx="273">
                  <c:v>-18.72179286298843</c:v>
                </c:pt>
                <c:pt idx="274">
                  <c:v>-18.808913693662412</c:v>
                </c:pt>
                <c:pt idx="275">
                  <c:v>-18.896022631976518</c:v>
                </c:pt>
                <c:pt idx="276">
                  <c:v>-18.983117836873479</c:v>
                </c:pt>
                <c:pt idx="277">
                  <c:v>-19.072003126113863</c:v>
                </c:pt>
                <c:pt idx="278">
                  <c:v>-19.160870345106215</c:v>
                </c:pt>
                <c:pt idx="279">
                  <c:v>-19.249717650151599</c:v>
                </c:pt>
                <c:pt idx="280">
                  <c:v>-19.338543234061905</c:v>
                </c:pt>
                <c:pt idx="281">
                  <c:v>-19.429750456261644</c:v>
                </c:pt>
                <c:pt idx="282">
                  <c:v>-19.520931014420032</c:v>
                </c:pt>
                <c:pt idx="283">
                  <c:v>-19.612083064632362</c:v>
                </c:pt>
                <c:pt idx="284">
                  <c:v>-19.703204799591312</c:v>
                </c:pt>
                <c:pt idx="285">
                  <c:v>-19.796095885436522</c:v>
                </c:pt>
                <c:pt idx="286">
                  <c:v>-19.888951760915788</c:v>
                </c:pt>
                <c:pt idx="287">
                  <c:v>-19.981770620990417</c:v>
                </c:pt>
                <c:pt idx="288">
                  <c:v>-20.074550696309245</c:v>
                </c:pt>
                <c:pt idx="289">
                  <c:v>-20.169688136285018</c:v>
                </c:pt>
                <c:pt idx="290">
                  <c:v>-20.264781098587651</c:v>
                </c:pt>
                <c:pt idx="291">
                  <c:v>-20.359827784241407</c:v>
                </c:pt>
                <c:pt idx="292">
                  <c:v>-20.454826429949136</c:v>
                </c:pt>
                <c:pt idx="293">
                  <c:v>-20.55196890202199</c:v>
                </c:pt>
                <c:pt idx="294">
                  <c:v>-20.649057464572646</c:v>
                </c:pt>
                <c:pt idx="295">
                  <c:v>-20.746090339430523</c:v>
                </c:pt>
                <c:pt idx="296">
                  <c:v>-20.843065783750443</c:v>
                </c:pt>
                <c:pt idx="297">
                  <c:v>-20.942170467715563</c:v>
                </c:pt>
                <c:pt idx="298">
                  <c:v>-21.041211520674366</c:v>
                </c:pt>
                <c:pt idx="299">
                  <c:v>-21.140187187997036</c:v>
                </c:pt>
                <c:pt idx="300">
                  <c:v>-21.239095750002942</c:v>
                </c:pt>
                <c:pt idx="301">
                  <c:v>-21.340117939749408</c:v>
                </c:pt>
                <c:pt idx="302">
                  <c:v>-21.441066502345219</c:v>
                </c:pt>
                <c:pt idx="303">
                  <c:v>-21.541939709348618</c:v>
                </c:pt>
                <c:pt idx="304">
                  <c:v>-21.642735866875231</c:v>
                </c:pt>
                <c:pt idx="305">
                  <c:v>-21.746024620824503</c:v>
                </c:pt>
                <c:pt idx="306">
                  <c:v>-21.849228838724734</c:v>
                </c:pt>
                <c:pt idx="307">
                  <c:v>-21.952346801420024</c:v>
                </c:pt>
                <c:pt idx="308">
                  <c:v>-22.05537682443321</c:v>
                </c:pt>
                <c:pt idx="309">
                  <c:v>-22.16048552434281</c:v>
                </c:pt>
                <c:pt idx="310">
                  <c:v>-22.265499096812253</c:v>
                </c:pt>
                <c:pt idx="311">
                  <c:v>-22.370415855279582</c:v>
                </c:pt>
                <c:pt idx="312">
                  <c:v>-22.475234147428736</c:v>
                </c:pt>
                <c:pt idx="313">
                  <c:v>-22.582505193238546</c:v>
                </c:pt>
                <c:pt idx="314">
                  <c:v>-22.689669507554957</c:v>
                </c:pt>
                <c:pt idx="315">
                  <c:v>-22.796725420805924</c:v>
                </c:pt>
                <c:pt idx="316">
                  <c:v>-22.903671297730426</c:v>
                </c:pt>
                <c:pt idx="317">
                  <c:v>-23.013047835307212</c:v>
                </c:pt>
                <c:pt idx="318">
                  <c:v>-23.122305672229054</c:v>
                </c:pt>
                <c:pt idx="319">
                  <c:v>-23.231443160309198</c:v>
                </c:pt>
                <c:pt idx="320">
                  <c:v>-23.340458685706828</c:v>
                </c:pt>
                <c:pt idx="321">
                  <c:v>-23.451881557396476</c:v>
                </c:pt>
                <c:pt idx="322">
                  <c:v>-23.56317341570476</c:v>
                </c:pt>
                <c:pt idx="323">
                  <c:v>-23.674332638223905</c:v>
                </c:pt>
                <c:pt idx="324">
                  <c:v>-23.785357636903083</c:v>
                </c:pt>
                <c:pt idx="325">
                  <c:v>-23.898765476846712</c:v>
                </c:pt>
                <c:pt idx="326">
                  <c:v>-24.012029669395979</c:v>
                </c:pt>
                <c:pt idx="327">
                  <c:v>-24.125148622330002</c:v>
                </c:pt>
                <c:pt idx="328">
                  <c:v>-24.238120777776505</c:v>
                </c:pt>
                <c:pt idx="329">
                  <c:v>-24.353642839357367</c:v>
                </c:pt>
                <c:pt idx="330">
                  <c:v>-24.469007794538523</c:v>
                </c:pt>
                <c:pt idx="331">
                  <c:v>-24.584214077981404</c:v>
                </c:pt>
                <c:pt idx="332">
                  <c:v>-24.699260158900245</c:v>
                </c:pt>
                <c:pt idx="333">
                  <c:v>-24.816636053692243</c:v>
                </c:pt>
                <c:pt idx="334">
                  <c:v>-24.933841593344066</c:v>
                </c:pt>
                <c:pt idx="335">
                  <c:v>-25.050875252198168</c:v>
                </c:pt>
                <c:pt idx="336">
                  <c:v>-25.167735539104484</c:v>
                </c:pt>
                <c:pt idx="337">
                  <c:v>-25.287278727207962</c:v>
                </c:pt>
                <c:pt idx="338">
                  <c:v>-25.406636879834871</c:v>
                </c:pt>
                <c:pt idx="339">
                  <c:v>-25.525808501425729</c:v>
                </c:pt>
                <c:pt idx="340">
                  <c:v>-25.644792131312396</c:v>
                </c:pt>
                <c:pt idx="341">
                  <c:v>-25.766425978222298</c:v>
                </c:pt>
                <c:pt idx="342">
                  <c:v>-25.88785974054937</c:v>
                </c:pt>
                <c:pt idx="343">
                  <c:v>-26.00909195925782</c:v>
                </c:pt>
                <c:pt idx="344">
                  <c:v>-26.130121210554229</c:v>
                </c:pt>
                <c:pt idx="345">
                  <c:v>-26.253578628928061</c:v>
                </c:pt>
                <c:pt idx="346">
                  <c:v>-26.376821235096443</c:v>
                </c:pt>
                <c:pt idx="347">
                  <c:v>-26.499847619438128</c:v>
                </c:pt>
                <c:pt idx="348">
                  <c:v>-26.622656407680164</c:v>
                </c:pt>
                <c:pt idx="349">
                  <c:v>-26.74823351043602</c:v>
                </c:pt>
                <c:pt idx="350">
                  <c:v>-26.873579464393231</c:v>
                </c:pt>
                <c:pt idx="351">
                  <c:v>-26.998692902982622</c:v>
                </c:pt>
                <c:pt idx="352">
                  <c:v>-27.123572495490343</c:v>
                </c:pt>
                <c:pt idx="353">
                  <c:v>-27.251181794963351</c:v>
                </c:pt>
                <c:pt idx="354">
                  <c:v>-27.378543269437831</c:v>
                </c:pt>
                <c:pt idx="355">
                  <c:v>-27.505655603019488</c:v>
                </c:pt>
                <c:pt idx="356">
                  <c:v>-27.632517516135287</c:v>
                </c:pt>
                <c:pt idx="357">
                  <c:v>-27.761885350285993</c:v>
                </c:pt>
                <c:pt idx="358">
                  <c:v>-27.890989137262014</c:v>
                </c:pt>
                <c:pt idx="359">
                  <c:v>-28.019827624840502</c:v>
                </c:pt>
                <c:pt idx="360">
                  <c:v>-28.148399597336571</c:v>
                </c:pt>
                <c:pt idx="361">
                  <c:v>-28.279803214162911</c:v>
                </c:pt>
                <c:pt idx="362">
                  <c:v>-28.410924803437364</c:v>
                </c:pt>
                <c:pt idx="363">
                  <c:v>-28.541763173659909</c:v>
                </c:pt>
                <c:pt idx="364">
                  <c:v>-28.67231717045669</c:v>
                </c:pt>
                <c:pt idx="365">
                  <c:v>-28.805477280558275</c:v>
                </c:pt>
                <c:pt idx="366">
                  <c:v>-28.938337914274616</c:v>
                </c:pt>
                <c:pt idx="367">
                  <c:v>-29.070897954174409</c:v>
                </c:pt>
                <c:pt idx="368">
                  <c:v>-29.203156320281213</c:v>
                </c:pt>
                <c:pt idx="369">
                  <c:v>-29.33833534472252</c:v>
                </c:pt>
                <c:pt idx="370">
                  <c:v>-29.47319558191014</c:v>
                </c:pt>
                <c:pt idx="371">
                  <c:v>-29.607735988241373</c:v>
                </c:pt>
                <c:pt idx="372">
                  <c:v>-29.74195555824285</c:v>
                </c:pt>
                <c:pt idx="373">
                  <c:v>-29.878868522099499</c:v>
                </c:pt>
                <c:pt idx="374">
                  <c:v>-30.015444011608153</c:v>
                </c:pt>
                <c:pt idx="375">
                  <c:v>-30.151681070648969</c:v>
                </c:pt>
                <c:pt idx="376">
                  <c:v>-30.287578781632302</c:v>
                </c:pt>
                <c:pt idx="377">
                  <c:v>-30.426472548495603</c:v>
                </c:pt>
                <c:pt idx="378">
                  <c:v>-30.565008206218049</c:v>
                </c:pt>
                <c:pt idx="379">
                  <c:v>-30.703184888704346</c:v>
                </c:pt>
                <c:pt idx="380">
                  <c:v>-30.841001769107873</c:v>
                </c:pt>
                <c:pt idx="381">
                  <c:v>-30.98141201034138</c:v>
                </c:pt>
                <c:pt idx="382">
                  <c:v>-31.12144517549407</c:v>
                </c:pt>
                <c:pt idx="383">
                  <c:v>-31.261100505124208</c:v>
                </c:pt>
                <c:pt idx="384">
                  <c:v>-31.400377279270398</c:v>
                </c:pt>
                <c:pt idx="385">
                  <c:v>-31.542712313430904</c:v>
                </c:pt>
                <c:pt idx="386">
                  <c:v>-31.6846483888901</c:v>
                </c:pt>
                <c:pt idx="387">
                  <c:v>-31.826184854824138</c:v>
                </c:pt>
                <c:pt idx="388">
                  <c:v>-31.967321100606103</c:v>
                </c:pt>
                <c:pt idx="389">
                  <c:v>-32.111285182682842</c:v>
                </c:pt>
                <c:pt idx="390">
                  <c:v>-32.25482927622916</c:v>
                </c:pt>
                <c:pt idx="391">
                  <c:v>-32.397952852973447</c:v>
                </c:pt>
                <c:pt idx="392">
                  <c:v>-32.540655425242043</c:v>
                </c:pt>
                <c:pt idx="393">
                  <c:v>-32.686127141857213</c:v>
                </c:pt>
                <c:pt idx="394">
                  <c:v>-32.831157826567043</c:v>
                </c:pt>
                <c:pt idx="395">
                  <c:v>-32.975747084469113</c:v>
                </c:pt>
                <c:pt idx="396">
                  <c:v>-33.119894561532227</c:v>
                </c:pt>
                <c:pt idx="397">
                  <c:v>-33.267083245808507</c:v>
                </c:pt>
                <c:pt idx="398">
                  <c:v>-33.413807814187926</c:v>
                </c:pt>
                <c:pt idx="399">
                  <c:v>-33.560068014145713</c:v>
                </c:pt>
                <c:pt idx="400">
                  <c:v>-33.705863634531518</c:v>
                </c:pt>
                <c:pt idx="401">
                  <c:v>-33.854469746263824</c:v>
                </c:pt>
                <c:pt idx="402">
                  <c:v>-34.002589749586633</c:v>
                </c:pt>
                <c:pt idx="403">
                  <c:v>-34.150223547349661</c:v>
                </c:pt>
                <c:pt idx="404">
                  <c:v>-34.297371083928539</c:v>
                </c:pt>
                <c:pt idx="405">
                  <c:v>-34.447426011365124</c:v>
                </c:pt>
                <c:pt idx="406">
                  <c:v>-34.596971885951142</c:v>
                </c:pt>
                <c:pt idx="407">
                  <c:v>-34.746008777327553</c:v>
                </c:pt>
                <c:pt idx="408">
                  <c:v>-34.894536796817853</c:v>
                </c:pt>
                <c:pt idx="409">
                  <c:v>-35.046062781790013</c:v>
                </c:pt>
                <c:pt idx="410">
                  <c:v>-35.197055820686423</c:v>
                </c:pt>
                <c:pt idx="411">
                  <c:v>-35.347516162735261</c:v>
                </c:pt>
                <c:pt idx="412">
                  <c:v>-35.497444098982257</c:v>
                </c:pt>
                <c:pt idx="413">
                  <c:v>-35.650296993188874</c:v>
                </c:pt>
                <c:pt idx="414">
                  <c:v>-35.802593257119966</c:v>
                </c:pt>
                <c:pt idx="415">
                  <c:v>-35.95433333230222</c:v>
                </c:pt>
                <c:pt idx="416">
                  <c:v>-36.10551770199389</c:v>
                </c:pt>
                <c:pt idx="417">
                  <c:v>-36.259708105349688</c:v>
                </c:pt>
                <c:pt idx="418">
                  <c:v>-36.413317320105293</c:v>
                </c:pt>
                <c:pt idx="419">
                  <c:v>-36.566345994176054</c:v>
                </c:pt>
                <c:pt idx="420">
                  <c:v>-36.718794817053741</c:v>
                </c:pt>
                <c:pt idx="421">
                  <c:v>-36.874019275194954</c:v>
                </c:pt>
                <c:pt idx="422">
                  <c:v>-37.028639515805004</c:v>
                </c:pt>
                <c:pt idx="423">
                  <c:v>-37.182656403251428</c:v>
                </c:pt>
                <c:pt idx="424">
                  <c:v>-37.336070842902906</c:v>
                </c:pt>
                <c:pt idx="425">
                  <c:v>-37.492636366755427</c:v>
                </c:pt>
                <c:pt idx="426">
                  <c:v>-37.64857148180181</c:v>
                </c:pt>
                <c:pt idx="427">
                  <c:v>-37.803877288985063</c:v>
                </c:pt>
                <c:pt idx="428">
                  <c:v>-37.958554929879242</c:v>
                </c:pt>
                <c:pt idx="429">
                  <c:v>-38.116149801227394</c:v>
                </c:pt>
                <c:pt idx="430">
                  <c:v>-38.273089750657547</c:v>
                </c:pt>
                <c:pt idx="431">
                  <c:v>-38.429376125464017</c:v>
                </c:pt>
                <c:pt idx="432">
                  <c:v>-38.585010312738603</c:v>
                </c:pt>
                <c:pt idx="433">
                  <c:v>-38.743478836004542</c:v>
                </c:pt>
                <c:pt idx="434">
                  <c:v>-38.901268501984553</c:v>
                </c:pt>
                <c:pt idx="435">
                  <c:v>-39.05838091545062</c:v>
                </c:pt>
                <c:pt idx="436">
                  <c:v>-39.214817719830073</c:v>
                </c:pt>
                <c:pt idx="437">
                  <c:v>-39.374291229545165</c:v>
                </c:pt>
                <c:pt idx="438">
                  <c:v>-39.533060090547174</c:v>
                </c:pt>
                <c:pt idx="439">
                  <c:v>-39.691126185208176</c:v>
                </c:pt>
                <c:pt idx="440">
                  <c:v>-39.848491433362554</c:v>
                </c:pt>
                <c:pt idx="441">
                  <c:v>-40.008802675098572</c:v>
                </c:pt>
                <c:pt idx="442">
                  <c:v>-40.168384186716033</c:v>
                </c:pt>
                <c:pt idx="443">
                  <c:v>-40.327238139552144</c:v>
                </c:pt>
                <c:pt idx="444">
                  <c:v>-40.485366740852342</c:v>
                </c:pt>
                <c:pt idx="445">
                  <c:v>-40.646350627341668</c:v>
                </c:pt>
                <c:pt idx="446">
                  <c:v>-40.806580508715335</c:v>
                </c:pt>
                <c:pt idx="447">
                  <c:v>-40.966058855144134</c:v>
                </c:pt>
                <c:pt idx="448">
                  <c:v>-41.124788170788328</c:v>
                </c:pt>
                <c:pt idx="449">
                  <c:v>-41.286552348238153</c:v>
                </c:pt>
                <c:pt idx="450">
                  <c:v>-41.447536538803135</c:v>
                </c:pt>
                <c:pt idx="451">
                  <c:v>-41.607743533824099</c:v>
                </c:pt>
                <c:pt idx="452">
                  <c:v>-41.767176156557028</c:v>
                </c:pt>
                <c:pt idx="453">
                  <c:v>-41.929413182007153</c:v>
                </c:pt>
                <c:pt idx="454">
                  <c:v>-42.090846515131211</c:v>
                </c:pt>
                <c:pt idx="455">
                  <c:v>-42.251479270049266</c:v>
                </c:pt>
                <c:pt idx="456">
                  <c:v>-42.411314590217309</c:v>
                </c:pt>
                <c:pt idx="457">
                  <c:v>-42.574120321801018</c:v>
                </c:pt>
                <c:pt idx="458">
                  <c:v>-42.736097076286946</c:v>
                </c:pt>
                <c:pt idx="459">
                  <c:v>-42.897248313252277</c:v>
                </c:pt>
                <c:pt idx="460">
                  <c:v>-43.057577518818057</c:v>
                </c:pt>
                <c:pt idx="461">
                  <c:v>-43.220776215108259</c:v>
                </c:pt>
                <c:pt idx="462">
                  <c:v>-43.383121789651064</c:v>
                </c:pt>
                <c:pt idx="463">
                  <c:v>-43.544618054246122</c:v>
                </c:pt>
                <c:pt idx="464">
                  <c:v>-43.705268844021816</c:v>
                </c:pt>
                <c:pt idx="465">
                  <c:v>-43.868813481003066</c:v>
                </c:pt>
                <c:pt idx="466">
                  <c:v>-44.031480744253876</c:v>
                </c:pt>
                <c:pt idx="467">
                  <c:v>-44.19327481201222</c:v>
                </c:pt>
                <c:pt idx="468">
                  <c:v>-44.354199882279772</c:v>
                </c:pt>
                <c:pt idx="469">
                  <c:v>-44.517915578813401</c:v>
                </c:pt>
                <c:pt idx="470">
                  <c:v>-44.680730963668339</c:v>
                </c:pt>
                <c:pt idx="471">
                  <c:v>-44.842650585225087</c:v>
                </c:pt>
                <c:pt idx="472">
                  <c:v>-45.003679007643143</c:v>
                </c:pt>
                <c:pt idx="473">
                  <c:v>-45.167634289834197</c:v>
                </c:pt>
                <c:pt idx="474">
                  <c:v>-45.330665028453389</c:v>
                </c:pt>
                <c:pt idx="475">
                  <c:v>-45.492776165020729</c:v>
                </c:pt>
                <c:pt idx="476">
                  <c:v>-45.653972652517311</c:v>
                </c:pt>
                <c:pt idx="477">
                  <c:v>-45.817987105664379</c:v>
                </c:pt>
                <c:pt idx="478">
                  <c:v>-45.981054271595553</c:v>
                </c:pt>
                <c:pt idx="479">
                  <c:v>-46.143179486388021</c:v>
                </c:pt>
                <c:pt idx="480">
                  <c:v>-46.30436809283092</c:v>
                </c:pt>
                <c:pt idx="481">
                  <c:v>-46.468267215663772</c:v>
                </c:pt>
                <c:pt idx="482">
                  <c:v>-46.631197870460085</c:v>
                </c:pt>
                <c:pt idx="483">
                  <c:v>-46.793165786717061</c:v>
                </c:pt>
                <c:pt idx="484">
                  <c:v>-46.954176695495725</c:v>
                </c:pt>
                <c:pt idx="485">
                  <c:v>-47.117903442518447</c:v>
                </c:pt>
                <c:pt idx="486">
                  <c:v>-47.280640823718265</c:v>
                </c:pt>
                <c:pt idx="487">
                  <c:v>-47.442394970860512</c:v>
                </c:pt>
                <c:pt idx="488">
                  <c:v>-47.603172011753031</c:v>
                </c:pt>
                <c:pt idx="489">
                  <c:v>-47.76677377273063</c:v>
                </c:pt>
                <c:pt idx="490">
                  <c:v>-47.929364293529026</c:v>
                </c:pt>
                <c:pt idx="491">
                  <c:v>-48.09095012913847</c:v>
                </c:pt>
                <c:pt idx="492">
                  <c:v>-48.251537824663536</c:v>
                </c:pt>
                <c:pt idx="493">
                  <c:v>-48.41483616470633</c:v>
                </c:pt>
                <c:pt idx="494">
                  <c:v>-48.57710319702219</c:v>
                </c:pt>
                <c:pt idx="495">
                  <c:v>-48.738345894053772</c:v>
                </c:pt>
                <c:pt idx="496">
                  <c:v>-48.898571212057931</c:v>
                </c:pt>
                <c:pt idx="497">
                  <c:v>-49.061498375955175</c:v>
                </c:pt>
                <c:pt idx="498">
                  <c:v>-49.223374691743892</c:v>
                </c:pt>
                <c:pt idx="499">
                  <c:v>-49.384207554865803</c:v>
                </c:pt>
                <c:pt idx="500">
                  <c:v>-49.544004337897647</c:v>
                </c:pt>
                <c:pt idx="501">
                  <c:v>-49.706489870591021</c:v>
                </c:pt>
                <c:pt idx="502">
                  <c:v>-49.867905621282212</c:v>
                </c:pt>
                <c:pt idx="503">
                  <c:v>-50.028259412622489</c:v>
                </c:pt>
                <c:pt idx="504">
                  <c:v>-50.18755903734688</c:v>
                </c:pt>
                <c:pt idx="505">
                  <c:v>-50.34943239679864</c:v>
                </c:pt>
                <c:pt idx="506">
                  <c:v>-50.510219037852778</c:v>
                </c:pt>
                <c:pt idx="507">
                  <c:v>-50.669927198175422</c:v>
                </c:pt>
                <c:pt idx="508">
                  <c:v>-50.828565078195915</c:v>
                </c:pt>
                <c:pt idx="509">
                  <c:v>-50.989759603161673</c:v>
                </c:pt>
                <c:pt idx="510">
                  <c:v>-51.149851191494108</c:v>
                </c:pt>
                <c:pt idx="511">
                  <c:v>-51.308848496402192</c:v>
                </c:pt>
                <c:pt idx="512">
                  <c:v>-51.466760126226561</c:v>
                </c:pt>
                <c:pt idx="513">
                  <c:v>-51.627300301775129</c:v>
                </c:pt>
                <c:pt idx="514">
                  <c:v>-51.786720816427824</c:v>
                </c:pt>
                <c:pt idx="515">
                  <c:v>-51.945030753709069</c:v>
                </c:pt>
                <c:pt idx="516">
                  <c:v>-52.102239144227909</c:v>
                </c:pt>
                <c:pt idx="517">
                  <c:v>-52.26195797510541</c:v>
                </c:pt>
                <c:pt idx="518">
                  <c:v>-52.420542594806641</c:v>
                </c:pt>
                <c:pt idx="519">
                  <c:v>-52.578002499158295</c:v>
                </c:pt>
                <c:pt idx="520">
                  <c:v>-52.734347122862339</c:v>
                </c:pt>
                <c:pt idx="521">
                  <c:v>-52.893174815708953</c:v>
                </c:pt>
                <c:pt idx="522">
                  <c:v>-53.050854657045257</c:v>
                </c:pt>
                <c:pt idx="523">
                  <c:v>-53.207396550872737</c:v>
                </c:pt>
                <c:pt idx="524">
                  <c:v>-53.362810331617872</c:v>
                </c:pt>
                <c:pt idx="525">
                  <c:v>-53.5206768465696</c:v>
                </c:pt>
                <c:pt idx="526">
                  <c:v>-53.677382834566913</c:v>
                </c:pt>
                <c:pt idx="527">
                  <c:v>-53.832938602058043</c:v>
                </c:pt>
                <c:pt idx="528">
                  <c:v>-53.987354377255762</c:v>
                </c:pt>
                <c:pt idx="529">
                  <c:v>-54.144189817105854</c:v>
                </c:pt>
                <c:pt idx="530">
                  <c:v>-54.299853069517823</c:v>
                </c:pt>
                <c:pt idx="531">
                  <c:v>-54.454354836052211</c:v>
                </c:pt>
                <c:pt idx="532">
                  <c:v>-54.607705731197619</c:v>
                </c:pt>
                <c:pt idx="533">
                  <c:v>-54.763520809201673</c:v>
                </c:pt>
                <c:pt idx="534">
                  <c:v>-54.918151883230998</c:v>
                </c:pt>
                <c:pt idx="535">
                  <c:v>-55.071610058135825</c:v>
                </c:pt>
                <c:pt idx="536">
                  <c:v>-55.223906342520166</c:v>
                </c:pt>
                <c:pt idx="537">
                  <c:v>-55.378469946697187</c:v>
                </c:pt>
                <c:pt idx="538">
                  <c:v>-55.531841284264317</c:v>
                </c:pt>
                <c:pt idx="539">
                  <c:v>-55.684031818439088</c:v>
                </c:pt>
                <c:pt idx="540">
                  <c:v>-55.835052907316417</c:v>
                </c:pt>
                <c:pt idx="541">
                  <c:v>-55.988455599455783</c:v>
                </c:pt>
                <c:pt idx="542">
                  <c:v>-56.140656477395567</c:v>
                </c:pt>
                <c:pt idx="543">
                  <c:v>-56.291667385428276</c:v>
                </c:pt>
                <c:pt idx="544">
                  <c:v>-56.441500053365331</c:v>
                </c:pt>
                <c:pt idx="545">
                  <c:v>-56.593596082237411</c:v>
                </c:pt>
                <c:pt idx="546">
                  <c:v>-56.744483131092821</c:v>
                </c:pt>
                <c:pt idx="547">
                  <c:v>-56.894173394268563</c:v>
                </c:pt>
                <c:pt idx="548">
                  <c:v>-57.042678942461023</c:v>
                </c:pt>
                <c:pt idx="549">
                  <c:v>-57.193404484646969</c:v>
                </c:pt>
                <c:pt idx="550">
                  <c:v>-57.342915062959001</c:v>
                </c:pt>
                <c:pt idx="551">
                  <c:v>-57.491223206858479</c:v>
                </c:pt>
                <c:pt idx="552">
                  <c:v>-57.63834131303701</c:v>
                </c:pt>
                <c:pt idx="553">
                  <c:v>-57.787703062936586</c:v>
                </c:pt>
                <c:pt idx="554">
                  <c:v>-57.935843944961682</c:v>
                </c:pt>
                <c:pt idx="555">
                  <c:v>-58.082776825133337</c:v>
                </c:pt>
                <c:pt idx="556">
                  <c:v>-58.228514427388234</c:v>
                </c:pt>
                <c:pt idx="557">
                  <c:v>-58.523152794058113</c:v>
                </c:pt>
                <c:pt idx="558">
                  <c:v>-58.812941753446374</c:v>
                </c:pt>
                <c:pt idx="559">
                  <c:v>-59.104463721040581</c:v>
                </c:pt>
                <c:pt idx="560">
                  <c:v>-59.391128279777668</c:v>
                </c:pt>
                <c:pt idx="561">
                  <c:v>-59.67967302304055</c:v>
                </c:pt>
                <c:pt idx="562">
                  <c:v>-59.963348838056007</c:v>
                </c:pt>
                <c:pt idx="563">
                  <c:v>-60.248197732901602</c:v>
                </c:pt>
                <c:pt idx="564">
                  <c:v>-60.528191627219663</c:v>
                </c:pt>
                <c:pt idx="565">
                  <c:v>-60.810318697283776</c:v>
                </c:pt>
                <c:pt idx="566">
                  <c:v>-61.087573005181447</c:v>
                </c:pt>
                <c:pt idx="567">
                  <c:v>-61.366708194488808</c:v>
                </c:pt>
                <c:pt idx="568">
                  <c:v>-61.640962935092411</c:v>
                </c:pt>
                <c:pt idx="569">
                  <c:v>-61.915793334098453</c:v>
                </c:pt>
                <c:pt idx="570">
                  <c:v>-62.185782802988392</c:v>
                </c:pt>
                <c:pt idx="571">
                  <c:v>-62.45826217737681</c:v>
                </c:pt>
                <c:pt idx="572">
                  <c:v>-62.725873185660866</c:v>
                </c:pt>
                <c:pt idx="573">
                  <c:v>-62.993704341205202</c:v>
                </c:pt>
                <c:pt idx="574">
                  <c:v>-63.256722474460062</c:v>
                </c:pt>
                <c:pt idx="575">
                  <c:v>-63.521755373799735</c:v>
                </c:pt>
                <c:pt idx="576">
                  <c:v>-63.781966418268347</c:v>
                </c:pt>
                <c:pt idx="577">
                  <c:v>-64.832860158661035</c:v>
                </c:pt>
                <c:pt idx="578">
                  <c:v>-65.807798043842894</c:v>
                </c:pt>
                <c:pt idx="579">
                  <c:v>-67.713670431321972</c:v>
                </c:pt>
                <c:pt idx="580">
                  <c:v>-69.501536057295809</c:v>
                </c:pt>
                <c:pt idx="581">
                  <c:v>-71.169634956248274</c:v>
                </c:pt>
                <c:pt idx="582">
                  <c:v>-72.721631327142148</c:v>
                </c:pt>
                <c:pt idx="583">
                  <c:v>-74.160239716630088</c:v>
                </c:pt>
                <c:pt idx="584">
                  <c:v>-75.49132125048807</c:v>
                </c:pt>
                <c:pt idx="585">
                  <c:v>-76.719485700528239</c:v>
                </c:pt>
                <c:pt idx="586">
                  <c:v>-77.850737283500365</c:v>
                </c:pt>
                <c:pt idx="587">
                  <c:v>-78.891596423741902</c:v>
                </c:pt>
                <c:pt idx="588">
                  <c:v>-79.847076562848216</c:v>
                </c:pt>
                <c:pt idx="589">
                  <c:v>-80.723889961849991</c:v>
                </c:pt>
                <c:pt idx="590">
                  <c:v>-81.527425255544273</c:v>
                </c:pt>
                <c:pt idx="591">
                  <c:v>-82.263275386826948</c:v>
                </c:pt>
                <c:pt idx="592">
                  <c:v>-82.93659487810686</c:v>
                </c:pt>
                <c:pt idx="593">
                  <c:v>-83.552527511189936</c:v>
                </c:pt>
                <c:pt idx="594">
                  <c:v>-84.1155454994514</c:v>
                </c:pt>
                <c:pt idx="595">
                  <c:v>-84.630094766566188</c:v>
                </c:pt>
                <c:pt idx="596">
                  <c:v>-85.100097607857592</c:v>
                </c:pt>
                <c:pt idx="597">
                  <c:v>-85.529384712569239</c:v>
                </c:pt>
                <c:pt idx="598">
                  <c:v>-85.921297241400652</c:v>
                </c:pt>
                <c:pt idx="599">
                  <c:v>-86.27911252937372</c:v>
                </c:pt>
                <c:pt idx="600">
                  <c:v>-86.605693568634422</c:v>
                </c:pt>
              </c:numCache>
            </c:numRef>
          </c:yVal>
          <c:smooth val="0"/>
          <c:extLst>
            <c:ext xmlns:c16="http://schemas.microsoft.com/office/drawing/2014/chart" uri="{C3380CC4-5D6E-409C-BE32-E72D297353CC}">
              <c16:uniqueId val="{00000001-C943-44AE-BE69-B37F145E1EAF}"/>
            </c:ext>
          </c:extLst>
        </c:ser>
        <c:ser>
          <c:idx val="2"/>
          <c:order val="2"/>
          <c:tx>
            <c:v>pwr plant</c:v>
          </c:tx>
          <c:marker>
            <c:symbol val="none"/>
          </c:marker>
          <c:xVal>
            <c:numRef>
              <c:f>'Stability Calculations'!$G$13:$G$613</c:f>
              <c:numCache>
                <c:formatCode>General</c:formatCode>
                <c:ptCount val="601"/>
                <c:pt idx="0">
                  <c:v>1</c:v>
                </c:pt>
                <c:pt idx="1">
                  <c:v>1.0965</c:v>
                </c:pt>
                <c:pt idx="2">
                  <c:v>1.2022999999999999</c:v>
                </c:pt>
                <c:pt idx="3">
                  <c:v>1.3183</c:v>
                </c:pt>
                <c:pt idx="4">
                  <c:v>1.4454</c:v>
                </c:pt>
                <c:pt idx="5">
                  <c:v>1.5849</c:v>
                </c:pt>
                <c:pt idx="6">
                  <c:v>1.7378</c:v>
                </c:pt>
                <c:pt idx="7">
                  <c:v>1.9055</c:v>
                </c:pt>
                <c:pt idx="8">
                  <c:v>2.0893000000000002</c:v>
                </c:pt>
                <c:pt idx="9">
                  <c:v>2.2909000000000002</c:v>
                </c:pt>
                <c:pt idx="10">
                  <c:v>2.5118999999999998</c:v>
                </c:pt>
                <c:pt idx="11">
                  <c:v>2.7542</c:v>
                </c:pt>
                <c:pt idx="12">
                  <c:v>3.02</c:v>
                </c:pt>
                <c:pt idx="13">
                  <c:v>3.3113000000000001</c:v>
                </c:pt>
                <c:pt idx="14">
                  <c:v>3.6307999999999998</c:v>
                </c:pt>
                <c:pt idx="15">
                  <c:v>3.9811000000000001</c:v>
                </c:pt>
                <c:pt idx="16">
                  <c:v>4.3651999999999997</c:v>
                </c:pt>
                <c:pt idx="17">
                  <c:v>4.7862999999999998</c:v>
                </c:pt>
                <c:pt idx="18">
                  <c:v>5.2481</c:v>
                </c:pt>
                <c:pt idx="19">
                  <c:v>5.7544000000000004</c:v>
                </c:pt>
                <c:pt idx="20">
                  <c:v>6.3095999999999997</c:v>
                </c:pt>
                <c:pt idx="21">
                  <c:v>6.9183000000000003</c:v>
                </c:pt>
                <c:pt idx="22">
                  <c:v>7.5857999999999999</c:v>
                </c:pt>
                <c:pt idx="23">
                  <c:v>8.3176000000000005</c:v>
                </c:pt>
                <c:pt idx="24">
                  <c:v>9.1201000000000008</c:v>
                </c:pt>
                <c:pt idx="25">
                  <c:v>10</c:v>
                </c:pt>
                <c:pt idx="26">
                  <c:v>10.965</c:v>
                </c:pt>
                <c:pt idx="27">
                  <c:v>12.023</c:v>
                </c:pt>
                <c:pt idx="28">
                  <c:v>13.183</c:v>
                </c:pt>
                <c:pt idx="29">
                  <c:v>14.454000000000001</c:v>
                </c:pt>
                <c:pt idx="30">
                  <c:v>15.849</c:v>
                </c:pt>
                <c:pt idx="31">
                  <c:v>17.378</c:v>
                </c:pt>
                <c:pt idx="32">
                  <c:v>19.055</c:v>
                </c:pt>
                <c:pt idx="33">
                  <c:v>20.893000000000001</c:v>
                </c:pt>
                <c:pt idx="34">
                  <c:v>22.909000000000002</c:v>
                </c:pt>
                <c:pt idx="35">
                  <c:v>25.119</c:v>
                </c:pt>
                <c:pt idx="36">
                  <c:v>27.542000000000002</c:v>
                </c:pt>
                <c:pt idx="37">
                  <c:v>30.2</c:v>
                </c:pt>
                <c:pt idx="38">
                  <c:v>33.113</c:v>
                </c:pt>
                <c:pt idx="39">
                  <c:v>36.308</c:v>
                </c:pt>
                <c:pt idx="40">
                  <c:v>39.811</c:v>
                </c:pt>
                <c:pt idx="41">
                  <c:v>43.652000000000001</c:v>
                </c:pt>
                <c:pt idx="42">
                  <c:v>47.863</c:v>
                </c:pt>
                <c:pt idx="43">
                  <c:v>52.481000000000002</c:v>
                </c:pt>
                <c:pt idx="44">
                  <c:v>57.544000000000004</c:v>
                </c:pt>
                <c:pt idx="45">
                  <c:v>63.095999999999997</c:v>
                </c:pt>
                <c:pt idx="46">
                  <c:v>69.183000000000007</c:v>
                </c:pt>
                <c:pt idx="47">
                  <c:v>75.858000000000004</c:v>
                </c:pt>
                <c:pt idx="48">
                  <c:v>83.176000000000002</c:v>
                </c:pt>
                <c:pt idx="49">
                  <c:v>91.201000000000008</c:v>
                </c:pt>
                <c:pt idx="50">
                  <c:v>100</c:v>
                </c:pt>
                <c:pt idx="51">
                  <c:v>109.65</c:v>
                </c:pt>
                <c:pt idx="52">
                  <c:v>120.23</c:v>
                </c:pt>
                <c:pt idx="53">
                  <c:v>131.83000000000001</c:v>
                </c:pt>
                <c:pt idx="54">
                  <c:v>144.54</c:v>
                </c:pt>
                <c:pt idx="55">
                  <c:v>158.49</c:v>
                </c:pt>
                <c:pt idx="56">
                  <c:v>173.78</c:v>
                </c:pt>
                <c:pt idx="57">
                  <c:v>190.55</c:v>
                </c:pt>
                <c:pt idx="58">
                  <c:v>208.93</c:v>
                </c:pt>
                <c:pt idx="59">
                  <c:v>229.09</c:v>
                </c:pt>
                <c:pt idx="60">
                  <c:v>251.19</c:v>
                </c:pt>
                <c:pt idx="61">
                  <c:v>275.42</c:v>
                </c:pt>
                <c:pt idx="62">
                  <c:v>302</c:v>
                </c:pt>
                <c:pt idx="63">
                  <c:v>331.13</c:v>
                </c:pt>
                <c:pt idx="64">
                  <c:v>363.08</c:v>
                </c:pt>
                <c:pt idx="65">
                  <c:v>398.11</c:v>
                </c:pt>
                <c:pt idx="66">
                  <c:v>436.52</c:v>
                </c:pt>
                <c:pt idx="67">
                  <c:v>478.63</c:v>
                </c:pt>
                <c:pt idx="68">
                  <c:v>524.80999999999995</c:v>
                </c:pt>
                <c:pt idx="69">
                  <c:v>575.44000000000005</c:v>
                </c:pt>
                <c:pt idx="70">
                  <c:v>630.96</c:v>
                </c:pt>
                <c:pt idx="71">
                  <c:v>691.83</c:v>
                </c:pt>
                <c:pt idx="72">
                  <c:v>758.58</c:v>
                </c:pt>
                <c:pt idx="73">
                  <c:v>831.76</c:v>
                </c:pt>
                <c:pt idx="74">
                  <c:v>912.01</c:v>
                </c:pt>
                <c:pt idx="75">
                  <c:v>1000</c:v>
                </c:pt>
                <c:pt idx="76">
                  <c:v>1096.5</c:v>
                </c:pt>
                <c:pt idx="77">
                  <c:v>1202.3</c:v>
                </c:pt>
                <c:pt idx="78">
                  <c:v>1318.3</c:v>
                </c:pt>
                <c:pt idx="79">
                  <c:v>1445.4</c:v>
                </c:pt>
                <c:pt idx="80">
                  <c:v>1584.9</c:v>
                </c:pt>
                <c:pt idx="81">
                  <c:v>1737.8</c:v>
                </c:pt>
                <c:pt idx="82">
                  <c:v>1905.5</c:v>
                </c:pt>
                <c:pt idx="83">
                  <c:v>2089.3000000000002</c:v>
                </c:pt>
                <c:pt idx="84">
                  <c:v>2290.9</c:v>
                </c:pt>
                <c:pt idx="85">
                  <c:v>2511.9</c:v>
                </c:pt>
                <c:pt idx="86">
                  <c:v>2754.2</c:v>
                </c:pt>
                <c:pt idx="87">
                  <c:v>3020</c:v>
                </c:pt>
                <c:pt idx="88">
                  <c:v>3311.3</c:v>
                </c:pt>
                <c:pt idx="89">
                  <c:v>3630.8</c:v>
                </c:pt>
                <c:pt idx="90">
                  <c:v>3981.1</c:v>
                </c:pt>
                <c:pt idx="91">
                  <c:v>4365.2</c:v>
                </c:pt>
                <c:pt idx="92">
                  <c:v>4786.3</c:v>
                </c:pt>
                <c:pt idx="93">
                  <c:v>5248.1</c:v>
                </c:pt>
                <c:pt idx="94">
                  <c:v>5370.3</c:v>
                </c:pt>
                <c:pt idx="95">
                  <c:v>5432.85</c:v>
                </c:pt>
                <c:pt idx="96">
                  <c:v>5495.4</c:v>
                </c:pt>
                <c:pt idx="97">
                  <c:v>5559.4</c:v>
                </c:pt>
                <c:pt idx="98">
                  <c:v>5623.4</c:v>
                </c:pt>
                <c:pt idx="99">
                  <c:v>5688.9</c:v>
                </c:pt>
                <c:pt idx="100">
                  <c:v>5754.4</c:v>
                </c:pt>
                <c:pt idx="101">
                  <c:v>5821.4</c:v>
                </c:pt>
                <c:pt idx="102">
                  <c:v>5888.4</c:v>
                </c:pt>
                <c:pt idx="103">
                  <c:v>5957</c:v>
                </c:pt>
                <c:pt idx="104">
                  <c:v>6025.6</c:v>
                </c:pt>
                <c:pt idx="105">
                  <c:v>6095.8</c:v>
                </c:pt>
                <c:pt idx="106">
                  <c:v>6166</c:v>
                </c:pt>
                <c:pt idx="107">
                  <c:v>6237.8</c:v>
                </c:pt>
                <c:pt idx="108">
                  <c:v>6309.6</c:v>
                </c:pt>
                <c:pt idx="109">
                  <c:v>6383.05</c:v>
                </c:pt>
                <c:pt idx="110">
                  <c:v>6456.5</c:v>
                </c:pt>
                <c:pt idx="111">
                  <c:v>6531.7</c:v>
                </c:pt>
                <c:pt idx="112">
                  <c:v>6606.9</c:v>
                </c:pt>
                <c:pt idx="113">
                  <c:v>6683.85</c:v>
                </c:pt>
                <c:pt idx="114">
                  <c:v>6760.8</c:v>
                </c:pt>
                <c:pt idx="115">
                  <c:v>6839.55</c:v>
                </c:pt>
                <c:pt idx="116">
                  <c:v>6918.3</c:v>
                </c:pt>
                <c:pt idx="117">
                  <c:v>6998.9</c:v>
                </c:pt>
                <c:pt idx="118">
                  <c:v>7079.5</c:v>
                </c:pt>
                <c:pt idx="119">
                  <c:v>7161.95</c:v>
                </c:pt>
                <c:pt idx="120">
                  <c:v>7244.4</c:v>
                </c:pt>
                <c:pt idx="121">
                  <c:v>7328.75</c:v>
                </c:pt>
                <c:pt idx="122">
                  <c:v>7413.1</c:v>
                </c:pt>
                <c:pt idx="123">
                  <c:v>7499.45</c:v>
                </c:pt>
                <c:pt idx="124">
                  <c:v>7585.8</c:v>
                </c:pt>
                <c:pt idx="125">
                  <c:v>7674.15</c:v>
                </c:pt>
                <c:pt idx="126">
                  <c:v>7762.5</c:v>
                </c:pt>
                <c:pt idx="127">
                  <c:v>7852.9</c:v>
                </c:pt>
                <c:pt idx="128">
                  <c:v>7943.3</c:v>
                </c:pt>
                <c:pt idx="129">
                  <c:v>8035.8</c:v>
                </c:pt>
                <c:pt idx="130">
                  <c:v>8128.3</c:v>
                </c:pt>
                <c:pt idx="131">
                  <c:v>8222.9500000000007</c:v>
                </c:pt>
                <c:pt idx="132">
                  <c:v>8270.2750000000015</c:v>
                </c:pt>
                <c:pt idx="133">
                  <c:v>8317.6</c:v>
                </c:pt>
                <c:pt idx="134">
                  <c:v>8366.0499999999993</c:v>
                </c:pt>
                <c:pt idx="135">
                  <c:v>8414.5</c:v>
                </c:pt>
                <c:pt idx="136">
                  <c:v>8462.9500000000007</c:v>
                </c:pt>
                <c:pt idx="137">
                  <c:v>8511.4</c:v>
                </c:pt>
                <c:pt idx="138">
                  <c:v>8560.9500000000007</c:v>
                </c:pt>
                <c:pt idx="139">
                  <c:v>8610.5</c:v>
                </c:pt>
                <c:pt idx="140">
                  <c:v>8660.0499999999993</c:v>
                </c:pt>
                <c:pt idx="141">
                  <c:v>8709.6</c:v>
                </c:pt>
                <c:pt idx="142">
                  <c:v>8760.3250000000007</c:v>
                </c:pt>
                <c:pt idx="143">
                  <c:v>8811.0499999999993</c:v>
                </c:pt>
                <c:pt idx="144">
                  <c:v>8861.7749999999996</c:v>
                </c:pt>
                <c:pt idx="145">
                  <c:v>8912.5</c:v>
                </c:pt>
                <c:pt idx="146">
                  <c:v>8964.4</c:v>
                </c:pt>
                <c:pt idx="147">
                  <c:v>9016.2999999999993</c:v>
                </c:pt>
                <c:pt idx="148">
                  <c:v>9068.2000000000007</c:v>
                </c:pt>
                <c:pt idx="149">
                  <c:v>9120.1</c:v>
                </c:pt>
                <c:pt idx="150">
                  <c:v>9173.2000000000007</c:v>
                </c:pt>
                <c:pt idx="151">
                  <c:v>9226.2999999999993</c:v>
                </c:pt>
                <c:pt idx="152">
                  <c:v>9279.4</c:v>
                </c:pt>
                <c:pt idx="153">
                  <c:v>9332.5</c:v>
                </c:pt>
                <c:pt idx="154">
                  <c:v>9386.85</c:v>
                </c:pt>
                <c:pt idx="155">
                  <c:v>9441.2000000000007</c:v>
                </c:pt>
                <c:pt idx="156">
                  <c:v>9495.5499999999993</c:v>
                </c:pt>
                <c:pt idx="157">
                  <c:v>9549.9</c:v>
                </c:pt>
                <c:pt idx="158">
                  <c:v>9605.5249999999996</c:v>
                </c:pt>
                <c:pt idx="159">
                  <c:v>9661.15</c:v>
                </c:pt>
                <c:pt idx="160">
                  <c:v>9716.7749999999996</c:v>
                </c:pt>
                <c:pt idx="161">
                  <c:v>9772.4</c:v>
                </c:pt>
                <c:pt idx="162">
                  <c:v>9829.2999999999993</c:v>
                </c:pt>
                <c:pt idx="163">
                  <c:v>9886.2000000000007</c:v>
                </c:pt>
                <c:pt idx="164">
                  <c:v>9943.1</c:v>
                </c:pt>
                <c:pt idx="165">
                  <c:v>10000</c:v>
                </c:pt>
                <c:pt idx="166">
                  <c:v>10058.25</c:v>
                </c:pt>
                <c:pt idx="167">
                  <c:v>10116.5</c:v>
                </c:pt>
                <c:pt idx="168">
                  <c:v>10174.75</c:v>
                </c:pt>
                <c:pt idx="169">
                  <c:v>10233</c:v>
                </c:pt>
                <c:pt idx="170">
                  <c:v>10292.5</c:v>
                </c:pt>
                <c:pt idx="171">
                  <c:v>10352</c:v>
                </c:pt>
                <c:pt idx="172">
                  <c:v>10411.5</c:v>
                </c:pt>
                <c:pt idx="173">
                  <c:v>10471</c:v>
                </c:pt>
                <c:pt idx="174">
                  <c:v>10532</c:v>
                </c:pt>
                <c:pt idx="175">
                  <c:v>10593</c:v>
                </c:pt>
                <c:pt idx="176">
                  <c:v>10654</c:v>
                </c:pt>
                <c:pt idx="177">
                  <c:v>10715</c:v>
                </c:pt>
                <c:pt idx="178">
                  <c:v>10777.5</c:v>
                </c:pt>
                <c:pt idx="179">
                  <c:v>10840</c:v>
                </c:pt>
                <c:pt idx="180">
                  <c:v>10902.5</c:v>
                </c:pt>
                <c:pt idx="181">
                  <c:v>10965</c:v>
                </c:pt>
                <c:pt idx="182">
                  <c:v>11028.75</c:v>
                </c:pt>
                <c:pt idx="183">
                  <c:v>11092.5</c:v>
                </c:pt>
                <c:pt idx="184">
                  <c:v>11156.25</c:v>
                </c:pt>
                <c:pt idx="185">
                  <c:v>11220</c:v>
                </c:pt>
                <c:pt idx="186">
                  <c:v>11285.5</c:v>
                </c:pt>
                <c:pt idx="187">
                  <c:v>11351</c:v>
                </c:pt>
                <c:pt idx="188">
                  <c:v>11416.5</c:v>
                </c:pt>
                <c:pt idx="189">
                  <c:v>11482</c:v>
                </c:pt>
                <c:pt idx="190">
                  <c:v>11548.75</c:v>
                </c:pt>
                <c:pt idx="191">
                  <c:v>11615.5</c:v>
                </c:pt>
                <c:pt idx="192">
                  <c:v>11682.25</c:v>
                </c:pt>
                <c:pt idx="193">
                  <c:v>11749</c:v>
                </c:pt>
                <c:pt idx="194">
                  <c:v>11817.5</c:v>
                </c:pt>
                <c:pt idx="195">
                  <c:v>11886</c:v>
                </c:pt>
                <c:pt idx="196">
                  <c:v>11954.5</c:v>
                </c:pt>
                <c:pt idx="197">
                  <c:v>12023</c:v>
                </c:pt>
                <c:pt idx="198">
                  <c:v>12093</c:v>
                </c:pt>
                <c:pt idx="199">
                  <c:v>12163</c:v>
                </c:pt>
                <c:pt idx="200">
                  <c:v>12233</c:v>
                </c:pt>
                <c:pt idx="201">
                  <c:v>12303</c:v>
                </c:pt>
                <c:pt idx="202">
                  <c:v>12374.5</c:v>
                </c:pt>
                <c:pt idx="203">
                  <c:v>12446</c:v>
                </c:pt>
                <c:pt idx="204">
                  <c:v>12517.5</c:v>
                </c:pt>
                <c:pt idx="205">
                  <c:v>12589</c:v>
                </c:pt>
                <c:pt idx="206">
                  <c:v>12662.25</c:v>
                </c:pt>
                <c:pt idx="207">
                  <c:v>12735.5</c:v>
                </c:pt>
                <c:pt idx="208">
                  <c:v>12808.75</c:v>
                </c:pt>
                <c:pt idx="209">
                  <c:v>12882</c:v>
                </c:pt>
                <c:pt idx="210">
                  <c:v>12957.25</c:v>
                </c:pt>
                <c:pt idx="211">
                  <c:v>13032.5</c:v>
                </c:pt>
                <c:pt idx="212">
                  <c:v>13107.75</c:v>
                </c:pt>
                <c:pt idx="213">
                  <c:v>13183</c:v>
                </c:pt>
                <c:pt idx="214">
                  <c:v>13259.75</c:v>
                </c:pt>
                <c:pt idx="215">
                  <c:v>13336.5</c:v>
                </c:pt>
                <c:pt idx="216">
                  <c:v>13413.25</c:v>
                </c:pt>
                <c:pt idx="217">
                  <c:v>13490</c:v>
                </c:pt>
                <c:pt idx="218">
                  <c:v>13568.5</c:v>
                </c:pt>
                <c:pt idx="219">
                  <c:v>13647</c:v>
                </c:pt>
                <c:pt idx="220">
                  <c:v>13725.5</c:v>
                </c:pt>
                <c:pt idx="221">
                  <c:v>13804</c:v>
                </c:pt>
                <c:pt idx="222">
                  <c:v>13884.25</c:v>
                </c:pt>
                <c:pt idx="223">
                  <c:v>13964.5</c:v>
                </c:pt>
                <c:pt idx="224">
                  <c:v>14044.75</c:v>
                </c:pt>
                <c:pt idx="225">
                  <c:v>14125</c:v>
                </c:pt>
                <c:pt idx="226">
                  <c:v>14207.25</c:v>
                </c:pt>
                <c:pt idx="227">
                  <c:v>14289.5</c:v>
                </c:pt>
                <c:pt idx="228">
                  <c:v>14371.75</c:v>
                </c:pt>
                <c:pt idx="229">
                  <c:v>14454</c:v>
                </c:pt>
                <c:pt idx="230">
                  <c:v>14622.5</c:v>
                </c:pt>
                <c:pt idx="231">
                  <c:v>14706.75</c:v>
                </c:pt>
                <c:pt idx="232">
                  <c:v>14791</c:v>
                </c:pt>
                <c:pt idx="233">
                  <c:v>14877.25</c:v>
                </c:pt>
                <c:pt idx="234">
                  <c:v>14963.5</c:v>
                </c:pt>
                <c:pt idx="235">
                  <c:v>15049.75</c:v>
                </c:pt>
                <c:pt idx="236">
                  <c:v>15136</c:v>
                </c:pt>
                <c:pt idx="237">
                  <c:v>15224</c:v>
                </c:pt>
                <c:pt idx="238">
                  <c:v>15312</c:v>
                </c:pt>
                <c:pt idx="239">
                  <c:v>15400</c:v>
                </c:pt>
                <c:pt idx="240">
                  <c:v>15488</c:v>
                </c:pt>
                <c:pt idx="241">
                  <c:v>15578.25</c:v>
                </c:pt>
                <c:pt idx="242">
                  <c:v>15668.5</c:v>
                </c:pt>
                <c:pt idx="243">
                  <c:v>15758.75</c:v>
                </c:pt>
                <c:pt idx="244">
                  <c:v>15849</c:v>
                </c:pt>
                <c:pt idx="245">
                  <c:v>15941.25</c:v>
                </c:pt>
                <c:pt idx="246">
                  <c:v>16033.5</c:v>
                </c:pt>
                <c:pt idx="247">
                  <c:v>16125.75</c:v>
                </c:pt>
                <c:pt idx="248">
                  <c:v>16218</c:v>
                </c:pt>
                <c:pt idx="249">
                  <c:v>16312.5</c:v>
                </c:pt>
                <c:pt idx="250">
                  <c:v>16407</c:v>
                </c:pt>
                <c:pt idx="251">
                  <c:v>16501.5</c:v>
                </c:pt>
                <c:pt idx="252">
                  <c:v>16596</c:v>
                </c:pt>
                <c:pt idx="253">
                  <c:v>16692.5</c:v>
                </c:pt>
                <c:pt idx="254">
                  <c:v>16789</c:v>
                </c:pt>
                <c:pt idx="255">
                  <c:v>16885.5</c:v>
                </c:pt>
                <c:pt idx="256">
                  <c:v>16982</c:v>
                </c:pt>
                <c:pt idx="257">
                  <c:v>17081</c:v>
                </c:pt>
                <c:pt idx="258">
                  <c:v>17180</c:v>
                </c:pt>
                <c:pt idx="259">
                  <c:v>17279</c:v>
                </c:pt>
                <c:pt idx="260">
                  <c:v>17378</c:v>
                </c:pt>
                <c:pt idx="261">
                  <c:v>17479.25</c:v>
                </c:pt>
                <c:pt idx="262">
                  <c:v>17580.5</c:v>
                </c:pt>
                <c:pt idx="263">
                  <c:v>17681.75</c:v>
                </c:pt>
                <c:pt idx="264">
                  <c:v>17783</c:v>
                </c:pt>
                <c:pt idx="265">
                  <c:v>17886.5</c:v>
                </c:pt>
                <c:pt idx="266">
                  <c:v>17990</c:v>
                </c:pt>
                <c:pt idx="267">
                  <c:v>18093.5</c:v>
                </c:pt>
                <c:pt idx="268">
                  <c:v>18197</c:v>
                </c:pt>
                <c:pt idx="269">
                  <c:v>18303</c:v>
                </c:pt>
                <c:pt idx="270">
                  <c:v>18409</c:v>
                </c:pt>
                <c:pt idx="271">
                  <c:v>18515</c:v>
                </c:pt>
                <c:pt idx="272">
                  <c:v>18621</c:v>
                </c:pt>
                <c:pt idx="273">
                  <c:v>18729.5</c:v>
                </c:pt>
                <c:pt idx="274">
                  <c:v>18838</c:v>
                </c:pt>
                <c:pt idx="275">
                  <c:v>18946.5</c:v>
                </c:pt>
                <c:pt idx="276">
                  <c:v>19055</c:v>
                </c:pt>
                <c:pt idx="277">
                  <c:v>19165.75</c:v>
                </c:pt>
                <c:pt idx="278">
                  <c:v>19276.5</c:v>
                </c:pt>
                <c:pt idx="279">
                  <c:v>19387.25</c:v>
                </c:pt>
                <c:pt idx="280">
                  <c:v>19498</c:v>
                </c:pt>
                <c:pt idx="281">
                  <c:v>19611.75</c:v>
                </c:pt>
                <c:pt idx="282">
                  <c:v>19725.5</c:v>
                </c:pt>
                <c:pt idx="283">
                  <c:v>19839.25</c:v>
                </c:pt>
                <c:pt idx="284">
                  <c:v>19953</c:v>
                </c:pt>
                <c:pt idx="285">
                  <c:v>20069</c:v>
                </c:pt>
                <c:pt idx="286">
                  <c:v>20185</c:v>
                </c:pt>
                <c:pt idx="287">
                  <c:v>20301</c:v>
                </c:pt>
                <c:pt idx="288">
                  <c:v>20417</c:v>
                </c:pt>
                <c:pt idx="289">
                  <c:v>20536</c:v>
                </c:pt>
                <c:pt idx="290">
                  <c:v>20655</c:v>
                </c:pt>
                <c:pt idx="291">
                  <c:v>20774</c:v>
                </c:pt>
                <c:pt idx="292">
                  <c:v>20893</c:v>
                </c:pt>
                <c:pt idx="293">
                  <c:v>21014.75</c:v>
                </c:pt>
                <c:pt idx="294">
                  <c:v>21136.5</c:v>
                </c:pt>
                <c:pt idx="295">
                  <c:v>21258.25</c:v>
                </c:pt>
                <c:pt idx="296">
                  <c:v>21380</c:v>
                </c:pt>
                <c:pt idx="297">
                  <c:v>21504.5</c:v>
                </c:pt>
                <c:pt idx="298">
                  <c:v>21629</c:v>
                </c:pt>
                <c:pt idx="299">
                  <c:v>21753.5</c:v>
                </c:pt>
                <c:pt idx="300">
                  <c:v>21878</c:v>
                </c:pt>
                <c:pt idx="301">
                  <c:v>22005.25</c:v>
                </c:pt>
                <c:pt idx="302">
                  <c:v>22132.5</c:v>
                </c:pt>
                <c:pt idx="303">
                  <c:v>22259.75</c:v>
                </c:pt>
                <c:pt idx="304">
                  <c:v>22387</c:v>
                </c:pt>
                <c:pt idx="305">
                  <c:v>22517.5</c:v>
                </c:pt>
                <c:pt idx="306">
                  <c:v>22648</c:v>
                </c:pt>
                <c:pt idx="307">
                  <c:v>22778.5</c:v>
                </c:pt>
                <c:pt idx="308">
                  <c:v>22909</c:v>
                </c:pt>
                <c:pt idx="309">
                  <c:v>23042.25</c:v>
                </c:pt>
                <c:pt idx="310">
                  <c:v>23175.5</c:v>
                </c:pt>
                <c:pt idx="311">
                  <c:v>23308.75</c:v>
                </c:pt>
                <c:pt idx="312">
                  <c:v>23442</c:v>
                </c:pt>
                <c:pt idx="313">
                  <c:v>23578.5</c:v>
                </c:pt>
                <c:pt idx="314">
                  <c:v>23715</c:v>
                </c:pt>
                <c:pt idx="315">
                  <c:v>23851.5</c:v>
                </c:pt>
                <c:pt idx="316">
                  <c:v>23988</c:v>
                </c:pt>
                <c:pt idx="317">
                  <c:v>24127.75</c:v>
                </c:pt>
                <c:pt idx="318">
                  <c:v>24267.5</c:v>
                </c:pt>
                <c:pt idx="319">
                  <c:v>24407.25</c:v>
                </c:pt>
                <c:pt idx="320">
                  <c:v>24547</c:v>
                </c:pt>
                <c:pt idx="321">
                  <c:v>24690</c:v>
                </c:pt>
                <c:pt idx="322">
                  <c:v>24833</c:v>
                </c:pt>
                <c:pt idx="323">
                  <c:v>24976</c:v>
                </c:pt>
                <c:pt idx="324">
                  <c:v>25119</c:v>
                </c:pt>
                <c:pt idx="325">
                  <c:v>25265.25</c:v>
                </c:pt>
                <c:pt idx="326">
                  <c:v>25411.5</c:v>
                </c:pt>
                <c:pt idx="327">
                  <c:v>25557.75</c:v>
                </c:pt>
                <c:pt idx="328">
                  <c:v>25704</c:v>
                </c:pt>
                <c:pt idx="329">
                  <c:v>25853.75</c:v>
                </c:pt>
                <c:pt idx="330">
                  <c:v>26003.5</c:v>
                </c:pt>
                <c:pt idx="331">
                  <c:v>26153.25</c:v>
                </c:pt>
                <c:pt idx="332">
                  <c:v>26303</c:v>
                </c:pt>
                <c:pt idx="333">
                  <c:v>26456</c:v>
                </c:pt>
                <c:pt idx="334">
                  <c:v>26609</c:v>
                </c:pt>
                <c:pt idx="335">
                  <c:v>26762</c:v>
                </c:pt>
                <c:pt idx="336">
                  <c:v>26915</c:v>
                </c:pt>
                <c:pt idx="337">
                  <c:v>27071.75</c:v>
                </c:pt>
                <c:pt idx="338">
                  <c:v>27228.5</c:v>
                </c:pt>
                <c:pt idx="339">
                  <c:v>27385.25</c:v>
                </c:pt>
                <c:pt idx="340">
                  <c:v>27542</c:v>
                </c:pt>
                <c:pt idx="341">
                  <c:v>27702.5</c:v>
                </c:pt>
                <c:pt idx="342">
                  <c:v>27863</c:v>
                </c:pt>
                <c:pt idx="343">
                  <c:v>28023.5</c:v>
                </c:pt>
                <c:pt idx="344">
                  <c:v>28184</c:v>
                </c:pt>
                <c:pt idx="345">
                  <c:v>28348</c:v>
                </c:pt>
                <c:pt idx="346">
                  <c:v>28512</c:v>
                </c:pt>
                <c:pt idx="347">
                  <c:v>28676</c:v>
                </c:pt>
                <c:pt idx="348">
                  <c:v>28840</c:v>
                </c:pt>
                <c:pt idx="349">
                  <c:v>29008</c:v>
                </c:pt>
                <c:pt idx="350">
                  <c:v>29176</c:v>
                </c:pt>
                <c:pt idx="351">
                  <c:v>29344</c:v>
                </c:pt>
                <c:pt idx="352">
                  <c:v>29512</c:v>
                </c:pt>
                <c:pt idx="353">
                  <c:v>29684</c:v>
                </c:pt>
                <c:pt idx="354">
                  <c:v>29856</c:v>
                </c:pt>
                <c:pt idx="355">
                  <c:v>30028</c:v>
                </c:pt>
                <c:pt idx="356">
                  <c:v>30200</c:v>
                </c:pt>
                <c:pt idx="357">
                  <c:v>30375.75</c:v>
                </c:pt>
                <c:pt idx="358">
                  <c:v>30551.5</c:v>
                </c:pt>
                <c:pt idx="359">
                  <c:v>30727.25</c:v>
                </c:pt>
                <c:pt idx="360">
                  <c:v>30903</c:v>
                </c:pt>
                <c:pt idx="361">
                  <c:v>31083</c:v>
                </c:pt>
                <c:pt idx="362">
                  <c:v>31263</c:v>
                </c:pt>
                <c:pt idx="363">
                  <c:v>31443</c:v>
                </c:pt>
                <c:pt idx="364">
                  <c:v>31623</c:v>
                </c:pt>
                <c:pt idx="365">
                  <c:v>31807</c:v>
                </c:pt>
                <c:pt idx="366">
                  <c:v>31991</c:v>
                </c:pt>
                <c:pt idx="367">
                  <c:v>32175</c:v>
                </c:pt>
                <c:pt idx="368">
                  <c:v>32359</c:v>
                </c:pt>
                <c:pt idx="369">
                  <c:v>32547.5</c:v>
                </c:pt>
                <c:pt idx="370">
                  <c:v>32736</c:v>
                </c:pt>
                <c:pt idx="371">
                  <c:v>32924.5</c:v>
                </c:pt>
                <c:pt idx="372">
                  <c:v>33113</c:v>
                </c:pt>
                <c:pt idx="373">
                  <c:v>33305.75</c:v>
                </c:pt>
                <c:pt idx="374">
                  <c:v>33498.5</c:v>
                </c:pt>
                <c:pt idx="375">
                  <c:v>33691.25</c:v>
                </c:pt>
                <c:pt idx="376">
                  <c:v>33884</c:v>
                </c:pt>
                <c:pt idx="377">
                  <c:v>34081.5</c:v>
                </c:pt>
                <c:pt idx="378">
                  <c:v>34279</c:v>
                </c:pt>
                <c:pt idx="379">
                  <c:v>34476.5</c:v>
                </c:pt>
                <c:pt idx="380">
                  <c:v>34674</c:v>
                </c:pt>
                <c:pt idx="381">
                  <c:v>34875.75</c:v>
                </c:pt>
                <c:pt idx="382">
                  <c:v>35077.5</c:v>
                </c:pt>
                <c:pt idx="383">
                  <c:v>35279.25</c:v>
                </c:pt>
                <c:pt idx="384">
                  <c:v>35481</c:v>
                </c:pt>
                <c:pt idx="385">
                  <c:v>35687.75</c:v>
                </c:pt>
                <c:pt idx="386">
                  <c:v>35894.5</c:v>
                </c:pt>
                <c:pt idx="387">
                  <c:v>36101.25</c:v>
                </c:pt>
                <c:pt idx="388">
                  <c:v>36308</c:v>
                </c:pt>
                <c:pt idx="389">
                  <c:v>36519.5</c:v>
                </c:pt>
                <c:pt idx="390">
                  <c:v>36731</c:v>
                </c:pt>
                <c:pt idx="391">
                  <c:v>36942.5</c:v>
                </c:pt>
                <c:pt idx="392">
                  <c:v>37154</c:v>
                </c:pt>
                <c:pt idx="393">
                  <c:v>37370.25</c:v>
                </c:pt>
                <c:pt idx="394">
                  <c:v>37586.5</c:v>
                </c:pt>
                <c:pt idx="395">
                  <c:v>37802.75</c:v>
                </c:pt>
                <c:pt idx="396">
                  <c:v>38019</c:v>
                </c:pt>
                <c:pt idx="397">
                  <c:v>38240.5</c:v>
                </c:pt>
                <c:pt idx="398">
                  <c:v>38462</c:v>
                </c:pt>
                <c:pt idx="399">
                  <c:v>38683.5</c:v>
                </c:pt>
                <c:pt idx="400">
                  <c:v>38905</c:v>
                </c:pt>
                <c:pt idx="401">
                  <c:v>39131.5</c:v>
                </c:pt>
                <c:pt idx="402">
                  <c:v>39358</c:v>
                </c:pt>
                <c:pt idx="403">
                  <c:v>39584.5</c:v>
                </c:pt>
                <c:pt idx="404">
                  <c:v>39811</c:v>
                </c:pt>
                <c:pt idx="405">
                  <c:v>40042.75</c:v>
                </c:pt>
                <c:pt idx="406">
                  <c:v>40274.5</c:v>
                </c:pt>
                <c:pt idx="407">
                  <c:v>40506.25</c:v>
                </c:pt>
                <c:pt idx="408">
                  <c:v>40738</c:v>
                </c:pt>
                <c:pt idx="409">
                  <c:v>40975.25</c:v>
                </c:pt>
                <c:pt idx="410">
                  <c:v>41212.5</c:v>
                </c:pt>
                <c:pt idx="411">
                  <c:v>41449.75</c:v>
                </c:pt>
                <c:pt idx="412">
                  <c:v>41687</c:v>
                </c:pt>
                <c:pt idx="413">
                  <c:v>41929.75</c:v>
                </c:pt>
                <c:pt idx="414">
                  <c:v>42172.5</c:v>
                </c:pt>
                <c:pt idx="415">
                  <c:v>42415.25</c:v>
                </c:pt>
                <c:pt idx="416">
                  <c:v>42658</c:v>
                </c:pt>
                <c:pt idx="417">
                  <c:v>42906.5</c:v>
                </c:pt>
                <c:pt idx="418">
                  <c:v>43155</c:v>
                </c:pt>
                <c:pt idx="419">
                  <c:v>43403.5</c:v>
                </c:pt>
                <c:pt idx="420">
                  <c:v>43652</c:v>
                </c:pt>
                <c:pt idx="421">
                  <c:v>43906</c:v>
                </c:pt>
                <c:pt idx="422">
                  <c:v>44160</c:v>
                </c:pt>
                <c:pt idx="423">
                  <c:v>44414</c:v>
                </c:pt>
                <c:pt idx="424">
                  <c:v>44668</c:v>
                </c:pt>
                <c:pt idx="425">
                  <c:v>44928.25</c:v>
                </c:pt>
                <c:pt idx="426">
                  <c:v>45188.5</c:v>
                </c:pt>
                <c:pt idx="427">
                  <c:v>45448.75</c:v>
                </c:pt>
                <c:pt idx="428">
                  <c:v>45709</c:v>
                </c:pt>
                <c:pt idx="429">
                  <c:v>45975.25</c:v>
                </c:pt>
                <c:pt idx="430">
                  <c:v>46241.5</c:v>
                </c:pt>
                <c:pt idx="431">
                  <c:v>46507.75</c:v>
                </c:pt>
                <c:pt idx="432">
                  <c:v>46774</c:v>
                </c:pt>
                <c:pt idx="433">
                  <c:v>47046.25</c:v>
                </c:pt>
                <c:pt idx="434">
                  <c:v>47318.5</c:v>
                </c:pt>
                <c:pt idx="435">
                  <c:v>47590.75</c:v>
                </c:pt>
                <c:pt idx="436">
                  <c:v>47863</c:v>
                </c:pt>
                <c:pt idx="437">
                  <c:v>48141.75</c:v>
                </c:pt>
                <c:pt idx="438">
                  <c:v>48420.5</c:v>
                </c:pt>
                <c:pt idx="439">
                  <c:v>48699.25</c:v>
                </c:pt>
                <c:pt idx="440">
                  <c:v>48978</c:v>
                </c:pt>
                <c:pt idx="441">
                  <c:v>49263.25</c:v>
                </c:pt>
                <c:pt idx="442">
                  <c:v>49548.5</c:v>
                </c:pt>
                <c:pt idx="443">
                  <c:v>49833.75</c:v>
                </c:pt>
                <c:pt idx="444">
                  <c:v>50119</c:v>
                </c:pt>
                <c:pt idx="445">
                  <c:v>50410.75</c:v>
                </c:pt>
                <c:pt idx="446">
                  <c:v>50702.5</c:v>
                </c:pt>
                <c:pt idx="447">
                  <c:v>50994.25</c:v>
                </c:pt>
                <c:pt idx="448">
                  <c:v>51286</c:v>
                </c:pt>
                <c:pt idx="449">
                  <c:v>51584.75</c:v>
                </c:pt>
                <c:pt idx="450">
                  <c:v>51883.5</c:v>
                </c:pt>
                <c:pt idx="451">
                  <c:v>52182.25</c:v>
                </c:pt>
                <c:pt idx="452">
                  <c:v>52481</c:v>
                </c:pt>
                <c:pt idx="453">
                  <c:v>52786.5</c:v>
                </c:pt>
                <c:pt idx="454">
                  <c:v>53092</c:v>
                </c:pt>
                <c:pt idx="455">
                  <c:v>53397.5</c:v>
                </c:pt>
                <c:pt idx="456">
                  <c:v>53703</c:v>
                </c:pt>
                <c:pt idx="457">
                  <c:v>54015.75</c:v>
                </c:pt>
                <c:pt idx="458">
                  <c:v>54328.5</c:v>
                </c:pt>
                <c:pt idx="459">
                  <c:v>54641.25</c:v>
                </c:pt>
                <c:pt idx="460">
                  <c:v>54954</c:v>
                </c:pt>
                <c:pt idx="461">
                  <c:v>55274</c:v>
                </c:pt>
                <c:pt idx="462">
                  <c:v>55594</c:v>
                </c:pt>
                <c:pt idx="463">
                  <c:v>55914</c:v>
                </c:pt>
                <c:pt idx="464">
                  <c:v>56234</c:v>
                </c:pt>
                <c:pt idx="465">
                  <c:v>56561.5</c:v>
                </c:pt>
                <c:pt idx="466">
                  <c:v>56889</c:v>
                </c:pt>
                <c:pt idx="467">
                  <c:v>57216.5</c:v>
                </c:pt>
                <c:pt idx="468">
                  <c:v>57544</c:v>
                </c:pt>
                <c:pt idx="469">
                  <c:v>57879</c:v>
                </c:pt>
                <c:pt idx="470">
                  <c:v>58214</c:v>
                </c:pt>
                <c:pt idx="471">
                  <c:v>58549</c:v>
                </c:pt>
                <c:pt idx="472">
                  <c:v>58884</c:v>
                </c:pt>
                <c:pt idx="473">
                  <c:v>59227</c:v>
                </c:pt>
                <c:pt idx="474">
                  <c:v>59570</c:v>
                </c:pt>
                <c:pt idx="475">
                  <c:v>59913</c:v>
                </c:pt>
                <c:pt idx="476">
                  <c:v>60256</c:v>
                </c:pt>
                <c:pt idx="477">
                  <c:v>60607</c:v>
                </c:pt>
                <c:pt idx="478">
                  <c:v>60958</c:v>
                </c:pt>
                <c:pt idx="479">
                  <c:v>61309</c:v>
                </c:pt>
                <c:pt idx="480">
                  <c:v>61660</c:v>
                </c:pt>
                <c:pt idx="481">
                  <c:v>62019</c:v>
                </c:pt>
                <c:pt idx="482">
                  <c:v>62378</c:v>
                </c:pt>
                <c:pt idx="483">
                  <c:v>62737</c:v>
                </c:pt>
                <c:pt idx="484">
                  <c:v>63096</c:v>
                </c:pt>
                <c:pt idx="485">
                  <c:v>63463.25</c:v>
                </c:pt>
                <c:pt idx="486">
                  <c:v>63830.5</c:v>
                </c:pt>
                <c:pt idx="487">
                  <c:v>64197.75</c:v>
                </c:pt>
                <c:pt idx="488">
                  <c:v>64565</c:v>
                </c:pt>
                <c:pt idx="489">
                  <c:v>64941</c:v>
                </c:pt>
                <c:pt idx="490">
                  <c:v>65317</c:v>
                </c:pt>
                <c:pt idx="491">
                  <c:v>65693</c:v>
                </c:pt>
                <c:pt idx="492">
                  <c:v>66069</c:v>
                </c:pt>
                <c:pt idx="493">
                  <c:v>66453.75</c:v>
                </c:pt>
                <c:pt idx="494">
                  <c:v>66838.5</c:v>
                </c:pt>
                <c:pt idx="495">
                  <c:v>67223.25</c:v>
                </c:pt>
                <c:pt idx="496">
                  <c:v>67608</c:v>
                </c:pt>
                <c:pt idx="497">
                  <c:v>68001.75</c:v>
                </c:pt>
                <c:pt idx="498">
                  <c:v>68395.5</c:v>
                </c:pt>
                <c:pt idx="499">
                  <c:v>68789.25</c:v>
                </c:pt>
                <c:pt idx="500">
                  <c:v>69183</c:v>
                </c:pt>
                <c:pt idx="501">
                  <c:v>69586</c:v>
                </c:pt>
                <c:pt idx="502">
                  <c:v>69989</c:v>
                </c:pt>
                <c:pt idx="503">
                  <c:v>70392</c:v>
                </c:pt>
                <c:pt idx="504">
                  <c:v>70795</c:v>
                </c:pt>
                <c:pt idx="505">
                  <c:v>71207.25</c:v>
                </c:pt>
                <c:pt idx="506">
                  <c:v>71619.5</c:v>
                </c:pt>
                <c:pt idx="507">
                  <c:v>72031.75</c:v>
                </c:pt>
                <c:pt idx="508">
                  <c:v>72444</c:v>
                </c:pt>
                <c:pt idx="509">
                  <c:v>72865.75</c:v>
                </c:pt>
                <c:pt idx="510">
                  <c:v>73287.5</c:v>
                </c:pt>
                <c:pt idx="511">
                  <c:v>73709.25</c:v>
                </c:pt>
                <c:pt idx="512">
                  <c:v>74131</c:v>
                </c:pt>
                <c:pt idx="513">
                  <c:v>74562.75</c:v>
                </c:pt>
                <c:pt idx="514">
                  <c:v>74994.5</c:v>
                </c:pt>
                <c:pt idx="515">
                  <c:v>75426.25</c:v>
                </c:pt>
                <c:pt idx="516">
                  <c:v>75858</c:v>
                </c:pt>
                <c:pt idx="517">
                  <c:v>76299.75</c:v>
                </c:pt>
                <c:pt idx="518">
                  <c:v>76741.5</c:v>
                </c:pt>
                <c:pt idx="519">
                  <c:v>77183.25</c:v>
                </c:pt>
                <c:pt idx="520">
                  <c:v>77625</c:v>
                </c:pt>
                <c:pt idx="521">
                  <c:v>78077</c:v>
                </c:pt>
                <c:pt idx="522">
                  <c:v>78529</c:v>
                </c:pt>
                <c:pt idx="523">
                  <c:v>78981</c:v>
                </c:pt>
                <c:pt idx="524">
                  <c:v>79433</c:v>
                </c:pt>
                <c:pt idx="525">
                  <c:v>79895.5</c:v>
                </c:pt>
                <c:pt idx="526">
                  <c:v>80358</c:v>
                </c:pt>
                <c:pt idx="527">
                  <c:v>80820.5</c:v>
                </c:pt>
                <c:pt idx="528">
                  <c:v>81283</c:v>
                </c:pt>
                <c:pt idx="529">
                  <c:v>81756.25</c:v>
                </c:pt>
                <c:pt idx="530">
                  <c:v>82229.5</c:v>
                </c:pt>
                <c:pt idx="531">
                  <c:v>82702.75</c:v>
                </c:pt>
                <c:pt idx="532">
                  <c:v>83176</c:v>
                </c:pt>
                <c:pt idx="533">
                  <c:v>83660.5</c:v>
                </c:pt>
                <c:pt idx="534">
                  <c:v>84145</c:v>
                </c:pt>
                <c:pt idx="535">
                  <c:v>84629.5</c:v>
                </c:pt>
                <c:pt idx="536">
                  <c:v>85114</c:v>
                </c:pt>
                <c:pt idx="537">
                  <c:v>85609.5</c:v>
                </c:pt>
                <c:pt idx="538">
                  <c:v>86105</c:v>
                </c:pt>
                <c:pt idx="539">
                  <c:v>86600.5</c:v>
                </c:pt>
                <c:pt idx="540">
                  <c:v>87096</c:v>
                </c:pt>
                <c:pt idx="541">
                  <c:v>87603.25</c:v>
                </c:pt>
                <c:pt idx="542">
                  <c:v>88110.5</c:v>
                </c:pt>
                <c:pt idx="543">
                  <c:v>88617.75</c:v>
                </c:pt>
                <c:pt idx="544">
                  <c:v>89125</c:v>
                </c:pt>
                <c:pt idx="545">
                  <c:v>89644</c:v>
                </c:pt>
                <c:pt idx="546">
                  <c:v>90163</c:v>
                </c:pt>
                <c:pt idx="547">
                  <c:v>90682</c:v>
                </c:pt>
                <c:pt idx="548">
                  <c:v>91201</c:v>
                </c:pt>
                <c:pt idx="549">
                  <c:v>91732</c:v>
                </c:pt>
                <c:pt idx="550">
                  <c:v>92263</c:v>
                </c:pt>
                <c:pt idx="551">
                  <c:v>92794</c:v>
                </c:pt>
                <c:pt idx="552">
                  <c:v>93325</c:v>
                </c:pt>
                <c:pt idx="553">
                  <c:v>93868.5</c:v>
                </c:pt>
                <c:pt idx="554">
                  <c:v>94412</c:v>
                </c:pt>
                <c:pt idx="555">
                  <c:v>94955.5</c:v>
                </c:pt>
                <c:pt idx="556">
                  <c:v>95499</c:v>
                </c:pt>
                <c:pt idx="557">
                  <c:v>96611.5</c:v>
                </c:pt>
                <c:pt idx="558">
                  <c:v>97724</c:v>
                </c:pt>
                <c:pt idx="559">
                  <c:v>98862</c:v>
                </c:pt>
                <c:pt idx="560">
                  <c:v>100000</c:v>
                </c:pt>
                <c:pt idx="561">
                  <c:v>101165</c:v>
                </c:pt>
                <c:pt idx="562">
                  <c:v>102330</c:v>
                </c:pt>
                <c:pt idx="563">
                  <c:v>103520</c:v>
                </c:pt>
                <c:pt idx="564">
                  <c:v>104710</c:v>
                </c:pt>
                <c:pt idx="565">
                  <c:v>105930</c:v>
                </c:pt>
                <c:pt idx="566">
                  <c:v>107150</c:v>
                </c:pt>
                <c:pt idx="567">
                  <c:v>108400</c:v>
                </c:pt>
                <c:pt idx="568">
                  <c:v>109650</c:v>
                </c:pt>
                <c:pt idx="569">
                  <c:v>110925</c:v>
                </c:pt>
                <c:pt idx="570">
                  <c:v>112200</c:v>
                </c:pt>
                <c:pt idx="571">
                  <c:v>113510</c:v>
                </c:pt>
                <c:pt idx="572">
                  <c:v>114820</c:v>
                </c:pt>
                <c:pt idx="573">
                  <c:v>116155</c:v>
                </c:pt>
                <c:pt idx="574">
                  <c:v>117490</c:v>
                </c:pt>
                <c:pt idx="575">
                  <c:v>118860</c:v>
                </c:pt>
                <c:pt idx="576">
                  <c:v>120230</c:v>
                </c:pt>
                <c:pt idx="577">
                  <c:v>126030</c:v>
                </c:pt>
                <c:pt idx="578">
                  <c:v>131830</c:v>
                </c:pt>
                <c:pt idx="579">
                  <c:v>144540</c:v>
                </c:pt>
                <c:pt idx="580">
                  <c:v>158490</c:v>
                </c:pt>
                <c:pt idx="581">
                  <c:v>173780</c:v>
                </c:pt>
                <c:pt idx="582">
                  <c:v>190550</c:v>
                </c:pt>
                <c:pt idx="583">
                  <c:v>208930</c:v>
                </c:pt>
                <c:pt idx="584">
                  <c:v>229090</c:v>
                </c:pt>
                <c:pt idx="585">
                  <c:v>251190</c:v>
                </c:pt>
                <c:pt idx="586">
                  <c:v>275420</c:v>
                </c:pt>
                <c:pt idx="587">
                  <c:v>302000</c:v>
                </c:pt>
                <c:pt idx="588">
                  <c:v>331130</c:v>
                </c:pt>
                <c:pt idx="589">
                  <c:v>363080</c:v>
                </c:pt>
                <c:pt idx="590">
                  <c:v>398110</c:v>
                </c:pt>
                <c:pt idx="591">
                  <c:v>436520</c:v>
                </c:pt>
                <c:pt idx="592">
                  <c:v>478630</c:v>
                </c:pt>
                <c:pt idx="593">
                  <c:v>524810</c:v>
                </c:pt>
                <c:pt idx="594">
                  <c:v>575440</c:v>
                </c:pt>
                <c:pt idx="595">
                  <c:v>630960</c:v>
                </c:pt>
                <c:pt idx="596">
                  <c:v>691830</c:v>
                </c:pt>
                <c:pt idx="597">
                  <c:v>758580</c:v>
                </c:pt>
                <c:pt idx="598">
                  <c:v>831760</c:v>
                </c:pt>
                <c:pt idx="599">
                  <c:v>912010</c:v>
                </c:pt>
                <c:pt idx="600">
                  <c:v>1000000</c:v>
                </c:pt>
              </c:numCache>
            </c:numRef>
          </c:xVal>
          <c:yVal>
            <c:numRef>
              <c:f>'Stability Calculations'!$AG$13:$AG$613</c:f>
              <c:numCache>
                <c:formatCode>0.00</c:formatCode>
                <c:ptCount val="601"/>
                <c:pt idx="0">
                  <c:v>49.096582937497956</c:v>
                </c:pt>
                <c:pt idx="1">
                  <c:v>49.096559641945504</c:v>
                </c:pt>
                <c:pt idx="2">
                  <c:v>49.096531636974625</c:v>
                </c:pt>
                <c:pt idx="3">
                  <c:v>49.096497969766304</c:v>
                </c:pt>
                <c:pt idx="4">
                  <c:v>49.096457523547343</c:v>
                </c:pt>
                <c:pt idx="5">
                  <c:v>49.096408849567609</c:v>
                </c:pt>
                <c:pt idx="6">
                  <c:v>49.096350353013776</c:v>
                </c:pt>
                <c:pt idx="7">
                  <c:v>49.096280004776673</c:v>
                </c:pt>
                <c:pt idx="8">
                  <c:v>49.096195465597674</c:v>
                </c:pt>
                <c:pt idx="9">
                  <c:v>49.096093795641671</c:v>
                </c:pt>
                <c:pt idx="10">
                  <c:v>49.095971592112441</c:v>
                </c:pt>
                <c:pt idx="11">
                  <c:v>49.095824690679144</c:v>
                </c:pt>
                <c:pt idx="12">
                  <c:v>49.095647999798246</c:v>
                </c:pt>
                <c:pt idx="13">
                  <c:v>49.09543568451214</c:v>
                </c:pt>
                <c:pt idx="14">
                  <c:v>49.095180363691647</c:v>
                </c:pt>
                <c:pt idx="15">
                  <c:v>49.094873440573323</c:v>
                </c:pt>
                <c:pt idx="16">
                  <c:v>49.094504462216563</c:v>
                </c:pt>
                <c:pt idx="17">
                  <c:v>49.094060956222108</c:v>
                </c:pt>
                <c:pt idx="18">
                  <c:v>49.093527721442669</c:v>
                </c:pt>
                <c:pt idx="19">
                  <c:v>49.092886786832068</c:v>
                </c:pt>
                <c:pt idx="20">
                  <c:v>49.092116265564556</c:v>
                </c:pt>
                <c:pt idx="21">
                  <c:v>49.091190175519664</c:v>
                </c:pt>
                <c:pt idx="22">
                  <c:v>49.090076909136862</c:v>
                </c:pt>
                <c:pt idx="23">
                  <c:v>49.088739030049112</c:v>
                </c:pt>
                <c:pt idx="24">
                  <c:v>49.087130899083192</c:v>
                </c:pt>
                <c:pt idx="25">
                  <c:v>49.085198336318626</c:v>
                </c:pt>
                <c:pt idx="26">
                  <c:v>49.082875495056498</c:v>
                </c:pt>
                <c:pt idx="27">
                  <c:v>49.08008469633225</c:v>
                </c:pt>
                <c:pt idx="28">
                  <c:v>49.07673198322626</c:v>
                </c:pt>
                <c:pt idx="29">
                  <c:v>49.072707574819319</c:v>
                </c:pt>
                <c:pt idx="30">
                  <c:v>49.067869391928113</c:v>
                </c:pt>
                <c:pt idx="31">
                  <c:v>49.06206189813679</c:v>
                </c:pt>
                <c:pt idx="32">
                  <c:v>49.055087944967212</c:v>
                </c:pt>
                <c:pt idx="33">
                  <c:v>49.046721816491569</c:v>
                </c:pt>
                <c:pt idx="34">
                  <c:v>49.036681484622811</c:v>
                </c:pt>
                <c:pt idx="35">
                  <c:v>49.024643704903454</c:v>
                </c:pt>
                <c:pt idx="36">
                  <c:v>49.010216613425868</c:v>
                </c:pt>
                <c:pt idx="37">
                  <c:v>48.992926530680272</c:v>
                </c:pt>
                <c:pt idx="38">
                  <c:v>48.972240143869442</c:v>
                </c:pt>
                <c:pt idx="39">
                  <c:v>48.947492091906923</c:v>
                </c:pt>
                <c:pt idx="40">
                  <c:v>48.917925828116879</c:v>
                </c:pt>
                <c:pt idx="41">
                  <c:v>48.882643386102849</c:v>
                </c:pt>
                <c:pt idx="42">
                  <c:v>48.840606429668149</c:v>
                </c:pt>
                <c:pt idx="43">
                  <c:v>48.7905919624042</c:v>
                </c:pt>
                <c:pt idx="44">
                  <c:v>48.73122030937747</c:v>
                </c:pt>
                <c:pt idx="45">
                  <c:v>48.660891379904776</c:v>
                </c:pt>
                <c:pt idx="46">
                  <c:v>48.577826850178667</c:v>
                </c:pt>
                <c:pt idx="47">
                  <c:v>48.480009368314697</c:v>
                </c:pt>
                <c:pt idx="48">
                  <c:v>48.365266694935052</c:v>
                </c:pt>
                <c:pt idx="49">
                  <c:v>48.231196847683258</c:v>
                </c:pt>
                <c:pt idx="50">
                  <c:v>48.07530773975995</c:v>
                </c:pt>
                <c:pt idx="51">
                  <c:v>47.894966765935926</c:v>
                </c:pt>
                <c:pt idx="52">
                  <c:v>47.687635580192207</c:v>
                </c:pt>
                <c:pt idx="53">
                  <c:v>47.450815461996555</c:v>
                </c:pt>
                <c:pt idx="54">
                  <c:v>47.182395606794316</c:v>
                </c:pt>
                <c:pt idx="55">
                  <c:v>46.879931547662508</c:v>
                </c:pt>
                <c:pt idx="56">
                  <c:v>46.542268976308705</c:v>
                </c:pt>
                <c:pt idx="57">
                  <c:v>46.168161089847445</c:v>
                </c:pt>
                <c:pt idx="58">
                  <c:v>45.757448161293411</c:v>
                </c:pt>
                <c:pt idx="59">
                  <c:v>45.310001629278169</c:v>
                </c:pt>
                <c:pt idx="60">
                  <c:v>44.826855585712877</c:v>
                </c:pt>
                <c:pt idx="61">
                  <c:v>44.309294591406633</c:v>
                </c:pt>
                <c:pt idx="62">
                  <c:v>43.758834351789986</c:v>
                </c:pt>
                <c:pt idx="63">
                  <c:v>43.178179716821184</c:v>
                </c:pt>
                <c:pt idx="64">
                  <c:v>42.569302031821515</c:v>
                </c:pt>
                <c:pt idx="65">
                  <c:v>41.934990117870768</c:v>
                </c:pt>
                <c:pt idx="66">
                  <c:v>41.277796023589843</c:v>
                </c:pt>
                <c:pt idx="67">
                  <c:v>40.600368142414766</c:v>
                </c:pt>
                <c:pt idx="68">
                  <c:v>39.904944867800211</c:v>
                </c:pt>
                <c:pt idx="69">
                  <c:v>39.19398580563486</c:v>
                </c:pt>
                <c:pt idx="70">
                  <c:v>38.469433836295181</c:v>
                </c:pt>
                <c:pt idx="71">
                  <c:v>37.73331731895032</c:v>
                </c:pt>
                <c:pt idx="72">
                  <c:v>36.987153911924466</c:v>
                </c:pt>
                <c:pt idx="73">
                  <c:v>36.232604202472068</c:v>
                </c:pt>
                <c:pt idx="74">
                  <c:v>35.470765281074335</c:v>
                </c:pt>
                <c:pt idx="75">
                  <c:v>34.702871842361638</c:v>
                </c:pt>
                <c:pt idx="76">
                  <c:v>33.929707642871364</c:v>
                </c:pt>
                <c:pt idx="77">
                  <c:v>33.152346137917604</c:v>
                </c:pt>
                <c:pt idx="78">
                  <c:v>32.371467346358493</c:v>
                </c:pt>
                <c:pt idx="79">
                  <c:v>31.588166255869478</c:v>
                </c:pt>
                <c:pt idx="80">
                  <c:v>30.80163630010318</c:v>
                </c:pt>
                <c:pt idx="81">
                  <c:v>30.013420134869065</c:v>
                </c:pt>
                <c:pt idx="82">
                  <c:v>29.223368358125384</c:v>
                </c:pt>
                <c:pt idx="83">
                  <c:v>28.432378989707505</c:v>
                </c:pt>
                <c:pt idx="84">
                  <c:v>27.640137046640199</c:v>
                </c:pt>
                <c:pt idx="85">
                  <c:v>26.847352000162914</c:v>
                </c:pt>
                <c:pt idx="86">
                  <c:v>26.054143699028245</c:v>
                </c:pt>
                <c:pt idx="87">
                  <c:v>25.260310498494604</c:v>
                </c:pt>
                <c:pt idx="88">
                  <c:v>24.466825891799541</c:v>
                </c:pt>
                <c:pt idx="89">
                  <c:v>23.673266901211779</c:v>
                </c:pt>
                <c:pt idx="90">
                  <c:v>22.880155474089541</c:v>
                </c:pt>
                <c:pt idx="91">
                  <c:v>22.087657532039447</c:v>
                </c:pt>
                <c:pt idx="92">
                  <c:v>21.296136053505336</c:v>
                </c:pt>
                <c:pt idx="93">
                  <c:v>20.505640164893411</c:v>
                </c:pt>
                <c:pt idx="94">
                  <c:v>20.308313537997435</c:v>
                </c:pt>
                <c:pt idx="95">
                  <c:v>20.209075723681384</c:v>
                </c:pt>
                <c:pt idx="96">
                  <c:v>20.110998765962623</c:v>
                </c:pt>
                <c:pt idx="97">
                  <c:v>20.011822790958401</c:v>
                </c:pt>
                <c:pt idx="98">
                  <c:v>19.913808248624068</c:v>
                </c:pt>
                <c:pt idx="99">
                  <c:v>19.814672075326591</c:v>
                </c:pt>
                <c:pt idx="100">
                  <c:v>19.716698510428436</c:v>
                </c:pt>
                <c:pt idx="101">
                  <c:v>19.617657132825034</c:v>
                </c:pt>
                <c:pt idx="102">
                  <c:v>19.519778346691087</c:v>
                </c:pt>
                <c:pt idx="103">
                  <c:v>19.420739705093883</c:v>
                </c:pt>
                <c:pt idx="104">
                  <c:v>19.322865882787685</c:v>
                </c:pt>
                <c:pt idx="105">
                  <c:v>19.223888128836681</c:v>
                </c:pt>
                <c:pt idx="106">
                  <c:v>19.126076164448182</c:v>
                </c:pt>
                <c:pt idx="107">
                  <c:v>19.027213782894638</c:v>
                </c:pt>
                <c:pt idx="108">
                  <c:v>18.929516987315171</c:v>
                </c:pt>
                <c:pt idx="109">
                  <c:v>18.830754131492846</c:v>
                </c:pt>
                <c:pt idx="110">
                  <c:v>18.733157134786197</c:v>
                </c:pt>
                <c:pt idx="111">
                  <c:v>18.634415637719762</c:v>
                </c:pt>
                <c:pt idx="112">
                  <c:v>18.536842222672568</c:v>
                </c:pt>
                <c:pt idx="113">
                  <c:v>18.438180261676695</c:v>
                </c:pt>
                <c:pt idx="114">
                  <c:v>18.340687359086271</c:v>
                </c:pt>
                <c:pt idx="115">
                  <c:v>18.242097245923674</c:v>
                </c:pt>
                <c:pt idx="116">
                  <c:v>18.144677473453836</c:v>
                </c:pt>
                <c:pt idx="117">
                  <c:v>18.046153920480307</c:v>
                </c:pt>
                <c:pt idx="118">
                  <c:v>17.948802246985458</c:v>
                </c:pt>
                <c:pt idx="119">
                  <c:v>17.850401519644088</c:v>
                </c:pt>
                <c:pt idx="120">
                  <c:v>17.753173015238662</c:v>
                </c:pt>
                <c:pt idx="121">
                  <c:v>17.654889929259504</c:v>
                </c:pt>
                <c:pt idx="122">
                  <c:v>17.557779671030485</c:v>
                </c:pt>
                <c:pt idx="123">
                  <c:v>17.459554631828002</c:v>
                </c:pt>
                <c:pt idx="124">
                  <c:v>17.362504588530566</c:v>
                </c:pt>
                <c:pt idx="125">
                  <c:v>17.26439573828965</c:v>
                </c:pt>
                <c:pt idx="126">
                  <c:v>17.167462826188601</c:v>
                </c:pt>
                <c:pt idx="127">
                  <c:v>17.069470836431059</c:v>
                </c:pt>
                <c:pt idx="128">
                  <c:v>16.972655871123635</c:v>
                </c:pt>
                <c:pt idx="129">
                  <c:v>16.874783129228842</c:v>
                </c:pt>
                <c:pt idx="130">
                  <c:v>16.778088608585882</c:v>
                </c:pt>
                <c:pt idx="131">
                  <c:v>16.680339095903562</c:v>
                </c:pt>
                <c:pt idx="132">
                  <c:v>16.631908297284927</c:v>
                </c:pt>
                <c:pt idx="133">
                  <c:v>16.58376908102208</c:v>
                </c:pt>
                <c:pt idx="134">
                  <c:v>16.534784207016692</c:v>
                </c:pt>
                <c:pt idx="135">
                  <c:v>16.486098167181545</c:v>
                </c:pt>
                <c:pt idx="136">
                  <c:v>16.437707621101069</c:v>
                </c:pt>
                <c:pt idx="137">
                  <c:v>16.38960928531581</c:v>
                </c:pt>
                <c:pt idx="138">
                  <c:v>16.340717807199066</c:v>
                </c:pt>
                <c:pt idx="139">
                  <c:v>16.292125188949516</c:v>
                </c:pt>
                <c:pt idx="140">
                  <c:v>16.243828094903613</c:v>
                </c:pt>
                <c:pt idx="141">
                  <c:v>16.195823246234141</c:v>
                </c:pt>
                <c:pt idx="142">
                  <c:v>16.146979396248948</c:v>
                </c:pt>
                <c:pt idx="143">
                  <c:v>16.098435039384761</c:v>
                </c:pt>
                <c:pt idx="144">
                  <c:v>16.050186834775001</c:v>
                </c:pt>
                <c:pt idx="145">
                  <c:v>16.002231498493764</c:v>
                </c:pt>
                <c:pt idx="146">
                  <c:v>15.953465075212225</c:v>
                </c:pt>
                <c:pt idx="147">
                  <c:v>15.904998467206152</c:v>
                </c:pt>
                <c:pt idx="148">
                  <c:v>15.856828333796209</c:v>
                </c:pt>
                <c:pt idx="149">
                  <c:v>15.808951391224319</c:v>
                </c:pt>
                <c:pt idx="150">
                  <c:v>15.760267538630224</c:v>
                </c:pt>
                <c:pt idx="151">
                  <c:v>15.711883814299812</c:v>
                </c:pt>
                <c:pt idx="152">
                  <c:v>15.663796878088355</c:v>
                </c:pt>
                <c:pt idx="153">
                  <c:v>15.616003446743909</c:v>
                </c:pt>
                <c:pt idx="154">
                  <c:v>15.56738551628067</c:v>
                </c:pt>
                <c:pt idx="155">
                  <c:v>15.519068288608972</c:v>
                </c:pt>
                <c:pt idx="156">
                  <c:v>15.471048419966467</c:v>
                </c:pt>
                <c:pt idx="157">
                  <c:v>15.42332262354693</c:v>
                </c:pt>
                <c:pt idx="158">
                  <c:v>15.374778354298588</c:v>
                </c:pt>
                <c:pt idx="159">
                  <c:v>15.326535327216176</c:v>
                </c:pt>
                <c:pt idx="160">
                  <c:v>15.278590195712651</c:v>
                </c:pt>
                <c:pt idx="161">
                  <c:v>15.230939670200797</c:v>
                </c:pt>
                <c:pt idx="162">
                  <c:v>15.18249837177488</c:v>
                </c:pt>
                <c:pt idx="163">
                  <c:v>15.134358553592484</c:v>
                </c:pt>
                <c:pt idx="164">
                  <c:v>15.086516871449795</c:v>
                </c:pt>
                <c:pt idx="165">
                  <c:v>15.038970038066779</c:v>
                </c:pt>
                <c:pt idx="166">
                  <c:v>14.990597167713332</c:v>
                </c:pt>
                <c:pt idx="167">
                  <c:v>14.942526508426241</c:v>
                </c:pt>
                <c:pt idx="168">
                  <c:v>14.894754710413256</c:v>
                </c:pt>
                <c:pt idx="169">
                  <c:v>14.84727848090786</c:v>
                </c:pt>
                <c:pt idx="170">
                  <c:v>14.799085233187977</c:v>
                </c:pt>
                <c:pt idx="171">
                  <c:v>14.751193606916589</c:v>
                </c:pt>
                <c:pt idx="172">
                  <c:v>14.703600268776135</c:v>
                </c:pt>
                <c:pt idx="173">
                  <c:v>14.656301942075778</c:v>
                </c:pt>
                <c:pt idx="174">
                  <c:v>14.60811410973694</c:v>
                </c:pt>
                <c:pt idx="175">
                  <c:v>14.560229553126616</c:v>
                </c:pt>
                <c:pt idx="176">
                  <c:v>14.512644918477571</c:v>
                </c:pt>
                <c:pt idx="177">
                  <c:v>14.465356909082594</c:v>
                </c:pt>
                <c:pt idx="178">
                  <c:v>14.417210347149325</c:v>
                </c:pt>
                <c:pt idx="179">
                  <c:v>14.369368349281759</c:v>
                </c:pt>
                <c:pt idx="180">
                  <c:v>14.321827547546615</c:v>
                </c:pt>
                <c:pt idx="181">
                  <c:v>14.274584631359051</c:v>
                </c:pt>
                <c:pt idx="182">
                  <c:v>14.226700363645847</c:v>
                </c:pt>
                <c:pt idx="183">
                  <c:v>14.179119235183428</c:v>
                </c:pt>
                <c:pt idx="184">
                  <c:v>14.131837908866533</c:v>
                </c:pt>
                <c:pt idx="185">
                  <c:v>14.084853104207273</c:v>
                </c:pt>
                <c:pt idx="186">
                  <c:v>14.036883974178435</c:v>
                </c:pt>
                <c:pt idx="187">
                  <c:v>13.989221025829901</c:v>
                </c:pt>
                <c:pt idx="188">
                  <c:v>13.941860879394497</c:v>
                </c:pt>
                <c:pt idx="189">
                  <c:v>13.894800212648891</c:v>
                </c:pt>
                <c:pt idx="190">
                  <c:v>13.847146167515961</c:v>
                </c:pt>
                <c:pt idx="191">
                  <c:v>13.799796352164421</c:v>
                </c:pt>
                <c:pt idx="192">
                  <c:v>13.752747426666856</c:v>
                </c:pt>
                <c:pt idx="193">
                  <c:v>13.705996107699001</c:v>
                </c:pt>
                <c:pt idx="194">
                  <c:v>13.658325126144984</c:v>
                </c:pt>
                <c:pt idx="195">
                  <c:v>13.610960731870554</c:v>
                </c:pt>
                <c:pt idx="196">
                  <c:v>13.563899554054286</c:v>
                </c:pt>
                <c:pt idx="197">
                  <c:v>13.517138279130929</c:v>
                </c:pt>
                <c:pt idx="198">
                  <c:v>13.469659470660677</c:v>
                </c:pt>
                <c:pt idx="199">
                  <c:v>13.422487024347866</c:v>
                </c:pt>
                <c:pt idx="200">
                  <c:v>13.375617581119386</c:v>
                </c:pt>
                <c:pt idx="201">
                  <c:v>13.3290478388453</c:v>
                </c:pt>
                <c:pt idx="202">
                  <c:v>13.281786201320102</c:v>
                </c:pt>
                <c:pt idx="203">
                  <c:v>13.234830458684108</c:v>
                </c:pt>
                <c:pt idx="204">
                  <c:v>13.188177267680869</c:v>
                </c:pt>
                <c:pt idx="205">
                  <c:v>13.141823341589834</c:v>
                </c:pt>
                <c:pt idx="206">
                  <c:v>13.094641842330772</c:v>
                </c:pt>
                <c:pt idx="207">
                  <c:v>13.047767629412823</c:v>
                </c:pt>
                <c:pt idx="208">
                  <c:v>13.001197345140355</c:v>
                </c:pt>
                <c:pt idx="209">
                  <c:v>12.954927688623116</c:v>
                </c:pt>
                <c:pt idx="210">
                  <c:v>12.907704339121162</c:v>
                </c:pt>
                <c:pt idx="211">
                  <c:v>12.860791374360046</c:v>
                </c:pt>
                <c:pt idx="212">
                  <c:v>12.81418539447354</c:v>
                </c:pt>
                <c:pt idx="213">
                  <c:v>12.767883057290403</c:v>
                </c:pt>
                <c:pt idx="214">
                  <c:v>12.720967125085089</c:v>
                </c:pt>
                <c:pt idx="215">
                  <c:v>12.674360216503748</c:v>
                </c:pt>
                <c:pt idx="216">
                  <c:v>12.628058962619868</c:v>
                </c:pt>
                <c:pt idx="217">
                  <c:v>12.582060051440111</c:v>
                </c:pt>
                <c:pt idx="218">
                  <c:v>12.535321673310968</c:v>
                </c:pt>
                <c:pt idx="219">
                  <c:v>12.488892750986437</c:v>
                </c:pt>
                <c:pt idx="220">
                  <c:v>12.442769917241129</c:v>
                </c:pt>
                <c:pt idx="221">
                  <c:v>12.396949861675388</c:v>
                </c:pt>
                <c:pt idx="222">
                  <c:v>12.350417928869115</c:v>
                </c:pt>
                <c:pt idx="223">
                  <c:v>12.304195604184754</c:v>
                </c:pt>
                <c:pt idx="224">
                  <c:v>12.258279526745252</c:v>
                </c:pt>
                <c:pt idx="225">
                  <c:v>12.212666392282699</c:v>
                </c:pt>
                <c:pt idx="226">
                  <c:v>12.166227444852023</c:v>
                </c:pt>
                <c:pt idx="227">
                  <c:v>12.12009987683458</c:v>
                </c:pt>
                <c:pt idx="228">
                  <c:v>12.074280307510747</c:v>
                </c:pt>
                <c:pt idx="229">
                  <c:v>12.028765413134806</c:v>
                </c:pt>
                <c:pt idx="230">
                  <c:v>11.936459849247843</c:v>
                </c:pt>
                <c:pt idx="231">
                  <c:v>11.890772858156627</c:v>
                </c:pt>
                <c:pt idx="232">
                  <c:v>11.845391925382964</c:v>
                </c:pt>
                <c:pt idx="233">
                  <c:v>11.799247317389739</c:v>
                </c:pt>
                <c:pt idx="234">
                  <c:v>11.753416570761818</c:v>
                </c:pt>
                <c:pt idx="235">
                  <c:v>11.707896282652948</c:v>
                </c:pt>
                <c:pt idx="236">
                  <c:v>11.662683107508172</c:v>
                </c:pt>
                <c:pt idx="237">
                  <c:v>11.616865673687457</c:v>
                </c:pt>
                <c:pt idx="238">
                  <c:v>11.571361082409993</c:v>
                </c:pt>
                <c:pt idx="239">
                  <c:v>11.526165956425888</c:v>
                </c:pt>
                <c:pt idx="240">
                  <c:v>11.481276975106766</c:v>
                </c:pt>
                <c:pt idx="241">
                  <c:v>11.43555483009794</c:v>
                </c:pt>
                <c:pt idx="242">
                  <c:v>11.390147787725676</c:v>
                </c:pt>
                <c:pt idx="243">
                  <c:v>11.345052443318867</c:v>
                </c:pt>
                <c:pt idx="244">
                  <c:v>11.300265449335063</c:v>
                </c:pt>
                <c:pt idx="245">
                  <c:v>11.254801195049605</c:v>
                </c:pt>
                <c:pt idx="246">
                  <c:v>11.20965221358307</c:v>
                </c:pt>
                <c:pt idx="247">
                  <c:v>11.164815106613055</c:v>
                </c:pt>
                <c:pt idx="248">
                  <c:v>11.120286532693129</c:v>
                </c:pt>
                <c:pt idx="249">
                  <c:v>11.074988374205329</c:v>
                </c:pt>
                <c:pt idx="250">
                  <c:v>11.030007061733922</c:v>
                </c:pt>
                <c:pt idx="251">
                  <c:v>10.985339180633691</c:v>
                </c:pt>
                <c:pt idx="252">
                  <c:v>10.940981373379939</c:v>
                </c:pt>
                <c:pt idx="253">
                  <c:v>10.896001332466556</c:v>
                </c:pt>
                <c:pt idx="254">
                  <c:v>10.851337729274926</c:v>
                </c:pt>
                <c:pt idx="255">
                  <c:v>10.806987164677697</c:v>
                </c:pt>
                <c:pt idx="256">
                  <c:v>10.762946296198177</c:v>
                </c:pt>
                <c:pt idx="257">
                  <c:v>10.718082862365442</c:v>
                </c:pt>
                <c:pt idx="258">
                  <c:v>10.673538429468977</c:v>
                </c:pt>
                <c:pt idx="259">
                  <c:v>10.629309565997396</c:v>
                </c:pt>
                <c:pt idx="260">
                  <c:v>10.585392897674669</c:v>
                </c:pt>
                <c:pt idx="261">
                  <c:v>10.540797584048105</c:v>
                </c:pt>
                <c:pt idx="262">
                  <c:v>10.496521856211476</c:v>
                </c:pt>
                <c:pt idx="263">
                  <c:v>10.452562281970925</c:v>
                </c:pt>
                <c:pt idx="264">
                  <c:v>10.408915486241519</c:v>
                </c:pt>
                <c:pt idx="265">
                  <c:v>10.364618587579528</c:v>
                </c:pt>
                <c:pt idx="266">
                  <c:v>10.320641568329121</c:v>
                </c:pt>
                <c:pt idx="267">
                  <c:v>10.276981000088156</c:v>
                </c:pt>
                <c:pt idx="268">
                  <c:v>10.233633511330853</c:v>
                </c:pt>
                <c:pt idx="269">
                  <c:v>10.189560031680568</c:v>
                </c:pt>
                <c:pt idx="270">
                  <c:v>10.145807957944164</c:v>
                </c:pt>
                <c:pt idx="271">
                  <c:v>10.102373845513721</c:v>
                </c:pt>
                <c:pt idx="272">
                  <c:v>10.059254306858223</c:v>
                </c:pt>
                <c:pt idx="273">
                  <c:v>10.01544011067338</c:v>
                </c:pt>
                <c:pt idx="274">
                  <c:v>9.9719484971599357</c:v>
                </c:pt>
                <c:pt idx="275">
                  <c:v>9.9287760108628138</c:v>
                </c:pt>
                <c:pt idx="276">
                  <c:v>9.8859192534771356</c:v>
                </c:pt>
                <c:pt idx="277">
                  <c:v>9.8424959086796342</c:v>
                </c:pt>
                <c:pt idx="278">
                  <c:v>9.799394544922114</c:v>
                </c:pt>
                <c:pt idx="279">
                  <c:v>9.756611724040047</c:v>
                </c:pt>
                <c:pt idx="280">
                  <c:v>9.7141440644673409</c:v>
                </c:pt>
                <c:pt idx="281">
                  <c:v>9.6708506284880933</c:v>
                </c:pt>
                <c:pt idx="282">
                  <c:v>9.6278826060734808</c:v>
                </c:pt>
                <c:pt idx="283">
                  <c:v>9.5852365114523348</c:v>
                </c:pt>
                <c:pt idx="284">
                  <c:v>9.5429089163136283</c:v>
                </c:pt>
                <c:pt idx="285">
                  <c:v>9.5000685883340843</c:v>
                </c:pt>
                <c:pt idx="286">
                  <c:v>9.4575524602807892</c:v>
                </c:pt>
                <c:pt idx="287">
                  <c:v>9.4153570727009956</c:v>
                </c:pt>
                <c:pt idx="288">
                  <c:v>9.3734790228373619</c:v>
                </c:pt>
                <c:pt idx="289">
                  <c:v>9.3308441663851536</c:v>
                </c:pt>
                <c:pt idx="290">
                  <c:v>9.2885361968521156</c:v>
                </c:pt>
                <c:pt idx="291">
                  <c:v>9.2465516182675405</c:v>
                </c:pt>
                <c:pt idx="292">
                  <c:v>9.2048869919550516</c:v>
                </c:pt>
                <c:pt idx="293">
                  <c:v>9.1625871286550336</c:v>
                </c:pt>
                <c:pt idx="294">
                  <c:v>9.1206150722379338</c:v>
                </c:pt>
                <c:pt idx="295">
                  <c:v>9.0789673179506227</c:v>
                </c:pt>
                <c:pt idx="296">
                  <c:v>9.0376404183197661</c:v>
                </c:pt>
                <c:pt idx="297">
                  <c:v>8.9957083308989887</c:v>
                </c:pt>
                <c:pt idx="298">
                  <c:v>8.9541046427241682</c:v>
                </c:pt>
                <c:pt idx="299">
                  <c:v>8.9128258449181335</c:v>
                </c:pt>
                <c:pt idx="300">
                  <c:v>8.8718684857605208</c:v>
                </c:pt>
                <c:pt idx="301">
                  <c:v>8.8303350784024595</c:v>
                </c:pt>
                <c:pt idx="302">
                  <c:v>8.7891303523720783</c:v>
                </c:pt>
                <c:pt idx="303">
                  <c:v>8.7482507989832836</c:v>
                </c:pt>
                <c:pt idx="304">
                  <c:v>8.7076929664840481</c:v>
                </c:pt>
                <c:pt idx="305">
                  <c:v>8.6664298698923865</c:v>
                </c:pt>
                <c:pt idx="306">
                  <c:v>8.6254979625995087</c:v>
                </c:pt>
                <c:pt idx="307">
                  <c:v>8.5848936998320688</c:v>
                </c:pt>
                <c:pt idx="308">
                  <c:v>8.5446135943037369</c:v>
                </c:pt>
                <c:pt idx="309">
                  <c:v>8.5038155849788861</c:v>
                </c:pt>
                <c:pt idx="310">
                  <c:v>8.4633483681054109</c:v>
                </c:pt>
                <c:pt idx="311">
                  <c:v>8.4232084085317265</c:v>
                </c:pt>
                <c:pt idx="312">
                  <c:v>8.3833922281548787</c:v>
                </c:pt>
                <c:pt idx="313">
                  <c:v>8.3429370654515793</c:v>
                </c:pt>
                <c:pt idx="314">
                  <c:v>8.3028144579992578</c:v>
                </c:pt>
                <c:pt idx="315">
                  <c:v>8.2630208448961202</c:v>
                </c:pt>
                <c:pt idx="316">
                  <c:v>8.2235527226051381</c:v>
                </c:pt>
                <c:pt idx="317">
                  <c:v>8.1834784913000203</c:v>
                </c:pt>
                <c:pt idx="318">
                  <c:v>8.1437381814602698</c:v>
                </c:pt>
                <c:pt idx="319">
                  <c:v>8.1043282118844608</c:v>
                </c:pt>
                <c:pt idx="320">
                  <c:v>8.0652450589293387</c:v>
                </c:pt>
                <c:pt idx="321">
                  <c:v>8.0255876842650586</c:v>
                </c:pt>
                <c:pt idx="322">
                  <c:v>7.9862652181244957</c:v>
                </c:pt>
                <c:pt idx="323">
                  <c:v>7.9472740641384974</c:v>
                </c:pt>
                <c:pt idx="324">
                  <c:v>7.908610683575227</c:v>
                </c:pt>
                <c:pt idx="325">
                  <c:v>7.8694039930297581</c:v>
                </c:pt>
                <c:pt idx="326">
                  <c:v>7.8305328361060322</c:v>
                </c:pt>
                <c:pt idx="327">
                  <c:v>7.7919936060837172</c:v>
                </c:pt>
                <c:pt idx="328">
                  <c:v>7.7537827538537645</c:v>
                </c:pt>
                <c:pt idx="329">
                  <c:v>7.7149940659406377</c:v>
                </c:pt>
                <c:pt idx="330">
                  <c:v>7.6765423096332466</c:v>
                </c:pt>
                <c:pt idx="331">
                  <c:v>7.6384238543609868</c:v>
                </c:pt>
                <c:pt idx="332">
                  <c:v>7.6006351274234918</c:v>
                </c:pt>
                <c:pt idx="333">
                  <c:v>7.5623631605503006</c:v>
                </c:pt>
                <c:pt idx="334">
                  <c:v>7.524428028821637</c:v>
                </c:pt>
                <c:pt idx="335">
                  <c:v>7.486826100790811</c:v>
                </c:pt>
                <c:pt idx="336">
                  <c:v>7.4495538026539627</c:v>
                </c:pt>
                <c:pt idx="337">
                  <c:v>7.4117061381918115</c:v>
                </c:pt>
                <c:pt idx="338">
                  <c:v>7.3741970457768078</c:v>
                </c:pt>
                <c:pt idx="339">
                  <c:v>7.3370228623301657</c:v>
                </c:pt>
                <c:pt idx="340">
                  <c:v>7.3001799828395786</c:v>
                </c:pt>
                <c:pt idx="341">
                  <c:v>7.2627952768702331</c:v>
                </c:pt>
                <c:pt idx="342">
                  <c:v>7.2257504478417589</c:v>
                </c:pt>
                <c:pt idx="343">
                  <c:v>7.1890418067450899</c:v>
                </c:pt>
                <c:pt idx="344">
                  <c:v>7.1526657229426398</c:v>
                </c:pt>
                <c:pt idx="345">
                  <c:v>7.1158361878110412</c:v>
                </c:pt>
                <c:pt idx="346">
                  <c:v>7.0793463890266501</c:v>
                </c:pt>
                <c:pt idx="347">
                  <c:v>7.0431926338575392</c:v>
                </c:pt>
                <c:pt idx="348">
                  <c:v>7.0073712877867003</c:v>
                </c:pt>
                <c:pt idx="349">
                  <c:v>6.9710171802989738</c:v>
                </c:pt>
                <c:pt idx="350">
                  <c:v>6.9350043555626311</c:v>
                </c:pt>
                <c:pt idx="351">
                  <c:v>6.8993290883723386</c:v>
                </c:pt>
                <c:pt idx="352">
                  <c:v>6.8639877121912303</c:v>
                </c:pt>
                <c:pt idx="353">
                  <c:v>6.8281470166070291</c:v>
                </c:pt>
                <c:pt idx="354">
                  <c:v>6.7926487058851421</c:v>
                </c:pt>
                <c:pt idx="355">
                  <c:v>6.7574890281761322</c:v>
                </c:pt>
                <c:pt idx="356">
                  <c:v>6.7226642906386367</c:v>
                </c:pt>
                <c:pt idx="357">
                  <c:v>6.6874224844967234</c:v>
                </c:pt>
                <c:pt idx="358">
                  <c:v>6.6525227703494236</c:v>
                </c:pt>
                <c:pt idx="359">
                  <c:v>6.6179613912146902</c:v>
                </c:pt>
                <c:pt idx="360">
                  <c:v>6.5837346490200304</c:v>
                </c:pt>
                <c:pt idx="361">
                  <c:v>6.5490233026143247</c:v>
                </c:pt>
                <c:pt idx="362">
                  <c:v>6.5146553052114928</c:v>
                </c:pt>
                <c:pt idx="363">
                  <c:v>6.4806268678468779</c:v>
                </c:pt>
                <c:pt idx="364">
                  <c:v>6.4469342609413722</c:v>
                </c:pt>
                <c:pt idx="365">
                  <c:v>6.4128362146265054</c:v>
                </c:pt>
                <c:pt idx="366">
                  <c:v>6.3790813938551558</c:v>
                </c:pt>
                <c:pt idx="367">
                  <c:v>6.3456659990528568</c:v>
                </c:pt>
                <c:pt idx="368">
                  <c:v>6.3125862900774568</c:v>
                </c:pt>
                <c:pt idx="369">
                  <c:v>6.2790418183423569</c:v>
                </c:pt>
                <c:pt idx="370">
                  <c:v>6.2458418917419847</c:v>
                </c:pt>
                <c:pt idx="371">
                  <c:v>6.2129826747658949</c:v>
                </c:pt>
                <c:pt idx="372">
                  <c:v>6.1804603919292269</c:v>
                </c:pt>
                <c:pt idx="373">
                  <c:v>6.1475493909099788</c:v>
                </c:pt>
                <c:pt idx="374">
                  <c:v>6.1149828909325246</c:v>
                </c:pt>
                <c:pt idx="375">
                  <c:v>6.082757041816496</c:v>
                </c:pt>
                <c:pt idx="376">
                  <c:v>6.0508680535792365</c:v>
                </c:pt>
                <c:pt idx="377">
                  <c:v>6.0185387284790117</c:v>
                </c:pt>
                <c:pt idx="378">
                  <c:v>5.9865552036499547</c:v>
                </c:pt>
                <c:pt idx="379">
                  <c:v>5.9549135903535806</c:v>
                </c:pt>
                <c:pt idx="380">
                  <c:v>5.9236100607435791</c:v>
                </c:pt>
                <c:pt idx="381">
                  <c:v>5.8919780673405331</c:v>
                </c:pt>
                <c:pt idx="382">
                  <c:v>5.8606909787510002</c:v>
                </c:pt>
                <c:pt idx="383">
                  <c:v>5.8297449032413953</c:v>
                </c:pt>
                <c:pt idx="384">
                  <c:v>5.7991360099522984</c:v>
                </c:pt>
                <c:pt idx="385">
                  <c:v>5.7681144078122966</c:v>
                </c:pt>
                <c:pt idx="386">
                  <c:v>5.7374389525150207</c:v>
                </c:pt>
                <c:pt idx="387">
                  <c:v>5.7071057119536563</c:v>
                </c:pt>
                <c:pt idx="388">
                  <c:v>5.6771108156865111</c:v>
                </c:pt>
                <c:pt idx="389">
                  <c:v>5.6467729198347456</c:v>
                </c:pt>
                <c:pt idx="390">
                  <c:v>5.6167810918653061</c:v>
                </c:pt>
                <c:pt idx="391">
                  <c:v>5.5871313804087226</c:v>
                </c:pt>
                <c:pt idx="392">
                  <c:v>5.5578198961464338</c:v>
                </c:pt>
                <c:pt idx="393">
                  <c:v>5.5281958350250262</c:v>
                </c:pt>
                <c:pt idx="394">
                  <c:v>5.4989173336672792</c:v>
                </c:pt>
                <c:pt idx="395">
                  <c:v>5.4699804276978083</c:v>
                </c:pt>
                <c:pt idx="396">
                  <c:v>5.4413812150840002</c:v>
                </c:pt>
                <c:pt idx="397">
                  <c:v>5.4124337628740395</c:v>
                </c:pt>
                <c:pt idx="398">
                  <c:v>5.383832507692409</c:v>
                </c:pt>
                <c:pt idx="399">
                  <c:v>5.3555734514363014</c:v>
                </c:pt>
                <c:pt idx="400">
                  <c:v>5.3276526591120463</c:v>
                </c:pt>
                <c:pt idx="401">
                  <c:v>5.2994473692431141</c:v>
                </c:pt>
                <c:pt idx="402">
                  <c:v>5.2715876614107016</c:v>
                </c:pt>
                <c:pt idx="403">
                  <c:v>5.2440695244483146</c:v>
                </c:pt>
                <c:pt idx="404">
                  <c:v>5.2168890106753016</c:v>
                </c:pt>
                <c:pt idx="405">
                  <c:v>5.1894238850991323</c:v>
                </c:pt>
                <c:pt idx="406">
                  <c:v>5.1623040520575589</c:v>
                </c:pt>
                <c:pt idx="407">
                  <c:v>5.1355254809419311</c:v>
                </c:pt>
                <c:pt idx="408">
                  <c:v>5.1090842051872194</c:v>
                </c:pt>
                <c:pt idx="409">
                  <c:v>5.0823607347599244</c:v>
                </c:pt>
                <c:pt idx="410">
                  <c:v>5.0559825466039152</c:v>
                </c:pt>
                <c:pt idx="411">
                  <c:v>5.0299455851359802</c:v>
                </c:pt>
                <c:pt idx="412">
                  <c:v>5.0042458595421699</c:v>
                </c:pt>
                <c:pt idx="413">
                  <c:v>4.9782953126003875</c:v>
                </c:pt>
                <c:pt idx="414">
                  <c:v>4.9526895677430041</c:v>
                </c:pt>
                <c:pt idx="415">
                  <c:v>4.9274245521904581</c:v>
                </c:pt>
                <c:pt idx="416">
                  <c:v>4.9024962585475134</c:v>
                </c:pt>
                <c:pt idx="417">
                  <c:v>4.8773221542106473</c:v>
                </c:pt>
                <c:pt idx="418">
                  <c:v>4.8524926183058108</c:v>
                </c:pt>
                <c:pt idx="419">
                  <c:v>4.8280035562421517</c:v>
                </c:pt>
                <c:pt idx="420">
                  <c:v>4.8038509395851587</c:v>
                </c:pt>
                <c:pt idx="421">
                  <c:v>4.7795073294763943</c:v>
                </c:pt>
                <c:pt idx="422">
                  <c:v>4.7555069176955609</c:v>
                </c:pt>
                <c:pt idx="423">
                  <c:v>4.7318456080814366</c:v>
                </c:pt>
                <c:pt idx="424">
                  <c:v>4.7085193710260675</c:v>
                </c:pt>
                <c:pt idx="425">
                  <c:v>4.6849625577145195</c:v>
                </c:pt>
                <c:pt idx="426">
                  <c:v>4.661749153300903</c:v>
                </c:pt>
                <c:pt idx="427">
                  <c:v>4.6388750320802679</c:v>
                </c:pt>
                <c:pt idx="428">
                  <c:v>4.6163361359682682</c:v>
                </c:pt>
                <c:pt idx="429">
                  <c:v>4.593620355845534</c:v>
                </c:pt>
                <c:pt idx="430">
                  <c:v>4.5712470543418595</c:v>
                </c:pt>
                <c:pt idx="431">
                  <c:v>4.5492120971650856</c:v>
                </c:pt>
                <c:pt idx="432">
                  <c:v>4.5275114183261254</c:v>
                </c:pt>
                <c:pt idx="433">
                  <c:v>4.5056632069492721</c:v>
                </c:pt>
                <c:pt idx="434">
                  <c:v>4.4841561240452243</c:v>
                </c:pt>
                <c:pt idx="435">
                  <c:v>4.4629860352633077</c:v>
                </c:pt>
                <c:pt idx="436">
                  <c:v>4.4421488751217977</c:v>
                </c:pt>
                <c:pt idx="437">
                  <c:v>4.4211549971277497</c:v>
                </c:pt>
                <c:pt idx="438">
                  <c:v>4.4005017246899438</c:v>
                </c:pt>
                <c:pt idx="439">
                  <c:v>4.3801849096618444</c:v>
                </c:pt>
                <c:pt idx="440">
                  <c:v>4.3602004737135527</c:v>
                </c:pt>
                <c:pt idx="441">
                  <c:v>4.3400899451348884</c:v>
                </c:pt>
                <c:pt idx="442">
                  <c:v>4.3203190543283068</c:v>
                </c:pt>
                <c:pt idx="443">
                  <c:v>4.3008836490574689</c:v>
                </c:pt>
                <c:pt idx="444">
                  <c:v>4.2817796477189587</c:v>
                </c:pt>
                <c:pt idx="445">
                  <c:v>4.2625789588054239</c:v>
                </c:pt>
                <c:pt idx="446">
                  <c:v>4.243716532737702</c:v>
                </c:pt>
                <c:pt idx="447">
                  <c:v>4.225188222743645</c:v>
                </c:pt>
                <c:pt idx="448">
                  <c:v>4.206989953370603</c:v>
                </c:pt>
                <c:pt idx="449">
                  <c:v>4.1886928803470536</c:v>
                </c:pt>
                <c:pt idx="450">
                  <c:v>4.1707334491972166</c:v>
                </c:pt>
                <c:pt idx="451">
                  <c:v>4.1531075073610166</c:v>
                </c:pt>
                <c:pt idx="452">
                  <c:v>4.1358109746387912</c:v>
                </c:pt>
                <c:pt idx="453">
                  <c:v>4.118460121873829</c:v>
                </c:pt>
                <c:pt idx="454">
                  <c:v>4.1014453275559406</c:v>
                </c:pt>
                <c:pt idx="455">
                  <c:v>4.0847624541453902</c:v>
                </c:pt>
                <c:pt idx="456">
                  <c:v>4.0684074371252361</c:v>
                </c:pt>
                <c:pt idx="457">
                  <c:v>4.0519997406434349</c:v>
                </c:pt>
                <c:pt idx="458">
                  <c:v>4.0359272540367925</c:v>
                </c:pt>
                <c:pt idx="459">
                  <c:v>4.0201858449803627</c:v>
                </c:pt>
                <c:pt idx="460">
                  <c:v>4.0047714551759785</c:v>
                </c:pt>
                <c:pt idx="461">
                  <c:v>3.9893340588378989</c:v>
                </c:pt>
                <c:pt idx="462">
                  <c:v>3.9742306543424784</c:v>
                </c:pt>
                <c:pt idx="463">
                  <c:v>3.959457125766495</c:v>
                </c:pt>
                <c:pt idx="464">
                  <c:v>3.9450094320756839</c:v>
                </c:pt>
                <c:pt idx="465">
                  <c:v>3.9305563602215638</c:v>
                </c:pt>
                <c:pt idx="466">
                  <c:v>3.916436245110563</c:v>
                </c:pt>
                <c:pt idx="467">
                  <c:v>3.9026449889728756</c:v>
                </c:pt>
                <c:pt idx="468">
                  <c:v>3.8891785698848285</c:v>
                </c:pt>
                <c:pt idx="469">
                  <c:v>3.8757357253213982</c:v>
                </c:pt>
                <c:pt idx="470">
                  <c:v>3.862624489899416</c:v>
                </c:pt>
                <c:pt idx="471">
                  <c:v>3.8498407956865992</c:v>
                </c:pt>
                <c:pt idx="472">
                  <c:v>3.8373806514171021</c:v>
                </c:pt>
                <c:pt idx="473">
                  <c:v>3.8249540941726625</c:v>
                </c:pt>
                <c:pt idx="474">
                  <c:v>3.8128584960532752</c:v>
                </c:pt>
                <c:pt idx="475">
                  <c:v>3.8010898130367874</c:v>
                </c:pt>
                <c:pt idx="476">
                  <c:v>3.7896440789083514</c:v>
                </c:pt>
                <c:pt idx="477">
                  <c:v>3.7782616661784534</c:v>
                </c:pt>
                <c:pt idx="478">
                  <c:v>3.7672092820441532</c:v>
                </c:pt>
                <c:pt idx="479">
                  <c:v>3.7564829194527909</c:v>
                </c:pt>
                <c:pt idx="480">
                  <c:v>3.7460786501648546</c:v>
                </c:pt>
                <c:pt idx="481">
                  <c:v>3.7357664217980391</c:v>
                </c:pt>
                <c:pt idx="482">
                  <c:v>3.7257830698185397</c:v>
                </c:pt>
                <c:pt idx="483">
                  <c:v>3.7161246371675993</c:v>
                </c:pt>
                <c:pt idx="484">
                  <c:v>3.7067872464844358</c:v>
                </c:pt>
                <c:pt idx="485">
                  <c:v>3.6975635103518112</c:v>
                </c:pt>
                <c:pt idx="486">
                  <c:v>3.6886677813962505</c:v>
                </c:pt>
                <c:pt idx="487">
                  <c:v>3.6800961576877018</c:v>
                </c:pt>
                <c:pt idx="488">
                  <c:v>3.6718448179925227</c:v>
                </c:pt>
                <c:pt idx="489">
                  <c:v>3.6637247983157333</c:v>
                </c:pt>
                <c:pt idx="490">
                  <c:v>3.6559326525566158</c:v>
                </c:pt>
                <c:pt idx="491">
                  <c:v>3.6484645326498102</c:v>
                </c:pt>
                <c:pt idx="492">
                  <c:v>3.6413166725616435</c:v>
                </c:pt>
                <c:pt idx="493">
                  <c:v>3.6343301541323529</c:v>
                </c:pt>
                <c:pt idx="494">
                  <c:v>3.6276712525387689</c:v>
                </c:pt>
                <c:pt idx="495">
                  <c:v>3.6213361893193325</c:v>
                </c:pt>
                <c:pt idx="496">
                  <c:v>3.6153212692931689</c:v>
                </c:pt>
                <c:pt idx="497">
                  <c:v>3.6094933433327459</c:v>
                </c:pt>
                <c:pt idx="498">
                  <c:v>3.6039931429468544</c:v>
                </c:pt>
                <c:pt idx="499">
                  <c:v>3.5988169683463287</c:v>
                </c:pt>
                <c:pt idx="500">
                  <c:v>3.5939612044268987</c:v>
                </c:pt>
                <c:pt idx="501">
                  <c:v>3.5893194727905269</c:v>
                </c:pt>
                <c:pt idx="502">
                  <c:v>3.5850059850265521</c:v>
                </c:pt>
                <c:pt idx="503">
                  <c:v>3.5810171307069369</c:v>
                </c:pt>
                <c:pt idx="504">
                  <c:v>3.5773493856754439</c:v>
                </c:pt>
                <c:pt idx="505">
                  <c:v>3.5739261193670653</c:v>
                </c:pt>
                <c:pt idx="506">
                  <c:v>3.5708316817588837</c:v>
                </c:pt>
                <c:pt idx="507">
                  <c:v>3.5680625706116387</c:v>
                </c:pt>
                <c:pt idx="508">
                  <c:v>3.5656153715503396</c:v>
                </c:pt>
                <c:pt idx="509">
                  <c:v>3.5634414335570117</c:v>
                </c:pt>
                <c:pt idx="510">
                  <c:v>3.5615974605701242</c:v>
                </c:pt>
                <c:pt idx="511">
                  <c:v>3.5600800722620218</c:v>
                </c:pt>
                <c:pt idx="512">
                  <c:v>3.5588859780300175</c:v>
                </c:pt>
                <c:pt idx="513">
                  <c:v>3.5579951113403401</c:v>
                </c:pt>
                <c:pt idx="514">
                  <c:v>3.5574363543637908</c:v>
                </c:pt>
                <c:pt idx="515">
                  <c:v>3.5572064592654145</c:v>
                </c:pt>
                <c:pt idx="516">
                  <c:v>3.557302270330442</c:v>
                </c:pt>
                <c:pt idx="517">
                  <c:v>3.5577342135001588</c:v>
                </c:pt>
                <c:pt idx="518">
                  <c:v>3.5585007305291021</c:v>
                </c:pt>
                <c:pt idx="519">
                  <c:v>3.5595987312086712</c:v>
                </c:pt>
                <c:pt idx="520">
                  <c:v>3.5610252200296455</c:v>
                </c:pt>
                <c:pt idx="521">
                  <c:v>3.562821790707237</c:v>
                </c:pt>
                <c:pt idx="522">
                  <c:v>3.5649562227319667</c:v>
                </c:pt>
                <c:pt idx="523">
                  <c:v>3.5674256058485638</c:v>
                </c:pt>
                <c:pt idx="524">
                  <c:v>3.5702271275696482</c:v>
                </c:pt>
                <c:pt idx="525">
                  <c:v>3.5734346978579676</c:v>
                </c:pt>
                <c:pt idx="526">
                  <c:v>3.5769843670428845</c:v>
                </c:pt>
                <c:pt idx="527">
                  <c:v>3.580873431125013</c:v>
                </c:pt>
                <c:pt idx="528">
                  <c:v>3.5850992875479486</c:v>
                </c:pt>
                <c:pt idx="529">
                  <c:v>3.589769382316768</c:v>
                </c:pt>
                <c:pt idx="530">
                  <c:v>3.5947869141899358</c:v>
                </c:pt>
                <c:pt idx="531">
                  <c:v>3.6001494164891996</c:v>
                </c:pt>
                <c:pt idx="532">
                  <c:v>3.6058545284061063</c:v>
                </c:pt>
                <c:pt idx="533">
                  <c:v>3.6120478290519782</c:v>
                </c:pt>
                <c:pt idx="534">
                  <c:v>3.6185955491406254</c:v>
                </c:pt>
                <c:pt idx="535">
                  <c:v>3.6254954928087031</c:v>
                </c:pt>
                <c:pt idx="536">
                  <c:v>3.6327455756555715</c:v>
                </c:pt>
                <c:pt idx="537">
                  <c:v>3.6405203602088299</c:v>
                </c:pt>
                <c:pt idx="538">
                  <c:v>3.6486573060872054</c:v>
                </c:pt>
                <c:pt idx="539">
                  <c:v>3.6571545388644804</c:v>
                </c:pt>
                <c:pt idx="540">
                  <c:v>3.6660103018809758</c:v>
                </c:pt>
                <c:pt idx="541">
                  <c:v>3.6754457380954397</c:v>
                </c:pt>
                <c:pt idx="542">
                  <c:v>3.6852535590046784</c:v>
                </c:pt>
                <c:pt idx="543">
                  <c:v>3.6954322581857828</c:v>
                </c:pt>
                <c:pt idx="544">
                  <c:v>3.7059804552313524</c:v>
                </c:pt>
                <c:pt idx="545">
                  <c:v>3.7171541193754059</c:v>
                </c:pt>
                <c:pt idx="546">
                  <c:v>3.7287120754896859</c:v>
                </c:pt>
                <c:pt idx="547">
                  <c:v>3.7406532508535779</c:v>
                </c:pt>
                <c:pt idx="548">
                  <c:v>3.7529767086162047</c:v>
                </c:pt>
                <c:pt idx="549">
                  <c:v>3.7659799098575353</c:v>
                </c:pt>
                <c:pt idx="550">
                  <c:v>3.7793817258123052</c:v>
                </c:pt>
                <c:pt idx="551">
                  <c:v>3.7931815929703228</c:v>
                </c:pt>
                <c:pt idx="552">
                  <c:v>3.8073790958676024</c:v>
                </c:pt>
                <c:pt idx="553">
                  <c:v>3.8223223235203019</c:v>
                </c:pt>
                <c:pt idx="554">
                  <c:v>3.8376817230268605</c:v>
                </c:pt>
                <c:pt idx="555">
                  <c:v>3.8534573315812177</c:v>
                </c:pt>
                <c:pt idx="556">
                  <c:v>3.8696493498343285</c:v>
                </c:pt>
                <c:pt idx="557">
                  <c:v>3.9040933310850456</c:v>
                </c:pt>
                <c:pt idx="558">
                  <c:v>3.9402890125172223</c:v>
                </c:pt>
                <c:pt idx="559">
                  <c:v>3.9791353102489162</c:v>
                </c:pt>
                <c:pt idx="560">
                  <c:v>4.0198351271883039</c:v>
                </c:pt>
                <c:pt idx="561">
                  <c:v>4.0634365783764927</c:v>
                </c:pt>
                <c:pt idx="562">
                  <c:v>4.1090166610169438</c:v>
                </c:pt>
                <c:pt idx="563">
                  <c:v>4.1576424662048375</c:v>
                </c:pt>
                <c:pt idx="564">
                  <c:v>4.208387270233505</c:v>
                </c:pt>
                <c:pt idx="565">
                  <c:v>4.2626467757261546</c:v>
                </c:pt>
                <c:pt idx="566">
                  <c:v>4.3192107834375113</c:v>
                </c:pt>
                <c:pt idx="567">
                  <c:v>4.3796048262468465</c:v>
                </c:pt>
                <c:pt idx="568">
                  <c:v>4.4425233511854065</c:v>
                </c:pt>
                <c:pt idx="569">
                  <c:v>4.5093656756655305</c:v>
                </c:pt>
                <c:pt idx="570">
                  <c:v>4.5789725298992661</c:v>
                </c:pt>
                <c:pt idx="571">
                  <c:v>4.653454290967062</c:v>
                </c:pt>
                <c:pt idx="572">
                  <c:v>4.731035474612673</c:v>
                </c:pt>
                <c:pt idx="573">
                  <c:v>4.8133948437791538</c:v>
                </c:pt>
                <c:pt idx="574">
                  <c:v>4.8992040168874329</c:v>
                </c:pt>
                <c:pt idx="575">
                  <c:v>4.9909890008146016</c:v>
                </c:pt>
                <c:pt idx="576">
                  <c:v>5.0867038145665386</c:v>
                </c:pt>
                <c:pt idx="577">
                  <c:v>5.539683600752074</c:v>
                </c:pt>
                <c:pt idx="578">
                  <c:v>6.0829502028581235</c:v>
                </c:pt>
                <c:pt idx="579">
                  <c:v>7.7179216946161775</c:v>
                </c:pt>
                <c:pt idx="580">
                  <c:v>10.739312590358283</c:v>
                </c:pt>
                <c:pt idx="581">
                  <c:v>17.97056645666374</c:v>
                </c:pt>
                <c:pt idx="582">
                  <c:v>23.758798849752068</c:v>
                </c:pt>
                <c:pt idx="583">
                  <c:v>12.736504833517998</c:v>
                </c:pt>
                <c:pt idx="584">
                  <c:v>9.6181538821771362</c:v>
                </c:pt>
                <c:pt idx="585">
                  <c:v>8.6937921034894252</c:v>
                </c:pt>
                <c:pt idx="586">
                  <c:v>8.8493490476505734</c:v>
                </c:pt>
                <c:pt idx="587">
                  <c:v>9.9269181014660681</c:v>
                </c:pt>
                <c:pt idx="588">
                  <c:v>12.912330384421224</c:v>
                </c:pt>
                <c:pt idx="589">
                  <c:v>27.368362855156651</c:v>
                </c:pt>
                <c:pt idx="590">
                  <c:v>16.09503511638971</c:v>
                </c:pt>
                <c:pt idx="591">
                  <c:v>12.800846748711514</c:v>
                </c:pt>
                <c:pt idx="592">
                  <c:v>13.322715766199593</c:v>
                </c:pt>
                <c:pt idx="593">
                  <c:v>18.278499134858041</c:v>
                </c:pt>
                <c:pt idx="594">
                  <c:v>21.328673762762051</c:v>
                </c:pt>
                <c:pt idx="595">
                  <c:v>15.752700500515548</c:v>
                </c:pt>
                <c:pt idx="596">
                  <c:v>18.168633754593451</c:v>
                </c:pt>
                <c:pt idx="597">
                  <c:v>24.499810026635991</c:v>
                </c:pt>
                <c:pt idx="598">
                  <c:v>18.266224896068582</c:v>
                </c:pt>
                <c:pt idx="599">
                  <c:v>30.645374548169066</c:v>
                </c:pt>
                <c:pt idx="600">
                  <c:v>20.350551037789749</c:v>
                </c:pt>
              </c:numCache>
            </c:numRef>
          </c:yVal>
          <c:smooth val="0"/>
          <c:extLst>
            <c:ext xmlns:c16="http://schemas.microsoft.com/office/drawing/2014/chart" uri="{C3380CC4-5D6E-409C-BE32-E72D297353CC}">
              <c16:uniqueId val="{00000002-C943-44AE-BE69-B37F145E1EAF}"/>
            </c:ext>
          </c:extLst>
        </c:ser>
        <c:dLbls>
          <c:showLegendKey val="0"/>
          <c:showVal val="0"/>
          <c:showCatName val="0"/>
          <c:showSerName val="0"/>
          <c:showPercent val="0"/>
          <c:showBubbleSize val="0"/>
        </c:dLbls>
        <c:axId val="446584704"/>
        <c:axId val="446586240"/>
      </c:scatterChart>
      <c:valAx>
        <c:axId val="446572416"/>
        <c:scaling>
          <c:logBase val="10"/>
          <c:orientation val="minMax"/>
          <c:max val="1000000"/>
          <c:min val="1"/>
        </c:scaling>
        <c:delete val="0"/>
        <c:axPos val="b"/>
        <c:majorGridlines>
          <c:spPr>
            <a:ln w="3175">
              <a:solidFill>
                <a:srgbClr val="000000"/>
              </a:solidFill>
              <a:prstDash val="solid"/>
            </a:ln>
          </c:spPr>
        </c:majorGridlines>
        <c:minorGridlines>
          <c:spPr>
            <a:ln w="3175">
              <a:solidFill>
                <a:srgbClr val="C0C0C0"/>
              </a:solidFill>
              <a:prstDash val="solid"/>
            </a:ln>
          </c:spPr>
        </c:minorGridlines>
        <c:title>
          <c:tx>
            <c:rich>
              <a:bodyPr/>
              <a:lstStyle/>
              <a:p>
                <a:pPr>
                  <a:defRPr lang="ja-JP" sz="1200" b="1" i="0" u="none" strike="noStrike" baseline="0">
                    <a:solidFill>
                      <a:srgbClr val="000000"/>
                    </a:solidFill>
                    <a:latin typeface="Arial"/>
                    <a:ea typeface="Arial"/>
                    <a:cs typeface="Arial"/>
                  </a:defRPr>
                </a:pPr>
                <a:r>
                  <a:rPr lang="en-US"/>
                  <a:t>Frequency (Hz)</a:t>
                </a:r>
              </a:p>
            </c:rich>
          </c:tx>
          <c:layout>
            <c:manualLayout>
              <c:xMode val="edge"/>
              <c:yMode val="edge"/>
              <c:x val="0.42857142857142855"/>
              <c:y val="0.8836114034132848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00"/>
                </a:solidFill>
                <a:latin typeface="Arial"/>
                <a:ea typeface="Arial"/>
                <a:cs typeface="Arial"/>
              </a:defRPr>
            </a:pPr>
            <a:endParaRPr lang="en-US"/>
          </a:p>
        </c:txPr>
        <c:crossAx val="446582784"/>
        <c:crossesAt val="-80"/>
        <c:crossBetween val="midCat"/>
        <c:majorUnit val="10"/>
        <c:minorUnit val="10"/>
      </c:valAx>
      <c:valAx>
        <c:axId val="446582784"/>
        <c:scaling>
          <c:orientation val="minMax"/>
          <c:max val="80"/>
          <c:min val="-40"/>
        </c:scaling>
        <c:delete val="0"/>
        <c:axPos val="l"/>
        <c:majorGridlines>
          <c:spPr>
            <a:ln w="3175">
              <a:solidFill>
                <a:srgbClr val="000000"/>
              </a:solidFill>
              <a:prstDash val="solid"/>
            </a:ln>
          </c:spPr>
        </c:majorGridlines>
        <c:title>
          <c:tx>
            <c:rich>
              <a:bodyPr/>
              <a:lstStyle/>
              <a:p>
                <a:pPr>
                  <a:defRPr lang="ja-JP" sz="1200" b="1" i="0" u="none" strike="noStrike" baseline="0">
                    <a:solidFill>
                      <a:srgbClr val="FF0000"/>
                    </a:solidFill>
                    <a:latin typeface="Arial"/>
                    <a:ea typeface="Arial"/>
                    <a:cs typeface="Arial"/>
                  </a:defRPr>
                </a:pPr>
                <a:r>
                  <a:rPr lang="en-US"/>
                  <a:t>Gain (dB)</a:t>
                </a:r>
              </a:p>
            </c:rich>
          </c:tx>
          <c:layout>
            <c:manualLayout>
              <c:xMode val="edge"/>
              <c:yMode val="edge"/>
              <c:x val="1.5549076773566581E-2"/>
              <c:y val="0.3927162330515138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FF0000"/>
                </a:solidFill>
                <a:latin typeface="Arial"/>
                <a:ea typeface="Arial"/>
                <a:cs typeface="Arial"/>
              </a:defRPr>
            </a:pPr>
            <a:endParaRPr lang="en-US"/>
          </a:p>
        </c:txPr>
        <c:crossAx val="446572416"/>
        <c:crossesAt val="0.1"/>
        <c:crossBetween val="midCat"/>
        <c:majorUnit val="20"/>
        <c:minorUnit val="4"/>
      </c:valAx>
      <c:valAx>
        <c:axId val="446584704"/>
        <c:scaling>
          <c:logBase val="10"/>
          <c:orientation val="minMax"/>
        </c:scaling>
        <c:delete val="1"/>
        <c:axPos val="t"/>
        <c:numFmt formatCode="General" sourceLinked="1"/>
        <c:majorTickMark val="out"/>
        <c:minorTickMark val="none"/>
        <c:tickLblPos val="none"/>
        <c:crossAx val="446586240"/>
        <c:crossesAt val="0"/>
        <c:crossBetween val="midCat"/>
      </c:valAx>
      <c:valAx>
        <c:axId val="446586240"/>
        <c:scaling>
          <c:orientation val="minMax"/>
          <c:max val="120"/>
          <c:min val="-60"/>
        </c:scaling>
        <c:delete val="0"/>
        <c:axPos val="r"/>
        <c:title>
          <c:tx>
            <c:rich>
              <a:bodyPr/>
              <a:lstStyle/>
              <a:p>
                <a:pPr>
                  <a:defRPr lang="ja-JP" sz="1200" b="1" i="0" u="none" strike="noStrike" baseline="0">
                    <a:solidFill>
                      <a:srgbClr val="0000FF"/>
                    </a:solidFill>
                    <a:latin typeface="Arial"/>
                    <a:ea typeface="Arial"/>
                    <a:cs typeface="Arial"/>
                  </a:defRPr>
                </a:pPr>
                <a:r>
                  <a:rPr lang="en-US"/>
                  <a:t>Phase (°)</a:t>
                </a:r>
              </a:p>
            </c:rich>
          </c:tx>
          <c:layout>
            <c:manualLayout>
              <c:xMode val="edge"/>
              <c:yMode val="edge"/>
              <c:x val="0.96550048590864856"/>
              <c:y val="0.3982582822308516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800" b="0" i="0" u="none" strike="noStrike" baseline="0">
                <a:solidFill>
                  <a:srgbClr val="0000FF"/>
                </a:solidFill>
                <a:latin typeface="Arial"/>
                <a:ea typeface="Arial"/>
                <a:cs typeface="Arial"/>
              </a:defRPr>
            </a:pPr>
            <a:endParaRPr lang="en-US"/>
          </a:p>
        </c:txPr>
        <c:crossAx val="446584704"/>
        <c:crosses val="max"/>
        <c:crossBetween val="midCat"/>
        <c:majorUnit val="30"/>
      </c:valAx>
      <c:spPr>
        <a:noFill/>
        <a:ln w="25400">
          <a:noFill/>
        </a:ln>
      </c:spPr>
    </c:plotArea>
    <c:plotVisOnly val="1"/>
    <c:dispBlanksAs val="gap"/>
    <c:showDLblsOverMax val="0"/>
  </c:chart>
  <c:spPr>
    <a:solidFill>
      <a:srgbClr val="FFFFFF"/>
    </a:solidFill>
    <a:ln w="25400">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67" r="0.7500000000000016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6.8262822053612889E-5</c:v>
                </c:pt>
                <c:pt idx="1">
                  <c:v>78.462306942322471</c:v>
                </c:pt>
                <c:pt idx="2">
                  <c:v>81.808787092572956</c:v>
                </c:pt>
                <c:pt idx="3">
                  <c:v>82.93314488714735</c:v>
                </c:pt>
                <c:pt idx="4">
                  <c:v>83.455332564947554</c:v>
                </c:pt>
                <c:pt idx="5">
                  <c:v>83.723792600748794</c:v>
                </c:pt>
                <c:pt idx="6">
                  <c:v>83.858857905633698</c:v>
                </c:pt>
                <c:pt idx="7">
                  <c:v>83.913429363287946</c:v>
                </c:pt>
                <c:pt idx="8">
                  <c:v>83.914559571780529</c:v>
                </c:pt>
                <c:pt idx="9">
                  <c:v>83.877618631539548</c:v>
                </c:pt>
                <c:pt idx="10">
                  <c:v>83.812050995946279</c:v>
                </c:pt>
                <c:pt idx="11">
                  <c:v>83.724025769394288</c:v>
                </c:pt>
                <c:pt idx="12">
                  <c:v>83.617776496328943</c:v>
                </c:pt>
                <c:pt idx="13">
                  <c:v>83.496329835255438</c:v>
                </c:pt>
                <c:pt idx="14">
                  <c:v>83.361925908457863</c:v>
                </c:pt>
                <c:pt idx="15">
                  <c:v>83.216272858080615</c:v>
                </c:pt>
                <c:pt idx="16">
                  <c:v>83.060707422577636</c:v>
                </c:pt>
                <c:pt idx="17">
                  <c:v>82.896299819853482</c:v>
                </c:pt>
                <c:pt idx="18">
                  <c:v>82.723924347121113</c:v>
                </c:pt>
                <c:pt idx="19">
                  <c:v>82.544308170604694</c:v>
                </c:pt>
                <c:pt idx="20">
                  <c:v>82.358065834636349</c:v>
                </c:pt>
                <c:pt idx="21">
                  <c:v>82.165724179322908</c:v>
                </c:pt>
                <c:pt idx="22">
                  <c:v>81.96774066867961</c:v>
                </c:pt>
                <c:pt idx="23">
                  <c:v>81.764517098778867</c:v>
                </c:pt>
                <c:pt idx="24">
                  <c:v>81.556410006947957</c:v>
                </c:pt>
                <c:pt idx="25">
                  <c:v>81.343738685890401</c:v>
                </c:pt>
                <c:pt idx="26">
                  <c:v>81.126791432454297</c:v>
                </c:pt>
                <c:pt idx="27">
                  <c:v>80.905830477063461</c:v>
                </c:pt>
                <c:pt idx="28">
                  <c:v>80.681095914516746</c:v>
                </c:pt>
                <c:pt idx="29">
                  <c:v>80.452808869982732</c:v>
                </c:pt>
                <c:pt idx="30">
                  <c:v>80.22117407287115</c:v>
                </c:pt>
                <c:pt idx="31">
                  <c:v>79.986381967629711</c:v>
                </c:pt>
                <c:pt idx="32">
                  <c:v>79.748610458975719</c:v>
                </c:pt>
                <c:pt idx="33">
                  <c:v>79.508026366000763</c:v>
                </c:pt>
                <c:pt idx="34">
                  <c:v>79.075511765822228</c:v>
                </c:pt>
                <c:pt idx="35">
                  <c:v>78.475511900083035</c:v>
                </c:pt>
                <c:pt idx="36">
                  <c:v>78.515083446780267</c:v>
                </c:pt>
                <c:pt idx="37">
                  <c:v>78.551774360048086</c:v>
                </c:pt>
                <c:pt idx="38">
                  <c:v>78.585801249575709</c:v>
                </c:pt>
                <c:pt idx="39">
                  <c:v>78.617359927617997</c:v>
                </c:pt>
                <c:pt idx="40">
                  <c:v>78.646627848775012</c:v>
                </c:pt>
                <c:pt idx="41">
                  <c:v>78.673766212839638</c:v>
                </c:pt>
                <c:pt idx="42">
                  <c:v>78.698921783993441</c:v>
                </c:pt>
                <c:pt idx="43">
                  <c:v>78.722228470179886</c:v>
                </c:pt>
                <c:pt idx="44">
                  <c:v>78.743808698885942</c:v>
                </c:pt>
                <c:pt idx="45">
                  <c:v>78.7637746194182</c:v>
                </c:pt>
                <c:pt idx="46">
                  <c:v>78.782229156766732</c:v>
                </c:pt>
                <c:pt idx="47">
                  <c:v>78.799266938073075</c:v>
                </c:pt>
                <c:pt idx="48">
                  <c:v>78.814975109374004</c:v>
                </c:pt>
                <c:pt idx="49">
                  <c:v>78.829434057536616</c:v>
                </c:pt>
                <c:pt idx="50">
                  <c:v>79.291781341638782</c:v>
                </c:pt>
                <c:pt idx="51">
                  <c:v>79.738914999195714</c:v>
                </c:pt>
                <c:pt idx="52">
                  <c:v>80.167578723704509</c:v>
                </c:pt>
                <c:pt idx="53">
                  <c:v>80.579017218433492</c:v>
                </c:pt>
                <c:pt idx="54">
                  <c:v>80.974242692701424</c:v>
                </c:pt>
                <c:pt idx="55">
                  <c:v>80.823929859073147</c:v>
                </c:pt>
                <c:pt idx="56">
                  <c:v>80.975639775649213</c:v>
                </c:pt>
                <c:pt idx="57">
                  <c:v>81.12252366282587</c:v>
                </c:pt>
                <c:pt idx="58">
                  <c:v>81.264786571667358</c:v>
                </c:pt>
                <c:pt idx="59">
                  <c:v>81.402621981581149</c:v>
                </c:pt>
                <c:pt idx="60">
                  <c:v>81.536212609586727</c:v>
                </c:pt>
                <c:pt idx="61">
                  <c:v>81.665731152086536</c:v>
                </c:pt>
                <c:pt idx="62">
                  <c:v>81.791340965671566</c:v>
                </c:pt>
                <c:pt idx="63">
                  <c:v>81.913196692775443</c:v>
                </c:pt>
                <c:pt idx="64">
                  <c:v>82.031444837359729</c:v>
                </c:pt>
                <c:pt idx="65">
                  <c:v>82.146224295259728</c:v>
                </c:pt>
                <c:pt idx="66">
                  <c:v>82.257666843331819</c:v>
                </c:pt>
                <c:pt idx="67">
                  <c:v>82.365897591114006</c:v>
                </c:pt>
                <c:pt idx="68">
                  <c:v>82.471035398330457</c:v>
                </c:pt>
                <c:pt idx="69">
                  <c:v>82.573193261235261</c:v>
                </c:pt>
                <c:pt idx="70">
                  <c:v>82.672478670491103</c:v>
                </c:pt>
                <c:pt idx="71">
                  <c:v>82.76899394301455</c:v>
                </c:pt>
                <c:pt idx="72">
                  <c:v>82.862836529982658</c:v>
                </c:pt>
                <c:pt idx="73">
                  <c:v>82.954099302986393</c:v>
                </c:pt>
                <c:pt idx="74">
                  <c:v>83.042870820127064</c:v>
                </c:pt>
                <c:pt idx="75">
                  <c:v>83.129235573685889</c:v>
                </c:pt>
                <c:pt idx="76">
                  <c:v>83.213274220844852</c:v>
                </c:pt>
                <c:pt idx="77">
                  <c:v>83.295063798803369</c:v>
                </c:pt>
                <c:pt idx="78">
                  <c:v>83.374677925513353</c:v>
                </c:pt>
                <c:pt idx="79">
                  <c:v>83.45218698714703</c:v>
                </c:pt>
                <c:pt idx="80">
                  <c:v>83.527658313313395</c:v>
                </c:pt>
                <c:pt idx="81">
                  <c:v>83.601156340951206</c:v>
                </c:pt>
                <c:pt idx="82">
                  <c:v>83.672742767746016</c:v>
                </c:pt>
                <c:pt idx="83">
                  <c:v>83.74247669584787</c:v>
                </c:pt>
                <c:pt idx="84">
                  <c:v>83.810414766598825</c:v>
                </c:pt>
                <c:pt idx="85">
                  <c:v>83.876611286923421</c:v>
                </c:pt>
                <c:pt idx="86">
                  <c:v>83.941118347978474</c:v>
                </c:pt>
                <c:pt idx="87">
                  <c:v>84.003985936612239</c:v>
                </c:pt>
                <c:pt idx="88">
                  <c:v>84.065262040137398</c:v>
                </c:pt>
                <c:pt idx="89">
                  <c:v>84.124992744882732</c:v>
                </c:pt>
                <c:pt idx="90">
                  <c:v>84.183222328951345</c:v>
                </c:pt>
                <c:pt idx="91">
                  <c:v>84.239993349580075</c:v>
                </c:pt>
                <c:pt idx="92">
                  <c:v>84.295346725464015</c:v>
                </c:pt>
                <c:pt idx="93">
                  <c:v>84.34932181438225</c:v>
                </c:pt>
                <c:pt idx="94">
                  <c:v>84.401956486435793</c:v>
                </c:pt>
                <c:pt idx="95">
                  <c:v>84.45328719318465</c:v>
                </c:pt>
                <c:pt idx="96">
                  <c:v>84.50334903295024</c:v>
                </c:pt>
                <c:pt idx="97">
                  <c:v>84.552175812529455</c:v>
                </c:pt>
                <c:pt idx="98">
                  <c:v>84.599800105548823</c:v>
                </c:pt>
                <c:pt idx="99">
                  <c:v>84.646253307670719</c:v>
                </c:pt>
                <c:pt idx="100">
                  <c:v>84.195767393085703</c:v>
                </c:pt>
              </c:numCache>
            </c:numRef>
          </c:val>
          <c:smooth val="0"/>
          <c:extLst>
            <c:ext xmlns:c16="http://schemas.microsoft.com/office/drawing/2014/chart" uri="{C3380CC4-5D6E-409C-BE32-E72D297353CC}">
              <c16:uniqueId val="{00000000-9FB2-40F7-8293-C6828AB4E751}"/>
            </c:ext>
          </c:extLst>
        </c:ser>
        <c:dLbls>
          <c:showLegendKey val="0"/>
          <c:showVal val="0"/>
          <c:showCatName val="0"/>
          <c:showSerName val="0"/>
          <c:showPercent val="0"/>
          <c:showBubbleSize val="0"/>
        </c:dLbls>
        <c:marker val="1"/>
        <c:smooth val="0"/>
        <c:axId val="450484096"/>
        <c:axId val="450498560"/>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1.4879999999999998E-6</c:v>
                </c:pt>
                <c:pt idx="1">
                  <c:v>9.2999999999999989</c:v>
                </c:pt>
                <c:pt idx="2">
                  <c:v>18.599999999999998</c:v>
                </c:pt>
                <c:pt idx="3">
                  <c:v>27.9</c:v>
                </c:pt>
                <c:pt idx="4">
                  <c:v>37.199999999999996</c:v>
                </c:pt>
                <c:pt idx="5">
                  <c:v>46.499999999999993</c:v>
                </c:pt>
                <c:pt idx="6">
                  <c:v>55.8</c:v>
                </c:pt>
                <c:pt idx="7">
                  <c:v>65.100000000000009</c:v>
                </c:pt>
                <c:pt idx="8">
                  <c:v>74.399999999999991</c:v>
                </c:pt>
                <c:pt idx="9">
                  <c:v>83.7</c:v>
                </c:pt>
                <c:pt idx="10">
                  <c:v>92.999999999999986</c:v>
                </c:pt>
                <c:pt idx="11">
                  <c:v>102.3</c:v>
                </c:pt>
                <c:pt idx="12">
                  <c:v>111.6</c:v>
                </c:pt>
                <c:pt idx="13">
                  <c:v>120.89999999999999</c:v>
                </c:pt>
                <c:pt idx="14">
                  <c:v>130.20000000000002</c:v>
                </c:pt>
                <c:pt idx="15">
                  <c:v>139.49999999999997</c:v>
                </c:pt>
                <c:pt idx="16">
                  <c:v>148.79999999999998</c:v>
                </c:pt>
                <c:pt idx="17">
                  <c:v>158.1</c:v>
                </c:pt>
                <c:pt idx="18">
                  <c:v>167.4</c:v>
                </c:pt>
                <c:pt idx="19">
                  <c:v>176.7</c:v>
                </c:pt>
                <c:pt idx="20">
                  <c:v>185.99999999999997</c:v>
                </c:pt>
                <c:pt idx="21">
                  <c:v>195.3</c:v>
                </c:pt>
                <c:pt idx="22">
                  <c:v>204.6</c:v>
                </c:pt>
                <c:pt idx="23">
                  <c:v>213.9</c:v>
                </c:pt>
                <c:pt idx="24">
                  <c:v>223.2</c:v>
                </c:pt>
                <c:pt idx="25">
                  <c:v>232.49999999999997</c:v>
                </c:pt>
                <c:pt idx="26">
                  <c:v>241.79999999999998</c:v>
                </c:pt>
                <c:pt idx="27">
                  <c:v>251.1</c:v>
                </c:pt>
                <c:pt idx="28">
                  <c:v>260.40000000000003</c:v>
                </c:pt>
                <c:pt idx="29">
                  <c:v>269.7</c:v>
                </c:pt>
                <c:pt idx="30">
                  <c:v>278.99999999999994</c:v>
                </c:pt>
                <c:pt idx="31">
                  <c:v>288.3</c:v>
                </c:pt>
                <c:pt idx="32">
                  <c:v>297.59999999999997</c:v>
                </c:pt>
                <c:pt idx="33">
                  <c:v>306.89999999999998</c:v>
                </c:pt>
                <c:pt idx="34">
                  <c:v>316.2</c:v>
                </c:pt>
                <c:pt idx="35">
                  <c:v>325.49999999999994</c:v>
                </c:pt>
                <c:pt idx="36">
                  <c:v>334.8</c:v>
                </c:pt>
                <c:pt idx="37">
                  <c:v>344.1</c:v>
                </c:pt>
                <c:pt idx="38">
                  <c:v>353.4</c:v>
                </c:pt>
                <c:pt idx="39">
                  <c:v>362.69999999999993</c:v>
                </c:pt>
                <c:pt idx="40">
                  <c:v>371.99999999999994</c:v>
                </c:pt>
                <c:pt idx="41">
                  <c:v>381.29999999999995</c:v>
                </c:pt>
                <c:pt idx="42">
                  <c:v>390.6</c:v>
                </c:pt>
                <c:pt idx="43">
                  <c:v>399.9</c:v>
                </c:pt>
                <c:pt idx="44">
                  <c:v>409.2</c:v>
                </c:pt>
                <c:pt idx="45">
                  <c:v>418.5</c:v>
                </c:pt>
                <c:pt idx="46">
                  <c:v>427.8</c:v>
                </c:pt>
                <c:pt idx="47">
                  <c:v>437.09999999999991</c:v>
                </c:pt>
                <c:pt idx="48">
                  <c:v>446.4</c:v>
                </c:pt>
                <c:pt idx="49">
                  <c:v>455.7</c:v>
                </c:pt>
                <c:pt idx="50">
                  <c:v>464.99999999999994</c:v>
                </c:pt>
                <c:pt idx="51">
                  <c:v>474.29999999999995</c:v>
                </c:pt>
                <c:pt idx="52">
                  <c:v>483.59999999999997</c:v>
                </c:pt>
                <c:pt idx="53">
                  <c:v>492.9</c:v>
                </c:pt>
                <c:pt idx="54">
                  <c:v>502.2</c:v>
                </c:pt>
                <c:pt idx="55">
                  <c:v>511.49999999999994</c:v>
                </c:pt>
                <c:pt idx="56">
                  <c:v>520.80000000000007</c:v>
                </c:pt>
                <c:pt idx="57">
                  <c:v>530.1</c:v>
                </c:pt>
                <c:pt idx="58">
                  <c:v>539.4</c:v>
                </c:pt>
                <c:pt idx="59">
                  <c:v>548.69999999999993</c:v>
                </c:pt>
                <c:pt idx="60">
                  <c:v>557.99999999999989</c:v>
                </c:pt>
                <c:pt idx="61">
                  <c:v>567.29999999999995</c:v>
                </c:pt>
                <c:pt idx="62">
                  <c:v>576.6</c:v>
                </c:pt>
                <c:pt idx="63">
                  <c:v>585.89999999999986</c:v>
                </c:pt>
                <c:pt idx="64">
                  <c:v>595.19999999999993</c:v>
                </c:pt>
                <c:pt idx="65">
                  <c:v>604.49999999999989</c:v>
                </c:pt>
                <c:pt idx="66">
                  <c:v>613.79999999999995</c:v>
                </c:pt>
                <c:pt idx="67">
                  <c:v>623.1</c:v>
                </c:pt>
                <c:pt idx="68">
                  <c:v>632.4</c:v>
                </c:pt>
                <c:pt idx="69">
                  <c:v>641.69999999999993</c:v>
                </c:pt>
                <c:pt idx="70">
                  <c:v>650.99999999999989</c:v>
                </c:pt>
                <c:pt idx="71">
                  <c:v>660.29999999999984</c:v>
                </c:pt>
                <c:pt idx="72">
                  <c:v>669.6</c:v>
                </c:pt>
                <c:pt idx="73">
                  <c:v>678.9</c:v>
                </c:pt>
                <c:pt idx="74">
                  <c:v>688.2</c:v>
                </c:pt>
                <c:pt idx="75">
                  <c:v>697.49999999999989</c:v>
                </c:pt>
                <c:pt idx="76">
                  <c:v>706.8</c:v>
                </c:pt>
                <c:pt idx="77">
                  <c:v>716.09999999999991</c:v>
                </c:pt>
                <c:pt idx="78">
                  <c:v>725.39999999999986</c:v>
                </c:pt>
                <c:pt idx="79">
                  <c:v>734.69999999999993</c:v>
                </c:pt>
                <c:pt idx="80">
                  <c:v>743.99999999999989</c:v>
                </c:pt>
                <c:pt idx="81">
                  <c:v>753.3</c:v>
                </c:pt>
                <c:pt idx="82">
                  <c:v>762.59999999999991</c:v>
                </c:pt>
                <c:pt idx="83">
                  <c:v>771.9</c:v>
                </c:pt>
                <c:pt idx="84">
                  <c:v>781.2</c:v>
                </c:pt>
                <c:pt idx="85">
                  <c:v>790.5</c:v>
                </c:pt>
                <c:pt idx="86">
                  <c:v>799.8</c:v>
                </c:pt>
                <c:pt idx="87">
                  <c:v>809.09999999999991</c:v>
                </c:pt>
                <c:pt idx="88">
                  <c:v>818.4</c:v>
                </c:pt>
                <c:pt idx="89">
                  <c:v>827.7</c:v>
                </c:pt>
                <c:pt idx="90">
                  <c:v>837</c:v>
                </c:pt>
                <c:pt idx="91">
                  <c:v>846.30000000000007</c:v>
                </c:pt>
                <c:pt idx="92">
                  <c:v>855.6</c:v>
                </c:pt>
                <c:pt idx="93">
                  <c:v>864.90000000000009</c:v>
                </c:pt>
                <c:pt idx="94">
                  <c:v>874.19999999999982</c:v>
                </c:pt>
                <c:pt idx="95">
                  <c:v>883.49999999999989</c:v>
                </c:pt>
                <c:pt idx="96">
                  <c:v>892.8</c:v>
                </c:pt>
                <c:pt idx="97">
                  <c:v>902.09999999999991</c:v>
                </c:pt>
                <c:pt idx="98">
                  <c:v>911.4</c:v>
                </c:pt>
                <c:pt idx="99">
                  <c:v>920.69999999999993</c:v>
                </c:pt>
                <c:pt idx="100">
                  <c:v>929.99999999999989</c:v>
                </c:pt>
              </c:numCache>
            </c:numRef>
          </c:val>
          <c:smooth val="0"/>
          <c:extLst>
            <c:ext xmlns:c16="http://schemas.microsoft.com/office/drawing/2014/chart" uri="{C3380CC4-5D6E-409C-BE32-E72D297353CC}">
              <c16:uniqueId val="{00000001-9FB2-40F7-8293-C6828AB4E751}"/>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23.882037447512634</c:v>
                </c:pt>
                <c:pt idx="1">
                  <c:v>23.861111801472518</c:v>
                </c:pt>
                <c:pt idx="2">
                  <c:v>47.729175691755003</c:v>
                </c:pt>
                <c:pt idx="3">
                  <c:v>71.604194709594012</c:v>
                </c:pt>
                <c:pt idx="4">
                  <c:v>95.486171895507283</c:v>
                </c:pt>
                <c:pt idx="5">
                  <c:v>119.37511029178521</c:v>
                </c:pt>
                <c:pt idx="6">
                  <c:v>143.27101294249178</c:v>
                </c:pt>
                <c:pt idx="7">
                  <c:v>167.17388289346633</c:v>
                </c:pt>
                <c:pt idx="8">
                  <c:v>191.08372319232438</c:v>
                </c:pt>
                <c:pt idx="9">
                  <c:v>215.00053688845935</c:v>
                </c:pt>
                <c:pt idx="10">
                  <c:v>238.9243270330436</c:v>
                </c:pt>
                <c:pt idx="11">
                  <c:v>262.85509667902949</c:v>
                </c:pt>
                <c:pt idx="12">
                  <c:v>286.79284888115166</c:v>
                </c:pt>
                <c:pt idx="13">
                  <c:v>310.73758669592667</c:v>
                </c:pt>
                <c:pt idx="14">
                  <c:v>334.6893131816563</c:v>
                </c:pt>
                <c:pt idx="15">
                  <c:v>358.64803139842689</c:v>
                </c:pt>
                <c:pt idx="16">
                  <c:v>382.61374440811244</c:v>
                </c:pt>
                <c:pt idx="17">
                  <c:v>406.58645527437432</c:v>
                </c:pt>
                <c:pt idx="18">
                  <c:v>430.56616706266362</c:v>
                </c:pt>
                <c:pt idx="19">
                  <c:v>454.55288284022231</c:v>
                </c:pt>
                <c:pt idx="20">
                  <c:v>478.54660567608408</c:v>
                </c:pt>
                <c:pt idx="21">
                  <c:v>502.54733864107595</c:v>
                </c:pt>
                <c:pt idx="22">
                  <c:v>526.55508480781998</c:v>
                </c:pt>
                <c:pt idx="23">
                  <c:v>550.5698472507338</c:v>
                </c:pt>
                <c:pt idx="24">
                  <c:v>574.59162904603238</c:v>
                </c:pt>
                <c:pt idx="25">
                  <c:v>598.62043327172887</c:v>
                </c:pt>
                <c:pt idx="26">
                  <c:v>622.65626300763756</c:v>
                </c:pt>
                <c:pt idx="27">
                  <c:v>646.69912133537252</c:v>
                </c:pt>
                <c:pt idx="28">
                  <c:v>670.74901133835147</c:v>
                </c:pt>
                <c:pt idx="29">
                  <c:v>694.80593610179437</c:v>
                </c:pt>
                <c:pt idx="30">
                  <c:v>718.86989871272863</c:v>
                </c:pt>
                <c:pt idx="31">
                  <c:v>742.9409022599865</c:v>
                </c:pt>
                <c:pt idx="32">
                  <c:v>767.01894983420823</c:v>
                </c:pt>
                <c:pt idx="33">
                  <c:v>791.10404452784371</c:v>
                </c:pt>
                <c:pt idx="34">
                  <c:v>821.06960346992912</c:v>
                </c:pt>
                <c:pt idx="35">
                  <c:v>856.18020192473477</c:v>
                </c:pt>
                <c:pt idx="36">
                  <c:v>867.9260461406169</c:v>
                </c:pt>
                <c:pt idx="37">
                  <c:v>879.55570168620591</c:v>
                </c:pt>
                <c:pt idx="38">
                  <c:v>891.07466058556361</c:v>
                </c:pt>
                <c:pt idx="39">
                  <c:v>902.48805174742824</c:v>
                </c:pt>
                <c:pt idx="40">
                  <c:v>913.80067360709654</c:v>
                </c:pt>
                <c:pt idx="41">
                  <c:v>925.01702310251017</c:v>
                </c:pt>
                <c:pt idx="42">
                  <c:v>936.14132147482132</c:v>
                </c:pt>
                <c:pt idx="43">
                  <c:v>947.17753730811739</c:v>
                </c:pt>
                <c:pt idx="44">
                  <c:v>958.12940716050832</c:v>
                </c:pt>
                <c:pt idx="45">
                  <c:v>969.00045408692608</c:v>
                </c:pt>
                <c:pt idx="46">
                  <c:v>979.79400431073293</c:v>
                </c:pt>
                <c:pt idx="47">
                  <c:v>990.51320226501468</c:v>
                </c:pt>
                <c:pt idx="48">
                  <c:v>1001.1610241939794</c:v>
                </c:pt>
                <c:pt idx="49">
                  <c:v>1011.7402904791593</c:v>
                </c:pt>
                <c:pt idx="50">
                  <c:v>1003.1903185635875</c:v>
                </c:pt>
                <c:pt idx="51">
                  <c:v>994.71074234429818</c:v>
                </c:pt>
                <c:pt idx="52">
                  <c:v>986.47032963385709</c:v>
                </c:pt>
                <c:pt idx="53">
                  <c:v>978.4391804955419</c:v>
                </c:pt>
                <c:pt idx="54">
                  <c:v>970.59948925752997</c:v>
                </c:pt>
                <c:pt idx="55">
                  <c:v>984.89248387747625</c:v>
                </c:pt>
                <c:pt idx="56">
                  <c:v>986.74010439109668</c:v>
                </c:pt>
                <c:pt idx="57">
                  <c:v>988.6553427156399</c:v>
                </c:pt>
                <c:pt idx="58">
                  <c:v>990.63741001632377</c:v>
                </c:pt>
                <c:pt idx="59">
                  <c:v>992.6855785778896</c:v>
                </c:pt>
                <c:pt idx="60">
                  <c:v>994.79917721397624</c:v>
                </c:pt>
                <c:pt idx="61">
                  <c:v>996.97758710404162</c:v>
                </c:pt>
                <c:pt idx="62">
                  <c:v>999.22023801231444</c:v>
                </c:pt>
                <c:pt idx="63">
                  <c:v>1001.5266048487259</c:v>
                </c:pt>
                <c:pt idx="64">
                  <c:v>1003.8962045364997</c:v>
                </c:pt>
                <c:pt idx="65">
                  <c:v>1006.3285931551821</c:v>
                </c:pt>
                <c:pt idx="66">
                  <c:v>1008.8233633315044</c:v>
                </c:pt>
                <c:pt idx="67">
                  <c:v>1011.3801418535604</c:v>
                </c:pt>
                <c:pt idx="68">
                  <c:v>1013.9985874865489</c:v>
                </c:pt>
                <c:pt idx="69">
                  <c:v>1016.678388970699</c:v>
                </c:pt>
                <c:pt idx="70">
                  <c:v>1019.419263184129</c:v>
                </c:pt>
                <c:pt idx="71">
                  <c:v>1022.220953455201</c:v>
                </c:pt>
                <c:pt idx="72">
                  <c:v>1025.0832280106024</c:v>
                </c:pt>
                <c:pt idx="73">
                  <c:v>1028.0058785467986</c:v>
                </c:pt>
                <c:pt idx="74">
                  <c:v>1030.9887189137801</c:v>
                </c:pt>
                <c:pt idx="75">
                  <c:v>1034.0315839011571</c:v>
                </c:pt>
                <c:pt idx="76">
                  <c:v>1037.1343281176505</c:v>
                </c:pt>
                <c:pt idx="77">
                  <c:v>1040.2968249559158</c:v>
                </c:pt>
                <c:pt idx="78">
                  <c:v>1043.5189656354271</c:v>
                </c:pt>
                <c:pt idx="79">
                  <c:v>1046.8006583168585</c:v>
                </c:pt>
                <c:pt idx="80">
                  <c:v>1050.1418272820154</c:v>
                </c:pt>
                <c:pt idx="81">
                  <c:v>1053.5424121739375</c:v>
                </c:pt>
                <c:pt idx="82">
                  <c:v>1057.0023672923123</c:v>
                </c:pt>
                <c:pt idx="83">
                  <c:v>1060.5216609397507</c:v>
                </c:pt>
                <c:pt idx="84">
                  <c:v>1064.1002748149281</c:v>
                </c:pt>
                <c:pt idx="85">
                  <c:v>1067.7382034489112</c:v>
                </c:pt>
                <c:pt idx="86">
                  <c:v>1071.4354536813619</c:v>
                </c:pt>
                <c:pt idx="87">
                  <c:v>1075.1920441735647</c:v>
                </c:pt>
                <c:pt idx="88">
                  <c:v>1079.0080049555154</c:v>
                </c:pt>
                <c:pt idx="89">
                  <c:v>1082.8833770045394</c:v>
                </c:pt>
                <c:pt idx="90">
                  <c:v>1086.8182118531281</c:v>
                </c:pt>
                <c:pt idx="91">
                  <c:v>1090.8125712238675</c:v>
                </c:pt>
                <c:pt idx="92">
                  <c:v>1094.866526689525</c:v>
                </c:pt>
                <c:pt idx="93">
                  <c:v>1098.9801593565242</c:v>
                </c:pt>
                <c:pt idx="94">
                  <c:v>1103.1535595701509</c:v>
                </c:pt>
                <c:pt idx="95">
                  <c:v>1107.38682664002</c:v>
                </c:pt>
                <c:pt idx="96">
                  <c:v>1111.680068584405</c:v>
                </c:pt>
                <c:pt idx="97">
                  <c:v>1116.0334018921674</c:v>
                </c:pt>
                <c:pt idx="98">
                  <c:v>1120.4469513011234</c:v>
                </c:pt>
                <c:pt idx="99">
                  <c:v>1124.9208495917667</c:v>
                </c:pt>
                <c:pt idx="100">
                  <c:v>1129.4552373953588</c:v>
                </c:pt>
              </c:numCache>
            </c:numRef>
          </c:val>
          <c:smooth val="0"/>
          <c:extLst>
            <c:ext xmlns:c16="http://schemas.microsoft.com/office/drawing/2014/chart" uri="{C3380CC4-5D6E-409C-BE32-E72D297353CC}">
              <c16:uniqueId val="{00000002-9FB2-40F7-8293-C6828AB4E751}"/>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37.644821610376347</c:v>
                </c:pt>
                <c:pt idx="1">
                  <c:v>37.659197024847629</c:v>
                </c:pt>
                <c:pt idx="2">
                  <c:v>48.409915227789135</c:v>
                </c:pt>
                <c:pt idx="3">
                  <c:v>59.777668715738848</c:v>
                </c:pt>
                <c:pt idx="4">
                  <c:v>71.903472267572681</c:v>
                </c:pt>
                <c:pt idx="5">
                  <c:v>84.905544678762439</c:v>
                </c:pt>
                <c:pt idx="6">
                  <c:v>98.887826303760534</c:v>
                </c:pt>
                <c:pt idx="7">
                  <c:v>113.94419912681585</c:v>
                </c:pt>
                <c:pt idx="8">
                  <c:v>130.16095650649928</c:v>
                </c:pt>
                <c:pt idx="9">
                  <c:v>147.61839953743123</c:v>
                </c:pt>
                <c:pt idx="10">
                  <c:v>166.39194054616939</c:v>
                </c:pt>
                <c:pt idx="11">
                  <c:v>186.55290400509926</c:v>
                </c:pt>
                <c:pt idx="12">
                  <c:v>208.16912983389255</c:v>
                </c:pt>
                <c:pt idx="13">
                  <c:v>231.30544136015058</c:v>
                </c:pt>
                <c:pt idx="14">
                  <c:v>256.02401701952084</c:v>
                </c:pt>
                <c:pt idx="15">
                  <c:v>282.38469145015301</c:v>
                </c:pt>
                <c:pt idx="16">
                  <c:v>310.44520345575256</c:v>
                </c:pt>
                <c:pt idx="17">
                  <c:v>340.26140311189693</c:v>
                </c:pt>
                <c:pt idx="18">
                  <c:v>371.88742686637761</c:v>
                </c:pt>
                <c:pt idx="19">
                  <c:v>405.37584716066465</c:v>
                </c:pt>
                <c:pt idx="20">
                  <c:v>440.77780148103551</c:v>
                </c:pt>
                <c:pt idx="21">
                  <c:v>478.14310459467612</c:v>
                </c:pt>
                <c:pt idx="22">
                  <c:v>517.5203468877562</c:v>
                </c:pt>
                <c:pt idx="23">
                  <c:v>558.95698110220087</c:v>
                </c:pt>
                <c:pt idx="24">
                  <c:v>602.4993993016983</c:v>
                </c:pt>
                <c:pt idx="25">
                  <c:v>648.19300154190182</c:v>
                </c:pt>
                <c:pt idx="26">
                  <c:v>696.08225744530216</c:v>
                </c:pt>
                <c:pt idx="27">
                  <c:v>746.21076166661669</c:v>
                </c:pt>
                <c:pt idx="28">
                  <c:v>798.62128406514023</c:v>
                </c:pt>
                <c:pt idx="29">
                  <c:v>853.35581526530245</c:v>
                </c:pt>
                <c:pt idx="30">
                  <c:v>910.45560817795092</c:v>
                </c:pt>
                <c:pt idx="31">
                  <c:v>969.96121596655166</c:v>
                </c:pt>
                <c:pt idx="32">
                  <c:v>1031.9125268703924</c:v>
                </c:pt>
                <c:pt idx="33">
                  <c:v>1096.3487962373731</c:v>
                </c:pt>
                <c:pt idx="34">
                  <c:v>1183.924489257281</c:v>
                </c:pt>
                <c:pt idx="35">
                  <c:v>1295.094053332394</c:v>
                </c:pt>
                <c:pt idx="36">
                  <c:v>1338.8480844093028</c:v>
                </c:pt>
                <c:pt idx="37">
                  <c:v>1382.8387235131231</c:v>
                </c:pt>
                <c:pt idx="38">
                  <c:v>1427.0614338599116</c:v>
                </c:pt>
                <c:pt idx="39">
                  <c:v>1471.511890942016</c:v>
                </c:pt>
                <c:pt idx="40">
                  <c:v>1516.1859675032181</c:v>
                </c:pt>
                <c:pt idx="41">
                  <c:v>1561.0797199272647</c:v>
                </c:pt>
                <c:pt idx="42">
                  <c:v>1606.18937587551</c:v>
                </c:pt>
                <c:pt idx="43">
                  <c:v>1651.511323031915</c:v>
                </c:pt>
                <c:pt idx="44">
                  <c:v>1697.0420988327073</c:v>
                </c:pt>
                <c:pt idx="45">
                  <c:v>1742.7783810740593</c:v>
                </c:pt>
                <c:pt idx="46">
                  <c:v>1788.7169793048406</c:v>
                </c:pt>
                <c:pt idx="47">
                  <c:v>1834.8548269231298</c:v>
                </c:pt>
                <c:pt idx="48">
                  <c:v>1881.1889739051585</c:v>
                </c:pt>
                <c:pt idx="49">
                  <c:v>1927.7165801039293</c:v>
                </c:pt>
                <c:pt idx="50">
                  <c:v>1900.835022686726</c:v>
                </c:pt>
                <c:pt idx="51">
                  <c:v>1874.3424553167438</c:v>
                </c:pt>
                <c:pt idx="52">
                  <c:v>1848.8744118530942</c:v>
                </c:pt>
                <c:pt idx="53">
                  <c:v>1824.3391204106858</c:v>
                </c:pt>
                <c:pt idx="54">
                  <c:v>1800.6717034428066</c:v>
                </c:pt>
                <c:pt idx="55">
                  <c:v>1870.2890889464143</c:v>
                </c:pt>
                <c:pt idx="56">
                  <c:v>1886.8629195671831</c:v>
                </c:pt>
                <c:pt idx="57">
                  <c:v>1903.3789114939302</c:v>
                </c:pt>
                <c:pt idx="58">
                  <c:v>1919.8422435077264</c:v>
                </c:pt>
                <c:pt idx="59">
                  <c:v>1936.257786035427</c:v>
                </c:pt>
                <c:pt idx="60">
                  <c:v>1952.630124146433</c:v>
                </c:pt>
                <c:pt idx="61">
                  <c:v>1968.9635785337659</c:v>
                </c:pt>
                <c:pt idx="62">
                  <c:v>1985.262224682165</c:v>
                </c:pt>
                <c:pt idx="63">
                  <c:v>2001.5299104029425</c:v>
                </c:pt>
                <c:pt idx="64">
                  <c:v>2017.7702718953628</c:v>
                </c:pt>
                <c:pt idx="65">
                  <c:v>2033.9867484766748</c:v>
                </c:pt>
                <c:pt idx="66">
                  <c:v>2050.182596107602</c:v>
                </c:pt>
                <c:pt idx="67">
                  <c:v>2066.3608998264021</c:v>
                </c:pt>
                <c:pt idx="68">
                  <c:v>2082.5245851927684</c:v>
                </c:pt>
                <c:pt idx="69">
                  <c:v>2098.6764288321538</c:v>
                </c:pt>
                <c:pt idx="70">
                  <c:v>2114.8190681619085</c:v>
                </c:pt>
                <c:pt idx="71">
                  <c:v>2130.9550103721749</c:v>
                </c:pt>
                <c:pt idx="72">
                  <c:v>2147.0866407273015</c:v>
                </c:pt>
                <c:pt idx="73">
                  <c:v>2163.2162302468832</c:v>
                </c:pt>
                <c:pt idx="74">
                  <c:v>2179.3459428198544</c:v>
                </c:pt>
                <c:pt idx="75">
                  <c:v>2195.47784179978</c:v>
                </c:pt>
                <c:pt idx="76">
                  <c:v>2211.6138961249362</c:v>
                </c:pt>
                <c:pt idx="77">
                  <c:v>2227.7559860026113</c:v>
                </c:pt>
                <c:pt idx="78">
                  <c:v>2243.9059081934233</c:v>
                </c:pt>
                <c:pt idx="79">
                  <c:v>2260.0653809280484</c:v>
                </c:pt>
                <c:pt idx="80">
                  <c:v>2276.2360484858832</c:v>
                </c:pt>
                <c:pt idx="81">
                  <c:v>2292.4194854624261</c:v>
                </c:pt>
                <c:pt idx="82">
                  <c:v>2308.6172007498194</c:v>
                </c:pt>
                <c:pt idx="83">
                  <c:v>2324.8306412527327</c:v>
                </c:pt>
                <c:pt idx="84">
                  <c:v>2341.0611953600123</c:v>
                </c:pt>
                <c:pt idx="85">
                  <c:v>2357.3101961905304</c:v>
                </c:pt>
                <c:pt idx="86">
                  <c:v>2373.5789246302252</c:v>
                </c:pt>
                <c:pt idx="87">
                  <c:v>2389.8686121758997</c:v>
                </c:pt>
                <c:pt idx="88">
                  <c:v>2406.1804435999111</c:v>
                </c:pt>
                <c:pt idx="89">
                  <c:v>2422.5155594488774</c:v>
                </c:pt>
                <c:pt idx="90">
                  <c:v>2438.8750583882502</c:v>
                </c:pt>
                <c:pt idx="91">
                  <c:v>2455.2599994038724</c:v>
                </c:pt>
                <c:pt idx="92">
                  <c:v>2471.6714038705345</c:v>
                </c:pt>
                <c:pt idx="93">
                  <c:v>2488.1102574968622</c:v>
                </c:pt>
                <c:pt idx="94">
                  <c:v>2504.5775121550973</c:v>
                </c:pt>
                <c:pt idx="95">
                  <c:v>2521.0740876036421</c:v>
                </c:pt>
                <c:pt idx="96">
                  <c:v>2537.6008731097036</c:v>
                </c:pt>
                <c:pt idx="97">
                  <c:v>2554.1587289786944</c:v>
                </c:pt>
                <c:pt idx="98">
                  <c:v>2570.7484879966623</c:v>
                </c:pt>
                <c:pt idx="99">
                  <c:v>2587.370956791427</c:v>
                </c:pt>
                <c:pt idx="100">
                  <c:v>2604.0269171178256</c:v>
                </c:pt>
              </c:numCache>
            </c:numRef>
          </c:val>
          <c:smooth val="0"/>
          <c:extLst>
            <c:ext xmlns:c16="http://schemas.microsoft.com/office/drawing/2014/chart" uri="{C3380CC4-5D6E-409C-BE32-E72D297353CC}">
              <c16:uniqueId val="{00000003-9FB2-40F7-8293-C6828AB4E751}"/>
            </c:ext>
          </c:extLst>
        </c:ser>
        <c:dLbls>
          <c:showLegendKey val="0"/>
          <c:showVal val="0"/>
          <c:showCatName val="0"/>
          <c:showSerName val="0"/>
          <c:showPercent val="0"/>
          <c:showBubbleSize val="0"/>
        </c:dLbls>
        <c:marker val="1"/>
        <c:smooth val="0"/>
        <c:axId val="450510848"/>
        <c:axId val="450500480"/>
      </c:lineChart>
      <c:catAx>
        <c:axId val="450484096"/>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42471011396394504"/>
              <c:y val="0.93853771636955563"/>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0498560"/>
        <c:crosses val="autoZero"/>
        <c:auto val="1"/>
        <c:lblAlgn val="ctr"/>
        <c:lblOffset val="100"/>
        <c:tickLblSkip val="20"/>
        <c:tickMarkSkip val="20"/>
        <c:noMultiLvlLbl val="0"/>
      </c:catAx>
      <c:valAx>
        <c:axId val="450498560"/>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0484096"/>
        <c:crossesAt val="0"/>
        <c:crossBetween val="between"/>
        <c:majorUnit val="5"/>
        <c:minorUnit val="2.5"/>
      </c:valAx>
      <c:valAx>
        <c:axId val="45050048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0510848"/>
        <c:crosses val="max"/>
        <c:crossBetween val="between"/>
      </c:valAx>
      <c:catAx>
        <c:axId val="450510848"/>
        <c:scaling>
          <c:orientation val="minMax"/>
        </c:scaling>
        <c:delete val="1"/>
        <c:axPos val="b"/>
        <c:numFmt formatCode="General" sourceLinked="1"/>
        <c:majorTickMark val="out"/>
        <c:minorTickMark val="none"/>
        <c:tickLblPos val="nextTo"/>
        <c:crossAx val="45050048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93009796772281"/>
          <c:y val="9.6043598935517463E-2"/>
          <c:w val="0.79387547420256122"/>
          <c:h val="0.75083975467433728"/>
        </c:manualLayout>
      </c:layout>
      <c:lineChart>
        <c:grouping val="standard"/>
        <c:varyColors val="0"/>
        <c:ser>
          <c:idx val="9"/>
          <c:order val="6"/>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10.012467970437628</c:v>
                </c:pt>
                <c:pt idx="2">
                  <c:v>30.037403911312889</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237.11687394801285</c:v>
                </c:pt>
                <c:pt idx="27">
                  <c:v>228.71217510399072</c:v>
                </c:pt>
                <c:pt idx="28">
                  <c:v>220.79090629077334</c:v>
                </c:pt>
                <c:pt idx="29">
                  <c:v>213.39224068989424</c:v>
                </c:pt>
                <c:pt idx="30">
                  <c:v>206.46611091387595</c:v>
                </c:pt>
                <c:pt idx="31">
                  <c:v>199.96864718879655</c:v>
                </c:pt>
                <c:pt idx="32">
                  <c:v>193.86124717214813</c:v>
                </c:pt>
                <c:pt idx="33">
                  <c:v>188.10980841848749</c:v>
                </c:pt>
                <c:pt idx="34">
                  <c:v>182.68409125254396</c:v>
                </c:pt>
                <c:pt idx="35">
                  <c:v>177.55718691202003</c:v>
                </c:pt>
                <c:pt idx="36">
                  <c:v>172.70507121177818</c:v>
                </c:pt>
                <c:pt idx="37">
                  <c:v>168.10622810457852</c:v>
                </c:pt>
                <c:pt idx="38">
                  <c:v>163.74133069302343</c:v>
                </c:pt>
                <c:pt idx="39">
                  <c:v>159.59296971705476</c:v>
                </c:pt>
                <c:pt idx="40">
                  <c:v>155.64542147301893</c:v>
                </c:pt>
                <c:pt idx="41">
                  <c:v>151.88444864114015</c:v>
                </c:pt>
                <c:pt idx="42">
                  <c:v>148.29712870305036</c:v>
                </c:pt>
                <c:pt idx="43">
                  <c:v>144.87170559114992</c:v>
                </c:pt>
                <c:pt idx="44">
                  <c:v>141.59746098099774</c:v>
                </c:pt>
                <c:pt idx="45">
                  <c:v>138.46460225783966</c:v>
                </c:pt>
                <c:pt idx="46">
                  <c:v>135.46416469037217</c:v>
                </c:pt>
                <c:pt idx="47">
                  <c:v>132.58792575331745</c:v>
                </c:pt>
                <c:pt idx="48">
                  <c:v>129.82832987431564</c:v>
                </c:pt>
                <c:pt idx="49">
                  <c:v>127.17842215483743</c:v>
                </c:pt>
                <c:pt idx="50">
                  <c:v>124.63178984092414</c:v>
                </c:pt>
                <c:pt idx="51">
                  <c:v>122.1825105067725</c:v>
                </c:pt>
                <c:pt idx="52">
                  <c:v>119.82510606978157</c:v>
                </c:pt>
                <c:pt idx="53">
                  <c:v>117.55450188550293</c:v>
                </c:pt>
                <c:pt idx="54">
                  <c:v>115.36599027962956</c:v>
                </c:pt>
                <c:pt idx="55">
                  <c:v>113.25519796548701</c:v>
                </c:pt>
                <c:pt idx="56">
                  <c:v>111.21805687247338</c:v>
                </c:pt>
                <c:pt idx="57">
                  <c:v>109.25077797599847</c:v>
                </c:pt>
                <c:pt idx="58">
                  <c:v>107.34982777469709</c:v>
                </c:pt>
                <c:pt idx="59">
                  <c:v>105.51190710767578</c:v>
                </c:pt>
                <c:pt idx="60">
                  <c:v>103.73393204463981</c:v>
                </c:pt>
                <c:pt idx="61">
                  <c:v>102.01301661604374</c:v>
                </c:pt>
                <c:pt idx="62">
                  <c:v>100.34645717983406</c:v>
                </c:pt>
                <c:pt idx="63">
                  <c:v>98.731718246653998</c:v>
                </c:pt>
                <c:pt idx="64">
                  <c:v>97.166419607201391</c:v>
                </c:pt>
                <c:pt idx="65">
                  <c:v>95.648324624285308</c:v>
                </c:pt>
                <c:pt idx="66">
                  <c:v>94.175329568465941</c:v>
                </c:pt>
                <c:pt idx="67">
                  <c:v>92.745453890341267</c:v>
                </c:pt>
                <c:pt idx="68">
                  <c:v>91.356831334890998</c:v>
                </c:pt>
                <c:pt idx="69">
                  <c:v>90.007701814047167</c:v>
                </c:pt>
                <c:pt idx="70">
                  <c:v>88.696403963065379</c:v>
                </c:pt>
                <c:pt idx="71">
                  <c:v>87.421368314505528</c:v>
                </c:pt>
                <c:pt idx="72">
                  <c:v>86.181111030852392</c:v>
                </c:pt>
                <c:pt idx="73">
                  <c:v>84.974228143155131</c:v>
                </c:pt>
                <c:pt idx="74">
                  <c:v>83.799390248653992</c:v>
                </c:pt>
                <c:pt idx="75">
                  <c:v>82.655337625293186</c:v>
                </c:pt>
                <c:pt idx="76">
                  <c:v>81.540875725375344</c:v>
                </c:pt>
                <c:pt idx="77">
                  <c:v>80.45487101446767</c:v>
                </c:pt>
                <c:pt idx="78">
                  <c:v>79.396247125090042</c:v>
                </c:pt>
                <c:pt idx="79">
                  <c:v>78.363981297748111</c:v>
                </c:pt>
                <c:pt idx="80">
                  <c:v>77.357101084576357</c:v>
                </c:pt>
                <c:pt idx="81">
                  <c:v>76.374681293257453</c:v>
                </c:pt>
                <c:pt idx="82">
                  <c:v>75.415841151030449</c:v>
                </c:pt>
                <c:pt idx="83">
                  <c:v>74.479741670516049</c:v>
                </c:pt>
                <c:pt idx="84">
                  <c:v>73.565583200798827</c:v>
                </c:pt>
                <c:pt idx="85">
                  <c:v>72.672603148742766</c:v>
                </c:pt>
                <c:pt idx="86">
                  <c:v>71.800073856892311</c:v>
                </c:pt>
                <c:pt idx="87">
                  <c:v>70.947300625547939</c:v>
                </c:pt>
                <c:pt idx="88">
                  <c:v>70.113619867715443</c:v>
                </c:pt>
                <c:pt idx="89">
                  <c:v>69.298397386631748</c:v>
                </c:pt>
                <c:pt idx="90">
                  <c:v>68.501026766469593</c:v>
                </c:pt>
                <c:pt idx="91">
                  <c:v>67.72092786763919</c:v>
                </c:pt>
                <c:pt idx="92">
                  <c:v>66.957545418840752</c:v>
                </c:pt>
                <c:pt idx="93">
                  <c:v>66.210347698686775</c:v>
                </c:pt>
                <c:pt idx="94">
                  <c:v>65.478825300316004</c:v>
                </c:pt>
                <c:pt idx="95">
                  <c:v>64.762489972967174</c:v>
                </c:pt>
                <c:pt idx="96">
                  <c:v>64.060873534976949</c:v>
                </c:pt>
                <c:pt idx="97">
                  <c:v>63.373526853116537</c:v>
                </c:pt>
                <c:pt idx="98">
                  <c:v>62.700018883590893</c:v>
                </c:pt>
                <c:pt idx="99">
                  <c:v>62.039935770398017</c:v>
                </c:pt>
                <c:pt idx="100">
                  <c:v>61.392879997085096</c:v>
                </c:pt>
              </c:numCache>
            </c:numRef>
          </c:val>
          <c:smooth val="0"/>
          <c:extLst>
            <c:ext xmlns:c16="http://schemas.microsoft.com/office/drawing/2014/chart" uri="{C3380CC4-5D6E-409C-BE32-E72D297353CC}">
              <c16:uniqueId val="{00000000-8D54-466C-9E56-3B54C69CECB8}"/>
            </c:ext>
          </c:extLst>
        </c:ser>
        <c:ser>
          <c:idx val="10"/>
          <c:order val="7"/>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10.012467970437628</c:v>
                </c:pt>
                <c:pt idx="2">
                  <c:v>20.024935940875256</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260.32416723137834</c:v>
                </c:pt>
                <c:pt idx="27">
                  <c:v>270.33663520181597</c:v>
                </c:pt>
                <c:pt idx="28">
                  <c:v>280.34910317225365</c:v>
                </c:pt>
                <c:pt idx="29">
                  <c:v>290.36157114269122</c:v>
                </c:pt>
                <c:pt idx="30">
                  <c:v>300.37403911312884</c:v>
                </c:pt>
                <c:pt idx="31">
                  <c:v>310.38650708356653</c:v>
                </c:pt>
                <c:pt idx="32">
                  <c:v>320.3989750540041</c:v>
                </c:pt>
                <c:pt idx="33">
                  <c:v>330.41144302444178</c:v>
                </c:pt>
                <c:pt idx="34">
                  <c:v>340.42391099487946</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343.53260049854697</c:v>
                </c:pt>
                <c:pt idx="51">
                  <c:v>337.24233243538094</c:v>
                </c:pt>
                <c:pt idx="52">
                  <c:v>331.17803246141665</c:v>
                </c:pt>
                <c:pt idx="53">
                  <c:v>325.32434129059664</c:v>
                </c:pt>
                <c:pt idx="54">
                  <c:v>319.6688212970347</c:v>
                </c:pt>
                <c:pt idx="55">
                  <c:v>314.2059910179334</c:v>
                </c:pt>
                <c:pt idx="56">
                  <c:v>308.92616749844484</c:v>
                </c:pt>
                <c:pt idx="57">
                  <c:v>303.82030587323101</c:v>
                </c:pt>
                <c:pt idx="58">
                  <c:v>298.87994765714615</c:v>
                </c:pt>
                <c:pt idx="59">
                  <c:v>294.09717398420645</c:v>
                </c:pt>
                <c:pt idx="60">
                  <c:v>289.46456325107459</c:v>
                </c:pt>
                <c:pt idx="61">
                  <c:v>284.97515268852692</c:v>
                </c:pt>
                <c:pt idx="62">
                  <c:v>280.62240344239223</c:v>
                </c:pt>
                <c:pt idx="63">
                  <c:v>276.40016879565252</c:v>
                </c:pt>
                <c:pt idx="64">
                  <c:v>272.30266520691464</c:v>
                </c:pt>
                <c:pt idx="65">
                  <c:v>268.32444587828491</c:v>
                </c:pt>
                <c:pt idx="66">
                  <c:v>264.46037659861815</c:v>
                </c:pt>
                <c:pt idx="67">
                  <c:v>260.70561363685255</c:v>
                </c:pt>
                <c:pt idx="68">
                  <c:v>257.05558348528558</c:v>
                </c:pt>
                <c:pt idx="69">
                  <c:v>253.50596427466186</c:v>
                </c:pt>
                <c:pt idx="70">
                  <c:v>250.05266870228883</c:v>
                </c:pt>
                <c:pt idx="71">
                  <c:v>246.69182833139183</c:v>
                </c:pt>
                <c:pt idx="72">
                  <c:v>243.41977913491436</c:v>
                </c:pt>
                <c:pt idx="73">
                  <c:v>240.23304817018402</c:v>
                </c:pt>
                <c:pt idx="74">
                  <c:v>237.12834128256674</c:v>
                </c:pt>
                <c:pt idx="75">
                  <c:v>234.10253174658567</c:v>
                </c:pt>
                <c:pt idx="76">
                  <c:v>231.15264976216574</c:v>
                </c:pt>
                <c:pt idx="77">
                  <c:v>228.27587273182925</c:v>
                </c:pt>
                <c:pt idx="78">
                  <c:v>225.4695162519325</c:v>
                </c:pt>
                <c:pt idx="79">
                  <c:v>222.73102575750269</c:v>
                </c:pt>
                <c:pt idx="80">
                  <c:v>220.0579687660144</c:v>
                </c:pt>
                <c:pt idx="81">
                  <c:v>217.44802767060389</c:v>
                </c:pt>
                <c:pt idx="82">
                  <c:v>214.89899303784705</c:v>
                </c:pt>
                <c:pt idx="83">
                  <c:v>212.40875736935786</c:v>
                </c:pt>
                <c:pt idx="84">
                  <c:v>209.97530929019152</c:v>
                </c:pt>
                <c:pt idx="85">
                  <c:v>207.59672813036588</c:v>
                </c:pt>
                <c:pt idx="86">
                  <c:v>205.27117886882422</c:v>
                </c:pt>
                <c:pt idx="87">
                  <c:v>202.99690741186777</c:v>
                </c:pt>
                <c:pt idx="88">
                  <c:v>200.77223618052449</c:v>
                </c:pt>
                <c:pt idx="89">
                  <c:v>198.59555998352607</c:v>
                </c:pt>
                <c:pt idx="90">
                  <c:v>196.46534215455691</c:v>
                </c:pt>
                <c:pt idx="91">
                  <c:v>194.38011093423916</c:v>
                </c:pt>
                <c:pt idx="92">
                  <c:v>192.33845607895367</c:v>
                </c:pt>
                <c:pt idx="93">
                  <c:v>190.33902568007684</c:v>
                </c:pt>
                <c:pt idx="94">
                  <c:v>188.38052317855539</c:v>
                </c:pt>
                <c:pt idx="95">
                  <c:v>186.46170456096741</c:v>
                </c:pt>
                <c:pt idx="96">
                  <c:v>184.58137572432679</c:v>
                </c:pt>
                <c:pt idx="97">
                  <c:v>182.73838999789993</c:v>
                </c:pt>
                <c:pt idx="98">
                  <c:v>180.93164581122906</c:v>
                </c:pt>
                <c:pt idx="99">
                  <c:v>179.16008449839575</c:v>
                </c:pt>
                <c:pt idx="100">
                  <c:v>177.42268822932925</c:v>
                </c:pt>
              </c:numCache>
            </c:numRef>
          </c:val>
          <c:smooth val="0"/>
          <c:extLst>
            <c:ext xmlns:c16="http://schemas.microsoft.com/office/drawing/2014/chart" uri="{C3380CC4-5D6E-409C-BE32-E72D297353CC}">
              <c16:uniqueId val="{00000001-8D54-466C-9E56-3B54C69CECB8}"/>
            </c:ext>
          </c:extLst>
        </c:ser>
        <c:ser>
          <c:idx val="11"/>
          <c:order val="8"/>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10.012375988822143</c:v>
                </c:pt>
                <c:pt idx="2">
                  <c:v>20.024751977644286</c:v>
                </c:pt>
                <c:pt idx="3">
                  <c:v>30.037127966466429</c:v>
                </c:pt>
                <c:pt idx="4">
                  <c:v>40.049503955288571</c:v>
                </c:pt>
                <c:pt idx="5">
                  <c:v>50.061879944110721</c:v>
                </c:pt>
                <c:pt idx="6">
                  <c:v>60.074255932932857</c:v>
                </c:pt>
                <c:pt idx="7">
                  <c:v>70.086631921755</c:v>
                </c:pt>
                <c:pt idx="8">
                  <c:v>80.099007910577143</c:v>
                </c:pt>
                <c:pt idx="9">
                  <c:v>90.111383899399286</c:v>
                </c:pt>
                <c:pt idx="10">
                  <c:v>100.12375988822144</c:v>
                </c:pt>
                <c:pt idx="11">
                  <c:v>110.13613587704357</c:v>
                </c:pt>
                <c:pt idx="12">
                  <c:v>120.14851186586571</c:v>
                </c:pt>
                <c:pt idx="13">
                  <c:v>130.16088785468787</c:v>
                </c:pt>
                <c:pt idx="14">
                  <c:v>140.17326384351</c:v>
                </c:pt>
                <c:pt idx="15">
                  <c:v>150.18563983233216</c:v>
                </c:pt>
                <c:pt idx="16">
                  <c:v>160.19801582115429</c:v>
                </c:pt>
                <c:pt idx="17">
                  <c:v>170.21039180997644</c:v>
                </c:pt>
                <c:pt idx="18">
                  <c:v>180.22276779879857</c:v>
                </c:pt>
                <c:pt idx="19">
                  <c:v>190.23514378762073</c:v>
                </c:pt>
                <c:pt idx="20">
                  <c:v>200.24751977644289</c:v>
                </c:pt>
                <c:pt idx="21">
                  <c:v>210.25989576526501</c:v>
                </c:pt>
                <c:pt idx="22">
                  <c:v>220.27227175408714</c:v>
                </c:pt>
                <c:pt idx="23">
                  <c:v>230.2846477429093</c:v>
                </c:pt>
                <c:pt idx="24">
                  <c:v>240.29702373173143</c:v>
                </c:pt>
                <c:pt idx="25">
                  <c:v>250.30939972055356</c:v>
                </c:pt>
                <c:pt idx="26">
                  <c:v>260.32177570937574</c:v>
                </c:pt>
                <c:pt idx="27">
                  <c:v>270.3341516981979</c:v>
                </c:pt>
                <c:pt idx="28">
                  <c:v>280.34652768702</c:v>
                </c:pt>
                <c:pt idx="29">
                  <c:v>290.35890367584216</c:v>
                </c:pt>
                <c:pt idx="30">
                  <c:v>300.37127966466431</c:v>
                </c:pt>
                <c:pt idx="31">
                  <c:v>310.38365565348641</c:v>
                </c:pt>
                <c:pt idx="32">
                  <c:v>320.39603164230857</c:v>
                </c:pt>
                <c:pt idx="33">
                  <c:v>330.40840763113073</c:v>
                </c:pt>
                <c:pt idx="34">
                  <c:v>340.42078361995289</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348.70863121887066</c:v>
                </c:pt>
                <c:pt idx="67">
                  <c:v>343.86029290821517</c:v>
                </c:pt>
                <c:pt idx="68">
                  <c:v>339.14488892385293</c:v>
                </c:pt>
                <c:pt idx="69">
                  <c:v>334.55702615992732</c:v>
                </c:pt>
                <c:pt idx="70">
                  <c:v>330.09159934167945</c:v>
                </c:pt>
                <c:pt idx="71">
                  <c:v>325.74275284211831</c:v>
                </c:pt>
                <c:pt idx="72">
                  <c:v>321.50641651018856</c:v>
                </c:pt>
                <c:pt idx="73">
                  <c:v>317.37877014741252</c:v>
                </c:pt>
                <c:pt idx="74">
                  <c:v>313.3556837580756</c:v>
                </c:pt>
                <c:pt idx="75">
                  <c:v>309.43323397116495</c:v>
                </c:pt>
                <c:pt idx="76">
                  <c:v>305.60769127813842</c:v>
                </c:pt>
                <c:pt idx="77">
                  <c:v>301.87550820506556</c:v>
                </c:pt>
                <c:pt idx="78">
                  <c:v>298.23330834029326</c:v>
                </c:pt>
                <c:pt idx="79">
                  <c:v>294.67787614630225</c:v>
                </c:pt>
                <c:pt idx="80">
                  <c:v>291.20614749113423</c:v>
                </c:pt>
                <c:pt idx="81">
                  <c:v>287.81520084079034</c:v>
                </c:pt>
                <c:pt idx="82">
                  <c:v>284.50224905938774</c:v>
                </c:pt>
                <c:pt idx="83">
                  <c:v>281.26463176870334</c:v>
                </c:pt>
                <c:pt idx="84">
                  <c:v>278.09980822308609</c:v>
                </c:pt>
                <c:pt idx="85">
                  <c:v>275.00535065962805</c:v>
                </c:pt>
                <c:pt idx="86">
                  <c:v>271.97893808702145</c:v>
                </c:pt>
                <c:pt idx="87">
                  <c:v>269.01835047970189</c:v>
                </c:pt>
                <c:pt idx="88">
                  <c:v>266.12146334675759</c:v>
                </c:pt>
                <c:pt idx="89">
                  <c:v>263.28624264768399</c:v>
                </c:pt>
                <c:pt idx="90">
                  <c:v>260.51074002941033</c:v>
                </c:pt>
                <c:pt idx="91">
                  <c:v>257.7930883611632</c:v>
                </c:pt>
                <c:pt idx="92">
                  <c:v>255.131497545662</c:v>
                </c:pt>
                <c:pt idx="93">
                  <c:v>252.52425058689749</c:v>
                </c:pt>
                <c:pt idx="94">
                  <c:v>249.96969989634425</c:v>
                </c:pt>
                <c:pt idx="95">
                  <c:v>247.46626382090724</c:v>
                </c:pt>
                <c:pt idx="96">
                  <c:v>245.01242337722769</c:v>
                </c:pt>
                <c:pt idx="97">
                  <c:v>242.60671917817993</c:v>
                </c:pt>
                <c:pt idx="98">
                  <c:v>240.24774853849101</c:v>
                </c:pt>
                <c:pt idx="99">
                  <c:v>237.93416274742222</c:v>
                </c:pt>
                <c:pt idx="100">
                  <c:v>235.66466449736856</c:v>
                </c:pt>
              </c:numCache>
            </c:numRef>
          </c:val>
          <c:smooth val="0"/>
          <c:extLst>
            <c:ext xmlns:c16="http://schemas.microsoft.com/office/drawing/2014/chart" uri="{C3380CC4-5D6E-409C-BE32-E72D297353CC}">
              <c16:uniqueId val="{00000002-8D54-466C-9E56-3B54C69CECB8}"/>
            </c:ext>
          </c:extLst>
        </c:ser>
        <c:ser>
          <c:idx val="12"/>
          <c:order val="9"/>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8D54-466C-9E56-3B54C69CECB8}"/>
            </c:ext>
          </c:extLst>
        </c:ser>
        <c:ser>
          <c:idx val="13"/>
          <c:order val="10"/>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8D54-466C-9E56-3B54C69CECB8}"/>
            </c:ext>
          </c:extLst>
        </c:ser>
        <c:ser>
          <c:idx val="14"/>
          <c:order val="11"/>
          <c:spPr>
            <a:ln>
              <a:noFill/>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8D54-466C-9E56-3B54C69CECB8}"/>
            </c:ext>
          </c:extLst>
        </c:ser>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10.012467970437628</c:v>
                </c:pt>
                <c:pt idx="2">
                  <c:v>30.037403911312889</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237.11687394801285</c:v>
                </c:pt>
                <c:pt idx="27">
                  <c:v>228.71217510399072</c:v>
                </c:pt>
                <c:pt idx="28">
                  <c:v>220.79090629077334</c:v>
                </c:pt>
                <c:pt idx="29">
                  <c:v>213.39224068989424</c:v>
                </c:pt>
                <c:pt idx="30">
                  <c:v>206.46611091387595</c:v>
                </c:pt>
                <c:pt idx="31">
                  <c:v>199.96864718879655</c:v>
                </c:pt>
                <c:pt idx="32">
                  <c:v>193.86124717214813</c:v>
                </c:pt>
                <c:pt idx="33">
                  <c:v>188.10980841848749</c:v>
                </c:pt>
                <c:pt idx="34">
                  <c:v>182.68409125254396</c:v>
                </c:pt>
                <c:pt idx="35">
                  <c:v>177.55718691202003</c:v>
                </c:pt>
                <c:pt idx="36">
                  <c:v>172.70507121177818</c:v>
                </c:pt>
                <c:pt idx="37">
                  <c:v>168.10622810457852</c:v>
                </c:pt>
                <c:pt idx="38">
                  <c:v>163.74133069302343</c:v>
                </c:pt>
                <c:pt idx="39">
                  <c:v>159.59296971705476</c:v>
                </c:pt>
                <c:pt idx="40">
                  <c:v>155.64542147301893</c:v>
                </c:pt>
                <c:pt idx="41">
                  <c:v>151.88444864114015</c:v>
                </c:pt>
                <c:pt idx="42">
                  <c:v>148.29712870305036</c:v>
                </c:pt>
                <c:pt idx="43">
                  <c:v>144.87170559114992</c:v>
                </c:pt>
                <c:pt idx="44">
                  <c:v>141.59746098099774</c:v>
                </c:pt>
                <c:pt idx="45">
                  <c:v>138.46460225783966</c:v>
                </c:pt>
                <c:pt idx="46">
                  <c:v>135.46416469037217</c:v>
                </c:pt>
                <c:pt idx="47">
                  <c:v>132.58792575331745</c:v>
                </c:pt>
                <c:pt idx="48">
                  <c:v>129.82832987431564</c:v>
                </c:pt>
                <c:pt idx="49">
                  <c:v>127.17842215483743</c:v>
                </c:pt>
                <c:pt idx="50">
                  <c:v>124.63178984092414</c:v>
                </c:pt>
                <c:pt idx="51">
                  <c:v>122.1825105067725</c:v>
                </c:pt>
                <c:pt idx="52">
                  <c:v>119.82510606978157</c:v>
                </c:pt>
                <c:pt idx="53">
                  <c:v>117.55450188550293</c:v>
                </c:pt>
                <c:pt idx="54">
                  <c:v>115.36599027962956</c:v>
                </c:pt>
                <c:pt idx="55">
                  <c:v>113.25519796548701</c:v>
                </c:pt>
                <c:pt idx="56">
                  <c:v>111.21805687247338</c:v>
                </c:pt>
                <c:pt idx="57">
                  <c:v>109.25077797599847</c:v>
                </c:pt>
                <c:pt idx="58">
                  <c:v>107.34982777469709</c:v>
                </c:pt>
                <c:pt idx="59">
                  <c:v>105.51190710767578</c:v>
                </c:pt>
                <c:pt idx="60">
                  <c:v>103.73393204463981</c:v>
                </c:pt>
                <c:pt idx="61">
                  <c:v>102.01301661604374</c:v>
                </c:pt>
                <c:pt idx="62">
                  <c:v>100.34645717983406</c:v>
                </c:pt>
                <c:pt idx="63">
                  <c:v>98.731718246653998</c:v>
                </c:pt>
                <c:pt idx="64">
                  <c:v>97.166419607201391</c:v>
                </c:pt>
                <c:pt idx="65">
                  <c:v>95.648324624285308</c:v>
                </c:pt>
                <c:pt idx="66">
                  <c:v>94.175329568465941</c:v>
                </c:pt>
                <c:pt idx="67">
                  <c:v>92.745453890341267</c:v>
                </c:pt>
                <c:pt idx="68">
                  <c:v>91.356831334890998</c:v>
                </c:pt>
                <c:pt idx="69">
                  <c:v>90.007701814047167</c:v>
                </c:pt>
                <c:pt idx="70">
                  <c:v>88.696403963065379</c:v>
                </c:pt>
                <c:pt idx="71">
                  <c:v>87.421368314505528</c:v>
                </c:pt>
                <c:pt idx="72">
                  <c:v>86.181111030852392</c:v>
                </c:pt>
                <c:pt idx="73">
                  <c:v>84.974228143155131</c:v>
                </c:pt>
                <c:pt idx="74">
                  <c:v>83.799390248653992</c:v>
                </c:pt>
                <c:pt idx="75">
                  <c:v>82.655337625293186</c:v>
                </c:pt>
                <c:pt idx="76">
                  <c:v>81.540875725375344</c:v>
                </c:pt>
                <c:pt idx="77">
                  <c:v>80.45487101446767</c:v>
                </c:pt>
                <c:pt idx="78">
                  <c:v>79.396247125090042</c:v>
                </c:pt>
                <c:pt idx="79">
                  <c:v>78.363981297748111</c:v>
                </c:pt>
                <c:pt idx="80">
                  <c:v>77.357101084576357</c:v>
                </c:pt>
                <c:pt idx="81">
                  <c:v>76.374681293257453</c:v>
                </c:pt>
                <c:pt idx="82">
                  <c:v>75.415841151030449</c:v>
                </c:pt>
                <c:pt idx="83">
                  <c:v>74.479741670516049</c:v>
                </c:pt>
                <c:pt idx="84">
                  <c:v>73.565583200798827</c:v>
                </c:pt>
                <c:pt idx="85">
                  <c:v>72.672603148742766</c:v>
                </c:pt>
                <c:pt idx="86">
                  <c:v>71.800073856892311</c:v>
                </c:pt>
                <c:pt idx="87">
                  <c:v>70.947300625547939</c:v>
                </c:pt>
                <c:pt idx="88">
                  <c:v>70.113619867715443</c:v>
                </c:pt>
                <c:pt idx="89">
                  <c:v>69.298397386631748</c:v>
                </c:pt>
                <c:pt idx="90">
                  <c:v>68.501026766469593</c:v>
                </c:pt>
                <c:pt idx="91">
                  <c:v>67.72092786763919</c:v>
                </c:pt>
                <c:pt idx="92">
                  <c:v>66.957545418840752</c:v>
                </c:pt>
                <c:pt idx="93">
                  <c:v>66.210347698686775</c:v>
                </c:pt>
                <c:pt idx="94">
                  <c:v>65.478825300316004</c:v>
                </c:pt>
                <c:pt idx="95">
                  <c:v>64.762489972967174</c:v>
                </c:pt>
                <c:pt idx="96">
                  <c:v>64.060873534976949</c:v>
                </c:pt>
                <c:pt idx="97">
                  <c:v>63.373526853116537</c:v>
                </c:pt>
                <c:pt idx="98">
                  <c:v>62.700018883590893</c:v>
                </c:pt>
                <c:pt idx="99">
                  <c:v>62.039935770398017</c:v>
                </c:pt>
                <c:pt idx="100">
                  <c:v>61.392879997085096</c:v>
                </c:pt>
              </c:numCache>
            </c:numRef>
          </c:val>
          <c:smooth val="0"/>
          <c:extLst>
            <c:ext xmlns:c16="http://schemas.microsoft.com/office/drawing/2014/chart" uri="{C3380CC4-5D6E-409C-BE32-E72D297353CC}">
              <c16:uniqueId val="{00000006-8D54-466C-9E56-3B54C69CECB8}"/>
            </c:ext>
          </c:extLst>
        </c:ser>
        <c:ser>
          <c:idx val="0"/>
          <c:order val="1"/>
          <c:tx>
            <c:v>VIN-nom</c:v>
          </c:tx>
          <c:spPr>
            <a:ln w="28575">
              <a:solidFill>
                <a:srgbClr val="0000FF"/>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10.012467970437628</c:v>
                </c:pt>
                <c:pt idx="2">
                  <c:v>20.024935940875256</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260.32416723137834</c:v>
                </c:pt>
                <c:pt idx="27">
                  <c:v>270.33663520181597</c:v>
                </c:pt>
                <c:pt idx="28">
                  <c:v>280.34910317225365</c:v>
                </c:pt>
                <c:pt idx="29">
                  <c:v>290.36157114269122</c:v>
                </c:pt>
                <c:pt idx="30">
                  <c:v>300.37403911312884</c:v>
                </c:pt>
                <c:pt idx="31">
                  <c:v>310.38650708356653</c:v>
                </c:pt>
                <c:pt idx="32">
                  <c:v>320.3989750540041</c:v>
                </c:pt>
                <c:pt idx="33">
                  <c:v>330.41144302444178</c:v>
                </c:pt>
                <c:pt idx="34">
                  <c:v>340.42391099487946</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343.53260049854697</c:v>
                </c:pt>
                <c:pt idx="51">
                  <c:v>337.24233243538094</c:v>
                </c:pt>
                <c:pt idx="52">
                  <c:v>331.17803246141665</c:v>
                </c:pt>
                <c:pt idx="53">
                  <c:v>325.32434129059664</c:v>
                </c:pt>
                <c:pt idx="54">
                  <c:v>319.6688212970347</c:v>
                </c:pt>
                <c:pt idx="55">
                  <c:v>314.2059910179334</c:v>
                </c:pt>
                <c:pt idx="56">
                  <c:v>308.92616749844484</c:v>
                </c:pt>
                <c:pt idx="57">
                  <c:v>303.82030587323101</c:v>
                </c:pt>
                <c:pt idx="58">
                  <c:v>298.87994765714615</c:v>
                </c:pt>
                <c:pt idx="59">
                  <c:v>294.09717398420645</c:v>
                </c:pt>
                <c:pt idx="60">
                  <c:v>289.46456325107459</c:v>
                </c:pt>
                <c:pt idx="61">
                  <c:v>284.97515268852692</c:v>
                </c:pt>
                <c:pt idx="62">
                  <c:v>280.62240344239223</c:v>
                </c:pt>
                <c:pt idx="63">
                  <c:v>276.40016879565252</c:v>
                </c:pt>
                <c:pt idx="64">
                  <c:v>272.30266520691464</c:v>
                </c:pt>
                <c:pt idx="65">
                  <c:v>268.32444587828491</c:v>
                </c:pt>
                <c:pt idx="66">
                  <c:v>264.46037659861815</c:v>
                </c:pt>
                <c:pt idx="67">
                  <c:v>260.70561363685255</c:v>
                </c:pt>
                <c:pt idx="68">
                  <c:v>257.05558348528558</c:v>
                </c:pt>
                <c:pt idx="69">
                  <c:v>253.50596427466186</c:v>
                </c:pt>
                <c:pt idx="70">
                  <c:v>250.05266870228883</c:v>
                </c:pt>
                <c:pt idx="71">
                  <c:v>246.69182833139183</c:v>
                </c:pt>
                <c:pt idx="72">
                  <c:v>243.41977913491436</c:v>
                </c:pt>
                <c:pt idx="73">
                  <c:v>240.23304817018402</c:v>
                </c:pt>
                <c:pt idx="74">
                  <c:v>237.12834128256674</c:v>
                </c:pt>
                <c:pt idx="75">
                  <c:v>234.10253174658567</c:v>
                </c:pt>
                <c:pt idx="76">
                  <c:v>231.15264976216574</c:v>
                </c:pt>
                <c:pt idx="77">
                  <c:v>228.27587273182925</c:v>
                </c:pt>
                <c:pt idx="78">
                  <c:v>225.4695162519325</c:v>
                </c:pt>
                <c:pt idx="79">
                  <c:v>222.73102575750269</c:v>
                </c:pt>
                <c:pt idx="80">
                  <c:v>220.0579687660144</c:v>
                </c:pt>
                <c:pt idx="81">
                  <c:v>217.44802767060389</c:v>
                </c:pt>
                <c:pt idx="82">
                  <c:v>214.89899303784705</c:v>
                </c:pt>
                <c:pt idx="83">
                  <c:v>212.40875736935786</c:v>
                </c:pt>
                <c:pt idx="84">
                  <c:v>209.97530929019152</c:v>
                </c:pt>
                <c:pt idx="85">
                  <c:v>207.59672813036588</c:v>
                </c:pt>
                <c:pt idx="86">
                  <c:v>205.27117886882422</c:v>
                </c:pt>
                <c:pt idx="87">
                  <c:v>202.99690741186777</c:v>
                </c:pt>
                <c:pt idx="88">
                  <c:v>200.77223618052449</c:v>
                </c:pt>
                <c:pt idx="89">
                  <c:v>198.59555998352607</c:v>
                </c:pt>
                <c:pt idx="90">
                  <c:v>196.46534215455691</c:v>
                </c:pt>
                <c:pt idx="91">
                  <c:v>194.38011093423916</c:v>
                </c:pt>
                <c:pt idx="92">
                  <c:v>192.33845607895367</c:v>
                </c:pt>
                <c:pt idx="93">
                  <c:v>190.33902568007684</c:v>
                </c:pt>
                <c:pt idx="94">
                  <c:v>188.38052317855539</c:v>
                </c:pt>
                <c:pt idx="95">
                  <c:v>186.46170456096741</c:v>
                </c:pt>
                <c:pt idx="96">
                  <c:v>184.58137572432679</c:v>
                </c:pt>
                <c:pt idx="97">
                  <c:v>182.73838999789993</c:v>
                </c:pt>
                <c:pt idx="98">
                  <c:v>180.93164581122906</c:v>
                </c:pt>
                <c:pt idx="99">
                  <c:v>179.16008449839575</c:v>
                </c:pt>
                <c:pt idx="100">
                  <c:v>177.42268822932925</c:v>
                </c:pt>
              </c:numCache>
            </c:numRef>
          </c:val>
          <c:smooth val="0"/>
          <c:extLst>
            <c:ext xmlns:c16="http://schemas.microsoft.com/office/drawing/2014/chart" uri="{C3380CC4-5D6E-409C-BE32-E72D297353CC}">
              <c16:uniqueId val="{00000007-8D54-466C-9E56-3B54C69CECB8}"/>
            </c:ext>
          </c:extLst>
        </c:ser>
        <c:ser>
          <c:idx val="2"/>
          <c:order val="2"/>
          <c:tx>
            <c:v>VIN-max</c:v>
          </c:tx>
          <c:spPr>
            <a:ln>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10.012375988822143</c:v>
                </c:pt>
                <c:pt idx="2">
                  <c:v>20.024751977644286</c:v>
                </c:pt>
                <c:pt idx="3">
                  <c:v>30.037127966466429</c:v>
                </c:pt>
                <c:pt idx="4">
                  <c:v>40.049503955288571</c:v>
                </c:pt>
                <c:pt idx="5">
                  <c:v>50.061879944110721</c:v>
                </c:pt>
                <c:pt idx="6">
                  <c:v>60.074255932932857</c:v>
                </c:pt>
                <c:pt idx="7">
                  <c:v>70.086631921755</c:v>
                </c:pt>
                <c:pt idx="8">
                  <c:v>80.099007910577143</c:v>
                </c:pt>
                <c:pt idx="9">
                  <c:v>90.111383899399286</c:v>
                </c:pt>
                <c:pt idx="10">
                  <c:v>100.12375988822144</c:v>
                </c:pt>
                <c:pt idx="11">
                  <c:v>110.13613587704357</c:v>
                </c:pt>
                <c:pt idx="12">
                  <c:v>120.14851186586571</c:v>
                </c:pt>
                <c:pt idx="13">
                  <c:v>130.16088785468787</c:v>
                </c:pt>
                <c:pt idx="14">
                  <c:v>140.17326384351</c:v>
                </c:pt>
                <c:pt idx="15">
                  <c:v>150.18563983233216</c:v>
                </c:pt>
                <c:pt idx="16">
                  <c:v>160.19801582115429</c:v>
                </c:pt>
                <c:pt idx="17">
                  <c:v>170.21039180997644</c:v>
                </c:pt>
                <c:pt idx="18">
                  <c:v>180.22276779879857</c:v>
                </c:pt>
                <c:pt idx="19">
                  <c:v>190.23514378762073</c:v>
                </c:pt>
                <c:pt idx="20">
                  <c:v>200.24751977644289</c:v>
                </c:pt>
                <c:pt idx="21">
                  <c:v>210.25989576526501</c:v>
                </c:pt>
                <c:pt idx="22">
                  <c:v>220.27227175408714</c:v>
                </c:pt>
                <c:pt idx="23">
                  <c:v>230.2846477429093</c:v>
                </c:pt>
                <c:pt idx="24">
                  <c:v>240.29702373173143</c:v>
                </c:pt>
                <c:pt idx="25">
                  <c:v>250.30939972055356</c:v>
                </c:pt>
                <c:pt idx="26">
                  <c:v>260.32177570937574</c:v>
                </c:pt>
                <c:pt idx="27">
                  <c:v>270.3341516981979</c:v>
                </c:pt>
                <c:pt idx="28">
                  <c:v>280.34652768702</c:v>
                </c:pt>
                <c:pt idx="29">
                  <c:v>290.35890367584216</c:v>
                </c:pt>
                <c:pt idx="30">
                  <c:v>300.37127966466431</c:v>
                </c:pt>
                <c:pt idx="31">
                  <c:v>310.38365565348641</c:v>
                </c:pt>
                <c:pt idx="32">
                  <c:v>320.39603164230857</c:v>
                </c:pt>
                <c:pt idx="33">
                  <c:v>330.40840763113073</c:v>
                </c:pt>
                <c:pt idx="34">
                  <c:v>340.42078361995289</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348.70863121887066</c:v>
                </c:pt>
                <c:pt idx="67">
                  <c:v>343.86029290821517</c:v>
                </c:pt>
                <c:pt idx="68">
                  <c:v>339.14488892385293</c:v>
                </c:pt>
                <c:pt idx="69">
                  <c:v>334.55702615992732</c:v>
                </c:pt>
                <c:pt idx="70">
                  <c:v>330.09159934167945</c:v>
                </c:pt>
                <c:pt idx="71">
                  <c:v>325.74275284211831</c:v>
                </c:pt>
                <c:pt idx="72">
                  <c:v>321.50641651018856</c:v>
                </c:pt>
                <c:pt idx="73">
                  <c:v>317.37877014741252</c:v>
                </c:pt>
                <c:pt idx="74">
                  <c:v>313.3556837580756</c:v>
                </c:pt>
                <c:pt idx="75">
                  <c:v>309.43323397116495</c:v>
                </c:pt>
                <c:pt idx="76">
                  <c:v>305.60769127813842</c:v>
                </c:pt>
                <c:pt idx="77">
                  <c:v>301.87550820506556</c:v>
                </c:pt>
                <c:pt idx="78">
                  <c:v>298.23330834029326</c:v>
                </c:pt>
                <c:pt idx="79">
                  <c:v>294.67787614630225</c:v>
                </c:pt>
                <c:pt idx="80">
                  <c:v>291.20614749113423</c:v>
                </c:pt>
                <c:pt idx="81">
                  <c:v>287.81520084079034</c:v>
                </c:pt>
                <c:pt idx="82">
                  <c:v>284.50224905938774</c:v>
                </c:pt>
                <c:pt idx="83">
                  <c:v>281.26463176870334</c:v>
                </c:pt>
                <c:pt idx="84">
                  <c:v>278.09980822308609</c:v>
                </c:pt>
                <c:pt idx="85">
                  <c:v>275.00535065962805</c:v>
                </c:pt>
                <c:pt idx="86">
                  <c:v>271.97893808702145</c:v>
                </c:pt>
                <c:pt idx="87">
                  <c:v>269.01835047970189</c:v>
                </c:pt>
                <c:pt idx="88">
                  <c:v>266.12146334675759</c:v>
                </c:pt>
                <c:pt idx="89">
                  <c:v>263.28624264768399</c:v>
                </c:pt>
                <c:pt idx="90">
                  <c:v>260.51074002941033</c:v>
                </c:pt>
                <c:pt idx="91">
                  <c:v>257.7930883611632</c:v>
                </c:pt>
                <c:pt idx="92">
                  <c:v>255.131497545662</c:v>
                </c:pt>
                <c:pt idx="93">
                  <c:v>252.52425058689749</c:v>
                </c:pt>
                <c:pt idx="94">
                  <c:v>249.96969989634425</c:v>
                </c:pt>
                <c:pt idx="95">
                  <c:v>247.46626382090724</c:v>
                </c:pt>
                <c:pt idx="96">
                  <c:v>245.01242337722769</c:v>
                </c:pt>
                <c:pt idx="97">
                  <c:v>242.60671917817993</c:v>
                </c:pt>
                <c:pt idx="98">
                  <c:v>240.24774853849101</c:v>
                </c:pt>
                <c:pt idx="99">
                  <c:v>237.93416274742222</c:v>
                </c:pt>
                <c:pt idx="100">
                  <c:v>235.66466449736856</c:v>
                </c:pt>
              </c:numCache>
            </c:numRef>
          </c:val>
          <c:smooth val="0"/>
          <c:extLst>
            <c:ext xmlns:c16="http://schemas.microsoft.com/office/drawing/2014/chart" uri="{C3380CC4-5D6E-409C-BE32-E72D297353CC}">
              <c16:uniqueId val="{00000008-8D54-466C-9E56-3B54C69CECB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9-8D54-466C-9E56-3B54C69CECB8}"/>
            </c:ext>
          </c:extLst>
        </c:ser>
        <c:ser>
          <c:idx val="4"/>
          <c:order val="4"/>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A-8D54-466C-9E56-3B54C69CECB8}"/>
            </c:ext>
          </c:extLst>
        </c:ser>
        <c:ser>
          <c:idx val="5"/>
          <c:order val="5"/>
          <c:spPr>
            <a:ln>
              <a:noFill/>
            </a:ln>
          </c:spPr>
          <c:marker>
            <c:symbol val="x"/>
            <c:size val="10"/>
            <c:spPr>
              <a:pattFill prst="pct5">
                <a:fgClr>
                  <a:schemeClr val="tx1"/>
                </a:fgClr>
                <a:bgClr>
                  <a:schemeClr val="bg1"/>
                </a:bgClr>
              </a:pattFill>
              <a:ln>
                <a:solidFill>
                  <a:srgbClr val="FF0000"/>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B-8D54-466C-9E56-3B54C69CECB8}"/>
            </c:ext>
          </c:extLst>
        </c:ser>
        <c:dLbls>
          <c:showLegendKey val="0"/>
          <c:showVal val="0"/>
          <c:showCatName val="0"/>
          <c:showSerName val="0"/>
          <c:showPercent val="0"/>
          <c:showBubbleSize val="0"/>
        </c:dLbls>
        <c:smooth val="0"/>
        <c:axId val="450786048"/>
        <c:axId val="450788352"/>
      </c:lineChart>
      <c:catAx>
        <c:axId val="450786048"/>
        <c:scaling>
          <c:orientation val="minMax"/>
        </c:scaling>
        <c:delete val="0"/>
        <c:axPos val="b"/>
        <c:majorGridlines>
          <c:spPr>
            <a:ln w="15875">
              <a:solidFill>
                <a:srgbClr val="969696"/>
              </a:solidFill>
              <a:prstDash val="sysDash"/>
            </a:ln>
          </c:spPr>
        </c:majorGridlines>
        <c:title>
          <c:tx>
            <c:rich>
              <a:bodyPr/>
              <a:lstStyle/>
              <a:p>
                <a:pPr>
                  <a:defRPr lang="ja-JP" sz="1100" b="1" i="0" u="none" strike="noStrike" baseline="0">
                    <a:solidFill>
                      <a:schemeClr val="tx1"/>
                    </a:solidFill>
                    <a:latin typeface="Arial" pitchFamily="34" charset="0"/>
                    <a:ea typeface="Calibri"/>
                    <a:cs typeface="Arial" pitchFamily="34" charset="0"/>
                  </a:defRPr>
                </a:pPr>
                <a:r>
                  <a:rPr lang="en-US" sz="1600" b="1" i="0" baseline="0">
                    <a:effectLst/>
                  </a:rPr>
                  <a:t>% Total Rated Output Power</a:t>
                </a:r>
                <a:endParaRPr lang="en-US" sz="1100">
                  <a:effectLst/>
                </a:endParaRPr>
              </a:p>
            </c:rich>
          </c:tx>
          <c:layout>
            <c:manualLayout>
              <c:xMode val="edge"/>
              <c:yMode val="edge"/>
              <c:x val="0.3807068861449550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400" b="1" i="0" u="none" strike="noStrike" baseline="0">
                <a:solidFill>
                  <a:schemeClr val="tx1"/>
                </a:solidFill>
                <a:latin typeface="Arial" pitchFamily="34" charset="0"/>
                <a:ea typeface="Calibri"/>
                <a:cs typeface="Arial" pitchFamily="34" charset="0"/>
              </a:defRPr>
            </a:pPr>
            <a:endParaRPr lang="en-US"/>
          </a:p>
        </c:txPr>
        <c:crossAx val="450788352"/>
        <c:crosses val="autoZero"/>
        <c:auto val="1"/>
        <c:lblAlgn val="ctr"/>
        <c:lblOffset val="100"/>
        <c:tickLblSkip val="20"/>
        <c:tickMarkSkip val="10"/>
        <c:noMultiLvlLbl val="0"/>
      </c:catAx>
      <c:valAx>
        <c:axId val="450788352"/>
        <c:scaling>
          <c:orientation val="minMax"/>
          <c:max val="400"/>
          <c:min val="0"/>
        </c:scaling>
        <c:delete val="0"/>
        <c:axPos val="l"/>
        <c:majorGridlines>
          <c:spPr>
            <a:ln w="15875">
              <a:solidFill>
                <a:srgbClr val="808080"/>
              </a:solidFill>
              <a:prstDash val="solid"/>
            </a:ln>
          </c:spPr>
        </c:majorGridlines>
        <c:title>
          <c:tx>
            <c:rich>
              <a:bodyPr/>
              <a:lstStyle/>
              <a:p>
                <a:pPr>
                  <a:defRPr lang="ja-JP" sz="1600" b="1" i="0" u="none" strike="noStrike" baseline="0">
                    <a:solidFill>
                      <a:schemeClr val="tx1"/>
                    </a:solidFill>
                    <a:latin typeface="Arial" pitchFamily="34" charset="0"/>
                    <a:ea typeface="Calibri"/>
                    <a:cs typeface="Arial" pitchFamily="34" charset="0"/>
                  </a:defRPr>
                </a:pPr>
                <a:r>
                  <a:rPr lang="en-US" sz="1600" b="1">
                    <a:solidFill>
                      <a:schemeClr val="tx1"/>
                    </a:solidFill>
                    <a:latin typeface="Arial" pitchFamily="34" charset="0"/>
                    <a:cs typeface="Arial" pitchFamily="34" charset="0"/>
                  </a:rPr>
                  <a:t>Switching</a:t>
                </a:r>
                <a:r>
                  <a:rPr lang="en-US" sz="1600" b="1" baseline="0">
                    <a:solidFill>
                      <a:schemeClr val="tx1"/>
                    </a:solidFill>
                    <a:latin typeface="Arial" pitchFamily="34" charset="0"/>
                    <a:cs typeface="Arial" pitchFamily="34" charset="0"/>
                  </a:rPr>
                  <a:t> Frquency (kHz)</a:t>
                </a:r>
                <a:endParaRPr lang="en-US" sz="1600" b="1">
                  <a:solidFill>
                    <a:schemeClr val="tx1"/>
                  </a:solidFill>
                  <a:latin typeface="Arial" pitchFamily="34" charset="0"/>
                  <a:cs typeface="Arial" pitchFamily="34" charset="0"/>
                </a:endParaRPr>
              </a:p>
            </c:rich>
          </c:tx>
          <c:layout>
            <c:manualLayout>
              <c:xMode val="edge"/>
              <c:yMode val="edge"/>
              <c:x val="8.5568128125503556E-3"/>
              <c:y val="0.22463146285493288"/>
            </c:manualLayout>
          </c:layout>
          <c:overlay val="0"/>
          <c:spPr>
            <a:noFill/>
            <a:ln w="25400">
              <a:noFill/>
            </a:ln>
          </c:spPr>
        </c:title>
        <c:numFmt formatCode="#,##0" sourceLinked="0"/>
        <c:majorTickMark val="in"/>
        <c:minorTickMark val="in"/>
        <c:tickLblPos val="nextTo"/>
        <c:spPr>
          <a:ln w="3175">
            <a:solidFill>
              <a:srgbClr val="000000"/>
            </a:solidFill>
            <a:prstDash val="solid"/>
          </a:ln>
        </c:spPr>
        <c:txPr>
          <a:bodyPr rot="0" vert="horz"/>
          <a:lstStyle/>
          <a:p>
            <a:pPr>
              <a:defRPr lang="ja-JP" sz="1600" b="1" i="0" u="none" strike="noStrike" baseline="0">
                <a:solidFill>
                  <a:schemeClr val="tx1"/>
                </a:solidFill>
                <a:latin typeface="Arial" pitchFamily="34" charset="0"/>
                <a:ea typeface="Calibri"/>
                <a:cs typeface="Arial" pitchFamily="34" charset="0"/>
              </a:defRPr>
            </a:pPr>
            <a:endParaRPr lang="en-US"/>
          </a:p>
        </c:txPr>
        <c:crossAx val="450786048"/>
        <c:crossesAt val="0"/>
        <c:crossBetween val="between"/>
        <c:majorUnit val="50"/>
        <c:minorUnit val="25"/>
      </c:valAx>
      <c:spPr>
        <a:noFill/>
        <a:ln w="25400">
          <a:noFill/>
        </a:ln>
      </c:spPr>
    </c:plotArea>
    <c:legend>
      <c:legendPos val="t"/>
      <c:legendEntry>
        <c:idx val="9"/>
        <c:delete val="1"/>
      </c:legendEntry>
      <c:legendEntry>
        <c:idx val="10"/>
        <c:delete val="1"/>
      </c:legendEntry>
      <c:legendEntry>
        <c:idx val="11"/>
        <c:delete val="1"/>
      </c:legendEntry>
      <c:layout>
        <c:manualLayout>
          <c:xMode val="edge"/>
          <c:yMode val="edge"/>
          <c:x val="0.31430722044239789"/>
          <c:y val="1.5175029628150039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1125" b="1" i="0" u="none" strike="noStrike" baseline="0">
                <a:solidFill>
                  <a:srgbClr val="000000"/>
                </a:solidFill>
                <a:latin typeface="Arial"/>
                <a:ea typeface="Arial"/>
                <a:cs typeface="Arial"/>
              </a:defRPr>
            </a:pPr>
            <a:r>
              <a:rPr lang="en-US"/>
              <a:t>FSW</a:t>
            </a:r>
            <a:r>
              <a:rPr lang="en-US" baseline="0"/>
              <a:t> vs. VIN</a:t>
            </a:r>
            <a:endParaRPr lang="en-US"/>
          </a:p>
        </c:rich>
      </c:tx>
      <c:layout>
        <c:manualLayout>
          <c:xMode val="edge"/>
          <c:yMode val="edge"/>
          <c:x val="0.46949559660480134"/>
          <c:y val="4.3950758924335628E-2"/>
        </c:manualLayout>
      </c:layout>
      <c:overlay val="0"/>
      <c:spPr>
        <a:noFill/>
        <a:ln w="25400">
          <a:noFill/>
        </a:ln>
      </c:spPr>
    </c:title>
    <c:autoTitleDeleted val="0"/>
    <c:plotArea>
      <c:layout>
        <c:manualLayout>
          <c:layoutTarget val="inner"/>
          <c:xMode val="edge"/>
          <c:yMode val="edge"/>
          <c:x val="0.11549893842887474"/>
          <c:y val="0.12692138023914851"/>
          <c:w val="0.81825902335456679"/>
          <c:h val="0.73598262282121851"/>
        </c:manualLayout>
      </c:layout>
      <c:scatterChart>
        <c:scatterStyle val="lineMarker"/>
        <c:varyColors val="0"/>
        <c:ser>
          <c:idx val="2"/>
          <c:order val="0"/>
          <c:tx>
            <c:strRef>
              <c:f>'Fsw vs VIN'!$M$5</c:f>
              <c:strCache>
                <c:ptCount val="1"/>
                <c:pt idx="0">
                  <c:v>Fsw-BCM (kHz) at Iout-max</c:v>
                </c:pt>
              </c:strCache>
            </c:strRef>
          </c:tx>
          <c:spPr>
            <a:ln w="25400">
              <a:solidFill>
                <a:srgbClr val="000080"/>
              </a:solidFill>
              <a:prstDash val="solid"/>
            </a:ln>
          </c:spPr>
          <c:marker>
            <c:symbol val="none"/>
          </c:marker>
          <c:xVal>
            <c:numRef>
              <c:f>'Fsw vs VIN'!$D$6:$D$106</c:f>
              <c:numCache>
                <c:formatCode>0.00</c:formatCode>
                <c:ptCount val="101"/>
                <c:pt idx="0">
                  <c:v>9</c:v>
                </c:pt>
                <c:pt idx="1">
                  <c:v>9.27</c:v>
                </c:pt>
                <c:pt idx="2">
                  <c:v>9.5399999999999991</c:v>
                </c:pt>
                <c:pt idx="3">
                  <c:v>9.81</c:v>
                </c:pt>
                <c:pt idx="4">
                  <c:v>10.08</c:v>
                </c:pt>
                <c:pt idx="5">
                  <c:v>10.35</c:v>
                </c:pt>
                <c:pt idx="6">
                  <c:v>10.62</c:v>
                </c:pt>
                <c:pt idx="7">
                  <c:v>10.89</c:v>
                </c:pt>
                <c:pt idx="8">
                  <c:v>11.16</c:v>
                </c:pt>
                <c:pt idx="9">
                  <c:v>11.43</c:v>
                </c:pt>
                <c:pt idx="10">
                  <c:v>11.7</c:v>
                </c:pt>
                <c:pt idx="11">
                  <c:v>11.97</c:v>
                </c:pt>
                <c:pt idx="12">
                  <c:v>12.24</c:v>
                </c:pt>
                <c:pt idx="13">
                  <c:v>12.51</c:v>
                </c:pt>
                <c:pt idx="14">
                  <c:v>12.780000000000001</c:v>
                </c:pt>
                <c:pt idx="15">
                  <c:v>13.05</c:v>
                </c:pt>
                <c:pt idx="16">
                  <c:v>13.32</c:v>
                </c:pt>
                <c:pt idx="17">
                  <c:v>13.59</c:v>
                </c:pt>
                <c:pt idx="18">
                  <c:v>13.86</c:v>
                </c:pt>
                <c:pt idx="19">
                  <c:v>14.129999999999999</c:v>
                </c:pt>
                <c:pt idx="20">
                  <c:v>14.4</c:v>
                </c:pt>
                <c:pt idx="21">
                  <c:v>14.67</c:v>
                </c:pt>
                <c:pt idx="22">
                  <c:v>14.940000000000001</c:v>
                </c:pt>
                <c:pt idx="23">
                  <c:v>15.21</c:v>
                </c:pt>
                <c:pt idx="24">
                  <c:v>15.48</c:v>
                </c:pt>
                <c:pt idx="25">
                  <c:v>15.75</c:v>
                </c:pt>
                <c:pt idx="26">
                  <c:v>16.02</c:v>
                </c:pt>
                <c:pt idx="27">
                  <c:v>16.29</c:v>
                </c:pt>
                <c:pt idx="28">
                  <c:v>16.560000000000002</c:v>
                </c:pt>
                <c:pt idx="29">
                  <c:v>16.829999999999998</c:v>
                </c:pt>
                <c:pt idx="30">
                  <c:v>17.100000000000001</c:v>
                </c:pt>
                <c:pt idx="31">
                  <c:v>17.369999999999997</c:v>
                </c:pt>
                <c:pt idx="32">
                  <c:v>17.64</c:v>
                </c:pt>
                <c:pt idx="33">
                  <c:v>17.91</c:v>
                </c:pt>
                <c:pt idx="34">
                  <c:v>18.18</c:v>
                </c:pt>
                <c:pt idx="35">
                  <c:v>18.45</c:v>
                </c:pt>
                <c:pt idx="36">
                  <c:v>18.72</c:v>
                </c:pt>
                <c:pt idx="37">
                  <c:v>18.990000000000002</c:v>
                </c:pt>
                <c:pt idx="38">
                  <c:v>19.259999999999998</c:v>
                </c:pt>
                <c:pt idx="39">
                  <c:v>19.53</c:v>
                </c:pt>
                <c:pt idx="40">
                  <c:v>19.8</c:v>
                </c:pt>
                <c:pt idx="41">
                  <c:v>20.07</c:v>
                </c:pt>
                <c:pt idx="42">
                  <c:v>20.34</c:v>
                </c:pt>
                <c:pt idx="43">
                  <c:v>20.61</c:v>
                </c:pt>
                <c:pt idx="44">
                  <c:v>20.880000000000003</c:v>
                </c:pt>
                <c:pt idx="45">
                  <c:v>21.15</c:v>
                </c:pt>
                <c:pt idx="46">
                  <c:v>21.42</c:v>
                </c:pt>
                <c:pt idx="47">
                  <c:v>21.689999999999998</c:v>
                </c:pt>
                <c:pt idx="48">
                  <c:v>21.96</c:v>
                </c:pt>
                <c:pt idx="49">
                  <c:v>22.23</c:v>
                </c:pt>
                <c:pt idx="50">
                  <c:v>22.5</c:v>
                </c:pt>
                <c:pt idx="51">
                  <c:v>22.77</c:v>
                </c:pt>
                <c:pt idx="52">
                  <c:v>23.04</c:v>
                </c:pt>
                <c:pt idx="53">
                  <c:v>23.310000000000002</c:v>
                </c:pt>
                <c:pt idx="54">
                  <c:v>23.580000000000002</c:v>
                </c:pt>
                <c:pt idx="55">
                  <c:v>23.85</c:v>
                </c:pt>
                <c:pt idx="56">
                  <c:v>24.12</c:v>
                </c:pt>
                <c:pt idx="57">
                  <c:v>24.39</c:v>
                </c:pt>
                <c:pt idx="58">
                  <c:v>24.659999999999997</c:v>
                </c:pt>
                <c:pt idx="59">
                  <c:v>24.93</c:v>
                </c:pt>
                <c:pt idx="60">
                  <c:v>25.2</c:v>
                </c:pt>
                <c:pt idx="61">
                  <c:v>25.47</c:v>
                </c:pt>
                <c:pt idx="62">
                  <c:v>25.74</c:v>
                </c:pt>
                <c:pt idx="63">
                  <c:v>26.01</c:v>
                </c:pt>
                <c:pt idx="64">
                  <c:v>26.28</c:v>
                </c:pt>
                <c:pt idx="65">
                  <c:v>26.55</c:v>
                </c:pt>
                <c:pt idx="66">
                  <c:v>26.82</c:v>
                </c:pt>
                <c:pt idx="67">
                  <c:v>27.09</c:v>
                </c:pt>
                <c:pt idx="68">
                  <c:v>27.360000000000003</c:v>
                </c:pt>
                <c:pt idx="69">
                  <c:v>27.63</c:v>
                </c:pt>
                <c:pt idx="70">
                  <c:v>27.9</c:v>
                </c:pt>
                <c:pt idx="71">
                  <c:v>28.169999999999998</c:v>
                </c:pt>
                <c:pt idx="72">
                  <c:v>28.439999999999998</c:v>
                </c:pt>
                <c:pt idx="73">
                  <c:v>28.71</c:v>
                </c:pt>
                <c:pt idx="74">
                  <c:v>28.98</c:v>
                </c:pt>
                <c:pt idx="75">
                  <c:v>29.25</c:v>
                </c:pt>
                <c:pt idx="76">
                  <c:v>29.52</c:v>
                </c:pt>
                <c:pt idx="77">
                  <c:v>29.79</c:v>
                </c:pt>
                <c:pt idx="78">
                  <c:v>30.060000000000002</c:v>
                </c:pt>
                <c:pt idx="79">
                  <c:v>30.330000000000002</c:v>
                </c:pt>
                <c:pt idx="80">
                  <c:v>30.6</c:v>
                </c:pt>
                <c:pt idx="81">
                  <c:v>30.87</c:v>
                </c:pt>
                <c:pt idx="82">
                  <c:v>31.139999999999997</c:v>
                </c:pt>
                <c:pt idx="83">
                  <c:v>31.41</c:v>
                </c:pt>
                <c:pt idx="84">
                  <c:v>31.68</c:v>
                </c:pt>
                <c:pt idx="85">
                  <c:v>31.95</c:v>
                </c:pt>
                <c:pt idx="86">
                  <c:v>32.22</c:v>
                </c:pt>
                <c:pt idx="87">
                  <c:v>32.489999999999995</c:v>
                </c:pt>
                <c:pt idx="88">
                  <c:v>32.760000000000005</c:v>
                </c:pt>
                <c:pt idx="89">
                  <c:v>33.03</c:v>
                </c:pt>
                <c:pt idx="90">
                  <c:v>33.299999999999997</c:v>
                </c:pt>
                <c:pt idx="91">
                  <c:v>33.57</c:v>
                </c:pt>
                <c:pt idx="92">
                  <c:v>33.840000000000003</c:v>
                </c:pt>
                <c:pt idx="93">
                  <c:v>34.11</c:v>
                </c:pt>
                <c:pt idx="94">
                  <c:v>34.379999999999995</c:v>
                </c:pt>
                <c:pt idx="95">
                  <c:v>34.65</c:v>
                </c:pt>
                <c:pt idx="96">
                  <c:v>34.92</c:v>
                </c:pt>
                <c:pt idx="97">
                  <c:v>35.19</c:v>
                </c:pt>
                <c:pt idx="98">
                  <c:v>35.46</c:v>
                </c:pt>
                <c:pt idx="99">
                  <c:v>35.730000000000004</c:v>
                </c:pt>
                <c:pt idx="100">
                  <c:v>36</c:v>
                </c:pt>
              </c:numCache>
            </c:numRef>
          </c:xVal>
          <c:yVal>
            <c:numRef>
              <c:f>'Fsw vs VIN'!$M$6:$M$106</c:f>
              <c:numCache>
                <c:formatCode>0.0</c:formatCode>
                <c:ptCount val="101"/>
                <c:pt idx="0">
                  <c:v>350</c:v>
                </c:pt>
                <c:pt idx="1">
                  <c:v>350</c:v>
                </c:pt>
                <c:pt idx="2">
                  <c:v>350</c:v>
                </c:pt>
                <c:pt idx="3">
                  <c:v>350</c:v>
                </c:pt>
                <c:pt idx="4">
                  <c:v>350</c:v>
                </c:pt>
                <c:pt idx="5">
                  <c:v>350</c:v>
                </c:pt>
                <c:pt idx="6">
                  <c:v>350</c:v>
                </c:pt>
                <c:pt idx="7">
                  <c:v>350</c:v>
                </c:pt>
                <c:pt idx="8">
                  <c:v>350</c:v>
                </c:pt>
                <c:pt idx="9">
                  <c:v>350</c:v>
                </c:pt>
                <c:pt idx="10">
                  <c:v>350</c:v>
                </c:pt>
                <c:pt idx="11">
                  <c:v>350</c:v>
                </c:pt>
                <c:pt idx="12">
                  <c:v>350</c:v>
                </c:pt>
                <c:pt idx="13">
                  <c:v>350</c:v>
                </c:pt>
                <c:pt idx="14">
                  <c:v>350</c:v>
                </c:pt>
                <c:pt idx="15">
                  <c:v>350</c:v>
                </c:pt>
                <c:pt idx="16">
                  <c:v>350</c:v>
                </c:pt>
                <c:pt idx="17">
                  <c:v>350</c:v>
                </c:pt>
                <c:pt idx="18">
                  <c:v>350</c:v>
                </c:pt>
                <c:pt idx="19">
                  <c:v>350</c:v>
                </c:pt>
                <c:pt idx="20">
                  <c:v>350</c:v>
                </c:pt>
                <c:pt idx="21">
                  <c:v>350</c:v>
                </c:pt>
                <c:pt idx="22">
                  <c:v>350</c:v>
                </c:pt>
                <c:pt idx="23">
                  <c:v>350</c:v>
                </c:pt>
                <c:pt idx="24">
                  <c:v>350</c:v>
                </c:pt>
                <c:pt idx="25">
                  <c:v>350</c:v>
                </c:pt>
                <c:pt idx="26">
                  <c:v>350</c:v>
                </c:pt>
                <c:pt idx="27">
                  <c:v>350</c:v>
                </c:pt>
                <c:pt idx="28">
                  <c:v>350</c:v>
                </c:pt>
                <c:pt idx="29">
                  <c:v>350</c:v>
                </c:pt>
                <c:pt idx="30">
                  <c:v>350</c:v>
                </c:pt>
                <c:pt idx="31">
                  <c:v>350</c:v>
                </c:pt>
                <c:pt idx="32">
                  <c:v>350</c:v>
                </c:pt>
                <c:pt idx="33">
                  <c:v>350</c:v>
                </c:pt>
                <c:pt idx="34">
                  <c:v>350</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350</c:v>
                </c:pt>
                <c:pt idx="70">
                  <c:v>350</c:v>
                </c:pt>
                <c:pt idx="71">
                  <c:v>350</c:v>
                </c:pt>
                <c:pt idx="72">
                  <c:v>350</c:v>
                </c:pt>
                <c:pt idx="73">
                  <c:v>350</c:v>
                </c:pt>
                <c:pt idx="74">
                  <c:v>350</c:v>
                </c:pt>
                <c:pt idx="75">
                  <c:v>350</c:v>
                </c:pt>
                <c:pt idx="76">
                  <c:v>350</c:v>
                </c:pt>
                <c:pt idx="77">
                  <c:v>350</c:v>
                </c:pt>
                <c:pt idx="78">
                  <c:v>350</c:v>
                </c:pt>
                <c:pt idx="79">
                  <c:v>350</c:v>
                </c:pt>
                <c:pt idx="80">
                  <c:v>350</c:v>
                </c:pt>
                <c:pt idx="81">
                  <c:v>350</c:v>
                </c:pt>
                <c:pt idx="82">
                  <c:v>350</c:v>
                </c:pt>
                <c:pt idx="83">
                  <c:v>350</c:v>
                </c:pt>
                <c:pt idx="84">
                  <c:v>350</c:v>
                </c:pt>
                <c:pt idx="85">
                  <c:v>350</c:v>
                </c:pt>
                <c:pt idx="86">
                  <c:v>350</c:v>
                </c:pt>
                <c:pt idx="87">
                  <c:v>350</c:v>
                </c:pt>
                <c:pt idx="88">
                  <c:v>350</c:v>
                </c:pt>
                <c:pt idx="89">
                  <c:v>350</c:v>
                </c:pt>
                <c:pt idx="90">
                  <c:v>350</c:v>
                </c:pt>
                <c:pt idx="91">
                  <c:v>350</c:v>
                </c:pt>
                <c:pt idx="92">
                  <c:v>350</c:v>
                </c:pt>
                <c:pt idx="93">
                  <c:v>350</c:v>
                </c:pt>
                <c:pt idx="94">
                  <c:v>350</c:v>
                </c:pt>
                <c:pt idx="95">
                  <c:v>350</c:v>
                </c:pt>
                <c:pt idx="96">
                  <c:v>350</c:v>
                </c:pt>
                <c:pt idx="97">
                  <c:v>350</c:v>
                </c:pt>
                <c:pt idx="98">
                  <c:v>350</c:v>
                </c:pt>
                <c:pt idx="99">
                  <c:v>350</c:v>
                </c:pt>
                <c:pt idx="100">
                  <c:v>350</c:v>
                </c:pt>
              </c:numCache>
            </c:numRef>
          </c:yVal>
          <c:smooth val="0"/>
          <c:extLst>
            <c:ext xmlns:c16="http://schemas.microsoft.com/office/drawing/2014/chart" uri="{C3380CC4-5D6E-409C-BE32-E72D297353CC}">
              <c16:uniqueId val="{00000000-A7ED-4BB2-BB4F-6969824E41D0}"/>
            </c:ext>
          </c:extLst>
        </c:ser>
        <c:dLbls>
          <c:showLegendKey val="0"/>
          <c:showVal val="0"/>
          <c:showCatName val="0"/>
          <c:showSerName val="0"/>
          <c:showPercent val="0"/>
          <c:showBubbleSize val="0"/>
        </c:dLbls>
        <c:axId val="447869696"/>
        <c:axId val="447871616"/>
      </c:scatterChart>
      <c:valAx>
        <c:axId val="447869696"/>
        <c:scaling>
          <c:orientation val="minMax"/>
        </c:scaling>
        <c:delete val="0"/>
        <c:axPos val="b"/>
        <c:majorGridlines/>
        <c:title>
          <c:tx>
            <c:rich>
              <a:bodyPr/>
              <a:lstStyle/>
              <a:p>
                <a:pPr>
                  <a:defRPr lang="ja-JP" sz="1100" b="1" i="0" u="none" strike="noStrike" baseline="0">
                    <a:solidFill>
                      <a:srgbClr val="000000"/>
                    </a:solidFill>
                    <a:latin typeface="Arial"/>
                    <a:ea typeface="Arial"/>
                    <a:cs typeface="Arial"/>
                  </a:defRPr>
                </a:pPr>
                <a:r>
                  <a:rPr lang="en-US" sz="1100"/>
                  <a:t>VIN (V)</a:t>
                </a:r>
              </a:p>
            </c:rich>
          </c:tx>
          <c:layout>
            <c:manualLayout>
              <c:xMode val="edge"/>
              <c:yMode val="edge"/>
              <c:x val="0.48841805795509147"/>
              <c:y val="0.928122229770017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975" b="1" i="0" u="none" strike="noStrike" baseline="0">
                <a:solidFill>
                  <a:srgbClr val="000000"/>
                </a:solidFill>
                <a:latin typeface="Arial"/>
                <a:ea typeface="Arial"/>
                <a:cs typeface="Arial"/>
              </a:defRPr>
            </a:pPr>
            <a:endParaRPr lang="en-US"/>
          </a:p>
        </c:txPr>
        <c:crossAx val="447871616"/>
        <c:crosses val="autoZero"/>
        <c:crossBetween val="midCat"/>
      </c:valAx>
      <c:valAx>
        <c:axId val="447871616"/>
        <c:scaling>
          <c:orientation val="minMax"/>
        </c:scaling>
        <c:delete val="0"/>
        <c:axPos val="l"/>
        <c:majorGridlines>
          <c:spPr>
            <a:ln w="3175">
              <a:solidFill>
                <a:srgbClr val="000000"/>
              </a:solidFill>
              <a:prstDash val="solid"/>
            </a:ln>
          </c:spPr>
        </c:majorGridlines>
        <c:title>
          <c:tx>
            <c:rich>
              <a:bodyPr/>
              <a:lstStyle/>
              <a:p>
                <a:pPr>
                  <a:defRPr lang="ja-JP" sz="1100" b="1" i="0" u="none" strike="noStrike" baseline="0">
                    <a:solidFill>
                      <a:srgbClr val="000000"/>
                    </a:solidFill>
                    <a:latin typeface="Arial"/>
                    <a:ea typeface="Arial"/>
                    <a:cs typeface="Arial"/>
                  </a:defRPr>
                </a:pPr>
                <a:r>
                  <a:rPr lang="en-US" sz="1100"/>
                  <a:t>FSw</a:t>
                </a:r>
                <a:r>
                  <a:rPr lang="en-US" sz="1100" baseline="0"/>
                  <a:t> (kHz)</a:t>
                </a:r>
                <a:endParaRPr lang="en-US" sz="1100"/>
              </a:p>
            </c:rich>
          </c:tx>
          <c:layout>
            <c:manualLayout>
              <c:xMode val="edge"/>
              <c:yMode val="edge"/>
              <c:x val="1.910828025477734E-2"/>
              <c:y val="0.37298429430192825"/>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ja-JP" sz="1200" b="1" i="0" u="none" strike="noStrike" baseline="0">
                <a:solidFill>
                  <a:srgbClr val="000000"/>
                </a:solidFill>
                <a:latin typeface="Arial"/>
                <a:ea typeface="Arial"/>
                <a:cs typeface="Arial"/>
              </a:defRPr>
            </a:pPr>
            <a:endParaRPr lang="en-US"/>
          </a:p>
        </c:txPr>
        <c:crossAx val="447869696"/>
        <c:crosses val="autoZero"/>
        <c:crossBetween val="midCat"/>
      </c:valAx>
      <c:spPr>
        <a:solidFill>
          <a:schemeClr val="bg1">
            <a:lumMod val="95000"/>
          </a:schemeClr>
        </a:solidFill>
        <a:ln w="12700">
          <a:solidFill>
            <a:srgbClr val="808080"/>
          </a:solidFill>
          <a:prstDash val="solid"/>
        </a:ln>
      </c:spPr>
    </c:plotArea>
    <c:legend>
      <c:legendPos val="r"/>
      <c:layout>
        <c:manualLayout>
          <c:xMode val="edge"/>
          <c:yMode val="edge"/>
          <c:x val="0.13445630576004464"/>
          <c:y val="0.14722888183191415"/>
          <c:w val="0.26461167950535469"/>
          <c:h val="0.15077691641594146"/>
        </c:manualLayout>
      </c:layout>
      <c:overlay val="0"/>
      <c:spPr>
        <a:solidFill>
          <a:srgbClr val="FFFFFF"/>
        </a:solidFill>
        <a:ln w="3175">
          <a:solidFill>
            <a:srgbClr val="000000"/>
          </a:solidFill>
          <a:prstDash val="solid"/>
        </a:ln>
      </c:spPr>
      <c:txPr>
        <a:bodyPr/>
        <a:lstStyle/>
        <a:p>
          <a:pPr>
            <a:defRPr lang="ja-JP" sz="11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822" r="0.7500000000000082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Single'!$CB$5:$CB$105</c:f>
              <c:numCache>
                <c:formatCode>0.00</c:formatCode>
                <c:ptCount val="101"/>
                <c:pt idx="0">
                  <c:v>2.6549245636923988E-5</c:v>
                </c:pt>
                <c:pt idx="1">
                  <c:v>70.04569440526835</c:v>
                </c:pt>
                <c:pt idx="2">
                  <c:v>76.28977039768678</c:v>
                </c:pt>
                <c:pt idx="3">
                  <c:v>77.858664275156926</c:v>
                </c:pt>
                <c:pt idx="4">
                  <c:v>78.667110027461746</c:v>
                </c:pt>
                <c:pt idx="5">
                  <c:v>79.159921446088049</c:v>
                </c:pt>
                <c:pt idx="6">
                  <c:v>79.491599946940767</c:v>
                </c:pt>
                <c:pt idx="7">
                  <c:v>79.7299550700575</c:v>
                </c:pt>
                <c:pt idx="8">
                  <c:v>79.909428642927125</c:v>
                </c:pt>
                <c:pt idx="9">
                  <c:v>80.049370925815239</c:v>
                </c:pt>
                <c:pt idx="10">
                  <c:v>80.16149047025003</c:v>
                </c:pt>
                <c:pt idx="11">
                  <c:v>80.253287434166381</c:v>
                </c:pt>
                <c:pt idx="12">
                  <c:v>80.329788463808342</c:v>
                </c:pt>
                <c:pt idx="13">
                  <c:v>80.394488713958694</c:v>
                </c:pt>
                <c:pt idx="14">
                  <c:v>80.449893824500421</c:v>
                </c:pt>
                <c:pt idx="15">
                  <c:v>80.497846951460161</c:v>
                </c:pt>
                <c:pt idx="16">
                  <c:v>80.539734140457668</c:v>
                </c:pt>
                <c:pt idx="17">
                  <c:v>80.576617760293544</c:v>
                </c:pt>
                <c:pt idx="18">
                  <c:v>80.60932577458199</c:v>
                </c:pt>
                <c:pt idx="19">
                  <c:v>80.638513012103445</c:v>
                </c:pt>
                <c:pt idx="20">
                  <c:v>80.664704173632913</c:v>
                </c:pt>
                <c:pt idx="21">
                  <c:v>80.688324625985402</c:v>
                </c:pt>
                <c:pt idx="22">
                  <c:v>80.709722846553163</c:v>
                </c:pt>
                <c:pt idx="23">
                  <c:v>80.7291870453423</c:v>
                </c:pt>
                <c:pt idx="24">
                  <c:v>80.746957653675835</c:v>
                </c:pt>
                <c:pt idx="25">
                  <c:v>80.763236830966264</c:v>
                </c:pt>
                <c:pt idx="26">
                  <c:v>80.778195788428732</c:v>
                </c:pt>
                <c:pt idx="27">
                  <c:v>80.791980493027026</c:v>
                </c:pt>
                <c:pt idx="28">
                  <c:v>80.804716154740404</c:v>
                </c:pt>
                <c:pt idx="29">
                  <c:v>80.816510789534291</c:v>
                </c:pt>
                <c:pt idx="30">
                  <c:v>80.827458072782235</c:v>
                </c:pt>
                <c:pt idx="31">
                  <c:v>80.837639642697198</c:v>
                </c:pt>
                <c:pt idx="32">
                  <c:v>80.847126973600169</c:v>
                </c:pt>
                <c:pt idx="33">
                  <c:v>80.855982909918396</c:v>
                </c:pt>
                <c:pt idx="34">
                  <c:v>80.864262930499365</c:v>
                </c:pt>
                <c:pt idx="35">
                  <c:v>80.872016196979558</c:v>
                </c:pt>
                <c:pt idx="36">
                  <c:v>81.000445297210277</c:v>
                </c:pt>
                <c:pt idx="37">
                  <c:v>81.160756942714201</c:v>
                </c:pt>
                <c:pt idx="38">
                  <c:v>81.313950497336023</c:v>
                </c:pt>
                <c:pt idx="39">
                  <c:v>81.46050547056953</c:v>
                </c:pt>
                <c:pt idx="40">
                  <c:v>81.600858248396648</c:v>
                </c:pt>
                <c:pt idx="41">
                  <c:v>81.735406896940916</c:v>
                </c:pt>
                <c:pt idx="42">
                  <c:v>81.864515332738847</c:v>
                </c:pt>
                <c:pt idx="43">
                  <c:v>81.988516955515777</c:v>
                </c:pt>
                <c:pt idx="44">
                  <c:v>82.107717823047196</c:v>
                </c:pt>
                <c:pt idx="45">
                  <c:v>82.222399434442821</c:v>
                </c:pt>
                <c:pt idx="46">
                  <c:v>82.332821177386109</c:v>
                </c:pt>
                <c:pt idx="47">
                  <c:v>82.43922248600191</c:v>
                </c:pt>
                <c:pt idx="48">
                  <c:v>82.54182474873005</c:v>
                </c:pt>
                <c:pt idx="49">
                  <c:v>82.640832999549801</c:v>
                </c:pt>
                <c:pt idx="50">
                  <c:v>82.736437420890667</c:v>
                </c:pt>
                <c:pt idx="51">
                  <c:v>82.828814682389677</c:v>
                </c:pt>
                <c:pt idx="52">
                  <c:v>83.086004264847119</c:v>
                </c:pt>
                <c:pt idx="53">
                  <c:v>83.352033696977571</c:v>
                </c:pt>
                <c:pt idx="54">
                  <c:v>83.60786051425265</c:v>
                </c:pt>
                <c:pt idx="55">
                  <c:v>83.847379490805707</c:v>
                </c:pt>
                <c:pt idx="56">
                  <c:v>83.9803701249554</c:v>
                </c:pt>
                <c:pt idx="57">
                  <c:v>84.107658578708211</c:v>
                </c:pt>
                <c:pt idx="58">
                  <c:v>84.229504887606296</c:v>
                </c:pt>
                <c:pt idx="59">
                  <c:v>84.346220857753067</c:v>
                </c:pt>
                <c:pt idx="60">
                  <c:v>84.458077082227433</c:v>
                </c:pt>
                <c:pt idx="61">
                  <c:v>84.565325935560836</c:v>
                </c:pt>
                <c:pt idx="62">
                  <c:v>84.668203044139048</c:v>
                </c:pt>
                <c:pt idx="63">
                  <c:v>84.766928619316872</c:v>
                </c:pt>
                <c:pt idx="64">
                  <c:v>84.861708667702828</c:v>
                </c:pt>
                <c:pt idx="65">
                  <c:v>84.952736091385532</c:v>
                </c:pt>
                <c:pt idx="66">
                  <c:v>85.04019168940296</c:v>
                </c:pt>
                <c:pt idx="67">
                  <c:v>85.124245070469456</c:v>
                </c:pt>
                <c:pt idx="68">
                  <c:v>85.205055485849215</c:v>
                </c:pt>
                <c:pt idx="69">
                  <c:v>85.282772590277176</c:v>
                </c:pt>
                <c:pt idx="70">
                  <c:v>85.357537137960662</c:v>
                </c:pt>
                <c:pt idx="71">
                  <c:v>85.429481619931565</c:v>
                </c:pt>
                <c:pt idx="72">
                  <c:v>85.498730848346014</c:v>
                </c:pt>
                <c:pt idx="73">
                  <c:v>85.565402492734833</c:v>
                </c:pt>
                <c:pt idx="74">
                  <c:v>85.629607572683526</c:v>
                </c:pt>
                <c:pt idx="75">
                  <c:v>85.691450910955851</c:v>
                </c:pt>
                <c:pt idx="76">
                  <c:v>85.75103155066374</c:v>
                </c:pt>
                <c:pt idx="77">
                  <c:v>85.808443139720822</c:v>
                </c:pt>
                <c:pt idx="78">
                  <c:v>85.863774285492354</c:v>
                </c:pt>
                <c:pt idx="79">
                  <c:v>85.917108882265126</c:v>
                </c:pt>
                <c:pt idx="80">
                  <c:v>85.968526413903859</c:v>
                </c:pt>
                <c:pt idx="81">
                  <c:v>86.018102233830746</c:v>
                </c:pt>
                <c:pt idx="82">
                  <c:v>86.065907824259412</c:v>
                </c:pt>
                <c:pt idx="83">
                  <c:v>86.112011036431539</c:v>
                </c:pt>
                <c:pt idx="84">
                  <c:v>86.156476313439313</c:v>
                </c:pt>
                <c:pt idx="85">
                  <c:v>86.199364897070367</c:v>
                </c:pt>
                <c:pt idx="86">
                  <c:v>86.240735019978828</c:v>
                </c:pt>
                <c:pt idx="87">
                  <c:v>86.280642084367827</c:v>
                </c:pt>
                <c:pt idx="88">
                  <c:v>86.319138828261359</c:v>
                </c:pt>
                <c:pt idx="89">
                  <c:v>86.356275480347605</c:v>
                </c:pt>
                <c:pt idx="90">
                  <c:v>86.392099904288727</c:v>
                </c:pt>
                <c:pt idx="91">
                  <c:v>86.426657733313334</c:v>
                </c:pt>
                <c:pt idx="92">
                  <c:v>86.459992495838293</c:v>
                </c:pt>
                <c:pt idx="93">
                  <c:v>86.492145732800864</c:v>
                </c:pt>
                <c:pt idx="94">
                  <c:v>86.523157107325432</c:v>
                </c:pt>
                <c:pt idx="95">
                  <c:v>86.553064507296014</c:v>
                </c:pt>
                <c:pt idx="96">
                  <c:v>86.581904141358095</c:v>
                </c:pt>
                <c:pt idx="97">
                  <c:v>86.6097106288303</c:v>
                </c:pt>
                <c:pt idx="98">
                  <c:v>86.636517083966595</c:v>
                </c:pt>
                <c:pt idx="99">
                  <c:v>86.66235519497468</c:v>
                </c:pt>
                <c:pt idx="100">
                  <c:v>86.687255298162938</c:v>
                </c:pt>
              </c:numCache>
            </c:numRef>
          </c:val>
          <c:smooth val="0"/>
          <c:extLst>
            <c:ext xmlns:c16="http://schemas.microsoft.com/office/drawing/2014/chart" uri="{C3380CC4-5D6E-409C-BE32-E72D297353CC}">
              <c16:uniqueId val="{00000000-3B81-4204-928B-6CDC733DE792}"/>
            </c:ext>
          </c:extLst>
        </c:ser>
        <c:dLbls>
          <c:showLegendKey val="0"/>
          <c:showVal val="0"/>
          <c:showCatName val="0"/>
          <c:showSerName val="0"/>
          <c:showPercent val="0"/>
          <c:showBubbleSize val="0"/>
        </c:dLbls>
        <c:marker val="1"/>
        <c:smooth val="0"/>
        <c:axId val="451805952"/>
        <c:axId val="451807872"/>
      </c:lineChart>
      <c:lineChart>
        <c:grouping val="standard"/>
        <c:varyColors val="0"/>
        <c:ser>
          <c:idx val="2"/>
          <c:order val="1"/>
          <c:tx>
            <c:strRef>
              <c:f>'Calculations - Single'!$BO$3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Single'!$BR$5:$BR$105</c:f>
              <c:numCache>
                <c:formatCode>0.0</c:formatCode>
                <c:ptCount val="101"/>
                <c:pt idx="0">
                  <c:v>8.6799999999999988E-7</c:v>
                </c:pt>
                <c:pt idx="1">
                  <c:v>8.6799999999999979</c:v>
                </c:pt>
                <c:pt idx="2">
                  <c:v>17.359999999999996</c:v>
                </c:pt>
                <c:pt idx="3">
                  <c:v>26.039999999999996</c:v>
                </c:pt>
                <c:pt idx="4">
                  <c:v>34.719999999999992</c:v>
                </c:pt>
                <c:pt idx="5">
                  <c:v>43.399999999999991</c:v>
                </c:pt>
                <c:pt idx="6">
                  <c:v>52.079999999999991</c:v>
                </c:pt>
                <c:pt idx="7">
                  <c:v>60.76</c:v>
                </c:pt>
                <c:pt idx="8">
                  <c:v>69.439999999999984</c:v>
                </c:pt>
                <c:pt idx="9">
                  <c:v>78.11999999999999</c:v>
                </c:pt>
                <c:pt idx="10">
                  <c:v>86.799999999999983</c:v>
                </c:pt>
                <c:pt idx="11">
                  <c:v>95.47999999999999</c:v>
                </c:pt>
                <c:pt idx="12">
                  <c:v>104.15999999999998</c:v>
                </c:pt>
                <c:pt idx="13">
                  <c:v>112.83999999999999</c:v>
                </c:pt>
                <c:pt idx="14">
                  <c:v>121.52</c:v>
                </c:pt>
                <c:pt idx="15">
                  <c:v>130.19999999999999</c:v>
                </c:pt>
                <c:pt idx="16">
                  <c:v>138.87999999999997</c:v>
                </c:pt>
                <c:pt idx="17">
                  <c:v>147.56</c:v>
                </c:pt>
                <c:pt idx="18">
                  <c:v>156.23999999999998</c:v>
                </c:pt>
                <c:pt idx="19">
                  <c:v>164.92</c:v>
                </c:pt>
                <c:pt idx="20">
                  <c:v>173.59999999999997</c:v>
                </c:pt>
                <c:pt idx="21">
                  <c:v>182.28</c:v>
                </c:pt>
                <c:pt idx="22">
                  <c:v>190.95999999999998</c:v>
                </c:pt>
                <c:pt idx="23">
                  <c:v>199.64000000000001</c:v>
                </c:pt>
                <c:pt idx="24">
                  <c:v>208.31999999999996</c:v>
                </c:pt>
                <c:pt idx="25">
                  <c:v>217</c:v>
                </c:pt>
                <c:pt idx="26">
                  <c:v>225.67999999999998</c:v>
                </c:pt>
                <c:pt idx="27">
                  <c:v>234.36</c:v>
                </c:pt>
                <c:pt idx="28">
                  <c:v>243.04</c:v>
                </c:pt>
                <c:pt idx="29">
                  <c:v>251.72</c:v>
                </c:pt>
                <c:pt idx="30">
                  <c:v>260.39999999999998</c:v>
                </c:pt>
                <c:pt idx="31">
                  <c:v>269.08</c:v>
                </c:pt>
                <c:pt idx="32">
                  <c:v>277.75999999999993</c:v>
                </c:pt>
                <c:pt idx="33">
                  <c:v>286.44</c:v>
                </c:pt>
                <c:pt idx="34">
                  <c:v>295.12</c:v>
                </c:pt>
                <c:pt idx="35">
                  <c:v>303.79999999999995</c:v>
                </c:pt>
                <c:pt idx="36">
                  <c:v>312.47999999999996</c:v>
                </c:pt>
                <c:pt idx="37">
                  <c:v>321.16000000000003</c:v>
                </c:pt>
                <c:pt idx="38">
                  <c:v>329.84</c:v>
                </c:pt>
                <c:pt idx="39">
                  <c:v>338.51999999999992</c:v>
                </c:pt>
                <c:pt idx="40">
                  <c:v>347.19999999999993</c:v>
                </c:pt>
                <c:pt idx="41">
                  <c:v>355.88</c:v>
                </c:pt>
                <c:pt idx="42">
                  <c:v>364.56</c:v>
                </c:pt>
                <c:pt idx="43">
                  <c:v>373.23999999999995</c:v>
                </c:pt>
                <c:pt idx="44">
                  <c:v>381.91999999999996</c:v>
                </c:pt>
                <c:pt idx="45">
                  <c:v>390.6</c:v>
                </c:pt>
                <c:pt idx="46">
                  <c:v>399.28000000000003</c:v>
                </c:pt>
                <c:pt idx="47">
                  <c:v>407.95999999999992</c:v>
                </c:pt>
                <c:pt idx="48">
                  <c:v>416.63999999999993</c:v>
                </c:pt>
                <c:pt idx="49">
                  <c:v>425.32</c:v>
                </c:pt>
                <c:pt idx="50">
                  <c:v>434</c:v>
                </c:pt>
                <c:pt idx="51">
                  <c:v>442.67999999999995</c:v>
                </c:pt>
                <c:pt idx="52">
                  <c:v>451.35999999999996</c:v>
                </c:pt>
                <c:pt idx="53">
                  <c:v>460.04</c:v>
                </c:pt>
                <c:pt idx="54">
                  <c:v>468.72</c:v>
                </c:pt>
                <c:pt idx="55">
                  <c:v>477.4</c:v>
                </c:pt>
                <c:pt idx="56">
                  <c:v>486.08</c:v>
                </c:pt>
                <c:pt idx="57">
                  <c:v>494.76</c:v>
                </c:pt>
                <c:pt idx="58">
                  <c:v>503.44</c:v>
                </c:pt>
                <c:pt idx="59">
                  <c:v>512.12</c:v>
                </c:pt>
                <c:pt idx="60">
                  <c:v>520.79999999999995</c:v>
                </c:pt>
                <c:pt idx="61">
                  <c:v>529.4799999999999</c:v>
                </c:pt>
                <c:pt idx="62">
                  <c:v>538.16</c:v>
                </c:pt>
                <c:pt idx="63">
                  <c:v>546.83999999999992</c:v>
                </c:pt>
                <c:pt idx="64">
                  <c:v>555.51999999999987</c:v>
                </c:pt>
                <c:pt idx="65">
                  <c:v>564.19999999999993</c:v>
                </c:pt>
                <c:pt idx="66">
                  <c:v>572.88</c:v>
                </c:pt>
                <c:pt idx="67">
                  <c:v>581.55999999999995</c:v>
                </c:pt>
                <c:pt idx="68">
                  <c:v>590.24</c:v>
                </c:pt>
                <c:pt idx="69">
                  <c:v>598.91999999999985</c:v>
                </c:pt>
                <c:pt idx="70">
                  <c:v>607.59999999999991</c:v>
                </c:pt>
                <c:pt idx="71">
                  <c:v>616.28</c:v>
                </c:pt>
                <c:pt idx="72">
                  <c:v>624.95999999999992</c:v>
                </c:pt>
                <c:pt idx="73">
                  <c:v>633.64</c:v>
                </c:pt>
                <c:pt idx="74">
                  <c:v>642.32000000000005</c:v>
                </c:pt>
                <c:pt idx="75">
                  <c:v>650.99999999999989</c:v>
                </c:pt>
                <c:pt idx="76">
                  <c:v>659.68</c:v>
                </c:pt>
                <c:pt idx="77">
                  <c:v>668.3599999999999</c:v>
                </c:pt>
                <c:pt idx="78">
                  <c:v>677.03999999999985</c:v>
                </c:pt>
                <c:pt idx="79">
                  <c:v>685.71999999999991</c:v>
                </c:pt>
                <c:pt idx="80">
                  <c:v>694.39999999999986</c:v>
                </c:pt>
                <c:pt idx="81">
                  <c:v>703.07999999999993</c:v>
                </c:pt>
                <c:pt idx="82">
                  <c:v>711.76</c:v>
                </c:pt>
                <c:pt idx="83">
                  <c:v>720.43999999999994</c:v>
                </c:pt>
                <c:pt idx="84">
                  <c:v>729.12</c:v>
                </c:pt>
                <c:pt idx="85">
                  <c:v>737.8</c:v>
                </c:pt>
                <c:pt idx="86">
                  <c:v>746.4799999999999</c:v>
                </c:pt>
                <c:pt idx="87">
                  <c:v>755.16</c:v>
                </c:pt>
                <c:pt idx="88">
                  <c:v>763.83999999999992</c:v>
                </c:pt>
                <c:pt idx="89">
                  <c:v>772.52</c:v>
                </c:pt>
                <c:pt idx="90">
                  <c:v>781.2</c:v>
                </c:pt>
                <c:pt idx="91">
                  <c:v>789.88</c:v>
                </c:pt>
                <c:pt idx="92">
                  <c:v>798.56000000000006</c:v>
                </c:pt>
                <c:pt idx="93">
                  <c:v>807.24000000000012</c:v>
                </c:pt>
                <c:pt idx="94">
                  <c:v>815.91999999999985</c:v>
                </c:pt>
                <c:pt idx="95">
                  <c:v>824.59999999999991</c:v>
                </c:pt>
                <c:pt idx="96">
                  <c:v>833.27999999999986</c:v>
                </c:pt>
                <c:pt idx="97">
                  <c:v>841.95999999999992</c:v>
                </c:pt>
                <c:pt idx="98">
                  <c:v>850.64</c:v>
                </c:pt>
                <c:pt idx="99">
                  <c:v>859.31999999999994</c:v>
                </c:pt>
                <c:pt idx="100">
                  <c:v>868</c:v>
                </c:pt>
              </c:numCache>
            </c:numRef>
          </c:val>
          <c:smooth val="0"/>
          <c:extLst>
            <c:ext xmlns:c16="http://schemas.microsoft.com/office/drawing/2014/chart" uri="{C3380CC4-5D6E-409C-BE32-E72D297353CC}">
              <c16:uniqueId val="{00000001-3B81-4204-928B-6CDC733DE792}"/>
            </c:ext>
          </c:extLst>
        </c:ser>
        <c:ser>
          <c:idx val="3"/>
          <c:order val="2"/>
          <c:tx>
            <c:strRef>
              <c:f>'Calculations - Single'!$BG$3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Single'!$BN$5:$BN$105</c:f>
              <c:numCache>
                <c:formatCode>0.0</c:formatCode>
                <c:ptCount val="101"/>
                <c:pt idx="0">
                  <c:v>28.556611587958781</c:v>
                </c:pt>
                <c:pt idx="1">
                  <c:v>28.569611905477039</c:v>
                </c:pt>
                <c:pt idx="2">
                  <c:v>47.296984985095825</c:v>
                </c:pt>
                <c:pt idx="3">
                  <c:v>70.955721144117703</c:v>
                </c:pt>
                <c:pt idx="4">
                  <c:v>94.621290358854992</c:v>
                </c:pt>
                <c:pt idx="5">
                  <c:v>118.29369558999376</c:v>
                </c:pt>
                <c:pt idx="6">
                  <c:v>141.97293979993077</c:v>
                </c:pt>
                <c:pt idx="7">
                  <c:v>165.65902595277481</c:v>
                </c:pt>
                <c:pt idx="8">
                  <c:v>189.35195701434765</c:v>
                </c:pt>
                <c:pt idx="9">
                  <c:v>213.05173595218548</c:v>
                </c:pt>
                <c:pt idx="10">
                  <c:v>236.75836573554039</c:v>
                </c:pt>
                <c:pt idx="11">
                  <c:v>260.47184933538102</c:v>
                </c:pt>
                <c:pt idx="12">
                  <c:v>284.19218972439432</c:v>
                </c:pt>
                <c:pt idx="13">
                  <c:v>307.9193898769866</c:v>
                </c:pt>
                <c:pt idx="14">
                  <c:v>331.65345276928457</c:v>
                </c:pt>
                <c:pt idx="15">
                  <c:v>355.39438137913697</c:v>
                </c:pt>
                <c:pt idx="16">
                  <c:v>379.14217868611581</c:v>
                </c:pt>
                <c:pt idx="17">
                  <c:v>402.89684767151709</c:v>
                </c:pt>
                <c:pt idx="18">
                  <c:v>426.65839131836248</c:v>
                </c:pt>
                <c:pt idx="19">
                  <c:v>450.42681261140081</c:v>
                </c:pt>
                <c:pt idx="20">
                  <c:v>474.20211453710851</c:v>
                </c:pt>
                <c:pt idx="21">
                  <c:v>497.98430008369166</c:v>
                </c:pt>
                <c:pt idx="22">
                  <c:v>521.77337224108692</c:v>
                </c:pt>
                <c:pt idx="23">
                  <c:v>545.56933400096261</c:v>
                </c:pt>
                <c:pt idx="24">
                  <c:v>569.37218835672036</c:v>
                </c:pt>
                <c:pt idx="25">
                  <c:v>593.18193830349583</c:v>
                </c:pt>
                <c:pt idx="26">
                  <c:v>616.99858683816115</c:v>
                </c:pt>
                <c:pt idx="27">
                  <c:v>640.8221369593241</c:v>
                </c:pt>
                <c:pt idx="28">
                  <c:v>664.65259166733119</c:v>
                </c:pt>
                <c:pt idx="29">
                  <c:v>688.48995396426835</c:v>
                </c:pt>
                <c:pt idx="30">
                  <c:v>712.33422685396226</c:v>
                </c:pt>
                <c:pt idx="31">
                  <c:v>736.18541334198142</c:v>
                </c:pt>
                <c:pt idx="32">
                  <c:v>760.04351643563734</c:v>
                </c:pt>
                <c:pt idx="33">
                  <c:v>783.90853914398599</c:v>
                </c:pt>
                <c:pt idx="34">
                  <c:v>807.78048447782896</c:v>
                </c:pt>
                <c:pt idx="35">
                  <c:v>831.65935544971501</c:v>
                </c:pt>
                <c:pt idx="36">
                  <c:v>846.06364081844526</c:v>
                </c:pt>
                <c:pt idx="37">
                  <c:v>857.34676436307859</c:v>
                </c:pt>
                <c:pt idx="38">
                  <c:v>868.52093850366236</c:v>
                </c:pt>
                <c:pt idx="39">
                  <c:v>879.59115578274509</c:v>
                </c:pt>
                <c:pt idx="40">
                  <c:v>890.56208709950101</c:v>
                </c:pt>
                <c:pt idx="41">
                  <c:v>901.43810989907433</c:v>
                </c:pt>
                <c:pt idx="42">
                  <c:v>912.22333327324873</c:v>
                </c:pt>
                <c:pt idx="43">
                  <c:v>922.92162037573598</c:v>
                </c:pt>
                <c:pt idx="44">
                  <c:v>933.53660849461335</c:v>
                </c:pt>
                <c:pt idx="45">
                  <c:v>944.07172707400991</c:v>
                </c:pt>
                <c:pt idx="46">
                  <c:v>954.53021393509243</c:v>
                </c:pt>
                <c:pt idx="47">
                  <c:v>964.91512991117179</c:v>
                </c:pt>
                <c:pt idx="48">
                  <c:v>975.22937208212727</c:v>
                </c:pt>
                <c:pt idx="49">
                  <c:v>985.47568576833919</c:v>
                </c:pt>
                <c:pt idx="50">
                  <c:v>995.65667542313111</c:v>
                </c:pt>
                <c:pt idx="51">
                  <c:v>1005.7748145446865</c:v>
                </c:pt>
                <c:pt idx="52">
                  <c:v>999.34033319549701</c:v>
                </c:pt>
                <c:pt idx="53">
                  <c:v>991.22304167402979</c:v>
                </c:pt>
                <c:pt idx="54">
                  <c:v>983.3158440517135</c:v>
                </c:pt>
                <c:pt idx="55">
                  <c:v>976.18597481505981</c:v>
                </c:pt>
                <c:pt idx="56">
                  <c:v>977.83364000818676</c:v>
                </c:pt>
                <c:pt idx="57">
                  <c:v>979.54489338561598</c:v>
                </c:pt>
                <c:pt idx="58">
                  <c:v>981.31872354741461</c:v>
                </c:pt>
                <c:pt idx="59">
                  <c:v>983.15438172691631</c:v>
                </c:pt>
                <c:pt idx="60">
                  <c:v>985.05115346245793</c:v>
                </c:pt>
                <c:pt idx="61">
                  <c:v>987.00837744353123</c:v>
                </c:pt>
                <c:pt idx="62">
                  <c:v>989.0254416404498</c:v>
                </c:pt>
                <c:pt idx="63">
                  <c:v>991.10177978274555</c:v>
                </c:pt>
                <c:pt idx="64">
                  <c:v>993.2368681503541</c:v>
                </c:pt>
                <c:pt idx="65">
                  <c:v>995.43022264581657</c:v>
                </c:pt>
                <c:pt idx="66">
                  <c:v>997.68139611937886</c:v>
                </c:pt>
                <c:pt idx="67">
                  <c:v>999.98997592200601</c:v>
                </c:pt>
                <c:pt idx="68">
                  <c:v>1002.3555816641725</c:v>
                </c:pt>
                <c:pt idx="69">
                  <c:v>1004.7778631606539</c:v>
                </c:pt>
                <c:pt idx="70">
                  <c:v>1007.2564985437414</c:v>
                </c:pt>
                <c:pt idx="71">
                  <c:v>1009.7911925291385</c:v>
                </c:pt>
                <c:pt idx="72">
                  <c:v>1012.3816748205028</c:v>
                </c:pt>
                <c:pt idx="73">
                  <c:v>1015.027698640006</c:v>
                </c:pt>
                <c:pt idx="74">
                  <c:v>1017.7290393736314</c:v>
                </c:pt>
                <c:pt idx="75">
                  <c:v>1020.4854933210397</c:v>
                </c:pt>
                <c:pt idx="76">
                  <c:v>1023.2968765408706</c:v>
                </c:pt>
                <c:pt idx="77">
                  <c:v>1026.163023783246</c:v>
                </c:pt>
                <c:pt idx="78">
                  <c:v>1029.0837875020391</c:v>
                </c:pt>
                <c:pt idx="79">
                  <c:v>1032.0590369402116</c:v>
                </c:pt>
                <c:pt idx="80">
                  <c:v>1035.0886572821344</c:v>
                </c:pt>
                <c:pt idx="81">
                  <c:v>1038.1725488674022</c:v>
                </c:pt>
                <c:pt idx="82">
                  <c:v>1041.3106264611581</c:v>
                </c:pt>
                <c:pt idx="83">
                  <c:v>1044.5028185763947</c:v>
                </c:pt>
                <c:pt idx="84">
                  <c:v>1047.749066844131</c:v>
                </c:pt>
                <c:pt idx="85">
                  <c:v>1051.0493254277064</c:v>
                </c:pt>
                <c:pt idx="86">
                  <c:v>1054.4035604778023</c:v>
                </c:pt>
                <c:pt idx="87">
                  <c:v>1057.811749625067</c:v>
                </c:pt>
                <c:pt idx="88">
                  <c:v>1061.2738815075149</c:v>
                </c:pt>
                <c:pt idx="89">
                  <c:v>1064.7899553301113</c:v>
                </c:pt>
                <c:pt idx="90">
                  <c:v>1068.3599804541611</c:v>
                </c:pt>
                <c:pt idx="91">
                  <c:v>1071.9839760143416</c:v>
                </c:pt>
                <c:pt idx="92">
                  <c:v>1075.6619705613878</c:v>
                </c:pt>
                <c:pt idx="93">
                  <c:v>1079.3940017286025</c:v>
                </c:pt>
                <c:pt idx="94">
                  <c:v>1083.180115920522</c:v>
                </c:pt>
                <c:pt idx="95">
                  <c:v>1087.0203680221971</c:v>
                </c:pt>
                <c:pt idx="96">
                  <c:v>1090.9148211276747</c:v>
                </c:pt>
                <c:pt idx="97">
                  <c:v>1094.8635462863779</c:v>
                </c:pt>
                <c:pt idx="98">
                  <c:v>1098.8666222661848</c:v>
                </c:pt>
                <c:pt idx="99">
                  <c:v>1102.9241353321067</c:v>
                </c:pt>
                <c:pt idx="100">
                  <c:v>1107.0361790395373</c:v>
                </c:pt>
              </c:numCache>
            </c:numRef>
          </c:val>
          <c:smooth val="0"/>
          <c:extLst>
            <c:ext xmlns:c16="http://schemas.microsoft.com/office/drawing/2014/chart" uri="{C3380CC4-5D6E-409C-BE32-E72D297353CC}">
              <c16:uniqueId val="{00000002-3B81-4204-928B-6CDC733DE792}"/>
            </c:ext>
          </c:extLst>
        </c:ser>
        <c:ser>
          <c:idx val="1"/>
          <c:order val="3"/>
          <c:tx>
            <c:strRef>
              <c:f>'Calculations - Single'!$BS$3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Single'!$BX$5:$BX$105</c:f>
              <c:numCache>
                <c:formatCode>0.0</c:formatCode>
                <c:ptCount val="101"/>
                <c:pt idx="0">
                  <c:v>39.521432829153625</c:v>
                </c:pt>
                <c:pt idx="1">
                  <c:v>43.128967622065275</c:v>
                </c:pt>
                <c:pt idx="2">
                  <c:v>54.750535991595669</c:v>
                </c:pt>
                <c:pt idx="3">
                  <c:v>68.480766827963933</c:v>
                </c:pt>
                <c:pt idx="4">
                  <c:v>82.211156629067986</c:v>
                </c:pt>
                <c:pt idx="5">
                  <c:v>95.941705404574137</c:v>
                </c:pt>
                <c:pt idx="6">
                  <c:v>109.67241316414936</c:v>
                </c:pt>
                <c:pt idx="7">
                  <c:v>123.40327991746146</c:v>
                </c:pt>
                <c:pt idx="8">
                  <c:v>137.13430567417899</c:v>
                </c:pt>
                <c:pt idx="9">
                  <c:v>150.8654904439714</c:v>
                </c:pt>
                <c:pt idx="10">
                  <c:v>164.59683423650884</c:v>
                </c:pt>
                <c:pt idx="11">
                  <c:v>178.32833706146215</c:v>
                </c:pt>
                <c:pt idx="12">
                  <c:v>192.05999892850312</c:v>
                </c:pt>
                <c:pt idx="13">
                  <c:v>205.79181984730428</c:v>
                </c:pt>
                <c:pt idx="14">
                  <c:v>219.52379982753885</c:v>
                </c:pt>
                <c:pt idx="15">
                  <c:v>233.25593887888093</c:v>
                </c:pt>
                <c:pt idx="16">
                  <c:v>246.98823701100542</c:v>
                </c:pt>
                <c:pt idx="17">
                  <c:v>260.72069423358801</c:v>
                </c:pt>
                <c:pt idx="18">
                  <c:v>274.45331055630493</c:v>
                </c:pt>
                <c:pt idx="19">
                  <c:v>288.18608598883355</c:v>
                </c:pt>
                <c:pt idx="20">
                  <c:v>301.91902054085193</c:v>
                </c:pt>
                <c:pt idx="21">
                  <c:v>315.65211422203868</c:v>
                </c:pt>
                <c:pt idx="22">
                  <c:v>329.38536704207348</c:v>
                </c:pt>
                <c:pt idx="23">
                  <c:v>343.11877901063662</c:v>
                </c:pt>
                <c:pt idx="24">
                  <c:v>356.85235013740936</c:v>
                </c:pt>
                <c:pt idx="25">
                  <c:v>370.58608043207346</c:v>
                </c:pt>
                <c:pt idx="26">
                  <c:v>384.31996990431173</c:v>
                </c:pt>
                <c:pt idx="27">
                  <c:v>398.05401856380774</c:v>
                </c:pt>
                <c:pt idx="28">
                  <c:v>411.78822642024551</c:v>
                </c:pt>
                <c:pt idx="29">
                  <c:v>425.52259348331023</c:v>
                </c:pt>
                <c:pt idx="30">
                  <c:v>439.25711976268786</c:v>
                </c:pt>
                <c:pt idx="31">
                  <c:v>452.99180526806504</c:v>
                </c:pt>
                <c:pt idx="32">
                  <c:v>466.72665000912906</c:v>
                </c:pt>
                <c:pt idx="33">
                  <c:v>480.46165399556827</c:v>
                </c:pt>
                <c:pt idx="34">
                  <c:v>494.19681723707151</c:v>
                </c:pt>
                <c:pt idx="35">
                  <c:v>507.93213974332849</c:v>
                </c:pt>
                <c:pt idx="36">
                  <c:v>522.38814664584913</c:v>
                </c:pt>
                <c:pt idx="37">
                  <c:v>537.08087178707694</c:v>
                </c:pt>
                <c:pt idx="38">
                  <c:v>551.7812439385674</c:v>
                </c:pt>
                <c:pt idx="39">
                  <c:v>566.48918139905879</c:v>
                </c:pt>
                <c:pt idx="40">
                  <c:v>581.20460582860926</c:v>
                </c:pt>
                <c:pt idx="41">
                  <c:v>595.92744203559903</c:v>
                </c:pt>
                <c:pt idx="42">
                  <c:v>610.65761778209753</c:v>
                </c:pt>
                <c:pt idx="43">
                  <c:v>625.39506360561541</c:v>
                </c:pt>
                <c:pt idx="44">
                  <c:v>640.13971265551186</c:v>
                </c:pt>
                <c:pt idx="45">
                  <c:v>654.89150054254173</c:v>
                </c:pt>
                <c:pt idx="46">
                  <c:v>669.65036520022375</c:v>
                </c:pt>
                <c:pt idx="47">
                  <c:v>684.41624675685875</c:v>
                </c:pt>
                <c:pt idx="48">
                  <c:v>699.18908741717371</c:v>
                </c:pt>
                <c:pt idx="49">
                  <c:v>713.96883135267819</c:v>
                </c:pt>
                <c:pt idx="50">
                  <c:v>728.75542459993119</c:v>
                </c:pt>
                <c:pt idx="51">
                  <c:v>743.54881496599739</c:v>
                </c:pt>
                <c:pt idx="52">
                  <c:v>749.81552891548972</c:v>
                </c:pt>
                <c:pt idx="53">
                  <c:v>755.0770118891113</c:v>
                </c:pt>
                <c:pt idx="54">
                  <c:v>760.30950174130953</c:v>
                </c:pt>
                <c:pt idx="55">
                  <c:v>766.16826242513582</c:v>
                </c:pt>
                <c:pt idx="56">
                  <c:v>781.94586543569164</c:v>
                </c:pt>
                <c:pt idx="57">
                  <c:v>797.77723862039386</c:v>
                </c:pt>
                <c:pt idx="58">
                  <c:v>813.65249122271132</c:v>
                </c:pt>
                <c:pt idx="59">
                  <c:v>829.57518488219591</c:v>
                </c:pt>
                <c:pt idx="60">
                  <c:v>845.54534754415272</c:v>
                </c:pt>
                <c:pt idx="61">
                  <c:v>861.56301156294967</c:v>
                </c:pt>
                <c:pt idx="62">
                  <c:v>877.62821343497978</c:v>
                </c:pt>
                <c:pt idx="63">
                  <c:v>893.74099355593978</c:v>
                </c:pt>
                <c:pt idx="64">
                  <c:v>909.90139599991733</c:v>
                </c:pt>
                <c:pt idx="65">
                  <c:v>926.10946831808508</c:v>
                </c:pt>
                <c:pt idx="66">
                  <c:v>942.36526135502947</c:v>
                </c:pt>
                <c:pt idx="67">
                  <c:v>958.66882908098216</c:v>
                </c:pt>
                <c:pt idx="68">
                  <c:v>975.02022843841598</c:v>
                </c:pt>
                <c:pt idx="69">
                  <c:v>991.4195192016108</c:v>
                </c:pt>
                <c:pt idx="70">
                  <c:v>1007.866763847989</c:v>
                </c:pt>
                <c:pt idx="71">
                  <c:v>1024.3620274400982</c:v>
                </c:pt>
                <c:pt idx="72">
                  <c:v>1040.9053775172904</c:v>
                </c:pt>
                <c:pt idx="73">
                  <c:v>1057.4968839961907</c:v>
                </c:pt>
                <c:pt idx="74">
                  <c:v>1074.136619079196</c:v>
                </c:pt>
                <c:pt idx="75">
                  <c:v>1090.8246571702709</c:v>
                </c:pt>
                <c:pt idx="76">
                  <c:v>1107.5610747974279</c:v>
                </c:pt>
                <c:pt idx="77">
                  <c:v>1124.3459505412966</c:v>
                </c:pt>
                <c:pt idx="78">
                  <c:v>1141.179364969282</c:v>
                </c:pt>
                <c:pt idx="79">
                  <c:v>1158.0614005748348</c:v>
                </c:pt>
                <c:pt idx="80">
                  <c:v>1174.9921417214132</c:v>
                </c:pt>
                <c:pt idx="81">
                  <c:v>1191.9716745907524</c:v>
                </c:pt>
                <c:pt idx="82">
                  <c:v>1209.0000871350992</c:v>
                </c:pt>
                <c:pt idx="83">
                  <c:v>1226.0774690330888</c:v>
                </c:pt>
                <c:pt idx="84">
                  <c:v>1243.2039116489864</c:v>
                </c:pt>
                <c:pt idx="85">
                  <c:v>1260.3795079950212</c:v>
                </c:pt>
                <c:pt idx="86">
                  <c:v>1277.6043526965923</c:v>
                </c:pt>
                <c:pt idx="87">
                  <c:v>1294.8785419601086</c:v>
                </c:pt>
                <c:pt idx="88">
                  <c:v>1312.2021735432863</c:v>
                </c:pt>
                <c:pt idx="89">
                  <c:v>1329.5753467277104</c:v>
                </c:pt>
                <c:pt idx="90">
                  <c:v>1346.9981622934977</c:v>
                </c:pt>
                <c:pt idx="91">
                  <c:v>1364.4707224959113</c:v>
                </c:pt>
                <c:pt idx="92">
                  <c:v>1381.9931310437892</c:v>
                </c:pt>
                <c:pt idx="93">
                  <c:v>1399.5654930796597</c:v>
                </c:pt>
                <c:pt idx="94">
                  <c:v>1417.1879151614232</c:v>
                </c:pt>
                <c:pt idx="95">
                  <c:v>1434.8605052454991</c:v>
                </c:pt>
                <c:pt idx="96">
                  <c:v>1452.5833726713333</c:v>
                </c:pt>
                <c:pt idx="97">
                  <c:v>1470.3566281471828</c:v>
                </c:pt>
                <c:pt idx="98">
                  <c:v>1488.1803837370881</c:v>
                </c:pt>
                <c:pt idx="99">
                  <c:v>1506.054752848954</c:v>
                </c:pt>
                <c:pt idx="100">
                  <c:v>1523.979850223684</c:v>
                </c:pt>
              </c:numCache>
            </c:numRef>
          </c:val>
          <c:smooth val="0"/>
          <c:extLst>
            <c:ext xmlns:c16="http://schemas.microsoft.com/office/drawing/2014/chart" uri="{C3380CC4-5D6E-409C-BE32-E72D297353CC}">
              <c16:uniqueId val="{00000003-3B81-4204-928B-6CDC733DE792}"/>
            </c:ext>
          </c:extLst>
        </c:ser>
        <c:dLbls>
          <c:showLegendKey val="0"/>
          <c:showVal val="0"/>
          <c:showCatName val="0"/>
          <c:showSerName val="0"/>
          <c:showPercent val="0"/>
          <c:showBubbleSize val="0"/>
        </c:dLbls>
        <c:marker val="1"/>
        <c:smooth val="0"/>
        <c:axId val="451820160"/>
        <c:axId val="451818240"/>
      </c:lineChart>
      <c:catAx>
        <c:axId val="451805952"/>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Load Current (mA)</a:t>
                </a:r>
              </a:p>
            </c:rich>
          </c:tx>
          <c:layout>
            <c:manualLayout>
              <c:xMode val="edge"/>
              <c:yMode val="edge"/>
              <c:x val="0.42471011396394504"/>
              <c:y val="0.93853771636955563"/>
            </c:manualLayout>
          </c:layout>
          <c:overlay val="0"/>
          <c:spPr>
            <a:noFill/>
            <a:ln w="25400">
              <a:noFill/>
            </a:ln>
          </c:spPr>
        </c:title>
        <c:numFmt formatCode="0"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807872"/>
        <c:crosses val="autoZero"/>
        <c:auto val="1"/>
        <c:lblAlgn val="ctr"/>
        <c:lblOffset val="100"/>
        <c:tickLblSkip val="20"/>
        <c:tickMarkSkip val="20"/>
        <c:noMultiLvlLbl val="0"/>
      </c:catAx>
      <c:valAx>
        <c:axId val="451807872"/>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05952"/>
        <c:crossesAt val="0"/>
        <c:crossBetween val="between"/>
        <c:majorUnit val="5"/>
        <c:minorUnit val="2.5"/>
      </c:valAx>
      <c:valAx>
        <c:axId val="451818240"/>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820160"/>
        <c:crosses val="max"/>
        <c:crossBetween val="between"/>
      </c:valAx>
      <c:catAx>
        <c:axId val="451820160"/>
        <c:scaling>
          <c:orientation val="minMax"/>
        </c:scaling>
        <c:delete val="1"/>
        <c:axPos val="b"/>
        <c:numFmt formatCode="General" sourceLinked="1"/>
        <c:majorTickMark val="out"/>
        <c:minorTickMark val="none"/>
        <c:tickLblPos val="nextTo"/>
        <c:crossAx val="451818240"/>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4467583520385743"/>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lang="ja-JP" sz="1800" b="1" i="0" u="none" strike="noStrike" kern="1200" baseline="0">
                <a:solidFill>
                  <a:srgbClr val="000000"/>
                </a:solidFill>
                <a:latin typeface="Arial" pitchFamily="34" charset="0"/>
                <a:ea typeface="Calibri"/>
                <a:cs typeface="Arial" pitchFamily="34" charset="0"/>
              </a:defRPr>
            </a:pPr>
            <a:r>
              <a:rPr lang="en-US" sz="1800" b="1" i="0" baseline="0">
                <a:effectLst/>
                <a:sym typeface="Symbol"/>
              </a:rPr>
              <a:t></a:t>
            </a:r>
            <a:r>
              <a:rPr lang="en-US" sz="1800" b="1" i="0" baseline="0">
                <a:effectLst/>
              </a:rPr>
              <a:t>, V</a:t>
            </a:r>
            <a:r>
              <a:rPr lang="en-US" sz="1800" b="1" i="0" baseline="-25000">
                <a:effectLst/>
              </a:rPr>
              <a:t>IN</a:t>
            </a:r>
            <a:r>
              <a:rPr lang="en-US" sz="1800" b="1" i="0" baseline="0">
                <a:effectLst/>
              </a:rPr>
              <a:t> = V</a:t>
            </a:r>
            <a:r>
              <a:rPr lang="en-US" sz="1800" b="1" i="0" baseline="-25000">
                <a:effectLst/>
              </a:rPr>
              <a:t>IN(nom)</a:t>
            </a:r>
            <a:endParaRPr lang="en-US">
              <a:effectLst/>
            </a:endParaRPr>
          </a:p>
        </c:rich>
      </c:tx>
      <c:layout>
        <c:manualLayout>
          <c:xMode val="edge"/>
          <c:yMode val="edge"/>
          <c:x val="8.2586704916618195E-2"/>
          <c:y val="1.8363289746112718E-2"/>
        </c:manualLayout>
      </c:layout>
      <c:overlay val="0"/>
      <c:spPr>
        <a:noFill/>
        <a:ln w="25400">
          <a:noFill/>
        </a:ln>
      </c:spPr>
    </c:title>
    <c:autoTitleDeleted val="0"/>
    <c:plotArea>
      <c:layout>
        <c:manualLayout>
          <c:layoutTarget val="inner"/>
          <c:xMode val="edge"/>
          <c:yMode val="edge"/>
          <c:x val="7.6761884085804283E-2"/>
          <c:y val="0.12133523343001466"/>
          <c:w val="0.82579990228506128"/>
          <c:h val="0.7558980268938309"/>
        </c:manualLayout>
      </c:layout>
      <c:lineChart>
        <c:grouping val="standard"/>
        <c:varyColors val="0"/>
        <c:ser>
          <c:idx val="0"/>
          <c:order val="0"/>
          <c:tx>
            <c:v>Efficiency</c:v>
          </c:tx>
          <c:spPr>
            <a:ln w="38100">
              <a:solidFill>
                <a:srgbClr val="FF0000"/>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Dual'!$CB$5:$CB$105</c:f>
              <c:numCache>
                <c:formatCode>0.00</c:formatCode>
                <c:ptCount val="101"/>
                <c:pt idx="0">
                  <c:v>6.8262822053612889E-5</c:v>
                </c:pt>
                <c:pt idx="1">
                  <c:v>78.462306942322471</c:v>
                </c:pt>
                <c:pt idx="2">
                  <c:v>81.808787092572956</c:v>
                </c:pt>
                <c:pt idx="3">
                  <c:v>82.93314488714735</c:v>
                </c:pt>
                <c:pt idx="4">
                  <c:v>83.455332564947554</c:v>
                </c:pt>
                <c:pt idx="5">
                  <c:v>83.723792600748794</c:v>
                </c:pt>
                <c:pt idx="6">
                  <c:v>83.858857905633698</c:v>
                </c:pt>
                <c:pt idx="7">
                  <c:v>83.913429363287946</c:v>
                </c:pt>
                <c:pt idx="8">
                  <c:v>83.914559571780529</c:v>
                </c:pt>
                <c:pt idx="9">
                  <c:v>83.877618631539548</c:v>
                </c:pt>
                <c:pt idx="10">
                  <c:v>83.812050995946279</c:v>
                </c:pt>
                <c:pt idx="11">
                  <c:v>83.724025769394288</c:v>
                </c:pt>
                <c:pt idx="12">
                  <c:v>83.617776496328943</c:v>
                </c:pt>
                <c:pt idx="13">
                  <c:v>83.496329835255438</c:v>
                </c:pt>
                <c:pt idx="14">
                  <c:v>83.361925908457863</c:v>
                </c:pt>
                <c:pt idx="15">
                  <c:v>83.216272858080615</c:v>
                </c:pt>
                <c:pt idx="16">
                  <c:v>83.060707422577636</c:v>
                </c:pt>
                <c:pt idx="17">
                  <c:v>82.896299819853482</c:v>
                </c:pt>
                <c:pt idx="18">
                  <c:v>82.723924347121113</c:v>
                </c:pt>
                <c:pt idx="19">
                  <c:v>82.544308170604694</c:v>
                </c:pt>
                <c:pt idx="20">
                  <c:v>82.358065834636349</c:v>
                </c:pt>
                <c:pt idx="21">
                  <c:v>82.165724179322908</c:v>
                </c:pt>
                <c:pt idx="22">
                  <c:v>81.96774066867961</c:v>
                </c:pt>
                <c:pt idx="23">
                  <c:v>81.764517098778867</c:v>
                </c:pt>
                <c:pt idx="24">
                  <c:v>81.556410006947957</c:v>
                </c:pt>
                <c:pt idx="25">
                  <c:v>81.343738685890401</c:v>
                </c:pt>
                <c:pt idx="26">
                  <c:v>81.126791432454297</c:v>
                </c:pt>
                <c:pt idx="27">
                  <c:v>80.905830477063461</c:v>
                </c:pt>
                <c:pt idx="28">
                  <c:v>80.681095914516746</c:v>
                </c:pt>
                <c:pt idx="29">
                  <c:v>80.452808869982732</c:v>
                </c:pt>
                <c:pt idx="30">
                  <c:v>80.22117407287115</c:v>
                </c:pt>
                <c:pt idx="31">
                  <c:v>79.986381967629711</c:v>
                </c:pt>
                <c:pt idx="32">
                  <c:v>79.748610458975719</c:v>
                </c:pt>
                <c:pt idx="33">
                  <c:v>79.508026366000763</c:v>
                </c:pt>
                <c:pt idx="34">
                  <c:v>79.075511765822228</c:v>
                </c:pt>
                <c:pt idx="35">
                  <c:v>78.475511900083035</c:v>
                </c:pt>
                <c:pt idx="36">
                  <c:v>78.515083446780267</c:v>
                </c:pt>
                <c:pt idx="37">
                  <c:v>78.551774360048086</c:v>
                </c:pt>
                <c:pt idx="38">
                  <c:v>78.585801249575709</c:v>
                </c:pt>
                <c:pt idx="39">
                  <c:v>78.617359927617997</c:v>
                </c:pt>
                <c:pt idx="40">
                  <c:v>78.646627848775012</c:v>
                </c:pt>
                <c:pt idx="41">
                  <c:v>78.673766212839638</c:v>
                </c:pt>
                <c:pt idx="42">
                  <c:v>78.698921783993441</c:v>
                </c:pt>
                <c:pt idx="43">
                  <c:v>78.722228470179886</c:v>
                </c:pt>
                <c:pt idx="44">
                  <c:v>78.743808698885942</c:v>
                </c:pt>
                <c:pt idx="45">
                  <c:v>78.7637746194182</c:v>
                </c:pt>
                <c:pt idx="46">
                  <c:v>78.782229156766732</c:v>
                </c:pt>
                <c:pt idx="47">
                  <c:v>78.799266938073075</c:v>
                </c:pt>
                <c:pt idx="48">
                  <c:v>78.814975109374004</c:v>
                </c:pt>
                <c:pt idx="49">
                  <c:v>78.829434057536616</c:v>
                </c:pt>
                <c:pt idx="50">
                  <c:v>79.291781341638782</c:v>
                </c:pt>
                <c:pt idx="51">
                  <c:v>79.738914999195714</c:v>
                </c:pt>
                <c:pt idx="52">
                  <c:v>80.167578723704509</c:v>
                </c:pt>
                <c:pt idx="53">
                  <c:v>80.579017218433492</c:v>
                </c:pt>
                <c:pt idx="54">
                  <c:v>80.974242692701424</c:v>
                </c:pt>
                <c:pt idx="55">
                  <c:v>80.823929859073147</c:v>
                </c:pt>
                <c:pt idx="56">
                  <c:v>80.975639775649213</c:v>
                </c:pt>
                <c:pt idx="57">
                  <c:v>81.12252366282587</c:v>
                </c:pt>
                <c:pt idx="58">
                  <c:v>81.264786571667358</c:v>
                </c:pt>
                <c:pt idx="59">
                  <c:v>81.402621981581149</c:v>
                </c:pt>
                <c:pt idx="60">
                  <c:v>81.536212609586727</c:v>
                </c:pt>
                <c:pt idx="61">
                  <c:v>81.665731152086536</c:v>
                </c:pt>
                <c:pt idx="62">
                  <c:v>81.791340965671566</c:v>
                </c:pt>
                <c:pt idx="63">
                  <c:v>81.913196692775443</c:v>
                </c:pt>
                <c:pt idx="64">
                  <c:v>82.031444837359729</c:v>
                </c:pt>
                <c:pt idx="65">
                  <c:v>82.146224295259728</c:v>
                </c:pt>
                <c:pt idx="66">
                  <c:v>82.257666843331819</c:v>
                </c:pt>
                <c:pt idx="67">
                  <c:v>82.365897591114006</c:v>
                </c:pt>
                <c:pt idx="68">
                  <c:v>82.471035398330457</c:v>
                </c:pt>
                <c:pt idx="69">
                  <c:v>82.573193261235261</c:v>
                </c:pt>
                <c:pt idx="70">
                  <c:v>82.672478670491103</c:v>
                </c:pt>
                <c:pt idx="71">
                  <c:v>82.76899394301455</c:v>
                </c:pt>
                <c:pt idx="72">
                  <c:v>82.862836529982658</c:v>
                </c:pt>
                <c:pt idx="73">
                  <c:v>82.954099302986393</c:v>
                </c:pt>
                <c:pt idx="74">
                  <c:v>83.042870820127064</c:v>
                </c:pt>
                <c:pt idx="75">
                  <c:v>83.129235573685889</c:v>
                </c:pt>
                <c:pt idx="76">
                  <c:v>83.213274220844852</c:v>
                </c:pt>
                <c:pt idx="77">
                  <c:v>83.295063798803369</c:v>
                </c:pt>
                <c:pt idx="78">
                  <c:v>83.374677925513353</c:v>
                </c:pt>
                <c:pt idx="79">
                  <c:v>83.45218698714703</c:v>
                </c:pt>
                <c:pt idx="80">
                  <c:v>83.527658313313395</c:v>
                </c:pt>
                <c:pt idx="81">
                  <c:v>83.601156340951206</c:v>
                </c:pt>
                <c:pt idx="82">
                  <c:v>83.672742767746016</c:v>
                </c:pt>
                <c:pt idx="83">
                  <c:v>83.74247669584787</c:v>
                </c:pt>
                <c:pt idx="84">
                  <c:v>83.810414766598825</c:v>
                </c:pt>
                <c:pt idx="85">
                  <c:v>83.876611286923421</c:v>
                </c:pt>
                <c:pt idx="86">
                  <c:v>83.941118347978474</c:v>
                </c:pt>
                <c:pt idx="87">
                  <c:v>84.003985936612239</c:v>
                </c:pt>
                <c:pt idx="88">
                  <c:v>84.065262040137398</c:v>
                </c:pt>
                <c:pt idx="89">
                  <c:v>84.124992744882732</c:v>
                </c:pt>
                <c:pt idx="90">
                  <c:v>84.183222328951345</c:v>
                </c:pt>
                <c:pt idx="91">
                  <c:v>84.239993349580075</c:v>
                </c:pt>
                <c:pt idx="92">
                  <c:v>84.295346725464015</c:v>
                </c:pt>
                <c:pt idx="93">
                  <c:v>84.34932181438225</c:v>
                </c:pt>
                <c:pt idx="94">
                  <c:v>84.401956486435793</c:v>
                </c:pt>
                <c:pt idx="95">
                  <c:v>84.45328719318465</c:v>
                </c:pt>
                <c:pt idx="96">
                  <c:v>84.50334903295024</c:v>
                </c:pt>
                <c:pt idx="97">
                  <c:v>84.552175812529455</c:v>
                </c:pt>
                <c:pt idx="98">
                  <c:v>84.599800105548823</c:v>
                </c:pt>
                <c:pt idx="99">
                  <c:v>84.646253307670719</c:v>
                </c:pt>
                <c:pt idx="100">
                  <c:v>84.195767393085703</c:v>
                </c:pt>
              </c:numCache>
            </c:numRef>
          </c:val>
          <c:smooth val="0"/>
          <c:extLst>
            <c:ext xmlns:c16="http://schemas.microsoft.com/office/drawing/2014/chart" uri="{C3380CC4-5D6E-409C-BE32-E72D297353CC}">
              <c16:uniqueId val="{00000000-F0EA-4A0C-859E-C3182CAF915C}"/>
            </c:ext>
          </c:extLst>
        </c:ser>
        <c:dLbls>
          <c:showLegendKey val="0"/>
          <c:showVal val="0"/>
          <c:showCatName val="0"/>
          <c:showSerName val="0"/>
          <c:showPercent val="0"/>
          <c:showBubbleSize val="0"/>
        </c:dLbls>
        <c:marker val="1"/>
        <c:smooth val="0"/>
        <c:axId val="451868928"/>
        <c:axId val="451223936"/>
      </c:lineChart>
      <c:lineChart>
        <c:grouping val="standard"/>
        <c:varyColors val="0"/>
        <c:ser>
          <c:idx val="2"/>
          <c:order val="1"/>
          <c:tx>
            <c:strRef>
              <c:f>'Calculations - Dual'!$BM$3</c:f>
              <c:strCache>
                <c:ptCount val="1"/>
                <c:pt idx="0">
                  <c:v>Flyback Diode Loss</c:v>
                </c:pt>
              </c:strCache>
            </c:strRef>
          </c:tx>
          <c:spPr>
            <a:ln w="38100">
              <a:solidFill>
                <a:srgbClr val="808000"/>
              </a:solidFill>
              <a:prstDash val="sys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Dual'!$BQ$5:$BQ$105</c:f>
              <c:numCache>
                <c:formatCode>0.0</c:formatCode>
                <c:ptCount val="101"/>
                <c:pt idx="0">
                  <c:v>1.4879999999999998E-6</c:v>
                </c:pt>
                <c:pt idx="1">
                  <c:v>9.2999999999999989</c:v>
                </c:pt>
                <c:pt idx="2">
                  <c:v>18.599999999999998</c:v>
                </c:pt>
                <c:pt idx="3">
                  <c:v>27.9</c:v>
                </c:pt>
                <c:pt idx="4">
                  <c:v>37.199999999999996</c:v>
                </c:pt>
                <c:pt idx="5">
                  <c:v>46.499999999999993</c:v>
                </c:pt>
                <c:pt idx="6">
                  <c:v>55.8</c:v>
                </c:pt>
                <c:pt idx="7">
                  <c:v>65.100000000000009</c:v>
                </c:pt>
                <c:pt idx="8">
                  <c:v>74.399999999999991</c:v>
                </c:pt>
                <c:pt idx="9">
                  <c:v>83.7</c:v>
                </c:pt>
                <c:pt idx="10">
                  <c:v>92.999999999999986</c:v>
                </c:pt>
                <c:pt idx="11">
                  <c:v>102.3</c:v>
                </c:pt>
                <c:pt idx="12">
                  <c:v>111.6</c:v>
                </c:pt>
                <c:pt idx="13">
                  <c:v>120.89999999999999</c:v>
                </c:pt>
                <c:pt idx="14">
                  <c:v>130.20000000000002</c:v>
                </c:pt>
                <c:pt idx="15">
                  <c:v>139.49999999999997</c:v>
                </c:pt>
                <c:pt idx="16">
                  <c:v>148.79999999999998</c:v>
                </c:pt>
                <c:pt idx="17">
                  <c:v>158.1</c:v>
                </c:pt>
                <c:pt idx="18">
                  <c:v>167.4</c:v>
                </c:pt>
                <c:pt idx="19">
                  <c:v>176.7</c:v>
                </c:pt>
                <c:pt idx="20">
                  <c:v>185.99999999999997</c:v>
                </c:pt>
                <c:pt idx="21">
                  <c:v>195.3</c:v>
                </c:pt>
                <c:pt idx="22">
                  <c:v>204.6</c:v>
                </c:pt>
                <c:pt idx="23">
                  <c:v>213.9</c:v>
                </c:pt>
                <c:pt idx="24">
                  <c:v>223.2</c:v>
                </c:pt>
                <c:pt idx="25">
                  <c:v>232.49999999999997</c:v>
                </c:pt>
                <c:pt idx="26">
                  <c:v>241.79999999999998</c:v>
                </c:pt>
                <c:pt idx="27">
                  <c:v>251.1</c:v>
                </c:pt>
                <c:pt idx="28">
                  <c:v>260.40000000000003</c:v>
                </c:pt>
                <c:pt idx="29">
                  <c:v>269.7</c:v>
                </c:pt>
                <c:pt idx="30">
                  <c:v>278.99999999999994</c:v>
                </c:pt>
                <c:pt idx="31">
                  <c:v>288.3</c:v>
                </c:pt>
                <c:pt idx="32">
                  <c:v>297.59999999999997</c:v>
                </c:pt>
                <c:pt idx="33">
                  <c:v>306.89999999999998</c:v>
                </c:pt>
                <c:pt idx="34">
                  <c:v>316.2</c:v>
                </c:pt>
                <c:pt idx="35">
                  <c:v>325.49999999999994</c:v>
                </c:pt>
                <c:pt idx="36">
                  <c:v>334.8</c:v>
                </c:pt>
                <c:pt idx="37">
                  <c:v>344.1</c:v>
                </c:pt>
                <c:pt idx="38">
                  <c:v>353.4</c:v>
                </c:pt>
                <c:pt idx="39">
                  <c:v>362.69999999999993</c:v>
                </c:pt>
                <c:pt idx="40">
                  <c:v>371.99999999999994</c:v>
                </c:pt>
                <c:pt idx="41">
                  <c:v>381.29999999999995</c:v>
                </c:pt>
                <c:pt idx="42">
                  <c:v>390.6</c:v>
                </c:pt>
                <c:pt idx="43">
                  <c:v>399.9</c:v>
                </c:pt>
                <c:pt idx="44">
                  <c:v>409.2</c:v>
                </c:pt>
                <c:pt idx="45">
                  <c:v>418.5</c:v>
                </c:pt>
                <c:pt idx="46">
                  <c:v>427.8</c:v>
                </c:pt>
                <c:pt idx="47">
                  <c:v>437.09999999999991</c:v>
                </c:pt>
                <c:pt idx="48">
                  <c:v>446.4</c:v>
                </c:pt>
                <c:pt idx="49">
                  <c:v>455.7</c:v>
                </c:pt>
                <c:pt idx="50">
                  <c:v>464.99999999999994</c:v>
                </c:pt>
                <c:pt idx="51">
                  <c:v>474.29999999999995</c:v>
                </c:pt>
                <c:pt idx="52">
                  <c:v>483.59999999999997</c:v>
                </c:pt>
                <c:pt idx="53">
                  <c:v>492.9</c:v>
                </c:pt>
                <c:pt idx="54">
                  <c:v>502.2</c:v>
                </c:pt>
                <c:pt idx="55">
                  <c:v>511.49999999999994</c:v>
                </c:pt>
                <c:pt idx="56">
                  <c:v>520.80000000000007</c:v>
                </c:pt>
                <c:pt idx="57">
                  <c:v>530.1</c:v>
                </c:pt>
                <c:pt idx="58">
                  <c:v>539.4</c:v>
                </c:pt>
                <c:pt idx="59">
                  <c:v>548.69999999999993</c:v>
                </c:pt>
                <c:pt idx="60">
                  <c:v>557.99999999999989</c:v>
                </c:pt>
                <c:pt idx="61">
                  <c:v>567.29999999999995</c:v>
                </c:pt>
                <c:pt idx="62">
                  <c:v>576.6</c:v>
                </c:pt>
                <c:pt idx="63">
                  <c:v>585.89999999999986</c:v>
                </c:pt>
                <c:pt idx="64">
                  <c:v>595.19999999999993</c:v>
                </c:pt>
                <c:pt idx="65">
                  <c:v>604.49999999999989</c:v>
                </c:pt>
                <c:pt idx="66">
                  <c:v>613.79999999999995</c:v>
                </c:pt>
                <c:pt idx="67">
                  <c:v>623.1</c:v>
                </c:pt>
                <c:pt idx="68">
                  <c:v>632.4</c:v>
                </c:pt>
                <c:pt idx="69">
                  <c:v>641.69999999999993</c:v>
                </c:pt>
                <c:pt idx="70">
                  <c:v>650.99999999999989</c:v>
                </c:pt>
                <c:pt idx="71">
                  <c:v>660.29999999999984</c:v>
                </c:pt>
                <c:pt idx="72">
                  <c:v>669.6</c:v>
                </c:pt>
                <c:pt idx="73">
                  <c:v>678.9</c:v>
                </c:pt>
                <c:pt idx="74">
                  <c:v>688.2</c:v>
                </c:pt>
                <c:pt idx="75">
                  <c:v>697.49999999999989</c:v>
                </c:pt>
                <c:pt idx="76">
                  <c:v>706.8</c:v>
                </c:pt>
                <c:pt idx="77">
                  <c:v>716.09999999999991</c:v>
                </c:pt>
                <c:pt idx="78">
                  <c:v>725.39999999999986</c:v>
                </c:pt>
                <c:pt idx="79">
                  <c:v>734.69999999999993</c:v>
                </c:pt>
                <c:pt idx="80">
                  <c:v>743.99999999999989</c:v>
                </c:pt>
                <c:pt idx="81">
                  <c:v>753.3</c:v>
                </c:pt>
                <c:pt idx="82">
                  <c:v>762.59999999999991</c:v>
                </c:pt>
                <c:pt idx="83">
                  <c:v>771.9</c:v>
                </c:pt>
                <c:pt idx="84">
                  <c:v>781.2</c:v>
                </c:pt>
                <c:pt idx="85">
                  <c:v>790.5</c:v>
                </c:pt>
                <c:pt idx="86">
                  <c:v>799.8</c:v>
                </c:pt>
                <c:pt idx="87">
                  <c:v>809.09999999999991</c:v>
                </c:pt>
                <c:pt idx="88">
                  <c:v>818.4</c:v>
                </c:pt>
                <c:pt idx="89">
                  <c:v>827.7</c:v>
                </c:pt>
                <c:pt idx="90">
                  <c:v>837</c:v>
                </c:pt>
                <c:pt idx="91">
                  <c:v>846.30000000000007</c:v>
                </c:pt>
                <c:pt idx="92">
                  <c:v>855.6</c:v>
                </c:pt>
                <c:pt idx="93">
                  <c:v>864.90000000000009</c:v>
                </c:pt>
                <c:pt idx="94">
                  <c:v>874.19999999999982</c:v>
                </c:pt>
                <c:pt idx="95">
                  <c:v>883.49999999999989</c:v>
                </c:pt>
                <c:pt idx="96">
                  <c:v>892.8</c:v>
                </c:pt>
                <c:pt idx="97">
                  <c:v>902.09999999999991</c:v>
                </c:pt>
                <c:pt idx="98">
                  <c:v>911.4</c:v>
                </c:pt>
                <c:pt idx="99">
                  <c:v>920.69999999999993</c:v>
                </c:pt>
                <c:pt idx="100">
                  <c:v>929.99999999999989</c:v>
                </c:pt>
              </c:numCache>
            </c:numRef>
          </c:val>
          <c:smooth val="0"/>
          <c:extLst>
            <c:ext xmlns:c16="http://schemas.microsoft.com/office/drawing/2014/chart" uri="{C3380CC4-5D6E-409C-BE32-E72D297353CC}">
              <c16:uniqueId val="{00000001-F0EA-4A0C-859E-C3182CAF915C}"/>
            </c:ext>
          </c:extLst>
        </c:ser>
        <c:ser>
          <c:idx val="3"/>
          <c:order val="2"/>
          <c:tx>
            <c:strRef>
              <c:f>'Calculations - Dual'!$BE$3</c:f>
              <c:strCache>
                <c:ptCount val="1"/>
                <c:pt idx="0">
                  <c:v>MOSFET Loss</c:v>
                </c:pt>
              </c:strCache>
            </c:strRef>
          </c:tx>
          <c:spPr>
            <a:ln w="38100">
              <a:solidFill>
                <a:srgbClr val="800080"/>
              </a:solidFill>
              <a:prstDash val="dash"/>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Dual'!$BL$5:$BL$105</c:f>
              <c:numCache>
                <c:formatCode>0.0</c:formatCode>
                <c:ptCount val="101"/>
                <c:pt idx="0">
                  <c:v>23.882037447512634</c:v>
                </c:pt>
                <c:pt idx="1">
                  <c:v>23.861111801472518</c:v>
                </c:pt>
                <c:pt idx="2">
                  <c:v>47.729175691755003</c:v>
                </c:pt>
                <c:pt idx="3">
                  <c:v>71.604194709594012</c:v>
                </c:pt>
                <c:pt idx="4">
                  <c:v>95.486171895507283</c:v>
                </c:pt>
                <c:pt idx="5">
                  <c:v>119.37511029178521</c:v>
                </c:pt>
                <c:pt idx="6">
                  <c:v>143.27101294249178</c:v>
                </c:pt>
                <c:pt idx="7">
                  <c:v>167.17388289346633</c:v>
                </c:pt>
                <c:pt idx="8">
                  <c:v>191.08372319232438</c:v>
                </c:pt>
                <c:pt idx="9">
                  <c:v>215.00053688845935</c:v>
                </c:pt>
                <c:pt idx="10">
                  <c:v>238.9243270330436</c:v>
                </c:pt>
                <c:pt idx="11">
                  <c:v>262.85509667902949</c:v>
                </c:pt>
                <c:pt idx="12">
                  <c:v>286.79284888115166</c:v>
                </c:pt>
                <c:pt idx="13">
                  <c:v>310.73758669592667</c:v>
                </c:pt>
                <c:pt idx="14">
                  <c:v>334.6893131816563</c:v>
                </c:pt>
                <c:pt idx="15">
                  <c:v>358.64803139842689</c:v>
                </c:pt>
                <c:pt idx="16">
                  <c:v>382.61374440811244</c:v>
                </c:pt>
                <c:pt idx="17">
                  <c:v>406.58645527437432</c:v>
                </c:pt>
                <c:pt idx="18">
                  <c:v>430.56616706266362</c:v>
                </c:pt>
                <c:pt idx="19">
                  <c:v>454.55288284022231</c:v>
                </c:pt>
                <c:pt idx="20">
                  <c:v>478.54660567608408</c:v>
                </c:pt>
                <c:pt idx="21">
                  <c:v>502.54733864107595</c:v>
                </c:pt>
                <c:pt idx="22">
                  <c:v>526.55508480781998</c:v>
                </c:pt>
                <c:pt idx="23">
                  <c:v>550.5698472507338</c:v>
                </c:pt>
                <c:pt idx="24">
                  <c:v>574.59162904603238</c:v>
                </c:pt>
                <c:pt idx="25">
                  <c:v>598.62043327172887</c:v>
                </c:pt>
                <c:pt idx="26">
                  <c:v>622.65626300763756</c:v>
                </c:pt>
                <c:pt idx="27">
                  <c:v>646.69912133537252</c:v>
                </c:pt>
                <c:pt idx="28">
                  <c:v>670.74901133835147</c:v>
                </c:pt>
                <c:pt idx="29">
                  <c:v>694.80593610179437</c:v>
                </c:pt>
                <c:pt idx="30">
                  <c:v>718.86989871272863</c:v>
                </c:pt>
                <c:pt idx="31">
                  <c:v>742.9409022599865</c:v>
                </c:pt>
                <c:pt idx="32">
                  <c:v>767.01894983420823</c:v>
                </c:pt>
                <c:pt idx="33">
                  <c:v>791.10404452784371</c:v>
                </c:pt>
                <c:pt idx="34">
                  <c:v>821.06960346992912</c:v>
                </c:pt>
                <c:pt idx="35">
                  <c:v>856.18020192473477</c:v>
                </c:pt>
                <c:pt idx="36">
                  <c:v>867.9260461406169</c:v>
                </c:pt>
                <c:pt idx="37">
                  <c:v>879.55570168620591</c:v>
                </c:pt>
                <c:pt idx="38">
                  <c:v>891.07466058556361</c:v>
                </c:pt>
                <c:pt idx="39">
                  <c:v>902.48805174742824</c:v>
                </c:pt>
                <c:pt idx="40">
                  <c:v>913.80067360709654</c:v>
                </c:pt>
                <c:pt idx="41">
                  <c:v>925.01702310251017</c:v>
                </c:pt>
                <c:pt idx="42">
                  <c:v>936.14132147482132</c:v>
                </c:pt>
                <c:pt idx="43">
                  <c:v>947.17753730811739</c:v>
                </c:pt>
                <c:pt idx="44">
                  <c:v>958.12940716050832</c:v>
                </c:pt>
                <c:pt idx="45">
                  <c:v>969.00045408692608</c:v>
                </c:pt>
                <c:pt idx="46">
                  <c:v>979.79400431073293</c:v>
                </c:pt>
                <c:pt idx="47">
                  <c:v>990.51320226501468</c:v>
                </c:pt>
                <c:pt idx="48">
                  <c:v>1001.1610241939794</c:v>
                </c:pt>
                <c:pt idx="49">
                  <c:v>1011.7402904791593</c:v>
                </c:pt>
                <c:pt idx="50">
                  <c:v>1003.1903185635875</c:v>
                </c:pt>
                <c:pt idx="51">
                  <c:v>994.71074234429818</c:v>
                </c:pt>
                <c:pt idx="52">
                  <c:v>986.47032963385709</c:v>
                </c:pt>
                <c:pt idx="53">
                  <c:v>978.4391804955419</c:v>
                </c:pt>
                <c:pt idx="54">
                  <c:v>970.59948925752997</c:v>
                </c:pt>
                <c:pt idx="55">
                  <c:v>984.89248387747625</c:v>
                </c:pt>
                <c:pt idx="56">
                  <c:v>986.74010439109668</c:v>
                </c:pt>
                <c:pt idx="57">
                  <c:v>988.6553427156399</c:v>
                </c:pt>
                <c:pt idx="58">
                  <c:v>990.63741001632377</c:v>
                </c:pt>
                <c:pt idx="59">
                  <c:v>992.6855785778896</c:v>
                </c:pt>
                <c:pt idx="60">
                  <c:v>994.79917721397624</c:v>
                </c:pt>
                <c:pt idx="61">
                  <c:v>996.97758710404162</c:v>
                </c:pt>
                <c:pt idx="62">
                  <c:v>999.22023801231444</c:v>
                </c:pt>
                <c:pt idx="63">
                  <c:v>1001.5266048487259</c:v>
                </c:pt>
                <c:pt idx="64">
                  <c:v>1003.8962045364997</c:v>
                </c:pt>
                <c:pt idx="65">
                  <c:v>1006.3285931551821</c:v>
                </c:pt>
                <c:pt idx="66">
                  <c:v>1008.8233633315044</c:v>
                </c:pt>
                <c:pt idx="67">
                  <c:v>1011.3801418535604</c:v>
                </c:pt>
                <c:pt idx="68">
                  <c:v>1013.9985874865489</c:v>
                </c:pt>
                <c:pt idx="69">
                  <c:v>1016.678388970699</c:v>
                </c:pt>
                <c:pt idx="70">
                  <c:v>1019.419263184129</c:v>
                </c:pt>
                <c:pt idx="71">
                  <c:v>1022.220953455201</c:v>
                </c:pt>
                <c:pt idx="72">
                  <c:v>1025.0832280106024</c:v>
                </c:pt>
                <c:pt idx="73">
                  <c:v>1028.0058785467986</c:v>
                </c:pt>
                <c:pt idx="74">
                  <c:v>1030.9887189137801</c:v>
                </c:pt>
                <c:pt idx="75">
                  <c:v>1034.0315839011571</c:v>
                </c:pt>
                <c:pt idx="76">
                  <c:v>1037.1343281176505</c:v>
                </c:pt>
                <c:pt idx="77">
                  <c:v>1040.2968249559158</c:v>
                </c:pt>
                <c:pt idx="78">
                  <c:v>1043.5189656354271</c:v>
                </c:pt>
                <c:pt idx="79">
                  <c:v>1046.8006583168585</c:v>
                </c:pt>
                <c:pt idx="80">
                  <c:v>1050.1418272820154</c:v>
                </c:pt>
                <c:pt idx="81">
                  <c:v>1053.5424121739375</c:v>
                </c:pt>
                <c:pt idx="82">
                  <c:v>1057.0023672923123</c:v>
                </c:pt>
                <c:pt idx="83">
                  <c:v>1060.5216609397507</c:v>
                </c:pt>
                <c:pt idx="84">
                  <c:v>1064.1002748149281</c:v>
                </c:pt>
                <c:pt idx="85">
                  <c:v>1067.7382034489112</c:v>
                </c:pt>
                <c:pt idx="86">
                  <c:v>1071.4354536813619</c:v>
                </c:pt>
                <c:pt idx="87">
                  <c:v>1075.1920441735647</c:v>
                </c:pt>
                <c:pt idx="88">
                  <c:v>1079.0080049555154</c:v>
                </c:pt>
                <c:pt idx="89">
                  <c:v>1082.8833770045394</c:v>
                </c:pt>
                <c:pt idx="90">
                  <c:v>1086.8182118531281</c:v>
                </c:pt>
                <c:pt idx="91">
                  <c:v>1090.8125712238675</c:v>
                </c:pt>
                <c:pt idx="92">
                  <c:v>1094.866526689525</c:v>
                </c:pt>
                <c:pt idx="93">
                  <c:v>1098.9801593565242</c:v>
                </c:pt>
                <c:pt idx="94">
                  <c:v>1103.1535595701509</c:v>
                </c:pt>
                <c:pt idx="95">
                  <c:v>1107.38682664002</c:v>
                </c:pt>
                <c:pt idx="96">
                  <c:v>1111.680068584405</c:v>
                </c:pt>
                <c:pt idx="97">
                  <c:v>1116.0334018921674</c:v>
                </c:pt>
                <c:pt idx="98">
                  <c:v>1120.4469513011234</c:v>
                </c:pt>
                <c:pt idx="99">
                  <c:v>1124.9208495917667</c:v>
                </c:pt>
                <c:pt idx="100">
                  <c:v>1129.4552373953588</c:v>
                </c:pt>
              </c:numCache>
            </c:numRef>
          </c:val>
          <c:smooth val="0"/>
          <c:extLst>
            <c:ext xmlns:c16="http://schemas.microsoft.com/office/drawing/2014/chart" uri="{C3380CC4-5D6E-409C-BE32-E72D297353CC}">
              <c16:uniqueId val="{00000002-F0EA-4A0C-859E-C3182CAF915C}"/>
            </c:ext>
          </c:extLst>
        </c:ser>
        <c:ser>
          <c:idx val="1"/>
          <c:order val="3"/>
          <c:tx>
            <c:strRef>
              <c:f>'Calculations - Dual'!$BR$3</c:f>
              <c:strCache>
                <c:ptCount val="1"/>
                <c:pt idx="0">
                  <c:v>Transformer Loss</c:v>
                </c:pt>
              </c:strCache>
            </c:strRef>
          </c:tx>
          <c:spPr>
            <a:ln w="38100">
              <a:solidFill>
                <a:srgbClr val="002060"/>
              </a:solidFill>
              <a:prstDash val="sysDot"/>
            </a:ln>
          </c:spPr>
          <c:marker>
            <c:symbol val="none"/>
          </c:marker>
          <c:cat>
            <c:numLit>
              <c:formatCode>General</c:formatCode>
              <c:ptCount val="201"/>
              <c:pt idx="0">
                <c:v>0</c:v>
              </c:pt>
              <c:pt idx="1">
                <c:v>2.5000000000000001E-2</c:v>
              </c:pt>
              <c:pt idx="2">
                <c:v>0.05</c:v>
              </c:pt>
              <c:pt idx="3">
                <c:v>7.4999999999999997E-2</c:v>
              </c:pt>
              <c:pt idx="4">
                <c:v>0.1</c:v>
              </c:pt>
              <c:pt idx="5">
                <c:v>0.125</c:v>
              </c:pt>
              <c:pt idx="6">
                <c:v>0.15</c:v>
              </c:pt>
              <c:pt idx="7">
                <c:v>0.17500000000000002</c:v>
              </c:pt>
              <c:pt idx="8">
                <c:v>0.2</c:v>
              </c:pt>
              <c:pt idx="9">
                <c:v>0.22499999999999998</c:v>
              </c:pt>
              <c:pt idx="10">
                <c:v>0.25</c:v>
              </c:pt>
              <c:pt idx="11">
                <c:v>0.27500000000000002</c:v>
              </c:pt>
              <c:pt idx="12">
                <c:v>0.3</c:v>
              </c:pt>
              <c:pt idx="13">
                <c:v>0.32500000000000001</c:v>
              </c:pt>
              <c:pt idx="14">
                <c:v>0.35000000000000003</c:v>
              </c:pt>
              <c:pt idx="15">
                <c:v>0.375</c:v>
              </c:pt>
              <c:pt idx="16">
                <c:v>0.4</c:v>
              </c:pt>
              <c:pt idx="17">
                <c:v>0.42500000000000004</c:v>
              </c:pt>
              <c:pt idx="18">
                <c:v>0.44999999999999996</c:v>
              </c:pt>
              <c:pt idx="19">
                <c:v>0.47499999999999998</c:v>
              </c:pt>
              <c:pt idx="20">
                <c:v>0.5</c:v>
              </c:pt>
              <c:pt idx="21">
                <c:v>0.52500000000000002</c:v>
              </c:pt>
              <c:pt idx="22">
                <c:v>0.55000000000000004</c:v>
              </c:pt>
              <c:pt idx="23">
                <c:v>0.57500000000000007</c:v>
              </c:pt>
              <c:pt idx="24">
                <c:v>0.6</c:v>
              </c:pt>
              <c:pt idx="25">
                <c:v>0.625</c:v>
              </c:pt>
              <c:pt idx="26">
                <c:v>0.65</c:v>
              </c:pt>
              <c:pt idx="27">
                <c:v>0.67500000000000004</c:v>
              </c:pt>
              <c:pt idx="28">
                <c:v>0.70000000000000007</c:v>
              </c:pt>
              <c:pt idx="29">
                <c:v>0.72499999999999998</c:v>
              </c:pt>
              <c:pt idx="30">
                <c:v>0.75</c:v>
              </c:pt>
              <c:pt idx="31">
                <c:v>0.77500000000000002</c:v>
              </c:pt>
              <c:pt idx="32">
                <c:v>0.8</c:v>
              </c:pt>
              <c:pt idx="33">
                <c:v>0.82500000000000007</c:v>
              </c:pt>
              <c:pt idx="34">
                <c:v>0.85000000000000009</c:v>
              </c:pt>
              <c:pt idx="35">
                <c:v>0.875</c:v>
              </c:pt>
              <c:pt idx="36">
                <c:v>0.89999999999999991</c:v>
              </c:pt>
              <c:pt idx="37">
                <c:v>0.92500000000000004</c:v>
              </c:pt>
              <c:pt idx="38">
                <c:v>0.95</c:v>
              </c:pt>
              <c:pt idx="39">
                <c:v>0.97500000000000009</c:v>
              </c:pt>
              <c:pt idx="40">
                <c:v>1</c:v>
              </c:pt>
              <c:pt idx="41">
                <c:v>1.0249999999999999</c:v>
              </c:pt>
              <c:pt idx="42">
                <c:v>1.05</c:v>
              </c:pt>
              <c:pt idx="43">
                <c:v>1.075</c:v>
              </c:pt>
              <c:pt idx="44">
                <c:v>1.1000000000000001</c:v>
              </c:pt>
              <c:pt idx="45">
                <c:v>1.125</c:v>
              </c:pt>
              <c:pt idx="46">
                <c:v>1.1500000000000001</c:v>
              </c:pt>
              <c:pt idx="47">
                <c:v>1.1749999999999998</c:v>
              </c:pt>
              <c:pt idx="48">
                <c:v>1.2</c:v>
              </c:pt>
              <c:pt idx="49">
                <c:v>1.2250000000000001</c:v>
              </c:pt>
              <c:pt idx="50">
                <c:v>1.25</c:v>
              </c:pt>
              <c:pt idx="51">
                <c:v>1.2749999999999999</c:v>
              </c:pt>
              <c:pt idx="52">
                <c:v>1.3</c:v>
              </c:pt>
              <c:pt idx="53">
                <c:v>1.3250000000000002</c:v>
              </c:pt>
              <c:pt idx="54">
                <c:v>1.35</c:v>
              </c:pt>
              <c:pt idx="55">
                <c:v>1.375</c:v>
              </c:pt>
              <c:pt idx="56">
                <c:v>1.4000000000000001</c:v>
              </c:pt>
              <c:pt idx="57">
                <c:v>1.4249999999999998</c:v>
              </c:pt>
              <c:pt idx="58">
                <c:v>1.45</c:v>
              </c:pt>
              <c:pt idx="59">
                <c:v>1.4749999999999999</c:v>
              </c:pt>
              <c:pt idx="60">
                <c:v>1.5</c:v>
              </c:pt>
              <c:pt idx="61">
                <c:v>1.5249999999999999</c:v>
              </c:pt>
              <c:pt idx="62">
                <c:v>1.55</c:v>
              </c:pt>
              <c:pt idx="63">
                <c:v>1.575</c:v>
              </c:pt>
              <c:pt idx="64">
                <c:v>1.6</c:v>
              </c:pt>
              <c:pt idx="65">
                <c:v>1.625</c:v>
              </c:pt>
              <c:pt idx="66">
                <c:v>1.6500000000000001</c:v>
              </c:pt>
              <c:pt idx="67">
                <c:v>1.675</c:v>
              </c:pt>
              <c:pt idx="68">
                <c:v>1.7000000000000002</c:v>
              </c:pt>
              <c:pt idx="69">
                <c:v>1.7249999999999999</c:v>
              </c:pt>
              <c:pt idx="70">
                <c:v>1.75</c:v>
              </c:pt>
              <c:pt idx="71">
                <c:v>1.7749999999999999</c:v>
              </c:pt>
              <c:pt idx="72">
                <c:v>1.7999999999999998</c:v>
              </c:pt>
              <c:pt idx="73">
                <c:v>1.825</c:v>
              </c:pt>
              <c:pt idx="74">
                <c:v>1.85</c:v>
              </c:pt>
              <c:pt idx="75">
                <c:v>1.875</c:v>
              </c:pt>
              <c:pt idx="76">
                <c:v>1.9</c:v>
              </c:pt>
              <c:pt idx="77">
                <c:v>1.925</c:v>
              </c:pt>
              <c:pt idx="78">
                <c:v>1.9500000000000002</c:v>
              </c:pt>
              <c:pt idx="79">
                <c:v>1.9750000000000001</c:v>
              </c:pt>
              <c:pt idx="80">
                <c:v>2</c:v>
              </c:pt>
              <c:pt idx="81">
                <c:v>2.0250000000000004</c:v>
              </c:pt>
              <c:pt idx="82">
                <c:v>2.0499999999999998</c:v>
              </c:pt>
              <c:pt idx="83">
                <c:v>2.0749999999999997</c:v>
              </c:pt>
              <c:pt idx="84">
                <c:v>2.1</c:v>
              </c:pt>
              <c:pt idx="85">
                <c:v>2.125</c:v>
              </c:pt>
              <c:pt idx="86">
                <c:v>2.15</c:v>
              </c:pt>
              <c:pt idx="87">
                <c:v>2.1749999999999998</c:v>
              </c:pt>
              <c:pt idx="88">
                <c:v>2.2000000000000002</c:v>
              </c:pt>
              <c:pt idx="89">
                <c:v>2.2250000000000001</c:v>
              </c:pt>
              <c:pt idx="90">
                <c:v>2.25</c:v>
              </c:pt>
              <c:pt idx="91">
                <c:v>2.2749999999999999</c:v>
              </c:pt>
              <c:pt idx="92">
                <c:v>2.3000000000000003</c:v>
              </c:pt>
              <c:pt idx="93">
                <c:v>2.3250000000000002</c:v>
              </c:pt>
              <c:pt idx="94">
                <c:v>2.3499999999999996</c:v>
              </c:pt>
              <c:pt idx="95">
                <c:v>2.375</c:v>
              </c:pt>
              <c:pt idx="96">
                <c:v>2.4</c:v>
              </c:pt>
              <c:pt idx="97">
                <c:v>2.4249999999999998</c:v>
              </c:pt>
              <c:pt idx="98">
                <c:v>2.4500000000000002</c:v>
              </c:pt>
              <c:pt idx="99">
                <c:v>2.4750000000000001</c:v>
              </c:pt>
              <c:pt idx="100">
                <c:v>2.5</c:v>
              </c:pt>
              <c:pt idx="101">
                <c:v>2.5249999999999999</c:v>
              </c:pt>
              <c:pt idx="102">
                <c:v>2.5499999999999998</c:v>
              </c:pt>
              <c:pt idx="103">
                <c:v>2.5750000000000002</c:v>
              </c:pt>
              <c:pt idx="104">
                <c:v>2.6</c:v>
              </c:pt>
              <c:pt idx="105">
                <c:v>2.625</c:v>
              </c:pt>
              <c:pt idx="106">
                <c:v>2.6500000000000004</c:v>
              </c:pt>
              <c:pt idx="107">
                <c:v>2.6750000000000003</c:v>
              </c:pt>
              <c:pt idx="108">
                <c:v>2.7</c:v>
              </c:pt>
              <c:pt idx="109">
                <c:v>2.7250000000000001</c:v>
              </c:pt>
              <c:pt idx="110">
                <c:v>2.75</c:v>
              </c:pt>
              <c:pt idx="111">
                <c:v>2.7750000000000004</c:v>
              </c:pt>
              <c:pt idx="112">
                <c:v>2.8000000000000003</c:v>
              </c:pt>
              <c:pt idx="113">
                <c:v>2.8249999999999997</c:v>
              </c:pt>
              <c:pt idx="114">
                <c:v>2.8499999999999996</c:v>
              </c:pt>
              <c:pt idx="115">
                <c:v>2.875</c:v>
              </c:pt>
              <c:pt idx="116">
                <c:v>2.9</c:v>
              </c:pt>
              <c:pt idx="117">
                <c:v>2.9249999999999998</c:v>
              </c:pt>
              <c:pt idx="118">
                <c:v>2.9499999999999997</c:v>
              </c:pt>
              <c:pt idx="119">
                <c:v>2.9749999999999996</c:v>
              </c:pt>
              <c:pt idx="120">
                <c:v>3</c:v>
              </c:pt>
              <c:pt idx="121">
                <c:v>3.0249999999999999</c:v>
              </c:pt>
              <c:pt idx="122">
                <c:v>3.05</c:v>
              </c:pt>
              <c:pt idx="123">
                <c:v>3.0750000000000002</c:v>
              </c:pt>
              <c:pt idx="124">
                <c:v>3.1</c:v>
              </c:pt>
              <c:pt idx="125">
                <c:v>3.125</c:v>
              </c:pt>
              <c:pt idx="126">
                <c:v>3.15</c:v>
              </c:pt>
              <c:pt idx="127">
                <c:v>3.1749999999999998</c:v>
              </c:pt>
              <c:pt idx="128">
                <c:v>3.2</c:v>
              </c:pt>
              <c:pt idx="129">
                <c:v>3.2250000000000001</c:v>
              </c:pt>
              <c:pt idx="130">
                <c:v>3.25</c:v>
              </c:pt>
              <c:pt idx="131">
                <c:v>3.2750000000000004</c:v>
              </c:pt>
              <c:pt idx="132">
                <c:v>3.3000000000000003</c:v>
              </c:pt>
              <c:pt idx="133">
                <c:v>3.3250000000000002</c:v>
              </c:pt>
              <c:pt idx="134">
                <c:v>3.35</c:v>
              </c:pt>
              <c:pt idx="135">
                <c:v>3.375</c:v>
              </c:pt>
              <c:pt idx="136">
                <c:v>3.4000000000000004</c:v>
              </c:pt>
              <c:pt idx="137">
                <c:v>3.4250000000000003</c:v>
              </c:pt>
              <c:pt idx="138">
                <c:v>3.4499999999999997</c:v>
              </c:pt>
              <c:pt idx="139">
                <c:v>3.4749999999999996</c:v>
              </c:pt>
              <c:pt idx="140">
                <c:v>3.5</c:v>
              </c:pt>
              <c:pt idx="141">
                <c:v>3.5249999999999999</c:v>
              </c:pt>
              <c:pt idx="142">
                <c:v>3.55</c:v>
              </c:pt>
              <c:pt idx="143">
                <c:v>3.5749999999999997</c:v>
              </c:pt>
              <c:pt idx="144">
                <c:v>3.5999999999999996</c:v>
              </c:pt>
              <c:pt idx="145">
                <c:v>3.625</c:v>
              </c:pt>
              <c:pt idx="146">
                <c:v>3.65</c:v>
              </c:pt>
              <c:pt idx="147">
                <c:v>3.6749999999999998</c:v>
              </c:pt>
              <c:pt idx="148">
                <c:v>3.7</c:v>
              </c:pt>
              <c:pt idx="149">
                <c:v>3.7250000000000001</c:v>
              </c:pt>
              <c:pt idx="150">
                <c:v>3.75</c:v>
              </c:pt>
              <c:pt idx="151">
                <c:v>3.7749999999999999</c:v>
              </c:pt>
              <c:pt idx="152">
                <c:v>3.8</c:v>
              </c:pt>
              <c:pt idx="153">
                <c:v>3.8250000000000002</c:v>
              </c:pt>
              <c:pt idx="154">
                <c:v>3.85</c:v>
              </c:pt>
              <c:pt idx="155">
                <c:v>3.875</c:v>
              </c:pt>
              <c:pt idx="156">
                <c:v>3.9000000000000004</c:v>
              </c:pt>
              <c:pt idx="157">
                <c:v>3.9250000000000003</c:v>
              </c:pt>
              <c:pt idx="158">
                <c:v>3.95</c:v>
              </c:pt>
              <c:pt idx="159">
                <c:v>3.9750000000000001</c:v>
              </c:pt>
              <c:pt idx="160">
                <c:v>4</c:v>
              </c:pt>
              <c:pt idx="161">
                <c:v>4.0250000000000004</c:v>
              </c:pt>
              <c:pt idx="162">
                <c:v>4.0500000000000007</c:v>
              </c:pt>
              <c:pt idx="163">
                <c:v>4.0749999999999993</c:v>
              </c:pt>
              <c:pt idx="164">
                <c:v>4.0999999999999996</c:v>
              </c:pt>
              <c:pt idx="165">
                <c:v>4.125</c:v>
              </c:pt>
              <c:pt idx="166">
                <c:v>4.1499999999999995</c:v>
              </c:pt>
              <c:pt idx="167">
                <c:v>4.1749999999999998</c:v>
              </c:pt>
              <c:pt idx="168">
                <c:v>4.2</c:v>
              </c:pt>
              <c:pt idx="169">
                <c:v>4.2249999999999996</c:v>
              </c:pt>
              <c:pt idx="170">
                <c:v>4.25</c:v>
              </c:pt>
              <c:pt idx="171">
                <c:v>4.2750000000000004</c:v>
              </c:pt>
              <c:pt idx="172">
                <c:v>4.3</c:v>
              </c:pt>
              <c:pt idx="173">
                <c:v>4.3250000000000002</c:v>
              </c:pt>
              <c:pt idx="174">
                <c:v>4.3499999999999996</c:v>
              </c:pt>
              <c:pt idx="175">
                <c:v>4.375</c:v>
              </c:pt>
              <c:pt idx="176">
                <c:v>4.4000000000000004</c:v>
              </c:pt>
              <c:pt idx="177">
                <c:v>4.4249999999999998</c:v>
              </c:pt>
              <c:pt idx="178">
                <c:v>4.45</c:v>
              </c:pt>
              <c:pt idx="179">
                <c:v>4.4749999999999996</c:v>
              </c:pt>
              <c:pt idx="180">
                <c:v>4.5</c:v>
              </c:pt>
              <c:pt idx="181">
                <c:v>4.5250000000000004</c:v>
              </c:pt>
              <c:pt idx="182">
                <c:v>4.55</c:v>
              </c:pt>
              <c:pt idx="183">
                <c:v>4.5750000000000002</c:v>
              </c:pt>
              <c:pt idx="184">
                <c:v>4.6000000000000005</c:v>
              </c:pt>
              <c:pt idx="185">
                <c:v>4.625</c:v>
              </c:pt>
              <c:pt idx="186">
                <c:v>4.6500000000000004</c:v>
              </c:pt>
              <c:pt idx="187">
                <c:v>4.6750000000000007</c:v>
              </c:pt>
              <c:pt idx="188">
                <c:v>4.6999999999999993</c:v>
              </c:pt>
              <c:pt idx="189">
                <c:v>4.7249999999999996</c:v>
              </c:pt>
              <c:pt idx="190">
                <c:v>4.75</c:v>
              </c:pt>
              <c:pt idx="191">
                <c:v>4.7749999999999995</c:v>
              </c:pt>
              <c:pt idx="192">
                <c:v>4.8</c:v>
              </c:pt>
              <c:pt idx="193">
                <c:v>4.8250000000000002</c:v>
              </c:pt>
              <c:pt idx="194">
                <c:v>4.8499999999999996</c:v>
              </c:pt>
              <c:pt idx="195">
                <c:v>4.875</c:v>
              </c:pt>
              <c:pt idx="196">
                <c:v>4.9000000000000004</c:v>
              </c:pt>
              <c:pt idx="197">
                <c:v>4.9249999999999998</c:v>
              </c:pt>
              <c:pt idx="198">
                <c:v>4.95</c:v>
              </c:pt>
              <c:pt idx="199">
                <c:v>4.9749999999999996</c:v>
              </c:pt>
              <c:pt idx="200">
                <c:v>5</c:v>
              </c:pt>
            </c:numLit>
          </c:cat>
          <c:val>
            <c:numRef>
              <c:f>'Calculations - Dual'!$BX$5:$BX$105</c:f>
              <c:numCache>
                <c:formatCode>0.0</c:formatCode>
                <c:ptCount val="101"/>
                <c:pt idx="0">
                  <c:v>37.644821610376347</c:v>
                </c:pt>
                <c:pt idx="1">
                  <c:v>37.659197024847629</c:v>
                </c:pt>
                <c:pt idx="2">
                  <c:v>48.409915227789135</c:v>
                </c:pt>
                <c:pt idx="3">
                  <c:v>59.777668715738848</c:v>
                </c:pt>
                <c:pt idx="4">
                  <c:v>71.903472267572681</c:v>
                </c:pt>
                <c:pt idx="5">
                  <c:v>84.905544678762439</c:v>
                </c:pt>
                <c:pt idx="6">
                  <c:v>98.887826303760534</c:v>
                </c:pt>
                <c:pt idx="7">
                  <c:v>113.94419912681585</c:v>
                </c:pt>
                <c:pt idx="8">
                  <c:v>130.16095650649928</c:v>
                </c:pt>
                <c:pt idx="9">
                  <c:v>147.61839953743123</c:v>
                </c:pt>
                <c:pt idx="10">
                  <c:v>166.39194054616939</c:v>
                </c:pt>
                <c:pt idx="11">
                  <c:v>186.55290400509926</c:v>
                </c:pt>
                <c:pt idx="12">
                  <c:v>208.16912983389255</c:v>
                </c:pt>
                <c:pt idx="13">
                  <c:v>231.30544136015058</c:v>
                </c:pt>
                <c:pt idx="14">
                  <c:v>256.02401701952084</c:v>
                </c:pt>
                <c:pt idx="15">
                  <c:v>282.38469145015301</c:v>
                </c:pt>
                <c:pt idx="16">
                  <c:v>310.44520345575256</c:v>
                </c:pt>
                <c:pt idx="17">
                  <c:v>340.26140311189693</c:v>
                </c:pt>
                <c:pt idx="18">
                  <c:v>371.88742686637761</c:v>
                </c:pt>
                <c:pt idx="19">
                  <c:v>405.37584716066465</c:v>
                </c:pt>
                <c:pt idx="20">
                  <c:v>440.77780148103551</c:v>
                </c:pt>
                <c:pt idx="21">
                  <c:v>478.14310459467612</c:v>
                </c:pt>
                <c:pt idx="22">
                  <c:v>517.5203468877562</c:v>
                </c:pt>
                <c:pt idx="23">
                  <c:v>558.95698110220087</c:v>
                </c:pt>
                <c:pt idx="24">
                  <c:v>602.4993993016983</c:v>
                </c:pt>
                <c:pt idx="25">
                  <c:v>648.19300154190182</c:v>
                </c:pt>
                <c:pt idx="26">
                  <c:v>696.08225744530216</c:v>
                </c:pt>
                <c:pt idx="27">
                  <c:v>746.21076166661669</c:v>
                </c:pt>
                <c:pt idx="28">
                  <c:v>798.62128406514023</c:v>
                </c:pt>
                <c:pt idx="29">
                  <c:v>853.35581526530245</c:v>
                </c:pt>
                <c:pt idx="30">
                  <c:v>910.45560817795092</c:v>
                </c:pt>
                <c:pt idx="31">
                  <c:v>969.96121596655166</c:v>
                </c:pt>
                <c:pt idx="32">
                  <c:v>1031.9125268703924</c:v>
                </c:pt>
                <c:pt idx="33">
                  <c:v>1096.3487962373731</c:v>
                </c:pt>
                <c:pt idx="34">
                  <c:v>1183.924489257281</c:v>
                </c:pt>
                <c:pt idx="35">
                  <c:v>1295.094053332394</c:v>
                </c:pt>
                <c:pt idx="36">
                  <c:v>1338.8480844093028</c:v>
                </c:pt>
                <c:pt idx="37">
                  <c:v>1382.8387235131231</c:v>
                </c:pt>
                <c:pt idx="38">
                  <c:v>1427.0614338599116</c:v>
                </c:pt>
                <c:pt idx="39">
                  <c:v>1471.511890942016</c:v>
                </c:pt>
                <c:pt idx="40">
                  <c:v>1516.1859675032181</c:v>
                </c:pt>
                <c:pt idx="41">
                  <c:v>1561.0797199272647</c:v>
                </c:pt>
                <c:pt idx="42">
                  <c:v>1606.18937587551</c:v>
                </c:pt>
                <c:pt idx="43">
                  <c:v>1651.511323031915</c:v>
                </c:pt>
                <c:pt idx="44">
                  <c:v>1697.0420988327073</c:v>
                </c:pt>
                <c:pt idx="45">
                  <c:v>1742.7783810740593</c:v>
                </c:pt>
                <c:pt idx="46">
                  <c:v>1788.7169793048406</c:v>
                </c:pt>
                <c:pt idx="47">
                  <c:v>1834.8548269231298</c:v>
                </c:pt>
                <c:pt idx="48">
                  <c:v>1881.1889739051585</c:v>
                </c:pt>
                <c:pt idx="49">
                  <c:v>1927.7165801039293</c:v>
                </c:pt>
                <c:pt idx="50">
                  <c:v>1900.835022686726</c:v>
                </c:pt>
                <c:pt idx="51">
                  <c:v>1874.3424553167438</c:v>
                </c:pt>
                <c:pt idx="52">
                  <c:v>1848.8744118530942</c:v>
                </c:pt>
                <c:pt idx="53">
                  <c:v>1824.3391204106858</c:v>
                </c:pt>
                <c:pt idx="54">
                  <c:v>1800.6717034428066</c:v>
                </c:pt>
                <c:pt idx="55">
                  <c:v>1870.2890889464143</c:v>
                </c:pt>
                <c:pt idx="56">
                  <c:v>1886.8629195671831</c:v>
                </c:pt>
                <c:pt idx="57">
                  <c:v>1903.3789114939302</c:v>
                </c:pt>
                <c:pt idx="58">
                  <c:v>1919.8422435077264</c:v>
                </c:pt>
                <c:pt idx="59">
                  <c:v>1936.257786035427</c:v>
                </c:pt>
                <c:pt idx="60">
                  <c:v>1952.630124146433</c:v>
                </c:pt>
                <c:pt idx="61">
                  <c:v>1968.9635785337659</c:v>
                </c:pt>
                <c:pt idx="62">
                  <c:v>1985.262224682165</c:v>
                </c:pt>
                <c:pt idx="63">
                  <c:v>2001.5299104029425</c:v>
                </c:pt>
                <c:pt idx="64">
                  <c:v>2017.7702718953628</c:v>
                </c:pt>
                <c:pt idx="65">
                  <c:v>2033.9867484766748</c:v>
                </c:pt>
                <c:pt idx="66">
                  <c:v>2050.182596107602</c:v>
                </c:pt>
                <c:pt idx="67">
                  <c:v>2066.3608998264021</c:v>
                </c:pt>
                <c:pt idx="68">
                  <c:v>2082.5245851927684</c:v>
                </c:pt>
                <c:pt idx="69">
                  <c:v>2098.6764288321538</c:v>
                </c:pt>
                <c:pt idx="70">
                  <c:v>2114.8190681619085</c:v>
                </c:pt>
                <c:pt idx="71">
                  <c:v>2130.9550103721749</c:v>
                </c:pt>
                <c:pt idx="72">
                  <c:v>2147.0866407273015</c:v>
                </c:pt>
                <c:pt idx="73">
                  <c:v>2163.2162302468832</c:v>
                </c:pt>
                <c:pt idx="74">
                  <c:v>2179.3459428198544</c:v>
                </c:pt>
                <c:pt idx="75">
                  <c:v>2195.47784179978</c:v>
                </c:pt>
                <c:pt idx="76">
                  <c:v>2211.6138961249362</c:v>
                </c:pt>
                <c:pt idx="77">
                  <c:v>2227.7559860026113</c:v>
                </c:pt>
                <c:pt idx="78">
                  <c:v>2243.9059081934233</c:v>
                </c:pt>
                <c:pt idx="79">
                  <c:v>2260.0653809280484</c:v>
                </c:pt>
                <c:pt idx="80">
                  <c:v>2276.2360484858832</c:v>
                </c:pt>
                <c:pt idx="81">
                  <c:v>2292.4194854624261</c:v>
                </c:pt>
                <c:pt idx="82">
                  <c:v>2308.6172007498194</c:v>
                </c:pt>
                <c:pt idx="83">
                  <c:v>2324.8306412527327</c:v>
                </c:pt>
                <c:pt idx="84">
                  <c:v>2341.0611953600123</c:v>
                </c:pt>
                <c:pt idx="85">
                  <c:v>2357.3101961905304</c:v>
                </c:pt>
                <c:pt idx="86">
                  <c:v>2373.5789246302252</c:v>
                </c:pt>
                <c:pt idx="87">
                  <c:v>2389.8686121758997</c:v>
                </c:pt>
                <c:pt idx="88">
                  <c:v>2406.1804435999111</c:v>
                </c:pt>
                <c:pt idx="89">
                  <c:v>2422.5155594488774</c:v>
                </c:pt>
                <c:pt idx="90">
                  <c:v>2438.8750583882502</c:v>
                </c:pt>
                <c:pt idx="91">
                  <c:v>2455.2599994038724</c:v>
                </c:pt>
                <c:pt idx="92">
                  <c:v>2471.6714038705345</c:v>
                </c:pt>
                <c:pt idx="93">
                  <c:v>2488.1102574968622</c:v>
                </c:pt>
                <c:pt idx="94">
                  <c:v>2504.5775121550973</c:v>
                </c:pt>
                <c:pt idx="95">
                  <c:v>2521.0740876036421</c:v>
                </c:pt>
                <c:pt idx="96">
                  <c:v>2537.6008731097036</c:v>
                </c:pt>
                <c:pt idx="97">
                  <c:v>2554.1587289786944</c:v>
                </c:pt>
                <c:pt idx="98">
                  <c:v>2570.7484879966623</c:v>
                </c:pt>
                <c:pt idx="99">
                  <c:v>2587.370956791427</c:v>
                </c:pt>
                <c:pt idx="100">
                  <c:v>2604.0269171178256</c:v>
                </c:pt>
              </c:numCache>
            </c:numRef>
          </c:val>
          <c:smooth val="0"/>
          <c:extLst>
            <c:ext xmlns:c16="http://schemas.microsoft.com/office/drawing/2014/chart" uri="{C3380CC4-5D6E-409C-BE32-E72D297353CC}">
              <c16:uniqueId val="{00000003-F0EA-4A0C-859E-C3182CAF915C}"/>
            </c:ext>
          </c:extLst>
        </c:ser>
        <c:dLbls>
          <c:showLegendKey val="0"/>
          <c:showVal val="0"/>
          <c:showCatName val="0"/>
          <c:showSerName val="0"/>
          <c:showPercent val="0"/>
          <c:showBubbleSize val="0"/>
        </c:dLbls>
        <c:marker val="1"/>
        <c:smooth val="0"/>
        <c:axId val="451236224"/>
        <c:axId val="451225856"/>
      </c:lineChart>
      <c:catAx>
        <c:axId val="451868928"/>
        <c:scaling>
          <c:orientation val="minMax"/>
        </c:scaling>
        <c:delete val="0"/>
        <c:axPos val="b"/>
        <c:majorGridlines>
          <c:spPr>
            <a:ln w="15875">
              <a:solidFill>
                <a:srgbClr val="969696"/>
              </a:solidFill>
              <a:prstDash val="sysDash"/>
            </a:ln>
          </c:spPr>
        </c:majorGridlines>
        <c:minorGridlines/>
        <c:title>
          <c:tx>
            <c:rich>
              <a:bodyPr/>
              <a:lstStyle/>
              <a:p>
                <a:pPr>
                  <a:defRPr lang="ja-JP" sz="1200" b="1" i="0" u="none" strike="noStrike" baseline="0">
                    <a:solidFill>
                      <a:srgbClr val="0000FF"/>
                    </a:solidFill>
                    <a:latin typeface="Arial" pitchFamily="34" charset="0"/>
                    <a:ea typeface="Calibri"/>
                    <a:cs typeface="Arial" pitchFamily="34" charset="0"/>
                  </a:defRPr>
                </a:pPr>
                <a:r>
                  <a:rPr lang="en-US" sz="1200">
                    <a:solidFill>
                      <a:srgbClr val="0000FF"/>
                    </a:solidFill>
                    <a:latin typeface="Arial" pitchFamily="34" charset="0"/>
                    <a:cs typeface="Arial" pitchFamily="34" charset="0"/>
                  </a:rPr>
                  <a:t>%</a:t>
                </a:r>
                <a:r>
                  <a:rPr lang="en-US" sz="1200" baseline="0">
                    <a:solidFill>
                      <a:srgbClr val="0000FF"/>
                    </a:solidFill>
                    <a:latin typeface="Arial" pitchFamily="34" charset="0"/>
                    <a:cs typeface="Arial" pitchFamily="34" charset="0"/>
                  </a:rPr>
                  <a:t> Total Rated Output Power</a:t>
                </a:r>
                <a:endParaRPr lang="en-US" sz="1200">
                  <a:solidFill>
                    <a:srgbClr val="0000FF"/>
                  </a:solidFill>
                  <a:latin typeface="Arial" pitchFamily="34" charset="0"/>
                  <a:cs typeface="Arial" pitchFamily="34" charset="0"/>
                </a:endParaRPr>
              </a:p>
            </c:rich>
          </c:tx>
          <c:layout>
            <c:manualLayout>
              <c:xMode val="edge"/>
              <c:yMode val="edge"/>
              <c:x val="0.37236214410842988"/>
              <c:y val="0.9410299506954154"/>
            </c:manualLayout>
          </c:layout>
          <c:overlay val="0"/>
          <c:spPr>
            <a:noFill/>
            <a:ln w="25400">
              <a:noFill/>
            </a:ln>
          </c:spPr>
        </c:title>
        <c:numFmt formatCode="General" sourceLinked="1"/>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0000FF"/>
                </a:solidFill>
                <a:latin typeface="Arial" pitchFamily="34" charset="0"/>
                <a:ea typeface="Calibri"/>
                <a:cs typeface="Arial" pitchFamily="34" charset="0"/>
              </a:defRPr>
            </a:pPr>
            <a:endParaRPr lang="en-US"/>
          </a:p>
        </c:txPr>
        <c:crossAx val="451223936"/>
        <c:crosses val="autoZero"/>
        <c:auto val="1"/>
        <c:lblAlgn val="ctr"/>
        <c:lblOffset val="100"/>
        <c:tickLblSkip val="20"/>
        <c:tickMarkSkip val="20"/>
        <c:noMultiLvlLbl val="0"/>
      </c:catAx>
      <c:valAx>
        <c:axId val="451223936"/>
        <c:scaling>
          <c:orientation val="minMax"/>
          <c:max val="100"/>
          <c:min val="55"/>
        </c:scaling>
        <c:delete val="0"/>
        <c:axPos val="l"/>
        <c:majorGridlines>
          <c:spPr>
            <a:ln w="15875">
              <a:solidFill>
                <a:srgbClr val="808080"/>
              </a:solidFill>
              <a:prstDash val="solid"/>
            </a:ln>
          </c:spPr>
        </c:maj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200" b="1">
                    <a:solidFill>
                      <a:srgbClr val="FF0000"/>
                    </a:solidFill>
                    <a:latin typeface="Arial" pitchFamily="34" charset="0"/>
                    <a:cs typeface="Arial" pitchFamily="34" charset="0"/>
                  </a:rPr>
                  <a:t>Efficiency  (%)</a:t>
                </a:r>
              </a:p>
            </c:rich>
          </c:tx>
          <c:layout>
            <c:manualLayout>
              <c:xMode val="edge"/>
              <c:yMode val="edge"/>
              <c:x val="1.2871858674081443E-2"/>
              <c:y val="0.37638177915688309"/>
            </c:manualLayout>
          </c:layout>
          <c:overlay val="0"/>
          <c:spPr>
            <a:noFill/>
            <a:ln w="25400">
              <a:noFill/>
            </a:ln>
          </c:spPr>
        </c:title>
        <c:numFmt formatCode="General" sourceLinked="0"/>
        <c:majorTickMark val="in"/>
        <c:minorTickMark val="in"/>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51868928"/>
        <c:crossesAt val="0"/>
        <c:crossBetween val="between"/>
        <c:majorUnit val="5"/>
        <c:minorUnit val="2.5"/>
      </c:valAx>
      <c:valAx>
        <c:axId val="451225856"/>
        <c:scaling>
          <c:orientation val="minMax"/>
        </c:scaling>
        <c:delete val="0"/>
        <c:axPos val="r"/>
        <c:title>
          <c:tx>
            <c:rich>
              <a:bodyPr rot="-5400000" vert="horz"/>
              <a:lstStyle/>
              <a:p>
                <a:pPr>
                  <a:defRPr lang="ja-JP" sz="1200" b="1"/>
                </a:pPr>
                <a:r>
                  <a:rPr lang="en-US" sz="1200" b="1"/>
                  <a:t>Power Loss (mW)</a:t>
                </a:r>
              </a:p>
            </c:rich>
          </c:tx>
          <c:layout>
            <c:manualLayout>
              <c:xMode val="edge"/>
              <c:yMode val="edge"/>
              <c:x val="0.95168474305601269"/>
              <c:y val="0.38117714045368295"/>
            </c:manualLayout>
          </c:layout>
          <c:overlay val="0"/>
        </c:title>
        <c:numFmt formatCode="General" sourceLinked="0"/>
        <c:majorTickMark val="out"/>
        <c:minorTickMark val="none"/>
        <c:tickLblPos val="nextTo"/>
        <c:txPr>
          <a:bodyPr/>
          <a:lstStyle/>
          <a:p>
            <a:pPr>
              <a:defRPr lang="ja-JP" sz="1100" b="1">
                <a:solidFill>
                  <a:sysClr val="windowText" lastClr="000000"/>
                </a:solidFill>
              </a:defRPr>
            </a:pPr>
            <a:endParaRPr lang="en-US"/>
          </a:p>
        </c:txPr>
        <c:crossAx val="451236224"/>
        <c:crosses val="max"/>
        <c:crossBetween val="between"/>
      </c:valAx>
      <c:catAx>
        <c:axId val="451236224"/>
        <c:scaling>
          <c:orientation val="minMax"/>
        </c:scaling>
        <c:delete val="1"/>
        <c:axPos val="b"/>
        <c:numFmt formatCode="General" sourceLinked="1"/>
        <c:majorTickMark val="out"/>
        <c:minorTickMark val="none"/>
        <c:tickLblPos val="nextTo"/>
        <c:crossAx val="451225856"/>
        <c:crosses val="autoZero"/>
        <c:auto val="1"/>
        <c:lblAlgn val="ctr"/>
        <c:lblOffset val="100"/>
        <c:noMultiLvlLbl val="0"/>
      </c:catAx>
      <c:spPr>
        <a:noFill/>
        <a:ln w="25400">
          <a:noFill/>
        </a:ln>
      </c:spPr>
    </c:plotArea>
    <c:legend>
      <c:legendPos val="t"/>
      <c:layout>
        <c:manualLayout>
          <c:xMode val="edge"/>
          <c:yMode val="edge"/>
          <c:x val="0.40102557566231317"/>
          <c:y val="1.1892633038167682E-2"/>
          <c:w val="0.50550962619267337"/>
          <c:h val="8.9795049320617604E-2"/>
        </c:manualLayout>
      </c:layout>
      <c:overlay val="0"/>
      <c:spPr>
        <a:solidFill>
          <a:srgbClr val="FFFFFF"/>
        </a:solidFill>
        <a:ln w="25400">
          <a:noFill/>
        </a:ln>
      </c:spPr>
      <c:txPr>
        <a:bodyPr/>
        <a:lstStyle/>
        <a:p>
          <a:pPr>
            <a:defRPr lang="ja-JP" sz="11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Single'!$AN$110:$AN$210</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258.2196010398435</c:v>
                </c:pt>
                <c:pt idx="27">
                  <c:v>239.45884010623024</c:v>
                </c:pt>
                <c:pt idx="28">
                  <c:v>231.20562676783018</c:v>
                </c:pt>
                <c:pt idx="29">
                  <c:v>223.4958235677768</c:v>
                </c:pt>
                <c:pt idx="30">
                  <c:v>216.27747184701227</c:v>
                </c:pt>
                <c:pt idx="31">
                  <c:v>209.50503244165651</c:v>
                </c:pt>
                <c:pt idx="32">
                  <c:v>203.13842397705807</c:v>
                </c:pt>
                <c:pt idx="33">
                  <c:v>197.14222902040734</c:v>
                </c:pt>
                <c:pt idx="34">
                  <c:v>191.48503487665079</c:v>
                </c:pt>
                <c:pt idx="35">
                  <c:v>186.13888311739035</c:v>
                </c:pt>
                <c:pt idx="36">
                  <c:v>181.07880747838567</c:v>
                </c:pt>
                <c:pt idx="37">
                  <c:v>176.28244400654938</c:v>
                </c:pt>
                <c:pt idx="38">
                  <c:v>171.72970061227034</c:v>
                </c:pt>
                <c:pt idx="39">
                  <c:v>167.40247572783704</c:v>
                </c:pt>
                <c:pt idx="40">
                  <c:v>163.28441776409446</c:v>
                </c:pt>
                <c:pt idx="41">
                  <c:v>159.36071862589358</c:v>
                </c:pt>
                <c:pt idx="42">
                  <c:v>155.61793578988585</c:v>
                </c:pt>
                <c:pt idx="43">
                  <c:v>152.04383843910938</c:v>
                </c:pt>
                <c:pt idx="44">
                  <c:v>148.62727394317261</c:v>
                </c:pt>
                <c:pt idx="45">
                  <c:v>145.35805161303773</c:v>
                </c:pt>
                <c:pt idx="46">
                  <c:v>142.22684117798744</c:v>
                </c:pt>
                <c:pt idx="47">
                  <c:v>139.22508385445613</c:v>
                </c:pt>
                <c:pt idx="48">
                  <c:v>136.34491422157009</c:v>
                </c:pt>
                <c:pt idx="49">
                  <c:v>133.57909140173697</c:v>
                </c:pt>
                <c:pt idx="50">
                  <c:v>130.9209382784548</c:v>
                </c:pt>
                <c:pt idx="51">
                  <c:v>128.36428767716728</c:v>
                </c:pt>
                <c:pt idx="52">
                  <c:v>125.90343459598554</c:v>
                </c:pt>
                <c:pt idx="53">
                  <c:v>123.53309370745285</c:v>
                </c:pt>
                <c:pt idx="54">
                  <c:v>121.24836146504019</c:v>
                </c:pt>
                <c:pt idx="55">
                  <c:v>119.04468224261647</c:v>
                </c:pt>
                <c:pt idx="56">
                  <c:v>116.91781801485722</c:v>
                </c:pt>
                <c:pt idx="57">
                  <c:v>114.86382115398571</c:v>
                </c:pt>
                <c:pt idx="58">
                  <c:v>112.87900997545144</c:v>
                </c:pt>
                <c:pt idx="59">
                  <c:v>110.9599467138311</c:v>
                </c:pt>
                <c:pt idx="60">
                  <c:v>109.10341765177979</c:v>
                </c:pt>
                <c:pt idx="61">
                  <c:v>107.30641516041035</c:v>
                </c:pt>
                <c:pt idx="62">
                  <c:v>105.56612143997826</c:v>
                </c:pt>
                <c:pt idx="63">
                  <c:v>103.87989377598535</c:v>
                </c:pt>
                <c:pt idx="64">
                  <c:v>102.24525114844153</c:v>
                </c:pt>
                <c:pt idx="65">
                  <c:v>100.65986205157958</c:v>
                </c:pt>
                <c:pt idx="66">
                  <c:v>99.12153339826223</c:v>
                </c:pt>
                <c:pt idx="67">
                  <c:v>97.628200398035304</c:v>
                </c:pt>
                <c:pt idx="68">
                  <c:v>96.177917310587006</c:v>
                </c:pt>
                <c:pt idx="69">
                  <c:v>94.768848987537723</c:v>
                </c:pt>
                <c:pt idx="70">
                  <c:v>93.399263125248538</c:v>
                </c:pt>
                <c:pt idx="71">
                  <c:v>92.067523159879329</c:v>
                </c:pt>
                <c:pt idx="72">
                  <c:v>90.772081743426014</c:v>
                </c:pt>
                <c:pt idx="73">
                  <c:v>89.511474746057246</c:v>
                </c:pt>
                <c:pt idx="74">
                  <c:v>88.28431573587396</c:v>
                </c:pt>
                <c:pt idx="75">
                  <c:v>87.089290892334418</c:v>
                </c:pt>
                <c:pt idx="76">
                  <c:v>85.92515431411266</c:v>
                </c:pt>
                <c:pt idx="77">
                  <c:v>84.790723686161272</c:v>
                </c:pt>
                <c:pt idx="78">
                  <c:v>83.684876274301445</c:v>
                </c:pt>
                <c:pt idx="79">
                  <c:v>82.606545218815256</c:v>
                </c:pt>
                <c:pt idx="80">
                  <c:v>81.554716101319855</c:v>
                </c:pt>
                <c:pt idx="81">
                  <c:v>80.52842376170085</c:v>
                </c:pt>
                <c:pt idx="82">
                  <c:v>79.526749344110556</c:v>
                </c:pt>
                <c:pt idx="83">
                  <c:v>78.548817553027348</c:v>
                </c:pt>
                <c:pt idx="84">
                  <c:v>77.593794102153325</c:v>
                </c:pt>
                <c:pt idx="85">
                  <c:v>76.660883340521622</c:v>
                </c:pt>
                <c:pt idx="86">
                  <c:v>75.749326041617437</c:v>
                </c:pt>
                <c:pt idx="87">
                  <c:v>74.858397342599773</c:v>
                </c:pt>
                <c:pt idx="88">
                  <c:v>73.987404821868935</c:v>
                </c:pt>
                <c:pt idx="89">
                  <c:v>73.135686704263279</c:v>
                </c:pt>
                <c:pt idx="90">
                  <c:v>72.302610184108417</c:v>
                </c:pt>
                <c:pt idx="91">
                  <c:v>71.487569857188475</c:v>
                </c:pt>
                <c:pt idx="92">
                  <c:v>70.68998625347335</c:v>
                </c:pt>
                <c:pt idx="93">
                  <c:v>69.90930446312926</c:v>
                </c:pt>
                <c:pt idx="94">
                  <c:v>69.14499284896587</c:v>
                </c:pt>
                <c:pt idx="95">
                  <c:v>68.396541839041888</c:v>
                </c:pt>
                <c:pt idx="96">
                  <c:v>67.663462793667009</c:v>
                </c:pt>
                <c:pt idx="97">
                  <c:v>66.94528694150614</c:v>
                </c:pt>
                <c:pt idx="98">
                  <c:v>66.241564379918671</c:v>
                </c:pt>
                <c:pt idx="99">
                  <c:v>65.551863135052812</c:v>
                </c:pt>
                <c:pt idx="100">
                  <c:v>64.875768277569478</c:v>
                </c:pt>
              </c:numCache>
            </c:numRef>
          </c:val>
          <c:smooth val="0"/>
          <c:extLst>
            <c:ext xmlns:c16="http://schemas.microsoft.com/office/drawing/2014/chart" uri="{C3380CC4-5D6E-409C-BE32-E72D297353CC}">
              <c16:uniqueId val="{00000000-35C4-40D8-9B41-933331EBB298}"/>
            </c:ext>
          </c:extLst>
        </c:ser>
        <c:ser>
          <c:idx val="0"/>
          <c:order val="1"/>
          <c:tx>
            <c:v>VIN-nom</c:v>
          </c:tx>
          <c:spPr>
            <a:ln w="28575">
              <a:solidFill>
                <a:srgbClr val="FF0000"/>
              </a:solidFill>
              <a:prstDash val="lgDash"/>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Single'!$AN$5:$AN$105</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344.36873969740566</c:v>
                </c:pt>
                <c:pt idx="53">
                  <c:v>338.29607401990762</c:v>
                </c:pt>
                <c:pt idx="54">
                  <c:v>332.42626905639486</c:v>
                </c:pt>
                <c:pt idx="55">
                  <c:v>326.75570900335708</c:v>
                </c:pt>
                <c:pt idx="56">
                  <c:v>321.28109289534132</c:v>
                </c:pt>
                <c:pt idx="57">
                  <c:v>315.98102551345164</c:v>
                </c:pt>
                <c:pt idx="58">
                  <c:v>310.85543918067174</c:v>
                </c:pt>
                <c:pt idx="59">
                  <c:v>305.89293459924642</c:v>
                </c:pt>
                <c:pt idx="60">
                  <c:v>301.08585036616677</c:v>
                </c:pt>
                <c:pt idx="61">
                  <c:v>296.4269975783609</c:v>
                </c:pt>
                <c:pt idx="62">
                  <c:v>291.90962396031046</c:v>
                </c:pt>
                <c:pt idx="63">
                  <c:v>287.52738121091988</c:v>
                </c:pt>
                <c:pt idx="64">
                  <c:v>283.27429523755416</c:v>
                </c:pt>
                <c:pt idx="65">
                  <c:v>279.14473898374041</c:v>
                </c:pt>
                <c:pt idx="66">
                  <c:v>275.13340759064539</c:v>
                </c:pt>
                <c:pt idx="67">
                  <c:v>271.23529566177211</c:v>
                </c:pt>
                <c:pt idx="68">
                  <c:v>267.44567642600094</c:v>
                </c:pt>
                <c:pt idx="69">
                  <c:v>263.76008261658166</c:v>
                </c:pt>
                <c:pt idx="70">
                  <c:v>260.17428890345082</c:v>
                </c:pt>
                <c:pt idx="71">
                  <c:v>256.68429573361931</c:v>
                </c:pt>
                <c:pt idx="72">
                  <c:v>253.28631444970108</c:v>
                </c:pt>
                <c:pt idx="73">
                  <c:v>249.97675357017135</c:v>
                </c:pt>
                <c:pt idx="74">
                  <c:v>246.75220612690856</c:v>
                </c:pt>
                <c:pt idx="75">
                  <c:v>243.6094379661686</c:v>
                </c:pt>
                <c:pt idx="76">
                  <c:v>240.54537692854052</c:v>
                </c:pt>
                <c:pt idx="77">
                  <c:v>237.5571028317911</c:v>
                </c:pt>
                <c:pt idx="78">
                  <c:v>234.6418381879383</c:v>
                </c:pt>
                <c:pt idx="79">
                  <c:v>231.79693959252691</c:v>
                </c:pt>
                <c:pt idx="80">
                  <c:v>229.01988972999368</c:v>
                </c:pt>
                <c:pt idx="81">
                  <c:v>226.30828994430081</c:v>
                </c:pt>
                <c:pt idx="82">
                  <c:v>223.65985332875286</c:v>
                </c:pt>
                <c:pt idx="83">
                  <c:v>221.07239829315313</c:v>
                </c:pt>
                <c:pt idx="84">
                  <c:v>218.54384257027098</c:v>
                </c:pt>
                <c:pt idx="85">
                  <c:v>216.07219762701106</c:v>
                </c:pt>
                <c:pt idx="86">
                  <c:v>213.65556344875688</c:v>
                </c:pt>
                <c:pt idx="87">
                  <c:v>211.29212366814147</c:v>
                </c:pt>
                <c:pt idx="88">
                  <c:v>208.98014101199502</c:v>
                </c:pt>
                <c:pt idx="89">
                  <c:v>206.71795304248641</c:v>
                </c:pt>
                <c:pt idx="90">
                  <c:v>204.50396817051643</c:v>
                </c:pt>
                <c:pt idx="91">
                  <c:v>202.33666192127237</c:v>
                </c:pt>
                <c:pt idx="92">
                  <c:v>200.21457343353055</c:v>
                </c:pt>
                <c:pt idx="93">
                  <c:v>198.1363021758128</c:v>
                </c:pt>
                <c:pt idx="94">
                  <c:v>196.10050486388536</c:v>
                </c:pt>
                <c:pt idx="95">
                  <c:v>194.10589256534425</c:v>
                </c:pt>
                <c:pt idx="96">
                  <c:v>192.15122797817111</c:v>
                </c:pt>
                <c:pt idx="97">
                  <c:v>190.2353228711859</c:v>
                </c:pt>
                <c:pt idx="98">
                  <c:v>188.35703567527082</c:v>
                </c:pt>
                <c:pt idx="99">
                  <c:v>186.51526921510452</c:v>
                </c:pt>
                <c:pt idx="100">
                  <c:v>184.70896857193537</c:v>
                </c:pt>
              </c:numCache>
            </c:numRef>
          </c:val>
          <c:smooth val="0"/>
          <c:extLst>
            <c:ext xmlns:c16="http://schemas.microsoft.com/office/drawing/2014/chart" uri="{C3380CC4-5D6E-409C-BE32-E72D297353CC}">
              <c16:uniqueId val="{00000001-35C4-40D8-9B41-933331EBB298}"/>
            </c:ext>
          </c:extLst>
        </c:ser>
        <c:ser>
          <c:idx val="2"/>
          <c:order val="2"/>
          <c:tx>
            <c:v>VIN-max</c:v>
          </c:tx>
          <c:spPr>
            <a:ln>
              <a:solidFill>
                <a:srgbClr val="0000FF"/>
              </a:solidFill>
              <a:prstDash val="solid"/>
            </a:ln>
          </c:spPr>
          <c:marker>
            <c:symbol val="none"/>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Single'!$AN$216:$AN$316</c:f>
              <c:numCache>
                <c:formatCode>0.0</c:formatCode>
                <c:ptCount val="101"/>
                <c:pt idx="0">
                  <c:v>12</c:v>
                </c:pt>
                <c:pt idx="1">
                  <c:v>12</c:v>
                </c:pt>
                <c:pt idx="2">
                  <c:v>19.862824287424854</c:v>
                </c:pt>
                <c:pt idx="3">
                  <c:v>29.794236431137282</c:v>
                </c:pt>
                <c:pt idx="4">
                  <c:v>39.725648574849707</c:v>
                </c:pt>
                <c:pt idx="5">
                  <c:v>49.657060718562136</c:v>
                </c:pt>
                <c:pt idx="6">
                  <c:v>59.588472862274564</c:v>
                </c:pt>
                <c:pt idx="7">
                  <c:v>69.519885005986993</c:v>
                </c:pt>
                <c:pt idx="8">
                  <c:v>79.451297149699414</c:v>
                </c:pt>
                <c:pt idx="9">
                  <c:v>89.382709293411835</c:v>
                </c:pt>
                <c:pt idx="10">
                  <c:v>99.314121437124271</c:v>
                </c:pt>
                <c:pt idx="11">
                  <c:v>109.24553358083669</c:v>
                </c:pt>
                <c:pt idx="12">
                  <c:v>119.17694572454913</c:v>
                </c:pt>
                <c:pt idx="13">
                  <c:v>129.10835786826155</c:v>
                </c:pt>
                <c:pt idx="14">
                  <c:v>139.03977001197399</c:v>
                </c:pt>
                <c:pt idx="15">
                  <c:v>148.97118215568639</c:v>
                </c:pt>
                <c:pt idx="16">
                  <c:v>158.90259429939883</c:v>
                </c:pt>
                <c:pt idx="17">
                  <c:v>168.83400644311126</c:v>
                </c:pt>
                <c:pt idx="18">
                  <c:v>178.76541858682367</c:v>
                </c:pt>
                <c:pt idx="19">
                  <c:v>188.69683073053611</c:v>
                </c:pt>
                <c:pt idx="20">
                  <c:v>198.62824287424854</c:v>
                </c:pt>
                <c:pt idx="21">
                  <c:v>208.55965501796095</c:v>
                </c:pt>
                <c:pt idx="22">
                  <c:v>218.49106716167339</c:v>
                </c:pt>
                <c:pt idx="23">
                  <c:v>228.42247930538582</c:v>
                </c:pt>
                <c:pt idx="24">
                  <c:v>238.35389144909826</c:v>
                </c:pt>
                <c:pt idx="25">
                  <c:v>248.28530359281066</c:v>
                </c:pt>
                <c:pt idx="26">
                  <c:v>258.2167157365231</c:v>
                </c:pt>
                <c:pt idx="27">
                  <c:v>268.14812788023556</c:v>
                </c:pt>
                <c:pt idx="28">
                  <c:v>278.07954002394797</c:v>
                </c:pt>
                <c:pt idx="29">
                  <c:v>288.01095216766032</c:v>
                </c:pt>
                <c:pt idx="30">
                  <c:v>297.94236431137278</c:v>
                </c:pt>
                <c:pt idx="31">
                  <c:v>307.87377645508519</c:v>
                </c:pt>
                <c:pt idx="32">
                  <c:v>317.80518859879766</c:v>
                </c:pt>
                <c:pt idx="33">
                  <c:v>327.73660074251012</c:v>
                </c:pt>
                <c:pt idx="34">
                  <c:v>337.66801288622253</c:v>
                </c:pt>
                <c:pt idx="35">
                  <c:v>347.59942502993493</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350</c:v>
                </c:pt>
                <c:pt idx="67">
                  <c:v>350</c:v>
                </c:pt>
                <c:pt idx="68">
                  <c:v>350</c:v>
                </c:pt>
                <c:pt idx="69">
                  <c:v>347.20377857196343</c:v>
                </c:pt>
                <c:pt idx="70">
                  <c:v>342.58031381416623</c:v>
                </c:pt>
                <c:pt idx="71">
                  <c:v>338.07527893240172</c:v>
                </c:pt>
                <c:pt idx="72">
                  <c:v>333.68666179247055</c:v>
                </c:pt>
                <c:pt idx="73">
                  <c:v>329.41032393380175</c:v>
                </c:pt>
                <c:pt idx="74">
                  <c:v>325.24481410662332</c:v>
                </c:pt>
                <c:pt idx="75">
                  <c:v>321.17851239443689</c:v>
                </c:pt>
                <c:pt idx="76">
                  <c:v>317.21409301181461</c:v>
                </c:pt>
                <c:pt idx="77">
                  <c:v>313.34673965567941</c:v>
                </c:pt>
                <c:pt idx="78">
                  <c:v>309.57239923992148</c:v>
                </c:pt>
                <c:pt idx="79">
                  <c:v>305.88775605725073</c:v>
                </c:pt>
                <c:pt idx="80">
                  <c:v>302.28965014662407</c:v>
                </c:pt>
                <c:pt idx="81">
                  <c:v>298.7750682546951</c:v>
                </c:pt>
                <c:pt idx="82">
                  <c:v>295.3411354194921</c:v>
                </c:pt>
                <c:pt idx="83">
                  <c:v>291.98510712691638</c:v>
                </c:pt>
                <c:pt idx="84">
                  <c:v>288.70436199508663</c:v>
                </c:pt>
                <c:pt idx="85">
                  <c:v>285.49639494554714</c:v>
                </c:pt>
                <c:pt idx="86">
                  <c:v>282.35881082395071</c:v>
                </c:pt>
                <c:pt idx="87">
                  <c:v>279.28931843607796</c:v>
                </c:pt>
                <c:pt idx="88">
                  <c:v>276.28572496798228</c:v>
                </c:pt>
                <c:pt idx="89">
                  <c:v>273.34593076170285</c:v>
                </c:pt>
                <c:pt idx="90">
                  <c:v>270.46792442038964</c:v>
                </c:pt>
                <c:pt idx="91">
                  <c:v>267.64977821885981</c:v>
                </c:pt>
                <c:pt idx="92">
                  <c:v>264.88964379757925</c:v>
                </c:pt>
                <c:pt idx="93">
                  <c:v>262.18574811985729</c:v>
                </c:pt>
                <c:pt idx="94">
                  <c:v>259.53638967367283</c:v>
                </c:pt>
                <c:pt idx="95">
                  <c:v>256.93993490103384</c:v>
                </c:pt>
                <c:pt idx="96">
                  <c:v>254.39481483912729</c:v>
                </c:pt>
                <c:pt idx="97">
                  <c:v>251.89952195874326</c:v>
                </c:pt>
                <c:pt idx="98">
                  <c:v>249.45260718659082</c:v>
                </c:pt>
                <c:pt idx="99">
                  <c:v>247.05267709914352</c:v>
                </c:pt>
                <c:pt idx="100">
                  <c:v>244.69839127659893</c:v>
                </c:pt>
              </c:numCache>
            </c:numRef>
          </c:val>
          <c:smooth val="0"/>
          <c:extLst>
            <c:ext xmlns:c16="http://schemas.microsoft.com/office/drawing/2014/chart" uri="{C3380CC4-5D6E-409C-BE32-E72D297353CC}">
              <c16:uniqueId val="{00000002-35C4-40D8-9B41-933331EBB298}"/>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35C4-40D8-9B41-933331EBB298}"/>
            </c:ext>
          </c:extLst>
        </c:ser>
        <c:ser>
          <c:idx val="4"/>
          <c:order val="4"/>
          <c:spPr>
            <a:ln>
              <a:noFill/>
            </a:ln>
          </c:spPr>
          <c:marker>
            <c:symbol val="x"/>
            <c:size val="10"/>
            <c:spPr>
              <a:pattFill prst="pct5">
                <a:fgClr>
                  <a:schemeClr val="tx1"/>
                </a:fgClr>
                <a:bgClr>
                  <a:schemeClr val="bg1"/>
                </a:bgClr>
              </a:pattFill>
              <a:ln>
                <a:solidFill>
                  <a:srgbClr val="FF0000"/>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4-35C4-40D8-9B41-933331EBB298}"/>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Single'!$AM$5:$AM$105</c:f>
              <c:numCache>
                <c:formatCode>0</c:formatCode>
                <c:ptCount val="101"/>
                <c:pt idx="0">
                  <c:v>1.0000000000000002E-6</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pt idx="61">
                  <c:v>610</c:v>
                </c:pt>
                <c:pt idx="62">
                  <c:v>620</c:v>
                </c:pt>
                <c:pt idx="63">
                  <c:v>630</c:v>
                </c:pt>
                <c:pt idx="64">
                  <c:v>640</c:v>
                </c:pt>
                <c:pt idx="65">
                  <c:v>650</c:v>
                </c:pt>
                <c:pt idx="66">
                  <c:v>660</c:v>
                </c:pt>
                <c:pt idx="67">
                  <c:v>670</c:v>
                </c:pt>
                <c:pt idx="68">
                  <c:v>680</c:v>
                </c:pt>
                <c:pt idx="69">
                  <c:v>690</c:v>
                </c:pt>
                <c:pt idx="70">
                  <c:v>700</c:v>
                </c:pt>
                <c:pt idx="71">
                  <c:v>710</c:v>
                </c:pt>
                <c:pt idx="72">
                  <c:v>720</c:v>
                </c:pt>
                <c:pt idx="73">
                  <c:v>730</c:v>
                </c:pt>
                <c:pt idx="74">
                  <c:v>740</c:v>
                </c:pt>
                <c:pt idx="75">
                  <c:v>750</c:v>
                </c:pt>
                <c:pt idx="76">
                  <c:v>760</c:v>
                </c:pt>
                <c:pt idx="77">
                  <c:v>770</c:v>
                </c:pt>
                <c:pt idx="78">
                  <c:v>780</c:v>
                </c:pt>
                <c:pt idx="79">
                  <c:v>790</c:v>
                </c:pt>
                <c:pt idx="80">
                  <c:v>800</c:v>
                </c:pt>
                <c:pt idx="81">
                  <c:v>810</c:v>
                </c:pt>
                <c:pt idx="82">
                  <c:v>820</c:v>
                </c:pt>
                <c:pt idx="83">
                  <c:v>830</c:v>
                </c:pt>
                <c:pt idx="84">
                  <c:v>840</c:v>
                </c:pt>
                <c:pt idx="85">
                  <c:v>850</c:v>
                </c:pt>
                <c:pt idx="86">
                  <c:v>860</c:v>
                </c:pt>
                <c:pt idx="87">
                  <c:v>870</c:v>
                </c:pt>
                <c:pt idx="88">
                  <c:v>880</c:v>
                </c:pt>
                <c:pt idx="89">
                  <c:v>890</c:v>
                </c:pt>
                <c:pt idx="90">
                  <c:v>900</c:v>
                </c:pt>
                <c:pt idx="91">
                  <c:v>910</c:v>
                </c:pt>
                <c:pt idx="92">
                  <c:v>920</c:v>
                </c:pt>
                <c:pt idx="93">
                  <c:v>930</c:v>
                </c:pt>
                <c:pt idx="94">
                  <c:v>940</c:v>
                </c:pt>
                <c:pt idx="95">
                  <c:v>950</c:v>
                </c:pt>
                <c:pt idx="96">
                  <c:v>960</c:v>
                </c:pt>
                <c:pt idx="97">
                  <c:v>970</c:v>
                </c:pt>
                <c:pt idx="98">
                  <c:v>980</c:v>
                </c:pt>
                <c:pt idx="99">
                  <c:v>990</c:v>
                </c:pt>
                <c:pt idx="100">
                  <c:v>1000</c:v>
                </c:pt>
              </c:numCache>
            </c:numRef>
          </c:cat>
          <c:val>
            <c:numRef>
              <c:f>'Calculations - Single'!$CE$216:$CE$316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5-35C4-40D8-9B41-933331EBB298}"/>
            </c:ext>
          </c:extLst>
        </c:ser>
        <c:dLbls>
          <c:showLegendKey val="0"/>
          <c:showVal val="0"/>
          <c:showCatName val="0"/>
          <c:showSerName val="0"/>
          <c:showPercent val="0"/>
          <c:showBubbleSize val="0"/>
        </c:dLbls>
        <c:smooth val="0"/>
        <c:axId val="451999616"/>
        <c:axId val="452288896"/>
      </c:lineChart>
      <c:catAx>
        <c:axId val="451999616"/>
        <c:scaling>
          <c:orientation val="minMax"/>
        </c:scaling>
        <c:delete val="0"/>
        <c:axPos val="b"/>
        <c:majorGridlines>
          <c:spPr>
            <a:ln w="15875">
              <a:solidFill>
                <a:srgbClr val="969696"/>
              </a:solidFill>
              <a:prstDash val="sysDash"/>
            </a:ln>
          </c:spPr>
        </c:majorGridlines>
        <c:title>
          <c:tx>
            <c:rich>
              <a:bodyPr/>
              <a:lstStyle/>
              <a:p>
                <a:pPr>
                  <a:defRPr lang="ja-JP" sz="1200" b="1" i="0" u="none" strike="noStrike" baseline="0">
                    <a:solidFill>
                      <a:schemeClr val="tx1"/>
                    </a:solidFill>
                    <a:latin typeface="Arial" pitchFamily="34" charset="0"/>
                    <a:ea typeface="Calibri"/>
                    <a:cs typeface="Arial" pitchFamily="34" charset="0"/>
                  </a:defRPr>
                </a:pPr>
                <a:r>
                  <a:rPr lang="en-US" sz="1200">
                    <a:solidFill>
                      <a:schemeClr val="tx1"/>
                    </a:solidFill>
                    <a:latin typeface="Arial" pitchFamily="34" charset="0"/>
                    <a:cs typeface="Arial" pitchFamily="34" charset="0"/>
                  </a:rPr>
                  <a:t>Load Current (mA)</a:t>
                </a:r>
              </a:p>
            </c:rich>
          </c:tx>
          <c:layout>
            <c:manualLayout>
              <c:xMode val="edge"/>
              <c:yMode val="edge"/>
              <c:x val="0.45424135936496307"/>
              <c:y val="0.9410669161053864"/>
            </c:manualLayout>
          </c:layout>
          <c:overlay val="0"/>
          <c:spPr>
            <a:noFill/>
            <a:ln w="25400">
              <a:noFill/>
            </a:ln>
          </c:spPr>
        </c:title>
        <c:numFmt formatCode="0"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288896"/>
        <c:crosses val="autoZero"/>
        <c:auto val="1"/>
        <c:lblAlgn val="ctr"/>
        <c:lblOffset val="100"/>
        <c:tickLblSkip val="20"/>
        <c:tickMarkSkip val="10"/>
        <c:noMultiLvlLbl val="0"/>
      </c:catAx>
      <c:valAx>
        <c:axId val="452288896"/>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1999616"/>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0119952469789996"/>
          <c:y val="2.20093690871901E-2"/>
          <c:w val="0.4533572736110989"/>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80746883383756E-2"/>
          <c:y val="0.12133523343001466"/>
          <c:w val="0.86047278973849184"/>
          <c:h val="0.7558980268938309"/>
        </c:manualLayout>
      </c:layout>
      <c:lineChart>
        <c:grouping val="standard"/>
        <c:varyColors val="0"/>
        <c:ser>
          <c:idx val="1"/>
          <c:order val="0"/>
          <c:tx>
            <c:v>VIN-min</c:v>
          </c:tx>
          <c:spPr>
            <a:ln>
              <a:solidFill>
                <a:srgbClr val="00B050"/>
              </a:solidFill>
              <a:prstDash val="sys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Dual'!$AM$110:$AM$210</c:f>
              <c:numCache>
                <c:formatCode>0.0</c:formatCode>
                <c:ptCount val="101"/>
                <c:pt idx="0">
                  <c:v>10</c:v>
                </c:pt>
                <c:pt idx="1">
                  <c:v>10.012467970437628</c:v>
                </c:pt>
                <c:pt idx="2">
                  <c:v>30.037403911312889</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237.11687394801285</c:v>
                </c:pt>
                <c:pt idx="27">
                  <c:v>228.71217510399072</c:v>
                </c:pt>
                <c:pt idx="28">
                  <c:v>220.79090629077334</c:v>
                </c:pt>
                <c:pt idx="29">
                  <c:v>213.39224068989424</c:v>
                </c:pt>
                <c:pt idx="30">
                  <c:v>206.46611091387595</c:v>
                </c:pt>
                <c:pt idx="31">
                  <c:v>199.96864718879655</c:v>
                </c:pt>
                <c:pt idx="32">
                  <c:v>193.86124717214813</c:v>
                </c:pt>
                <c:pt idx="33">
                  <c:v>188.10980841848749</c:v>
                </c:pt>
                <c:pt idx="34">
                  <c:v>182.68409125254396</c:v>
                </c:pt>
                <c:pt idx="35">
                  <c:v>177.55718691202003</c:v>
                </c:pt>
                <c:pt idx="36">
                  <c:v>172.70507121177818</c:v>
                </c:pt>
                <c:pt idx="37">
                  <c:v>168.10622810457852</c:v>
                </c:pt>
                <c:pt idx="38">
                  <c:v>163.74133069302343</c:v>
                </c:pt>
                <c:pt idx="39">
                  <c:v>159.59296971705476</c:v>
                </c:pt>
                <c:pt idx="40">
                  <c:v>155.64542147301893</c:v>
                </c:pt>
                <c:pt idx="41">
                  <c:v>151.88444864114015</c:v>
                </c:pt>
                <c:pt idx="42">
                  <c:v>148.29712870305036</c:v>
                </c:pt>
                <c:pt idx="43">
                  <c:v>144.87170559114992</c:v>
                </c:pt>
                <c:pt idx="44">
                  <c:v>141.59746098099774</c:v>
                </c:pt>
                <c:pt idx="45">
                  <c:v>138.46460225783966</c:v>
                </c:pt>
                <c:pt idx="46">
                  <c:v>135.46416469037217</c:v>
                </c:pt>
                <c:pt idx="47">
                  <c:v>132.58792575331745</c:v>
                </c:pt>
                <c:pt idx="48">
                  <c:v>129.82832987431564</c:v>
                </c:pt>
                <c:pt idx="49">
                  <c:v>127.17842215483743</c:v>
                </c:pt>
                <c:pt idx="50">
                  <c:v>124.63178984092414</c:v>
                </c:pt>
                <c:pt idx="51">
                  <c:v>122.1825105067725</c:v>
                </c:pt>
                <c:pt idx="52">
                  <c:v>119.82510606978157</c:v>
                </c:pt>
                <c:pt idx="53">
                  <c:v>117.55450188550293</c:v>
                </c:pt>
                <c:pt idx="54">
                  <c:v>115.36599027962956</c:v>
                </c:pt>
                <c:pt idx="55">
                  <c:v>113.25519796548701</c:v>
                </c:pt>
                <c:pt idx="56">
                  <c:v>111.21805687247338</c:v>
                </c:pt>
                <c:pt idx="57">
                  <c:v>109.25077797599847</c:v>
                </c:pt>
                <c:pt idx="58">
                  <c:v>107.34982777469709</c:v>
                </c:pt>
                <c:pt idx="59">
                  <c:v>105.51190710767578</c:v>
                </c:pt>
                <c:pt idx="60">
                  <c:v>103.73393204463981</c:v>
                </c:pt>
                <c:pt idx="61">
                  <c:v>102.01301661604374</c:v>
                </c:pt>
                <c:pt idx="62">
                  <c:v>100.34645717983406</c:v>
                </c:pt>
                <c:pt idx="63">
                  <c:v>98.731718246653998</c:v>
                </c:pt>
                <c:pt idx="64">
                  <c:v>97.166419607201391</c:v>
                </c:pt>
                <c:pt idx="65">
                  <c:v>95.648324624285308</c:v>
                </c:pt>
                <c:pt idx="66">
                  <c:v>94.175329568465941</c:v>
                </c:pt>
                <c:pt idx="67">
                  <c:v>92.745453890341267</c:v>
                </c:pt>
                <c:pt idx="68">
                  <c:v>91.356831334890998</c:v>
                </c:pt>
                <c:pt idx="69">
                  <c:v>90.007701814047167</c:v>
                </c:pt>
                <c:pt idx="70">
                  <c:v>88.696403963065379</c:v>
                </c:pt>
                <c:pt idx="71">
                  <c:v>87.421368314505528</c:v>
                </c:pt>
                <c:pt idx="72">
                  <c:v>86.181111030852392</c:v>
                </c:pt>
                <c:pt idx="73">
                  <c:v>84.974228143155131</c:v>
                </c:pt>
                <c:pt idx="74">
                  <c:v>83.799390248653992</c:v>
                </c:pt>
                <c:pt idx="75">
                  <c:v>82.655337625293186</c:v>
                </c:pt>
                <c:pt idx="76">
                  <c:v>81.540875725375344</c:v>
                </c:pt>
                <c:pt idx="77">
                  <c:v>80.45487101446767</c:v>
                </c:pt>
                <c:pt idx="78">
                  <c:v>79.396247125090042</c:v>
                </c:pt>
                <c:pt idx="79">
                  <c:v>78.363981297748111</c:v>
                </c:pt>
                <c:pt idx="80">
                  <c:v>77.357101084576357</c:v>
                </c:pt>
                <c:pt idx="81">
                  <c:v>76.374681293257453</c:v>
                </c:pt>
                <c:pt idx="82">
                  <c:v>75.415841151030449</c:v>
                </c:pt>
                <c:pt idx="83">
                  <c:v>74.479741670516049</c:v>
                </c:pt>
                <c:pt idx="84">
                  <c:v>73.565583200798827</c:v>
                </c:pt>
                <c:pt idx="85">
                  <c:v>72.672603148742766</c:v>
                </c:pt>
                <c:pt idx="86">
                  <c:v>71.800073856892311</c:v>
                </c:pt>
                <c:pt idx="87">
                  <c:v>70.947300625547939</c:v>
                </c:pt>
                <c:pt idx="88">
                  <c:v>70.113619867715443</c:v>
                </c:pt>
                <c:pt idx="89">
                  <c:v>69.298397386631748</c:v>
                </c:pt>
                <c:pt idx="90">
                  <c:v>68.501026766469593</c:v>
                </c:pt>
                <c:pt idx="91">
                  <c:v>67.72092786763919</c:v>
                </c:pt>
                <c:pt idx="92">
                  <c:v>66.957545418840752</c:v>
                </c:pt>
                <c:pt idx="93">
                  <c:v>66.210347698686775</c:v>
                </c:pt>
                <c:pt idx="94">
                  <c:v>65.478825300316004</c:v>
                </c:pt>
                <c:pt idx="95">
                  <c:v>64.762489972967174</c:v>
                </c:pt>
                <c:pt idx="96">
                  <c:v>64.060873534976949</c:v>
                </c:pt>
                <c:pt idx="97">
                  <c:v>63.373526853116537</c:v>
                </c:pt>
                <c:pt idx="98">
                  <c:v>62.700018883590893</c:v>
                </c:pt>
                <c:pt idx="99">
                  <c:v>62.039935770398017</c:v>
                </c:pt>
                <c:pt idx="100">
                  <c:v>61.392879997085096</c:v>
                </c:pt>
              </c:numCache>
            </c:numRef>
          </c:val>
          <c:smooth val="0"/>
          <c:extLst>
            <c:ext xmlns:c16="http://schemas.microsoft.com/office/drawing/2014/chart" uri="{C3380CC4-5D6E-409C-BE32-E72D297353CC}">
              <c16:uniqueId val="{00000000-44F7-4870-98EC-5ED7AF60689B}"/>
            </c:ext>
          </c:extLst>
        </c:ser>
        <c:ser>
          <c:idx val="0"/>
          <c:order val="1"/>
          <c:tx>
            <c:v>VIN-nom</c:v>
          </c:tx>
          <c:spPr>
            <a:ln w="28575">
              <a:solidFill>
                <a:srgbClr val="FF0000"/>
              </a:solidFill>
              <a:prstDash val="lgDash"/>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Dual'!$AM$5:$AM$105</c:f>
              <c:numCache>
                <c:formatCode>0.0</c:formatCode>
                <c:ptCount val="101"/>
                <c:pt idx="0">
                  <c:v>10</c:v>
                </c:pt>
                <c:pt idx="1">
                  <c:v>10.012467970437628</c:v>
                </c:pt>
                <c:pt idx="2">
                  <c:v>20.024935940875256</c:v>
                </c:pt>
                <c:pt idx="3">
                  <c:v>30.037403911312889</c:v>
                </c:pt>
                <c:pt idx="4">
                  <c:v>40.049871881750512</c:v>
                </c:pt>
                <c:pt idx="5">
                  <c:v>50.062339852188153</c:v>
                </c:pt>
                <c:pt idx="6">
                  <c:v>60.074807822625779</c:v>
                </c:pt>
                <c:pt idx="7">
                  <c:v>70.087275793063412</c:v>
                </c:pt>
                <c:pt idx="8">
                  <c:v>80.099743763501024</c:v>
                </c:pt>
                <c:pt idx="9">
                  <c:v>90.112211733938651</c:v>
                </c:pt>
                <c:pt idx="10">
                  <c:v>100.12467970437631</c:v>
                </c:pt>
                <c:pt idx="11">
                  <c:v>110.13714767481393</c:v>
                </c:pt>
                <c:pt idx="12">
                  <c:v>120.14961564525156</c:v>
                </c:pt>
                <c:pt idx="13">
                  <c:v>130.16208361568917</c:v>
                </c:pt>
                <c:pt idx="14">
                  <c:v>140.17455158612682</c:v>
                </c:pt>
                <c:pt idx="15">
                  <c:v>150.18701955656442</c:v>
                </c:pt>
                <c:pt idx="16">
                  <c:v>160.19948752700205</c:v>
                </c:pt>
                <c:pt idx="17">
                  <c:v>170.21195549743973</c:v>
                </c:pt>
                <c:pt idx="18">
                  <c:v>180.2244234678773</c:v>
                </c:pt>
                <c:pt idx="19">
                  <c:v>190.23689143831496</c:v>
                </c:pt>
                <c:pt idx="20">
                  <c:v>200.24935940875261</c:v>
                </c:pt>
                <c:pt idx="21">
                  <c:v>210.26182737919018</c:v>
                </c:pt>
                <c:pt idx="22">
                  <c:v>220.27429534962786</c:v>
                </c:pt>
                <c:pt idx="23">
                  <c:v>230.28676332006549</c:v>
                </c:pt>
                <c:pt idx="24">
                  <c:v>240.29923129050312</c:v>
                </c:pt>
                <c:pt idx="25">
                  <c:v>250.31169926094071</c:v>
                </c:pt>
                <c:pt idx="26">
                  <c:v>260.32416723137834</c:v>
                </c:pt>
                <c:pt idx="27">
                  <c:v>270.33663520181597</c:v>
                </c:pt>
                <c:pt idx="28">
                  <c:v>280.34910317225365</c:v>
                </c:pt>
                <c:pt idx="29">
                  <c:v>290.36157114269122</c:v>
                </c:pt>
                <c:pt idx="30">
                  <c:v>300.37403911312884</c:v>
                </c:pt>
                <c:pt idx="31">
                  <c:v>310.38650708356653</c:v>
                </c:pt>
                <c:pt idx="32">
                  <c:v>320.3989750540041</c:v>
                </c:pt>
                <c:pt idx="33">
                  <c:v>330.41144302444178</c:v>
                </c:pt>
                <c:pt idx="34">
                  <c:v>340.42391099487946</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343.53260049854697</c:v>
                </c:pt>
                <c:pt idx="51">
                  <c:v>337.24233243538094</c:v>
                </c:pt>
                <c:pt idx="52">
                  <c:v>331.17803246141665</c:v>
                </c:pt>
                <c:pt idx="53">
                  <c:v>325.32434129059664</c:v>
                </c:pt>
                <c:pt idx="54">
                  <c:v>319.6688212970347</c:v>
                </c:pt>
                <c:pt idx="55">
                  <c:v>314.2059910179334</c:v>
                </c:pt>
                <c:pt idx="56">
                  <c:v>308.92616749844484</c:v>
                </c:pt>
                <c:pt idx="57">
                  <c:v>303.82030587323101</c:v>
                </c:pt>
                <c:pt idx="58">
                  <c:v>298.87994765714615</c:v>
                </c:pt>
                <c:pt idx="59">
                  <c:v>294.09717398420645</c:v>
                </c:pt>
                <c:pt idx="60">
                  <c:v>289.46456325107459</c:v>
                </c:pt>
                <c:pt idx="61">
                  <c:v>284.97515268852692</c:v>
                </c:pt>
                <c:pt idx="62">
                  <c:v>280.62240344239223</c:v>
                </c:pt>
                <c:pt idx="63">
                  <c:v>276.40016879565252</c:v>
                </c:pt>
                <c:pt idx="64">
                  <c:v>272.30266520691464</c:v>
                </c:pt>
                <c:pt idx="65">
                  <c:v>268.32444587828491</c:v>
                </c:pt>
                <c:pt idx="66">
                  <c:v>264.46037659861815</c:v>
                </c:pt>
                <c:pt idx="67">
                  <c:v>260.70561363685255</c:v>
                </c:pt>
                <c:pt idx="68">
                  <c:v>257.05558348528558</c:v>
                </c:pt>
                <c:pt idx="69">
                  <c:v>253.50596427466186</c:v>
                </c:pt>
                <c:pt idx="70">
                  <c:v>250.05266870228883</c:v>
                </c:pt>
                <c:pt idx="71">
                  <c:v>246.69182833139183</c:v>
                </c:pt>
                <c:pt idx="72">
                  <c:v>243.41977913491436</c:v>
                </c:pt>
                <c:pt idx="73">
                  <c:v>240.23304817018402</c:v>
                </c:pt>
                <c:pt idx="74">
                  <c:v>237.12834128256674</c:v>
                </c:pt>
                <c:pt idx="75">
                  <c:v>234.10253174658567</c:v>
                </c:pt>
                <c:pt idx="76">
                  <c:v>231.15264976216574</c:v>
                </c:pt>
                <c:pt idx="77">
                  <c:v>228.27587273182925</c:v>
                </c:pt>
                <c:pt idx="78">
                  <c:v>225.4695162519325</c:v>
                </c:pt>
                <c:pt idx="79">
                  <c:v>222.73102575750269</c:v>
                </c:pt>
                <c:pt idx="80">
                  <c:v>220.0579687660144</c:v>
                </c:pt>
                <c:pt idx="81">
                  <c:v>217.44802767060389</c:v>
                </c:pt>
                <c:pt idx="82">
                  <c:v>214.89899303784705</c:v>
                </c:pt>
                <c:pt idx="83">
                  <c:v>212.40875736935786</c:v>
                </c:pt>
                <c:pt idx="84">
                  <c:v>209.97530929019152</c:v>
                </c:pt>
                <c:pt idx="85">
                  <c:v>207.59672813036588</c:v>
                </c:pt>
                <c:pt idx="86">
                  <c:v>205.27117886882422</c:v>
                </c:pt>
                <c:pt idx="87">
                  <c:v>202.99690741186777</c:v>
                </c:pt>
                <c:pt idx="88">
                  <c:v>200.77223618052449</c:v>
                </c:pt>
                <c:pt idx="89">
                  <c:v>198.59555998352607</c:v>
                </c:pt>
                <c:pt idx="90">
                  <c:v>196.46534215455691</c:v>
                </c:pt>
                <c:pt idx="91">
                  <c:v>194.38011093423916</c:v>
                </c:pt>
                <c:pt idx="92">
                  <c:v>192.33845607895367</c:v>
                </c:pt>
                <c:pt idx="93">
                  <c:v>190.33902568007684</c:v>
                </c:pt>
                <c:pt idx="94">
                  <c:v>188.38052317855539</c:v>
                </c:pt>
                <c:pt idx="95">
                  <c:v>186.46170456096741</c:v>
                </c:pt>
                <c:pt idx="96">
                  <c:v>184.58137572432679</c:v>
                </c:pt>
                <c:pt idx="97">
                  <c:v>182.73838999789993</c:v>
                </c:pt>
                <c:pt idx="98">
                  <c:v>180.93164581122906</c:v>
                </c:pt>
                <c:pt idx="99">
                  <c:v>179.16008449839575</c:v>
                </c:pt>
                <c:pt idx="100">
                  <c:v>177.42268822932925</c:v>
                </c:pt>
              </c:numCache>
            </c:numRef>
          </c:val>
          <c:smooth val="0"/>
          <c:extLst>
            <c:ext xmlns:c16="http://schemas.microsoft.com/office/drawing/2014/chart" uri="{C3380CC4-5D6E-409C-BE32-E72D297353CC}">
              <c16:uniqueId val="{00000001-44F7-4870-98EC-5ED7AF60689B}"/>
            </c:ext>
          </c:extLst>
        </c:ser>
        <c:ser>
          <c:idx val="2"/>
          <c:order val="2"/>
          <c:tx>
            <c:v>VIN-max</c:v>
          </c:tx>
          <c:spPr>
            <a:ln>
              <a:solidFill>
                <a:srgbClr val="0000FF"/>
              </a:solidFill>
              <a:prstDash val="solid"/>
            </a:ln>
          </c:spPr>
          <c:marker>
            <c:symbol val="none"/>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Dual'!$AM$216:$AM$316</c:f>
              <c:numCache>
                <c:formatCode>0.0</c:formatCode>
                <c:ptCount val="101"/>
                <c:pt idx="0">
                  <c:v>10</c:v>
                </c:pt>
                <c:pt idx="1">
                  <c:v>10.012375988822143</c:v>
                </c:pt>
                <c:pt idx="2">
                  <c:v>20.024751977644286</c:v>
                </c:pt>
                <c:pt idx="3">
                  <c:v>30.037127966466429</c:v>
                </c:pt>
                <c:pt idx="4">
                  <c:v>40.049503955288571</c:v>
                </c:pt>
                <c:pt idx="5">
                  <c:v>50.061879944110721</c:v>
                </c:pt>
                <c:pt idx="6">
                  <c:v>60.074255932932857</c:v>
                </c:pt>
                <c:pt idx="7">
                  <c:v>70.086631921755</c:v>
                </c:pt>
                <c:pt idx="8">
                  <c:v>80.099007910577143</c:v>
                </c:pt>
                <c:pt idx="9">
                  <c:v>90.111383899399286</c:v>
                </c:pt>
                <c:pt idx="10">
                  <c:v>100.12375988822144</c:v>
                </c:pt>
                <c:pt idx="11">
                  <c:v>110.13613587704357</c:v>
                </c:pt>
                <c:pt idx="12">
                  <c:v>120.14851186586571</c:v>
                </c:pt>
                <c:pt idx="13">
                  <c:v>130.16088785468787</c:v>
                </c:pt>
                <c:pt idx="14">
                  <c:v>140.17326384351</c:v>
                </c:pt>
                <c:pt idx="15">
                  <c:v>150.18563983233216</c:v>
                </c:pt>
                <c:pt idx="16">
                  <c:v>160.19801582115429</c:v>
                </c:pt>
                <c:pt idx="17">
                  <c:v>170.21039180997644</c:v>
                </c:pt>
                <c:pt idx="18">
                  <c:v>180.22276779879857</c:v>
                </c:pt>
                <c:pt idx="19">
                  <c:v>190.23514378762073</c:v>
                </c:pt>
                <c:pt idx="20">
                  <c:v>200.24751977644289</c:v>
                </c:pt>
                <c:pt idx="21">
                  <c:v>210.25989576526501</c:v>
                </c:pt>
                <c:pt idx="22">
                  <c:v>220.27227175408714</c:v>
                </c:pt>
                <c:pt idx="23">
                  <c:v>230.2846477429093</c:v>
                </c:pt>
                <c:pt idx="24">
                  <c:v>240.29702373173143</c:v>
                </c:pt>
                <c:pt idx="25">
                  <c:v>250.30939972055356</c:v>
                </c:pt>
                <c:pt idx="26">
                  <c:v>260.32177570937574</c:v>
                </c:pt>
                <c:pt idx="27">
                  <c:v>270.3341516981979</c:v>
                </c:pt>
                <c:pt idx="28">
                  <c:v>280.34652768702</c:v>
                </c:pt>
                <c:pt idx="29">
                  <c:v>290.35890367584216</c:v>
                </c:pt>
                <c:pt idx="30">
                  <c:v>300.37127966466431</c:v>
                </c:pt>
                <c:pt idx="31">
                  <c:v>310.38365565348641</c:v>
                </c:pt>
                <c:pt idx="32">
                  <c:v>320.39603164230857</c:v>
                </c:pt>
                <c:pt idx="33">
                  <c:v>330.40840763113073</c:v>
                </c:pt>
                <c:pt idx="34">
                  <c:v>340.42078361995289</c:v>
                </c:pt>
                <c:pt idx="35">
                  <c:v>350</c:v>
                </c:pt>
                <c:pt idx="36">
                  <c:v>350</c:v>
                </c:pt>
                <c:pt idx="37">
                  <c:v>350</c:v>
                </c:pt>
                <c:pt idx="38">
                  <c:v>350</c:v>
                </c:pt>
                <c:pt idx="39">
                  <c:v>350</c:v>
                </c:pt>
                <c:pt idx="40">
                  <c:v>350</c:v>
                </c:pt>
                <c:pt idx="41">
                  <c:v>350</c:v>
                </c:pt>
                <c:pt idx="42">
                  <c:v>350</c:v>
                </c:pt>
                <c:pt idx="43">
                  <c:v>350</c:v>
                </c:pt>
                <c:pt idx="44">
                  <c:v>350</c:v>
                </c:pt>
                <c:pt idx="45">
                  <c:v>350</c:v>
                </c:pt>
                <c:pt idx="46">
                  <c:v>350</c:v>
                </c:pt>
                <c:pt idx="47">
                  <c:v>350</c:v>
                </c:pt>
                <c:pt idx="48">
                  <c:v>350</c:v>
                </c:pt>
                <c:pt idx="49">
                  <c:v>350</c:v>
                </c:pt>
                <c:pt idx="50">
                  <c:v>350</c:v>
                </c:pt>
                <c:pt idx="51">
                  <c:v>350</c:v>
                </c:pt>
                <c:pt idx="52">
                  <c:v>350</c:v>
                </c:pt>
                <c:pt idx="53">
                  <c:v>350</c:v>
                </c:pt>
                <c:pt idx="54">
                  <c:v>350</c:v>
                </c:pt>
                <c:pt idx="55">
                  <c:v>350</c:v>
                </c:pt>
                <c:pt idx="56">
                  <c:v>350</c:v>
                </c:pt>
                <c:pt idx="57">
                  <c:v>350</c:v>
                </c:pt>
                <c:pt idx="58">
                  <c:v>350</c:v>
                </c:pt>
                <c:pt idx="59">
                  <c:v>350</c:v>
                </c:pt>
                <c:pt idx="60">
                  <c:v>350</c:v>
                </c:pt>
                <c:pt idx="61">
                  <c:v>350</c:v>
                </c:pt>
                <c:pt idx="62">
                  <c:v>350</c:v>
                </c:pt>
                <c:pt idx="63">
                  <c:v>350</c:v>
                </c:pt>
                <c:pt idx="64">
                  <c:v>350</c:v>
                </c:pt>
                <c:pt idx="65">
                  <c:v>350</c:v>
                </c:pt>
                <c:pt idx="66">
                  <c:v>348.70863121887066</c:v>
                </c:pt>
                <c:pt idx="67">
                  <c:v>343.86029290821517</c:v>
                </c:pt>
                <c:pt idx="68">
                  <c:v>339.14488892385293</c:v>
                </c:pt>
                <c:pt idx="69">
                  <c:v>334.55702615992732</c:v>
                </c:pt>
                <c:pt idx="70">
                  <c:v>330.09159934167945</c:v>
                </c:pt>
                <c:pt idx="71">
                  <c:v>325.74275284211831</c:v>
                </c:pt>
                <c:pt idx="72">
                  <c:v>321.50641651018856</c:v>
                </c:pt>
                <c:pt idx="73">
                  <c:v>317.37877014741252</c:v>
                </c:pt>
                <c:pt idx="74">
                  <c:v>313.3556837580756</c:v>
                </c:pt>
                <c:pt idx="75">
                  <c:v>309.43323397116495</c:v>
                </c:pt>
                <c:pt idx="76">
                  <c:v>305.60769127813842</c:v>
                </c:pt>
                <c:pt idx="77">
                  <c:v>301.87550820506556</c:v>
                </c:pt>
                <c:pt idx="78">
                  <c:v>298.23330834029326</c:v>
                </c:pt>
                <c:pt idx="79">
                  <c:v>294.67787614630225</c:v>
                </c:pt>
                <c:pt idx="80">
                  <c:v>291.20614749113423</c:v>
                </c:pt>
                <c:pt idx="81">
                  <c:v>287.81520084079034</c:v>
                </c:pt>
                <c:pt idx="82">
                  <c:v>284.50224905938774</c:v>
                </c:pt>
                <c:pt idx="83">
                  <c:v>281.26463176870334</c:v>
                </c:pt>
                <c:pt idx="84">
                  <c:v>278.09980822308609</c:v>
                </c:pt>
                <c:pt idx="85">
                  <c:v>275.00535065962805</c:v>
                </c:pt>
                <c:pt idx="86">
                  <c:v>271.97893808702145</c:v>
                </c:pt>
                <c:pt idx="87">
                  <c:v>269.01835047970189</c:v>
                </c:pt>
                <c:pt idx="88">
                  <c:v>266.12146334675759</c:v>
                </c:pt>
                <c:pt idx="89">
                  <c:v>263.28624264768399</c:v>
                </c:pt>
                <c:pt idx="90">
                  <c:v>260.51074002941033</c:v>
                </c:pt>
                <c:pt idx="91">
                  <c:v>257.7930883611632</c:v>
                </c:pt>
                <c:pt idx="92">
                  <c:v>255.131497545662</c:v>
                </c:pt>
                <c:pt idx="93">
                  <c:v>252.52425058689749</c:v>
                </c:pt>
                <c:pt idx="94">
                  <c:v>249.96969989634425</c:v>
                </c:pt>
                <c:pt idx="95">
                  <c:v>247.46626382090724</c:v>
                </c:pt>
                <c:pt idx="96">
                  <c:v>245.01242337722769</c:v>
                </c:pt>
                <c:pt idx="97">
                  <c:v>242.60671917817993</c:v>
                </c:pt>
                <c:pt idx="98">
                  <c:v>240.24774853849101</c:v>
                </c:pt>
                <c:pt idx="99">
                  <c:v>237.93416274742222</c:v>
                </c:pt>
                <c:pt idx="100">
                  <c:v>235.66466449736856</c:v>
                </c:pt>
              </c:numCache>
            </c:numRef>
          </c:val>
          <c:smooth val="0"/>
          <c:extLst>
            <c:ext xmlns:c16="http://schemas.microsoft.com/office/drawing/2014/chart" uri="{C3380CC4-5D6E-409C-BE32-E72D297353CC}">
              <c16:uniqueId val="{00000002-44F7-4870-98EC-5ED7AF60689B}"/>
            </c:ext>
          </c:extLst>
        </c:ser>
        <c:ser>
          <c:idx val="3"/>
          <c:order val="3"/>
          <c:spPr>
            <a:ln>
              <a:noFill/>
            </a:ln>
          </c:spPr>
          <c:marker>
            <c:symbol val="x"/>
            <c:size val="10"/>
            <c:spPr>
              <a:pattFill prst="pct5">
                <a:fgClr>
                  <a:schemeClr val="tx1"/>
                </a:fgClr>
                <a:bgClr>
                  <a:schemeClr val="bg1"/>
                </a:bgClr>
              </a:pattFill>
              <a:ln>
                <a:solidFill>
                  <a:srgbClr val="33CC33"/>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Dual'!$CE$110:$CE$210</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3-44F7-4870-98EC-5ED7AF60689B}"/>
            </c:ext>
          </c:extLst>
        </c:ser>
        <c:ser>
          <c:idx val="4"/>
          <c:order val="4"/>
          <c:spPr>
            <a:ln>
              <a:noFill/>
            </a:ln>
          </c:spPr>
          <c:marker>
            <c:symbol val="x"/>
            <c:size val="10"/>
            <c:spPr>
              <a:pattFill prst="pct5">
                <a:fgClr>
                  <a:schemeClr val="tx1"/>
                </a:fgClr>
                <a:bgClr>
                  <a:schemeClr val="bg1"/>
                </a:bgClr>
              </a:pattFill>
              <a:ln>
                <a:solidFill>
                  <a:srgbClr val="FF0000"/>
                </a:solidFill>
              </a:ln>
            </c:spPr>
          </c:marker>
          <c:dPt>
            <c:idx val="65"/>
            <c:bubble3D val="0"/>
            <c:extLst>
              <c:ext xmlns:c16="http://schemas.microsoft.com/office/drawing/2014/chart" uri="{C3380CC4-5D6E-409C-BE32-E72D297353CC}">
                <c16:uniqueId val="{00000004-44F7-4870-98EC-5ED7AF60689B}"/>
              </c:ext>
            </c:extLst>
          </c:dPt>
          <c:dPt>
            <c:idx val="92"/>
            <c:bubble3D val="0"/>
            <c:extLst>
              <c:ext xmlns:c16="http://schemas.microsoft.com/office/drawing/2014/chart" uri="{C3380CC4-5D6E-409C-BE32-E72D297353CC}">
                <c16:uniqueId val="{00000005-44F7-4870-98EC-5ED7AF60689B}"/>
              </c:ext>
            </c:extLst>
          </c:dPt>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Dual'!$CE$5:$CE$105</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6-44F7-4870-98EC-5ED7AF60689B}"/>
            </c:ext>
          </c:extLst>
        </c:ser>
        <c:ser>
          <c:idx val="5"/>
          <c:order val="5"/>
          <c:spPr>
            <a:ln>
              <a:noFill/>
            </a:ln>
          </c:spPr>
          <c:marker>
            <c:symbol val="x"/>
            <c:size val="10"/>
            <c:spPr>
              <a:pattFill prst="pct5">
                <a:fgClr>
                  <a:schemeClr val="tx1"/>
                </a:fgClr>
                <a:bgClr>
                  <a:schemeClr val="bg1"/>
                </a:bgClr>
              </a:pattFill>
              <a:ln>
                <a:solidFill>
                  <a:srgbClr val="0000FF"/>
                </a:solidFill>
              </a:ln>
            </c:spPr>
          </c:marker>
          <c:cat>
            <c:numRef>
              <c:f>'Calculations - Dual'!$CC$5:$CC$105</c:f>
              <c:numCache>
                <c:formatCode>General</c:formatCode>
                <c:ptCount val="101"/>
                <c:pt idx="0">
                  <c:v>0</c:v>
                </c:pt>
                <c:pt idx="1">
                  <c:v>1</c:v>
                </c:pt>
                <c:pt idx="2">
                  <c:v>2</c:v>
                </c:pt>
                <c:pt idx="3">
                  <c:v>3</c:v>
                </c:pt>
                <c:pt idx="4">
                  <c:v>4</c:v>
                </c:pt>
                <c:pt idx="5">
                  <c:v>5</c:v>
                </c:pt>
                <c:pt idx="6">
                  <c:v>6</c:v>
                </c:pt>
                <c:pt idx="7">
                  <c:v>7.0000000000000009</c:v>
                </c:pt>
                <c:pt idx="8">
                  <c:v>8</c:v>
                </c:pt>
                <c:pt idx="9">
                  <c:v>9</c:v>
                </c:pt>
                <c:pt idx="10">
                  <c:v>10</c:v>
                </c:pt>
                <c:pt idx="11">
                  <c:v>11</c:v>
                </c:pt>
                <c:pt idx="12">
                  <c:v>12</c:v>
                </c:pt>
                <c:pt idx="13">
                  <c:v>13</c:v>
                </c:pt>
                <c:pt idx="14">
                  <c:v>14.000000000000002</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28.000000000000004</c:v>
                </c:pt>
                <c:pt idx="29">
                  <c:v>28.999999999999996</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55.000000000000007</c:v>
                </c:pt>
                <c:pt idx="56">
                  <c:v>56.000000000000007</c:v>
                </c:pt>
                <c:pt idx="57">
                  <c:v>56.999999999999993</c:v>
                </c:pt>
                <c:pt idx="58">
                  <c:v>57.999999999999993</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numCache>
            </c:numRef>
          </c:cat>
          <c:val>
            <c:numRef>
              <c:f>'Calculations - Dual'!$CE$216:$CE$316</c:f>
              <c:numCache>
                <c:formatCode>General</c:formatCode>
                <c:ptCount val="101"/>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pt idx="39">
                  <c:v>-50</c:v>
                </c:pt>
                <c:pt idx="40">
                  <c:v>-50</c:v>
                </c:pt>
                <c:pt idx="41">
                  <c:v>-50</c:v>
                </c:pt>
                <c:pt idx="42">
                  <c:v>-50</c:v>
                </c:pt>
                <c:pt idx="43">
                  <c:v>-50</c:v>
                </c:pt>
                <c:pt idx="44">
                  <c:v>-50</c:v>
                </c:pt>
                <c:pt idx="45">
                  <c:v>-50</c:v>
                </c:pt>
                <c:pt idx="46">
                  <c:v>-50</c:v>
                </c:pt>
                <c:pt idx="47">
                  <c:v>-50</c:v>
                </c:pt>
                <c:pt idx="48">
                  <c:v>-50</c:v>
                </c:pt>
                <c:pt idx="49">
                  <c:v>-50</c:v>
                </c:pt>
                <c:pt idx="50">
                  <c:v>-50</c:v>
                </c:pt>
                <c:pt idx="51">
                  <c:v>-50</c:v>
                </c:pt>
                <c:pt idx="52">
                  <c:v>-50</c:v>
                </c:pt>
                <c:pt idx="53">
                  <c:v>-50</c:v>
                </c:pt>
                <c:pt idx="54">
                  <c:v>-50</c:v>
                </c:pt>
                <c:pt idx="55">
                  <c:v>-50</c:v>
                </c:pt>
                <c:pt idx="56">
                  <c:v>-50</c:v>
                </c:pt>
                <c:pt idx="57">
                  <c:v>-50</c:v>
                </c:pt>
                <c:pt idx="58">
                  <c:v>-50</c:v>
                </c:pt>
                <c:pt idx="59">
                  <c:v>-50</c:v>
                </c:pt>
                <c:pt idx="60">
                  <c:v>-50</c:v>
                </c:pt>
                <c:pt idx="61">
                  <c:v>-50</c:v>
                </c:pt>
                <c:pt idx="62">
                  <c:v>-50</c:v>
                </c:pt>
                <c:pt idx="63">
                  <c:v>-50</c:v>
                </c:pt>
                <c:pt idx="64">
                  <c:v>-50</c:v>
                </c:pt>
                <c:pt idx="65">
                  <c:v>-50</c:v>
                </c:pt>
                <c:pt idx="66">
                  <c:v>-50</c:v>
                </c:pt>
                <c:pt idx="67">
                  <c:v>-50</c:v>
                </c:pt>
                <c:pt idx="68">
                  <c:v>-50</c:v>
                </c:pt>
                <c:pt idx="69">
                  <c:v>-50</c:v>
                </c:pt>
                <c:pt idx="70">
                  <c:v>-50</c:v>
                </c:pt>
                <c:pt idx="71">
                  <c:v>-50</c:v>
                </c:pt>
                <c:pt idx="72">
                  <c:v>-50</c:v>
                </c:pt>
                <c:pt idx="73">
                  <c:v>-50</c:v>
                </c:pt>
                <c:pt idx="74">
                  <c:v>-50</c:v>
                </c:pt>
                <c:pt idx="75">
                  <c:v>-50</c:v>
                </c:pt>
                <c:pt idx="76">
                  <c:v>-50</c:v>
                </c:pt>
                <c:pt idx="77">
                  <c:v>-50</c:v>
                </c:pt>
                <c:pt idx="78">
                  <c:v>-50</c:v>
                </c:pt>
                <c:pt idx="79">
                  <c:v>-50</c:v>
                </c:pt>
                <c:pt idx="80">
                  <c:v>-50</c:v>
                </c:pt>
                <c:pt idx="81">
                  <c:v>-50</c:v>
                </c:pt>
                <c:pt idx="82">
                  <c:v>-50</c:v>
                </c:pt>
                <c:pt idx="83">
                  <c:v>-50</c:v>
                </c:pt>
                <c:pt idx="84">
                  <c:v>-50</c:v>
                </c:pt>
                <c:pt idx="85">
                  <c:v>-50</c:v>
                </c:pt>
                <c:pt idx="86">
                  <c:v>-50</c:v>
                </c:pt>
                <c:pt idx="87">
                  <c:v>-50</c:v>
                </c:pt>
                <c:pt idx="88">
                  <c:v>-50</c:v>
                </c:pt>
                <c:pt idx="89">
                  <c:v>-50</c:v>
                </c:pt>
                <c:pt idx="90">
                  <c:v>-50</c:v>
                </c:pt>
                <c:pt idx="91">
                  <c:v>-50</c:v>
                </c:pt>
                <c:pt idx="92">
                  <c:v>-50</c:v>
                </c:pt>
                <c:pt idx="93">
                  <c:v>-50</c:v>
                </c:pt>
                <c:pt idx="94">
                  <c:v>-50</c:v>
                </c:pt>
                <c:pt idx="95">
                  <c:v>-50</c:v>
                </c:pt>
                <c:pt idx="96">
                  <c:v>-50</c:v>
                </c:pt>
                <c:pt idx="97">
                  <c:v>-50</c:v>
                </c:pt>
                <c:pt idx="98">
                  <c:v>-50</c:v>
                </c:pt>
                <c:pt idx="99">
                  <c:v>-50</c:v>
                </c:pt>
                <c:pt idx="100">
                  <c:v>-50</c:v>
                </c:pt>
              </c:numCache>
            </c:numRef>
          </c:val>
          <c:smooth val="0"/>
          <c:extLst>
            <c:ext xmlns:c16="http://schemas.microsoft.com/office/drawing/2014/chart" uri="{C3380CC4-5D6E-409C-BE32-E72D297353CC}">
              <c16:uniqueId val="{00000007-44F7-4870-98EC-5ED7AF60689B}"/>
            </c:ext>
          </c:extLst>
        </c:ser>
        <c:dLbls>
          <c:showLegendKey val="0"/>
          <c:showVal val="0"/>
          <c:showCatName val="0"/>
          <c:showSerName val="0"/>
          <c:showPercent val="0"/>
          <c:showBubbleSize val="0"/>
        </c:dLbls>
        <c:smooth val="0"/>
        <c:axId val="452326144"/>
        <c:axId val="452328448"/>
      </c:lineChart>
      <c:catAx>
        <c:axId val="452326144"/>
        <c:scaling>
          <c:orientation val="minMax"/>
        </c:scaling>
        <c:delete val="0"/>
        <c:axPos val="b"/>
        <c:majorGridlines>
          <c:spPr>
            <a:ln w="15875">
              <a:solidFill>
                <a:srgbClr val="969696"/>
              </a:solidFill>
              <a:prstDash val="sysDash"/>
            </a:ln>
          </c:spPr>
        </c:majorGridlines>
        <c:title>
          <c:tx>
            <c:rich>
              <a:bodyPr/>
              <a:lstStyle/>
              <a:p>
                <a:pPr>
                  <a:defRPr lang="ja-JP" sz="1000" b="1" i="0" u="none" strike="noStrike" baseline="0">
                    <a:solidFill>
                      <a:schemeClr val="tx1"/>
                    </a:solidFill>
                    <a:latin typeface="Arial" pitchFamily="34" charset="0"/>
                    <a:ea typeface="Calibri"/>
                    <a:cs typeface="Arial" pitchFamily="34" charset="0"/>
                  </a:defRPr>
                </a:pPr>
                <a:r>
                  <a:rPr lang="en-US" sz="1200" b="1" i="0" baseline="0">
                    <a:effectLst/>
                  </a:rPr>
                  <a:t>% Total Rated Output Power</a:t>
                </a:r>
                <a:endParaRPr lang="en-US" sz="1000">
                  <a:effectLst/>
                </a:endParaRPr>
              </a:p>
            </c:rich>
          </c:tx>
          <c:layout>
            <c:manualLayout>
              <c:xMode val="edge"/>
              <c:yMode val="edge"/>
              <c:x val="0.40984320248210387"/>
              <c:y val="0.93853774450069472"/>
            </c:manualLayout>
          </c:layout>
          <c:overlay val="0"/>
          <c:spPr>
            <a:noFill/>
            <a:ln w="25400">
              <a:noFill/>
            </a:ln>
          </c:spPr>
        </c:title>
        <c:numFmt formatCode="General" sourceLinked="1"/>
        <c:majorTickMark val="in"/>
        <c:minorTickMark val="in"/>
        <c:tickLblPos val="nextTo"/>
        <c:spPr>
          <a:ln w="3175">
            <a:solidFill>
              <a:schemeClr val="tx1"/>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8448"/>
        <c:crosses val="autoZero"/>
        <c:auto val="1"/>
        <c:lblAlgn val="ctr"/>
        <c:lblOffset val="100"/>
        <c:tickLblSkip val="20"/>
        <c:tickMarkSkip val="10"/>
        <c:noMultiLvlLbl val="0"/>
      </c:catAx>
      <c:valAx>
        <c:axId val="452328448"/>
        <c:scaling>
          <c:orientation val="minMax"/>
          <c:max val="400"/>
          <c:min val="0"/>
        </c:scaling>
        <c:delete val="0"/>
        <c:axPos val="l"/>
        <c:majorGridlines>
          <c:spPr>
            <a:ln w="15875">
              <a:solidFill>
                <a:srgbClr val="808080"/>
              </a:solidFill>
              <a:prstDash val="solid"/>
            </a:ln>
          </c:spPr>
        </c:majorGridlines>
        <c:title>
          <c:tx>
            <c:rich>
              <a:bodyPr/>
              <a:lstStyle/>
              <a:p>
                <a:pPr>
                  <a:defRPr lang="ja-JP" sz="1400" b="1" i="0" u="none" strike="noStrike" baseline="0">
                    <a:solidFill>
                      <a:schemeClr val="tx1"/>
                    </a:solidFill>
                    <a:latin typeface="Arial" pitchFamily="34" charset="0"/>
                    <a:ea typeface="Calibri"/>
                    <a:cs typeface="Arial" pitchFamily="34" charset="0"/>
                  </a:defRPr>
                </a:pPr>
                <a:r>
                  <a:rPr lang="en-US" sz="1200" b="1">
                    <a:solidFill>
                      <a:schemeClr val="tx1"/>
                    </a:solidFill>
                    <a:latin typeface="Arial" pitchFamily="34" charset="0"/>
                    <a:cs typeface="Arial" pitchFamily="34" charset="0"/>
                  </a:rPr>
                  <a:t>Switching</a:t>
                </a:r>
                <a:r>
                  <a:rPr lang="en-US" sz="1200" b="1" baseline="0">
                    <a:solidFill>
                      <a:schemeClr val="tx1"/>
                    </a:solidFill>
                    <a:latin typeface="Arial" pitchFamily="34" charset="0"/>
                    <a:cs typeface="Arial" pitchFamily="34" charset="0"/>
                  </a:rPr>
                  <a:t> Frquency (kHz)</a:t>
                </a:r>
                <a:endParaRPr lang="en-US" sz="1200" b="1">
                  <a:solidFill>
                    <a:schemeClr val="tx1"/>
                  </a:solidFill>
                  <a:latin typeface="Arial" pitchFamily="34" charset="0"/>
                  <a:cs typeface="Arial" pitchFamily="34" charset="0"/>
                </a:endParaRPr>
              </a:p>
            </c:rich>
          </c:tx>
          <c:layout>
            <c:manualLayout>
              <c:xMode val="edge"/>
              <c:yMode val="edge"/>
              <c:x val="8.5568268367748525E-3"/>
              <c:y val="0.30050661099568304"/>
            </c:manualLayout>
          </c:layout>
          <c:overlay val="0"/>
          <c:spPr>
            <a:noFill/>
            <a:ln w="25400">
              <a:noFill/>
            </a:ln>
          </c:spPr>
        </c:title>
        <c:numFmt formatCode="#,##0" sourceLinked="0"/>
        <c:majorTickMark val="out"/>
        <c:minorTickMark val="in"/>
        <c:tickLblPos val="nextTo"/>
        <c:spPr>
          <a:ln w="3175">
            <a:solidFill>
              <a:srgbClr val="000000"/>
            </a:solidFill>
            <a:prstDash val="solid"/>
          </a:ln>
        </c:spPr>
        <c:txPr>
          <a:bodyPr rot="0" vert="horz"/>
          <a:lstStyle/>
          <a:p>
            <a:pPr>
              <a:defRPr lang="ja-JP" sz="1100" b="1" i="0" u="none" strike="noStrike" baseline="0">
                <a:solidFill>
                  <a:schemeClr val="tx1"/>
                </a:solidFill>
                <a:latin typeface="Arial" pitchFamily="34" charset="0"/>
                <a:ea typeface="Calibri"/>
                <a:cs typeface="Arial" pitchFamily="34" charset="0"/>
              </a:defRPr>
            </a:pPr>
            <a:endParaRPr lang="en-US"/>
          </a:p>
        </c:txPr>
        <c:crossAx val="452326144"/>
        <c:crossesAt val="0"/>
        <c:crossBetween val="between"/>
        <c:majorUnit val="50"/>
        <c:minorUnit val="25"/>
      </c:valAx>
      <c:spPr>
        <a:solidFill>
          <a:srgbClr val="FFFFFF"/>
        </a:solidFill>
        <a:ln w="25400">
          <a:noFill/>
        </a:ln>
      </c:spPr>
    </c:plotArea>
    <c:legend>
      <c:legendPos val="t"/>
      <c:legendEntry>
        <c:idx val="3"/>
        <c:delete val="1"/>
      </c:legendEntry>
      <c:legendEntry>
        <c:idx val="4"/>
        <c:delete val="1"/>
      </c:legendEntry>
      <c:legendEntry>
        <c:idx val="5"/>
        <c:delete val="1"/>
      </c:legendEntry>
      <c:layout>
        <c:manualLayout>
          <c:xMode val="edge"/>
          <c:yMode val="edge"/>
          <c:x val="0.31258613484968906"/>
          <c:y val="1.9480197482498431E-2"/>
          <c:w val="0.42410841724909248"/>
          <c:h val="5.4335766847817754E-2"/>
        </c:manualLayout>
      </c:layout>
      <c:overlay val="0"/>
      <c:spPr>
        <a:solidFill>
          <a:srgbClr val="FFFFFF"/>
        </a:solidFill>
        <a:ln w="25400">
          <a:noFill/>
        </a:ln>
      </c:spPr>
      <c:txPr>
        <a:bodyPr/>
        <a:lstStyle/>
        <a:p>
          <a:pPr>
            <a:defRPr lang="ja-JP" sz="14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rgbClr val="FFFFFF"/>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 r="0.750000000000006" t="1" header="0.5" footer="0.5"/>
    <c:pageSetup paperSize="5"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21668095607596721"/>
          <c:y val="3.081543891394187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BE97-48FA-B330-74E933417AF3}"/>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BE97-48FA-B330-74E933417AF3}"/>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BE97-48FA-B330-74E933417AF3}"/>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BE97-48FA-B330-74E933417AF3}"/>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BE97-48FA-B330-74E933417AF3}"/>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BE97-48FA-B330-74E933417AF3}"/>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BE97-48FA-B330-74E933417AF3}"/>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BE97-48FA-B330-74E933417AF3}"/>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BE97-48FA-B330-74E933417AF3}"/>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BE97-48FA-B330-74E933417AF3}"/>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BE97-48FA-B330-74E933417AF3}"/>
            </c:ext>
          </c:extLst>
        </c:ser>
        <c:dLbls>
          <c:showLegendKey val="0"/>
          <c:showVal val="0"/>
          <c:showCatName val="0"/>
          <c:showSerName val="0"/>
          <c:showPercent val="0"/>
          <c:showBubbleSize val="0"/>
        </c:dLbls>
        <c:axId val="447280256"/>
        <c:axId val="447282176"/>
      </c:areaChart>
      <c:catAx>
        <c:axId val="44728025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a:t>
                </a:r>
              </a:p>
            </c:rich>
          </c:tx>
          <c:layout>
            <c:manualLayout>
              <c:xMode val="edge"/>
              <c:yMode val="edge"/>
              <c:x val="0.37238179041606823"/>
              <c:y val="0.89147900498075083"/>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282176"/>
        <c:crosses val="autoZero"/>
        <c:auto val="1"/>
        <c:lblAlgn val="ctr"/>
        <c:lblOffset val="100"/>
        <c:tickMarkSkip val="1"/>
        <c:noMultiLvlLbl val="0"/>
      </c:catAx>
      <c:valAx>
        <c:axId val="447282176"/>
        <c:scaling>
          <c:orientation val="minMax"/>
          <c:max val="0.2"/>
          <c:min val="0"/>
        </c:scaling>
        <c:delete val="0"/>
        <c:axPos val="l"/>
        <c:majorGridlines>
          <c:spPr>
            <a:ln w="3175">
              <a:solidFill>
                <a:srgbClr val="000000"/>
              </a:solidFill>
              <a:prstDash val="solid"/>
            </a:ln>
          </c:spPr>
        </c:majorGridlines>
        <c:min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8.9796428919729693E-2"/>
              <c:y val="0.3456705164996208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280256"/>
        <c:crosses val="autoZero"/>
        <c:crossBetween val="midCat"/>
        <c:majorUnit val="5.000000000000001E-2"/>
        <c:minorUnit val="2.5000000000000005E-2"/>
      </c:valAx>
      <c:spPr>
        <a:solidFill>
          <a:srgbClr val="C0C0C0"/>
        </a:solidFill>
        <a:ln w="12700">
          <a:solidFill>
            <a:srgbClr val="808080"/>
          </a:solidFill>
          <a:prstDash val="solid"/>
        </a:ln>
      </c:spPr>
    </c:plotArea>
    <c:legend>
      <c:legendPos val="r"/>
      <c:layout>
        <c:manualLayout>
          <c:xMode val="edge"/>
          <c:yMode val="edge"/>
          <c:x val="0.70666185810743165"/>
          <c:y val="9.3155590739667823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100mA)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Parameters!$BA$109</c:f>
              <c:numCache>
                <c:formatCode>0.000%</c:formatCode>
                <c:ptCount val="1"/>
                <c:pt idx="0">
                  <c:v>8.1000709018000279E-3</c:v>
                </c:pt>
              </c:numCache>
            </c:numRef>
          </c:val>
          <c:extLst>
            <c:ext xmlns:c16="http://schemas.microsoft.com/office/drawing/2014/chart" uri="{C3380CC4-5D6E-409C-BE32-E72D297353CC}">
              <c16:uniqueId val="{00000001-6E96-4528-9036-34F1ACDA388E}"/>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6E96-4528-9036-34F1ACDA388E}"/>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Parameters!$BD$109</c:f>
              <c:numCache>
                <c:formatCode>0.000%</c:formatCode>
                <c:ptCount val="1"/>
                <c:pt idx="0">
                  <c:v>9.9057039827182662E-3</c:v>
                </c:pt>
              </c:numCache>
            </c:numRef>
          </c:val>
          <c:extLst>
            <c:ext xmlns:c16="http://schemas.microsoft.com/office/drawing/2014/chart" uri="{C3380CC4-5D6E-409C-BE32-E72D297353CC}">
              <c16:uniqueId val="{00000003-6E96-4528-9036-34F1ACDA388E}"/>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6E96-4528-9036-34F1ACDA388E}"/>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Parameters!$BB$109</c:f>
              <c:numCache>
                <c:formatCode>0.000%</c:formatCode>
                <c:ptCount val="1"/>
                <c:pt idx="0">
                  <c:v>1.4614802049391215E-2</c:v>
                </c:pt>
              </c:numCache>
            </c:numRef>
          </c:val>
          <c:extLst>
            <c:ext xmlns:c16="http://schemas.microsoft.com/office/drawing/2014/chart" uri="{C3380CC4-5D6E-409C-BE32-E72D297353CC}">
              <c16:uniqueId val="{00000005-6E96-4528-9036-34F1ACDA388E}"/>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6E96-4528-9036-34F1ACDA388E}"/>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Parameters!$BF$109</c:f>
              <c:numCache>
                <c:formatCode>0.000%</c:formatCode>
                <c:ptCount val="1"/>
                <c:pt idx="0">
                  <c:v>1.6465542803473395E-3</c:v>
                </c:pt>
              </c:numCache>
            </c:numRef>
          </c:val>
          <c:extLst>
            <c:ext xmlns:c16="http://schemas.microsoft.com/office/drawing/2014/chart" uri="{C3380CC4-5D6E-409C-BE32-E72D297353CC}">
              <c16:uniqueId val="{00000007-6E96-4528-9036-34F1ACDA388E}"/>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6E96-4528-9036-34F1ACDA388E}"/>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Parameters!$BC$109</c:f>
              <c:numCache>
                <c:formatCode>0.000%</c:formatCode>
                <c:ptCount val="1"/>
                <c:pt idx="0">
                  <c:v>2.4831534664325892E-2</c:v>
                </c:pt>
              </c:numCache>
            </c:numRef>
          </c:val>
          <c:extLst>
            <c:ext xmlns:c16="http://schemas.microsoft.com/office/drawing/2014/chart" uri="{C3380CC4-5D6E-409C-BE32-E72D297353CC}">
              <c16:uniqueId val="{00000009-6E96-4528-9036-34F1ACDA388E}"/>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6E96-4528-9036-34F1ACDA388E}"/>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Parameters!$BE$109</c:f>
              <c:numCache>
                <c:formatCode>0.000%</c:formatCode>
                <c:ptCount val="1"/>
                <c:pt idx="0">
                  <c:v>1.1631608311305648E-2</c:v>
                </c:pt>
              </c:numCache>
            </c:numRef>
          </c:val>
          <c:extLst>
            <c:ext xmlns:c16="http://schemas.microsoft.com/office/drawing/2014/chart" uri="{C3380CC4-5D6E-409C-BE32-E72D297353CC}">
              <c16:uniqueId val="{0000000B-6E96-4528-9036-34F1ACDA388E}"/>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Parameters!$BG$109</c:f>
              <c:numCache>
                <c:formatCode>0.000%</c:formatCode>
                <c:ptCount val="1"/>
                <c:pt idx="0">
                  <c:v>1.6051760250250457E-2</c:v>
                </c:pt>
              </c:numCache>
            </c:numRef>
          </c:val>
          <c:extLst>
            <c:ext xmlns:c16="http://schemas.microsoft.com/office/drawing/2014/chart" uri="{C3380CC4-5D6E-409C-BE32-E72D297353CC}">
              <c16:uniqueId val="{0000000D-6E96-4528-9036-34F1ACDA388E}"/>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6E96-4528-9036-34F1ACDA388E}"/>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Parameters!$BH$109</c:f>
              <c:numCache>
                <c:formatCode>0.000%</c:formatCode>
                <c:ptCount val="1"/>
                <c:pt idx="0">
                  <c:v>6.8152413568584669E-3</c:v>
                </c:pt>
              </c:numCache>
            </c:numRef>
          </c:val>
          <c:extLst>
            <c:ext xmlns:c16="http://schemas.microsoft.com/office/drawing/2014/chart" uri="{C3380CC4-5D6E-409C-BE32-E72D297353CC}">
              <c16:uniqueId val="{0000000F-6E96-4528-9036-34F1ACDA388E}"/>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6E96-4528-9036-34F1ACDA388E}"/>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Parameters!$BJ$109</c:f>
              <c:numCache>
                <c:formatCode>0.000%</c:formatCode>
                <c:ptCount val="1"/>
                <c:pt idx="0">
                  <c:v>1.2837829865088564E-2</c:v>
                </c:pt>
              </c:numCache>
            </c:numRef>
          </c:val>
          <c:extLst>
            <c:ext xmlns:c16="http://schemas.microsoft.com/office/drawing/2014/chart" uri="{C3380CC4-5D6E-409C-BE32-E72D297353CC}">
              <c16:uniqueId val="{00000011-6E96-4528-9036-34F1ACDA388E}"/>
            </c:ext>
          </c:extLst>
        </c:ser>
        <c:dLbls>
          <c:showLegendKey val="0"/>
          <c:showVal val="0"/>
          <c:showCatName val="0"/>
          <c:showSerName val="0"/>
          <c:showPercent val="0"/>
          <c:showBubbleSize val="0"/>
        </c:dLbls>
        <c:gapWidth val="101"/>
        <c:overlap val="-70"/>
        <c:axId val="447021056"/>
        <c:axId val="447022592"/>
      </c:barChart>
      <c:catAx>
        <c:axId val="447021056"/>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022592"/>
        <c:crossesAt val="0"/>
        <c:auto val="1"/>
        <c:lblAlgn val="ctr"/>
        <c:lblOffset val="100"/>
        <c:noMultiLvlLbl val="0"/>
      </c:catAx>
      <c:valAx>
        <c:axId val="447022592"/>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021056"/>
        <c:crosses val="autoZero"/>
        <c:crossBetween val="between"/>
        <c:majorUnit val="5.0000000000000036E-3"/>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a:ea typeface="Arial"/>
                <a:cs typeface="Arial"/>
              </a:defRPr>
            </a:pPr>
            <a:r>
              <a:rPr lang="en-US" sz="2000"/>
              <a:t>Breakdown of COT Efficiency Losses vs. Iout</a:t>
            </a:r>
          </a:p>
        </c:rich>
      </c:tx>
      <c:layout>
        <c:manualLayout>
          <c:xMode val="edge"/>
          <c:yMode val="edge"/>
          <c:x val="0.19265692406240287"/>
          <c:y val="3.081543250743031E-2"/>
        </c:manualLayout>
      </c:layout>
      <c:overlay val="0"/>
      <c:spPr>
        <a:noFill/>
        <a:ln w="25400">
          <a:noFill/>
        </a:ln>
      </c:spPr>
    </c:title>
    <c:autoTitleDeleted val="0"/>
    <c:plotArea>
      <c:layout>
        <c:manualLayout>
          <c:layoutTarget val="inner"/>
          <c:xMode val="edge"/>
          <c:yMode val="edge"/>
          <c:x val="0.18496430825131774"/>
          <c:y val="0.14694417652807107"/>
          <c:w val="0.46181411156941887"/>
          <c:h val="0.69570915435856628"/>
        </c:manualLayout>
      </c:layout>
      <c:areaChart>
        <c:grouping val="percentStacked"/>
        <c:varyColors val="0"/>
        <c:ser>
          <c:idx val="1"/>
          <c:order val="0"/>
          <c:tx>
            <c:strRef>
              <c:f>Parameters!$BI$5</c:f>
              <c:strCache>
                <c:ptCount val="1"/>
                <c:pt idx="0">
                  <c:v>Cin Cout ESR %</c:v>
                </c:pt>
              </c:strCache>
            </c:strRef>
          </c:tx>
          <c:spPr>
            <a:solidFill>
              <a:srgbClr val="FFFF00"/>
            </a:solidFill>
            <a:ln w="12700">
              <a:solidFill>
                <a:srgbClr val="000000"/>
              </a:solidFill>
              <a:prstDash val="solid"/>
            </a:ln>
          </c:spPr>
          <c:val>
            <c:numRef>
              <c:f>Parameters!$BI$6:$BI$106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0-7A9A-4B30-813C-2F4CDFF889B0}"/>
            </c:ext>
          </c:extLst>
        </c:ser>
        <c:ser>
          <c:idx val="3"/>
          <c:order val="1"/>
          <c:tx>
            <c:strRef>
              <c:f>Parameters!$BF$5</c:f>
              <c:strCache>
                <c:ptCount val="1"/>
                <c:pt idx="0">
                  <c:v>Deadtime Loss %</c:v>
                </c:pt>
              </c:strCache>
            </c:strRef>
          </c:tx>
          <c:spPr>
            <a:solidFill>
              <a:srgbClr val="666699"/>
            </a:solidFill>
            <a:ln w="12700">
              <a:solidFill>
                <a:srgbClr val="000000"/>
              </a:solidFill>
              <a:prstDash val="solid"/>
            </a:ln>
          </c:spPr>
          <c:val>
            <c:numRef>
              <c:f>Parameters!$BF$6:$BF$106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1-7A9A-4B30-813C-2F4CDFF889B0}"/>
            </c:ext>
          </c:extLst>
        </c:ser>
        <c:ser>
          <c:idx val="6"/>
          <c:order val="2"/>
          <c:tx>
            <c:strRef>
              <c:f>Parameters!$BA$5</c:f>
              <c:strCache>
                <c:ptCount val="1"/>
                <c:pt idx="0">
                  <c:v>High-side MOSFET Rdson %</c:v>
                </c:pt>
              </c:strCache>
            </c:strRef>
          </c:tx>
          <c:spPr>
            <a:solidFill>
              <a:srgbClr val="FF0000"/>
            </a:solidFill>
            <a:ln w="12700">
              <a:solidFill>
                <a:srgbClr val="000000"/>
              </a:solidFill>
              <a:prstDash val="solid"/>
            </a:ln>
          </c:spPr>
          <c:val>
            <c:numRef>
              <c:f>Parameters!$BA$6:$BA$106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2-7A9A-4B30-813C-2F4CDFF889B0}"/>
            </c:ext>
          </c:extLst>
        </c:ser>
        <c:ser>
          <c:idx val="7"/>
          <c:order val="3"/>
          <c:tx>
            <c:strRef>
              <c:f>Parameters!$BB$5</c:f>
              <c:strCache>
                <c:ptCount val="1"/>
                <c:pt idx="0">
                  <c:v>Low-side MOSFET Rdson %</c:v>
                </c:pt>
              </c:strCache>
            </c:strRef>
          </c:tx>
          <c:spPr>
            <a:solidFill>
              <a:srgbClr val="FF6600"/>
            </a:solidFill>
            <a:ln w="12700">
              <a:solidFill>
                <a:srgbClr val="000000"/>
              </a:solidFill>
              <a:prstDash val="solid"/>
            </a:ln>
          </c:spPr>
          <c:val>
            <c:numRef>
              <c:f>Parameters!$BB$6:$BB$106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3-7A9A-4B30-813C-2F4CDFF889B0}"/>
            </c:ext>
          </c:extLst>
        </c:ser>
        <c:ser>
          <c:idx val="4"/>
          <c:order val="4"/>
          <c:tx>
            <c:strRef>
              <c:f>Parameters!$BH$5</c:f>
              <c:strCache>
                <c:ptCount val="1"/>
                <c:pt idx="0">
                  <c:v>Inductor Core Loss %</c:v>
                </c:pt>
              </c:strCache>
            </c:strRef>
          </c:tx>
          <c:spPr>
            <a:solidFill>
              <a:srgbClr val="99CC00"/>
            </a:solidFill>
            <a:ln w="12700">
              <a:solidFill>
                <a:srgbClr val="000000"/>
              </a:solidFill>
              <a:prstDash val="solid"/>
            </a:ln>
          </c:spPr>
          <c:val>
            <c:numRef>
              <c:f>Parameters!$BH$6:$BH$106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4-7A9A-4B30-813C-2F4CDFF889B0}"/>
            </c:ext>
          </c:extLst>
        </c:ser>
        <c:ser>
          <c:idx val="8"/>
          <c:order val="5"/>
          <c:tx>
            <c:strRef>
              <c:f>Parameters!$BG$5</c:f>
              <c:strCache>
                <c:ptCount val="1"/>
                <c:pt idx="0">
                  <c:v>Inductor Cu Loss %</c:v>
                </c:pt>
              </c:strCache>
            </c:strRef>
          </c:tx>
          <c:spPr>
            <a:solidFill>
              <a:srgbClr val="00FF00"/>
            </a:solidFill>
            <a:ln w="12700">
              <a:solidFill>
                <a:srgbClr val="000000"/>
              </a:solidFill>
              <a:prstDash val="solid"/>
            </a:ln>
          </c:spPr>
          <c:val>
            <c:numRef>
              <c:f>Parameters!$BG$6:$BG$106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5-7A9A-4B30-813C-2F4CDFF889B0}"/>
            </c:ext>
          </c:extLst>
        </c:ser>
        <c:ser>
          <c:idx val="2"/>
          <c:order val="6"/>
          <c:tx>
            <c:strRef>
              <c:f>Parameters!$BC$5</c:f>
              <c:strCache>
                <c:ptCount val="1"/>
                <c:pt idx="0">
                  <c:v>Gate Drive (Qg) Loss from Vin %</c:v>
                </c:pt>
              </c:strCache>
            </c:strRef>
          </c:tx>
          <c:spPr>
            <a:solidFill>
              <a:srgbClr val="00FFFF"/>
            </a:solidFill>
            <a:ln w="12700">
              <a:solidFill>
                <a:srgbClr val="000000"/>
              </a:solidFill>
              <a:prstDash val="solid"/>
            </a:ln>
          </c:spPr>
          <c:val>
            <c:numRef>
              <c:f>Parameters!$BC$6:$BC$106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6-7A9A-4B30-813C-2F4CDFF889B0}"/>
            </c:ext>
          </c:extLst>
        </c:ser>
        <c:ser>
          <c:idx val="5"/>
          <c:order val="7"/>
          <c:tx>
            <c:strRef>
              <c:f>Parameters!$BD$5</c:f>
              <c:strCache>
                <c:ptCount val="1"/>
                <c:pt idx="0">
                  <c:v>High-side MOSFET Switching Loss %</c:v>
                </c:pt>
              </c:strCache>
            </c:strRef>
          </c:tx>
          <c:spPr>
            <a:solidFill>
              <a:srgbClr val="0000FF"/>
            </a:solidFill>
            <a:ln w="12700">
              <a:solidFill>
                <a:srgbClr val="000000"/>
              </a:solidFill>
              <a:prstDash val="solid"/>
            </a:ln>
          </c:spPr>
          <c:val>
            <c:numRef>
              <c:f>Parameters!$BD$6:$BD$106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7-7A9A-4B30-813C-2F4CDFF889B0}"/>
            </c:ext>
          </c:extLst>
        </c:ser>
        <c:ser>
          <c:idx val="10"/>
          <c:order val="8"/>
          <c:tx>
            <c:strRef>
              <c:f>Parameters!$BE$5</c:f>
              <c:strCache>
                <c:ptCount val="1"/>
                <c:pt idx="0">
                  <c:v>Reverse Recovery &amp; Leakage Loss %</c:v>
                </c:pt>
              </c:strCache>
            </c:strRef>
          </c:tx>
          <c:spPr>
            <a:solidFill>
              <a:srgbClr val="FFFF00"/>
            </a:solidFill>
            <a:ln w="12700">
              <a:solidFill>
                <a:srgbClr val="000000"/>
              </a:solidFill>
              <a:prstDash val="solid"/>
            </a:ln>
          </c:spPr>
          <c:val>
            <c:numRef>
              <c:f>Parameters!$BE$6:$BE$106</c:f>
              <c:numCache>
                <c:formatCode>0.000%</c:formatCode>
                <c:ptCount val="101"/>
                <c:pt idx="0">
                  <c:v>0</c:v>
                </c:pt>
                <c:pt idx="1">
                  <c:v>0</c:v>
                </c:pt>
                <c:pt idx="2">
                  <c:v>0</c:v>
                </c:pt>
                <c:pt idx="3">
                  <c:v>0</c:v>
                </c:pt>
                <c:pt idx="100">
                  <c:v>0</c:v>
                </c:pt>
              </c:numCache>
            </c:numRef>
          </c:val>
          <c:extLst>
            <c:ext xmlns:c16="http://schemas.microsoft.com/office/drawing/2014/chart" uri="{C3380CC4-5D6E-409C-BE32-E72D297353CC}">
              <c16:uniqueId val="{00000008-7A9A-4B30-813C-2F4CDFF889B0}"/>
            </c:ext>
          </c:extLst>
        </c:ser>
        <c:ser>
          <c:idx val="0"/>
          <c:order val="9"/>
          <c:tx>
            <c:strRef>
              <c:f>Parameters!$BJ$5</c:f>
              <c:strCache>
                <c:ptCount val="1"/>
                <c:pt idx="0">
                  <c:v>Quiescent Current Loss %</c:v>
                </c:pt>
              </c:strCache>
            </c:strRef>
          </c:tx>
          <c:val>
            <c:numRef>
              <c:f>Parameters!$BJ$6:$BJ$106</c:f>
              <c:numCache>
                <c:formatCode>0.00%</c:formatCode>
                <c:ptCount val="101"/>
                <c:pt idx="0">
                  <c:v>0</c:v>
                </c:pt>
                <c:pt idx="1">
                  <c:v>0</c:v>
                </c:pt>
                <c:pt idx="2">
                  <c:v>0</c:v>
                </c:pt>
                <c:pt idx="3">
                  <c:v>0</c:v>
                </c:pt>
                <c:pt idx="100">
                  <c:v>0</c:v>
                </c:pt>
              </c:numCache>
            </c:numRef>
          </c:val>
          <c:extLst>
            <c:ext xmlns:c16="http://schemas.microsoft.com/office/drawing/2014/chart" uri="{C3380CC4-5D6E-409C-BE32-E72D297353CC}">
              <c16:uniqueId val="{00000009-7A9A-4B30-813C-2F4CDFF889B0}"/>
            </c:ext>
          </c:extLst>
        </c:ser>
        <c:ser>
          <c:idx val="9"/>
          <c:order val="10"/>
          <c:tx>
            <c:strRef>
              <c:f>Parameters!$BL$5</c:f>
              <c:strCache>
                <c:ptCount val="1"/>
                <c:pt idx="0">
                  <c:v>Overall Eff %</c:v>
                </c:pt>
              </c:strCache>
            </c:strRef>
          </c:tx>
          <c:spPr>
            <a:solidFill>
              <a:srgbClr val="000000"/>
            </a:solidFill>
            <a:ln w="12700">
              <a:solidFill>
                <a:srgbClr val="000000"/>
              </a:solidFill>
              <a:prstDash val="solid"/>
            </a:ln>
          </c:spPr>
          <c:val>
            <c:numRef>
              <c:f>Parameters!$BL$6:$BL$106</c:f>
              <c:numCache>
                <c:formatCode>0.00%</c:formatCode>
                <c:ptCount val="101"/>
                <c:pt idx="0">
                  <c:v>1</c:v>
                </c:pt>
                <c:pt idx="1">
                  <c:v>1</c:v>
                </c:pt>
                <c:pt idx="2">
                  <c:v>1</c:v>
                </c:pt>
                <c:pt idx="3">
                  <c:v>1</c:v>
                </c:pt>
                <c:pt idx="100">
                  <c:v>1</c:v>
                </c:pt>
              </c:numCache>
            </c:numRef>
          </c:val>
          <c:extLst>
            <c:ext xmlns:c16="http://schemas.microsoft.com/office/drawing/2014/chart" uri="{C3380CC4-5D6E-409C-BE32-E72D297353CC}">
              <c16:uniqueId val="{0000000A-7A9A-4B30-813C-2F4CDFF889B0}"/>
            </c:ext>
          </c:extLst>
        </c:ser>
        <c:dLbls>
          <c:showLegendKey val="0"/>
          <c:showVal val="0"/>
          <c:showCatName val="0"/>
          <c:showSerName val="0"/>
          <c:showPercent val="0"/>
          <c:showBubbleSize val="0"/>
        </c:dLbls>
        <c:axId val="447100416"/>
        <c:axId val="447102336"/>
      </c:areaChart>
      <c:catAx>
        <c:axId val="447100416"/>
        <c:scaling>
          <c:orientation val="minMax"/>
        </c:scaling>
        <c:delete val="0"/>
        <c:axPos val="b"/>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I</a:t>
                </a:r>
                <a:r>
                  <a:rPr lang="en-US" baseline="-25000"/>
                  <a:t>OUT</a:t>
                </a:r>
                <a:r>
                  <a:rPr lang="en-US"/>
                  <a:t> (log scale)</a:t>
                </a:r>
              </a:p>
            </c:rich>
          </c:tx>
          <c:layout>
            <c:manualLayout>
              <c:xMode val="edge"/>
              <c:yMode val="edge"/>
              <c:x val="0.36670200647119611"/>
              <c:y val="0.89150460843557344"/>
            </c:manualLayout>
          </c:layout>
          <c:overlay val="0"/>
          <c:spPr>
            <a:noFill/>
            <a:ln w="25400">
              <a:noFill/>
            </a:ln>
          </c:spPr>
        </c:title>
        <c:numFmt formatCode="#,##0" sourceLinked="0"/>
        <c:majorTickMark val="out"/>
        <c:minorTickMark val="none"/>
        <c:tickLblPos val="none"/>
        <c:spPr>
          <a:ln w="3175">
            <a:solidFill>
              <a:srgbClr val="000000"/>
            </a:solidFill>
            <a:prstDash val="solid"/>
          </a:ln>
        </c:spPr>
        <c:txPr>
          <a:bodyPr rot="-5400000" vert="horz"/>
          <a:lstStyle/>
          <a:p>
            <a:pPr>
              <a:defRPr lang="ja-JP" sz="1725" b="0" i="0" u="none" strike="noStrike" baseline="0">
                <a:solidFill>
                  <a:srgbClr val="000000"/>
                </a:solidFill>
                <a:latin typeface="Arial"/>
                <a:ea typeface="Arial"/>
                <a:cs typeface="Arial"/>
              </a:defRPr>
            </a:pPr>
            <a:endParaRPr lang="en-US"/>
          </a:p>
        </c:txPr>
        <c:crossAx val="447102336"/>
        <c:crosses val="autoZero"/>
        <c:auto val="1"/>
        <c:lblAlgn val="ctr"/>
        <c:lblOffset val="100"/>
        <c:tickMarkSkip val="1"/>
        <c:noMultiLvlLbl val="0"/>
      </c:catAx>
      <c:valAx>
        <c:axId val="447102336"/>
        <c:scaling>
          <c:orientation val="minMax"/>
          <c:max val="0.2"/>
          <c:min val="0"/>
        </c:scaling>
        <c:delete val="0"/>
        <c:axPos val="l"/>
        <c:majorGridlines>
          <c:spPr>
            <a:ln w="3175">
              <a:solidFill>
                <a:srgbClr val="000000"/>
              </a:solidFill>
              <a:prstDash val="solid"/>
            </a:ln>
          </c:spPr>
        </c:majorGridlines>
        <c:title>
          <c:tx>
            <c:rich>
              <a:bodyPr/>
              <a:lstStyle/>
              <a:p>
                <a:pPr>
                  <a:defRPr lang="ja-JP" sz="1725" b="1" i="0" u="none" strike="noStrike" baseline="0">
                    <a:solidFill>
                      <a:srgbClr val="000000"/>
                    </a:solidFill>
                    <a:latin typeface="Arial"/>
                    <a:ea typeface="Arial"/>
                    <a:cs typeface="Arial"/>
                  </a:defRPr>
                </a:pPr>
                <a:r>
                  <a:rPr lang="en-US"/>
                  <a:t>Efficiency (%)</a:t>
                </a:r>
              </a:p>
            </c:rich>
          </c:tx>
          <c:layout>
            <c:manualLayout>
              <c:xMode val="edge"/>
              <c:yMode val="edge"/>
              <c:x val="0.10744349235757295"/>
              <c:y val="0.319433183553308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100416"/>
        <c:crosses val="autoZero"/>
        <c:crossBetween val="midCat"/>
        <c:majorUnit val="0.05"/>
      </c:valAx>
      <c:spPr>
        <a:solidFill>
          <a:srgbClr val="C0C0C0"/>
        </a:solidFill>
        <a:ln w="12700">
          <a:solidFill>
            <a:srgbClr val="808080"/>
          </a:solidFill>
          <a:prstDash val="solid"/>
        </a:ln>
      </c:spPr>
    </c:plotArea>
    <c:legend>
      <c:legendPos val="r"/>
      <c:layout>
        <c:manualLayout>
          <c:xMode val="edge"/>
          <c:yMode val="edge"/>
          <c:x val="0.6796348064312191"/>
          <c:y val="5.737748792134436E-2"/>
          <c:w val="0.26010897805044486"/>
          <c:h val="0.85864261581306134"/>
        </c:manualLayout>
      </c:layout>
      <c:overlay val="0"/>
      <c:spPr>
        <a:solidFill>
          <a:srgbClr val="FFFFFF"/>
        </a:solidFill>
        <a:ln w="3175">
          <a:solidFill>
            <a:srgbClr val="000000"/>
          </a:solidFill>
          <a:prstDash val="solid"/>
        </a:ln>
      </c:spPr>
      <c:txPr>
        <a:bodyPr/>
        <a:lstStyle/>
        <a:p>
          <a:pPr>
            <a:defRPr lang="ja-JP" sz="13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189" r="0.75000000000000189"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lineChart>
        <c:grouping val="standard"/>
        <c:varyColors val="0"/>
        <c:ser>
          <c:idx val="0"/>
          <c:order val="0"/>
          <c:tx>
            <c:v> Efficiency</c:v>
          </c:tx>
          <c:spPr>
            <a:ln w="31750">
              <a:solidFill>
                <a:srgbClr val="FF0000"/>
              </a:solidFill>
              <a:prstDash val="solid"/>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Parameters!$BZ$6:$BZ$106</c:f>
              <c:numCache>
                <c:formatCode>0.00</c:formatCode>
                <c:ptCount val="101"/>
                <c:pt idx="0">
                  <c:v>100</c:v>
                </c:pt>
                <c:pt idx="1">
                  <c:v>100</c:v>
                </c:pt>
                <c:pt idx="2">
                  <c:v>100</c:v>
                </c:pt>
                <c:pt idx="3">
                  <c:v>100</c:v>
                </c:pt>
                <c:pt idx="100">
                  <c:v>100</c:v>
                </c:pt>
              </c:numCache>
            </c:numRef>
          </c:val>
          <c:smooth val="1"/>
          <c:extLst>
            <c:ext xmlns:c16="http://schemas.microsoft.com/office/drawing/2014/chart" uri="{C3380CC4-5D6E-409C-BE32-E72D297353CC}">
              <c16:uniqueId val="{00000000-D674-43A0-9F82-F4A92FBE8268}"/>
            </c:ext>
          </c:extLst>
        </c:ser>
        <c:dLbls>
          <c:showLegendKey val="0"/>
          <c:showVal val="0"/>
          <c:showCatName val="0"/>
          <c:showSerName val="0"/>
          <c:showPercent val="0"/>
          <c:showBubbleSize val="0"/>
        </c:dLbls>
        <c:marker val="1"/>
        <c:smooth val="0"/>
        <c:axId val="447149952"/>
        <c:axId val="447291392"/>
      </c:lineChart>
      <c:lineChart>
        <c:grouping val="standard"/>
        <c:varyColors val="0"/>
        <c:ser>
          <c:idx val="2"/>
          <c:order val="1"/>
          <c:tx>
            <c:v> IC Total Power Loss</c:v>
          </c:tx>
          <c:spPr>
            <a:ln w="38100">
              <a:solidFill>
                <a:srgbClr val="808000"/>
              </a:solidFill>
              <a:prstDash val="sys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Parameters!$CA$6:$CA$106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1-D674-43A0-9F82-F4A92FBE8268}"/>
            </c:ext>
          </c:extLst>
        </c:ser>
        <c:ser>
          <c:idx val="1"/>
          <c:order val="2"/>
          <c:tx>
            <c:v> LDO + Quiescent Loss</c:v>
          </c:tx>
          <c:spPr>
            <a:ln w="38100">
              <a:solidFill>
                <a:srgbClr val="002060"/>
              </a:solidFill>
              <a:prstDash val="sysDot"/>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Parameters!$CB$6:$CB$106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2-D674-43A0-9F82-F4A92FBE8268}"/>
            </c:ext>
          </c:extLst>
        </c:ser>
        <c:ser>
          <c:idx val="3"/>
          <c:order val="3"/>
          <c:tx>
            <c:v> Inductor Loss</c:v>
          </c:tx>
          <c:spPr>
            <a:ln w="38100">
              <a:solidFill>
                <a:srgbClr val="800080"/>
              </a:solidFill>
              <a:prstDash val="dash"/>
            </a:ln>
          </c:spPr>
          <c:marker>
            <c:symbol val="none"/>
          </c:marker>
          <c:cat>
            <c:numRef>
              <c:f>Parameters!$BN$6:$BN$106</c:f>
              <c:numCache>
                <c:formatCode>0.000</c:formatCode>
                <c:ptCount val="101"/>
                <c:pt idx="0">
                  <c:v>1</c:v>
                </c:pt>
                <c:pt idx="1">
                  <c:v>10</c:v>
                </c:pt>
                <c:pt idx="2">
                  <c:v>20</c:v>
                </c:pt>
                <c:pt idx="3">
                  <c:v>30</c:v>
                </c:pt>
                <c:pt idx="100">
                  <c:v>1000</c:v>
                </c:pt>
              </c:numCache>
            </c:numRef>
          </c:cat>
          <c:val>
            <c:numRef>
              <c:f>Parameters!$CC$6:$CC$106</c:f>
              <c:numCache>
                <c:formatCode>0.00</c:formatCode>
                <c:ptCount val="101"/>
                <c:pt idx="0">
                  <c:v>0</c:v>
                </c:pt>
                <c:pt idx="1">
                  <c:v>0</c:v>
                </c:pt>
                <c:pt idx="2">
                  <c:v>0</c:v>
                </c:pt>
                <c:pt idx="3">
                  <c:v>0</c:v>
                </c:pt>
                <c:pt idx="100">
                  <c:v>0</c:v>
                </c:pt>
              </c:numCache>
            </c:numRef>
          </c:val>
          <c:smooth val="0"/>
          <c:extLst>
            <c:ext xmlns:c16="http://schemas.microsoft.com/office/drawing/2014/chart" uri="{C3380CC4-5D6E-409C-BE32-E72D297353CC}">
              <c16:uniqueId val="{00000003-D674-43A0-9F82-F4A92FBE8268}"/>
            </c:ext>
          </c:extLst>
        </c:ser>
        <c:dLbls>
          <c:showLegendKey val="0"/>
          <c:showVal val="0"/>
          <c:showCatName val="0"/>
          <c:showSerName val="0"/>
          <c:showPercent val="0"/>
          <c:showBubbleSize val="0"/>
        </c:dLbls>
        <c:marker val="1"/>
        <c:smooth val="0"/>
        <c:axId val="447303680"/>
        <c:axId val="447293312"/>
      </c:lineChart>
      <c:catAx>
        <c:axId val="447149952"/>
        <c:scaling>
          <c:orientation val="minMax"/>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291392"/>
        <c:crosses val="autoZero"/>
        <c:auto val="1"/>
        <c:lblAlgn val="ctr"/>
        <c:lblOffset val="100"/>
        <c:tickLblSkip val="20"/>
        <c:tickMarkSkip val="20"/>
        <c:noMultiLvlLbl val="0"/>
      </c:catAx>
      <c:valAx>
        <c:axId val="447291392"/>
        <c:scaling>
          <c:orientation val="minMax"/>
          <c:max val="95"/>
          <c:min val="65"/>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149952"/>
        <c:crossesAt val="0"/>
        <c:crossBetween val="between"/>
        <c:majorUnit val="5"/>
        <c:minorUnit val="2.5"/>
      </c:valAx>
      <c:valAx>
        <c:axId val="447293312"/>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720616195060426"/>
              <c:y val="0.34716258649486992"/>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303680"/>
        <c:crosses val="max"/>
        <c:crossBetween val="between"/>
      </c:valAx>
      <c:catAx>
        <c:axId val="447303680"/>
        <c:scaling>
          <c:orientation val="minMax"/>
        </c:scaling>
        <c:delete val="1"/>
        <c:axPos val="b"/>
        <c:numFmt formatCode="0.000" sourceLinked="1"/>
        <c:majorTickMark val="out"/>
        <c:minorTickMark val="none"/>
        <c:tickLblPos val="nextTo"/>
        <c:crossAx val="447293312"/>
        <c:crosses val="autoZero"/>
        <c:auto val="1"/>
        <c:lblAlgn val="ctr"/>
        <c:lblOffset val="100"/>
        <c:noMultiLvlLbl val="0"/>
      </c:catAx>
      <c:spPr>
        <a:noFill/>
        <a:ln w="25400">
          <a:noFill/>
        </a:ln>
      </c:spPr>
    </c:plotArea>
    <c:legend>
      <c:legendPos val="t"/>
      <c:layout>
        <c:manualLayout>
          <c:xMode val="edge"/>
          <c:yMode val="edge"/>
          <c:x val="0.38866500767592732"/>
          <c:y val="1.1892546194234431E-2"/>
          <c:w val="0.61133499232407273"/>
          <c:h val="9.7234170816987084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sz="2000" b="1" i="0" u="none" strike="noStrike" baseline="0">
                <a:solidFill>
                  <a:srgbClr val="000000"/>
                </a:solidFill>
                <a:latin typeface="Arial" pitchFamily="34" charset="0"/>
                <a:ea typeface="Calibri"/>
                <a:cs typeface="Arial" pitchFamily="34" charset="0"/>
              </a:defRPr>
            </a:pPr>
            <a:r>
              <a:rPr lang="en-US" sz="2000">
                <a:latin typeface="Arial" pitchFamily="34" charset="0"/>
                <a:cs typeface="Arial" pitchFamily="34" charset="0"/>
                <a:sym typeface="Symbol"/>
              </a:rPr>
              <a:t></a:t>
            </a:r>
            <a:r>
              <a:rPr lang="en-US" sz="2000" b="1" i="0" u="none" strike="noStrike" baseline="0"/>
              <a:t>, V</a:t>
            </a:r>
            <a:r>
              <a:rPr lang="en-US" sz="2000" b="1" i="0" u="none" strike="noStrike" baseline="-25000"/>
              <a:t>IN</a:t>
            </a:r>
            <a:r>
              <a:rPr lang="en-US" sz="2000" b="1" i="0" u="none" strike="noStrike" baseline="0"/>
              <a:t> = V</a:t>
            </a:r>
            <a:r>
              <a:rPr lang="en-US" sz="2000" b="1" i="0" u="none" strike="noStrike" baseline="-25000"/>
              <a:t>IN(nom)</a:t>
            </a:r>
            <a:endParaRPr lang="en-US" sz="2000">
              <a:latin typeface="Arial" pitchFamily="34" charset="0"/>
              <a:cs typeface="Arial" pitchFamily="34" charset="0"/>
            </a:endParaRPr>
          </a:p>
        </c:rich>
      </c:tx>
      <c:layout>
        <c:manualLayout>
          <c:xMode val="edge"/>
          <c:yMode val="edge"/>
          <c:x val="0.10084794235626206"/>
          <c:y val="2.0639566697272373E-2"/>
        </c:manualLayout>
      </c:layout>
      <c:overlay val="0"/>
      <c:spPr>
        <a:noFill/>
        <a:ln w="25400">
          <a:noFill/>
        </a:ln>
      </c:spPr>
    </c:title>
    <c:autoTitleDeleted val="0"/>
    <c:plotArea>
      <c:layout>
        <c:manualLayout>
          <c:layoutTarget val="inner"/>
          <c:xMode val="edge"/>
          <c:yMode val="edge"/>
          <c:x val="8.5540561846730284E-2"/>
          <c:y val="0.12372903654825702"/>
          <c:w val="0.82265898741455901"/>
          <c:h val="0.76068566810117366"/>
        </c:manualLayout>
      </c:layout>
      <c:scatterChart>
        <c:scatterStyle val="smoothMarker"/>
        <c:varyColors val="0"/>
        <c:ser>
          <c:idx val="0"/>
          <c:order val="0"/>
          <c:tx>
            <c:v> Efficiency</c:v>
          </c:tx>
          <c:spPr>
            <a:ln w="31750">
              <a:solidFill>
                <a:srgbClr val="FF0000"/>
              </a:solidFill>
              <a:prstDash val="solid"/>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Parameters!$BZ$6:$BZ$106</c:f>
              <c:numCache>
                <c:formatCode>0.00</c:formatCode>
                <c:ptCount val="101"/>
                <c:pt idx="0">
                  <c:v>100</c:v>
                </c:pt>
                <c:pt idx="1">
                  <c:v>100</c:v>
                </c:pt>
                <c:pt idx="2">
                  <c:v>100</c:v>
                </c:pt>
                <c:pt idx="3">
                  <c:v>100</c:v>
                </c:pt>
                <c:pt idx="100">
                  <c:v>100</c:v>
                </c:pt>
              </c:numCache>
            </c:numRef>
          </c:yVal>
          <c:smooth val="1"/>
          <c:extLst>
            <c:ext xmlns:c16="http://schemas.microsoft.com/office/drawing/2014/chart" uri="{C3380CC4-5D6E-409C-BE32-E72D297353CC}">
              <c16:uniqueId val="{00000000-5AFA-4F10-B325-54957BB039CB}"/>
            </c:ext>
          </c:extLst>
        </c:ser>
        <c:dLbls>
          <c:showLegendKey val="0"/>
          <c:showVal val="0"/>
          <c:showCatName val="0"/>
          <c:showSerName val="0"/>
          <c:showPercent val="0"/>
          <c:showBubbleSize val="0"/>
        </c:dLbls>
        <c:axId val="447422464"/>
        <c:axId val="447424384"/>
      </c:scatterChart>
      <c:scatterChart>
        <c:scatterStyle val="smoothMarker"/>
        <c:varyColors val="0"/>
        <c:ser>
          <c:idx val="2"/>
          <c:order val="1"/>
          <c:tx>
            <c:v> IC Total Power Loss</c:v>
          </c:tx>
          <c:spPr>
            <a:ln w="38100">
              <a:solidFill>
                <a:srgbClr val="808000"/>
              </a:solidFill>
              <a:prstDash val="sys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Parameters!$CA$6:$CA$106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1-5AFA-4F10-B325-54957BB039CB}"/>
            </c:ext>
          </c:extLst>
        </c:ser>
        <c:ser>
          <c:idx val="1"/>
          <c:order val="2"/>
          <c:tx>
            <c:v> LDO + Quiescent Loss</c:v>
          </c:tx>
          <c:spPr>
            <a:ln w="38100">
              <a:solidFill>
                <a:srgbClr val="002060"/>
              </a:solidFill>
              <a:prstDash val="sysDot"/>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Parameters!$CB$6:$CB$106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2-5AFA-4F10-B325-54957BB039CB}"/>
            </c:ext>
          </c:extLst>
        </c:ser>
        <c:ser>
          <c:idx val="3"/>
          <c:order val="3"/>
          <c:tx>
            <c:v> Inductor Loss</c:v>
          </c:tx>
          <c:spPr>
            <a:ln w="38100">
              <a:solidFill>
                <a:srgbClr val="800080"/>
              </a:solidFill>
              <a:prstDash val="dash"/>
            </a:ln>
          </c:spPr>
          <c:marker>
            <c:symbol val="none"/>
          </c:marker>
          <c:xVal>
            <c:numRef>
              <c:f>Parameters!$BN$6:$BN$106</c:f>
              <c:numCache>
                <c:formatCode>0.000</c:formatCode>
                <c:ptCount val="101"/>
                <c:pt idx="0">
                  <c:v>1</c:v>
                </c:pt>
                <c:pt idx="1">
                  <c:v>10</c:v>
                </c:pt>
                <c:pt idx="2">
                  <c:v>20</c:v>
                </c:pt>
                <c:pt idx="3">
                  <c:v>30</c:v>
                </c:pt>
                <c:pt idx="100">
                  <c:v>1000</c:v>
                </c:pt>
              </c:numCache>
            </c:numRef>
          </c:xVal>
          <c:yVal>
            <c:numRef>
              <c:f>Parameters!$CC$6:$CC$106</c:f>
              <c:numCache>
                <c:formatCode>0.00</c:formatCode>
                <c:ptCount val="101"/>
                <c:pt idx="0">
                  <c:v>0</c:v>
                </c:pt>
                <c:pt idx="1">
                  <c:v>0</c:v>
                </c:pt>
                <c:pt idx="2">
                  <c:v>0</c:v>
                </c:pt>
                <c:pt idx="3">
                  <c:v>0</c:v>
                </c:pt>
                <c:pt idx="100">
                  <c:v>0</c:v>
                </c:pt>
              </c:numCache>
            </c:numRef>
          </c:yVal>
          <c:smooth val="1"/>
          <c:extLst>
            <c:ext xmlns:c16="http://schemas.microsoft.com/office/drawing/2014/chart" uri="{C3380CC4-5D6E-409C-BE32-E72D297353CC}">
              <c16:uniqueId val="{00000003-5AFA-4F10-B325-54957BB039CB}"/>
            </c:ext>
          </c:extLst>
        </c:ser>
        <c:dLbls>
          <c:showLegendKey val="0"/>
          <c:showVal val="0"/>
          <c:showCatName val="0"/>
          <c:showSerName val="0"/>
          <c:showPercent val="0"/>
          <c:showBubbleSize val="0"/>
        </c:dLbls>
        <c:axId val="447432576"/>
        <c:axId val="447430656"/>
      </c:scatterChart>
      <c:valAx>
        <c:axId val="447422464"/>
        <c:scaling>
          <c:logBase val="10"/>
          <c:orientation val="minMax"/>
          <c:min val="0.1"/>
        </c:scaling>
        <c:delete val="0"/>
        <c:axPos val="b"/>
        <c:majorGridlines>
          <c:spPr>
            <a:ln w="15875">
              <a:solidFill>
                <a:srgbClr val="969696"/>
              </a:solidFill>
              <a:prstDash val="sysDash"/>
            </a:ln>
          </c:spPr>
        </c:majorGridlines>
        <c:title>
          <c:tx>
            <c:rich>
              <a:bodyPr/>
              <a:lstStyle/>
              <a:p>
                <a:pPr>
                  <a:defRPr lang="ja-JP" sz="1300" b="1" i="0" u="none" strike="noStrike" baseline="0">
                    <a:solidFill>
                      <a:sysClr val="windowText" lastClr="000000"/>
                    </a:solidFill>
                    <a:latin typeface="Arial" pitchFamily="34" charset="0"/>
                    <a:ea typeface="Calibri"/>
                    <a:cs typeface="Arial" pitchFamily="34" charset="0"/>
                  </a:defRPr>
                </a:pPr>
                <a:r>
                  <a:rPr lang="en-US" sz="1300">
                    <a:solidFill>
                      <a:sysClr val="windowText" lastClr="000000"/>
                    </a:solidFill>
                    <a:latin typeface="Arial" pitchFamily="34" charset="0"/>
                    <a:cs typeface="Arial" pitchFamily="34" charset="0"/>
                  </a:rPr>
                  <a:t>Load Current (mA)</a:t>
                </a:r>
              </a:p>
            </c:rich>
          </c:tx>
          <c:layout>
            <c:manualLayout>
              <c:xMode val="edge"/>
              <c:yMode val="edge"/>
              <c:x val="0.41625343343709942"/>
              <c:y val="0.94571913573731337"/>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lang="ja-JP" sz="1100" b="1" i="0" u="none" strike="noStrike" baseline="0">
                <a:solidFill>
                  <a:srgbClr val="000000"/>
                </a:solidFill>
                <a:latin typeface="Arial" pitchFamily="34" charset="0"/>
                <a:ea typeface="Calibri"/>
                <a:cs typeface="Arial" pitchFamily="34" charset="0"/>
              </a:defRPr>
            </a:pPr>
            <a:endParaRPr lang="en-US"/>
          </a:p>
        </c:txPr>
        <c:crossAx val="447424384"/>
        <c:crosses val="autoZero"/>
        <c:crossBetween val="midCat"/>
      </c:valAx>
      <c:valAx>
        <c:axId val="447424384"/>
        <c:scaling>
          <c:orientation val="minMax"/>
          <c:max val="95"/>
          <c:min val="60"/>
        </c:scaling>
        <c:delete val="0"/>
        <c:axPos val="l"/>
        <c:majorGridlines>
          <c:spPr>
            <a:ln w="15875">
              <a:solidFill>
                <a:srgbClr val="808080"/>
              </a:solidFill>
              <a:prstDash val="solid"/>
            </a:ln>
          </c:spPr>
        </c:majorGridlines>
        <c:minorGridlines/>
        <c:title>
          <c:tx>
            <c:rich>
              <a:bodyPr/>
              <a:lstStyle/>
              <a:p>
                <a:pPr>
                  <a:defRPr lang="ja-JP" sz="1400" b="1" i="0" u="none" strike="noStrike" baseline="0">
                    <a:solidFill>
                      <a:srgbClr val="FF0000"/>
                    </a:solidFill>
                    <a:latin typeface="Arial" pitchFamily="34" charset="0"/>
                    <a:ea typeface="Calibri"/>
                    <a:cs typeface="Arial" pitchFamily="34" charset="0"/>
                  </a:defRPr>
                </a:pPr>
                <a:r>
                  <a:rPr lang="en-US" sz="1400" b="1">
                    <a:solidFill>
                      <a:srgbClr val="FF0000"/>
                    </a:solidFill>
                    <a:latin typeface="Arial" pitchFamily="34" charset="0"/>
                    <a:cs typeface="Arial" pitchFamily="34" charset="0"/>
                  </a:rPr>
                  <a:t>Efficiency (%)</a:t>
                </a:r>
              </a:p>
            </c:rich>
          </c:tx>
          <c:layout>
            <c:manualLayout>
              <c:xMode val="edge"/>
              <c:yMode val="edge"/>
              <c:x val="1.2871858674081443E-2"/>
              <c:y val="0.37638177915688398"/>
            </c:manualLayout>
          </c:layout>
          <c:overlay val="0"/>
          <c:spPr>
            <a:noFill/>
            <a:ln w="25400">
              <a:noFill/>
            </a:ln>
          </c:spPr>
        </c:title>
        <c:numFmt formatCode="#,##0" sourceLinked="0"/>
        <c:majorTickMark val="out"/>
        <c:minorTickMark val="out"/>
        <c:tickLblPos val="nextTo"/>
        <c:spPr>
          <a:ln w="3175">
            <a:solidFill>
              <a:srgbClr val="000000"/>
            </a:solidFill>
            <a:prstDash val="solid"/>
          </a:ln>
        </c:spPr>
        <c:txPr>
          <a:bodyPr rot="0" vert="horz"/>
          <a:lstStyle/>
          <a:p>
            <a:pPr>
              <a:defRPr lang="ja-JP" sz="1100" b="1" i="0" u="none" strike="noStrike" baseline="0">
                <a:solidFill>
                  <a:srgbClr val="FF0000"/>
                </a:solidFill>
                <a:latin typeface="Arial" pitchFamily="34" charset="0"/>
                <a:ea typeface="Calibri"/>
                <a:cs typeface="Arial" pitchFamily="34" charset="0"/>
              </a:defRPr>
            </a:pPr>
            <a:endParaRPr lang="en-US"/>
          </a:p>
        </c:txPr>
        <c:crossAx val="447422464"/>
        <c:crossesAt val="0"/>
        <c:crossBetween val="midCat"/>
        <c:majorUnit val="5"/>
        <c:minorUnit val="2.5"/>
      </c:valAx>
      <c:valAx>
        <c:axId val="447430656"/>
        <c:scaling>
          <c:orientation val="minMax"/>
        </c:scaling>
        <c:delete val="0"/>
        <c:axPos val="r"/>
        <c:title>
          <c:tx>
            <c:rich>
              <a:bodyPr rot="-5400000" vert="horz"/>
              <a:lstStyle/>
              <a:p>
                <a:pPr>
                  <a:defRPr lang="ja-JP" sz="1400" b="1">
                    <a:solidFill>
                      <a:srgbClr val="0000FF"/>
                    </a:solidFill>
                  </a:defRPr>
                </a:pPr>
                <a:r>
                  <a:rPr lang="en-US" sz="1400" b="1">
                    <a:solidFill>
                      <a:srgbClr val="0000FF"/>
                    </a:solidFill>
                  </a:rPr>
                  <a:t>Power Loss (mW)</a:t>
                </a:r>
              </a:p>
            </c:rich>
          </c:tx>
          <c:layout>
            <c:manualLayout>
              <c:xMode val="edge"/>
              <c:yMode val="edge"/>
              <c:x val="0.95563568688189593"/>
              <c:y val="0.33988985922214265"/>
            </c:manualLayout>
          </c:layout>
          <c:overlay val="0"/>
        </c:title>
        <c:numFmt formatCode="0" sourceLinked="0"/>
        <c:majorTickMark val="out"/>
        <c:minorTickMark val="none"/>
        <c:tickLblPos val="nextTo"/>
        <c:txPr>
          <a:bodyPr/>
          <a:lstStyle/>
          <a:p>
            <a:pPr>
              <a:defRPr lang="ja-JP" sz="1100" b="1">
                <a:solidFill>
                  <a:srgbClr val="0000FF"/>
                </a:solidFill>
              </a:defRPr>
            </a:pPr>
            <a:endParaRPr lang="en-US"/>
          </a:p>
        </c:txPr>
        <c:crossAx val="447432576"/>
        <c:crosses val="max"/>
        <c:crossBetween val="midCat"/>
      </c:valAx>
      <c:valAx>
        <c:axId val="447432576"/>
        <c:scaling>
          <c:logBase val="10"/>
          <c:orientation val="minMax"/>
        </c:scaling>
        <c:delete val="1"/>
        <c:axPos val="b"/>
        <c:numFmt formatCode="0.000" sourceLinked="1"/>
        <c:majorTickMark val="out"/>
        <c:minorTickMark val="none"/>
        <c:tickLblPos val="nextTo"/>
        <c:crossAx val="447430656"/>
        <c:crosses val="autoZero"/>
        <c:crossBetween val="midCat"/>
      </c:valAx>
      <c:spPr>
        <a:noFill/>
        <a:ln w="25400">
          <a:noFill/>
        </a:ln>
      </c:spPr>
    </c:plotArea>
    <c:legend>
      <c:legendPos val="t"/>
      <c:layout>
        <c:manualLayout>
          <c:xMode val="edge"/>
          <c:yMode val="edge"/>
          <c:x val="0.38866500344700727"/>
          <c:y val="1.1892546194234431E-2"/>
          <c:w val="0.61133499655299273"/>
          <c:h val="9.2790073968026715E-2"/>
        </c:manualLayout>
      </c:layout>
      <c:overlay val="0"/>
      <c:spPr>
        <a:solidFill>
          <a:srgbClr val="FFFFFF"/>
        </a:solidFill>
        <a:ln w="25400">
          <a:noFill/>
        </a:ln>
      </c:spPr>
      <c:txPr>
        <a:bodyPr/>
        <a:lstStyle/>
        <a:p>
          <a:pPr>
            <a:defRPr lang="ja-JP" sz="1200" b="0" i="0" u="none" strike="noStrike" baseline="0">
              <a:solidFill>
                <a:srgbClr val="000000"/>
              </a:solidFill>
              <a:latin typeface="Arial" pitchFamily="34" charset="0"/>
              <a:ea typeface="Calibri"/>
              <a:cs typeface="Arial" pitchFamily="34" charset="0"/>
            </a:defRPr>
          </a:pPr>
          <a:endParaRPr lang="en-US"/>
        </a:p>
      </c:txPr>
    </c:legend>
    <c:plotVisOnly val="1"/>
    <c:dispBlanksAs val="gap"/>
    <c:showDLblsOverMax val="0"/>
  </c:chart>
  <c:spPr>
    <a:solidFill>
      <a:schemeClr val="bg1"/>
    </a:solidFill>
    <a:ln w="9525">
      <a:solidFill>
        <a:srgbClr val="808080"/>
      </a:solid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666" r="0.75000000000000666" t="1" header="0.5" footer="0.5"/>
    <c:pageSetup paperSize="5" orientation="portrait"/>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ja-JP"/>
            </a:pPr>
            <a:r>
              <a:rPr lang="en-US" sz="1800" b="1" i="0" baseline="0"/>
              <a:t>Breakdown of </a:t>
            </a:r>
            <a:r>
              <a:rPr lang="en-US" sz="1800" b="1" i="0" baseline="0">
                <a:solidFill>
                  <a:srgbClr val="FF0000"/>
                </a:solidFill>
              </a:rPr>
              <a:t>COT</a:t>
            </a:r>
            <a:r>
              <a:rPr lang="en-US" sz="1800" b="1" i="0" baseline="0"/>
              <a:t> Efficiency Losses (</a:t>
            </a:r>
            <a:r>
              <a:rPr lang="en-US" sz="1800" b="1" i="0" u="none" strike="noStrike" baseline="0"/>
              <a:t>I</a:t>
            </a:r>
            <a:r>
              <a:rPr lang="en-US" sz="1800" b="1" i="0" u="none" strike="noStrike" baseline="-25000"/>
              <a:t>OUT</a:t>
            </a:r>
            <a:r>
              <a:rPr lang="en-US" sz="1800" b="1" i="0" u="none" strike="noStrike" baseline="0"/>
              <a:t> = </a:t>
            </a:r>
            <a:r>
              <a:rPr lang="en-US" sz="1800" b="1" i="0" baseline="0"/>
              <a:t>1mA)</a:t>
            </a:r>
            <a:endParaRPr lang="en-US" sz="1800"/>
          </a:p>
        </c:rich>
      </c:tx>
      <c:layout>
        <c:manualLayout>
          <c:xMode val="edge"/>
          <c:yMode val="edge"/>
          <c:x val="0.32963167587477016"/>
          <c:y val="3.5906642728904876E-2"/>
        </c:manualLayout>
      </c:layout>
      <c:overlay val="0"/>
    </c:title>
    <c:autoTitleDeleted val="0"/>
    <c:plotArea>
      <c:layout>
        <c:manualLayout>
          <c:layoutTarget val="inner"/>
          <c:xMode val="edge"/>
          <c:yMode val="edge"/>
          <c:x val="9.2844202898550721E-2"/>
          <c:y val="0.14821658962288614"/>
          <c:w val="0.89442960513913661"/>
          <c:h val="0.76382419881536368"/>
        </c:manualLayout>
      </c:layout>
      <c:barChart>
        <c:barDir val="col"/>
        <c:grouping val="clustered"/>
        <c:varyColors val="0"/>
        <c:ser>
          <c:idx val="6"/>
          <c:order val="0"/>
          <c:tx>
            <c:strRef>
              <c:f>Parameters!$BA$5</c:f>
              <c:strCache>
                <c:ptCount val="1"/>
                <c:pt idx="0">
                  <c:v>High-side MOSFET Rdson %</c:v>
                </c:pt>
              </c:strCache>
            </c:strRef>
          </c:tx>
          <c:spPr>
            <a:solidFill>
              <a:srgbClr val="FF0000"/>
            </a:solidFill>
            <a:ln w="12700">
              <a:solidFill>
                <a:srgbClr val="000000"/>
              </a:solidFill>
              <a:prstDash val="solid"/>
            </a:ln>
          </c:spPr>
          <c:invertIfNegative val="0"/>
          <c:dLbls>
            <c:dLbl>
              <c:idx val="0"/>
              <c:tx>
                <c:rich>
                  <a:bodyPr/>
                  <a:lstStyle/>
                  <a:p>
                    <a:r>
                      <a:rPr lang="en-US"/>
                      <a:t>High-side MOSFET</a:t>
                    </a:r>
                  </a:p>
                  <a:p>
                    <a:r>
                      <a:rPr lang="en-US"/>
                      <a:t>Rdson</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Parameters!$BA$108</c:f>
              <c:numCache>
                <c:formatCode>0.000%</c:formatCode>
                <c:ptCount val="1"/>
                <c:pt idx="0">
                  <c:v>3.6409104085968987E-3</c:v>
                </c:pt>
              </c:numCache>
            </c:numRef>
          </c:val>
          <c:extLst>
            <c:ext xmlns:c16="http://schemas.microsoft.com/office/drawing/2014/chart" uri="{C3380CC4-5D6E-409C-BE32-E72D297353CC}">
              <c16:uniqueId val="{00000001-EB60-43FD-9662-DE13960A76D7}"/>
            </c:ext>
          </c:extLst>
        </c:ser>
        <c:ser>
          <c:idx val="5"/>
          <c:order val="1"/>
          <c:tx>
            <c:strRef>
              <c:f>Parameters!$BD$5</c:f>
              <c:strCache>
                <c:ptCount val="1"/>
                <c:pt idx="0">
                  <c:v>High-side MOSFET Switching Loss %</c:v>
                </c:pt>
              </c:strCache>
            </c:strRef>
          </c:tx>
          <c:spPr>
            <a:solidFill>
              <a:srgbClr val="0000FF"/>
            </a:solidFill>
            <a:ln w="12700">
              <a:solidFill>
                <a:srgbClr val="000000"/>
              </a:solidFill>
              <a:prstDash val="solid"/>
            </a:ln>
          </c:spPr>
          <c:invertIfNegative val="0"/>
          <c:dLbls>
            <c:dLbl>
              <c:idx val="0"/>
              <c:layout>
                <c:manualLayout>
                  <c:x val="-9.2081031307550637E-4"/>
                  <c:y val="-7.1813285457809741E-3"/>
                </c:manualLayout>
              </c:layout>
              <c:tx>
                <c:rich>
                  <a:bodyPr/>
                  <a:lstStyle/>
                  <a:p>
                    <a:r>
                      <a:rPr lang="en-US"/>
                      <a:t>High-side MOSFET</a:t>
                    </a:r>
                  </a:p>
                  <a:p>
                    <a:r>
                      <a:rPr lang="en-US"/>
                      <a:t>Switching</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EB60-43FD-9662-DE13960A76D7}"/>
                </c:ext>
              </c:extLst>
            </c:dLbl>
            <c:spPr>
              <a:noFill/>
              <a:ln>
                <a:noFill/>
              </a:ln>
              <a:effectLst/>
            </c:spPr>
            <c:txPr>
              <a:bodyPr/>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Parameters!$BD$108</c:f>
              <c:numCache>
                <c:formatCode>0.000%</c:formatCode>
                <c:ptCount val="1"/>
                <c:pt idx="0">
                  <c:v>4.5907837520612008E-3</c:v>
                </c:pt>
              </c:numCache>
            </c:numRef>
          </c:val>
          <c:extLst>
            <c:ext xmlns:c16="http://schemas.microsoft.com/office/drawing/2014/chart" uri="{C3380CC4-5D6E-409C-BE32-E72D297353CC}">
              <c16:uniqueId val="{00000003-EB60-43FD-9662-DE13960A76D7}"/>
            </c:ext>
          </c:extLst>
        </c:ser>
        <c:ser>
          <c:idx val="7"/>
          <c:order val="2"/>
          <c:tx>
            <c:strRef>
              <c:f>Parameters!$BB$5</c:f>
              <c:strCache>
                <c:ptCount val="1"/>
                <c:pt idx="0">
                  <c:v>Low-side MOSFET Rdson %</c:v>
                </c:pt>
              </c:strCache>
            </c:strRef>
          </c:tx>
          <c:spPr>
            <a:solidFill>
              <a:srgbClr val="FF6600"/>
            </a:solidFill>
            <a:ln w="12700">
              <a:solidFill>
                <a:srgbClr val="000000"/>
              </a:solidFill>
              <a:prstDash val="solid"/>
            </a:ln>
          </c:spPr>
          <c:invertIfNegative val="0"/>
          <c:dLbls>
            <c:dLbl>
              <c:idx val="0"/>
              <c:tx>
                <c:rich>
                  <a:bodyPr/>
                  <a:lstStyle/>
                  <a:p>
                    <a:r>
                      <a:rPr lang="en-US" sz="1200" b="1"/>
                      <a:t>L</a:t>
                    </a:r>
                    <a:r>
                      <a:rPr lang="en-US" sz="1200"/>
                      <a:t>ow-side MOSFET</a:t>
                    </a:r>
                  </a:p>
                  <a:p>
                    <a:r>
                      <a:rPr lang="en-US" sz="1200"/>
                      <a:t>Rdson</a:t>
                    </a:r>
                  </a:p>
                </c:rich>
              </c:tx>
              <c:dLblPos val="outEnd"/>
              <c:showLegendKey val="0"/>
              <c:showVal val="1"/>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EB60-43FD-9662-DE13960A76D7}"/>
                </c:ext>
              </c:extLst>
            </c:dLbl>
            <c:spPr>
              <a:noFill/>
              <a:ln>
                <a:noFill/>
              </a:ln>
              <a:effectLst/>
            </c:spPr>
            <c:txPr>
              <a:bodyPr/>
              <a:lstStyle/>
              <a:p>
                <a:pPr>
                  <a:defRPr lang="ja-JP" b="1"/>
                </a:pPr>
                <a:endParaRPr lang="en-US"/>
              </a:p>
            </c:txPr>
            <c:dLblPos val="out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Parameters!$BB$108</c:f>
              <c:numCache>
                <c:formatCode>0.000%</c:formatCode>
                <c:ptCount val="1"/>
                <c:pt idx="0">
                  <c:v>6.5692245841190103E-3</c:v>
                </c:pt>
              </c:numCache>
            </c:numRef>
          </c:val>
          <c:extLst>
            <c:ext xmlns:c16="http://schemas.microsoft.com/office/drawing/2014/chart" uri="{C3380CC4-5D6E-409C-BE32-E72D297353CC}">
              <c16:uniqueId val="{00000005-EB60-43FD-9662-DE13960A76D7}"/>
            </c:ext>
          </c:extLst>
        </c:ser>
        <c:ser>
          <c:idx val="3"/>
          <c:order val="3"/>
          <c:tx>
            <c:strRef>
              <c:f>Parameters!$BF$5</c:f>
              <c:strCache>
                <c:ptCount val="1"/>
                <c:pt idx="0">
                  <c:v>Deadtime Loss %</c:v>
                </c:pt>
              </c:strCache>
            </c:strRef>
          </c:tx>
          <c:spPr>
            <a:solidFill>
              <a:srgbClr val="666699"/>
            </a:solidFill>
            <a:ln w="12700">
              <a:solidFill>
                <a:srgbClr val="000000"/>
              </a:solidFill>
              <a:prstDash val="solid"/>
            </a:ln>
          </c:spPr>
          <c:invertIfNegative val="0"/>
          <c:dLbls>
            <c:dLbl>
              <c:idx val="0"/>
              <c:layout>
                <c:manualLayout>
                  <c:x val="0"/>
                  <c:y val="-9.5751047277079695E-3"/>
                </c:manualLayout>
              </c:layout>
              <c:tx>
                <c:rich>
                  <a:bodyPr/>
                  <a:lstStyle/>
                  <a:p>
                    <a:r>
                      <a:rPr lang="en-US"/>
                      <a:t>Low-side MOSFET</a:t>
                    </a:r>
                  </a:p>
                  <a:p>
                    <a:r>
                      <a:rPr lang="en-US"/>
                      <a:t>Deadtime </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EB60-43FD-9662-DE13960A76D7}"/>
                </c:ext>
              </c:extLst>
            </c:dLbl>
            <c:spPr>
              <a:noFill/>
              <a:ln>
                <a:noFill/>
              </a:ln>
              <a:effectLst/>
            </c:spPr>
            <c:txPr>
              <a:bodyPr/>
              <a:lstStyle/>
              <a:p>
                <a:pPr>
                  <a:defRPr lang="ja-JP" sz="1200" b="1"/>
                </a:pPr>
                <a:endParaRPr lang="en-US"/>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Parameters!$BF$108</c:f>
              <c:numCache>
                <c:formatCode>0.000%</c:formatCode>
                <c:ptCount val="1"/>
                <c:pt idx="0">
                  <c:v>7.3751579484765363E-4</c:v>
                </c:pt>
              </c:numCache>
            </c:numRef>
          </c:val>
          <c:extLst>
            <c:ext xmlns:c16="http://schemas.microsoft.com/office/drawing/2014/chart" uri="{C3380CC4-5D6E-409C-BE32-E72D297353CC}">
              <c16:uniqueId val="{00000007-EB60-43FD-9662-DE13960A76D7}"/>
            </c:ext>
          </c:extLst>
        </c:ser>
        <c:ser>
          <c:idx val="2"/>
          <c:order val="4"/>
          <c:tx>
            <c:strRef>
              <c:f>Parameters!$BC$5</c:f>
              <c:strCache>
                <c:ptCount val="1"/>
                <c:pt idx="0">
                  <c:v>Gate Drive (Qg) Loss from Vin %</c:v>
                </c:pt>
              </c:strCache>
            </c:strRef>
          </c:tx>
          <c:spPr>
            <a:solidFill>
              <a:srgbClr val="00FFFF"/>
            </a:solidFill>
            <a:ln w="12700">
              <a:solidFill>
                <a:srgbClr val="000000"/>
              </a:solidFill>
              <a:prstDash val="solid"/>
            </a:ln>
          </c:spPr>
          <c:invertIfNegative val="0"/>
          <c:dLbls>
            <c:dLbl>
              <c:idx val="0"/>
              <c:tx>
                <c:rich>
                  <a:bodyPr/>
                  <a:lstStyle/>
                  <a:p>
                    <a:r>
                      <a:rPr lang="en-US"/>
                      <a:t>Gate Drive (Qg)</a:t>
                    </a:r>
                  </a:p>
                  <a:p>
                    <a:r>
                      <a:rPr lang="en-US"/>
                      <a:t>Loss</a:t>
                    </a:r>
                  </a:p>
                </c:rich>
              </c:tx>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EB60-43FD-9662-DE13960A76D7}"/>
                </c:ext>
              </c:extLst>
            </c:dLbl>
            <c:spPr>
              <a:noFill/>
              <a:ln>
                <a:noFill/>
              </a:ln>
              <a:effectLst/>
            </c:spPr>
            <c:txPr>
              <a:bodyPr rot="0" vert="horz"/>
              <a:lstStyle/>
              <a:p>
                <a:pPr>
                  <a:defRPr lang="ja-JP" sz="1200" b="1"/>
                </a:pPr>
                <a:endParaRPr lang="en-US"/>
              </a:p>
            </c:txPr>
            <c:dLblPos val="outEnd"/>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Parameters!$BC$108</c:f>
              <c:numCache>
                <c:formatCode>0.000%</c:formatCode>
                <c:ptCount val="1"/>
                <c:pt idx="0">
                  <c:v>5.4394694205683519E-2</c:v>
                </c:pt>
              </c:numCache>
            </c:numRef>
          </c:val>
          <c:extLst>
            <c:ext xmlns:c16="http://schemas.microsoft.com/office/drawing/2014/chart" uri="{C3380CC4-5D6E-409C-BE32-E72D297353CC}">
              <c16:uniqueId val="{00000009-EB60-43FD-9662-DE13960A76D7}"/>
            </c:ext>
          </c:extLst>
        </c:ser>
        <c:ser>
          <c:idx val="1"/>
          <c:order val="5"/>
          <c:tx>
            <c:strRef>
              <c:f>Parameters!$BE$5</c:f>
              <c:strCache>
                <c:ptCount val="1"/>
                <c:pt idx="0">
                  <c:v>Reverse Recovery &amp; Leakage Loss %</c:v>
                </c:pt>
              </c:strCache>
            </c:strRef>
          </c:tx>
          <c:invertIfNegative val="0"/>
          <c:dLbls>
            <c:dLbl>
              <c:idx val="0"/>
              <c:tx>
                <c:rich>
                  <a:bodyPr/>
                  <a:lstStyle/>
                  <a:p>
                    <a:r>
                      <a:rPr lang="en-US" sz="1200" b="1"/>
                      <a:t>Reverse Recovery</a:t>
                    </a:r>
                  </a:p>
                  <a:p>
                    <a:r>
                      <a:rPr lang="en-US" sz="1200" b="1"/>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EB60-43FD-9662-DE13960A76D7}"/>
                </c:ext>
              </c:extLst>
            </c:dLbl>
            <c:spPr>
              <a:noFill/>
              <a:ln>
                <a:noFill/>
              </a:ln>
              <a:effectLst/>
            </c:spPr>
            <c:txPr>
              <a:bodyPr/>
              <a:lstStyle/>
              <a:p>
                <a:pPr>
                  <a:defRPr lang="ja-JP"/>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Parameters!$BE$108</c:f>
              <c:numCache>
                <c:formatCode>0.000%</c:formatCode>
                <c:ptCount val="1"/>
                <c:pt idx="0">
                  <c:v>0</c:v>
                </c:pt>
              </c:numCache>
            </c:numRef>
          </c:val>
          <c:extLst>
            <c:ext xmlns:c16="http://schemas.microsoft.com/office/drawing/2014/chart" uri="{C3380CC4-5D6E-409C-BE32-E72D297353CC}">
              <c16:uniqueId val="{0000000B-EB60-43FD-9662-DE13960A76D7}"/>
            </c:ext>
          </c:extLst>
        </c:ser>
        <c:ser>
          <c:idx val="8"/>
          <c:order val="6"/>
          <c:tx>
            <c:strRef>
              <c:f>Parameters!$BG$5</c:f>
              <c:strCache>
                <c:ptCount val="1"/>
                <c:pt idx="0">
                  <c:v>Inductor Cu Loss %</c:v>
                </c:pt>
              </c:strCache>
            </c:strRef>
          </c:tx>
          <c:spPr>
            <a:solidFill>
              <a:srgbClr val="00FF00"/>
            </a:solidFill>
            <a:ln w="12700">
              <a:solidFill>
                <a:srgbClr val="000000"/>
              </a:solidFill>
              <a:prstDash val="solid"/>
            </a:ln>
          </c:spPr>
          <c:invertIfNegative val="0"/>
          <c:dLbls>
            <c:dLbl>
              <c:idx val="0"/>
              <c:tx>
                <c:rich>
                  <a:bodyPr/>
                  <a:lstStyle/>
                  <a:p>
                    <a:r>
                      <a:rPr lang="en-US"/>
                      <a:t>Inductor DCR</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Parameters!$BG$108</c:f>
              <c:numCache>
                <c:formatCode>0.000%</c:formatCode>
                <c:ptCount val="1"/>
                <c:pt idx="0">
                  <c:v>7.2151246180390156E-3</c:v>
                </c:pt>
              </c:numCache>
            </c:numRef>
          </c:val>
          <c:extLst>
            <c:ext xmlns:c16="http://schemas.microsoft.com/office/drawing/2014/chart" uri="{C3380CC4-5D6E-409C-BE32-E72D297353CC}">
              <c16:uniqueId val="{0000000D-EB60-43FD-9662-DE13960A76D7}"/>
            </c:ext>
          </c:extLst>
        </c:ser>
        <c:ser>
          <c:idx val="4"/>
          <c:order val="7"/>
          <c:tx>
            <c:strRef>
              <c:f>Parameters!$BH$5</c:f>
              <c:strCache>
                <c:ptCount val="1"/>
                <c:pt idx="0">
                  <c:v>Inductor Core Loss %</c:v>
                </c:pt>
              </c:strCache>
            </c:strRef>
          </c:tx>
          <c:spPr>
            <a:solidFill>
              <a:srgbClr val="99CC00"/>
            </a:solidFill>
            <a:ln w="12700">
              <a:solidFill>
                <a:srgbClr val="000000"/>
              </a:solidFill>
              <a:prstDash val="solid"/>
            </a:ln>
          </c:spPr>
          <c:invertIfNegative val="0"/>
          <c:dLbls>
            <c:dLbl>
              <c:idx val="0"/>
              <c:tx>
                <c:rich>
                  <a:bodyPr/>
                  <a:lstStyle/>
                  <a:p>
                    <a:r>
                      <a:rPr lang="en-US"/>
                      <a:t>Inductor Core</a:t>
                    </a:r>
                  </a:p>
                  <a:p>
                    <a:r>
                      <a:rPr lang="en-US"/>
                      <a:t>Loss</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EB60-43FD-9662-DE13960A76D7}"/>
                </c:ext>
              </c:extLst>
            </c:dLbl>
            <c:spPr>
              <a:noFill/>
              <a:ln>
                <a:noFill/>
              </a:ln>
              <a:effectLst/>
            </c:spPr>
            <c:txPr>
              <a:bodyPr/>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Parameters!$BH$108</c:f>
              <c:numCache>
                <c:formatCode>0.000%</c:formatCode>
                <c:ptCount val="1"/>
                <c:pt idx="0">
                  <c:v>1.4929120352630757E-2</c:v>
                </c:pt>
              </c:numCache>
            </c:numRef>
          </c:val>
          <c:extLst>
            <c:ext xmlns:c16="http://schemas.microsoft.com/office/drawing/2014/chart" uri="{C3380CC4-5D6E-409C-BE32-E72D297353CC}">
              <c16:uniqueId val="{0000000F-EB60-43FD-9662-DE13960A76D7}"/>
            </c:ext>
          </c:extLst>
        </c:ser>
        <c:ser>
          <c:idx val="0"/>
          <c:order val="8"/>
          <c:tx>
            <c:strRef>
              <c:f>Parameters!$BJ$5</c:f>
              <c:strCache>
                <c:ptCount val="1"/>
                <c:pt idx="0">
                  <c:v>Quiescent Current Loss %</c:v>
                </c:pt>
              </c:strCache>
            </c:strRef>
          </c:tx>
          <c:invertIfNegative val="0"/>
          <c:dLbls>
            <c:dLbl>
              <c:idx val="0"/>
              <c:tx>
                <c:rich>
                  <a:bodyPr/>
                  <a:lstStyle/>
                  <a:p>
                    <a:r>
                      <a:rPr lang="en-US"/>
                      <a:t>Quiescent Current</a:t>
                    </a:r>
                  </a:p>
                  <a:p>
                    <a:r>
                      <a:rPr lang="en-US"/>
                      <a:t>Loss </a:t>
                    </a:r>
                  </a:p>
                </c:rich>
              </c:tx>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EB60-43FD-9662-DE13960A76D7}"/>
                </c:ext>
              </c:extLst>
            </c:dLbl>
            <c:numFmt formatCode="0.0E+00" sourceLinked="0"/>
            <c:spPr>
              <a:noFill/>
            </c:spPr>
            <c:txPr>
              <a:bodyPr rot="0" vert="horz" anchor="ctr" anchorCtr="0"/>
              <a:lstStyle/>
              <a:p>
                <a:pPr>
                  <a:defRPr lang="ja-JP" sz="1200" b="1"/>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val>
            <c:numRef>
              <c:f>Parameters!$BJ$108</c:f>
              <c:numCache>
                <c:formatCode>0.000%</c:formatCode>
                <c:ptCount val="1"/>
                <c:pt idx="0">
                  <c:v>8.2551506228875166E-2</c:v>
                </c:pt>
              </c:numCache>
            </c:numRef>
          </c:val>
          <c:extLst>
            <c:ext xmlns:c16="http://schemas.microsoft.com/office/drawing/2014/chart" uri="{C3380CC4-5D6E-409C-BE32-E72D297353CC}">
              <c16:uniqueId val="{00000011-EB60-43FD-9662-DE13960A76D7}"/>
            </c:ext>
          </c:extLst>
        </c:ser>
        <c:dLbls>
          <c:showLegendKey val="0"/>
          <c:showVal val="0"/>
          <c:showCatName val="0"/>
          <c:showSerName val="0"/>
          <c:showPercent val="0"/>
          <c:showBubbleSize val="0"/>
        </c:dLbls>
        <c:gapWidth val="101"/>
        <c:overlap val="-70"/>
        <c:axId val="447632128"/>
        <c:axId val="447633664"/>
      </c:barChart>
      <c:catAx>
        <c:axId val="447632128"/>
        <c:scaling>
          <c:orientation val="minMax"/>
        </c:scaling>
        <c:delete val="0"/>
        <c:axPos val="b"/>
        <c:numFmt formatCode="General" sourceLinked="1"/>
        <c:majorTickMark val="none"/>
        <c:minorTickMark val="none"/>
        <c:tickLblPos val="none"/>
        <c:spPr>
          <a:ln w="3175">
            <a:solidFill>
              <a:srgbClr val="000000"/>
            </a:solidFill>
            <a:prstDash val="solid"/>
          </a:ln>
        </c:spPr>
        <c:txPr>
          <a:bodyPr rot="0" vert="horz"/>
          <a:lstStyle/>
          <a:p>
            <a:pPr>
              <a:defRPr lang="ja-JP" sz="1725" b="0" i="0" u="none" strike="noStrike" baseline="0">
                <a:solidFill>
                  <a:srgbClr val="000000"/>
                </a:solidFill>
                <a:latin typeface="Arial"/>
                <a:ea typeface="Arial"/>
                <a:cs typeface="Arial"/>
              </a:defRPr>
            </a:pPr>
            <a:endParaRPr lang="en-US"/>
          </a:p>
        </c:txPr>
        <c:crossAx val="447633664"/>
        <c:crossesAt val="0"/>
        <c:auto val="1"/>
        <c:lblAlgn val="ctr"/>
        <c:lblOffset val="100"/>
        <c:noMultiLvlLbl val="0"/>
      </c:catAx>
      <c:valAx>
        <c:axId val="447633664"/>
        <c:scaling>
          <c:orientation val="minMax"/>
          <c:min val="0"/>
        </c:scaling>
        <c:delete val="0"/>
        <c:axPos val="l"/>
        <c:majorGridlines>
          <c:spPr>
            <a:ln>
              <a:prstDash val="lgDash"/>
            </a:ln>
          </c:spPr>
        </c:majorGridlines>
        <c:title>
          <c:tx>
            <c:rich>
              <a:bodyPr/>
              <a:lstStyle/>
              <a:p>
                <a:pPr>
                  <a:defRPr lang="ja-JP" b="1"/>
                </a:pPr>
                <a:r>
                  <a:rPr lang="en-US" b="1"/>
                  <a:t>Loss</a:t>
                </a:r>
                <a:r>
                  <a:rPr lang="en-US" b="1" baseline="0"/>
                  <a:t> Contributors</a:t>
                </a:r>
                <a:endParaRPr lang="en-US" b="1"/>
              </a:p>
            </c:rich>
          </c:tx>
          <c:layout>
            <c:manualLayout>
              <c:xMode val="edge"/>
              <c:yMode val="edge"/>
              <c:x val="9.9337306593581982E-3"/>
              <c:y val="0.30210944457795558"/>
            </c:manualLayout>
          </c:layout>
          <c:overlay val="0"/>
        </c:title>
        <c:numFmt formatCode="0.0%" sourceLinked="0"/>
        <c:majorTickMark val="out"/>
        <c:minorTickMark val="out"/>
        <c:tickLblPos val="low"/>
        <c:txPr>
          <a:bodyPr/>
          <a:lstStyle/>
          <a:p>
            <a:pPr>
              <a:defRPr lang="ja-JP"/>
            </a:pPr>
            <a:endParaRPr lang="en-US"/>
          </a:p>
        </c:txPr>
        <c:crossAx val="447632128"/>
        <c:crosses val="autoZero"/>
        <c:crossBetween val="between"/>
      </c:valAx>
      <c:spPr>
        <a:solidFill>
          <a:schemeClr val="bg1">
            <a:lumMod val="95000"/>
          </a:schemeClr>
        </a:solidFill>
        <a:ln w="25400">
          <a:noFill/>
        </a:ln>
      </c:spPr>
    </c:plotArea>
    <c:plotVisOnly val="1"/>
    <c:dispBlanksAs val="zero"/>
    <c:showDLblsOverMax val="0"/>
  </c:chart>
  <c:spPr>
    <a:solidFill>
      <a:srgbClr val="FFFFFF"/>
    </a:solidFill>
    <a:ln w="3175">
      <a:noFill/>
      <a:prstDash val="solid"/>
    </a:ln>
  </c:spPr>
  <c:txPr>
    <a:bodyPr/>
    <a:lstStyle/>
    <a:p>
      <a:pPr>
        <a:defRPr sz="1725" b="0" i="0" u="none" strike="noStrike" baseline="0">
          <a:solidFill>
            <a:srgbClr val="000000"/>
          </a:solidFill>
          <a:latin typeface="Arial"/>
          <a:ea typeface="Arial"/>
          <a:cs typeface="Arial"/>
        </a:defRPr>
      </a:pPr>
      <a:endParaRPr lang="en-US"/>
    </a:p>
  </c:txPr>
  <c:printSettings>
    <c:headerFooter alignWithMargins="0"/>
    <c:pageMargins b="1" l="0.75000000000000255" r="0.75000000000000255" t="1" header="0.5" footer="0.5"/>
    <c:pageSetup orientation="landscape"/>
  </c:printSettings>
</c:chartSpace>
</file>

<file path=xl/ctrlProps/ctrlProp1.xml><?xml version="1.0" encoding="utf-8"?>
<formControlPr xmlns="http://schemas.microsoft.com/office/spreadsheetml/2009/9/main" objectType="Drop" dropStyle="combo" dx="22" fmlaRange="$1:$1048576" noThreeD="1" sel="0" val="0"/>
</file>

<file path=xl/ctrlProps/ctrlProp10.xml><?xml version="1.0" encoding="utf-8"?>
<formControlPr xmlns="http://schemas.microsoft.com/office/spreadsheetml/2009/9/main" objectType="Drop" dropStyle="combo" dx="16" fmlaLink="'BOM &amp; Schematic'!$Q$31" fmlaRange="'Variable Mgmt'!$R$79:$R$83" noThreeD="1" sel="1" val="0"/>
</file>

<file path=xl/ctrlProps/ctrlProp11.xml><?xml version="1.0" encoding="utf-8"?>
<formControlPr xmlns="http://schemas.microsoft.com/office/spreadsheetml/2009/9/main" objectType="Drop" dropStyle="combo" dx="16" fmlaLink="$Q$32" fmlaRange="'Variable Mgmt'!$R$79:$R$83" noThreeD="1" sel="5" val="0"/>
</file>

<file path=xl/ctrlProps/ctrlProp12.xml><?xml version="1.0" encoding="utf-8"?>
<formControlPr xmlns="http://schemas.microsoft.com/office/spreadsheetml/2009/9/main" objectType="Drop" dropStyle="combo" dx="16" fmlaLink="$Q$40" fmlaRange="'Variable Mgmt'!$W$88:$W$91" noThreeD="1" sel="3" val="0"/>
</file>

<file path=xl/ctrlProps/ctrlProp13.xml><?xml version="1.0" encoding="utf-8"?>
<formControlPr xmlns="http://schemas.microsoft.com/office/spreadsheetml/2009/9/main" objectType="Drop" dropStyle="combo" dx="16" fmlaLink="$Q$47" fmlaRange="'Variable Mgmt'!$R$79:$R$81" noThreeD="1" sel="3" val="0"/>
</file>

<file path=xl/ctrlProps/ctrlProp14.xml><?xml version="1.0" encoding="utf-8"?>
<formControlPr xmlns="http://schemas.microsoft.com/office/spreadsheetml/2009/9/main" objectType="Drop" dropStyle="combo" dx="16" fmlaLink="$Q$42" fmlaRange="'Variable Mgmt'!$W$88:$W$91" noThreeD="1" sel="4" val="0"/>
</file>

<file path=xl/ctrlProps/ctrlProp15.xml><?xml version="1.0" encoding="utf-8"?>
<formControlPr xmlns="http://schemas.microsoft.com/office/spreadsheetml/2009/9/main" objectType="Drop" dropStyle="combo" dx="16" fmlaLink="$Q$41" fmlaRange="'Variable Mgmt'!$W$88:$W$91" noThreeD="1" sel="1" val="0"/>
</file>

<file path=xl/ctrlProps/ctrlProp16.xml><?xml version="1.0" encoding="utf-8"?>
<formControlPr xmlns="http://schemas.microsoft.com/office/spreadsheetml/2009/9/main" objectType="Drop" dropStyle="combo" dx="16" fmlaLink="$Q$46" fmlaRange="'Variable Mgmt'!$R$79:$R$81" noThreeD="1" sel="2" val="0"/>
</file>

<file path=xl/ctrlProps/ctrlProp17.xml><?xml version="1.0" encoding="utf-8"?>
<formControlPr xmlns="http://schemas.microsoft.com/office/spreadsheetml/2009/9/main" objectType="Drop" dropStyle="combo" dx="16" fmlaLink="$Q$48" fmlaRange="'Variable Mgmt'!$R$79:$R$81" noThreeD="1" sel="1" val="0"/>
</file>

<file path=xl/ctrlProps/ctrlProp18.xml><?xml version="1.0" encoding="utf-8"?>
<formControlPr xmlns="http://schemas.microsoft.com/office/spreadsheetml/2009/9/main" objectType="Drop" dropStyle="combo" dx="16" fmlaLink="$Q$49" fmlaRange="'Variable Mgmt'!$R$79:$R$81" noThreeD="1" sel="1" val="0"/>
</file>

<file path=xl/ctrlProps/ctrlProp19.xml><?xml version="1.0" encoding="utf-8"?>
<formControlPr xmlns="http://schemas.microsoft.com/office/spreadsheetml/2009/9/main" objectType="Drop" dropStyle="combo" dx="16" fmlaLink="$Q$50" fmlaRange="'Variable Mgmt'!$R$79:$R$81" noThreeD="1" sel="1" val="0"/>
</file>

<file path=xl/ctrlProps/ctrlProp2.xml><?xml version="1.0" encoding="utf-8"?>
<formControlPr xmlns="http://schemas.microsoft.com/office/spreadsheetml/2009/9/main" objectType="Drop" dropStyle="combo" dx="16" fmlaLink="'Variable Mgmt'!$J$78" fmlaRange="'Variable Mgmt'!$I$76:$I$77" noThreeD="1" sel="1" val="0"/>
</file>

<file path=xl/ctrlProps/ctrlProp20.xml><?xml version="1.0" encoding="utf-8"?>
<formControlPr xmlns="http://schemas.microsoft.com/office/spreadsheetml/2009/9/main" objectType="Drop" dropStyle="combo" dx="16" fmlaLink="$Q$39" fmlaRange="'Variable Mgmt'!$W$88:$W$91" noThreeD="1" sel="3" val="0"/>
</file>

<file path=xl/ctrlProps/ctrlProp21.xml><?xml version="1.0" encoding="utf-8"?>
<formControlPr xmlns="http://schemas.microsoft.com/office/spreadsheetml/2009/9/main" objectType="Drop" dropStyle="combo" dx="16" fmlaLink="$Q$54" fmlaRange="'Variable Mgmt'!$R$89:$R$96" noThreeD="1" sel="8" val="0"/>
</file>

<file path=xl/ctrlProps/ctrlProp22.xml><?xml version="1.0" encoding="utf-8"?>
<formControlPr xmlns="http://schemas.microsoft.com/office/spreadsheetml/2009/9/main" objectType="Drop" dropStyle="combo" dx="16" fmlaLink="$Q$33" fmlaRange="'Variable Mgmt'!$R$79:$R$83" noThreeD="1" sel="5" val="0"/>
</file>

<file path=xl/ctrlProps/ctrlProp23.xml><?xml version="1.0" encoding="utf-8"?>
<formControlPr xmlns="http://schemas.microsoft.com/office/spreadsheetml/2009/9/main" objectType="Drop" dropStyle="combo" dx="16" fmlaLink="$Q$43" fmlaRange="'Variable Mgmt'!$W$88:$W$91" noThreeD="1" sel="3" val="0"/>
</file>

<file path=xl/ctrlProps/ctrlProp24.xml><?xml version="1.0" encoding="utf-8"?>
<formControlPr xmlns="http://schemas.microsoft.com/office/spreadsheetml/2009/9/main" objectType="Drop" dropStyle="combo" dx="16" fmlaLink="$Q$52" fmlaRange="'Variable Mgmt'!$R$79:$R$81" noThreeD="1" sel="2" val="0"/>
</file>

<file path=xl/ctrlProps/ctrlProp25.xml><?xml version="1.0" encoding="utf-8"?>
<formControlPr xmlns="http://schemas.microsoft.com/office/spreadsheetml/2009/9/main" objectType="Drop" dropStyle="combo" dx="16" fmlaLink="$Q$53" fmlaRange="'Variable Mgmt'!$R$79:$R$81" noThreeD="1" sel="1" val="0"/>
</file>

<file path=xl/ctrlProps/ctrlProp26.xml><?xml version="1.0" encoding="utf-8"?>
<formControlPr xmlns="http://schemas.microsoft.com/office/spreadsheetml/2009/9/main" objectType="Drop" dropStyle="combo" dx="16" fmlaLink="'BOM &amp; Schematic'!$Q$35" fmlaRange="'Variable Mgmt'!$R$79:$R$83" noThreeD="1" sel="3" val="0"/>
</file>

<file path=xl/ctrlProps/ctrlProp27.xml><?xml version="1.0" encoding="utf-8"?>
<formControlPr xmlns="http://schemas.microsoft.com/office/spreadsheetml/2009/9/main" objectType="Drop" dropStyle="combo" dx="16" fmlaLink="$Q$44" fmlaRange="'Variable Mgmt'!$W$88:$W$91" noThreeD="1" sel="3" val="0"/>
</file>

<file path=xl/ctrlProps/ctrlProp28.xml><?xml version="1.0" encoding="utf-8"?>
<formControlPr xmlns="http://schemas.microsoft.com/office/spreadsheetml/2009/9/main" objectType="Drop" dropStyle="combo" dx="16" fmlaLink="'BOM &amp; Schematic'!$Q$36" fmlaRange="'Variable Mgmt'!$R$79:$R$83" noThreeD="1" sel="4" val="0"/>
</file>

<file path=xl/ctrlProps/ctrlProp29.xml><?xml version="1.0" encoding="utf-8"?>
<formControlPr xmlns="http://schemas.microsoft.com/office/spreadsheetml/2009/9/main" objectType="Drop" dropStyle="combo" dx="16" fmlaLink="'BOM &amp; Schematic'!$Q$37" fmlaRange="'Variable Mgmt'!$R$79:$R$83" noThreeD="1" sel="2" val="0"/>
</file>

<file path=xl/ctrlProps/ctrlProp3.xml><?xml version="1.0" encoding="utf-8"?>
<formControlPr xmlns="http://schemas.microsoft.com/office/spreadsheetml/2009/9/main" objectType="Drop" dropLines="2" dropStyle="combo" dx="16" fmlaLink="'Variable Mgmt'!$G$78" fmlaRange="'Variable Mgmt'!$F$76:$F$77" noThreeD="1" sel="1" val="0"/>
</file>

<file path=xl/ctrlProps/ctrlProp30.xml><?xml version="1.0" encoding="utf-8"?>
<formControlPr xmlns="http://schemas.microsoft.com/office/spreadsheetml/2009/9/main" objectType="Drop" dropStyle="combo" dx="16" fmlaLink="'BOM &amp; Schematic'!$Q$38" fmlaRange="'Variable Mgmt'!$R$79:$R$83" noThreeD="1" sel="1" val="0"/>
</file>

<file path=xl/ctrlProps/ctrlProp31.xml><?xml version="1.0" encoding="utf-8"?>
<formControlPr xmlns="http://schemas.microsoft.com/office/spreadsheetml/2009/9/main" objectType="Drop" dropStyle="combo" dx="16" fmlaLink="$Q$51" fmlaRange="'Variable Mgmt'!$R$79:$R$84" noThreeD="1" sel="6" val="0"/>
</file>

<file path=xl/ctrlProps/ctrlProp4.xml><?xml version="1.0" encoding="utf-8"?>
<formControlPr xmlns="http://schemas.microsoft.com/office/spreadsheetml/2009/9/main" objectType="Drop" dropLines="10" dropStyle="combo" dx="16" fmlaLink="'Variable Mgmt'!$S$61" fmlaRange="'Variable Mgmt'!$R$28:$R$60" noThreeD="1" sel="16" val="8"/>
</file>

<file path=xl/ctrlProps/ctrlProp5.xml><?xml version="1.0" encoding="utf-8"?>
<formControlPr xmlns="http://schemas.microsoft.com/office/spreadsheetml/2009/9/main" objectType="Drop" dropStyle="combo" dx="16" fmlaLink="'Variable Mgmt'!$G$72" fmlaRange="'Variable Mgmt'!$F$70:$F$71" noThreeD="1" sel="1" val="0"/>
</file>

<file path=xl/ctrlProps/ctrlProp6.xml><?xml version="1.0" encoding="utf-8"?>
<formControlPr xmlns="http://schemas.microsoft.com/office/spreadsheetml/2009/9/main" objectType="Drop" dropLines="10" dropStyle="combo" dx="16" fmlaLink="'Variable Mgmt'!$C$73" fmlaRange="'Variable Mgmt'!$B$70:$B$71" noThreeD="1" sel="1" val="0"/>
</file>

<file path=xl/ctrlProps/ctrlProp7.xml><?xml version="1.0" encoding="utf-8"?>
<formControlPr xmlns="http://schemas.microsoft.com/office/spreadsheetml/2009/9/main" objectType="Spin" dx="16" fmlaLink="$E$7" max="95" min="3" page="10" val="24"/>
</file>

<file path=xl/ctrlProps/ctrlProp8.xml><?xml version="1.0" encoding="utf-8"?>
<formControlPr xmlns="http://schemas.microsoft.com/office/spreadsheetml/2009/9/main" objectType="Spin" dx="16" fmlaLink="$E$7" max="65" min="3" page="10" val="24"/>
</file>

<file path=xl/ctrlProps/ctrlProp9.xml><?xml version="1.0" encoding="utf-8"?>
<formControlPr xmlns="http://schemas.microsoft.com/office/spreadsheetml/2009/9/main" objectType="Drop" dropLines="2" dropStyle="combo" dx="16" fmlaLink="'Variable Mgmt'!$Q$20" fmlaRange="'Variable Mgmt'!$P$18:$P$19" noThreeD="1" sel="2" val="0"/>
</file>

<file path=xl/drawings/_rels/drawing1.xml.rels><?xml version="1.0" encoding="UTF-8" standalone="yes"?>
<Relationships xmlns="http://schemas.openxmlformats.org/package/2006/relationships"><Relationship Id="rId8" Type="http://schemas.openxmlformats.org/officeDocument/2006/relationships/hyperlink" Target="http://www.ti.com/automotive" TargetMode="External"/><Relationship Id="rId3" Type="http://schemas.openxmlformats.org/officeDocument/2006/relationships/image" Target="../media/image2.emf"/><Relationship Id="rId7" Type="http://schemas.openxmlformats.org/officeDocument/2006/relationships/image" Target="../media/image4.jpg"/><Relationship Id="rId2" Type="http://schemas.openxmlformats.org/officeDocument/2006/relationships/image" Target="../media/image1.emf"/><Relationship Id="rId1" Type="http://schemas.openxmlformats.org/officeDocument/2006/relationships/chart" Target="../charts/chart1.xml"/><Relationship Id="rId6" Type="http://schemas.openxmlformats.org/officeDocument/2006/relationships/hyperlink" Target="http://www.ti.com/industrial" TargetMode="External"/><Relationship Id="rId5" Type="http://schemas.openxmlformats.org/officeDocument/2006/relationships/image" Target="../media/image3.jpg"/><Relationship Id="rId10" Type="http://schemas.openxmlformats.org/officeDocument/2006/relationships/image" Target="../media/image6.emf"/><Relationship Id="rId4" Type="http://schemas.openxmlformats.org/officeDocument/2006/relationships/hyperlink" Target="http://www.ti.com/widevin" TargetMode="External"/><Relationship Id="rId9" Type="http://schemas.openxmlformats.org/officeDocument/2006/relationships/image" Target="../media/image5.jpg"/></Relationships>
</file>

<file path=xl/drawings/_rels/drawing10.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image" Target="../media/image17.emf"/></Relationships>
</file>

<file path=xl/drawings/_rels/drawing13.xml.rels><?xml version="1.0" encoding="UTF-8" standalone="yes"?>
<Relationships xmlns="http://schemas.openxmlformats.org/package/2006/relationships"><Relationship Id="rId8" Type="http://schemas.openxmlformats.org/officeDocument/2006/relationships/image" Target="../media/image26.png"/><Relationship Id="rId13" Type="http://schemas.openxmlformats.org/officeDocument/2006/relationships/image" Target="../media/image31.png"/><Relationship Id="rId18" Type="http://schemas.openxmlformats.org/officeDocument/2006/relationships/image" Target="../media/image36.png"/><Relationship Id="rId3" Type="http://schemas.openxmlformats.org/officeDocument/2006/relationships/image" Target="../media/image21.png"/><Relationship Id="rId21" Type="http://schemas.openxmlformats.org/officeDocument/2006/relationships/image" Target="../media/image39.png"/><Relationship Id="rId7" Type="http://schemas.openxmlformats.org/officeDocument/2006/relationships/image" Target="../media/image25.png"/><Relationship Id="rId12" Type="http://schemas.openxmlformats.org/officeDocument/2006/relationships/image" Target="../media/image30.png"/><Relationship Id="rId17" Type="http://schemas.openxmlformats.org/officeDocument/2006/relationships/image" Target="../media/image35.png"/><Relationship Id="rId2" Type="http://schemas.openxmlformats.org/officeDocument/2006/relationships/image" Target="../media/image20.png"/><Relationship Id="rId16" Type="http://schemas.openxmlformats.org/officeDocument/2006/relationships/image" Target="../media/image34.png"/><Relationship Id="rId20" Type="http://schemas.openxmlformats.org/officeDocument/2006/relationships/image" Target="../media/image38.png"/><Relationship Id="rId1" Type="http://schemas.openxmlformats.org/officeDocument/2006/relationships/image" Target="../media/image19.png"/><Relationship Id="rId6" Type="http://schemas.openxmlformats.org/officeDocument/2006/relationships/image" Target="../media/image24.png"/><Relationship Id="rId11" Type="http://schemas.openxmlformats.org/officeDocument/2006/relationships/image" Target="../media/image29.png"/><Relationship Id="rId24" Type="http://schemas.openxmlformats.org/officeDocument/2006/relationships/image" Target="../media/image42.png"/><Relationship Id="rId5" Type="http://schemas.openxmlformats.org/officeDocument/2006/relationships/image" Target="../media/image23.png"/><Relationship Id="rId15" Type="http://schemas.openxmlformats.org/officeDocument/2006/relationships/image" Target="../media/image33.png"/><Relationship Id="rId23" Type="http://schemas.openxmlformats.org/officeDocument/2006/relationships/image" Target="../media/image41.png"/><Relationship Id="rId10" Type="http://schemas.openxmlformats.org/officeDocument/2006/relationships/image" Target="../media/image28.png"/><Relationship Id="rId19" Type="http://schemas.openxmlformats.org/officeDocument/2006/relationships/image" Target="../media/image37.png"/><Relationship Id="rId4" Type="http://schemas.openxmlformats.org/officeDocument/2006/relationships/image" Target="../media/image22.png"/><Relationship Id="rId9" Type="http://schemas.openxmlformats.org/officeDocument/2006/relationships/image" Target="../media/image27.png"/><Relationship Id="rId14" Type="http://schemas.openxmlformats.org/officeDocument/2006/relationships/image" Target="../media/image32.png"/><Relationship Id="rId22" Type="http://schemas.openxmlformats.org/officeDocument/2006/relationships/image" Target="../media/image40.png"/></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image" Target="../media/image12.png"/><Relationship Id="rId1" Type="http://schemas.openxmlformats.org/officeDocument/2006/relationships/chart" Target="../charts/chart4.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chart" Target="../charts/chart12.xml"/><Relationship Id="rId7" Type="http://schemas.openxmlformats.org/officeDocument/2006/relationships/chart" Target="../charts/chart16.xml"/><Relationship Id="rId12" Type="http://schemas.openxmlformats.org/officeDocument/2006/relationships/chart" Target="../charts/chart21.xml"/><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0" Type="http://schemas.openxmlformats.org/officeDocument/2006/relationships/chart" Target="../charts/chart19.xml"/><Relationship Id="rId4" Type="http://schemas.openxmlformats.org/officeDocument/2006/relationships/chart" Target="../charts/chart13.xml"/><Relationship Id="rId9" Type="http://schemas.openxmlformats.org/officeDocument/2006/relationships/chart" Target="../charts/chart18.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9.xml"/><Relationship Id="rId3" Type="http://schemas.openxmlformats.org/officeDocument/2006/relationships/chart" Target="../charts/chart24.xml"/><Relationship Id="rId7" Type="http://schemas.openxmlformats.org/officeDocument/2006/relationships/chart" Target="../charts/chart28.xml"/><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chart" Target="../charts/chart27.xml"/><Relationship Id="rId5" Type="http://schemas.openxmlformats.org/officeDocument/2006/relationships/chart" Target="../charts/chart26.xml"/><Relationship Id="rId10" Type="http://schemas.openxmlformats.org/officeDocument/2006/relationships/chart" Target="../charts/chart31.xml"/><Relationship Id="rId4" Type="http://schemas.openxmlformats.org/officeDocument/2006/relationships/chart" Target="../charts/chart25.xml"/><Relationship Id="rId9" Type="http://schemas.openxmlformats.org/officeDocument/2006/relationships/chart" Target="../charts/chart30.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9.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304800</xdr:colOff>
          <xdr:row>0</xdr:row>
          <xdr:rowOff>412750</xdr:rowOff>
        </xdr:from>
        <xdr:to>
          <xdr:col>25</xdr:col>
          <xdr:colOff>219075</xdr:colOff>
          <xdr:row>1</xdr:row>
          <xdr:rowOff>66675</xdr:rowOff>
        </xdr:to>
        <xdr:sp macro="" textlink="">
          <xdr:nvSpPr>
            <xdr:cNvPr id="751583" name="Drop Down 6111" hidden="1">
              <a:extLst>
                <a:ext uri="{63B3BB69-23CF-44E3-9099-C40C66FF867C}">
                  <a14:compatExt spid="_x0000_s751583"/>
                </a:ext>
                <a:ext uri="{FF2B5EF4-FFF2-40B4-BE49-F238E27FC236}">
                  <a16:creationId xmlns:a16="http://schemas.microsoft.com/office/drawing/2014/main" id="{00000000-0008-0000-0000-0000DF77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13</xdr:col>
      <xdr:colOff>160440</xdr:colOff>
      <xdr:row>61</xdr:row>
      <xdr:rowOff>65734</xdr:rowOff>
    </xdr:from>
    <xdr:to>
      <xdr:col>25</xdr:col>
      <xdr:colOff>1592036</xdr:colOff>
      <xdr:row>84</xdr:row>
      <xdr:rowOff>153307</xdr:rowOff>
    </xdr:to>
    <xdr:graphicFrame macro="">
      <xdr:nvGraphicFramePr>
        <xdr:cNvPr id="66" name="Chart 1029">
          <a:extLst>
            <a:ext uri="{FF2B5EF4-FFF2-40B4-BE49-F238E27FC236}">
              <a16:creationId xmlns:a16="http://schemas.microsoft.com/office/drawing/2014/main" id="{00000000-0008-0000-00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490417</xdr:colOff>
          <xdr:row>37</xdr:row>
          <xdr:rowOff>67110</xdr:rowOff>
        </xdr:from>
        <xdr:to>
          <xdr:col>25</xdr:col>
          <xdr:colOff>1821703</xdr:colOff>
          <xdr:row>60</xdr:row>
          <xdr:rowOff>161441</xdr:rowOff>
        </xdr:to>
        <xdr:pic>
          <xdr:nvPicPr>
            <xdr:cNvPr id="59" name="Picture 8888">
              <a:extLst>
                <a:ext uri="{FF2B5EF4-FFF2-40B4-BE49-F238E27FC236}">
                  <a16:creationId xmlns:a16="http://schemas.microsoft.com/office/drawing/2014/main" id="{00000000-0008-0000-0000-00003B000000}"/>
                </a:ext>
              </a:extLst>
            </xdr:cNvPr>
            <xdr:cNvPicPr>
              <a:picLocks noChangeAspect="1" noChangeArrowheads="1"/>
              <a:extLst>
                <a:ext uri="{84589F7E-364E-4C9E-8A38-B11213B215E9}">
                  <a14:cameraTool cellRange="PICTURE3" spid="_x0000_s790088"/>
                </a:ext>
              </a:extLst>
            </xdr:cNvPicPr>
          </xdr:nvPicPr>
          <xdr:blipFill rotWithShape="1">
            <a:blip xmlns:r="http://schemas.openxmlformats.org/officeDocument/2006/relationships" r:embed="rId2"/>
            <a:srcRect r="5287"/>
            <a:stretch>
              <a:fillRect/>
            </a:stretch>
          </xdr:blipFill>
          <xdr:spPr bwMode="auto">
            <a:xfrm>
              <a:off x="11061299" y="8187639"/>
              <a:ext cx="6591701" cy="4061214"/>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97117</xdr:colOff>
          <xdr:row>4</xdr:row>
          <xdr:rowOff>94701</xdr:rowOff>
        </xdr:from>
        <xdr:to>
          <xdr:col>25</xdr:col>
          <xdr:colOff>1779120</xdr:colOff>
          <xdr:row>27</xdr:row>
          <xdr:rowOff>239060</xdr:rowOff>
        </xdr:to>
        <xdr:pic>
          <xdr:nvPicPr>
            <xdr:cNvPr id="45" name="Picture 8888">
              <a:extLst>
                <a:ext uri="{FF2B5EF4-FFF2-40B4-BE49-F238E27FC236}">
                  <a16:creationId xmlns:a16="http://schemas.microsoft.com/office/drawing/2014/main" id="{00000000-0008-0000-0000-00002D000000}"/>
                </a:ext>
              </a:extLst>
            </xdr:cNvPr>
            <xdr:cNvPicPr>
              <a:picLocks noChangeAspect="1" noChangeArrowheads="1"/>
              <a:extLst>
                <a:ext uri="{84589F7E-364E-4C9E-8A38-B11213B215E9}">
                  <a14:cameraTool cellRange="PICTURE1" spid="_x0000_s790089"/>
                </a:ext>
              </a:extLst>
            </xdr:cNvPicPr>
          </xdr:nvPicPr>
          <xdr:blipFill rotWithShape="1">
            <a:blip xmlns:r="http://schemas.openxmlformats.org/officeDocument/2006/relationships" r:embed="rId3"/>
            <a:srcRect l="1933" r="3398" b="1428"/>
            <a:stretch>
              <a:fillRect/>
            </a:stretch>
          </xdr:blipFill>
          <xdr:spPr bwMode="auto">
            <a:xfrm>
              <a:off x="8411882" y="1252642"/>
              <a:ext cx="9211235" cy="5119771"/>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23</xdr:col>
      <xdr:colOff>200592</xdr:colOff>
      <xdr:row>11</xdr:row>
      <xdr:rowOff>161472</xdr:rowOff>
    </xdr:from>
    <xdr:to>
      <xdr:col>24</xdr:col>
      <xdr:colOff>79535</xdr:colOff>
      <xdr:row>12</xdr:row>
      <xdr:rowOff>161833</xdr:rowOff>
    </xdr:to>
    <xdr:sp macro="" textlink="'Variable Mgmt'!B245">
      <xdr:nvSpPr>
        <xdr:cNvPr id="2315" name="Text Box 267">
          <a:extLst>
            <a:ext uri="{FF2B5EF4-FFF2-40B4-BE49-F238E27FC236}">
              <a16:creationId xmlns:a16="http://schemas.microsoft.com/office/drawing/2014/main" id="{00000000-0008-0000-0000-00000B090000}"/>
            </a:ext>
          </a:extLst>
        </xdr:cNvPr>
        <xdr:cNvSpPr txBox="1">
          <a:spLocks noChangeArrowheads="1" noTextEdit="1"/>
        </xdr:cNvSpPr>
      </xdr:nvSpPr>
      <xdr:spPr bwMode="auto">
        <a:xfrm>
          <a:off x="15213806" y="2746829"/>
          <a:ext cx="523015" cy="199933"/>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900" b="0" i="0" u="none" strike="noStrike" baseline="0">
              <a:solidFill>
                <a:srgbClr val="000000"/>
              </a:solidFill>
              <a:latin typeface="Arial" pitchFamily="34" charset="0"/>
              <a:cs typeface="Arial" pitchFamily="34" charset="0"/>
            </a:rPr>
            <a:pPr algn="l" rtl="0">
              <a:defRPr sz="1000"/>
            </a:pPr>
            <a:t>47µF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20</xdr:col>
      <xdr:colOff>38775</xdr:colOff>
      <xdr:row>9</xdr:row>
      <xdr:rowOff>126072</xdr:rowOff>
    </xdr:from>
    <xdr:to>
      <xdr:col>20</xdr:col>
      <xdr:colOff>522128</xdr:colOff>
      <xdr:row>10</xdr:row>
      <xdr:rowOff>174517</xdr:rowOff>
    </xdr:to>
    <xdr:sp macro="" textlink="'Variable Mgmt'!B231">
      <xdr:nvSpPr>
        <xdr:cNvPr id="2323" name="Text Box 275">
          <a:extLst>
            <a:ext uri="{FF2B5EF4-FFF2-40B4-BE49-F238E27FC236}">
              <a16:creationId xmlns:a16="http://schemas.microsoft.com/office/drawing/2014/main" id="{00000000-0008-0000-0000-000013090000}"/>
            </a:ext>
          </a:extLst>
        </xdr:cNvPr>
        <xdr:cNvSpPr txBox="1">
          <a:spLocks noChangeArrowheads="1" noTextEdit="1"/>
        </xdr:cNvSpPr>
      </xdr:nvSpPr>
      <xdr:spPr bwMode="auto">
        <a:xfrm>
          <a:off x="13119775" y="2312286"/>
          <a:ext cx="483353" cy="248017"/>
        </a:xfrm>
        <a:prstGeom prst="rect">
          <a:avLst/>
        </a:prstGeom>
        <a:noFill/>
        <a:ln w="9525">
          <a:noFill/>
          <a:miter lim="800000"/>
          <a:headEnd/>
          <a:tailEnd/>
        </a:ln>
      </xdr:spPr>
      <xdr:txBody>
        <a:bodyPr vertOverflow="clip" wrap="square" lIns="27432" tIns="22860" rIns="0" bIns="0" anchor="ctr" upright="1"/>
        <a:lstStyle/>
        <a:p>
          <a:pPr algn="ctr" rtl="0">
            <a:defRPr sz="1000"/>
          </a:pPr>
          <a:fld id="{08583DE7-3129-476B-98BE-2887A134E956}" type="TxLink">
            <a:rPr lang="en-US" sz="900" b="0" i="0" u="none" strike="noStrike" baseline="0">
              <a:solidFill>
                <a:srgbClr val="000000"/>
              </a:solidFill>
              <a:latin typeface="Arial" pitchFamily="34" charset="0"/>
              <a:cs typeface="Arial" pitchFamily="34" charset="0"/>
            </a:rPr>
            <a:pPr algn="ctr" rtl="0">
              <a:defRPr sz="1000"/>
            </a:pPr>
            <a:t>10µH</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14</xdr:col>
      <xdr:colOff>58386</xdr:colOff>
      <xdr:row>11</xdr:row>
      <xdr:rowOff>73571</xdr:rowOff>
    </xdr:from>
    <xdr:to>
      <xdr:col>14</xdr:col>
      <xdr:colOff>563514</xdr:colOff>
      <xdr:row>12</xdr:row>
      <xdr:rowOff>64813</xdr:rowOff>
    </xdr:to>
    <xdr:sp macro="" textlink="'Variable Mgmt'!B250">
      <xdr:nvSpPr>
        <xdr:cNvPr id="2324" name="Text Box 276">
          <a:extLst>
            <a:ext uri="{FF2B5EF4-FFF2-40B4-BE49-F238E27FC236}">
              <a16:creationId xmlns:a16="http://schemas.microsoft.com/office/drawing/2014/main" id="{00000000-0008-0000-0000-000014090000}"/>
            </a:ext>
          </a:extLst>
        </xdr:cNvPr>
        <xdr:cNvSpPr txBox="1">
          <a:spLocks noChangeArrowheads="1" noTextEdit="1"/>
        </xdr:cNvSpPr>
      </xdr:nvSpPr>
      <xdr:spPr bwMode="auto">
        <a:xfrm>
          <a:off x="9030029" y="2658928"/>
          <a:ext cx="505128" cy="190814"/>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900" b="0" i="0" u="none" strike="noStrike" baseline="0">
              <a:solidFill>
                <a:srgbClr val="000000"/>
              </a:solidFill>
              <a:latin typeface="Arial" pitchFamily="34" charset="0"/>
              <a:cs typeface="Arial" pitchFamily="34" charset="0"/>
            </a:rPr>
            <a:pPr algn="ctr" rtl="0">
              <a:defRPr sz="1000"/>
            </a:pPr>
            <a:t>10µF</a:t>
          </a:fld>
          <a:endParaRPr lang="en-US" sz="900" b="0" i="0" u="none" strike="noStrike" baseline="0">
            <a:solidFill>
              <a:srgbClr val="000000"/>
            </a:solidFill>
            <a:latin typeface="Arial" pitchFamily="34" charset="0"/>
            <a:cs typeface="Arial" pitchFamily="34" charset="0"/>
          </a:endParaRPr>
        </a:p>
      </xdr:txBody>
    </xdr:sp>
    <xdr:clientData/>
  </xdr:twoCellAnchor>
  <xdr:twoCellAnchor>
    <xdr:from>
      <xdr:col>16</xdr:col>
      <xdr:colOff>4505</xdr:colOff>
      <xdr:row>15</xdr:row>
      <xdr:rowOff>73956</xdr:rowOff>
    </xdr:from>
    <xdr:to>
      <xdr:col>16</xdr:col>
      <xdr:colOff>479770</xdr:colOff>
      <xdr:row>16</xdr:row>
      <xdr:rowOff>161173</xdr:rowOff>
    </xdr:to>
    <xdr:sp macro="" textlink="'Variable Mgmt'!D277">
      <xdr:nvSpPr>
        <xdr:cNvPr id="2329" name="Text Box 281">
          <a:extLst>
            <a:ext uri="{FF2B5EF4-FFF2-40B4-BE49-F238E27FC236}">
              <a16:creationId xmlns:a16="http://schemas.microsoft.com/office/drawing/2014/main" id="{00000000-0008-0000-0000-000019090000}"/>
            </a:ext>
          </a:extLst>
        </xdr:cNvPr>
        <xdr:cNvSpPr txBox="1">
          <a:spLocks noChangeArrowheads="1" noTextEdit="1"/>
        </xdr:cNvSpPr>
      </xdr:nvSpPr>
      <xdr:spPr bwMode="auto">
        <a:xfrm>
          <a:off x="10327791" y="3457599"/>
          <a:ext cx="475265" cy="286788"/>
        </a:xfrm>
        <a:prstGeom prst="rect">
          <a:avLst/>
        </a:prstGeom>
        <a:noFill/>
        <a:ln w="9525">
          <a:noFill/>
          <a:miter lim="800000"/>
          <a:headEnd/>
          <a:tailEnd/>
        </a:ln>
      </xdr:spPr>
      <xdr:txBody>
        <a:bodyPr vertOverflow="clip" wrap="square" lIns="27432" tIns="22860" rIns="0" bIns="0" anchor="ctr" upright="1"/>
        <a:lstStyle/>
        <a:p>
          <a:pPr algn="ctr" rtl="0">
            <a:defRPr sz="1000"/>
          </a:pPr>
          <a:fld id="{F2115F91-8BFD-4C9B-9969-8B2C04ADF4C5}" type="TxLink">
            <a:rPr lang="en-US" sz="1100" b="0" i="0" u="none" strike="noStrike">
              <a:solidFill>
                <a:srgbClr val="000000"/>
              </a:solidFill>
              <a:latin typeface="Arial"/>
              <a:cs typeface="Arial"/>
            </a:rPr>
            <a:pPr algn="ctr" rtl="0">
              <a:defRPr sz="1000"/>
            </a:pPr>
            <a:t>100nF</a:t>
          </a:fld>
          <a:endParaRPr lang="en-US" sz="1100" b="0" i="0" strike="noStrike">
            <a:solidFill>
              <a:srgbClr val="000000"/>
            </a:solidFill>
            <a:latin typeface="Arial" pitchFamily="34" charset="0"/>
            <a:cs typeface="Arial" pitchFamily="34" charset="0"/>
          </a:endParaRPr>
        </a:p>
      </xdr:txBody>
    </xdr:sp>
    <xdr:clientData/>
  </xdr:twoCellAnchor>
  <xdr:twoCellAnchor>
    <xdr:from>
      <xdr:col>14</xdr:col>
      <xdr:colOff>118515</xdr:colOff>
      <xdr:row>5</xdr:row>
      <xdr:rowOff>122966</xdr:rowOff>
    </xdr:from>
    <xdr:to>
      <xdr:col>14</xdr:col>
      <xdr:colOff>612589</xdr:colOff>
      <xdr:row>8</xdr:row>
      <xdr:rowOff>13369</xdr:rowOff>
    </xdr:to>
    <xdr:sp macro="" textlink="'Variable Mgmt'!B237">
      <xdr:nvSpPr>
        <xdr:cNvPr id="2331" name="Text Box 283">
          <a:extLst>
            <a:ext uri="{FF2B5EF4-FFF2-40B4-BE49-F238E27FC236}">
              <a16:creationId xmlns:a16="http://schemas.microsoft.com/office/drawing/2014/main" id="{00000000-0008-0000-0000-00001B090000}"/>
            </a:ext>
          </a:extLst>
        </xdr:cNvPr>
        <xdr:cNvSpPr txBox="1">
          <a:spLocks noChangeArrowheads="1" noTextEdit="1"/>
        </xdr:cNvSpPr>
      </xdr:nvSpPr>
      <xdr:spPr bwMode="auto">
        <a:xfrm>
          <a:off x="8627515" y="1527437"/>
          <a:ext cx="494074" cy="45816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400" b="1" i="0" u="none" strike="noStrike">
              <a:solidFill>
                <a:srgbClr val="FF0000"/>
              </a:solidFill>
              <a:latin typeface="Arial" pitchFamily="34" charset="0"/>
              <a:cs typeface="Arial" pitchFamily="34" charset="0"/>
            </a:rPr>
            <a:pPr algn="r" rtl="0">
              <a:defRPr sz="1000"/>
            </a:pPr>
            <a:t>24V</a:t>
          </a:fld>
          <a:endParaRPr lang="en-US" sz="1400" b="1" i="0" strike="noStrike">
            <a:solidFill>
              <a:srgbClr val="FF0000"/>
            </a:solidFill>
            <a:latin typeface="Arial" pitchFamily="34" charset="0"/>
            <a:cs typeface="Arial" pitchFamily="34" charset="0"/>
          </a:endParaRPr>
        </a:p>
      </xdr:txBody>
    </xdr:sp>
    <xdr:clientData/>
  </xdr:twoCellAnchor>
  <xdr:twoCellAnchor>
    <xdr:from>
      <xdr:col>25</xdr:col>
      <xdr:colOff>1019168</xdr:colOff>
      <xdr:row>5</xdr:row>
      <xdr:rowOff>164211</xdr:rowOff>
    </xdr:from>
    <xdr:to>
      <xdr:col>25</xdr:col>
      <xdr:colOff>1685561</xdr:colOff>
      <xdr:row>7</xdr:row>
      <xdr:rowOff>133014</xdr:rowOff>
    </xdr:to>
    <xdr:sp macro="" textlink="'Variable Mgmt'!B240">
      <xdr:nvSpPr>
        <xdr:cNvPr id="2333" name="Text Box 285">
          <a:extLst>
            <a:ext uri="{FF2B5EF4-FFF2-40B4-BE49-F238E27FC236}">
              <a16:creationId xmlns:a16="http://schemas.microsoft.com/office/drawing/2014/main" id="{00000000-0008-0000-0000-00001D090000}"/>
            </a:ext>
          </a:extLst>
        </xdr:cNvPr>
        <xdr:cNvSpPr txBox="1">
          <a:spLocks noChangeArrowheads="1" noTextEdit="1"/>
        </xdr:cNvSpPr>
      </xdr:nvSpPr>
      <xdr:spPr bwMode="auto">
        <a:xfrm>
          <a:off x="16535255" y="1561211"/>
          <a:ext cx="666393" cy="355325"/>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400" b="1" i="0" u="none" strike="noStrike" baseline="0">
              <a:solidFill>
                <a:srgbClr val="FF0000"/>
              </a:solidFill>
              <a:latin typeface="Arial" pitchFamily="34" charset="0"/>
              <a:cs typeface="Arial" pitchFamily="34" charset="0"/>
            </a:rPr>
            <a:pPr algn="l" rtl="0">
              <a:defRPr sz="1000"/>
            </a:pPr>
            <a:t>24V</a:t>
          </a:fld>
          <a:endParaRPr lang="en-US" sz="1400" b="1" i="0" u="none" strike="noStrike" baseline="0">
            <a:solidFill>
              <a:srgbClr val="FF0000"/>
            </a:solidFill>
            <a:latin typeface="Arial" pitchFamily="34" charset="0"/>
            <a:cs typeface="Arial" pitchFamily="34" charset="0"/>
          </a:endParaRPr>
        </a:p>
      </xdr:txBody>
    </xdr:sp>
    <xdr:clientData/>
  </xdr:twoCellAnchor>
  <xdr:twoCellAnchor>
    <xdr:from>
      <xdr:col>25</xdr:col>
      <xdr:colOff>927554</xdr:colOff>
      <xdr:row>6</xdr:row>
      <xdr:rowOff>179163</xdr:rowOff>
    </xdr:from>
    <xdr:to>
      <xdr:col>25</xdr:col>
      <xdr:colOff>1476828</xdr:colOff>
      <xdr:row>8</xdr:row>
      <xdr:rowOff>112096</xdr:rowOff>
    </xdr:to>
    <xdr:sp macro="" textlink="'Variable Mgmt'!B295">
      <xdr:nvSpPr>
        <xdr:cNvPr id="2334" name="Text Box 286">
          <a:extLst>
            <a:ext uri="{FF2B5EF4-FFF2-40B4-BE49-F238E27FC236}">
              <a16:creationId xmlns:a16="http://schemas.microsoft.com/office/drawing/2014/main" id="{00000000-0008-0000-0000-00001E090000}"/>
            </a:ext>
          </a:extLst>
        </xdr:cNvPr>
        <xdr:cNvSpPr txBox="1">
          <a:spLocks noChangeArrowheads="1" noTextEdit="1"/>
        </xdr:cNvSpPr>
      </xdr:nvSpPr>
      <xdr:spPr bwMode="auto">
        <a:xfrm>
          <a:off x="16443641" y="1780467"/>
          <a:ext cx="549274" cy="31945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350" b="1" i="0" u="none" strike="noStrike">
              <a:solidFill>
                <a:srgbClr val="FF0000"/>
              </a:solidFill>
              <a:latin typeface="Arial" pitchFamily="34" charset="0"/>
              <a:cs typeface="Arial" pitchFamily="34" charset="0"/>
            </a:rPr>
            <a:pPr algn="ctr" rtl="0">
              <a:defRPr sz="1000"/>
            </a:pPr>
            <a:t>1A</a:t>
          </a:fld>
          <a:endParaRPr lang="en-US" sz="1350" b="1" i="0" strike="noStrike">
            <a:solidFill>
              <a:srgbClr val="FF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xdr:from>
          <xdr:col>5</xdr:col>
          <xdr:colOff>127000</xdr:colOff>
          <xdr:row>6</xdr:row>
          <xdr:rowOff>12700</xdr:rowOff>
        </xdr:from>
        <xdr:to>
          <xdr:col>5</xdr:col>
          <xdr:colOff>304800</xdr:colOff>
          <xdr:row>7</xdr:row>
          <xdr:rowOff>31750</xdr:rowOff>
        </xdr:to>
        <xdr:sp macro="" textlink="">
          <xdr:nvSpPr>
            <xdr:cNvPr id="672895" name="Spinner 127" hidden="1">
              <a:extLst>
                <a:ext uri="{63B3BB69-23CF-44E3-9099-C40C66FF867C}">
                  <a14:compatExt spid="_x0000_s672895"/>
                </a:ext>
                <a:ext uri="{FF2B5EF4-FFF2-40B4-BE49-F238E27FC236}">
                  <a16:creationId xmlns:a16="http://schemas.microsoft.com/office/drawing/2014/main" id="{00000000-0008-0000-0000-00007F440A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214803</xdr:colOff>
      <xdr:row>11</xdr:row>
      <xdr:rowOff>121721</xdr:rowOff>
    </xdr:from>
    <xdr:to>
      <xdr:col>17</xdr:col>
      <xdr:colOff>63226</xdr:colOff>
      <xdr:row>12</xdr:row>
      <xdr:rowOff>163885</xdr:rowOff>
    </xdr:to>
    <xdr:sp macro="" textlink="'Variable Mgmt'!C269">
      <xdr:nvSpPr>
        <xdr:cNvPr id="71" name="Text Box 268">
          <a:extLst>
            <a:ext uri="{FF2B5EF4-FFF2-40B4-BE49-F238E27FC236}">
              <a16:creationId xmlns:a16="http://schemas.microsoft.com/office/drawing/2014/main" id="{00000000-0008-0000-0000-000047000000}"/>
            </a:ext>
          </a:extLst>
        </xdr:cNvPr>
        <xdr:cNvSpPr txBox="1">
          <a:spLocks noChangeArrowheads="1" noTextEdit="1"/>
        </xdr:cNvSpPr>
      </xdr:nvSpPr>
      <xdr:spPr bwMode="auto">
        <a:xfrm>
          <a:off x="10538089" y="2707078"/>
          <a:ext cx="555994" cy="241736"/>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900" b="0" i="0" u="none" strike="noStrike">
              <a:solidFill>
                <a:srgbClr val="000000"/>
              </a:solidFill>
              <a:latin typeface="Arial"/>
              <a:cs typeface="Arial"/>
            </a:rPr>
            <a:pPr algn="l" rtl="0">
              <a:defRPr sz="1000"/>
            </a:pPr>
            <a:t>348kΩ</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228490</xdr:colOff>
      <xdr:row>15</xdr:row>
      <xdr:rowOff>49885</xdr:rowOff>
    </xdr:from>
    <xdr:to>
      <xdr:col>16</xdr:col>
      <xdr:colOff>76913</xdr:colOff>
      <xdr:row>16</xdr:row>
      <xdr:rowOff>157389</xdr:rowOff>
    </xdr:to>
    <xdr:sp macro="" textlink="'Variable Mgmt'!C270">
      <xdr:nvSpPr>
        <xdr:cNvPr id="73" name="Text Box 268">
          <a:extLst>
            <a:ext uri="{FF2B5EF4-FFF2-40B4-BE49-F238E27FC236}">
              <a16:creationId xmlns:a16="http://schemas.microsoft.com/office/drawing/2014/main" id="{00000000-0008-0000-0000-000049000000}"/>
            </a:ext>
          </a:extLst>
        </xdr:cNvPr>
        <xdr:cNvSpPr txBox="1">
          <a:spLocks noChangeArrowheads="1" noTextEdit="1"/>
        </xdr:cNvSpPr>
      </xdr:nvSpPr>
      <xdr:spPr bwMode="auto">
        <a:xfrm>
          <a:off x="9844204" y="3433528"/>
          <a:ext cx="555995" cy="307075"/>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900" b="0" i="0" u="none" strike="noStrike">
              <a:solidFill>
                <a:srgbClr val="000000"/>
              </a:solidFill>
              <a:latin typeface="Arial"/>
              <a:cs typeface="Arial"/>
            </a:rPr>
            <a:pPr algn="l" rtl="0">
              <a:defRPr sz="1000"/>
            </a:pPr>
            <a:t>80.6kΩ</a:t>
          </a:fld>
          <a:endParaRPr lang="el-GR" sz="900" b="0" i="0" strike="noStrike">
            <a:solidFill>
              <a:srgbClr val="000000"/>
            </a:solidFill>
            <a:latin typeface="Arial" pitchFamily="34" charset="0"/>
            <a:cs typeface="Arial" pitchFamily="34" charset="0"/>
          </a:endParaRPr>
        </a:p>
      </xdr:txBody>
    </xdr:sp>
    <xdr:clientData/>
  </xdr:twoCellAnchor>
  <xdr:twoCellAnchor>
    <xdr:from>
      <xdr:col>18</xdr:col>
      <xdr:colOff>676778</xdr:colOff>
      <xdr:row>16</xdr:row>
      <xdr:rowOff>6934</xdr:rowOff>
    </xdr:from>
    <xdr:to>
      <xdr:col>19</xdr:col>
      <xdr:colOff>538343</xdr:colOff>
      <xdr:row>17</xdr:row>
      <xdr:rowOff>35167</xdr:rowOff>
    </xdr:to>
    <xdr:sp macro="" textlink="'Variable Mgmt'!C259">
      <xdr:nvSpPr>
        <xdr:cNvPr id="89" name="Text Box 268">
          <a:extLst>
            <a:ext uri="{FF2B5EF4-FFF2-40B4-BE49-F238E27FC236}">
              <a16:creationId xmlns:a16="http://schemas.microsoft.com/office/drawing/2014/main" id="{00000000-0008-0000-0000-000059000000}"/>
            </a:ext>
          </a:extLst>
        </xdr:cNvPr>
        <xdr:cNvSpPr txBox="1">
          <a:spLocks noChangeArrowheads="1" noTextEdit="1"/>
        </xdr:cNvSpPr>
      </xdr:nvSpPr>
      <xdr:spPr bwMode="auto">
        <a:xfrm>
          <a:off x="12415207" y="3590148"/>
          <a:ext cx="560065" cy="22780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900" b="0" i="0" u="none" strike="noStrike">
              <a:solidFill>
                <a:srgbClr val="000000"/>
              </a:solidFill>
              <a:latin typeface="Arial"/>
              <a:cs typeface="Arial"/>
            </a:rPr>
            <a:pPr algn="l" rtl="0">
              <a:defRPr sz="1000"/>
            </a:pPr>
            <a:t>163.4kΩ</a:t>
          </a:fld>
          <a:endParaRPr lang="el-GR" sz="1200" b="0" i="0" strike="noStrike">
            <a:solidFill>
              <a:srgbClr val="000000"/>
            </a:solidFill>
            <a:latin typeface="Arial" pitchFamily="34" charset="0"/>
            <a:cs typeface="Arial" pitchFamily="34" charset="0"/>
          </a:endParaRPr>
        </a:p>
      </xdr:txBody>
    </xdr:sp>
    <xdr:clientData/>
  </xdr:twoCellAnchor>
  <xdr:twoCellAnchor>
    <xdr:from>
      <xdr:col>15</xdr:col>
      <xdr:colOff>515590</xdr:colOff>
      <xdr:row>17</xdr:row>
      <xdr:rowOff>132012</xdr:rowOff>
    </xdr:from>
    <xdr:to>
      <xdr:col>16</xdr:col>
      <xdr:colOff>343366</xdr:colOff>
      <xdr:row>18</xdr:row>
      <xdr:rowOff>143932</xdr:rowOff>
    </xdr:to>
    <xdr:sp macro="" textlink="'Variable Mgmt'!C273">
      <xdr:nvSpPr>
        <xdr:cNvPr id="91" name="Text Box 265">
          <a:extLst>
            <a:ext uri="{FF2B5EF4-FFF2-40B4-BE49-F238E27FC236}">
              <a16:creationId xmlns:a16="http://schemas.microsoft.com/office/drawing/2014/main" id="{00000000-0008-0000-0000-00005B000000}"/>
            </a:ext>
          </a:extLst>
        </xdr:cNvPr>
        <xdr:cNvSpPr txBox="1">
          <a:spLocks noChangeArrowheads="1" noTextEdit="1"/>
        </xdr:cNvSpPr>
      </xdr:nvSpPr>
      <xdr:spPr bwMode="auto">
        <a:xfrm>
          <a:off x="10131304" y="3914798"/>
          <a:ext cx="535348" cy="211491"/>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900" b="0" i="0" u="none" strike="noStrike" baseline="0">
              <a:solidFill>
                <a:srgbClr val="000000"/>
              </a:solidFill>
              <a:latin typeface="Arial"/>
              <a:cs typeface="Arial"/>
            </a:rPr>
            <a:pPr algn="l" rtl="0">
              <a:defRPr sz="1000"/>
            </a:pPr>
            <a:t>10kΩ</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14</xdr:col>
      <xdr:colOff>105150</xdr:colOff>
      <xdr:row>7</xdr:row>
      <xdr:rowOff>58997</xdr:rowOff>
    </xdr:from>
    <xdr:to>
      <xdr:col>15</xdr:col>
      <xdr:colOff>312085</xdr:colOff>
      <xdr:row>8</xdr:row>
      <xdr:rowOff>144859</xdr:rowOff>
    </xdr:to>
    <xdr:sp macro="" textlink="'Variable Mgmt'!B238">
      <xdr:nvSpPr>
        <xdr:cNvPr id="35" name="Text Box 283">
          <a:extLst>
            <a:ext uri="{FF2B5EF4-FFF2-40B4-BE49-F238E27FC236}">
              <a16:creationId xmlns:a16="http://schemas.microsoft.com/office/drawing/2014/main" id="{00000000-0008-0000-0000-000023000000}"/>
            </a:ext>
          </a:extLst>
        </xdr:cNvPr>
        <xdr:cNvSpPr txBox="1">
          <a:spLocks noChangeArrowheads="1" noTextEdit="1"/>
        </xdr:cNvSpPr>
      </xdr:nvSpPr>
      <xdr:spPr bwMode="auto">
        <a:xfrm>
          <a:off x="8614150" y="1836997"/>
          <a:ext cx="849406" cy="280097"/>
        </a:xfrm>
        <a:prstGeom prst="rect">
          <a:avLst/>
        </a:prstGeom>
        <a:noFill/>
        <a:ln w="9525">
          <a:noFill/>
          <a:miter lim="800000"/>
          <a:headEnd/>
          <a:tailEnd/>
        </a:ln>
      </xdr:spPr>
      <xdr:txBody>
        <a:bodyPr vertOverflow="clip" wrap="square" lIns="27432" tIns="22860" rIns="0" bIns="0" anchor="t" upright="1"/>
        <a:lstStyle/>
        <a:p>
          <a:pPr algn="l" rtl="0">
            <a:defRPr sz="1000"/>
          </a:pPr>
          <a:fld id="{47315316-35F3-49E7-A4CE-EA42773D1FAE}" type="TxLink">
            <a:rPr lang="en-US" sz="1200" b="1" i="0" u="none" strike="noStrike">
              <a:solidFill>
                <a:srgbClr val="000000"/>
              </a:solidFill>
              <a:latin typeface="Arial"/>
              <a:cs typeface="Arial"/>
            </a:rPr>
            <a:pPr algn="l" rtl="0">
              <a:defRPr sz="1000"/>
            </a:pPr>
            <a:t>9V...36V</a:t>
          </a:fld>
          <a:endParaRPr lang="en-US" sz="1200" b="1"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40</xdr:row>
          <xdr:rowOff>0</xdr:rowOff>
        </xdr:from>
        <xdr:to>
          <xdr:col>5</xdr:col>
          <xdr:colOff>276225</xdr:colOff>
          <xdr:row>41</xdr:row>
          <xdr:rowOff>28575</xdr:rowOff>
        </xdr:to>
        <xdr:sp macro="" textlink="">
          <xdr:nvSpPr>
            <xdr:cNvPr id="672935" name="Drop Down 167" hidden="1">
              <a:extLst>
                <a:ext uri="{63B3BB69-23CF-44E3-9099-C40C66FF867C}">
                  <a14:compatExt spid="_x0000_s672935"/>
                </a:ext>
                <a:ext uri="{FF2B5EF4-FFF2-40B4-BE49-F238E27FC236}">
                  <a16:creationId xmlns:a16="http://schemas.microsoft.com/office/drawing/2014/main" id="{00000000-0008-0000-0000-0000A744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16</xdr:col>
      <xdr:colOff>132617</xdr:colOff>
      <xdr:row>19</xdr:row>
      <xdr:rowOff>226786</xdr:rowOff>
    </xdr:from>
    <xdr:to>
      <xdr:col>16</xdr:col>
      <xdr:colOff>679506</xdr:colOff>
      <xdr:row>20</xdr:row>
      <xdr:rowOff>138885</xdr:rowOff>
    </xdr:to>
    <xdr:sp macro="" textlink="'Variable Mgmt'!B265">
      <xdr:nvSpPr>
        <xdr:cNvPr id="44" name="Text Box 268">
          <a:extLst>
            <a:ext uri="{FF2B5EF4-FFF2-40B4-BE49-F238E27FC236}">
              <a16:creationId xmlns:a16="http://schemas.microsoft.com/office/drawing/2014/main" id="{00000000-0008-0000-0000-00002C000000}"/>
            </a:ext>
          </a:extLst>
        </xdr:cNvPr>
        <xdr:cNvSpPr txBox="1">
          <a:spLocks noChangeArrowheads="1" noTextEdit="1"/>
        </xdr:cNvSpPr>
      </xdr:nvSpPr>
      <xdr:spPr bwMode="auto">
        <a:xfrm>
          <a:off x="10455903" y="4454072"/>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900" b="0" i="0" u="none" strike="noStrike">
              <a:solidFill>
                <a:srgbClr val="000000"/>
              </a:solidFill>
              <a:latin typeface="Arial"/>
              <a:cs typeface="Arial"/>
            </a:rPr>
            <a:pPr algn="l" rtl="0">
              <a:defRPr sz="1000"/>
            </a:pPr>
            <a:t>243kΩ</a:t>
          </a:fld>
          <a:endParaRPr lang="el-GR" sz="9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12700</xdr:colOff>
          <xdr:row>46</xdr:row>
          <xdr:rowOff>0</xdr:rowOff>
        </xdr:from>
        <xdr:to>
          <xdr:col>5</xdr:col>
          <xdr:colOff>257175</xdr:colOff>
          <xdr:row>46</xdr:row>
          <xdr:rowOff>200025</xdr:rowOff>
        </xdr:to>
        <xdr:sp macro="" textlink="">
          <xdr:nvSpPr>
            <xdr:cNvPr id="673043" name="Drop Down 275" hidden="1">
              <a:extLst>
                <a:ext uri="{63B3BB69-23CF-44E3-9099-C40C66FF867C}">
                  <a14:compatExt spid="_x0000_s673043"/>
                </a:ext>
                <a:ext uri="{FF2B5EF4-FFF2-40B4-BE49-F238E27FC236}">
                  <a16:creationId xmlns:a16="http://schemas.microsoft.com/office/drawing/2014/main" id="{00000000-0008-0000-0000-0000134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78143</xdr:colOff>
      <xdr:row>0</xdr:row>
      <xdr:rowOff>32845</xdr:rowOff>
    </xdr:from>
    <xdr:to>
      <xdr:col>3</xdr:col>
      <xdr:colOff>351439</xdr:colOff>
      <xdr:row>0</xdr:row>
      <xdr:rowOff>571501</xdr:rowOff>
    </xdr:to>
    <xdr:pic macro="[0]!OpenLM27403ProductFolder">
      <xdr:nvPicPr>
        <xdr:cNvPr id="4" name="Picture 3">
          <a:hlinkClick xmlns:r="http://schemas.openxmlformats.org/officeDocument/2006/relationships" r:id="rId4"/>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896" b="8304"/>
        <a:stretch/>
      </xdr:blipFill>
      <xdr:spPr>
        <a:xfrm>
          <a:off x="78143" y="32845"/>
          <a:ext cx="2283071" cy="538656"/>
        </a:xfrm>
        <a:prstGeom prst="rect">
          <a:avLst/>
        </a:prstGeom>
      </xdr:spPr>
    </xdr:pic>
    <xdr:clientData/>
  </xdr:twoCellAnchor>
  <xdr:twoCellAnchor editAs="oneCell">
    <xdr:from>
      <xdr:col>21</xdr:col>
      <xdr:colOff>400381</xdr:colOff>
      <xdr:row>0</xdr:row>
      <xdr:rowOff>123825</xdr:rowOff>
    </xdr:from>
    <xdr:to>
      <xdr:col>23</xdr:col>
      <xdr:colOff>435229</xdr:colOff>
      <xdr:row>3</xdr:row>
      <xdr:rowOff>130175</xdr:rowOff>
    </xdr:to>
    <xdr:pic macro="[0]!OpenLM27403ProductFolder">
      <xdr:nvPicPr>
        <xdr:cNvPr id="53" name="Picture 52">
          <a:hlinkClick xmlns:r="http://schemas.openxmlformats.org/officeDocument/2006/relationships" r:id="rId6"/>
          <a:extLst>
            <a:ext uri="{FF2B5EF4-FFF2-40B4-BE49-F238E27FC236}">
              <a16:creationId xmlns:a16="http://schemas.microsoft.com/office/drawing/2014/main" id="{00000000-0008-0000-0000-00003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78456" y="123825"/>
          <a:ext cx="1250873" cy="971550"/>
        </a:xfrm>
        <a:prstGeom prst="rect">
          <a:avLst/>
        </a:prstGeom>
      </xdr:spPr>
    </xdr:pic>
    <xdr:clientData/>
  </xdr:twoCellAnchor>
  <xdr:twoCellAnchor editAs="oneCell">
    <xdr:from>
      <xdr:col>23</xdr:col>
      <xdr:colOff>514350</xdr:colOff>
      <xdr:row>0</xdr:row>
      <xdr:rowOff>117830</xdr:rowOff>
    </xdr:from>
    <xdr:to>
      <xdr:col>25</xdr:col>
      <xdr:colOff>542193</xdr:colOff>
      <xdr:row>3</xdr:row>
      <xdr:rowOff>130483</xdr:rowOff>
    </xdr:to>
    <xdr:pic macro="[0]!OpenLM27403ProductFolder">
      <xdr:nvPicPr>
        <xdr:cNvPr id="54" name="Picture 53">
          <a:hlinkClick xmlns:r="http://schemas.openxmlformats.org/officeDocument/2006/relationships" r:id="rId8"/>
          <a:extLst>
            <a:ext uri="{FF2B5EF4-FFF2-40B4-BE49-F238E27FC236}">
              <a16:creationId xmlns:a16="http://schemas.microsoft.com/office/drawing/2014/main" id="{00000000-0008-0000-0000-000036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6787446" y="117830"/>
          <a:ext cx="1244112" cy="97028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11</xdr:col>
          <xdr:colOff>12700</xdr:colOff>
          <xdr:row>12</xdr:row>
          <xdr:rowOff>0</xdr:rowOff>
        </xdr:from>
        <xdr:to>
          <xdr:col>12</xdr:col>
          <xdr:colOff>66675</xdr:colOff>
          <xdr:row>13</xdr:row>
          <xdr:rowOff>9525</xdr:rowOff>
        </xdr:to>
        <xdr:sp macro="" textlink="">
          <xdr:nvSpPr>
            <xdr:cNvPr id="697343" name="Drop Down 3071" hidden="1">
              <a:extLst>
                <a:ext uri="{63B3BB69-23CF-44E3-9099-C40C66FF867C}">
                  <a14:compatExt spid="_x0000_s697343"/>
                </a:ext>
                <a:ext uri="{FF2B5EF4-FFF2-40B4-BE49-F238E27FC236}">
                  <a16:creationId xmlns:a16="http://schemas.microsoft.com/office/drawing/2014/main" id="{00000000-0008-0000-0000-0000FFA3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12700</xdr:rowOff>
        </xdr:from>
        <xdr:to>
          <xdr:col>5</xdr:col>
          <xdr:colOff>266700</xdr:colOff>
          <xdr:row>44</xdr:row>
          <xdr:rowOff>9525</xdr:rowOff>
        </xdr:to>
        <xdr:sp macro="" textlink="">
          <xdr:nvSpPr>
            <xdr:cNvPr id="714798" name="Drop Down 3118" hidden="1">
              <a:extLst>
                <a:ext uri="{63B3BB69-23CF-44E3-9099-C40C66FF867C}">
                  <a14:compatExt spid="_x0000_s714798"/>
                </a:ext>
                <a:ext uri="{FF2B5EF4-FFF2-40B4-BE49-F238E27FC236}">
                  <a16:creationId xmlns:a16="http://schemas.microsoft.com/office/drawing/2014/main" id="{00000000-0008-0000-0000-00002EE8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20</xdr:col>
      <xdr:colOff>109162</xdr:colOff>
      <xdr:row>6</xdr:row>
      <xdr:rowOff>19381</xdr:rowOff>
    </xdr:from>
    <xdr:to>
      <xdr:col>21</xdr:col>
      <xdr:colOff>494998</xdr:colOff>
      <xdr:row>7</xdr:row>
      <xdr:rowOff>91622</xdr:rowOff>
    </xdr:to>
    <xdr:sp macro="" textlink="'Variable Mgmt'!B233">
      <xdr:nvSpPr>
        <xdr:cNvPr id="62" name="Text Box 265">
          <a:extLst>
            <a:ext uri="{FF2B5EF4-FFF2-40B4-BE49-F238E27FC236}">
              <a16:creationId xmlns:a16="http://schemas.microsoft.com/office/drawing/2014/main" id="{00000000-0008-0000-0000-00003E000000}"/>
            </a:ext>
          </a:extLst>
        </xdr:cNvPr>
        <xdr:cNvSpPr txBox="1">
          <a:spLocks noChangeArrowheads="1" noTextEdit="1"/>
        </xdr:cNvSpPr>
      </xdr:nvSpPr>
      <xdr:spPr bwMode="auto">
        <a:xfrm>
          <a:off x="13190162" y="1625024"/>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1000" b="0" i="0" u="none" strike="noStrike" baseline="0">
              <a:solidFill>
                <a:srgbClr val="000000"/>
              </a:solidFill>
              <a:latin typeface="Arial"/>
              <a:cs typeface="Arial"/>
            </a:rPr>
            <a:pPr algn="ctr" rtl="0">
              <a:defRPr sz="1000"/>
            </a:pPr>
            <a:t>1 : 1.5</a:t>
          </a:fld>
          <a:endParaRPr lang="el-GR" sz="1200" b="0" i="0" u="none" strike="noStrike" baseline="0">
            <a:solidFill>
              <a:srgbClr val="000000"/>
            </a:solidFill>
            <a:latin typeface="Arial" pitchFamily="34" charset="0"/>
            <a:cs typeface="Arial" pitchFamily="34" charset="0"/>
          </a:endParaRPr>
        </a:p>
      </xdr:txBody>
    </xdr:sp>
    <xdr:clientData/>
  </xdr:twoCellAnchor>
  <xdr:twoCellAnchor>
    <xdr:from>
      <xdr:col>25</xdr:col>
      <xdr:colOff>750794</xdr:colOff>
      <xdr:row>41</xdr:row>
      <xdr:rowOff>69135</xdr:rowOff>
    </xdr:from>
    <xdr:to>
      <xdr:col>25</xdr:col>
      <xdr:colOff>1228557</xdr:colOff>
      <xdr:row>42</xdr:row>
      <xdr:rowOff>146830</xdr:rowOff>
    </xdr:to>
    <xdr:sp macro="" textlink="'Variable Mgmt'!$B$286">
      <xdr:nvSpPr>
        <xdr:cNvPr id="56" name="Text Box 24">
          <a:extLst>
            <a:ext uri="{FF2B5EF4-FFF2-40B4-BE49-F238E27FC236}">
              <a16:creationId xmlns:a16="http://schemas.microsoft.com/office/drawing/2014/main" id="{00000000-0008-0000-0000-000038000000}"/>
            </a:ext>
          </a:extLst>
        </xdr:cNvPr>
        <xdr:cNvSpPr txBox="1">
          <a:spLocks noChangeArrowheads="1" noTextEdit="1"/>
        </xdr:cNvSpPr>
      </xdr:nvSpPr>
      <xdr:spPr bwMode="auto">
        <a:xfrm>
          <a:off x="16588441" y="9003959"/>
          <a:ext cx="477763" cy="286871"/>
        </a:xfrm>
        <a:prstGeom prst="rect">
          <a:avLst/>
        </a:prstGeom>
        <a:noFill/>
        <a:ln w="9525">
          <a:noFill/>
          <a:miter lim="800000"/>
          <a:headEnd/>
          <a:tailEnd/>
        </a:ln>
      </xdr:spPr>
      <xdr:txBody>
        <a:bodyPr wrap="square" lIns="27432" tIns="22860" rIns="0"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defRPr sz="1000"/>
          </a:pPr>
          <a:fld id="{1F0AFB1C-0795-4024-9821-D34D86340D40}" type="TxLink">
            <a:rPr lang="en-US" sz="1000" b="0" i="0" u="none" strike="noStrike" baseline="0">
              <a:solidFill>
                <a:srgbClr val="000000"/>
              </a:solidFill>
              <a:latin typeface="Arial"/>
              <a:cs typeface="Arial"/>
            </a:rPr>
            <a:pPr algn="l" rtl="0">
              <a:defRPr sz="1000"/>
            </a:pPr>
            <a:t>86.7%</a:t>
          </a:fld>
          <a:endParaRPr lang="en-US" sz="1000" b="1" i="0" u="none" strike="noStrike" baseline="0">
            <a:solidFill>
              <a:srgbClr val="000000"/>
            </a:solidFill>
            <a:latin typeface="Arial" pitchFamily="34" charset="0"/>
            <a:cs typeface="Arial" pitchFamily="34" charset="0"/>
          </a:endParaRPr>
        </a:p>
      </xdr:txBody>
    </xdr:sp>
    <xdr:clientData/>
  </xdr:twoCellAnchor>
  <xdr:twoCellAnchor>
    <xdr:from>
      <xdr:col>25</xdr:col>
      <xdr:colOff>1096216</xdr:colOff>
      <xdr:row>18</xdr:row>
      <xdr:rowOff>128280</xdr:rowOff>
    </xdr:from>
    <xdr:to>
      <xdr:col>25</xdr:col>
      <xdr:colOff>1759040</xdr:colOff>
      <xdr:row>19</xdr:row>
      <xdr:rowOff>0</xdr:rowOff>
    </xdr:to>
    <xdr:sp macro="" textlink="'Variable Mgmt'!B241">
      <xdr:nvSpPr>
        <xdr:cNvPr id="42" name="Text Box 285">
          <a:extLst>
            <a:ext uri="{FF2B5EF4-FFF2-40B4-BE49-F238E27FC236}">
              <a16:creationId xmlns:a16="http://schemas.microsoft.com/office/drawing/2014/main" id="{00000000-0008-0000-0000-00002A000000}"/>
            </a:ext>
          </a:extLst>
        </xdr:cNvPr>
        <xdr:cNvSpPr txBox="1">
          <a:spLocks noChangeArrowheads="1" noTextEdit="1"/>
        </xdr:cNvSpPr>
      </xdr:nvSpPr>
      <xdr:spPr bwMode="auto">
        <a:xfrm>
          <a:off x="16612303" y="3341932"/>
          <a:ext cx="662824" cy="349094"/>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869431</xdr:colOff>
      <xdr:row>18</xdr:row>
      <xdr:rowOff>185393</xdr:rowOff>
    </xdr:from>
    <xdr:to>
      <xdr:col>25</xdr:col>
      <xdr:colOff>1616761</xdr:colOff>
      <xdr:row>20</xdr:row>
      <xdr:rowOff>58673</xdr:rowOff>
    </xdr:to>
    <xdr:sp macro="" textlink="'Variable Mgmt'!B296">
      <xdr:nvSpPr>
        <xdr:cNvPr id="46" name="Text Box 286">
          <a:extLst>
            <a:ext uri="{FF2B5EF4-FFF2-40B4-BE49-F238E27FC236}">
              <a16:creationId xmlns:a16="http://schemas.microsoft.com/office/drawing/2014/main" id="{00000000-0008-0000-0000-00002E000000}"/>
            </a:ext>
          </a:extLst>
        </xdr:cNvPr>
        <xdr:cNvSpPr txBox="1">
          <a:spLocks noChangeArrowheads="1" noTextEdit="1"/>
        </xdr:cNvSpPr>
      </xdr:nvSpPr>
      <xdr:spPr bwMode="auto">
        <a:xfrm>
          <a:off x="16385518" y="3399045"/>
          <a:ext cx="747330" cy="618715"/>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25</xdr:col>
      <xdr:colOff>1022875</xdr:colOff>
      <xdr:row>16</xdr:row>
      <xdr:rowOff>158113</xdr:rowOff>
    </xdr:from>
    <xdr:to>
      <xdr:col>25</xdr:col>
      <xdr:colOff>1685699</xdr:colOff>
      <xdr:row>19</xdr:row>
      <xdr:rowOff>102504</xdr:rowOff>
    </xdr:to>
    <xdr:sp macro="" textlink="'Variable Mgmt'!B242">
      <xdr:nvSpPr>
        <xdr:cNvPr id="47" name="Text Box 285">
          <a:extLst>
            <a:ext uri="{FF2B5EF4-FFF2-40B4-BE49-F238E27FC236}">
              <a16:creationId xmlns:a16="http://schemas.microsoft.com/office/drawing/2014/main" id="{00000000-0008-0000-0000-00002F000000}"/>
            </a:ext>
          </a:extLst>
        </xdr:cNvPr>
        <xdr:cNvSpPr txBox="1">
          <a:spLocks noChangeArrowheads="1" noTextEdit="1"/>
        </xdr:cNvSpPr>
      </xdr:nvSpPr>
      <xdr:spPr bwMode="auto">
        <a:xfrm>
          <a:off x="17324232" y="3741327"/>
          <a:ext cx="662824" cy="83339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350" b="1" i="0" u="none" strike="noStrike" baseline="0">
              <a:solidFill>
                <a:srgbClr val="FF0000"/>
              </a:solidFill>
              <a:latin typeface="Arial"/>
              <a:cs typeface="Arial"/>
            </a:rPr>
            <a:pPr algn="l" rtl="0">
              <a:defRPr sz="1000"/>
            </a:pPr>
            <a:t> </a:t>
          </a:fld>
          <a:endParaRPr lang="en-US" sz="1350" b="1" i="0" u="none" strike="noStrike" baseline="0">
            <a:solidFill>
              <a:srgbClr val="FF0000"/>
            </a:solidFill>
            <a:latin typeface="Arial" pitchFamily="34" charset="0"/>
            <a:cs typeface="Arial" pitchFamily="34" charset="0"/>
          </a:endParaRPr>
        </a:p>
      </xdr:txBody>
    </xdr:sp>
    <xdr:clientData/>
  </xdr:twoCellAnchor>
  <xdr:twoCellAnchor>
    <xdr:from>
      <xdr:col>25</xdr:col>
      <xdr:colOff>772742</xdr:colOff>
      <xdr:row>19</xdr:row>
      <xdr:rowOff>0</xdr:rowOff>
    </xdr:from>
    <xdr:to>
      <xdr:col>25</xdr:col>
      <xdr:colOff>1516897</xdr:colOff>
      <xdr:row>19</xdr:row>
      <xdr:rowOff>208643</xdr:rowOff>
    </xdr:to>
    <xdr:sp macro="" textlink="'Variable Mgmt'!B297">
      <xdr:nvSpPr>
        <xdr:cNvPr id="51" name="Text Box 286">
          <a:extLst>
            <a:ext uri="{FF2B5EF4-FFF2-40B4-BE49-F238E27FC236}">
              <a16:creationId xmlns:a16="http://schemas.microsoft.com/office/drawing/2014/main" id="{00000000-0008-0000-0000-000033000000}"/>
            </a:ext>
          </a:extLst>
        </xdr:cNvPr>
        <xdr:cNvSpPr txBox="1">
          <a:spLocks noChangeArrowheads="1" noTextEdit="1"/>
        </xdr:cNvSpPr>
      </xdr:nvSpPr>
      <xdr:spPr bwMode="auto">
        <a:xfrm>
          <a:off x="17074099" y="4227286"/>
          <a:ext cx="744155" cy="208643"/>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350" b="1" i="0" u="none" strike="noStrike">
              <a:solidFill>
                <a:srgbClr val="FF0000"/>
              </a:solidFill>
              <a:latin typeface="Arial"/>
              <a:cs typeface="Arial"/>
            </a:rPr>
            <a:pPr algn="ctr" rtl="0">
              <a:defRPr sz="1000"/>
            </a:pPr>
            <a:t> </a:t>
          </a:fld>
          <a:endParaRPr lang="en-US" sz="1350" b="1" i="0" strike="noStrike">
            <a:solidFill>
              <a:srgbClr val="FF0000"/>
            </a:solidFill>
            <a:latin typeface="Arial" pitchFamily="34" charset="0"/>
            <a:cs typeface="Arial" pitchFamily="34" charset="0"/>
          </a:endParaRPr>
        </a:p>
      </xdr:txBody>
    </xdr:sp>
    <xdr:clientData/>
  </xdr:twoCellAnchor>
  <xdr:twoCellAnchor>
    <xdr:from>
      <xdr:col>23</xdr:col>
      <xdr:colOff>150700</xdr:colOff>
      <xdr:row>15</xdr:row>
      <xdr:rowOff>151932</xdr:rowOff>
    </xdr:from>
    <xdr:to>
      <xdr:col>24</xdr:col>
      <xdr:colOff>34178</xdr:colOff>
      <xdr:row>17</xdr:row>
      <xdr:rowOff>126999</xdr:rowOff>
    </xdr:to>
    <xdr:sp macro="" textlink="'Variable Mgmt'!D245">
      <xdr:nvSpPr>
        <xdr:cNvPr id="55" name="Text Box 267">
          <a:extLst>
            <a:ext uri="{FF2B5EF4-FFF2-40B4-BE49-F238E27FC236}">
              <a16:creationId xmlns:a16="http://schemas.microsoft.com/office/drawing/2014/main" id="{00000000-0008-0000-0000-000037000000}"/>
            </a:ext>
          </a:extLst>
        </xdr:cNvPr>
        <xdr:cNvSpPr txBox="1">
          <a:spLocks noChangeArrowheads="1" noTextEdit="1"/>
        </xdr:cNvSpPr>
      </xdr:nvSpPr>
      <xdr:spPr bwMode="auto">
        <a:xfrm>
          <a:off x="15163914" y="3535575"/>
          <a:ext cx="527550" cy="374210"/>
        </a:xfrm>
        <a:prstGeom prst="rect">
          <a:avLst/>
        </a:prstGeom>
        <a:noFill/>
        <a:ln w="9525">
          <a:noFill/>
          <a:miter lim="800000"/>
          <a:headEnd/>
          <a:tailEnd/>
        </a:ln>
      </xdr:spPr>
      <xdr:txBody>
        <a:bodyPr vertOverflow="clip" wrap="square" lIns="27432" tIns="22860" rIns="0" bIns="0" anchor="ctr" upright="1"/>
        <a:lstStyle/>
        <a:p>
          <a:pPr algn="l" rtl="0">
            <a:defRPr sz="1000"/>
          </a:pPr>
          <a:fld id="{A5CD353A-83F6-408F-8104-9228EF111F31}" type="TxLink">
            <a:rPr lang="en-US" sz="1000" b="0" i="0" u="none" strike="noStrike" baseline="0">
              <a:solidFill>
                <a:srgbClr val="000000"/>
              </a:solidFill>
              <a:latin typeface="Arial"/>
              <a:cs typeface="Arial"/>
            </a:rPr>
            <a:pPr algn="l" rtl="0">
              <a:defRPr sz="1000"/>
            </a:pPr>
            <a:t> </a:t>
          </a:fld>
          <a:endParaRPr lang="en-US" sz="1100" b="0" i="0" u="none" strike="noStrike" baseline="0">
            <a:solidFill>
              <a:srgbClr val="000000"/>
            </a:solidFill>
            <a:latin typeface="Arial" pitchFamily="34" charset="0"/>
            <a:cs typeface="Arial" pitchFamily="34" charset="0"/>
          </a:endParaRPr>
        </a:p>
      </xdr:txBody>
    </xdr:sp>
    <xdr:clientData/>
  </xdr:twoCellAnchor>
  <xdr:twoCellAnchor>
    <xdr:from>
      <xdr:col>23</xdr:col>
      <xdr:colOff>159771</xdr:colOff>
      <xdr:row>19</xdr:row>
      <xdr:rowOff>90714</xdr:rowOff>
    </xdr:from>
    <xdr:to>
      <xdr:col>24</xdr:col>
      <xdr:colOff>43249</xdr:colOff>
      <xdr:row>20</xdr:row>
      <xdr:rowOff>0</xdr:rowOff>
    </xdr:to>
    <xdr:sp macro="" textlink="'Variable Mgmt'!C245">
      <xdr:nvSpPr>
        <xdr:cNvPr id="67" name="Text Box 267">
          <a:extLst>
            <a:ext uri="{FF2B5EF4-FFF2-40B4-BE49-F238E27FC236}">
              <a16:creationId xmlns:a16="http://schemas.microsoft.com/office/drawing/2014/main" id="{00000000-0008-0000-0000-000043000000}"/>
            </a:ext>
          </a:extLst>
        </xdr:cNvPr>
        <xdr:cNvSpPr txBox="1">
          <a:spLocks noChangeArrowheads="1" noTextEdit="1"/>
        </xdr:cNvSpPr>
      </xdr:nvSpPr>
      <xdr:spPr bwMode="auto">
        <a:xfrm>
          <a:off x="15172985" y="4318000"/>
          <a:ext cx="527550" cy="154214"/>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900" b="0" i="0" u="none" strike="noStrike" baseline="0">
              <a:solidFill>
                <a:srgbClr val="000000"/>
              </a:solidFill>
              <a:latin typeface="Arial"/>
              <a:cs typeface="Arial"/>
            </a:rPr>
            <a:pPr algn="l" rtl="0">
              <a:defRPr sz="1000"/>
            </a:pPr>
            <a:t> </a:t>
          </a:fld>
          <a:endParaRPr lang="en-US" sz="9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7</xdr:row>
          <xdr:rowOff>190500</xdr:rowOff>
        </xdr:from>
        <xdr:to>
          <xdr:col>5</xdr:col>
          <xdr:colOff>76200</xdr:colOff>
          <xdr:row>8</xdr:row>
          <xdr:rowOff>190500</xdr:rowOff>
        </xdr:to>
        <xdr:sp macro="" textlink="">
          <xdr:nvSpPr>
            <xdr:cNvPr id="715085" name="Drop Down 3405" hidden="1">
              <a:extLst>
                <a:ext uri="{63B3BB69-23CF-44E3-9099-C40C66FF867C}">
                  <a14:compatExt spid="_x0000_s715085"/>
                </a:ext>
                <a:ext uri="{FF2B5EF4-FFF2-40B4-BE49-F238E27FC236}">
                  <a16:creationId xmlns:a16="http://schemas.microsoft.com/office/drawing/2014/main" id="{00000000-0008-0000-0000-00004DE9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14079</xdr:colOff>
          <xdr:row>37</xdr:row>
          <xdr:rowOff>17405</xdr:rowOff>
        </xdr:from>
        <xdr:to>
          <xdr:col>17</xdr:col>
          <xdr:colOff>292474</xdr:colOff>
          <xdr:row>60</xdr:row>
          <xdr:rowOff>124425</xdr:rowOff>
        </xdr:to>
        <xdr:pic>
          <xdr:nvPicPr>
            <xdr:cNvPr id="65" name="Picture 8888">
              <a:extLst>
                <a:ext uri="{FF2B5EF4-FFF2-40B4-BE49-F238E27FC236}">
                  <a16:creationId xmlns:a16="http://schemas.microsoft.com/office/drawing/2014/main" id="{00000000-0008-0000-0000-000041000000}"/>
                </a:ext>
              </a:extLst>
            </xdr:cNvPr>
            <xdr:cNvPicPr>
              <a:picLocks noChangeAspect="1" noChangeArrowheads="1"/>
              <a:extLst>
                <a:ext uri="{84589F7E-364E-4C9E-8A38-B11213B215E9}">
                  <a14:cameraTool cellRange="PICTURE2" spid="_x0000_s790090"/>
                </a:ext>
              </a:extLst>
            </xdr:cNvPicPr>
          </xdr:nvPicPr>
          <xdr:blipFill rotWithShape="1">
            <a:blip xmlns:r="http://schemas.openxmlformats.org/officeDocument/2006/relationships" r:embed="rId10"/>
            <a:srcRect r="5700"/>
            <a:stretch>
              <a:fillRect/>
            </a:stretch>
          </xdr:blipFill>
          <xdr:spPr bwMode="auto">
            <a:xfrm>
              <a:off x="4249903" y="8137934"/>
              <a:ext cx="6619803" cy="4073903"/>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23</xdr:col>
          <xdr:colOff>127000</xdr:colOff>
          <xdr:row>62</xdr:row>
          <xdr:rowOff>12700</xdr:rowOff>
        </xdr:from>
        <xdr:to>
          <xdr:col>23</xdr:col>
          <xdr:colOff>304800</xdr:colOff>
          <xdr:row>63</xdr:row>
          <xdr:rowOff>31750</xdr:rowOff>
        </xdr:to>
        <xdr:sp macro="" textlink="">
          <xdr:nvSpPr>
            <xdr:cNvPr id="751280" name="Spinner 5808" hidden="1">
              <a:extLst>
                <a:ext uri="{63B3BB69-23CF-44E3-9099-C40C66FF867C}">
                  <a14:compatExt spid="_x0000_s751280"/>
                </a:ext>
                <a:ext uri="{FF2B5EF4-FFF2-40B4-BE49-F238E27FC236}">
                  <a16:creationId xmlns:a16="http://schemas.microsoft.com/office/drawing/2014/main" id="{00000000-0008-0000-0000-0000B0760B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16</xdr:col>
      <xdr:colOff>60092</xdr:colOff>
      <xdr:row>21</xdr:row>
      <xdr:rowOff>200356</xdr:rowOff>
    </xdr:from>
    <xdr:to>
      <xdr:col>16</xdr:col>
      <xdr:colOff>606981</xdr:colOff>
      <xdr:row>22</xdr:row>
      <xdr:rowOff>185304</xdr:rowOff>
    </xdr:to>
    <xdr:sp macro="" textlink="'Variable Mgmt'!D309">
      <xdr:nvSpPr>
        <xdr:cNvPr id="40" name="Text Box 268">
          <a:extLst>
            <a:ext uri="{FF2B5EF4-FFF2-40B4-BE49-F238E27FC236}">
              <a16:creationId xmlns:a16="http://schemas.microsoft.com/office/drawing/2014/main" id="{00000000-0008-0000-0000-000028000000}"/>
            </a:ext>
          </a:extLst>
        </xdr:cNvPr>
        <xdr:cNvSpPr txBox="1">
          <a:spLocks noChangeArrowheads="1" noTextEdit="1"/>
        </xdr:cNvSpPr>
      </xdr:nvSpPr>
      <xdr:spPr bwMode="auto">
        <a:xfrm>
          <a:off x="10383378" y="4917499"/>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1000" b="0" i="0" u="none" strike="noStrike">
              <a:solidFill>
                <a:srgbClr val="000000"/>
              </a:solidFill>
              <a:latin typeface="Arial"/>
              <a:cs typeface="Arial"/>
            </a:rPr>
            <a:pPr algn="l" rtl="0">
              <a:defRPr sz="1000"/>
            </a:pPr>
            <a:t>37kΩ</a:t>
          </a:fld>
          <a:endParaRPr lang="el-GR" sz="900" b="0" i="0" strike="noStrike">
            <a:solidFill>
              <a:srgbClr val="000000"/>
            </a:solidFill>
            <a:latin typeface="Arial" pitchFamily="34" charset="0"/>
            <a:cs typeface="Arial" pitchFamily="34" charset="0"/>
          </a:endParaRPr>
        </a:p>
      </xdr:txBody>
    </xdr:sp>
    <xdr:clientData/>
  </xdr:twoCellAnchor>
  <xdr:twoCellAnchor>
    <xdr:from>
      <xdr:col>14</xdr:col>
      <xdr:colOff>622519</xdr:colOff>
      <xdr:row>24</xdr:row>
      <xdr:rowOff>55212</xdr:rowOff>
    </xdr:from>
    <xdr:to>
      <xdr:col>15</xdr:col>
      <xdr:colOff>525337</xdr:colOff>
      <xdr:row>25</xdr:row>
      <xdr:rowOff>40160</xdr:rowOff>
    </xdr:to>
    <xdr:sp macro="" textlink="'Variable Mgmt'!D310">
      <xdr:nvSpPr>
        <xdr:cNvPr id="41" name="Text Box 268">
          <a:extLst>
            <a:ext uri="{FF2B5EF4-FFF2-40B4-BE49-F238E27FC236}">
              <a16:creationId xmlns:a16="http://schemas.microsoft.com/office/drawing/2014/main" id="{00000000-0008-0000-0000-000029000000}"/>
            </a:ext>
          </a:extLst>
        </xdr:cNvPr>
        <xdr:cNvSpPr txBox="1">
          <a:spLocks noChangeArrowheads="1" noTextEdit="1"/>
        </xdr:cNvSpPr>
      </xdr:nvSpPr>
      <xdr:spPr bwMode="auto">
        <a:xfrm>
          <a:off x="9594162" y="5507141"/>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1000" b="0" i="0" u="none" strike="noStrike">
              <a:solidFill>
                <a:srgbClr val="000000"/>
              </a:solidFill>
              <a:latin typeface="Arial"/>
              <a:cs typeface="Arial"/>
            </a:rPr>
            <a:pPr algn="l" rtl="0">
              <a:defRPr sz="1000"/>
            </a:pPr>
            <a:t>10nF</a:t>
          </a:fld>
          <a:endParaRPr lang="el-GR" sz="900" b="0" i="0" strike="noStrike">
            <a:solidFill>
              <a:srgbClr val="000000"/>
            </a:solidFill>
            <a:latin typeface="Arial" pitchFamily="34" charset="0"/>
            <a:cs typeface="Arial" pitchFamily="34" charset="0"/>
          </a:endParaRPr>
        </a:p>
      </xdr:txBody>
    </xdr:sp>
    <xdr:clientData/>
  </xdr:twoCellAnchor>
  <xdr:twoCellAnchor>
    <xdr:from>
      <xdr:col>15</xdr:col>
      <xdr:colOff>568093</xdr:colOff>
      <xdr:row>24</xdr:row>
      <xdr:rowOff>136854</xdr:rowOff>
    </xdr:from>
    <xdr:to>
      <xdr:col>16</xdr:col>
      <xdr:colOff>407410</xdr:colOff>
      <xdr:row>25</xdr:row>
      <xdr:rowOff>121802</xdr:rowOff>
    </xdr:to>
    <xdr:sp macro="" textlink="'Variable Mgmt'!D311">
      <xdr:nvSpPr>
        <xdr:cNvPr id="43" name="Text Box 268">
          <a:extLst>
            <a:ext uri="{FF2B5EF4-FFF2-40B4-BE49-F238E27FC236}">
              <a16:creationId xmlns:a16="http://schemas.microsoft.com/office/drawing/2014/main" id="{00000000-0008-0000-0000-00002B000000}"/>
            </a:ext>
          </a:extLst>
        </xdr:cNvPr>
        <xdr:cNvSpPr txBox="1">
          <a:spLocks noChangeArrowheads="1" noTextEdit="1"/>
        </xdr:cNvSpPr>
      </xdr:nvSpPr>
      <xdr:spPr bwMode="auto">
        <a:xfrm>
          <a:off x="10183807" y="5588783"/>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1000" b="0" i="0" u="none" strike="noStrike">
              <a:solidFill>
                <a:srgbClr val="000000"/>
              </a:solidFill>
              <a:latin typeface="Arial"/>
              <a:cs typeface="Arial"/>
            </a:rPr>
            <a:pPr algn="l" rtl="0">
              <a:defRPr sz="1000"/>
            </a:pPr>
            <a:t>72pF</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226786</xdr:colOff>
      <xdr:row>24</xdr:row>
      <xdr:rowOff>181428</xdr:rowOff>
    </xdr:from>
    <xdr:to>
      <xdr:col>20</xdr:col>
      <xdr:colOff>129604</xdr:colOff>
      <xdr:row>25</xdr:row>
      <xdr:rowOff>93527</xdr:rowOff>
    </xdr:to>
    <xdr:sp macro="" textlink="'Variable Mgmt'!D314">
      <xdr:nvSpPr>
        <xdr:cNvPr id="48" name="Text Box 268">
          <a:extLst>
            <a:ext uri="{FF2B5EF4-FFF2-40B4-BE49-F238E27FC236}">
              <a16:creationId xmlns:a16="http://schemas.microsoft.com/office/drawing/2014/main" id="{00000000-0008-0000-0000-000030000000}"/>
            </a:ext>
          </a:extLst>
        </xdr:cNvPr>
        <xdr:cNvSpPr txBox="1">
          <a:spLocks noChangeArrowheads="1" noTextEdit="1"/>
        </xdr:cNvSpPr>
      </xdr:nvSpPr>
      <xdr:spPr bwMode="auto">
        <a:xfrm>
          <a:off x="12663715"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1000" b="0" i="0" u="none" strike="noStrike">
              <a:solidFill>
                <a:srgbClr val="000000"/>
              </a:solidFill>
              <a:latin typeface="Arial"/>
              <a:cs typeface="Arial"/>
            </a:rPr>
            <a:pPr algn="l" rtl="0">
              <a:defRPr sz="1000"/>
            </a:pPr>
            <a:t>100pF</a:t>
          </a:fld>
          <a:endParaRPr lang="el-GR" sz="900" b="0" i="0" strike="noStrike">
            <a:solidFill>
              <a:srgbClr val="000000"/>
            </a:solidFill>
            <a:latin typeface="Arial" pitchFamily="34" charset="0"/>
            <a:cs typeface="Arial" pitchFamily="34" charset="0"/>
          </a:endParaRPr>
        </a:p>
      </xdr:txBody>
    </xdr:sp>
    <xdr:clientData/>
  </xdr:twoCellAnchor>
  <xdr:twoCellAnchor>
    <xdr:from>
      <xdr:col>20</xdr:col>
      <xdr:colOff>517071</xdr:colOff>
      <xdr:row>24</xdr:row>
      <xdr:rowOff>181428</xdr:rowOff>
    </xdr:from>
    <xdr:to>
      <xdr:col>21</xdr:col>
      <xdr:colOff>419889</xdr:colOff>
      <xdr:row>25</xdr:row>
      <xdr:rowOff>93527</xdr:rowOff>
    </xdr:to>
    <xdr:sp macro="" textlink="'Variable Mgmt'!D313">
      <xdr:nvSpPr>
        <xdr:cNvPr id="50" name="Text Box 268">
          <a:extLst>
            <a:ext uri="{FF2B5EF4-FFF2-40B4-BE49-F238E27FC236}">
              <a16:creationId xmlns:a16="http://schemas.microsoft.com/office/drawing/2014/main" id="{00000000-0008-0000-0000-000032000000}"/>
            </a:ext>
          </a:extLst>
        </xdr:cNvPr>
        <xdr:cNvSpPr txBox="1">
          <a:spLocks noChangeArrowheads="1" noTextEdit="1"/>
        </xdr:cNvSpPr>
      </xdr:nvSpPr>
      <xdr:spPr bwMode="auto">
        <a:xfrm>
          <a:off x="13598071" y="5633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1000" b="0" i="0" u="none" strike="noStrike">
              <a:solidFill>
                <a:srgbClr val="000000"/>
              </a:solidFill>
              <a:latin typeface="Arial"/>
              <a:cs typeface="Arial"/>
            </a:rPr>
            <a:pPr algn="l" rtl="0">
              <a:defRPr sz="1000"/>
            </a:pPr>
            <a:t>9mΩ</a:t>
          </a:fld>
          <a:endParaRPr lang="el-GR" sz="900" b="0" i="0" strike="noStrike">
            <a:solidFill>
              <a:srgbClr val="000000"/>
            </a:solidFill>
            <a:latin typeface="Arial" pitchFamily="34" charset="0"/>
            <a:cs typeface="Arial" pitchFamily="34" charset="0"/>
          </a:endParaRPr>
        </a:p>
      </xdr:txBody>
    </xdr:sp>
    <xdr:clientData/>
  </xdr:twoCellAnchor>
  <xdr:twoCellAnchor>
    <xdr:from>
      <xdr:col>19</xdr:col>
      <xdr:colOff>553356</xdr:colOff>
      <xdr:row>21</xdr:row>
      <xdr:rowOff>154214</xdr:rowOff>
    </xdr:from>
    <xdr:to>
      <xdr:col>20</xdr:col>
      <xdr:colOff>456174</xdr:colOff>
      <xdr:row>22</xdr:row>
      <xdr:rowOff>66313</xdr:rowOff>
    </xdr:to>
    <xdr:sp macro="" textlink="'Variable Mgmt'!D315">
      <xdr:nvSpPr>
        <xdr:cNvPr id="52" name="Text Box 268">
          <a:extLst>
            <a:ext uri="{FF2B5EF4-FFF2-40B4-BE49-F238E27FC236}">
              <a16:creationId xmlns:a16="http://schemas.microsoft.com/office/drawing/2014/main" id="{00000000-0008-0000-0000-000034000000}"/>
            </a:ext>
          </a:extLst>
        </xdr:cNvPr>
        <xdr:cNvSpPr txBox="1">
          <a:spLocks noChangeArrowheads="1" noTextEdit="1"/>
        </xdr:cNvSpPr>
      </xdr:nvSpPr>
      <xdr:spPr bwMode="auto">
        <a:xfrm>
          <a:off x="12990285" y="4871357"/>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1000" b="0" i="0" u="none" strike="noStrike">
              <a:solidFill>
                <a:srgbClr val="000000"/>
              </a:solidFill>
              <a:latin typeface="Arial"/>
              <a:cs typeface="Arial"/>
            </a:rPr>
            <a:pPr algn="l" rtl="0">
              <a:defRPr sz="1000"/>
            </a:pPr>
            <a:t>100Ω</a:t>
          </a:fld>
          <a:endParaRPr lang="el-GR" sz="900" b="0" i="0" strike="noStrike">
            <a:solidFill>
              <a:srgbClr val="000000"/>
            </a:solidFill>
            <a:latin typeface="Arial" pitchFamily="34" charset="0"/>
            <a:cs typeface="Arial"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581025</xdr:colOff>
      <xdr:row>7</xdr:row>
      <xdr:rowOff>47625</xdr:rowOff>
    </xdr:from>
    <xdr:to>
      <xdr:col>10</xdr:col>
      <xdr:colOff>539612</xdr:colOff>
      <xdr:row>62</xdr:row>
      <xdr:rowOff>153585</xdr:rowOff>
    </xdr:to>
    <xdr:grpSp>
      <xdr:nvGrpSpPr>
        <xdr:cNvPr id="4" name="Group 3">
          <a:extLst>
            <a:ext uri="{FF2B5EF4-FFF2-40B4-BE49-F238E27FC236}">
              <a16:creationId xmlns:a16="http://schemas.microsoft.com/office/drawing/2014/main" id="{00000000-0008-0000-0800-000004000000}"/>
            </a:ext>
          </a:extLst>
        </xdr:cNvPr>
        <xdr:cNvGrpSpPr/>
      </xdr:nvGrpSpPr>
      <xdr:grpSpPr>
        <a:xfrm>
          <a:off x="581025" y="1692275"/>
          <a:ext cx="6372087" cy="8837210"/>
          <a:chOff x="563217" y="1684406"/>
          <a:chExt cx="6372087" cy="8837210"/>
        </a:xfrm>
      </xdr:grpSpPr>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587784" y="1684406"/>
            <a:ext cx="6343059" cy="4223855"/>
          </a:xfrm>
          <a:prstGeom prst="rect">
            <a:avLst/>
          </a:prstGeom>
        </xdr:spPr>
      </xdr:pic>
      <xdr:pic>
        <xdr:nvPicPr>
          <xdr:cNvPr id="6" name="Picture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a:stretch>
            <a:fillRect/>
          </a:stretch>
        </xdr:blipFill>
        <xdr:spPr>
          <a:xfrm flipH="1">
            <a:off x="563217" y="6333434"/>
            <a:ext cx="6372087" cy="4188182"/>
          </a:xfrm>
          <a:prstGeom prst="rect">
            <a:avLst/>
          </a:prstGeom>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38100</xdr:colOff>
      <xdr:row>6</xdr:row>
      <xdr:rowOff>819150</xdr:rowOff>
    </xdr:from>
    <xdr:to>
      <xdr:col>3</xdr:col>
      <xdr:colOff>561974</xdr:colOff>
      <xdr:row>6</xdr:row>
      <xdr:rowOff>1019175</xdr:rowOff>
    </xdr:to>
    <xdr:sp macro="" textlink="'Variable Mgmt'!$B$286">
      <xdr:nvSpPr>
        <xdr:cNvPr id="5" name="Text Box 24">
          <a:extLst>
            <a:ext uri="{FF2B5EF4-FFF2-40B4-BE49-F238E27FC236}">
              <a16:creationId xmlns:a16="http://schemas.microsoft.com/office/drawing/2014/main" id="{00000000-0008-0000-0900-000005000000}"/>
            </a:ext>
          </a:extLst>
        </xdr:cNvPr>
        <xdr:cNvSpPr txBox="1">
          <a:spLocks noChangeArrowheads="1" noTextEdit="1"/>
        </xdr:cNvSpPr>
      </xdr:nvSpPr>
      <xdr:spPr bwMode="auto">
        <a:xfrm>
          <a:off x="9686925" y="6934200"/>
          <a:ext cx="523874" cy="200025"/>
        </a:xfrm>
        <a:prstGeom prst="rect">
          <a:avLst/>
        </a:prstGeom>
        <a:solidFill>
          <a:schemeClr val="bg1"/>
        </a:solid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86.7%</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3</xdr:col>
      <xdr:colOff>19050</xdr:colOff>
      <xdr:row>4</xdr:row>
      <xdr:rowOff>704850</xdr:rowOff>
    </xdr:from>
    <xdr:to>
      <xdr:col>3</xdr:col>
      <xdr:colOff>542924</xdr:colOff>
      <xdr:row>4</xdr:row>
      <xdr:rowOff>904875</xdr:rowOff>
    </xdr:to>
    <xdr:sp macro="" textlink="'Variable Mgmt'!$B$286">
      <xdr:nvSpPr>
        <xdr:cNvPr id="6" name="Text Box 24">
          <a:extLst>
            <a:ext uri="{FF2B5EF4-FFF2-40B4-BE49-F238E27FC236}">
              <a16:creationId xmlns:a16="http://schemas.microsoft.com/office/drawing/2014/main" id="{00000000-0008-0000-0900-000006000000}"/>
            </a:ext>
          </a:extLst>
        </xdr:cNvPr>
        <xdr:cNvSpPr txBox="1">
          <a:spLocks noChangeArrowheads="1" noTextEdit="1"/>
        </xdr:cNvSpPr>
      </xdr:nvSpPr>
      <xdr:spPr bwMode="auto">
        <a:xfrm>
          <a:off x="9667875" y="1409700"/>
          <a:ext cx="523874" cy="200025"/>
        </a:xfrm>
        <a:prstGeom prst="rect">
          <a:avLst/>
        </a:prstGeom>
        <a:noFill/>
        <a:ln w="9525">
          <a:noFill/>
          <a:miter lim="800000"/>
          <a:headEnd/>
          <a:tailEnd/>
        </a:ln>
      </xdr:spPr>
      <xdr:txBody>
        <a:bodyPr wrap="square" lIns="27432" tIns="22860" rIns="0" bIns="22860" anchor="b"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r" rtl="0">
            <a:defRPr sz="1000"/>
          </a:pPr>
          <a:fld id="{1F0AFB1C-0795-4024-9821-D34D86340D40}" type="TxLink">
            <a:rPr lang="en-US" sz="1100" b="0" i="0" u="none" strike="noStrike" baseline="0">
              <a:solidFill>
                <a:srgbClr val="000000"/>
              </a:solidFill>
              <a:latin typeface="Arial"/>
              <a:cs typeface="Arial"/>
            </a:rPr>
            <a:pPr algn="r" rtl="0">
              <a:defRPr sz="1000"/>
            </a:pPr>
            <a:t>86.7%</a:t>
          </a:fld>
          <a:endParaRPr lang="en-US" sz="1100" b="1" i="0" u="none" strike="noStrike" baseline="0">
            <a:solidFill>
              <a:srgbClr val="000000"/>
            </a:solidFill>
            <a:latin typeface="Arial" pitchFamily="34" charset="0"/>
            <a:cs typeface="Arial" pitchFamily="34" charset="0"/>
          </a:endParaRPr>
        </a:p>
      </xdr:txBody>
    </xdr:sp>
    <xdr:clientData/>
  </xdr:twoCellAnchor>
  <xdr:twoCellAnchor>
    <xdr:from>
      <xdr:col>1</xdr:col>
      <xdr:colOff>1</xdr:colOff>
      <xdr:row>4</xdr:row>
      <xdr:rowOff>0</xdr:rowOff>
    </xdr:from>
    <xdr:to>
      <xdr:col>1</xdr:col>
      <xdr:colOff>8275321</xdr:colOff>
      <xdr:row>4</xdr:row>
      <xdr:rowOff>5029200</xdr:rowOff>
    </xdr:to>
    <xdr:graphicFrame macro="">
      <xdr:nvGraphicFramePr>
        <xdr:cNvPr id="8" name="Chart 253">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6</xdr:row>
      <xdr:rowOff>0</xdr:rowOff>
    </xdr:from>
    <xdr:to>
      <xdr:col>1</xdr:col>
      <xdr:colOff>8275320</xdr:colOff>
      <xdr:row>6</xdr:row>
      <xdr:rowOff>5029200</xdr:rowOff>
    </xdr:to>
    <xdr:graphicFrame macro="">
      <xdr:nvGraphicFramePr>
        <xdr:cNvPr id="7" name="Chart 253">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16</xdr:col>
          <xdr:colOff>18166</xdr:colOff>
          <xdr:row>4</xdr:row>
          <xdr:rowOff>4138092</xdr:rowOff>
        </xdr:to>
        <xdr:pic>
          <xdr:nvPicPr>
            <xdr:cNvPr id="9" name="Picture 8888">
              <a:extLst>
                <a:ext uri="{FF2B5EF4-FFF2-40B4-BE49-F238E27FC236}">
                  <a16:creationId xmlns:a16="http://schemas.microsoft.com/office/drawing/2014/main" id="{00000000-0008-0000-0900-000009000000}"/>
                </a:ext>
              </a:extLst>
            </xdr:cNvPr>
            <xdr:cNvPicPr>
              <a:picLocks noChangeAspect="1" noChangeArrowheads="1"/>
              <a:extLst>
                <a:ext uri="{84589F7E-364E-4C9E-8A38-B11213B215E9}">
                  <a14:cameraTool cellRange="PICTURE3" spid="_x0000_s784742"/>
                </a:ext>
              </a:extLst>
            </xdr:cNvPicPr>
          </xdr:nvPicPr>
          <xdr:blipFill>
            <a:blip xmlns:r="http://schemas.openxmlformats.org/officeDocument/2006/relationships" r:embed="rId3"/>
            <a:srcRect/>
            <a:stretch>
              <a:fillRect/>
            </a:stretch>
          </xdr:blipFill>
          <xdr:spPr bwMode="auto">
            <a:xfrm>
              <a:off x="10868025" y="704850"/>
              <a:ext cx="6723766" cy="4138092"/>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18</xdr:col>
          <xdr:colOff>504825</xdr:colOff>
          <xdr:row>5</xdr:row>
          <xdr:rowOff>0</xdr:rowOff>
        </xdr:to>
        <xdr:pic>
          <xdr:nvPicPr>
            <xdr:cNvPr id="6" name="Picture 8888">
              <a:extLst>
                <a:ext uri="{FF2B5EF4-FFF2-40B4-BE49-F238E27FC236}">
                  <a16:creationId xmlns:a16="http://schemas.microsoft.com/office/drawing/2014/main" id="{00000000-0008-0000-0A00-000006000000}"/>
                </a:ext>
              </a:extLst>
            </xdr:cNvPr>
            <xdr:cNvPicPr>
              <a:picLocks noChangeAspect="1" noChangeArrowheads="1"/>
              <a:extLst>
                <a:ext uri="{84589F7E-364E-4C9E-8A38-B11213B215E9}">
                  <a14:cameraTool cellRange="PICTURE2" spid="_x0000_s785765"/>
                </a:ext>
              </a:extLst>
            </xdr:cNvPicPr>
          </xdr:nvPicPr>
          <xdr:blipFill>
            <a:blip xmlns:r="http://schemas.openxmlformats.org/officeDocument/2006/relationships" r:embed="rId1"/>
            <a:srcRect/>
            <a:stretch>
              <a:fillRect/>
            </a:stretch>
          </xdr:blipFill>
          <xdr:spPr bwMode="auto">
            <a:xfrm>
              <a:off x="10868025" y="704850"/>
              <a:ext cx="8429625" cy="5200650"/>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1</xdr:col>
      <xdr:colOff>1</xdr:colOff>
      <xdr:row>4</xdr:row>
      <xdr:rowOff>0</xdr:rowOff>
    </xdr:from>
    <xdr:to>
      <xdr:col>1</xdr:col>
      <xdr:colOff>8275321</xdr:colOff>
      <xdr:row>4</xdr:row>
      <xdr:rowOff>5029200</xdr:rowOff>
    </xdr:to>
    <xdr:graphicFrame macro="">
      <xdr:nvGraphicFramePr>
        <xdr:cNvPr id="7" name="Chart 253">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xdr:row>
      <xdr:rowOff>19049</xdr:rowOff>
    </xdr:from>
    <xdr:to>
      <xdr:col>1</xdr:col>
      <xdr:colOff>8277225</xdr:colOff>
      <xdr:row>6</xdr:row>
      <xdr:rowOff>5048249</xdr:rowOff>
    </xdr:to>
    <xdr:graphicFrame macro="">
      <xdr:nvGraphicFramePr>
        <xdr:cNvPr id="8" name="Chart 253">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15</xdr:col>
      <xdr:colOff>752475</xdr:colOff>
      <xdr:row>30</xdr:row>
      <xdr:rowOff>85725</xdr:rowOff>
    </xdr:from>
    <xdr:to>
      <xdr:col>15</xdr:col>
      <xdr:colOff>1200150</xdr:colOff>
      <xdr:row>31</xdr:row>
      <xdr:rowOff>133350</xdr:rowOff>
    </xdr:to>
    <xdr:sp macro="" textlink="">
      <xdr:nvSpPr>
        <xdr:cNvPr id="3" name="Text Box 2">
          <a:extLst>
            <a:ext uri="{FF2B5EF4-FFF2-40B4-BE49-F238E27FC236}">
              <a16:creationId xmlns:a16="http://schemas.microsoft.com/office/drawing/2014/main" id="{00000000-0008-0000-0B00-000003000000}"/>
            </a:ext>
          </a:extLst>
        </xdr:cNvPr>
        <xdr:cNvSpPr txBox="1">
          <a:spLocks noChangeArrowheads="1"/>
        </xdr:cNvSpPr>
      </xdr:nvSpPr>
      <xdr:spPr bwMode="auto">
        <a:xfrm>
          <a:off x="16906875" y="139731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V</a:t>
          </a:r>
          <a:r>
            <a:rPr lang="en-US" sz="1000" b="1" i="0" strike="noStrike" baseline="-25000">
              <a:solidFill>
                <a:srgbClr val="0000FF"/>
              </a:solidFill>
              <a:latin typeface="Arial"/>
              <a:cs typeface="Arial"/>
            </a:rPr>
            <a:t>OUT</a:t>
          </a:r>
        </a:p>
      </xdr:txBody>
    </xdr:sp>
    <xdr:clientData/>
  </xdr:twoCellAnchor>
  <xdr:twoCellAnchor>
    <xdr:from>
      <xdr:col>15</xdr:col>
      <xdr:colOff>752475</xdr:colOff>
      <xdr:row>31</xdr:row>
      <xdr:rowOff>104775</xdr:rowOff>
    </xdr:from>
    <xdr:to>
      <xdr:col>15</xdr:col>
      <xdr:colOff>1181100</xdr:colOff>
      <xdr:row>32</xdr:row>
      <xdr:rowOff>152400</xdr:rowOff>
    </xdr:to>
    <xdr:sp macro="" textlink="">
      <xdr:nvSpPr>
        <xdr:cNvPr id="4" name="Text Box 3">
          <a:extLst>
            <a:ext uri="{FF2B5EF4-FFF2-40B4-BE49-F238E27FC236}">
              <a16:creationId xmlns:a16="http://schemas.microsoft.com/office/drawing/2014/main" id="{00000000-0008-0000-0B00-000004000000}"/>
            </a:ext>
          </a:extLst>
        </xdr:cNvPr>
        <xdr:cNvSpPr txBox="1">
          <a:spLocks noChangeArrowheads="1" noTextEdit="1"/>
        </xdr:cNvSpPr>
      </xdr:nvSpPr>
      <xdr:spPr bwMode="auto">
        <a:xfrm>
          <a:off x="16906875" y="14163675"/>
          <a:ext cx="0" cy="219075"/>
        </a:xfrm>
        <a:prstGeom prst="rect">
          <a:avLst/>
        </a:prstGeom>
        <a:noFill/>
        <a:ln w="9525">
          <a:noFill/>
          <a:miter lim="800000"/>
          <a:headEnd/>
          <a:tailEnd/>
        </a:ln>
      </xdr:spPr>
      <xdr:txBody>
        <a:bodyPr vertOverflow="clip" wrap="square" lIns="27432" tIns="22860" rIns="0" bIns="0" anchor="t" upright="1"/>
        <a:lstStyle/>
        <a:p>
          <a:pPr algn="l" rtl="0">
            <a:defRPr sz="1000"/>
          </a:pPr>
          <a:fld id="{0F8B8801-C5EA-4FBD-95F5-162EB7ADACC8}" type="TxLink">
            <a:rPr lang="en-US" sz="1000" b="1" i="0" u="none" strike="noStrike">
              <a:solidFill>
                <a:srgbClr val="0000FF"/>
              </a:solidFill>
              <a:latin typeface="Arial"/>
              <a:cs typeface="Arial"/>
            </a:rPr>
            <a:pPr algn="l" rtl="0">
              <a:defRPr sz="1000"/>
            </a:pPr>
            <a:t>1.2V</a:t>
          </a:fld>
          <a:endParaRPr lang="en-US" sz="1000" b="1" i="0" strike="noStrike">
            <a:solidFill>
              <a:srgbClr val="0000FF"/>
            </a:solidFill>
            <a:latin typeface="Arial"/>
            <a:cs typeface="Arial"/>
          </a:endParaRPr>
        </a:p>
      </xdr:txBody>
    </xdr:sp>
    <xdr:clientData/>
  </xdr:twoCellAnchor>
  <xdr:twoCellAnchor>
    <xdr:from>
      <xdr:col>16</xdr:col>
      <xdr:colOff>0</xdr:colOff>
      <xdr:row>34</xdr:row>
      <xdr:rowOff>142875</xdr:rowOff>
    </xdr:from>
    <xdr:to>
      <xdr:col>16</xdr:col>
      <xdr:colOff>0</xdr:colOff>
      <xdr:row>36</xdr:row>
      <xdr:rowOff>152400</xdr:rowOff>
    </xdr:to>
    <xdr:grpSp>
      <xdr:nvGrpSpPr>
        <xdr:cNvPr id="5" name="Group 25">
          <a:extLst>
            <a:ext uri="{FF2B5EF4-FFF2-40B4-BE49-F238E27FC236}">
              <a16:creationId xmlns:a16="http://schemas.microsoft.com/office/drawing/2014/main" id="{00000000-0008-0000-0B00-000005000000}"/>
            </a:ext>
          </a:extLst>
        </xdr:cNvPr>
        <xdr:cNvGrpSpPr>
          <a:grpSpLocks/>
        </xdr:cNvGrpSpPr>
      </xdr:nvGrpSpPr>
      <xdr:grpSpPr bwMode="auto">
        <a:xfrm>
          <a:off x="34404300" y="65084325"/>
          <a:ext cx="0" cy="4340225"/>
          <a:chOff x="953" y="747"/>
          <a:chExt cx="76" cy="41"/>
        </a:xfrm>
      </xdr:grpSpPr>
      <xdr:sp macro="" textlink="">
        <xdr:nvSpPr>
          <xdr:cNvPr id="6" name="Text Box 26">
            <a:extLst>
              <a:ext uri="{FF2B5EF4-FFF2-40B4-BE49-F238E27FC236}">
                <a16:creationId xmlns:a16="http://schemas.microsoft.com/office/drawing/2014/main" id="{00000000-0008-0000-0B00-000006000000}"/>
              </a:ext>
            </a:extLst>
          </xdr:cNvPr>
          <xdr:cNvSpPr txBox="1">
            <a:spLocks noChangeArrowheads="1"/>
          </xdr:cNvSpPr>
        </xdr:nvSpPr>
        <xdr:spPr bwMode="auto">
          <a:xfrm>
            <a:off x="16906875" y="-6462072205698"/>
            <a:ext cx="0" cy="2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strike="noStrike">
                <a:solidFill>
                  <a:srgbClr val="0000FF"/>
                </a:solidFill>
                <a:latin typeface="Arial"/>
                <a:cs typeface="Arial"/>
              </a:rPr>
              <a:t>C</a:t>
            </a:r>
            <a:r>
              <a:rPr lang="en-US" sz="1000" b="1" i="0" strike="noStrike" baseline="-25000">
                <a:solidFill>
                  <a:srgbClr val="0000FF"/>
                </a:solidFill>
                <a:latin typeface="Arial"/>
                <a:cs typeface="Arial"/>
              </a:rPr>
              <a:t>OUT</a:t>
            </a:r>
          </a:p>
        </xdr:txBody>
      </xdr:sp>
      <xdr:sp macro="" textlink="">
        <xdr:nvSpPr>
          <xdr:cNvPr id="7" name="Text Box 27">
            <a:extLst>
              <a:ext uri="{FF2B5EF4-FFF2-40B4-BE49-F238E27FC236}">
                <a16:creationId xmlns:a16="http://schemas.microsoft.com/office/drawing/2014/main" id="{00000000-0008-0000-0B00-000007000000}"/>
              </a:ext>
            </a:extLst>
          </xdr:cNvPr>
          <xdr:cNvSpPr txBox="1">
            <a:spLocks noChangeArrowheads="1" noTextEdit="1"/>
          </xdr:cNvSpPr>
        </xdr:nvSpPr>
        <xdr:spPr bwMode="auto">
          <a:xfrm>
            <a:off x="16906875" y="-11225863852848"/>
            <a:ext cx="0" cy="21"/>
          </a:xfrm>
          <a:prstGeom prst="rect">
            <a:avLst/>
          </a:prstGeom>
          <a:noFill/>
          <a:ln w="9525">
            <a:noFill/>
            <a:miter lim="800000"/>
            <a:headEnd/>
            <a:tailEnd/>
          </a:ln>
        </xdr:spPr>
        <xdr:txBody>
          <a:bodyPr vertOverflow="clip" wrap="square" lIns="27432" tIns="22860" rIns="0" bIns="0" anchor="t" upright="1"/>
          <a:lstStyle/>
          <a:p>
            <a:pPr algn="l" rtl="0">
              <a:defRPr sz="1000"/>
            </a:pPr>
            <a:fld id="{FA2B5858-D1A0-4A0D-80A7-2946C710A8EC}" type="TxLink">
              <a:rPr lang="en-US" sz="1000" b="1" i="0" u="none" strike="noStrike">
                <a:solidFill>
                  <a:srgbClr val="0000FF"/>
                </a:solidFill>
                <a:latin typeface="Arial"/>
                <a:cs typeface="Arial"/>
              </a:rPr>
              <a:pPr algn="l" rtl="0">
                <a:defRPr sz="1000"/>
              </a:pPr>
              <a:t>140µF</a:t>
            </a:fld>
            <a:endParaRPr lang="en-US" sz="1000" b="1" i="0" strike="noStrike">
              <a:solidFill>
                <a:srgbClr val="0000FF"/>
              </a:solidFill>
              <a:latin typeface="Arial"/>
              <a:cs typeface="Arial"/>
            </a:endParaRPr>
          </a:p>
        </xdr:txBody>
      </xdr:sp>
    </xdr:grpSp>
    <xdr:clientData/>
  </xdr:twoCellAnchor>
  <xdr:twoCellAnchor editAs="oneCell">
    <xdr:from>
      <xdr:col>4</xdr:col>
      <xdr:colOff>-1</xdr:colOff>
      <xdr:row>6</xdr:row>
      <xdr:rowOff>20481</xdr:rowOff>
    </xdr:from>
    <xdr:to>
      <xdr:col>4</xdr:col>
      <xdr:colOff>8229599</xdr:colOff>
      <xdr:row>6</xdr:row>
      <xdr:rowOff>4460244</xdr:rowOff>
    </xdr:to>
    <xdr:pic>
      <xdr:nvPicPr>
        <xdr:cNvPr id="82" name="Picture 81">
          <a:extLst>
            <a:ext uri="{FF2B5EF4-FFF2-40B4-BE49-F238E27FC236}">
              <a16:creationId xmlns:a16="http://schemas.microsoft.com/office/drawing/2014/main" id="{00000000-0008-0000-0B00-000052000000}"/>
            </a:ext>
          </a:extLst>
        </xdr:cNvPr>
        <xdr:cNvPicPr>
          <a:picLocks noChangeAspect="1" noChangeArrowheads="1"/>
        </xdr:cNvPicPr>
      </xdr:nvPicPr>
      <xdr:blipFill>
        <a:blip xmlns:r="http://schemas.openxmlformats.org/officeDocument/2006/relationships" r:embed="rId1"/>
        <a:stretch>
          <a:fillRect/>
        </a:stretch>
      </xdr:blipFill>
      <xdr:spPr bwMode="auto">
        <a:xfrm>
          <a:off x="10363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6</xdr:row>
      <xdr:rowOff>20481</xdr:rowOff>
    </xdr:from>
    <xdr:to>
      <xdr:col>7</xdr:col>
      <xdr:colOff>8229599</xdr:colOff>
      <xdr:row>6</xdr:row>
      <xdr:rowOff>4460244</xdr:rowOff>
    </xdr:to>
    <xdr:pic>
      <xdr:nvPicPr>
        <xdr:cNvPr id="84" name="Picture 83">
          <a:extLst>
            <a:ext uri="{FF2B5EF4-FFF2-40B4-BE49-F238E27FC236}">
              <a16:creationId xmlns:a16="http://schemas.microsoft.com/office/drawing/2014/main" id="{00000000-0008-0000-0B00-000054000000}"/>
            </a:ext>
          </a:extLst>
        </xdr:cNvPr>
        <xdr:cNvPicPr>
          <a:picLocks noChangeAspect="1" noChangeArrowheads="1"/>
        </xdr:cNvPicPr>
      </xdr:nvPicPr>
      <xdr:blipFill>
        <a:blip xmlns:r="http://schemas.openxmlformats.org/officeDocument/2006/relationships" r:embed="rId2"/>
        <a:stretch>
          <a:fillRect/>
        </a:stretch>
      </xdr:blipFill>
      <xdr:spPr bwMode="auto">
        <a:xfrm>
          <a:off x="19888199" y="1049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8</xdr:row>
      <xdr:rowOff>23050</xdr:rowOff>
    </xdr:from>
    <xdr:to>
      <xdr:col>1</xdr:col>
      <xdr:colOff>8229599</xdr:colOff>
      <xdr:row>8</xdr:row>
      <xdr:rowOff>4457675</xdr:rowOff>
    </xdr:to>
    <xdr:pic>
      <xdr:nvPicPr>
        <xdr:cNvPr id="51" name="Picture 50">
          <a:extLst>
            <a:ext uri="{FF2B5EF4-FFF2-40B4-BE49-F238E27FC236}">
              <a16:creationId xmlns:a16="http://schemas.microsoft.com/office/drawing/2014/main" id="{00000000-0008-0000-0B00-000033000000}"/>
            </a:ext>
          </a:extLst>
        </xdr:cNvPr>
        <xdr:cNvPicPr>
          <a:picLocks noChangeAspect="1" noChangeArrowheads="1"/>
        </xdr:cNvPicPr>
      </xdr:nvPicPr>
      <xdr:blipFill>
        <a:blip xmlns:r="http://schemas.openxmlformats.org/officeDocument/2006/relationships" r:embed="rId3"/>
        <a:stretch>
          <a:fillRect/>
        </a:stretch>
      </xdr:blipFill>
      <xdr:spPr bwMode="auto">
        <a:xfrm>
          <a:off x="847724" y="58142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9524</xdr:colOff>
      <xdr:row>10</xdr:row>
      <xdr:rowOff>23050</xdr:rowOff>
    </xdr:from>
    <xdr:to>
      <xdr:col>1</xdr:col>
      <xdr:colOff>8229599</xdr:colOff>
      <xdr:row>10</xdr:row>
      <xdr:rowOff>4457675</xdr:rowOff>
    </xdr:to>
    <xdr:pic>
      <xdr:nvPicPr>
        <xdr:cNvPr id="52" name="Picture 51">
          <a:extLst>
            <a:ext uri="{FF2B5EF4-FFF2-40B4-BE49-F238E27FC236}">
              <a16:creationId xmlns:a16="http://schemas.microsoft.com/office/drawing/2014/main" id="{00000000-0008-0000-0B00-000034000000}"/>
            </a:ext>
          </a:extLst>
        </xdr:cNvPr>
        <xdr:cNvPicPr>
          <a:picLocks noChangeAspect="1" noChangeArrowheads="1"/>
        </xdr:cNvPicPr>
      </xdr:nvPicPr>
      <xdr:blipFill>
        <a:blip xmlns:r="http://schemas.openxmlformats.org/officeDocument/2006/relationships" r:embed="rId4"/>
        <a:stretch>
          <a:fillRect/>
        </a:stretch>
      </xdr:blipFill>
      <xdr:spPr bwMode="auto">
        <a:xfrm>
          <a:off x="847724" y="10500550"/>
          <a:ext cx="8220075" cy="4434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12</xdr:row>
      <xdr:rowOff>21949</xdr:rowOff>
    </xdr:from>
    <xdr:to>
      <xdr:col>1</xdr:col>
      <xdr:colOff>8229599</xdr:colOff>
      <xdr:row>12</xdr:row>
      <xdr:rowOff>4458776</xdr:rowOff>
    </xdr:to>
    <xdr:pic>
      <xdr:nvPicPr>
        <xdr:cNvPr id="53" name="Picture 52">
          <a:extLst>
            <a:ext uri="{FF2B5EF4-FFF2-40B4-BE49-F238E27FC236}">
              <a16:creationId xmlns:a16="http://schemas.microsoft.com/office/drawing/2014/main" id="{00000000-0008-0000-0B00-000035000000}"/>
            </a:ext>
          </a:extLst>
        </xdr:cNvPr>
        <xdr:cNvPicPr>
          <a:picLocks noChangeAspect="1" noChangeArrowheads="1"/>
        </xdr:cNvPicPr>
      </xdr:nvPicPr>
      <xdr:blipFill>
        <a:blip xmlns:r="http://schemas.openxmlformats.org/officeDocument/2006/relationships" r:embed="rId5"/>
        <a:stretch>
          <a:fillRect/>
        </a:stretch>
      </xdr:blipFill>
      <xdr:spPr bwMode="auto">
        <a:xfrm>
          <a:off x="843642" y="151857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14</xdr:row>
      <xdr:rowOff>21948</xdr:rowOff>
    </xdr:from>
    <xdr:to>
      <xdr:col>1</xdr:col>
      <xdr:colOff>8229599</xdr:colOff>
      <xdr:row>14</xdr:row>
      <xdr:rowOff>4458775</xdr:rowOff>
    </xdr:to>
    <xdr:pic>
      <xdr:nvPicPr>
        <xdr:cNvPr id="73" name="Picture 72">
          <a:extLst>
            <a:ext uri="{FF2B5EF4-FFF2-40B4-BE49-F238E27FC236}">
              <a16:creationId xmlns:a16="http://schemas.microsoft.com/office/drawing/2014/main" id="{00000000-0008-0000-0B00-000049000000}"/>
            </a:ext>
          </a:extLst>
        </xdr:cNvPr>
        <xdr:cNvPicPr>
          <a:picLocks noChangeAspect="1" noChangeArrowheads="1"/>
        </xdr:cNvPicPr>
      </xdr:nvPicPr>
      <xdr:blipFill>
        <a:blip xmlns:r="http://schemas.openxmlformats.org/officeDocument/2006/relationships" r:embed="rId6"/>
        <a:stretch>
          <a:fillRect/>
        </a:stretch>
      </xdr:blipFill>
      <xdr:spPr bwMode="auto">
        <a:xfrm>
          <a:off x="843642" y="19872048"/>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6</xdr:row>
      <xdr:rowOff>21949</xdr:rowOff>
    </xdr:from>
    <xdr:to>
      <xdr:col>1</xdr:col>
      <xdr:colOff>8229599</xdr:colOff>
      <xdr:row>6</xdr:row>
      <xdr:rowOff>4458776</xdr:rowOff>
    </xdr:to>
    <xdr:pic>
      <xdr:nvPicPr>
        <xdr:cNvPr id="76" name="Picture 75">
          <a:extLst>
            <a:ext uri="{FF2B5EF4-FFF2-40B4-BE49-F238E27FC236}">
              <a16:creationId xmlns:a16="http://schemas.microsoft.com/office/drawing/2014/main" id="{00000000-0008-0000-0B00-00004C000000}"/>
            </a:ext>
          </a:extLst>
        </xdr:cNvPr>
        <xdr:cNvPicPr>
          <a:picLocks noChangeAspect="1" noChangeArrowheads="1"/>
        </xdr:cNvPicPr>
      </xdr:nvPicPr>
      <xdr:blipFill>
        <a:blip xmlns:r="http://schemas.openxmlformats.org/officeDocument/2006/relationships" r:embed="rId7"/>
        <a:stretch>
          <a:fillRect/>
        </a:stretch>
      </xdr:blipFill>
      <xdr:spPr bwMode="auto">
        <a:xfrm>
          <a:off x="843642" y="1050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16</xdr:row>
      <xdr:rowOff>21949</xdr:rowOff>
    </xdr:from>
    <xdr:to>
      <xdr:col>1</xdr:col>
      <xdr:colOff>8229599</xdr:colOff>
      <xdr:row>16</xdr:row>
      <xdr:rowOff>4458776</xdr:rowOff>
    </xdr:to>
    <xdr:pic>
      <xdr:nvPicPr>
        <xdr:cNvPr id="77" name="Picture 76">
          <a:extLst>
            <a:ext uri="{FF2B5EF4-FFF2-40B4-BE49-F238E27FC236}">
              <a16:creationId xmlns:a16="http://schemas.microsoft.com/office/drawing/2014/main" id="{00000000-0008-0000-0B00-00004D000000}"/>
            </a:ext>
          </a:extLst>
        </xdr:cNvPr>
        <xdr:cNvPicPr>
          <a:picLocks noChangeAspect="1" noChangeArrowheads="1"/>
        </xdr:cNvPicPr>
      </xdr:nvPicPr>
      <xdr:blipFill>
        <a:blip xmlns:r="http://schemas.openxmlformats.org/officeDocument/2006/relationships" r:embed="rId8"/>
        <a:stretch>
          <a:fillRect/>
        </a:stretch>
      </xdr:blipFill>
      <xdr:spPr bwMode="auto">
        <a:xfrm>
          <a:off x="843642" y="245583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18</xdr:row>
      <xdr:rowOff>21949</xdr:rowOff>
    </xdr:from>
    <xdr:to>
      <xdr:col>1</xdr:col>
      <xdr:colOff>8229599</xdr:colOff>
      <xdr:row>18</xdr:row>
      <xdr:rowOff>4458776</xdr:rowOff>
    </xdr:to>
    <xdr:pic>
      <xdr:nvPicPr>
        <xdr:cNvPr id="85" name="Picture 84">
          <a:extLst>
            <a:ext uri="{FF2B5EF4-FFF2-40B4-BE49-F238E27FC236}">
              <a16:creationId xmlns:a16="http://schemas.microsoft.com/office/drawing/2014/main" id="{00000000-0008-0000-0B00-000055000000}"/>
            </a:ext>
          </a:extLst>
        </xdr:cNvPr>
        <xdr:cNvPicPr>
          <a:picLocks noChangeAspect="1" noChangeArrowheads="1"/>
        </xdr:cNvPicPr>
      </xdr:nvPicPr>
      <xdr:blipFill>
        <a:blip xmlns:r="http://schemas.openxmlformats.org/officeDocument/2006/relationships" r:embed="rId9"/>
        <a:stretch>
          <a:fillRect/>
        </a:stretch>
      </xdr:blipFill>
      <xdr:spPr bwMode="auto">
        <a:xfrm>
          <a:off x="843642" y="292446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5442</xdr:colOff>
      <xdr:row>20</xdr:row>
      <xdr:rowOff>21949</xdr:rowOff>
    </xdr:from>
    <xdr:to>
      <xdr:col>1</xdr:col>
      <xdr:colOff>8229599</xdr:colOff>
      <xdr:row>20</xdr:row>
      <xdr:rowOff>4458776</xdr:rowOff>
    </xdr:to>
    <xdr:pic>
      <xdr:nvPicPr>
        <xdr:cNvPr id="86" name="Picture 85">
          <a:extLst>
            <a:ext uri="{FF2B5EF4-FFF2-40B4-BE49-F238E27FC236}">
              <a16:creationId xmlns:a16="http://schemas.microsoft.com/office/drawing/2014/main" id="{00000000-0008-0000-0B00-000056000000}"/>
            </a:ext>
          </a:extLst>
        </xdr:cNvPr>
        <xdr:cNvPicPr>
          <a:picLocks noChangeAspect="1" noChangeArrowheads="1"/>
        </xdr:cNvPicPr>
      </xdr:nvPicPr>
      <xdr:blipFill>
        <a:blip xmlns:r="http://schemas.openxmlformats.org/officeDocument/2006/relationships" r:embed="rId10"/>
        <a:stretch>
          <a:fillRect/>
        </a:stretch>
      </xdr:blipFill>
      <xdr:spPr bwMode="auto">
        <a:xfrm>
          <a:off x="843642" y="33969049"/>
          <a:ext cx="8224157" cy="44368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8</xdr:row>
      <xdr:rowOff>21215</xdr:rowOff>
    </xdr:from>
    <xdr:to>
      <xdr:col>4</xdr:col>
      <xdr:colOff>8229598</xdr:colOff>
      <xdr:row>8</xdr:row>
      <xdr:rowOff>4459511</xdr:rowOff>
    </xdr:to>
    <xdr:pic>
      <xdr:nvPicPr>
        <xdr:cNvPr id="17" name="Picture 16">
          <a:extLst>
            <a:ext uri="{FF2B5EF4-FFF2-40B4-BE49-F238E27FC236}">
              <a16:creationId xmlns:a16="http://schemas.microsoft.com/office/drawing/2014/main" id="{00000000-0008-0000-0B00-000011000000}"/>
            </a:ext>
          </a:extLst>
        </xdr:cNvPr>
        <xdr:cNvPicPr>
          <a:picLocks noChangeAspect="1" noChangeArrowheads="1"/>
        </xdr:cNvPicPr>
      </xdr:nvPicPr>
      <xdr:blipFill>
        <a:blip xmlns:r="http://schemas.openxmlformats.org/officeDocument/2006/relationships" r:embed="rId11"/>
        <a:stretch>
          <a:fillRect/>
        </a:stretch>
      </xdr:blipFill>
      <xdr:spPr bwMode="auto">
        <a:xfrm>
          <a:off x="10888434" y="5808786"/>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10</xdr:row>
      <xdr:rowOff>21215</xdr:rowOff>
    </xdr:from>
    <xdr:to>
      <xdr:col>4</xdr:col>
      <xdr:colOff>8229598</xdr:colOff>
      <xdr:row>10</xdr:row>
      <xdr:rowOff>4459511</xdr:rowOff>
    </xdr:to>
    <xdr:pic>
      <xdr:nvPicPr>
        <xdr:cNvPr id="19" name="Picture 18">
          <a:extLst>
            <a:ext uri="{FF2B5EF4-FFF2-40B4-BE49-F238E27FC236}">
              <a16:creationId xmlns:a16="http://schemas.microsoft.com/office/drawing/2014/main" id="{00000000-0008-0000-0B00-000013000000}"/>
            </a:ext>
          </a:extLst>
        </xdr:cNvPr>
        <xdr:cNvPicPr>
          <a:picLocks noChangeAspect="1" noChangeArrowheads="1"/>
        </xdr:cNvPicPr>
      </xdr:nvPicPr>
      <xdr:blipFill>
        <a:blip xmlns:r="http://schemas.openxmlformats.org/officeDocument/2006/relationships" r:embed="rId12"/>
        <a:stretch>
          <a:fillRect/>
        </a:stretch>
      </xdr:blipFill>
      <xdr:spPr bwMode="auto">
        <a:xfrm>
          <a:off x="10877095" y="10498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12</xdr:row>
      <xdr:rowOff>21215</xdr:rowOff>
    </xdr:from>
    <xdr:to>
      <xdr:col>4</xdr:col>
      <xdr:colOff>8229598</xdr:colOff>
      <xdr:row>12</xdr:row>
      <xdr:rowOff>4459511</xdr:rowOff>
    </xdr:to>
    <xdr:pic>
      <xdr:nvPicPr>
        <xdr:cNvPr id="20" name="Picture 19">
          <a:extLst>
            <a:ext uri="{FF2B5EF4-FFF2-40B4-BE49-F238E27FC236}">
              <a16:creationId xmlns:a16="http://schemas.microsoft.com/office/drawing/2014/main" id="{00000000-0008-0000-0B00-000014000000}"/>
            </a:ext>
          </a:extLst>
        </xdr:cNvPr>
        <xdr:cNvPicPr>
          <a:picLocks noChangeAspect="1" noChangeArrowheads="1"/>
        </xdr:cNvPicPr>
      </xdr:nvPicPr>
      <xdr:blipFill>
        <a:blip xmlns:r="http://schemas.openxmlformats.org/officeDocument/2006/relationships" r:embed="rId13"/>
        <a:stretch>
          <a:fillRect/>
        </a:stretch>
      </xdr:blipFill>
      <xdr:spPr bwMode="auto">
        <a:xfrm>
          <a:off x="10877095" y="15197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14</xdr:row>
      <xdr:rowOff>21215</xdr:rowOff>
    </xdr:from>
    <xdr:to>
      <xdr:col>4</xdr:col>
      <xdr:colOff>8229598</xdr:colOff>
      <xdr:row>14</xdr:row>
      <xdr:rowOff>4459511</xdr:rowOff>
    </xdr:to>
    <xdr:pic>
      <xdr:nvPicPr>
        <xdr:cNvPr id="21" name="Picture 20">
          <a:extLst>
            <a:ext uri="{FF2B5EF4-FFF2-40B4-BE49-F238E27FC236}">
              <a16:creationId xmlns:a16="http://schemas.microsoft.com/office/drawing/2014/main" id="{00000000-0008-0000-0B00-000015000000}"/>
            </a:ext>
          </a:extLst>
        </xdr:cNvPr>
        <xdr:cNvPicPr>
          <a:picLocks noChangeAspect="1" noChangeArrowheads="1"/>
        </xdr:cNvPicPr>
      </xdr:nvPicPr>
      <xdr:blipFill>
        <a:blip xmlns:r="http://schemas.openxmlformats.org/officeDocument/2006/relationships" r:embed="rId14"/>
        <a:stretch>
          <a:fillRect/>
        </a:stretch>
      </xdr:blipFill>
      <xdr:spPr bwMode="auto">
        <a:xfrm>
          <a:off x="10877095" y="19896715"/>
          <a:ext cx="8226878"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16</xdr:row>
      <xdr:rowOff>21215</xdr:rowOff>
    </xdr:from>
    <xdr:to>
      <xdr:col>4</xdr:col>
      <xdr:colOff>8229599</xdr:colOff>
      <xdr:row>16</xdr:row>
      <xdr:rowOff>4459511</xdr:rowOff>
    </xdr:to>
    <xdr:pic>
      <xdr:nvPicPr>
        <xdr:cNvPr id="22" name="Picture 21">
          <a:extLst>
            <a:ext uri="{FF2B5EF4-FFF2-40B4-BE49-F238E27FC236}">
              <a16:creationId xmlns:a16="http://schemas.microsoft.com/office/drawing/2014/main" id="{00000000-0008-0000-0B00-000016000000}"/>
            </a:ext>
          </a:extLst>
        </xdr:cNvPr>
        <xdr:cNvPicPr>
          <a:picLocks noChangeAspect="1" noChangeArrowheads="1"/>
        </xdr:cNvPicPr>
      </xdr:nvPicPr>
      <xdr:blipFill>
        <a:blip xmlns:r="http://schemas.openxmlformats.org/officeDocument/2006/relationships" r:embed="rId15"/>
        <a:stretch>
          <a:fillRect/>
        </a:stretch>
      </xdr:blipFill>
      <xdr:spPr bwMode="auto">
        <a:xfrm>
          <a:off x="10365920" y="245576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18</xdr:row>
      <xdr:rowOff>21215</xdr:rowOff>
    </xdr:from>
    <xdr:to>
      <xdr:col>4</xdr:col>
      <xdr:colOff>8229599</xdr:colOff>
      <xdr:row>18</xdr:row>
      <xdr:rowOff>4459511</xdr:rowOff>
    </xdr:to>
    <xdr:pic>
      <xdr:nvPicPr>
        <xdr:cNvPr id="23" name="Picture 22">
          <a:extLst>
            <a:ext uri="{FF2B5EF4-FFF2-40B4-BE49-F238E27FC236}">
              <a16:creationId xmlns:a16="http://schemas.microsoft.com/office/drawing/2014/main" id="{00000000-0008-0000-0B00-000017000000}"/>
            </a:ext>
          </a:extLst>
        </xdr:cNvPr>
        <xdr:cNvPicPr>
          <a:picLocks noChangeAspect="1" noChangeArrowheads="1"/>
        </xdr:cNvPicPr>
      </xdr:nvPicPr>
      <xdr:blipFill>
        <a:blip xmlns:r="http://schemas.openxmlformats.org/officeDocument/2006/relationships" r:embed="rId16"/>
        <a:stretch>
          <a:fillRect/>
        </a:stretch>
      </xdr:blipFill>
      <xdr:spPr bwMode="auto">
        <a:xfrm>
          <a:off x="10365920" y="292439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2720</xdr:colOff>
      <xdr:row>20</xdr:row>
      <xdr:rowOff>21215</xdr:rowOff>
    </xdr:from>
    <xdr:to>
      <xdr:col>4</xdr:col>
      <xdr:colOff>8229599</xdr:colOff>
      <xdr:row>20</xdr:row>
      <xdr:rowOff>4459511</xdr:rowOff>
    </xdr:to>
    <xdr:pic>
      <xdr:nvPicPr>
        <xdr:cNvPr id="24" name="Picture 23">
          <a:extLst>
            <a:ext uri="{FF2B5EF4-FFF2-40B4-BE49-F238E27FC236}">
              <a16:creationId xmlns:a16="http://schemas.microsoft.com/office/drawing/2014/main" id="{00000000-0008-0000-0B00-000018000000}"/>
            </a:ext>
          </a:extLst>
        </xdr:cNvPr>
        <xdr:cNvPicPr>
          <a:picLocks noChangeAspect="1" noChangeArrowheads="1"/>
        </xdr:cNvPicPr>
      </xdr:nvPicPr>
      <xdr:blipFill>
        <a:blip xmlns:r="http://schemas.openxmlformats.org/officeDocument/2006/relationships" r:embed="rId17"/>
        <a:stretch>
          <a:fillRect/>
        </a:stretch>
      </xdr:blipFill>
      <xdr:spPr bwMode="auto">
        <a:xfrm>
          <a:off x="10365920" y="33968315"/>
          <a:ext cx="8226879" cy="4438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8</xdr:row>
      <xdr:rowOff>20481</xdr:rowOff>
    </xdr:from>
    <xdr:to>
      <xdr:col>7</xdr:col>
      <xdr:colOff>8229599</xdr:colOff>
      <xdr:row>8</xdr:row>
      <xdr:rowOff>4460244</xdr:rowOff>
    </xdr:to>
    <xdr:pic>
      <xdr:nvPicPr>
        <xdr:cNvPr id="25" name="Picture 24">
          <a:extLst>
            <a:ext uri="{FF2B5EF4-FFF2-40B4-BE49-F238E27FC236}">
              <a16:creationId xmlns:a16="http://schemas.microsoft.com/office/drawing/2014/main" id="{00000000-0008-0000-0B00-000019000000}"/>
            </a:ext>
          </a:extLst>
        </xdr:cNvPr>
        <xdr:cNvPicPr>
          <a:picLocks noChangeAspect="1" noChangeArrowheads="1"/>
        </xdr:cNvPicPr>
      </xdr:nvPicPr>
      <xdr:blipFill>
        <a:blip xmlns:r="http://schemas.openxmlformats.org/officeDocument/2006/relationships" r:embed="rId18"/>
        <a:stretch>
          <a:fillRect/>
        </a:stretch>
      </xdr:blipFill>
      <xdr:spPr bwMode="auto">
        <a:xfrm>
          <a:off x="19888199" y="58116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10</xdr:row>
      <xdr:rowOff>20481</xdr:rowOff>
    </xdr:from>
    <xdr:to>
      <xdr:col>7</xdr:col>
      <xdr:colOff>8229599</xdr:colOff>
      <xdr:row>10</xdr:row>
      <xdr:rowOff>4460244</xdr:rowOff>
    </xdr:to>
    <xdr:pic>
      <xdr:nvPicPr>
        <xdr:cNvPr id="27" name="Picture 26">
          <a:extLst>
            <a:ext uri="{FF2B5EF4-FFF2-40B4-BE49-F238E27FC236}">
              <a16:creationId xmlns:a16="http://schemas.microsoft.com/office/drawing/2014/main" id="{00000000-0008-0000-0B00-00001B000000}"/>
            </a:ext>
          </a:extLst>
        </xdr:cNvPr>
        <xdr:cNvPicPr>
          <a:picLocks noChangeAspect="1" noChangeArrowheads="1"/>
        </xdr:cNvPicPr>
      </xdr:nvPicPr>
      <xdr:blipFill>
        <a:blip xmlns:r="http://schemas.openxmlformats.org/officeDocument/2006/relationships" r:embed="rId19"/>
        <a:stretch>
          <a:fillRect/>
        </a:stretch>
      </xdr:blipFill>
      <xdr:spPr bwMode="auto">
        <a:xfrm>
          <a:off x="19888199" y="104979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12</xdr:row>
      <xdr:rowOff>20481</xdr:rowOff>
    </xdr:from>
    <xdr:to>
      <xdr:col>7</xdr:col>
      <xdr:colOff>8229599</xdr:colOff>
      <xdr:row>12</xdr:row>
      <xdr:rowOff>4460244</xdr:rowOff>
    </xdr:to>
    <xdr:pic>
      <xdr:nvPicPr>
        <xdr:cNvPr id="28" name="Picture 27">
          <a:extLst>
            <a:ext uri="{FF2B5EF4-FFF2-40B4-BE49-F238E27FC236}">
              <a16:creationId xmlns:a16="http://schemas.microsoft.com/office/drawing/2014/main" id="{00000000-0008-0000-0B00-00001C000000}"/>
            </a:ext>
          </a:extLst>
        </xdr:cNvPr>
        <xdr:cNvPicPr>
          <a:picLocks noChangeAspect="1" noChangeArrowheads="1"/>
        </xdr:cNvPicPr>
      </xdr:nvPicPr>
      <xdr:blipFill>
        <a:blip xmlns:r="http://schemas.openxmlformats.org/officeDocument/2006/relationships" r:embed="rId20"/>
        <a:stretch>
          <a:fillRect/>
        </a:stretch>
      </xdr:blipFill>
      <xdr:spPr bwMode="auto">
        <a:xfrm>
          <a:off x="19888199" y="151842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14</xdr:row>
      <xdr:rowOff>20481</xdr:rowOff>
    </xdr:from>
    <xdr:to>
      <xdr:col>7</xdr:col>
      <xdr:colOff>8229599</xdr:colOff>
      <xdr:row>14</xdr:row>
      <xdr:rowOff>4460244</xdr:rowOff>
    </xdr:to>
    <xdr:pic>
      <xdr:nvPicPr>
        <xdr:cNvPr id="29" name="Picture 28">
          <a:extLst>
            <a:ext uri="{FF2B5EF4-FFF2-40B4-BE49-F238E27FC236}">
              <a16:creationId xmlns:a16="http://schemas.microsoft.com/office/drawing/2014/main" id="{00000000-0008-0000-0B00-00001D000000}"/>
            </a:ext>
          </a:extLst>
        </xdr:cNvPr>
        <xdr:cNvPicPr>
          <a:picLocks noChangeAspect="1" noChangeArrowheads="1"/>
        </xdr:cNvPicPr>
      </xdr:nvPicPr>
      <xdr:blipFill>
        <a:blip xmlns:r="http://schemas.openxmlformats.org/officeDocument/2006/relationships" r:embed="rId21"/>
        <a:stretch>
          <a:fillRect/>
        </a:stretch>
      </xdr:blipFill>
      <xdr:spPr bwMode="auto">
        <a:xfrm>
          <a:off x="19888199" y="19870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16</xdr:row>
      <xdr:rowOff>20481</xdr:rowOff>
    </xdr:from>
    <xdr:to>
      <xdr:col>7</xdr:col>
      <xdr:colOff>8229599</xdr:colOff>
      <xdr:row>16</xdr:row>
      <xdr:rowOff>4460244</xdr:rowOff>
    </xdr:to>
    <xdr:pic>
      <xdr:nvPicPr>
        <xdr:cNvPr id="31" name="Picture 30">
          <a:extLst>
            <a:ext uri="{FF2B5EF4-FFF2-40B4-BE49-F238E27FC236}">
              <a16:creationId xmlns:a16="http://schemas.microsoft.com/office/drawing/2014/main" id="{00000000-0008-0000-0B00-00001F000000}"/>
            </a:ext>
          </a:extLst>
        </xdr:cNvPr>
        <xdr:cNvPicPr>
          <a:picLocks noChangeAspect="1" noChangeArrowheads="1"/>
        </xdr:cNvPicPr>
      </xdr:nvPicPr>
      <xdr:blipFill>
        <a:blip xmlns:r="http://schemas.openxmlformats.org/officeDocument/2006/relationships" r:embed="rId22"/>
        <a:stretch>
          <a:fillRect/>
        </a:stretch>
      </xdr:blipFill>
      <xdr:spPr bwMode="auto">
        <a:xfrm>
          <a:off x="19888199" y="245568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18</xdr:row>
      <xdr:rowOff>20481</xdr:rowOff>
    </xdr:from>
    <xdr:to>
      <xdr:col>7</xdr:col>
      <xdr:colOff>8229599</xdr:colOff>
      <xdr:row>18</xdr:row>
      <xdr:rowOff>4460244</xdr:rowOff>
    </xdr:to>
    <xdr:pic>
      <xdr:nvPicPr>
        <xdr:cNvPr id="33" name="Picture 32">
          <a:extLst>
            <a:ext uri="{FF2B5EF4-FFF2-40B4-BE49-F238E27FC236}">
              <a16:creationId xmlns:a16="http://schemas.microsoft.com/office/drawing/2014/main" id="{00000000-0008-0000-0B00-000021000000}"/>
            </a:ext>
          </a:extLst>
        </xdr:cNvPr>
        <xdr:cNvPicPr>
          <a:picLocks noChangeAspect="1" noChangeArrowheads="1"/>
        </xdr:cNvPicPr>
      </xdr:nvPicPr>
      <xdr:blipFill>
        <a:blip xmlns:r="http://schemas.openxmlformats.org/officeDocument/2006/relationships" r:embed="rId23"/>
        <a:stretch>
          <a:fillRect/>
        </a:stretch>
      </xdr:blipFill>
      <xdr:spPr bwMode="auto">
        <a:xfrm>
          <a:off x="19888199" y="292431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xdr:colOff>
      <xdr:row>20</xdr:row>
      <xdr:rowOff>20481</xdr:rowOff>
    </xdr:from>
    <xdr:to>
      <xdr:col>7</xdr:col>
      <xdr:colOff>8229599</xdr:colOff>
      <xdr:row>20</xdr:row>
      <xdr:rowOff>4460244</xdr:rowOff>
    </xdr:to>
    <xdr:pic>
      <xdr:nvPicPr>
        <xdr:cNvPr id="34" name="Picture 33">
          <a:extLst>
            <a:ext uri="{FF2B5EF4-FFF2-40B4-BE49-F238E27FC236}">
              <a16:creationId xmlns:a16="http://schemas.microsoft.com/office/drawing/2014/main" id="{00000000-0008-0000-0B00-000022000000}"/>
            </a:ext>
          </a:extLst>
        </xdr:cNvPr>
        <xdr:cNvPicPr>
          <a:picLocks noChangeAspect="1" noChangeArrowheads="1"/>
        </xdr:cNvPicPr>
      </xdr:nvPicPr>
      <xdr:blipFill>
        <a:blip xmlns:r="http://schemas.openxmlformats.org/officeDocument/2006/relationships" r:embed="rId24"/>
        <a:stretch>
          <a:fillRect/>
        </a:stretch>
      </xdr:blipFill>
      <xdr:spPr bwMode="auto">
        <a:xfrm>
          <a:off x="19888199" y="33967581"/>
          <a:ext cx="8229600" cy="44397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229322</xdr:colOff>
      <xdr:row>33</xdr:row>
      <xdr:rowOff>37753</xdr:rowOff>
    </xdr:from>
    <xdr:to>
      <xdr:col>16</xdr:col>
      <xdr:colOff>381667</xdr:colOff>
      <xdr:row>61</xdr:row>
      <xdr:rowOff>144929</xdr:rowOff>
    </xdr:to>
    <xdr:graphicFrame macro="">
      <xdr:nvGraphicFramePr>
        <xdr:cNvPr id="2" name="Chart 1029">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38100</xdr:colOff>
          <xdr:row>2</xdr:row>
          <xdr:rowOff>127000</xdr:rowOff>
        </xdr:from>
        <xdr:to>
          <xdr:col>1</xdr:col>
          <xdr:colOff>107950</xdr:colOff>
          <xdr:row>4</xdr:row>
          <xdr:rowOff>38100</xdr:rowOff>
        </xdr:to>
        <xdr:sp macro="" textlink="">
          <xdr:nvSpPr>
            <xdr:cNvPr id="740353" name="Drop Down 1" hidden="1">
              <a:extLst>
                <a:ext uri="{63B3BB69-23CF-44E3-9099-C40C66FF867C}">
                  <a14:compatExt spid="_x0000_s740353"/>
                </a:ext>
                <a:ext uri="{FF2B5EF4-FFF2-40B4-BE49-F238E27FC236}">
                  <a16:creationId xmlns:a16="http://schemas.microsoft.com/office/drawing/2014/main" id="{00000000-0008-0000-0100-0000014C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18</xdr:col>
      <xdr:colOff>18143</xdr:colOff>
      <xdr:row>33</xdr:row>
      <xdr:rowOff>18142</xdr:rowOff>
    </xdr:from>
    <xdr:to>
      <xdr:col>26</xdr:col>
      <xdr:colOff>808663</xdr:colOff>
      <xdr:row>61</xdr:row>
      <xdr:rowOff>128493</xdr:rowOff>
    </xdr:to>
    <xdr:graphicFrame macro="">
      <xdr:nvGraphicFramePr>
        <xdr:cNvPr id="4" name="Chart 1029">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111</xdr:row>
      <xdr:rowOff>114300</xdr:rowOff>
    </xdr:from>
    <xdr:to>
      <xdr:col>20</xdr:col>
      <xdr:colOff>161925</xdr:colOff>
      <xdr:row>144</xdr:row>
      <xdr:rowOff>76200</xdr:rowOff>
    </xdr:to>
    <xdr:graphicFrame macro="">
      <xdr:nvGraphicFramePr>
        <xdr:cNvPr id="3" name="Chart 31">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1600199</xdr:colOff>
      <xdr:row>4</xdr:row>
      <xdr:rowOff>95250</xdr:rowOff>
    </xdr:from>
    <xdr:to>
      <xdr:col>4</xdr:col>
      <xdr:colOff>3267074</xdr:colOff>
      <xdr:row>4</xdr:row>
      <xdr:rowOff>535385</xdr:rowOff>
    </xdr:to>
    <xdr:pic>
      <xdr:nvPicPr>
        <xdr:cNvPr id="4" name="Picture 84">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857749" y="800100"/>
          <a:ext cx="1666875" cy="440135"/>
        </a:xfrm>
        <a:prstGeom prst="rect">
          <a:avLst/>
        </a:prstGeom>
        <a:noFill/>
        <a:ln w="1">
          <a:noFill/>
          <a:miter lim="800000"/>
          <a:headEnd/>
          <a:tailEnd type="none" w="med" len="med"/>
        </a:ln>
        <a:effectLst/>
      </xdr:spPr>
    </xdr:pic>
    <xdr:clientData/>
  </xdr:twoCellAnchor>
  <xdr:twoCellAnchor>
    <xdr:from>
      <xdr:col>0</xdr:col>
      <xdr:colOff>95250</xdr:colOff>
      <xdr:row>148</xdr:row>
      <xdr:rowOff>76200</xdr:rowOff>
    </xdr:from>
    <xdr:to>
      <xdr:col>20</xdr:col>
      <xdr:colOff>687917</xdr:colOff>
      <xdr:row>181</xdr:row>
      <xdr:rowOff>38100</xdr:rowOff>
    </xdr:to>
    <xdr:graphicFrame macro="">
      <xdr:nvGraphicFramePr>
        <xdr:cNvPr id="8" name="Chart 3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22</xdr:col>
          <xdr:colOff>184150</xdr:colOff>
          <xdr:row>111</xdr:row>
          <xdr:rowOff>146050</xdr:rowOff>
        </xdr:from>
        <xdr:to>
          <xdr:col>36</xdr:col>
          <xdr:colOff>12700</xdr:colOff>
          <xdr:row>125</xdr:row>
          <xdr:rowOff>146050</xdr:rowOff>
        </xdr:to>
        <xdr:sp macro="" textlink="">
          <xdr:nvSpPr>
            <xdr:cNvPr id="683009" name="Object 1" hidden="1">
              <a:extLst>
                <a:ext uri="{63B3BB69-23CF-44E3-9099-C40C66FF867C}">
                  <a14:compatExt spid="_x0000_s683009"/>
                </a:ext>
                <a:ext uri="{FF2B5EF4-FFF2-40B4-BE49-F238E27FC236}">
                  <a16:creationId xmlns:a16="http://schemas.microsoft.com/office/drawing/2014/main" id="{00000000-0008-0000-0300-0000016C0A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392906</xdr:colOff>
      <xdr:row>218</xdr:row>
      <xdr:rowOff>130969</xdr:rowOff>
    </xdr:from>
    <xdr:to>
      <xdr:col>19</xdr:col>
      <xdr:colOff>626267</xdr:colOff>
      <xdr:row>250</xdr:row>
      <xdr:rowOff>124619</xdr:rowOff>
    </xdr:to>
    <xdr:graphicFrame macro="">
      <xdr:nvGraphicFramePr>
        <xdr:cNvPr id="13" name="Chart 3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35718</xdr:colOff>
      <xdr:row>255</xdr:row>
      <xdr:rowOff>47626</xdr:rowOff>
    </xdr:from>
    <xdr:to>
      <xdr:col>13</xdr:col>
      <xdr:colOff>16668</xdr:colOff>
      <xdr:row>287</xdr:row>
      <xdr:rowOff>104776</xdr:rowOff>
    </xdr:to>
    <xdr:graphicFrame macro="">
      <xdr:nvGraphicFramePr>
        <xdr:cNvPr id="16" name="Chart 253">
          <a:extLst>
            <a:ext uri="{FF2B5EF4-FFF2-40B4-BE49-F238E27FC236}">
              <a16:creationId xmlns:a16="http://schemas.microsoft.com/office/drawing/2014/main" id="{00000000-0008-0000-03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289</xdr:row>
      <xdr:rowOff>66675</xdr:rowOff>
    </xdr:from>
    <xdr:to>
      <xdr:col>13</xdr:col>
      <xdr:colOff>9525</xdr:colOff>
      <xdr:row>321</xdr:row>
      <xdr:rowOff>123825</xdr:rowOff>
    </xdr:to>
    <xdr:graphicFrame macro="">
      <xdr:nvGraphicFramePr>
        <xdr:cNvPr id="15" name="Chart 253">
          <a:extLst>
            <a:ext uri="{FF2B5EF4-FFF2-40B4-BE49-F238E27FC236}">
              <a16:creationId xmlns:a16="http://schemas.microsoft.com/office/drawing/2014/main" id="{00000000-0008-0000-03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95251</xdr:colOff>
      <xdr:row>182</xdr:row>
      <xdr:rowOff>100853</xdr:rowOff>
    </xdr:from>
    <xdr:to>
      <xdr:col>20</xdr:col>
      <xdr:colOff>708023</xdr:colOff>
      <xdr:row>215</xdr:row>
      <xdr:rowOff>62753</xdr:rowOff>
    </xdr:to>
    <xdr:graphicFrame macro="">
      <xdr:nvGraphicFramePr>
        <xdr:cNvPr id="17" name="Chart 31">
          <a:extLst>
            <a:ext uri="{FF2B5EF4-FFF2-40B4-BE49-F238E27FC236}">
              <a16:creationId xmlns:a16="http://schemas.microsoft.com/office/drawing/2014/main" id="{00000000-0008-0000-03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80.2%</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0.16877</cdr:x>
      <cdr:y>0.12917</cdr:y>
    </cdr:from>
    <cdr:to>
      <cdr:x>0.23482</cdr:x>
      <cdr:y>0.16636</cdr:y>
    </cdr:to>
    <cdr:sp macro="" textlink="'Variable Mgmt'!$B$288">
      <cdr:nvSpPr>
        <cdr:cNvPr id="2" name="Text Box 24"/>
        <cdr:cNvSpPr txBox="1">
          <a:spLocks xmlns:a="http://schemas.openxmlformats.org/drawingml/2006/main" noChangeArrowheads="1" noTextEdit="1"/>
        </cdr:cNvSpPr>
      </cdr:nvSpPr>
      <cdr:spPr bwMode="auto">
        <a:xfrm xmlns:a="http://schemas.openxmlformats.org/drawingml/2006/main">
          <a:off x="1403360" y="665601"/>
          <a:ext cx="549265" cy="1916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square" lIns="27432" tIns="22860" rIns="0" bIns="22860" anchor="b"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fld id="{FB7B9190-533F-41A0-B9F6-41424F4E3D27}" type="TxLink">
            <a:rPr lang="en-US" sz="1100" b="0" i="0" u="none" strike="noStrike" baseline="0">
              <a:solidFill>
                <a:srgbClr val="000000"/>
              </a:solidFill>
              <a:latin typeface="Arial"/>
              <a:cs typeface="Arial"/>
            </a:rPr>
            <a:pPr algn="l" rtl="0">
              <a:defRPr sz="1000"/>
            </a:pPr>
            <a:t>80.2%</a:t>
          </a:fld>
          <a:endParaRPr lang="en-US" sz="1100" b="1" i="0" u="none" strike="noStrike" baseline="0">
            <a:solidFill>
              <a:srgbClr val="000000"/>
            </a:solidFill>
            <a:latin typeface="Arial" pitchFamily="34" charset="0"/>
            <a:cs typeface="Arial"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8</xdr:col>
      <xdr:colOff>152400</xdr:colOff>
      <xdr:row>9</xdr:row>
      <xdr:rowOff>0</xdr:rowOff>
    </xdr:from>
    <xdr:to>
      <xdr:col>23</xdr:col>
      <xdr:colOff>38100</xdr:colOff>
      <xdr:row>40</xdr:row>
      <xdr:rowOff>1732</xdr:rowOff>
    </xdr:to>
    <xdr:graphicFrame macro="">
      <xdr:nvGraphicFramePr>
        <xdr:cNvPr id="3" name="Chart 25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142875</xdr:colOff>
      <xdr:row>40</xdr:row>
      <xdr:rowOff>123825</xdr:rowOff>
    </xdr:from>
    <xdr:to>
      <xdr:col>23</xdr:col>
      <xdr:colOff>19050</xdr:colOff>
      <xdr:row>71</xdr:row>
      <xdr:rowOff>125557</xdr:rowOff>
    </xdr:to>
    <xdr:graphicFrame macro="">
      <xdr:nvGraphicFramePr>
        <xdr:cNvPr id="4" name="Chart 25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171450</xdr:colOff>
      <xdr:row>41</xdr:row>
      <xdr:rowOff>28575</xdr:rowOff>
    </xdr:from>
    <xdr:to>
      <xdr:col>46</xdr:col>
      <xdr:colOff>304800</xdr:colOff>
      <xdr:row>72</xdr:row>
      <xdr:rowOff>30307</xdr:rowOff>
    </xdr:to>
    <xdr:graphicFrame macro="">
      <xdr:nvGraphicFramePr>
        <xdr:cNvPr id="6" name="Chart 253">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228600</xdr:colOff>
      <xdr:row>9</xdr:row>
      <xdr:rowOff>28575</xdr:rowOff>
    </xdr:from>
    <xdr:to>
      <xdr:col>46</xdr:col>
      <xdr:colOff>361950</xdr:colOff>
      <xdr:row>40</xdr:row>
      <xdr:rowOff>30307</xdr:rowOff>
    </xdr:to>
    <xdr:graphicFrame macro="">
      <xdr:nvGraphicFramePr>
        <xdr:cNvPr id="7" name="Chart 253">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159205</xdr:colOff>
      <xdr:row>72</xdr:row>
      <xdr:rowOff>141513</xdr:rowOff>
    </xdr:from>
    <xdr:to>
      <xdr:col>19</xdr:col>
      <xdr:colOff>371475</xdr:colOff>
      <xdr:row>101</xdr:row>
      <xdr:rowOff>123825</xdr:rowOff>
    </xdr:to>
    <xdr:graphicFrame macro="">
      <xdr:nvGraphicFramePr>
        <xdr:cNvPr id="9" name="Chart 253">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593913</xdr:colOff>
      <xdr:row>73</xdr:row>
      <xdr:rowOff>112061</xdr:rowOff>
    </xdr:from>
    <xdr:to>
      <xdr:col>31</xdr:col>
      <xdr:colOff>537882</xdr:colOff>
      <xdr:row>102</xdr:row>
      <xdr:rowOff>78441</xdr:rowOff>
    </xdr:to>
    <xdr:graphicFrame macro="">
      <xdr:nvGraphicFramePr>
        <xdr:cNvPr id="8" name="Chart 253">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90</xdr:col>
      <xdr:colOff>152400</xdr:colOff>
      <xdr:row>9</xdr:row>
      <xdr:rowOff>0</xdr:rowOff>
    </xdr:from>
    <xdr:to>
      <xdr:col>105</xdr:col>
      <xdr:colOff>38100</xdr:colOff>
      <xdr:row>40</xdr:row>
      <xdr:rowOff>1732</xdr:rowOff>
    </xdr:to>
    <xdr:graphicFrame macro="">
      <xdr:nvGraphicFramePr>
        <xdr:cNvPr id="10" name="Chart 253">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90</xdr:col>
      <xdr:colOff>142875</xdr:colOff>
      <xdr:row>40</xdr:row>
      <xdr:rowOff>123825</xdr:rowOff>
    </xdr:from>
    <xdr:to>
      <xdr:col>105</xdr:col>
      <xdr:colOff>19050</xdr:colOff>
      <xdr:row>71</xdr:row>
      <xdr:rowOff>125557</xdr:rowOff>
    </xdr:to>
    <xdr:graphicFrame macro="">
      <xdr:nvGraphicFramePr>
        <xdr:cNvPr id="11" name="Chart 253">
          <a:extLst>
            <a:ext uri="{FF2B5EF4-FFF2-40B4-BE49-F238E27FC236}">
              <a16:creationId xmlns:a16="http://schemas.microsoft.com/office/drawing/2014/main" id="{00000000-0008-0000-0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110</xdr:col>
      <xdr:colOff>171450</xdr:colOff>
      <xdr:row>41</xdr:row>
      <xdr:rowOff>28575</xdr:rowOff>
    </xdr:from>
    <xdr:to>
      <xdr:col>128</xdr:col>
      <xdr:colOff>304800</xdr:colOff>
      <xdr:row>72</xdr:row>
      <xdr:rowOff>30307</xdr:rowOff>
    </xdr:to>
    <xdr:graphicFrame macro="">
      <xdr:nvGraphicFramePr>
        <xdr:cNvPr id="12" name="Chart 253">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110</xdr:col>
      <xdr:colOff>228600</xdr:colOff>
      <xdr:row>9</xdr:row>
      <xdr:rowOff>28575</xdr:rowOff>
    </xdr:from>
    <xdr:to>
      <xdr:col>128</xdr:col>
      <xdr:colOff>361950</xdr:colOff>
      <xdr:row>40</xdr:row>
      <xdr:rowOff>30307</xdr:rowOff>
    </xdr:to>
    <xdr:graphicFrame macro="">
      <xdr:nvGraphicFramePr>
        <xdr:cNvPr id="13" name="Chart 253">
          <a:extLst>
            <a:ext uri="{FF2B5EF4-FFF2-40B4-BE49-F238E27FC236}">
              <a16:creationId xmlns:a16="http://schemas.microsoft.com/office/drawing/2014/main" id="{00000000-0008-0000-0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90</xdr:col>
      <xdr:colOff>159205</xdr:colOff>
      <xdr:row>72</xdr:row>
      <xdr:rowOff>141513</xdr:rowOff>
    </xdr:from>
    <xdr:to>
      <xdr:col>101</xdr:col>
      <xdr:colOff>371475</xdr:colOff>
      <xdr:row>101</xdr:row>
      <xdr:rowOff>123825</xdr:rowOff>
    </xdr:to>
    <xdr:graphicFrame macro="">
      <xdr:nvGraphicFramePr>
        <xdr:cNvPr id="14" name="Chart 253">
          <a:extLst>
            <a:ext uri="{FF2B5EF4-FFF2-40B4-BE49-F238E27FC236}">
              <a16:creationId xmlns:a16="http://schemas.microsoft.com/office/drawing/2014/main" id="{00000000-0008-0000-0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104</xdr:col>
      <xdr:colOff>33619</xdr:colOff>
      <xdr:row>72</xdr:row>
      <xdr:rowOff>52297</xdr:rowOff>
    </xdr:from>
    <xdr:to>
      <xdr:col>116</xdr:col>
      <xdr:colOff>328705</xdr:colOff>
      <xdr:row>101</xdr:row>
      <xdr:rowOff>26147</xdr:rowOff>
    </xdr:to>
    <xdr:graphicFrame macro="">
      <xdr:nvGraphicFramePr>
        <xdr:cNvPr id="15" name="Chart 253">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oneCellAnchor>
    <xdr:from>
      <xdr:col>72</xdr:col>
      <xdr:colOff>136071</xdr:colOff>
      <xdr:row>0</xdr:row>
      <xdr:rowOff>18143</xdr:rowOff>
    </xdr:from>
    <xdr:ext cx="2204357" cy="589643"/>
    <xdr:sp macro="" textlink="">
      <xdr:nvSpPr>
        <xdr:cNvPr id="2" name="TextBox 1">
          <a:extLst>
            <a:ext uri="{FF2B5EF4-FFF2-40B4-BE49-F238E27FC236}">
              <a16:creationId xmlns:a16="http://schemas.microsoft.com/office/drawing/2014/main" id="{00000000-0008-0000-0400-000002000000}"/>
            </a:ext>
          </a:extLst>
        </xdr:cNvPr>
        <xdr:cNvSpPr txBox="1"/>
      </xdr:nvSpPr>
      <xdr:spPr bwMode="auto">
        <a:xfrm>
          <a:off x="38898285" y="18143"/>
          <a:ext cx="2204357" cy="589643"/>
        </a:xfrm>
        <a:prstGeom prst="rect">
          <a:avLst/>
        </a:prstGeom>
        <a:solidFill>
          <a:srgbClr val="FFFF00"/>
        </a:solidFill>
        <a:ln w="9525">
          <a:noFill/>
          <a:miter lim="800000"/>
          <a:headEnd/>
          <a:tailEnd/>
        </a:ln>
      </xdr:spPr>
      <xdr:txBody>
        <a:bodyPr vertOverflow="clip" horzOverflow="clip" wrap="square" lIns="27432" tIns="27432" rIns="0" bIns="0" rtlCol="0" anchor="t" upright="1">
          <a:noAutofit/>
        </a:bodyPr>
        <a:lstStyle/>
        <a:p>
          <a:pPr algn="l" rtl="0"/>
          <a:r>
            <a:rPr lang="en-US" sz="1100" b="0" i="0" strike="noStrike" baseline="0">
              <a:solidFill>
                <a:srgbClr val="FF0000"/>
              </a:solidFill>
              <a:latin typeface="Calibri"/>
            </a:rPr>
            <a:t>30JUL2024 </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b="0" i="0">
              <a:solidFill>
                <a:srgbClr val="FF0000"/>
              </a:solidFill>
              <a:effectLst/>
              <a:latin typeface="+mn-lt"/>
              <a:ea typeface="+mn-ea"/>
              <a:cs typeface="+mn-cs"/>
            </a:rPr>
            <a:t>For this version, Core losses is</a:t>
          </a:r>
          <a:r>
            <a:rPr lang="en-US" sz="1100" b="0" i="0" baseline="0">
              <a:solidFill>
                <a:srgbClr val="FF0000"/>
              </a:solidFill>
              <a:effectLst/>
              <a:latin typeface="+mn-lt"/>
              <a:ea typeface="+mn-ea"/>
              <a:cs typeface="+mn-cs"/>
            </a:rPr>
            <a:t> assumd 1.5% of the total power.</a:t>
          </a:r>
          <a:endParaRPr lang="en-US">
            <a:solidFill>
              <a:srgbClr val="FF0000"/>
            </a:solidFill>
            <a:effectLst/>
          </a:endParaRPr>
        </a:p>
        <a:p>
          <a:pPr algn="l" rtl="0"/>
          <a:endParaRPr lang="en-US" sz="1100" b="0" i="0" strike="noStrike">
            <a:solidFill>
              <a:srgbClr val="FF0000"/>
            </a:solidFill>
            <a:latin typeface="Calibri"/>
          </a:endParaRPr>
        </a:p>
      </xdr:txBody>
    </xdr:sp>
    <xdr:clientData/>
  </xdr:oneCellAnchor>
  <xdr:oneCellAnchor>
    <xdr:from>
      <xdr:col>59</xdr:col>
      <xdr:colOff>235858</xdr:colOff>
      <xdr:row>0</xdr:row>
      <xdr:rowOff>36285</xdr:rowOff>
    </xdr:from>
    <xdr:ext cx="1741715" cy="553357"/>
    <xdr:sp macro="" textlink="">
      <xdr:nvSpPr>
        <xdr:cNvPr id="17" name="TextBox 16">
          <a:extLst>
            <a:ext uri="{FF2B5EF4-FFF2-40B4-BE49-F238E27FC236}">
              <a16:creationId xmlns:a16="http://schemas.microsoft.com/office/drawing/2014/main" id="{00000000-0008-0000-0400-000011000000}"/>
            </a:ext>
          </a:extLst>
        </xdr:cNvPr>
        <xdr:cNvSpPr txBox="1"/>
      </xdr:nvSpPr>
      <xdr:spPr bwMode="auto">
        <a:xfrm>
          <a:off x="30734001" y="36285"/>
          <a:ext cx="1741715" cy="553357"/>
        </a:xfrm>
        <a:prstGeom prst="rect">
          <a:avLst/>
        </a:prstGeom>
        <a:solidFill>
          <a:srgbClr val="FFFF66"/>
        </a:solidFill>
        <a:ln w="9525">
          <a:noFill/>
          <a:miter lim="800000"/>
          <a:headEnd/>
          <a:tailEnd/>
        </a:ln>
      </xdr:spPr>
      <xdr:txBody>
        <a:bodyPr vertOverflow="clip" horzOverflow="clip" wrap="square" lIns="27432" tIns="27432" rIns="0" bIns="0" rtlCol="0" anchor="t" upright="1">
          <a:spAutoFit/>
        </a:bodyPr>
        <a:lstStyle/>
        <a:p>
          <a:pPr algn="l" rtl="0"/>
          <a:r>
            <a:rPr lang="en-US" sz="1100" b="1" i="0" strike="noStrike">
              <a:solidFill>
                <a:srgbClr val="FF0000"/>
              </a:solidFill>
              <a:latin typeface="+mn-lt"/>
            </a:rPr>
            <a:t>31JUL2024</a:t>
          </a:r>
        </a:p>
        <a:p>
          <a:pPr algn="l" rtl="0"/>
          <a:r>
            <a:rPr lang="en-US" sz="1100" b="0" i="0" strike="noStrike">
              <a:solidFill>
                <a:srgbClr val="FF0000"/>
              </a:solidFill>
              <a:latin typeface="+mn-lt"/>
            </a:rPr>
            <a:t>FET Qg loss is using VIN instead of 5V VDD.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10</xdr:col>
      <xdr:colOff>342900</xdr:colOff>
      <xdr:row>9</xdr:row>
      <xdr:rowOff>19050</xdr:rowOff>
    </xdr:from>
    <xdr:to>
      <xdr:col>27</xdr:col>
      <xdr:colOff>47625</xdr:colOff>
      <xdr:row>40</xdr:row>
      <xdr:rowOff>20782</xdr:rowOff>
    </xdr:to>
    <xdr:graphicFrame macro="">
      <xdr:nvGraphicFramePr>
        <xdr:cNvPr id="2" name="Chart 25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352425</xdr:colOff>
      <xdr:row>41</xdr:row>
      <xdr:rowOff>0</xdr:rowOff>
    </xdr:from>
    <xdr:to>
      <xdr:col>27</xdr:col>
      <xdr:colOff>57150</xdr:colOff>
      <xdr:row>72</xdr:row>
      <xdr:rowOff>1732</xdr:rowOff>
    </xdr:to>
    <xdr:graphicFrame macro="">
      <xdr:nvGraphicFramePr>
        <xdr:cNvPr id="3" name="Chart 253">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194582</xdr:colOff>
      <xdr:row>41</xdr:row>
      <xdr:rowOff>21771</xdr:rowOff>
    </xdr:from>
    <xdr:to>
      <xdr:col>47</xdr:col>
      <xdr:colOff>123825</xdr:colOff>
      <xdr:row>72</xdr:row>
      <xdr:rowOff>23503</xdr:rowOff>
    </xdr:to>
    <xdr:graphicFrame macro="">
      <xdr:nvGraphicFramePr>
        <xdr:cNvPr id="4" name="Chart 25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9</xdr:row>
      <xdr:rowOff>28575</xdr:rowOff>
    </xdr:from>
    <xdr:to>
      <xdr:col>47</xdr:col>
      <xdr:colOff>19050</xdr:colOff>
      <xdr:row>40</xdr:row>
      <xdr:rowOff>30307</xdr:rowOff>
    </xdr:to>
    <xdr:graphicFrame macro="">
      <xdr:nvGraphicFramePr>
        <xdr:cNvPr id="5" name="Chart 253">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329046</xdr:colOff>
      <xdr:row>72</xdr:row>
      <xdr:rowOff>84117</xdr:rowOff>
    </xdr:from>
    <xdr:to>
      <xdr:col>27</xdr:col>
      <xdr:colOff>673307</xdr:colOff>
      <xdr:row>103</xdr:row>
      <xdr:rowOff>85849</xdr:rowOff>
    </xdr:to>
    <xdr:graphicFrame macro="">
      <xdr:nvGraphicFramePr>
        <xdr:cNvPr id="6" name="Chart 253">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92</xdr:col>
      <xdr:colOff>342900</xdr:colOff>
      <xdr:row>9</xdr:row>
      <xdr:rowOff>19050</xdr:rowOff>
    </xdr:from>
    <xdr:to>
      <xdr:col>109</xdr:col>
      <xdr:colOff>47625</xdr:colOff>
      <xdr:row>40</xdr:row>
      <xdr:rowOff>20782</xdr:rowOff>
    </xdr:to>
    <xdr:graphicFrame macro="">
      <xdr:nvGraphicFramePr>
        <xdr:cNvPr id="7" name="Chart 253">
          <a:extLst>
            <a:ext uri="{FF2B5EF4-FFF2-40B4-BE49-F238E27FC236}">
              <a16:creationId xmlns:a16="http://schemas.microsoft.com/office/drawing/2014/main" id="{00000000-0008-0000-0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92</xdr:col>
      <xdr:colOff>352425</xdr:colOff>
      <xdr:row>41</xdr:row>
      <xdr:rowOff>0</xdr:rowOff>
    </xdr:from>
    <xdr:to>
      <xdr:col>109</xdr:col>
      <xdr:colOff>57150</xdr:colOff>
      <xdr:row>72</xdr:row>
      <xdr:rowOff>1732</xdr:rowOff>
    </xdr:to>
    <xdr:graphicFrame macro="">
      <xdr:nvGraphicFramePr>
        <xdr:cNvPr id="8" name="Chart 253">
          <a:extLst>
            <a:ext uri="{FF2B5EF4-FFF2-40B4-BE49-F238E27FC236}">
              <a16:creationId xmlns:a16="http://schemas.microsoft.com/office/drawing/2014/main" id="{00000000-0008-0000-05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109</xdr:col>
      <xdr:colOff>194582</xdr:colOff>
      <xdr:row>41</xdr:row>
      <xdr:rowOff>21771</xdr:rowOff>
    </xdr:from>
    <xdr:to>
      <xdr:col>129</xdr:col>
      <xdr:colOff>123825</xdr:colOff>
      <xdr:row>72</xdr:row>
      <xdr:rowOff>23503</xdr:rowOff>
    </xdr:to>
    <xdr:graphicFrame macro="">
      <xdr:nvGraphicFramePr>
        <xdr:cNvPr id="9" name="Chart 253">
          <a:extLst>
            <a:ext uri="{FF2B5EF4-FFF2-40B4-BE49-F238E27FC236}">
              <a16:creationId xmlns:a16="http://schemas.microsoft.com/office/drawing/2014/main" id="{00000000-0008-0000-05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109</xdr:col>
      <xdr:colOff>228600</xdr:colOff>
      <xdr:row>9</xdr:row>
      <xdr:rowOff>28575</xdr:rowOff>
    </xdr:from>
    <xdr:to>
      <xdr:col>129</xdr:col>
      <xdr:colOff>19050</xdr:colOff>
      <xdr:row>40</xdr:row>
      <xdr:rowOff>30307</xdr:rowOff>
    </xdr:to>
    <xdr:graphicFrame macro="">
      <xdr:nvGraphicFramePr>
        <xdr:cNvPr id="10" name="Chart 253">
          <a:extLst>
            <a:ext uri="{FF2B5EF4-FFF2-40B4-BE49-F238E27FC236}">
              <a16:creationId xmlns:a16="http://schemas.microsoft.com/office/drawing/2014/main" id="{00000000-0008-0000-05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92</xdr:col>
      <xdr:colOff>329046</xdr:colOff>
      <xdr:row>72</xdr:row>
      <xdr:rowOff>138546</xdr:rowOff>
    </xdr:from>
    <xdr:to>
      <xdr:col>109</xdr:col>
      <xdr:colOff>33771</xdr:colOff>
      <xdr:row>103</xdr:row>
      <xdr:rowOff>140278</xdr:rowOff>
    </xdr:to>
    <xdr:graphicFrame macro="">
      <xdr:nvGraphicFramePr>
        <xdr:cNvPr id="11" name="Chart 253">
          <a:extLst>
            <a:ext uri="{FF2B5EF4-FFF2-40B4-BE49-F238E27FC236}">
              <a16:creationId xmlns:a16="http://schemas.microsoft.com/office/drawing/2014/main" id="{00000000-0008-0000-05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oneCellAnchor>
    <xdr:from>
      <xdr:col>66</xdr:col>
      <xdr:colOff>544285</xdr:colOff>
      <xdr:row>7</xdr:row>
      <xdr:rowOff>90714</xdr:rowOff>
    </xdr:from>
    <xdr:ext cx="27765" cy="199927"/>
    <xdr:sp macro="" textlink="">
      <xdr:nvSpPr>
        <xdr:cNvPr id="12" name="TextBox 11">
          <a:extLst>
            <a:ext uri="{FF2B5EF4-FFF2-40B4-BE49-F238E27FC236}">
              <a16:creationId xmlns:a16="http://schemas.microsoft.com/office/drawing/2014/main" id="{00000000-0008-0000-0500-00000C000000}"/>
            </a:ext>
          </a:extLst>
        </xdr:cNvPr>
        <xdr:cNvSpPr txBox="1"/>
      </xdr:nvSpPr>
      <xdr:spPr bwMode="auto">
        <a:xfrm>
          <a:off x="34299071" y="1796143"/>
          <a:ext cx="27765" cy="199927"/>
        </a:xfrm>
        <a:prstGeom prst="rect">
          <a:avLst/>
        </a:prstGeom>
        <a:noFill/>
        <a:ln w="9525">
          <a:noFill/>
          <a:miter lim="800000"/>
          <a:headEnd/>
          <a:tailEnd/>
        </a:ln>
      </xdr:spPr>
      <xdr:txBody>
        <a:bodyPr vertOverflow="clip" horzOverflow="clip" wrap="none" lIns="27432" tIns="27432" rIns="0" bIns="0" rtlCol="0" anchor="t" upright="1">
          <a:spAutoFit/>
        </a:bodyPr>
        <a:lstStyle/>
        <a:p>
          <a:pPr algn="l" rtl="0"/>
          <a:endParaRPr lang="en-US" sz="1100" b="0" i="0" strike="noStrike">
            <a:solidFill>
              <a:srgbClr val="000000"/>
            </a:solidFill>
            <a:latin typeface="Calibri"/>
          </a:endParaRPr>
        </a:p>
      </xdr:txBody>
    </xdr:sp>
    <xdr:clientData/>
  </xdr:oneCellAnchor>
  <xdr:oneCellAnchor>
    <xdr:from>
      <xdr:col>58</xdr:col>
      <xdr:colOff>244929</xdr:colOff>
      <xdr:row>0</xdr:row>
      <xdr:rowOff>36286</xdr:rowOff>
    </xdr:from>
    <xdr:ext cx="2502480" cy="544380"/>
    <xdr:sp macro="" textlink="">
      <xdr:nvSpPr>
        <xdr:cNvPr id="13" name="TextBox 12">
          <a:extLst>
            <a:ext uri="{FF2B5EF4-FFF2-40B4-BE49-F238E27FC236}">
              <a16:creationId xmlns:a16="http://schemas.microsoft.com/office/drawing/2014/main" id="{00000000-0008-0000-0500-00000D000000}"/>
            </a:ext>
          </a:extLst>
        </xdr:cNvPr>
        <xdr:cNvSpPr txBox="1"/>
      </xdr:nvSpPr>
      <xdr:spPr bwMode="auto">
        <a:xfrm>
          <a:off x="29282572" y="36286"/>
          <a:ext cx="2502480" cy="544380"/>
        </a:xfrm>
        <a:prstGeom prst="rect">
          <a:avLst/>
        </a:prstGeom>
        <a:solidFill>
          <a:srgbClr val="FFFF66"/>
        </a:solidFill>
        <a:ln w="9525">
          <a:noFill/>
          <a:miter lim="800000"/>
          <a:headEnd/>
          <a:tailEnd/>
        </a:ln>
      </xdr:spPr>
      <xdr:txBody>
        <a:bodyPr vertOverflow="clip" horzOverflow="clip" wrap="none" lIns="27432" tIns="27432" rIns="0" bIns="0" rtlCol="0" anchor="t" upright="1">
          <a:spAutoFit/>
        </a:bodyPr>
        <a:lstStyle/>
        <a:p>
          <a:pPr rtl="0"/>
          <a:r>
            <a:rPr lang="en-US" sz="1100" b="1" i="0">
              <a:solidFill>
                <a:srgbClr val="FF0000"/>
              </a:solidFill>
              <a:effectLst/>
              <a:latin typeface="+mn-lt"/>
              <a:ea typeface="+mn-ea"/>
              <a:cs typeface="+mn-cs"/>
            </a:rPr>
            <a:t>31JUL2024</a:t>
          </a:r>
          <a:endParaRPr lang="en-US">
            <a:solidFill>
              <a:srgbClr val="FF0000"/>
            </a:solidFill>
            <a:effectLst/>
          </a:endParaRPr>
        </a:p>
        <a:p>
          <a:pPr rtl="0"/>
          <a:r>
            <a:rPr lang="en-US" sz="1100" b="0" i="0">
              <a:solidFill>
                <a:srgbClr val="FF0000"/>
              </a:solidFill>
              <a:effectLst/>
              <a:latin typeface="+mn-lt"/>
              <a:ea typeface="+mn-ea"/>
              <a:cs typeface="+mn-cs"/>
            </a:rPr>
            <a:t>FET Qg loss is using VIN instead of 5V VDD</a:t>
          </a:r>
          <a:r>
            <a:rPr lang="en-US" sz="1100" b="0" i="0">
              <a:effectLst/>
              <a:latin typeface="+mn-lt"/>
              <a:ea typeface="+mn-ea"/>
              <a:cs typeface="+mn-cs"/>
            </a:rPr>
            <a:t>. </a:t>
          </a:r>
          <a:endParaRPr lang="en-US">
            <a:effectLst/>
          </a:endParaRPr>
        </a:p>
        <a:p>
          <a:pPr algn="l" rtl="0"/>
          <a:endParaRPr lang="en-US" sz="1100" b="0" i="0" strike="noStrike">
            <a:solidFill>
              <a:srgbClr val="000000"/>
            </a:solidFill>
            <a:latin typeface="Calibri"/>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19</xdr:col>
      <xdr:colOff>0</xdr:colOff>
      <xdr:row>12</xdr:row>
      <xdr:rowOff>0</xdr:rowOff>
    </xdr:from>
    <xdr:to>
      <xdr:col>33</xdr:col>
      <xdr:colOff>248709</xdr:colOff>
      <xdr:row>40</xdr:row>
      <xdr:rowOff>61288</xdr:rowOff>
    </xdr:to>
    <xdr:graphicFrame macro="">
      <xdr:nvGraphicFramePr>
        <xdr:cNvPr id="2" name="Chart 2">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30</xdr:row>
          <xdr:rowOff>12700</xdr:rowOff>
        </xdr:from>
        <xdr:to>
          <xdr:col>6</xdr:col>
          <xdr:colOff>876300</xdr:colOff>
          <xdr:row>31</xdr:row>
          <xdr:rowOff>0</xdr:rowOff>
        </xdr:to>
        <xdr:sp macro="" textlink="">
          <xdr:nvSpPr>
            <xdr:cNvPr id="674505" name="Drop Down 713" hidden="1">
              <a:extLst>
                <a:ext uri="{63B3BB69-23CF-44E3-9099-C40C66FF867C}">
                  <a14:compatExt spid="_x0000_s674505"/>
                </a:ext>
                <a:ext uri="{FF2B5EF4-FFF2-40B4-BE49-F238E27FC236}">
                  <a16:creationId xmlns:a16="http://schemas.microsoft.com/office/drawing/2014/main" id="{00000000-0008-0000-0700-0000C9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31</xdr:row>
          <xdr:rowOff>12700</xdr:rowOff>
        </xdr:from>
        <xdr:to>
          <xdr:col>6</xdr:col>
          <xdr:colOff>876300</xdr:colOff>
          <xdr:row>32</xdr:row>
          <xdr:rowOff>0</xdr:rowOff>
        </xdr:to>
        <xdr:sp macro="" textlink="">
          <xdr:nvSpPr>
            <xdr:cNvPr id="674508" name="Drop Down 716" hidden="1">
              <a:extLst>
                <a:ext uri="{63B3BB69-23CF-44E3-9099-C40C66FF867C}">
                  <a14:compatExt spid="_x0000_s674508"/>
                </a:ext>
                <a:ext uri="{FF2B5EF4-FFF2-40B4-BE49-F238E27FC236}">
                  <a16:creationId xmlns:a16="http://schemas.microsoft.com/office/drawing/2014/main" id="{00000000-0008-0000-0700-0000C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12700</xdr:rowOff>
        </xdr:from>
        <xdr:to>
          <xdr:col>6</xdr:col>
          <xdr:colOff>876300</xdr:colOff>
          <xdr:row>40</xdr:row>
          <xdr:rowOff>0</xdr:rowOff>
        </xdr:to>
        <xdr:sp macro="" textlink="">
          <xdr:nvSpPr>
            <xdr:cNvPr id="674527" name="Drop Down 735" hidden="1">
              <a:extLst>
                <a:ext uri="{63B3BB69-23CF-44E3-9099-C40C66FF867C}">
                  <a14:compatExt spid="_x0000_s674527"/>
                </a:ext>
                <a:ext uri="{FF2B5EF4-FFF2-40B4-BE49-F238E27FC236}">
                  <a16:creationId xmlns:a16="http://schemas.microsoft.com/office/drawing/2014/main" id="{00000000-0008-0000-0700-0000D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46</xdr:row>
          <xdr:rowOff>12700</xdr:rowOff>
        </xdr:from>
        <xdr:to>
          <xdr:col>6</xdr:col>
          <xdr:colOff>876300</xdr:colOff>
          <xdr:row>47</xdr:row>
          <xdr:rowOff>0</xdr:rowOff>
        </xdr:to>
        <xdr:sp macro="" textlink="">
          <xdr:nvSpPr>
            <xdr:cNvPr id="674534" name="Drop Down 742" hidden="1">
              <a:extLst>
                <a:ext uri="{63B3BB69-23CF-44E3-9099-C40C66FF867C}">
                  <a14:compatExt spid="_x0000_s674534"/>
                </a:ext>
                <a:ext uri="{FF2B5EF4-FFF2-40B4-BE49-F238E27FC236}">
                  <a16:creationId xmlns:a16="http://schemas.microsoft.com/office/drawing/2014/main" id="{00000000-0008-0000-0700-0000E6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41</xdr:row>
          <xdr:rowOff>12700</xdr:rowOff>
        </xdr:from>
        <xdr:to>
          <xdr:col>6</xdr:col>
          <xdr:colOff>876300</xdr:colOff>
          <xdr:row>42</xdr:row>
          <xdr:rowOff>0</xdr:rowOff>
        </xdr:to>
        <xdr:sp macro="" textlink="">
          <xdr:nvSpPr>
            <xdr:cNvPr id="674536" name="Drop Down 744" hidden="1">
              <a:extLst>
                <a:ext uri="{63B3BB69-23CF-44E3-9099-C40C66FF867C}">
                  <a14:compatExt spid="_x0000_s674536"/>
                </a:ext>
                <a:ext uri="{FF2B5EF4-FFF2-40B4-BE49-F238E27FC236}">
                  <a16:creationId xmlns:a16="http://schemas.microsoft.com/office/drawing/2014/main" id="{00000000-0008-0000-0700-0000E8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40</xdr:row>
          <xdr:rowOff>12700</xdr:rowOff>
        </xdr:from>
        <xdr:to>
          <xdr:col>6</xdr:col>
          <xdr:colOff>876300</xdr:colOff>
          <xdr:row>41</xdr:row>
          <xdr:rowOff>0</xdr:rowOff>
        </xdr:to>
        <xdr:sp macro="" textlink="">
          <xdr:nvSpPr>
            <xdr:cNvPr id="674539" name="Drop Down 747" hidden="1">
              <a:extLst>
                <a:ext uri="{63B3BB69-23CF-44E3-9099-C40C66FF867C}">
                  <a14:compatExt spid="_x0000_s674539"/>
                </a:ext>
                <a:ext uri="{FF2B5EF4-FFF2-40B4-BE49-F238E27FC236}">
                  <a16:creationId xmlns:a16="http://schemas.microsoft.com/office/drawing/2014/main" id="{00000000-0008-0000-0700-0000EB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45</xdr:row>
          <xdr:rowOff>12700</xdr:rowOff>
        </xdr:from>
        <xdr:to>
          <xdr:col>6</xdr:col>
          <xdr:colOff>876300</xdr:colOff>
          <xdr:row>46</xdr:row>
          <xdr:rowOff>0</xdr:rowOff>
        </xdr:to>
        <xdr:sp macro="" textlink="">
          <xdr:nvSpPr>
            <xdr:cNvPr id="674540" name="Drop Down 748" hidden="1">
              <a:extLst>
                <a:ext uri="{63B3BB69-23CF-44E3-9099-C40C66FF867C}">
                  <a14:compatExt spid="_x0000_s674540"/>
                </a:ext>
                <a:ext uri="{FF2B5EF4-FFF2-40B4-BE49-F238E27FC236}">
                  <a16:creationId xmlns:a16="http://schemas.microsoft.com/office/drawing/2014/main" id="{00000000-0008-0000-0700-0000EC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47</xdr:row>
          <xdr:rowOff>12700</xdr:rowOff>
        </xdr:from>
        <xdr:to>
          <xdr:col>6</xdr:col>
          <xdr:colOff>876300</xdr:colOff>
          <xdr:row>48</xdr:row>
          <xdr:rowOff>0</xdr:rowOff>
        </xdr:to>
        <xdr:sp macro="" textlink="">
          <xdr:nvSpPr>
            <xdr:cNvPr id="674541" name="Drop Down 749" hidden="1">
              <a:extLst>
                <a:ext uri="{63B3BB69-23CF-44E3-9099-C40C66FF867C}">
                  <a14:compatExt spid="_x0000_s674541"/>
                </a:ext>
                <a:ext uri="{FF2B5EF4-FFF2-40B4-BE49-F238E27FC236}">
                  <a16:creationId xmlns:a16="http://schemas.microsoft.com/office/drawing/2014/main" id="{00000000-0008-0000-0700-0000ED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48</xdr:row>
          <xdr:rowOff>12700</xdr:rowOff>
        </xdr:from>
        <xdr:to>
          <xdr:col>6</xdr:col>
          <xdr:colOff>876300</xdr:colOff>
          <xdr:row>49</xdr:row>
          <xdr:rowOff>0</xdr:rowOff>
        </xdr:to>
        <xdr:sp macro="" textlink="">
          <xdr:nvSpPr>
            <xdr:cNvPr id="674542" name="Drop Down 750" hidden="1">
              <a:extLst>
                <a:ext uri="{63B3BB69-23CF-44E3-9099-C40C66FF867C}">
                  <a14:compatExt spid="_x0000_s674542"/>
                </a:ext>
                <a:ext uri="{FF2B5EF4-FFF2-40B4-BE49-F238E27FC236}">
                  <a16:creationId xmlns:a16="http://schemas.microsoft.com/office/drawing/2014/main" id="{00000000-0008-0000-0700-0000EE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49</xdr:row>
          <xdr:rowOff>12700</xdr:rowOff>
        </xdr:from>
        <xdr:to>
          <xdr:col>6</xdr:col>
          <xdr:colOff>876300</xdr:colOff>
          <xdr:row>50</xdr:row>
          <xdr:rowOff>0</xdr:rowOff>
        </xdr:to>
        <xdr:sp macro="" textlink="">
          <xdr:nvSpPr>
            <xdr:cNvPr id="674543" name="Drop Down 751" hidden="1">
              <a:extLst>
                <a:ext uri="{63B3BB69-23CF-44E3-9099-C40C66FF867C}">
                  <a14:compatExt spid="_x0000_s674543"/>
                </a:ext>
                <a:ext uri="{FF2B5EF4-FFF2-40B4-BE49-F238E27FC236}">
                  <a16:creationId xmlns:a16="http://schemas.microsoft.com/office/drawing/2014/main" id="{00000000-0008-0000-0700-0000EF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38</xdr:row>
          <xdr:rowOff>12700</xdr:rowOff>
        </xdr:from>
        <xdr:to>
          <xdr:col>6</xdr:col>
          <xdr:colOff>876300</xdr:colOff>
          <xdr:row>39</xdr:row>
          <xdr:rowOff>0</xdr:rowOff>
        </xdr:to>
        <xdr:sp macro="" textlink="">
          <xdr:nvSpPr>
            <xdr:cNvPr id="674544" name="Drop Down 752" hidden="1">
              <a:extLst>
                <a:ext uri="{63B3BB69-23CF-44E3-9099-C40C66FF867C}">
                  <a14:compatExt spid="_x0000_s674544"/>
                </a:ext>
                <a:ext uri="{FF2B5EF4-FFF2-40B4-BE49-F238E27FC236}">
                  <a16:creationId xmlns:a16="http://schemas.microsoft.com/office/drawing/2014/main" id="{00000000-0008-0000-0700-0000F04A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53</xdr:row>
          <xdr:rowOff>12700</xdr:rowOff>
        </xdr:from>
        <xdr:to>
          <xdr:col>6</xdr:col>
          <xdr:colOff>876300</xdr:colOff>
          <xdr:row>54</xdr:row>
          <xdr:rowOff>0</xdr:rowOff>
        </xdr:to>
        <xdr:sp macro="" textlink="">
          <xdr:nvSpPr>
            <xdr:cNvPr id="674632" name="Drop Down 840" hidden="1">
              <a:extLst>
                <a:ext uri="{63B3BB69-23CF-44E3-9099-C40C66FF867C}">
                  <a14:compatExt spid="_x0000_s674632"/>
                </a:ext>
                <a:ext uri="{FF2B5EF4-FFF2-40B4-BE49-F238E27FC236}">
                  <a16:creationId xmlns:a16="http://schemas.microsoft.com/office/drawing/2014/main" id="{00000000-0008-0000-0700-0000484B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370999</xdr:colOff>
          <xdr:row>0</xdr:row>
          <xdr:rowOff>95250</xdr:rowOff>
        </xdr:from>
        <xdr:to>
          <xdr:col>7</xdr:col>
          <xdr:colOff>906899</xdr:colOff>
          <xdr:row>26</xdr:row>
          <xdr:rowOff>57258</xdr:rowOff>
        </xdr:to>
        <xdr:pic>
          <xdr:nvPicPr>
            <xdr:cNvPr id="77" name="Picture 8888">
              <a:extLst>
                <a:ext uri="{FF2B5EF4-FFF2-40B4-BE49-F238E27FC236}">
                  <a16:creationId xmlns:a16="http://schemas.microsoft.com/office/drawing/2014/main" id="{00000000-0008-0000-0700-00004D000000}"/>
                </a:ext>
              </a:extLst>
            </xdr:cNvPr>
            <xdr:cNvPicPr>
              <a:picLocks noChangeAspect="1" noChangeArrowheads="1"/>
              <a:extLst>
                <a:ext uri="{84589F7E-364E-4C9E-8A38-B11213B215E9}">
                  <a14:cameraTool cellRange="PICTURE1" spid="_x0000_s764755"/>
                </a:ext>
              </a:extLst>
            </xdr:cNvPicPr>
          </xdr:nvPicPr>
          <xdr:blipFill>
            <a:blip xmlns:r="http://schemas.openxmlformats.org/officeDocument/2006/relationships" r:embed="rId1"/>
            <a:srcRect/>
            <a:stretch>
              <a:fillRect/>
            </a:stretch>
          </xdr:blipFill>
          <xdr:spPr bwMode="auto">
            <a:xfrm>
              <a:off x="370999" y="95250"/>
              <a:ext cx="7638131" cy="4153008"/>
            </a:xfrm>
            <a:prstGeom prst="rect">
              <a:avLst/>
            </a:prstGeom>
            <a:noFill/>
            <a:ln w="15875">
              <a:noFill/>
              <a:miter lim="800000"/>
              <a:headEnd/>
              <a:tailEnd/>
            </a:ln>
            <a:extLst>
              <a:ext uri="{909E8E84-426E-40DD-AFC4-6F175D3DCCD1}">
                <a14:hiddenFill>
                  <a:solidFill>
                    <a:srgbClr val="FFFFFF" mc:Ignorable="a14" a14:legacySpreadsheetColorIndex="65"/>
                  </a:solidFill>
                </a14:hiddenFill>
              </a:ext>
            </a:extLst>
          </xdr:spPr>
        </xdr:pic>
        <xdr:clientData/>
      </xdr:twoCellAnchor>
    </mc:Choice>
    <mc:Fallback/>
  </mc:AlternateContent>
  <xdr:twoCellAnchor>
    <xdr:from>
      <xdr:col>5</xdr:col>
      <xdr:colOff>368904</xdr:colOff>
      <xdr:row>7</xdr:row>
      <xdr:rowOff>122225</xdr:rowOff>
    </xdr:from>
    <xdr:to>
      <xdr:col>5</xdr:col>
      <xdr:colOff>915363</xdr:colOff>
      <xdr:row>8</xdr:row>
      <xdr:rowOff>143465</xdr:rowOff>
    </xdr:to>
    <xdr:sp macro="" textlink="'Variable Mgmt'!B245">
      <xdr:nvSpPr>
        <xdr:cNvPr id="79" name="Text Box 267">
          <a:extLst>
            <a:ext uri="{FF2B5EF4-FFF2-40B4-BE49-F238E27FC236}">
              <a16:creationId xmlns:a16="http://schemas.microsoft.com/office/drawing/2014/main" id="{00000000-0008-0000-0700-00004F000000}"/>
            </a:ext>
          </a:extLst>
        </xdr:cNvPr>
        <xdr:cNvSpPr txBox="1">
          <a:spLocks noChangeArrowheads="1" noTextEdit="1"/>
        </xdr:cNvSpPr>
      </xdr:nvSpPr>
      <xdr:spPr bwMode="auto">
        <a:xfrm>
          <a:off x="5395173" y="1250571"/>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DEF62FD0-959B-4627-B7E8-61CA1688D174}" type="TxLink">
            <a:rPr lang="en-US" sz="700" b="0" i="0" u="none" strike="noStrike" baseline="0">
              <a:solidFill>
                <a:srgbClr val="000000"/>
              </a:solidFill>
              <a:latin typeface="Arial" pitchFamily="34" charset="0"/>
              <a:cs typeface="Arial" pitchFamily="34" charset="0"/>
            </a:rPr>
            <a:pPr algn="l" rtl="0">
              <a:defRPr sz="1000"/>
            </a:pPr>
            <a:t>47µF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593597</xdr:colOff>
      <xdr:row>7</xdr:row>
      <xdr:rowOff>47526</xdr:rowOff>
    </xdr:from>
    <xdr:to>
      <xdr:col>1</xdr:col>
      <xdr:colOff>433231</xdr:colOff>
      <xdr:row>8</xdr:row>
      <xdr:rowOff>83672</xdr:rowOff>
    </xdr:to>
    <xdr:sp macro="" textlink="'Variable Mgmt'!B250">
      <xdr:nvSpPr>
        <xdr:cNvPr id="81" name="Text Box 276">
          <a:extLst>
            <a:ext uri="{FF2B5EF4-FFF2-40B4-BE49-F238E27FC236}">
              <a16:creationId xmlns:a16="http://schemas.microsoft.com/office/drawing/2014/main" id="{00000000-0008-0000-0700-000051000000}"/>
            </a:ext>
          </a:extLst>
        </xdr:cNvPr>
        <xdr:cNvSpPr txBox="1">
          <a:spLocks noChangeArrowheads="1" noTextEdit="1"/>
        </xdr:cNvSpPr>
      </xdr:nvSpPr>
      <xdr:spPr bwMode="auto">
        <a:xfrm>
          <a:off x="593597" y="1175872"/>
          <a:ext cx="508826" cy="197338"/>
        </a:xfrm>
        <a:prstGeom prst="rect">
          <a:avLst/>
        </a:prstGeom>
        <a:noFill/>
        <a:ln w="9525">
          <a:noFill/>
          <a:miter lim="800000"/>
          <a:headEnd/>
          <a:tailEnd/>
        </a:ln>
      </xdr:spPr>
      <xdr:txBody>
        <a:bodyPr vertOverflow="clip" wrap="square" lIns="27432" tIns="22860" rIns="0" bIns="0" anchor="ctr" upright="1"/>
        <a:lstStyle/>
        <a:p>
          <a:pPr algn="ctr" rtl="0">
            <a:defRPr sz="1000"/>
          </a:pPr>
          <a:fld id="{7E8F3901-1453-4951-8E28-510E65401D4C}" type="TxLink">
            <a:rPr lang="en-US" sz="700" b="0" i="0" u="none" strike="noStrike" baseline="0">
              <a:solidFill>
                <a:srgbClr val="000000"/>
              </a:solidFill>
              <a:latin typeface="Arial" pitchFamily="34" charset="0"/>
              <a:cs typeface="Arial" pitchFamily="34" charset="0"/>
            </a:rPr>
            <a:pPr algn="ctr" rtl="0">
              <a:defRPr sz="1000"/>
            </a:pPr>
            <a:t>10µF</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198843</xdr:colOff>
      <xdr:row>21</xdr:row>
      <xdr:rowOff>104015</xdr:rowOff>
    </xdr:from>
    <xdr:to>
      <xdr:col>2</xdr:col>
      <xdr:colOff>642811</xdr:colOff>
      <xdr:row>23</xdr:row>
      <xdr:rowOff>62417</xdr:rowOff>
    </xdr:to>
    <xdr:sp macro="" textlink="'Variable Mgmt'!D277">
      <xdr:nvSpPr>
        <xdr:cNvPr id="82" name="Text Box 281">
          <a:extLst>
            <a:ext uri="{FF2B5EF4-FFF2-40B4-BE49-F238E27FC236}">
              <a16:creationId xmlns:a16="http://schemas.microsoft.com/office/drawing/2014/main" id="{00000000-0008-0000-0700-000052000000}"/>
            </a:ext>
          </a:extLst>
        </xdr:cNvPr>
        <xdr:cNvSpPr txBox="1">
          <a:spLocks noChangeArrowheads="1" noTextEdit="1"/>
        </xdr:cNvSpPr>
      </xdr:nvSpPr>
      <xdr:spPr bwMode="auto">
        <a:xfrm>
          <a:off x="1599018" y="3504440"/>
          <a:ext cx="443968" cy="282252"/>
        </a:xfrm>
        <a:prstGeom prst="rect">
          <a:avLst/>
        </a:prstGeom>
        <a:noFill/>
        <a:ln w="9525">
          <a:noFill/>
          <a:miter lim="800000"/>
          <a:headEnd/>
          <a:tailEnd/>
        </a:ln>
      </xdr:spPr>
      <xdr:txBody>
        <a:bodyPr vertOverflow="clip" wrap="square" lIns="27432" tIns="22860" rIns="0" bIns="0" anchor="ctr" upright="1"/>
        <a:lstStyle/>
        <a:p>
          <a:pPr algn="l" rtl="0">
            <a:defRPr sz="1000"/>
          </a:pPr>
          <a:fld id="{F2115F91-8BFD-4C9B-9969-8B2C04ADF4C5}" type="TxLink">
            <a:rPr lang="en-US" sz="1100" b="0" i="0" u="none" strike="noStrike">
              <a:solidFill>
                <a:srgbClr val="000000"/>
              </a:solidFill>
              <a:latin typeface="Arial"/>
              <a:cs typeface="Arial"/>
            </a:rPr>
            <a:pPr algn="l" rtl="0">
              <a:defRPr sz="1000"/>
            </a:pPr>
            <a:t>100nF</a:t>
          </a:fld>
          <a:endParaRPr lang="en-US" sz="1100" b="0" i="0" strike="noStrike">
            <a:solidFill>
              <a:srgbClr val="000000"/>
            </a:solidFill>
            <a:latin typeface="Arial" pitchFamily="34" charset="0"/>
            <a:cs typeface="Arial" pitchFamily="34" charset="0"/>
          </a:endParaRPr>
        </a:p>
      </xdr:txBody>
    </xdr:sp>
    <xdr:clientData/>
  </xdr:twoCellAnchor>
  <xdr:twoCellAnchor>
    <xdr:from>
      <xdr:col>0</xdr:col>
      <xdr:colOff>457270</xdr:colOff>
      <xdr:row>2</xdr:row>
      <xdr:rowOff>59911</xdr:rowOff>
    </xdr:from>
    <xdr:to>
      <xdr:col>1</xdr:col>
      <xdr:colOff>331622</xdr:colOff>
      <xdr:row>5</xdr:row>
      <xdr:rowOff>32971</xdr:rowOff>
    </xdr:to>
    <xdr:sp macro="" textlink="'Variable Mgmt'!B237">
      <xdr:nvSpPr>
        <xdr:cNvPr id="85" name="Text Box 283">
          <a:extLst>
            <a:ext uri="{FF2B5EF4-FFF2-40B4-BE49-F238E27FC236}">
              <a16:creationId xmlns:a16="http://schemas.microsoft.com/office/drawing/2014/main" id="{00000000-0008-0000-0700-000055000000}"/>
            </a:ext>
          </a:extLst>
        </xdr:cNvPr>
        <xdr:cNvSpPr txBox="1">
          <a:spLocks noChangeArrowheads="1" noTextEdit="1"/>
        </xdr:cNvSpPr>
      </xdr:nvSpPr>
      <xdr:spPr bwMode="auto">
        <a:xfrm>
          <a:off x="457270" y="382296"/>
          <a:ext cx="543544" cy="456637"/>
        </a:xfrm>
        <a:prstGeom prst="rect">
          <a:avLst/>
        </a:prstGeom>
        <a:noFill/>
        <a:ln w="9525">
          <a:noFill/>
          <a:miter lim="800000"/>
          <a:headEnd/>
          <a:tailEnd/>
        </a:ln>
      </xdr:spPr>
      <xdr:txBody>
        <a:bodyPr vertOverflow="clip" wrap="square" lIns="27432" tIns="22860" rIns="0" bIns="0" anchor="ctr" upright="1"/>
        <a:lstStyle/>
        <a:p>
          <a:pPr algn="r" rtl="0">
            <a:defRPr sz="1000"/>
          </a:pPr>
          <a:fld id="{211B0151-B00E-493E-8C8F-6E492416D93B}" type="TxLink">
            <a:rPr lang="en-US" sz="1000" b="1" i="0" u="none" strike="noStrike">
              <a:solidFill>
                <a:srgbClr val="FF0000"/>
              </a:solidFill>
              <a:latin typeface="Arial" pitchFamily="34" charset="0"/>
              <a:cs typeface="Arial" pitchFamily="34" charset="0"/>
            </a:rPr>
            <a:pPr algn="r" rtl="0">
              <a:defRPr sz="1000"/>
            </a:pPr>
            <a:t>24V</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132244</xdr:colOff>
      <xdr:row>3</xdr:row>
      <xdr:rowOff>3197</xdr:rowOff>
    </xdr:from>
    <xdr:to>
      <xdr:col>7</xdr:col>
      <xdr:colOff>798638</xdr:colOff>
      <xdr:row>5</xdr:row>
      <xdr:rowOff>25976</xdr:rowOff>
    </xdr:to>
    <xdr:sp macro="" textlink="'Variable Mgmt'!B240">
      <xdr:nvSpPr>
        <xdr:cNvPr id="87" name="Text Box 285">
          <a:extLst>
            <a:ext uri="{FF2B5EF4-FFF2-40B4-BE49-F238E27FC236}">
              <a16:creationId xmlns:a16="http://schemas.microsoft.com/office/drawing/2014/main" id="{00000000-0008-0000-0700-000057000000}"/>
            </a:ext>
          </a:extLst>
        </xdr:cNvPr>
        <xdr:cNvSpPr txBox="1">
          <a:spLocks noChangeArrowheads="1" noTextEdit="1"/>
        </xdr:cNvSpPr>
      </xdr:nvSpPr>
      <xdr:spPr bwMode="auto">
        <a:xfrm>
          <a:off x="7234475" y="486774"/>
          <a:ext cx="666394" cy="345164"/>
        </a:xfrm>
        <a:prstGeom prst="rect">
          <a:avLst/>
        </a:prstGeom>
        <a:noFill/>
        <a:ln w="9525">
          <a:noFill/>
          <a:miter lim="800000"/>
          <a:headEnd/>
          <a:tailEnd/>
        </a:ln>
      </xdr:spPr>
      <xdr:txBody>
        <a:bodyPr vertOverflow="clip" wrap="square" lIns="27432" tIns="22860" rIns="0" bIns="0" anchor="ctr" upright="1"/>
        <a:lstStyle/>
        <a:p>
          <a:pPr algn="l" rtl="0">
            <a:defRPr sz="1000"/>
          </a:pPr>
          <a:fld id="{702C2B8A-7C4B-4FDB-B229-3170089D9686}" type="TxLink">
            <a:rPr lang="en-US" sz="1000" b="1" i="0" u="none" strike="noStrike" baseline="0">
              <a:solidFill>
                <a:srgbClr val="FF0000"/>
              </a:solidFill>
              <a:latin typeface="Arial" pitchFamily="34" charset="0"/>
              <a:cs typeface="Arial" pitchFamily="34" charset="0"/>
            </a:rPr>
            <a:pPr algn="l" rtl="0">
              <a:defRPr sz="1000"/>
            </a:pPr>
            <a:t>24V</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1117426</xdr:colOff>
      <xdr:row>4</xdr:row>
      <xdr:rowOff>112611</xdr:rowOff>
    </xdr:from>
    <xdr:to>
      <xdr:col>7</xdr:col>
      <xdr:colOff>541529</xdr:colOff>
      <xdr:row>6</xdr:row>
      <xdr:rowOff>93051</xdr:rowOff>
    </xdr:to>
    <xdr:sp macro="" textlink="'Variable Mgmt'!B295">
      <xdr:nvSpPr>
        <xdr:cNvPr id="88" name="Text Box 286">
          <a:extLst>
            <a:ext uri="{FF2B5EF4-FFF2-40B4-BE49-F238E27FC236}">
              <a16:creationId xmlns:a16="http://schemas.microsoft.com/office/drawing/2014/main" id="{00000000-0008-0000-0700-000058000000}"/>
            </a:ext>
          </a:extLst>
        </xdr:cNvPr>
        <xdr:cNvSpPr txBox="1">
          <a:spLocks noChangeArrowheads="1" noTextEdit="1"/>
        </xdr:cNvSpPr>
      </xdr:nvSpPr>
      <xdr:spPr bwMode="auto">
        <a:xfrm>
          <a:off x="7091311" y="757380"/>
          <a:ext cx="552449"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E0FB88FA-F39E-4ACF-AB5E-DCB628763AAE}" type="TxLink">
            <a:rPr lang="en-US" sz="1000" b="1" i="0" u="none" strike="noStrike">
              <a:solidFill>
                <a:srgbClr val="FF0000"/>
              </a:solidFill>
              <a:latin typeface="Arial" pitchFamily="34" charset="0"/>
              <a:cs typeface="Arial" pitchFamily="34" charset="0"/>
            </a:rPr>
            <a:pPr algn="ctr" rtl="0">
              <a:defRPr sz="1000"/>
            </a:pPr>
            <a:t>1A</a:t>
          </a:fld>
          <a:endParaRPr lang="en-US" sz="1000" b="1" i="0" strike="noStrike">
            <a:solidFill>
              <a:srgbClr val="FF0000"/>
            </a:solidFill>
            <a:latin typeface="Arial" pitchFamily="34" charset="0"/>
            <a:cs typeface="Arial" pitchFamily="34" charset="0"/>
          </a:endParaRPr>
        </a:p>
      </xdr:txBody>
    </xdr:sp>
    <xdr:clientData/>
  </xdr:twoCellAnchor>
  <xdr:twoCellAnchor>
    <xdr:from>
      <xdr:col>2</xdr:col>
      <xdr:colOff>217360</xdr:colOff>
      <xdr:row>7</xdr:row>
      <xdr:rowOff>99362</xdr:rowOff>
    </xdr:from>
    <xdr:to>
      <xdr:col>2</xdr:col>
      <xdr:colOff>742058</xdr:colOff>
      <xdr:row>9</xdr:row>
      <xdr:rowOff>29041</xdr:rowOff>
    </xdr:to>
    <xdr:sp macro="" textlink="'Variable Mgmt'!C269">
      <xdr:nvSpPr>
        <xdr:cNvPr id="92" name="Text Box 268">
          <a:extLst>
            <a:ext uri="{FF2B5EF4-FFF2-40B4-BE49-F238E27FC236}">
              <a16:creationId xmlns:a16="http://schemas.microsoft.com/office/drawing/2014/main" id="{00000000-0008-0000-0700-00005C000000}"/>
            </a:ext>
          </a:extLst>
        </xdr:cNvPr>
        <xdr:cNvSpPr txBox="1">
          <a:spLocks noChangeArrowheads="1" noTextEdit="1"/>
        </xdr:cNvSpPr>
      </xdr:nvSpPr>
      <xdr:spPr bwMode="auto">
        <a:xfrm>
          <a:off x="1617535" y="1232837"/>
          <a:ext cx="524698" cy="253529"/>
        </a:xfrm>
        <a:prstGeom prst="rect">
          <a:avLst/>
        </a:prstGeom>
        <a:noFill/>
        <a:ln w="9525">
          <a:noFill/>
          <a:miter lim="800000"/>
          <a:headEnd/>
          <a:tailEnd/>
        </a:ln>
      </xdr:spPr>
      <xdr:txBody>
        <a:bodyPr vertOverflow="clip" wrap="square" lIns="27432" tIns="22860" rIns="0" bIns="0" anchor="ctr" upright="1"/>
        <a:lstStyle/>
        <a:p>
          <a:pPr algn="l" rtl="0">
            <a:defRPr sz="1000"/>
          </a:pPr>
          <a:fld id="{9F0ED324-D4DC-458E-AFDF-B2BC6995B894}" type="TxLink">
            <a:rPr lang="en-US" sz="1000" b="0" i="0" u="none" strike="noStrike">
              <a:solidFill>
                <a:srgbClr val="000000"/>
              </a:solidFill>
              <a:latin typeface="Arial"/>
              <a:cs typeface="Arial"/>
            </a:rPr>
            <a:pPr algn="l" rtl="0">
              <a:defRPr sz="1000"/>
            </a:pPr>
            <a:t>348kΩ</a:t>
          </a:fld>
          <a:endParaRPr lang="el-GR" sz="1000" b="0" i="0" strike="noStrike">
            <a:solidFill>
              <a:srgbClr val="000000"/>
            </a:solidFill>
            <a:latin typeface="Arial" pitchFamily="34" charset="0"/>
            <a:cs typeface="Arial" pitchFamily="34" charset="0"/>
          </a:endParaRPr>
        </a:p>
      </xdr:txBody>
    </xdr:sp>
    <xdr:clientData/>
  </xdr:twoCellAnchor>
  <xdr:twoCellAnchor>
    <xdr:from>
      <xdr:col>2</xdr:col>
      <xdr:colOff>198310</xdr:colOff>
      <xdr:row>13</xdr:row>
      <xdr:rowOff>137646</xdr:rowOff>
    </xdr:from>
    <xdr:to>
      <xdr:col>2</xdr:col>
      <xdr:colOff>723008</xdr:colOff>
      <xdr:row>15</xdr:row>
      <xdr:rowOff>31908</xdr:rowOff>
    </xdr:to>
    <xdr:sp macro="" textlink="'Variable Mgmt'!C270">
      <xdr:nvSpPr>
        <xdr:cNvPr id="93" name="Text Box 268">
          <a:extLst>
            <a:ext uri="{FF2B5EF4-FFF2-40B4-BE49-F238E27FC236}">
              <a16:creationId xmlns:a16="http://schemas.microsoft.com/office/drawing/2014/main" id="{00000000-0008-0000-0700-00005D000000}"/>
            </a:ext>
          </a:extLst>
        </xdr:cNvPr>
        <xdr:cNvSpPr txBox="1">
          <a:spLocks noChangeArrowheads="1" noTextEdit="1"/>
        </xdr:cNvSpPr>
      </xdr:nvSpPr>
      <xdr:spPr bwMode="auto">
        <a:xfrm>
          <a:off x="1598485" y="2242671"/>
          <a:ext cx="524698" cy="218112"/>
        </a:xfrm>
        <a:prstGeom prst="rect">
          <a:avLst/>
        </a:prstGeom>
        <a:noFill/>
        <a:ln w="9525">
          <a:noFill/>
          <a:miter lim="800000"/>
          <a:headEnd/>
          <a:tailEnd/>
        </a:ln>
      </xdr:spPr>
      <xdr:txBody>
        <a:bodyPr vertOverflow="clip" wrap="square" lIns="27432" tIns="22860" rIns="0" bIns="0" anchor="ctr" upright="1"/>
        <a:lstStyle/>
        <a:p>
          <a:pPr algn="l" rtl="0">
            <a:defRPr sz="1000"/>
          </a:pPr>
          <a:fld id="{34FF5C9F-E605-45FC-B7D1-F0CC0D61FE72}" type="TxLink">
            <a:rPr lang="en-US" sz="1000" b="0" i="0" u="none" strike="noStrike">
              <a:solidFill>
                <a:srgbClr val="000000"/>
              </a:solidFill>
              <a:latin typeface="Arial"/>
              <a:cs typeface="Arial"/>
            </a:rPr>
            <a:pPr algn="l" rtl="0">
              <a:defRPr sz="1000"/>
            </a:pPr>
            <a:t>80.6kΩ</a:t>
          </a:fld>
          <a:endParaRPr lang="el-GR" sz="1000" b="0" i="0" strike="noStrike">
            <a:solidFill>
              <a:srgbClr val="000000"/>
            </a:solidFill>
            <a:latin typeface="Arial" pitchFamily="34" charset="0"/>
            <a:cs typeface="Arial" pitchFamily="34" charset="0"/>
          </a:endParaRPr>
        </a:p>
      </xdr:txBody>
    </xdr:sp>
    <xdr:clientData/>
  </xdr:twoCellAnchor>
  <xdr:twoCellAnchor>
    <xdr:from>
      <xdr:col>3</xdr:col>
      <xdr:colOff>874674</xdr:colOff>
      <xdr:row>11</xdr:row>
      <xdr:rowOff>122026</xdr:rowOff>
    </xdr:from>
    <xdr:to>
      <xdr:col>4</xdr:col>
      <xdr:colOff>38961</xdr:colOff>
      <xdr:row>13</xdr:row>
      <xdr:rowOff>43406</xdr:rowOff>
    </xdr:to>
    <xdr:sp macro="" textlink="'Variable Mgmt'!C259">
      <xdr:nvSpPr>
        <xdr:cNvPr id="94" name="Text Box 268">
          <a:extLst>
            <a:ext uri="{FF2B5EF4-FFF2-40B4-BE49-F238E27FC236}">
              <a16:creationId xmlns:a16="http://schemas.microsoft.com/office/drawing/2014/main" id="{00000000-0008-0000-0700-00005E000000}"/>
            </a:ext>
          </a:extLst>
        </xdr:cNvPr>
        <xdr:cNvSpPr txBox="1">
          <a:spLocks noChangeArrowheads="1" noTextEdit="1"/>
        </xdr:cNvSpPr>
      </xdr:nvSpPr>
      <xdr:spPr bwMode="auto">
        <a:xfrm>
          <a:off x="3282789" y="1895141"/>
          <a:ext cx="575941" cy="243765"/>
        </a:xfrm>
        <a:prstGeom prst="rect">
          <a:avLst/>
        </a:prstGeom>
        <a:noFill/>
        <a:ln w="9525">
          <a:noFill/>
          <a:miter lim="800000"/>
          <a:headEnd/>
          <a:tailEnd/>
        </a:ln>
      </xdr:spPr>
      <xdr:txBody>
        <a:bodyPr vertOverflow="clip" wrap="square" lIns="27432" tIns="22860" rIns="0" bIns="0" anchor="ctr" upright="1"/>
        <a:lstStyle/>
        <a:p>
          <a:pPr algn="l" rtl="0">
            <a:defRPr sz="1000"/>
          </a:pPr>
          <a:fld id="{748954DB-E280-498C-BC91-9439B9EC7524}" type="TxLink">
            <a:rPr lang="en-US" sz="700" b="0" i="0" u="none" strike="noStrike">
              <a:solidFill>
                <a:srgbClr val="000000"/>
              </a:solidFill>
              <a:latin typeface="Arial"/>
              <a:cs typeface="Arial"/>
            </a:rPr>
            <a:pPr algn="l" rtl="0">
              <a:defRPr sz="1000"/>
            </a:pPr>
            <a:t>163.4kΩ</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35816</xdr:colOff>
      <xdr:row>13</xdr:row>
      <xdr:rowOff>84072</xdr:rowOff>
    </xdr:from>
    <xdr:to>
      <xdr:col>2</xdr:col>
      <xdr:colOff>550300</xdr:colOff>
      <xdr:row>14</xdr:row>
      <xdr:rowOff>123568</xdr:rowOff>
    </xdr:to>
    <xdr:sp macro="" textlink="'Variable Mgmt'!C273">
      <xdr:nvSpPr>
        <xdr:cNvPr id="95" name="Text Box 265">
          <a:extLst>
            <a:ext uri="{FF2B5EF4-FFF2-40B4-BE49-F238E27FC236}">
              <a16:creationId xmlns:a16="http://schemas.microsoft.com/office/drawing/2014/main" id="{00000000-0008-0000-0700-00005F000000}"/>
            </a:ext>
          </a:extLst>
        </xdr:cNvPr>
        <xdr:cNvSpPr txBox="1">
          <a:spLocks noChangeArrowheads="1" noTextEdit="1"/>
        </xdr:cNvSpPr>
      </xdr:nvSpPr>
      <xdr:spPr bwMode="auto">
        <a:xfrm>
          <a:off x="1506085" y="2179572"/>
          <a:ext cx="514484" cy="200688"/>
        </a:xfrm>
        <a:prstGeom prst="rect">
          <a:avLst/>
        </a:prstGeom>
        <a:noFill/>
        <a:ln w="9525">
          <a:noFill/>
          <a:miter lim="800000"/>
          <a:headEnd/>
          <a:tailEnd/>
        </a:ln>
      </xdr:spPr>
      <xdr:txBody>
        <a:bodyPr vertOverflow="clip" wrap="square" lIns="27432" tIns="22860" rIns="0" bIns="0" anchor="t" upright="1"/>
        <a:lstStyle/>
        <a:p>
          <a:pPr algn="l" rtl="0">
            <a:defRPr sz="1000"/>
          </a:pPr>
          <a:fld id="{B2616B24-776D-472C-9328-875E07CFCCA9}" type="TxLink">
            <a:rPr lang="en-US" sz="700" b="0" i="0" u="none" strike="noStrike" baseline="0">
              <a:solidFill>
                <a:srgbClr val="000000"/>
              </a:solidFill>
              <a:latin typeface="Arial"/>
              <a:cs typeface="Arial"/>
            </a:rPr>
            <a:pPr algn="l" rtl="0">
              <a:defRPr sz="1000"/>
            </a:pPr>
            <a:t>10kΩ</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0</xdr:col>
      <xdr:colOff>376115</xdr:colOff>
      <xdr:row>5</xdr:row>
      <xdr:rowOff>94589</xdr:rowOff>
    </xdr:from>
    <xdr:to>
      <xdr:col>1</xdr:col>
      <xdr:colOff>490993</xdr:colOff>
      <xdr:row>7</xdr:row>
      <xdr:rowOff>60080</xdr:rowOff>
    </xdr:to>
    <xdr:sp macro="" textlink="'Variable Mgmt'!B238">
      <xdr:nvSpPr>
        <xdr:cNvPr id="96" name="Text Box 283">
          <a:extLst>
            <a:ext uri="{FF2B5EF4-FFF2-40B4-BE49-F238E27FC236}">
              <a16:creationId xmlns:a16="http://schemas.microsoft.com/office/drawing/2014/main" id="{00000000-0008-0000-0700-000060000000}"/>
            </a:ext>
          </a:extLst>
        </xdr:cNvPr>
        <xdr:cNvSpPr txBox="1">
          <a:spLocks noChangeArrowheads="1" noTextEdit="1"/>
        </xdr:cNvSpPr>
      </xdr:nvSpPr>
      <xdr:spPr bwMode="auto">
        <a:xfrm>
          <a:off x="376115" y="900551"/>
          <a:ext cx="784070" cy="287875"/>
        </a:xfrm>
        <a:prstGeom prst="rect">
          <a:avLst/>
        </a:prstGeom>
        <a:noFill/>
        <a:ln w="9525">
          <a:noFill/>
          <a:miter lim="800000"/>
          <a:headEnd/>
          <a:tailEnd/>
        </a:ln>
      </xdr:spPr>
      <xdr:txBody>
        <a:bodyPr vertOverflow="clip" wrap="square" lIns="27432" tIns="22860" rIns="0" bIns="0" anchor="t" upright="1"/>
        <a:lstStyle/>
        <a:p>
          <a:pPr algn="ctr" rtl="0">
            <a:defRPr sz="1000"/>
          </a:pPr>
          <a:fld id="{47315316-35F3-49E7-A4CE-EA42773D1FAE}" type="TxLink">
            <a:rPr lang="en-US" sz="800" b="1" i="0" u="none" strike="noStrike">
              <a:solidFill>
                <a:srgbClr val="000000"/>
              </a:solidFill>
              <a:latin typeface="Arial"/>
              <a:cs typeface="Arial"/>
            </a:rPr>
            <a:pPr algn="ctr" rtl="0">
              <a:defRPr sz="1000"/>
            </a:pPr>
            <a:t>9V...36V</a:t>
          </a:fld>
          <a:endParaRPr lang="en-US" sz="800" b="1" i="0" strike="noStrike">
            <a:solidFill>
              <a:srgbClr val="000000"/>
            </a:solidFill>
            <a:latin typeface="Arial" pitchFamily="34" charset="0"/>
            <a:cs typeface="Arial" pitchFamily="34" charset="0"/>
          </a:endParaRPr>
        </a:p>
      </xdr:txBody>
    </xdr:sp>
    <xdr:clientData/>
  </xdr:twoCellAnchor>
  <xdr:twoCellAnchor>
    <xdr:from>
      <xdr:col>4</xdr:col>
      <xdr:colOff>679229</xdr:colOff>
      <xdr:row>18</xdr:row>
      <xdr:rowOff>149860</xdr:rowOff>
    </xdr:from>
    <xdr:to>
      <xdr:col>4</xdr:col>
      <xdr:colOff>1010101</xdr:colOff>
      <xdr:row>20</xdr:row>
      <xdr:rowOff>77900</xdr:rowOff>
    </xdr:to>
    <xdr:sp macro="" textlink="'Variable Mgmt'!C265">
      <xdr:nvSpPr>
        <xdr:cNvPr id="97" name="Text Box 225">
          <a:extLst>
            <a:ext uri="{FF2B5EF4-FFF2-40B4-BE49-F238E27FC236}">
              <a16:creationId xmlns:a16="http://schemas.microsoft.com/office/drawing/2014/main" id="{00000000-0008-0000-0700-000061000000}"/>
            </a:ext>
          </a:extLst>
        </xdr:cNvPr>
        <xdr:cNvSpPr txBox="1">
          <a:spLocks noChangeArrowheads="1"/>
        </xdr:cNvSpPr>
      </xdr:nvSpPr>
      <xdr:spPr bwMode="auto">
        <a:xfrm>
          <a:off x="4317779" y="3064510"/>
          <a:ext cx="330872" cy="251890"/>
        </a:xfrm>
        <a:prstGeom prst="rect">
          <a:avLst/>
        </a:prstGeom>
        <a:noFill/>
        <a:ln w="9525">
          <a:noFill/>
          <a:miter lim="800000"/>
          <a:headEnd/>
          <a:tailEnd/>
        </a:ln>
      </xdr:spPr>
      <xdr:txBody>
        <a:bodyPr vertOverflow="clip" wrap="square" lIns="27432" tIns="27432" rIns="0" bIns="0" anchor="ctr" upright="1"/>
        <a:lstStyle/>
        <a:p>
          <a:pPr algn="l" rtl="0">
            <a:defRPr sz="1000"/>
          </a:pPr>
          <a:fld id="{C394427D-AAFB-4910-BFD4-26E4AF094E1D}" type="TxLink">
            <a:rPr lang="en-US" sz="1000" b="0" i="0" u="none" strike="noStrike">
              <a:solidFill>
                <a:srgbClr val="000000"/>
              </a:solidFill>
              <a:latin typeface="Arial"/>
              <a:cs typeface="Arial"/>
            </a:rPr>
            <a:pPr algn="l" rtl="0">
              <a:defRPr sz="1000"/>
            </a:pPr>
            <a:t>Rtc</a:t>
          </a:fld>
          <a:endParaRPr lang="en-US" sz="1100" b="0" i="0" strike="noStrike" baseline="-25000">
            <a:solidFill>
              <a:srgbClr val="000000"/>
            </a:solidFill>
            <a:latin typeface="Arial" pitchFamily="34" charset="0"/>
            <a:cs typeface="Arial" pitchFamily="34" charset="0"/>
          </a:endParaRPr>
        </a:p>
      </xdr:txBody>
    </xdr:sp>
    <xdr:clientData/>
  </xdr:twoCellAnchor>
  <xdr:twoCellAnchor>
    <xdr:from>
      <xdr:col>4</xdr:col>
      <xdr:colOff>631623</xdr:colOff>
      <xdr:row>20</xdr:row>
      <xdr:rowOff>71205</xdr:rowOff>
    </xdr:from>
    <xdr:to>
      <xdr:col>4</xdr:col>
      <xdr:colOff>1147003</xdr:colOff>
      <xdr:row>21</xdr:row>
      <xdr:rowOff>142012</xdr:rowOff>
    </xdr:to>
    <xdr:sp macro="" textlink="'Variable Mgmt'!B265">
      <xdr:nvSpPr>
        <xdr:cNvPr id="98" name="Text Box 268">
          <a:extLst>
            <a:ext uri="{FF2B5EF4-FFF2-40B4-BE49-F238E27FC236}">
              <a16:creationId xmlns:a16="http://schemas.microsoft.com/office/drawing/2014/main" id="{00000000-0008-0000-0700-000062000000}"/>
            </a:ext>
          </a:extLst>
        </xdr:cNvPr>
        <xdr:cNvSpPr txBox="1">
          <a:spLocks noChangeArrowheads="1" noTextEdit="1"/>
        </xdr:cNvSpPr>
      </xdr:nvSpPr>
      <xdr:spPr bwMode="auto">
        <a:xfrm>
          <a:off x="4270173" y="3309705"/>
          <a:ext cx="515380" cy="232732"/>
        </a:xfrm>
        <a:prstGeom prst="rect">
          <a:avLst/>
        </a:prstGeom>
        <a:noFill/>
        <a:ln w="9525">
          <a:noFill/>
          <a:miter lim="800000"/>
          <a:headEnd/>
          <a:tailEnd/>
        </a:ln>
      </xdr:spPr>
      <xdr:txBody>
        <a:bodyPr vertOverflow="clip" wrap="square" lIns="27432" tIns="22860" rIns="0" bIns="0" anchor="ctr" upright="1"/>
        <a:lstStyle/>
        <a:p>
          <a:pPr algn="l" rtl="0">
            <a:defRPr sz="1000"/>
          </a:pPr>
          <a:fld id="{35437053-6AF1-4CB6-8BC9-CEEF911045AA}" type="TxLink">
            <a:rPr lang="en-US" sz="1100" b="0" i="0" u="none" strike="noStrike">
              <a:solidFill>
                <a:srgbClr val="000000"/>
              </a:solidFill>
              <a:latin typeface="Arial"/>
              <a:cs typeface="Arial"/>
            </a:rPr>
            <a:pPr algn="l" rtl="0">
              <a:defRPr sz="1000"/>
            </a:pPr>
            <a:t>243kΩ</a:t>
          </a:fld>
          <a:endParaRPr lang="el-GR" sz="1100" b="0" i="0" strike="noStrike">
            <a:solidFill>
              <a:srgbClr val="000000"/>
            </a:solidFill>
            <a:latin typeface="Arial" pitchFamily="34" charset="0"/>
            <a:cs typeface="Arial" pitchFamily="34" charset="0"/>
          </a:endParaRPr>
        </a:p>
      </xdr:txBody>
    </xdr:sp>
    <xdr:clientData/>
  </xdr:twoCellAnchor>
  <xdr:twoCellAnchor>
    <xdr:from>
      <xdr:col>2</xdr:col>
      <xdr:colOff>237557</xdr:colOff>
      <xdr:row>6</xdr:row>
      <xdr:rowOff>57806</xdr:rowOff>
    </xdr:from>
    <xdr:to>
      <xdr:col>2</xdr:col>
      <xdr:colOff>639607</xdr:colOff>
      <xdr:row>7</xdr:row>
      <xdr:rowOff>125922</xdr:rowOff>
    </xdr:to>
    <xdr:sp macro="" textlink="'Variable Mgmt'!C268">
      <xdr:nvSpPr>
        <xdr:cNvPr id="99" name="Text Box 264">
          <a:extLst>
            <a:ext uri="{FF2B5EF4-FFF2-40B4-BE49-F238E27FC236}">
              <a16:creationId xmlns:a16="http://schemas.microsoft.com/office/drawing/2014/main" id="{00000000-0008-0000-0700-000063000000}"/>
            </a:ext>
          </a:extLst>
        </xdr:cNvPr>
        <xdr:cNvSpPr txBox="1">
          <a:spLocks noChangeArrowheads="1" noTextEdit="1"/>
        </xdr:cNvSpPr>
      </xdr:nvSpPr>
      <xdr:spPr bwMode="auto">
        <a:xfrm>
          <a:off x="1637732" y="1029356"/>
          <a:ext cx="402050" cy="230041"/>
        </a:xfrm>
        <a:prstGeom prst="rect">
          <a:avLst/>
        </a:prstGeom>
        <a:noFill/>
        <a:ln w="9525">
          <a:noFill/>
          <a:miter lim="800000"/>
          <a:headEnd/>
          <a:tailEnd/>
        </a:ln>
      </xdr:spPr>
      <xdr:txBody>
        <a:bodyPr vertOverflow="clip" wrap="square" lIns="27432" tIns="22860" rIns="0" bIns="0" anchor="ctr" upright="1"/>
        <a:lstStyle/>
        <a:p>
          <a:pPr algn="l" rtl="0">
            <a:defRPr sz="1000"/>
          </a:pPr>
          <a:fld id="{31380AD2-7EE8-49DF-ADF3-9022D781233D}" type="TxLink">
            <a:rPr lang="en-US" sz="1000" b="0" i="0" u="none" strike="noStrike" baseline="0">
              <a:solidFill>
                <a:srgbClr val="000000"/>
              </a:solidFill>
              <a:latin typeface="Arial"/>
              <a:cs typeface="Arial"/>
            </a:rPr>
            <a:pPr algn="l" rtl="0">
              <a:defRPr sz="1000"/>
            </a:pPr>
            <a:t>Ruv1</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237557</xdr:colOff>
      <xdr:row>12</xdr:row>
      <xdr:rowOff>115234</xdr:rowOff>
    </xdr:from>
    <xdr:to>
      <xdr:col>2</xdr:col>
      <xdr:colOff>661587</xdr:colOff>
      <xdr:row>13</xdr:row>
      <xdr:rowOff>135750</xdr:rowOff>
    </xdr:to>
    <xdr:sp macro="" textlink="'Variable Mgmt'!D268">
      <xdr:nvSpPr>
        <xdr:cNvPr id="100" name="Text Box 264">
          <a:extLst>
            <a:ext uri="{FF2B5EF4-FFF2-40B4-BE49-F238E27FC236}">
              <a16:creationId xmlns:a16="http://schemas.microsoft.com/office/drawing/2014/main" id="{00000000-0008-0000-0700-000064000000}"/>
            </a:ext>
          </a:extLst>
        </xdr:cNvPr>
        <xdr:cNvSpPr txBox="1">
          <a:spLocks noChangeArrowheads="1" noTextEdit="1"/>
        </xdr:cNvSpPr>
      </xdr:nvSpPr>
      <xdr:spPr bwMode="auto">
        <a:xfrm>
          <a:off x="1637732" y="2058334"/>
          <a:ext cx="424030" cy="182441"/>
        </a:xfrm>
        <a:prstGeom prst="rect">
          <a:avLst/>
        </a:prstGeom>
        <a:noFill/>
        <a:ln w="9525">
          <a:noFill/>
          <a:miter lim="800000"/>
          <a:headEnd/>
          <a:tailEnd/>
        </a:ln>
      </xdr:spPr>
      <xdr:txBody>
        <a:bodyPr vertOverflow="clip" wrap="square" lIns="27432" tIns="22860" rIns="0" bIns="0" anchor="ctr" upright="1"/>
        <a:lstStyle/>
        <a:p>
          <a:pPr algn="l" rtl="0">
            <a:defRPr sz="1000"/>
          </a:pPr>
          <a:fld id="{873432C6-E14A-45C8-BEDA-C8EFF8641C5C}" type="TxLink">
            <a:rPr lang="en-US" sz="1000" b="0" i="0" u="none" strike="noStrike" baseline="0">
              <a:solidFill>
                <a:srgbClr val="000000"/>
              </a:solidFill>
              <a:latin typeface="Arial"/>
              <a:cs typeface="Arial"/>
            </a:rPr>
            <a:pPr algn="l" rtl="0">
              <a:defRPr sz="1000"/>
            </a:pPr>
            <a:t>Ruv2</a:t>
          </a:fld>
          <a:endParaRPr lang="el-GR" sz="1000" b="0" i="0" u="none" strike="noStrike" baseline="0">
            <a:solidFill>
              <a:srgbClr val="000000"/>
            </a:solidFill>
            <a:latin typeface="Arial" pitchFamily="34" charset="0"/>
            <a:cs typeface="Arial" pitchFamily="34" charset="0"/>
          </a:endParaRPr>
        </a:p>
      </xdr:txBody>
    </xdr:sp>
    <xdr:clientData/>
  </xdr:twoCellAnchor>
  <xdr:twoCellAnchor>
    <xdr:from>
      <xdr:col>2</xdr:col>
      <xdr:colOff>216427</xdr:colOff>
      <xdr:row>20</xdr:row>
      <xdr:rowOff>331</xdr:rowOff>
    </xdr:from>
    <xdr:to>
      <xdr:col>2</xdr:col>
      <xdr:colOff>660395</xdr:colOff>
      <xdr:row>22</xdr:row>
      <xdr:rowOff>12593</xdr:rowOff>
    </xdr:to>
    <xdr:sp macro="" textlink="'Variable Mgmt'!C278">
      <xdr:nvSpPr>
        <xdr:cNvPr id="101" name="Text Box 281">
          <a:extLst>
            <a:ext uri="{FF2B5EF4-FFF2-40B4-BE49-F238E27FC236}">
              <a16:creationId xmlns:a16="http://schemas.microsoft.com/office/drawing/2014/main" id="{00000000-0008-0000-0700-000065000000}"/>
            </a:ext>
          </a:extLst>
        </xdr:cNvPr>
        <xdr:cNvSpPr txBox="1">
          <a:spLocks noChangeArrowheads="1" noTextEdit="1"/>
        </xdr:cNvSpPr>
      </xdr:nvSpPr>
      <xdr:spPr bwMode="auto">
        <a:xfrm>
          <a:off x="1616602" y="3238831"/>
          <a:ext cx="443968" cy="336112"/>
        </a:xfrm>
        <a:prstGeom prst="rect">
          <a:avLst/>
        </a:prstGeom>
        <a:noFill/>
        <a:ln w="9525">
          <a:noFill/>
          <a:miter lim="800000"/>
          <a:headEnd/>
          <a:tailEnd/>
        </a:ln>
      </xdr:spPr>
      <xdr:txBody>
        <a:bodyPr vertOverflow="clip" wrap="square" lIns="27432" tIns="22860" rIns="0" bIns="0" anchor="ctr" upright="1"/>
        <a:lstStyle/>
        <a:p>
          <a:pPr algn="l" rtl="0">
            <a:defRPr sz="1000"/>
          </a:pPr>
          <a:fld id="{B81C36CF-66FD-4734-B04F-DAE82AF849A9}" type="TxLink">
            <a:rPr lang="en-US" sz="1100" b="0" i="0" u="none" strike="noStrike">
              <a:solidFill>
                <a:srgbClr val="000000"/>
              </a:solidFill>
              <a:latin typeface="Arial"/>
              <a:cs typeface="Arial"/>
            </a:rPr>
            <a:pPr algn="l" rtl="0">
              <a:defRPr sz="1000"/>
            </a:pPr>
            <a:t>Css</a:t>
          </a:fld>
          <a:endParaRPr lang="en-US" sz="1100" b="0" i="0" strike="noStrike">
            <a:solidFill>
              <a:srgbClr val="000000"/>
            </a:solidFill>
            <a:latin typeface="Arial" pitchFamily="34" charset="0"/>
            <a:cs typeface="Arial" pitchFamily="34" charset="0"/>
          </a:endParaRPr>
        </a:p>
      </xdr:txBody>
    </xdr:sp>
    <xdr:clientData/>
  </xdr:twoCellAnchor>
  <xdr:twoCellAnchor>
    <xdr:from>
      <xdr:col>7</xdr:col>
      <xdr:colOff>288063</xdr:colOff>
      <xdr:row>11</xdr:row>
      <xdr:rowOff>136547</xdr:rowOff>
    </xdr:from>
    <xdr:to>
      <xdr:col>7</xdr:col>
      <xdr:colOff>954457</xdr:colOff>
      <xdr:row>13</xdr:row>
      <xdr:rowOff>159326</xdr:rowOff>
    </xdr:to>
    <xdr:sp macro="" textlink="'Variable Mgmt'!B241">
      <xdr:nvSpPr>
        <xdr:cNvPr id="128" name="Text Box 285">
          <a:extLst>
            <a:ext uri="{FF2B5EF4-FFF2-40B4-BE49-F238E27FC236}">
              <a16:creationId xmlns:a16="http://schemas.microsoft.com/office/drawing/2014/main" id="{00000000-0008-0000-0700-000080000000}"/>
            </a:ext>
          </a:extLst>
        </xdr:cNvPr>
        <xdr:cNvSpPr txBox="1">
          <a:spLocks noChangeArrowheads="1" noTextEdit="1"/>
        </xdr:cNvSpPr>
      </xdr:nvSpPr>
      <xdr:spPr bwMode="auto">
        <a:xfrm>
          <a:off x="7060338" y="1917722"/>
          <a:ext cx="666394" cy="346629"/>
        </a:xfrm>
        <a:prstGeom prst="rect">
          <a:avLst/>
        </a:prstGeom>
        <a:noFill/>
        <a:ln w="9525">
          <a:noFill/>
          <a:miter lim="800000"/>
          <a:headEnd/>
          <a:tailEnd/>
        </a:ln>
      </xdr:spPr>
      <xdr:txBody>
        <a:bodyPr vertOverflow="clip" wrap="square" lIns="27432" tIns="22860" rIns="0" bIns="0" anchor="ctr" upright="1"/>
        <a:lstStyle/>
        <a:p>
          <a:pPr algn="l" rtl="0">
            <a:defRPr sz="1000"/>
          </a:pPr>
          <a:fld id="{1EB32AF4-7354-4114-B6DF-5AD8FEB0166D}"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7</xdr:col>
      <xdr:colOff>133350</xdr:colOff>
      <xdr:row>13</xdr:row>
      <xdr:rowOff>74511</xdr:rowOff>
    </xdr:from>
    <xdr:to>
      <xdr:col>7</xdr:col>
      <xdr:colOff>733425</xdr:colOff>
      <xdr:row>15</xdr:row>
      <xdr:rowOff>54951</xdr:rowOff>
    </xdr:to>
    <xdr:sp macro="" textlink="'Variable Mgmt'!B296">
      <xdr:nvSpPr>
        <xdr:cNvPr id="129" name="Text Box 286">
          <a:extLst>
            <a:ext uri="{FF2B5EF4-FFF2-40B4-BE49-F238E27FC236}">
              <a16:creationId xmlns:a16="http://schemas.microsoft.com/office/drawing/2014/main" id="{00000000-0008-0000-0700-000081000000}"/>
            </a:ext>
          </a:extLst>
        </xdr:cNvPr>
        <xdr:cNvSpPr txBox="1">
          <a:spLocks noChangeArrowheads="1" noTextEdit="1"/>
        </xdr:cNvSpPr>
      </xdr:nvSpPr>
      <xdr:spPr bwMode="auto">
        <a:xfrm>
          <a:off x="6905625" y="2179536"/>
          <a:ext cx="600075" cy="304290"/>
        </a:xfrm>
        <a:prstGeom prst="rect">
          <a:avLst/>
        </a:prstGeom>
        <a:noFill/>
        <a:ln w="9525">
          <a:noFill/>
          <a:miter lim="800000"/>
          <a:headEnd/>
          <a:tailEnd/>
        </a:ln>
      </xdr:spPr>
      <xdr:txBody>
        <a:bodyPr vertOverflow="clip" wrap="square" lIns="27432" tIns="22860" rIns="0" bIns="0" anchor="ctr" upright="1"/>
        <a:lstStyle/>
        <a:p>
          <a:pPr algn="ctr" rtl="0">
            <a:defRPr sz="1000"/>
          </a:pPr>
          <a:fld id="{F430775D-5566-4B2B-9D86-4FABD1E02F13}"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7</xdr:col>
      <xdr:colOff>141769</xdr:colOff>
      <xdr:row>13</xdr:row>
      <xdr:rowOff>19072</xdr:rowOff>
    </xdr:from>
    <xdr:to>
      <xdr:col>7</xdr:col>
      <xdr:colOff>808163</xdr:colOff>
      <xdr:row>15</xdr:row>
      <xdr:rowOff>41118</xdr:rowOff>
    </xdr:to>
    <xdr:sp macro="" textlink="'Variable Mgmt'!B242">
      <xdr:nvSpPr>
        <xdr:cNvPr id="130" name="Text Box 285">
          <a:extLst>
            <a:ext uri="{FF2B5EF4-FFF2-40B4-BE49-F238E27FC236}">
              <a16:creationId xmlns:a16="http://schemas.microsoft.com/office/drawing/2014/main" id="{00000000-0008-0000-0700-000082000000}"/>
            </a:ext>
          </a:extLst>
        </xdr:cNvPr>
        <xdr:cNvSpPr txBox="1">
          <a:spLocks noChangeArrowheads="1" noTextEdit="1"/>
        </xdr:cNvSpPr>
      </xdr:nvSpPr>
      <xdr:spPr bwMode="auto">
        <a:xfrm>
          <a:off x="7244000" y="2114572"/>
          <a:ext cx="666394" cy="344431"/>
        </a:xfrm>
        <a:prstGeom prst="rect">
          <a:avLst/>
        </a:prstGeom>
        <a:noFill/>
        <a:ln w="9525">
          <a:noFill/>
          <a:miter lim="800000"/>
          <a:headEnd/>
          <a:tailEnd/>
        </a:ln>
      </xdr:spPr>
      <xdr:txBody>
        <a:bodyPr vertOverflow="clip" wrap="square" lIns="27432" tIns="22860" rIns="0" bIns="0" anchor="ctr" upright="1"/>
        <a:lstStyle/>
        <a:p>
          <a:pPr algn="l" rtl="0">
            <a:defRPr sz="1000"/>
          </a:pPr>
          <a:fld id="{6CC6AC32-C574-4CE6-AE26-39476DAD0777}" type="TxLink">
            <a:rPr lang="en-US" sz="1000" b="1" i="0" u="none" strike="noStrike" baseline="0">
              <a:solidFill>
                <a:srgbClr val="FF0000"/>
              </a:solidFill>
              <a:latin typeface="Arial"/>
              <a:cs typeface="Arial"/>
            </a:rPr>
            <a:pPr algn="l" rtl="0">
              <a:defRPr sz="1000"/>
            </a:pPr>
            <a:t> </a:t>
          </a:fld>
          <a:endParaRPr lang="en-US" sz="1000" b="1" i="0" u="none" strike="noStrike" baseline="0">
            <a:solidFill>
              <a:srgbClr val="FF0000"/>
            </a:solidFill>
            <a:latin typeface="Arial" pitchFamily="34" charset="0"/>
            <a:cs typeface="Arial" pitchFamily="34" charset="0"/>
          </a:endParaRPr>
        </a:p>
      </xdr:txBody>
    </xdr:sp>
    <xdr:clientData/>
  </xdr:twoCellAnchor>
  <xdr:twoCellAnchor>
    <xdr:from>
      <xdr:col>6</xdr:col>
      <xdr:colOff>1097443</xdr:colOff>
      <xdr:row>14</xdr:row>
      <xdr:rowOff>118229</xdr:rowOff>
    </xdr:from>
    <xdr:to>
      <xdr:col>7</xdr:col>
      <xdr:colOff>723171</xdr:colOff>
      <xdr:row>16</xdr:row>
      <xdr:rowOff>98669</xdr:rowOff>
    </xdr:to>
    <xdr:sp macro="" textlink="'Variable Mgmt'!B297">
      <xdr:nvSpPr>
        <xdr:cNvPr id="131" name="Text Box 286">
          <a:extLst>
            <a:ext uri="{FF2B5EF4-FFF2-40B4-BE49-F238E27FC236}">
              <a16:creationId xmlns:a16="http://schemas.microsoft.com/office/drawing/2014/main" id="{00000000-0008-0000-0700-000083000000}"/>
            </a:ext>
          </a:extLst>
        </xdr:cNvPr>
        <xdr:cNvSpPr txBox="1">
          <a:spLocks noChangeArrowheads="1" noTextEdit="1"/>
        </xdr:cNvSpPr>
      </xdr:nvSpPr>
      <xdr:spPr bwMode="auto">
        <a:xfrm>
          <a:off x="7071328" y="2374921"/>
          <a:ext cx="754074" cy="302825"/>
        </a:xfrm>
        <a:prstGeom prst="rect">
          <a:avLst/>
        </a:prstGeom>
        <a:noFill/>
        <a:ln w="9525">
          <a:noFill/>
          <a:miter lim="800000"/>
          <a:headEnd/>
          <a:tailEnd/>
        </a:ln>
      </xdr:spPr>
      <xdr:txBody>
        <a:bodyPr vertOverflow="clip" wrap="square" lIns="27432" tIns="22860" rIns="0" bIns="0" anchor="ctr" upright="1"/>
        <a:lstStyle/>
        <a:p>
          <a:pPr algn="ctr" rtl="0">
            <a:defRPr sz="1000"/>
          </a:pPr>
          <a:fld id="{21AE0BE5-7426-43AE-A5A8-768A4DEE6C58}" type="TxLink">
            <a:rPr lang="en-US" sz="1000" b="1" i="0" u="none" strike="noStrike">
              <a:solidFill>
                <a:srgbClr val="FF0000"/>
              </a:solidFill>
              <a:latin typeface="Arial"/>
              <a:cs typeface="Arial"/>
            </a:rPr>
            <a:pPr algn="ctr" rtl="0">
              <a:defRPr sz="1000"/>
            </a:pPr>
            <a:t> </a:t>
          </a:fld>
          <a:endParaRPr lang="en-US" sz="1000" b="1" i="0" strike="noStrike">
            <a:solidFill>
              <a:srgbClr val="FF0000"/>
            </a:solidFill>
            <a:latin typeface="Arial" pitchFamily="34" charset="0"/>
            <a:cs typeface="Arial" pitchFamily="34" charset="0"/>
          </a:endParaRPr>
        </a:p>
      </xdr:txBody>
    </xdr:sp>
    <xdr:clientData/>
  </xdr:twoCellAnchor>
  <xdr:twoCellAnchor>
    <xdr:from>
      <xdr:col>5</xdr:col>
      <xdr:colOff>417750</xdr:colOff>
      <xdr:row>12</xdr:row>
      <xdr:rowOff>106350</xdr:rowOff>
    </xdr:from>
    <xdr:to>
      <xdr:col>6</xdr:col>
      <xdr:colOff>16593</xdr:colOff>
      <xdr:row>13</xdr:row>
      <xdr:rowOff>127590</xdr:rowOff>
    </xdr:to>
    <xdr:sp macro="" textlink="'Variable Mgmt'!D245">
      <xdr:nvSpPr>
        <xdr:cNvPr id="132" name="Text Box 267">
          <a:extLst>
            <a:ext uri="{FF2B5EF4-FFF2-40B4-BE49-F238E27FC236}">
              <a16:creationId xmlns:a16="http://schemas.microsoft.com/office/drawing/2014/main" id="{00000000-0008-0000-0700-000084000000}"/>
            </a:ext>
          </a:extLst>
        </xdr:cNvPr>
        <xdr:cNvSpPr txBox="1">
          <a:spLocks noChangeArrowheads="1" noTextEdit="1"/>
        </xdr:cNvSpPr>
      </xdr:nvSpPr>
      <xdr:spPr bwMode="auto">
        <a:xfrm>
          <a:off x="5444019" y="2040658"/>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1BBBBB7F-554B-4BC8-BF86-B8FB4EA76457}"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xdr:twoCellAnchor>
    <xdr:from>
      <xdr:col>5</xdr:col>
      <xdr:colOff>398212</xdr:colOff>
      <xdr:row>15</xdr:row>
      <xdr:rowOff>113188</xdr:rowOff>
    </xdr:from>
    <xdr:to>
      <xdr:col>5</xdr:col>
      <xdr:colOff>944671</xdr:colOff>
      <xdr:row>16</xdr:row>
      <xdr:rowOff>134428</xdr:rowOff>
    </xdr:to>
    <xdr:sp macro="" textlink="'Variable Mgmt'!C245">
      <xdr:nvSpPr>
        <xdr:cNvPr id="133" name="Text Box 267">
          <a:extLst>
            <a:ext uri="{FF2B5EF4-FFF2-40B4-BE49-F238E27FC236}">
              <a16:creationId xmlns:a16="http://schemas.microsoft.com/office/drawing/2014/main" id="{00000000-0008-0000-0700-000085000000}"/>
            </a:ext>
          </a:extLst>
        </xdr:cNvPr>
        <xdr:cNvSpPr txBox="1">
          <a:spLocks noChangeArrowheads="1" noTextEdit="1"/>
        </xdr:cNvSpPr>
      </xdr:nvSpPr>
      <xdr:spPr bwMode="auto">
        <a:xfrm>
          <a:off x="5424481" y="2531073"/>
          <a:ext cx="546459" cy="182432"/>
        </a:xfrm>
        <a:prstGeom prst="rect">
          <a:avLst/>
        </a:prstGeom>
        <a:noFill/>
        <a:ln w="9525">
          <a:noFill/>
          <a:miter lim="800000"/>
          <a:headEnd/>
          <a:tailEnd/>
        </a:ln>
      </xdr:spPr>
      <xdr:txBody>
        <a:bodyPr vertOverflow="clip" wrap="square" lIns="27432" tIns="22860" rIns="0" bIns="0" anchor="ctr" upright="1"/>
        <a:lstStyle/>
        <a:p>
          <a:pPr algn="l" rtl="0">
            <a:defRPr sz="1000"/>
          </a:pPr>
          <a:fld id="{EB8BEA1C-AFA8-40F4-BE4F-A41F4D085390}" type="TxLink">
            <a:rPr lang="en-US" sz="700" b="0" i="0" u="none" strike="noStrike" baseline="0">
              <a:solidFill>
                <a:srgbClr val="000000"/>
              </a:solidFill>
              <a:latin typeface="Arial"/>
              <a:cs typeface="Arial"/>
            </a:rPr>
            <a:pPr algn="l" rtl="0">
              <a:defRPr sz="1000"/>
            </a:pPr>
            <a:t> </a:t>
          </a:fld>
          <a:endParaRPr lang="en-US" sz="700" b="0" i="0" u="none" strike="noStrike" baseline="0">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5</xdr:col>
          <xdr:colOff>895350</xdr:colOff>
          <xdr:row>32</xdr:row>
          <xdr:rowOff>12700</xdr:rowOff>
        </xdr:from>
        <xdr:to>
          <xdr:col>6</xdr:col>
          <xdr:colOff>869950</xdr:colOff>
          <xdr:row>33</xdr:row>
          <xdr:rowOff>0</xdr:rowOff>
        </xdr:to>
        <xdr:sp macro="" textlink="">
          <xdr:nvSpPr>
            <xdr:cNvPr id="706019" name="Drop Down 1507" hidden="1">
              <a:extLst>
                <a:ext uri="{63B3BB69-23CF-44E3-9099-C40C66FF867C}">
                  <a14:compatExt spid="_x0000_s706019"/>
                </a:ext>
                <a:ext uri="{FF2B5EF4-FFF2-40B4-BE49-F238E27FC236}">
                  <a16:creationId xmlns:a16="http://schemas.microsoft.com/office/drawing/2014/main" id="{00000000-0008-0000-0700-0000E3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895527</xdr:colOff>
      <xdr:row>24</xdr:row>
      <xdr:rowOff>49871</xdr:rowOff>
    </xdr:from>
    <xdr:to>
      <xdr:col>3</xdr:col>
      <xdr:colOff>280521</xdr:colOff>
      <xdr:row>25</xdr:row>
      <xdr:rowOff>121252</xdr:rowOff>
    </xdr:to>
    <xdr:sp macro="" textlink="">
      <xdr:nvSpPr>
        <xdr:cNvPr id="47" name="Text Box 244">
          <a:extLst>
            <a:ext uri="{FF2B5EF4-FFF2-40B4-BE49-F238E27FC236}">
              <a16:creationId xmlns:a16="http://schemas.microsoft.com/office/drawing/2014/main" id="{00000000-0008-0000-0700-00002F000000}"/>
            </a:ext>
          </a:extLst>
        </xdr:cNvPr>
        <xdr:cNvSpPr txBox="1">
          <a:spLocks noChangeArrowheads="1"/>
        </xdr:cNvSpPr>
      </xdr:nvSpPr>
      <xdr:spPr bwMode="auto">
        <a:xfrm>
          <a:off x="2365796" y="3918486"/>
          <a:ext cx="322840" cy="232574"/>
        </a:xfrm>
        <a:prstGeom prst="rect">
          <a:avLst/>
        </a:prstGeom>
        <a:noFill/>
        <a:ln w="9525">
          <a:noFill/>
          <a:miter lim="800000"/>
          <a:headEnd/>
          <a:tailEnd/>
        </a:ln>
      </xdr:spPr>
      <xdr:txBody>
        <a:bodyPr vertOverflow="clip" wrap="square" lIns="27432" tIns="27432" rIns="0" bIns="0" anchor="t" upright="1"/>
        <a:lstStyle/>
        <a:p>
          <a:pPr algn="l" rtl="0">
            <a:defRPr sz="1000"/>
          </a:pPr>
          <a:r>
            <a:rPr lang="en-US" sz="1100" b="0" i="0" strike="noStrike">
              <a:solidFill>
                <a:srgbClr val="000000"/>
              </a:solidFill>
              <a:latin typeface="Arial" pitchFamily="34" charset="0"/>
              <a:cs typeface="Arial" pitchFamily="34" charset="0"/>
            </a:rPr>
            <a:t>U</a:t>
          </a:r>
          <a:r>
            <a:rPr lang="en-US" sz="1100" b="0" i="0" strike="noStrike" baseline="-25000">
              <a:solidFill>
                <a:srgbClr val="000000"/>
              </a:solidFill>
              <a:latin typeface="Arial" pitchFamily="34" charset="0"/>
              <a:cs typeface="Arial" pitchFamily="34" charset="0"/>
            </a:rPr>
            <a:t>1</a:t>
          </a: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42</xdr:row>
          <xdr:rowOff>12700</xdr:rowOff>
        </xdr:from>
        <xdr:to>
          <xdr:col>6</xdr:col>
          <xdr:colOff>882650</xdr:colOff>
          <xdr:row>43</xdr:row>
          <xdr:rowOff>0</xdr:rowOff>
        </xdr:to>
        <xdr:sp macro="" textlink="">
          <xdr:nvSpPr>
            <xdr:cNvPr id="706028" name="Drop Down 1516" hidden="1">
              <a:extLst>
                <a:ext uri="{63B3BB69-23CF-44E3-9099-C40C66FF867C}">
                  <a14:compatExt spid="_x0000_s706028"/>
                </a:ext>
                <a:ext uri="{FF2B5EF4-FFF2-40B4-BE49-F238E27FC236}">
                  <a16:creationId xmlns:a16="http://schemas.microsoft.com/office/drawing/2014/main" id="{00000000-0008-0000-0700-0000ECC50A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xdr:col>
      <xdr:colOff>1328384</xdr:colOff>
      <xdr:row>2</xdr:row>
      <xdr:rowOff>124558</xdr:rowOff>
    </xdr:from>
    <xdr:to>
      <xdr:col>4</xdr:col>
      <xdr:colOff>946637</xdr:colOff>
      <xdr:row>4</xdr:row>
      <xdr:rowOff>55843</xdr:rowOff>
    </xdr:to>
    <xdr:sp macro="" textlink="'Variable Mgmt'!B233">
      <xdr:nvSpPr>
        <xdr:cNvPr id="49" name="Text Box 265">
          <a:extLst>
            <a:ext uri="{FF2B5EF4-FFF2-40B4-BE49-F238E27FC236}">
              <a16:creationId xmlns:a16="http://schemas.microsoft.com/office/drawing/2014/main" id="{00000000-0008-0000-0700-000031000000}"/>
            </a:ext>
          </a:extLst>
        </xdr:cNvPr>
        <xdr:cNvSpPr txBox="1">
          <a:spLocks noChangeArrowheads="1" noTextEdit="1"/>
        </xdr:cNvSpPr>
      </xdr:nvSpPr>
      <xdr:spPr bwMode="auto">
        <a:xfrm>
          <a:off x="3736499" y="446943"/>
          <a:ext cx="1029907" cy="253669"/>
        </a:xfrm>
        <a:prstGeom prst="rect">
          <a:avLst/>
        </a:prstGeom>
        <a:noFill/>
        <a:ln w="9525">
          <a:noFill/>
          <a:miter lim="800000"/>
          <a:headEnd/>
          <a:tailEnd/>
        </a:ln>
      </xdr:spPr>
      <xdr:txBody>
        <a:bodyPr vertOverflow="clip" wrap="square" lIns="27432" tIns="22860" rIns="0" bIns="0" anchor="t" upright="1"/>
        <a:lstStyle/>
        <a:p>
          <a:pPr algn="ctr" rtl="0">
            <a:defRPr sz="1000"/>
          </a:pPr>
          <a:fld id="{4DF3E085-FEDD-406F-9003-D894075812A3}" type="TxLink">
            <a:rPr lang="en-US" sz="700" b="0" i="0" u="none" strike="noStrike" baseline="0">
              <a:solidFill>
                <a:srgbClr val="000000"/>
              </a:solidFill>
              <a:latin typeface="Arial"/>
              <a:cs typeface="Arial"/>
            </a:rPr>
            <a:pPr algn="ctr" rtl="0">
              <a:defRPr sz="1000"/>
            </a:pPr>
            <a:t>1 : 1.5</a:t>
          </a:fld>
          <a:endParaRPr lang="el-GR" sz="700" b="0" i="0" u="none" strike="noStrike" baseline="0">
            <a:solidFill>
              <a:srgbClr val="000000"/>
            </a:solidFill>
            <a:latin typeface="Arial" pitchFamily="34" charset="0"/>
            <a:cs typeface="Arial" pitchFamily="34" charset="0"/>
          </a:endParaRPr>
        </a:p>
      </xdr:txBody>
    </xdr:sp>
    <xdr:clientData/>
  </xdr:twoCellAnchor>
  <xdr:twoCellAnchor>
    <xdr:from>
      <xdr:col>2</xdr:col>
      <xdr:colOff>212599</xdr:colOff>
      <xdr:row>18</xdr:row>
      <xdr:rowOff>21980</xdr:rowOff>
    </xdr:from>
    <xdr:to>
      <xdr:col>2</xdr:col>
      <xdr:colOff>759488</xdr:colOff>
      <xdr:row>19</xdr:row>
      <xdr:rowOff>90664</xdr:rowOff>
    </xdr:to>
    <xdr:sp macro="" textlink="'Variable Mgmt'!D309">
      <xdr:nvSpPr>
        <xdr:cNvPr id="50" name="Text Box 268">
          <a:extLst>
            <a:ext uri="{FF2B5EF4-FFF2-40B4-BE49-F238E27FC236}">
              <a16:creationId xmlns:a16="http://schemas.microsoft.com/office/drawing/2014/main" id="{00000000-0008-0000-0700-000032000000}"/>
            </a:ext>
          </a:extLst>
        </xdr:cNvPr>
        <xdr:cNvSpPr txBox="1">
          <a:spLocks noChangeArrowheads="1" noTextEdit="1"/>
        </xdr:cNvSpPr>
      </xdr:nvSpPr>
      <xdr:spPr bwMode="auto">
        <a:xfrm>
          <a:off x="1682868" y="2923442"/>
          <a:ext cx="546889" cy="229876"/>
        </a:xfrm>
        <a:prstGeom prst="rect">
          <a:avLst/>
        </a:prstGeom>
        <a:noFill/>
        <a:ln w="9525">
          <a:noFill/>
          <a:miter lim="800000"/>
          <a:headEnd/>
          <a:tailEnd/>
        </a:ln>
      </xdr:spPr>
      <xdr:txBody>
        <a:bodyPr vertOverflow="clip" wrap="square" lIns="27432" tIns="22860" rIns="0" bIns="0" anchor="ctr" upright="1"/>
        <a:lstStyle/>
        <a:p>
          <a:pPr algn="l" rtl="0">
            <a:defRPr sz="1000"/>
          </a:pPr>
          <a:fld id="{4F5B9A66-0160-41DB-924C-2BCEAAE1ECE7}" type="TxLink">
            <a:rPr lang="en-US" sz="700" b="0" i="0" u="none" strike="noStrike">
              <a:solidFill>
                <a:srgbClr val="000000"/>
              </a:solidFill>
              <a:latin typeface="Arial"/>
              <a:cs typeface="Arial"/>
            </a:rPr>
            <a:pPr algn="l" rtl="0">
              <a:defRPr sz="1000"/>
            </a:pPr>
            <a:t>37kΩ</a:t>
          </a:fld>
          <a:endParaRPr lang="el-GR" sz="700" b="0" i="0" strike="noStrike">
            <a:solidFill>
              <a:srgbClr val="000000"/>
            </a:solidFill>
            <a:latin typeface="Arial" pitchFamily="34" charset="0"/>
            <a:cs typeface="Arial" pitchFamily="34" charset="0"/>
          </a:endParaRPr>
        </a:p>
      </xdr:txBody>
    </xdr:sp>
    <xdr:clientData/>
  </xdr:twoCellAnchor>
  <xdr:twoCellAnchor>
    <xdr:from>
      <xdr:col>1</xdr:col>
      <xdr:colOff>449152</xdr:colOff>
      <xdr:row>21</xdr:row>
      <xdr:rowOff>35238</xdr:rowOff>
    </xdr:from>
    <xdr:to>
      <xdr:col>2</xdr:col>
      <xdr:colOff>194965</xdr:colOff>
      <xdr:row>22</xdr:row>
      <xdr:rowOff>103921</xdr:rowOff>
    </xdr:to>
    <xdr:sp macro="" textlink="'Variable Mgmt'!D310">
      <xdr:nvSpPr>
        <xdr:cNvPr id="51" name="Text Box 268">
          <a:extLst>
            <a:ext uri="{FF2B5EF4-FFF2-40B4-BE49-F238E27FC236}">
              <a16:creationId xmlns:a16="http://schemas.microsoft.com/office/drawing/2014/main" id="{00000000-0008-0000-0700-000033000000}"/>
            </a:ext>
          </a:extLst>
        </xdr:cNvPr>
        <xdr:cNvSpPr txBox="1">
          <a:spLocks noChangeArrowheads="1" noTextEdit="1"/>
        </xdr:cNvSpPr>
      </xdr:nvSpPr>
      <xdr:spPr bwMode="auto">
        <a:xfrm>
          <a:off x="1118344" y="3420276"/>
          <a:ext cx="546890" cy="229876"/>
        </a:xfrm>
        <a:prstGeom prst="rect">
          <a:avLst/>
        </a:prstGeom>
        <a:noFill/>
        <a:ln w="9525">
          <a:noFill/>
          <a:miter lim="800000"/>
          <a:headEnd/>
          <a:tailEnd/>
        </a:ln>
      </xdr:spPr>
      <xdr:txBody>
        <a:bodyPr vertOverflow="clip" wrap="square" lIns="27432" tIns="22860" rIns="0" bIns="0" anchor="ctr" upright="1"/>
        <a:lstStyle/>
        <a:p>
          <a:pPr algn="l" rtl="0">
            <a:defRPr sz="1000"/>
          </a:pPr>
          <a:fld id="{C56187B2-51F9-4DDC-A6CF-2BB9D128FF5E}" type="TxLink">
            <a:rPr lang="en-US" sz="700" b="0" i="0" u="none" strike="noStrike">
              <a:solidFill>
                <a:srgbClr val="000000"/>
              </a:solidFill>
              <a:latin typeface="Arial"/>
              <a:cs typeface="Arial"/>
            </a:rPr>
            <a:pPr algn="l" rtl="0">
              <a:defRPr sz="1000"/>
            </a:pPr>
            <a:t>10nF</a:t>
          </a:fld>
          <a:endParaRPr lang="el-GR" sz="700" b="0" i="0" strike="noStrike">
            <a:solidFill>
              <a:srgbClr val="000000"/>
            </a:solidFill>
            <a:latin typeface="Arial" pitchFamily="34" charset="0"/>
            <a:cs typeface="Arial" pitchFamily="34" charset="0"/>
          </a:endParaRPr>
        </a:p>
      </xdr:txBody>
    </xdr:sp>
    <xdr:clientData/>
  </xdr:twoCellAnchor>
  <xdr:twoCellAnchor>
    <xdr:from>
      <xdr:col>2</xdr:col>
      <xdr:colOff>164452</xdr:colOff>
      <xdr:row>21</xdr:row>
      <xdr:rowOff>126649</xdr:rowOff>
    </xdr:from>
    <xdr:to>
      <xdr:col>2</xdr:col>
      <xdr:colOff>711340</xdr:colOff>
      <xdr:row>23</xdr:row>
      <xdr:rowOff>34140</xdr:rowOff>
    </xdr:to>
    <xdr:sp macro="" textlink="'Variable Mgmt'!D311">
      <xdr:nvSpPr>
        <xdr:cNvPr id="52" name="Text Box 268">
          <a:extLst>
            <a:ext uri="{FF2B5EF4-FFF2-40B4-BE49-F238E27FC236}">
              <a16:creationId xmlns:a16="http://schemas.microsoft.com/office/drawing/2014/main" id="{00000000-0008-0000-0700-000034000000}"/>
            </a:ext>
          </a:extLst>
        </xdr:cNvPr>
        <xdr:cNvSpPr txBox="1">
          <a:spLocks noChangeArrowheads="1" noTextEdit="1"/>
        </xdr:cNvSpPr>
      </xdr:nvSpPr>
      <xdr:spPr bwMode="auto">
        <a:xfrm>
          <a:off x="1634721" y="3511687"/>
          <a:ext cx="546888" cy="229876"/>
        </a:xfrm>
        <a:prstGeom prst="rect">
          <a:avLst/>
        </a:prstGeom>
        <a:noFill/>
        <a:ln w="9525">
          <a:noFill/>
          <a:miter lim="800000"/>
          <a:headEnd/>
          <a:tailEnd/>
        </a:ln>
      </xdr:spPr>
      <xdr:txBody>
        <a:bodyPr vertOverflow="clip" wrap="square" lIns="27432" tIns="22860" rIns="0" bIns="0" anchor="ctr" upright="1"/>
        <a:lstStyle/>
        <a:p>
          <a:pPr algn="l" rtl="0">
            <a:defRPr sz="1000"/>
          </a:pPr>
          <a:fld id="{034E7522-50F8-4731-8BAA-BCAC1D84BE6B}" type="TxLink">
            <a:rPr lang="en-US" sz="700" b="0" i="0" u="none" strike="noStrike">
              <a:solidFill>
                <a:srgbClr val="000000"/>
              </a:solidFill>
              <a:latin typeface="Arial"/>
              <a:cs typeface="Arial"/>
            </a:rPr>
            <a:pPr algn="l" rtl="0">
              <a:defRPr sz="1000"/>
            </a:pPr>
            <a:t>72pF</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1093922</xdr:colOff>
      <xdr:row>21</xdr:row>
      <xdr:rowOff>148980</xdr:rowOff>
    </xdr:from>
    <xdr:to>
      <xdr:col>4</xdr:col>
      <xdr:colOff>229158</xdr:colOff>
      <xdr:row>22</xdr:row>
      <xdr:rowOff>144814</xdr:rowOff>
    </xdr:to>
    <xdr:sp macro="" textlink="'Variable Mgmt'!D314">
      <xdr:nvSpPr>
        <xdr:cNvPr id="53" name="Text Box 268">
          <a:extLst>
            <a:ext uri="{FF2B5EF4-FFF2-40B4-BE49-F238E27FC236}">
              <a16:creationId xmlns:a16="http://schemas.microsoft.com/office/drawing/2014/main" id="{00000000-0008-0000-0700-000035000000}"/>
            </a:ext>
          </a:extLst>
        </xdr:cNvPr>
        <xdr:cNvSpPr txBox="1">
          <a:spLocks noChangeArrowheads="1" noTextEdit="1"/>
        </xdr:cNvSpPr>
      </xdr:nvSpPr>
      <xdr:spPr bwMode="auto">
        <a:xfrm>
          <a:off x="3502037" y="3534018"/>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65E2DED1-D9B2-469F-B0E4-11382DFF520D}" type="TxLink">
            <a:rPr lang="en-US" sz="700" b="0" i="0" u="none" strike="noStrike">
              <a:solidFill>
                <a:srgbClr val="000000"/>
              </a:solidFill>
              <a:latin typeface="Arial"/>
              <a:cs typeface="Arial"/>
            </a:rPr>
            <a:pPr algn="l" rtl="0">
              <a:defRPr sz="1000"/>
            </a:pPr>
            <a:t>100pF</a:t>
          </a:fld>
          <a:endParaRPr lang="el-GR" sz="700" b="0" i="0" strike="noStrike">
            <a:solidFill>
              <a:srgbClr val="000000"/>
            </a:solidFill>
            <a:latin typeface="Arial" pitchFamily="34" charset="0"/>
            <a:cs typeface="Arial" pitchFamily="34" charset="0"/>
          </a:endParaRPr>
        </a:p>
      </xdr:txBody>
    </xdr:sp>
    <xdr:clientData/>
  </xdr:twoCellAnchor>
  <xdr:twoCellAnchor>
    <xdr:from>
      <xdr:col>4</xdr:col>
      <xdr:colOff>426125</xdr:colOff>
      <xdr:row>21</xdr:row>
      <xdr:rowOff>129442</xdr:rowOff>
    </xdr:from>
    <xdr:to>
      <xdr:col>4</xdr:col>
      <xdr:colOff>973014</xdr:colOff>
      <xdr:row>22</xdr:row>
      <xdr:rowOff>125276</xdr:rowOff>
    </xdr:to>
    <xdr:sp macro="" textlink="'Variable Mgmt'!D313">
      <xdr:nvSpPr>
        <xdr:cNvPr id="54" name="Text Box 268">
          <a:extLst>
            <a:ext uri="{FF2B5EF4-FFF2-40B4-BE49-F238E27FC236}">
              <a16:creationId xmlns:a16="http://schemas.microsoft.com/office/drawing/2014/main" id="{00000000-0008-0000-0700-000036000000}"/>
            </a:ext>
          </a:extLst>
        </xdr:cNvPr>
        <xdr:cNvSpPr txBox="1">
          <a:spLocks noChangeArrowheads="1" noTextEdit="1"/>
        </xdr:cNvSpPr>
      </xdr:nvSpPr>
      <xdr:spPr bwMode="auto">
        <a:xfrm>
          <a:off x="4245894" y="3514480"/>
          <a:ext cx="546889" cy="157027"/>
        </a:xfrm>
        <a:prstGeom prst="rect">
          <a:avLst/>
        </a:prstGeom>
        <a:noFill/>
        <a:ln w="9525">
          <a:noFill/>
          <a:miter lim="800000"/>
          <a:headEnd/>
          <a:tailEnd/>
        </a:ln>
      </xdr:spPr>
      <xdr:txBody>
        <a:bodyPr vertOverflow="clip" wrap="square" lIns="27432" tIns="22860" rIns="0" bIns="0" anchor="ctr" upright="1"/>
        <a:lstStyle/>
        <a:p>
          <a:pPr algn="l" rtl="0">
            <a:defRPr sz="1000"/>
          </a:pPr>
          <a:fld id="{D8C70A00-B4BA-4D0E-B7C0-1C653D01DC8E}" type="TxLink">
            <a:rPr lang="en-US" sz="700" b="0" i="0" u="none" strike="noStrike">
              <a:solidFill>
                <a:srgbClr val="000000"/>
              </a:solidFill>
              <a:latin typeface="Arial"/>
              <a:cs typeface="Arial"/>
            </a:rPr>
            <a:pPr algn="l" rtl="0">
              <a:defRPr sz="1000"/>
            </a:pPr>
            <a:t>9mΩ</a:t>
          </a:fld>
          <a:endParaRPr lang="el-GR" sz="700" b="0" i="0" strike="noStrike">
            <a:solidFill>
              <a:srgbClr val="000000"/>
            </a:solidFill>
            <a:latin typeface="Arial" pitchFamily="34" charset="0"/>
            <a:cs typeface="Arial" pitchFamily="34" charset="0"/>
          </a:endParaRPr>
        </a:p>
      </xdr:txBody>
    </xdr:sp>
    <xdr:clientData/>
  </xdr:twoCellAnchor>
  <xdr:twoCellAnchor>
    <xdr:from>
      <xdr:col>3</xdr:col>
      <xdr:colOff>1332569</xdr:colOff>
      <xdr:row>18</xdr:row>
      <xdr:rowOff>12210</xdr:rowOff>
    </xdr:from>
    <xdr:to>
      <xdr:col>4</xdr:col>
      <xdr:colOff>467805</xdr:colOff>
      <xdr:row>19</xdr:row>
      <xdr:rowOff>8045</xdr:rowOff>
    </xdr:to>
    <xdr:sp macro="" textlink="'Variable Mgmt'!D315">
      <xdr:nvSpPr>
        <xdr:cNvPr id="55" name="Text Box 268">
          <a:extLst>
            <a:ext uri="{FF2B5EF4-FFF2-40B4-BE49-F238E27FC236}">
              <a16:creationId xmlns:a16="http://schemas.microsoft.com/office/drawing/2014/main" id="{00000000-0008-0000-0700-000037000000}"/>
            </a:ext>
          </a:extLst>
        </xdr:cNvPr>
        <xdr:cNvSpPr txBox="1">
          <a:spLocks noChangeArrowheads="1" noTextEdit="1"/>
        </xdr:cNvSpPr>
      </xdr:nvSpPr>
      <xdr:spPr bwMode="auto">
        <a:xfrm>
          <a:off x="3740684" y="2913672"/>
          <a:ext cx="546890" cy="157027"/>
        </a:xfrm>
        <a:prstGeom prst="rect">
          <a:avLst/>
        </a:prstGeom>
        <a:noFill/>
        <a:ln w="9525">
          <a:noFill/>
          <a:miter lim="800000"/>
          <a:headEnd/>
          <a:tailEnd/>
        </a:ln>
      </xdr:spPr>
      <xdr:txBody>
        <a:bodyPr vertOverflow="clip" wrap="square" lIns="27432" tIns="22860" rIns="0" bIns="0" anchor="ctr" upright="1"/>
        <a:lstStyle/>
        <a:p>
          <a:pPr algn="l" rtl="0">
            <a:defRPr sz="1000"/>
          </a:pPr>
          <a:fld id="{BB34EA30-EAB2-4679-9155-FFBA36B17B65}" type="TxLink">
            <a:rPr lang="en-US" sz="700" b="0" i="0" u="none" strike="noStrike">
              <a:solidFill>
                <a:srgbClr val="000000"/>
              </a:solidFill>
              <a:latin typeface="Arial"/>
              <a:cs typeface="Arial"/>
            </a:rPr>
            <a:pPr algn="l" rtl="0">
              <a:defRPr sz="1000"/>
            </a:pPr>
            <a:t>100Ω</a:t>
          </a:fld>
          <a:endParaRPr lang="el-GR" sz="700" b="0" i="0" strike="noStrike">
            <a:solidFill>
              <a:srgbClr val="000000"/>
            </a:solidFill>
            <a:latin typeface="Arial" pitchFamily="34"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51</xdr:row>
          <xdr:rowOff>12700</xdr:rowOff>
        </xdr:from>
        <xdr:to>
          <xdr:col>6</xdr:col>
          <xdr:colOff>876300</xdr:colOff>
          <xdr:row>51</xdr:row>
          <xdr:rowOff>215900</xdr:rowOff>
        </xdr:to>
        <xdr:sp macro="" textlink="">
          <xdr:nvSpPr>
            <xdr:cNvPr id="764426" name="Drop Down 2570" hidden="1">
              <a:extLst>
                <a:ext uri="{63B3BB69-23CF-44E3-9099-C40C66FF867C}">
                  <a14:compatExt spid="_x0000_s764426"/>
                </a:ext>
                <a:ext uri="{FF2B5EF4-FFF2-40B4-BE49-F238E27FC236}">
                  <a16:creationId xmlns:a16="http://schemas.microsoft.com/office/drawing/2014/main" id="{00000000-0008-0000-0700-00000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52</xdr:row>
          <xdr:rowOff>12700</xdr:rowOff>
        </xdr:from>
        <xdr:to>
          <xdr:col>6</xdr:col>
          <xdr:colOff>876300</xdr:colOff>
          <xdr:row>52</xdr:row>
          <xdr:rowOff>215900</xdr:rowOff>
        </xdr:to>
        <xdr:sp macro="" textlink="">
          <xdr:nvSpPr>
            <xdr:cNvPr id="764430" name="Drop Down 2574" hidden="1">
              <a:extLst>
                <a:ext uri="{63B3BB69-23CF-44E3-9099-C40C66FF867C}">
                  <a14:compatExt spid="_x0000_s764430"/>
                </a:ext>
                <a:ext uri="{FF2B5EF4-FFF2-40B4-BE49-F238E27FC236}">
                  <a16:creationId xmlns:a16="http://schemas.microsoft.com/office/drawing/2014/main" id="{00000000-0008-0000-0700-00000E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34</xdr:row>
          <xdr:rowOff>12700</xdr:rowOff>
        </xdr:from>
        <xdr:to>
          <xdr:col>6</xdr:col>
          <xdr:colOff>882650</xdr:colOff>
          <xdr:row>35</xdr:row>
          <xdr:rowOff>0</xdr:rowOff>
        </xdr:to>
        <xdr:sp macro="" textlink="">
          <xdr:nvSpPr>
            <xdr:cNvPr id="764447" name="Drop Down 2591" hidden="1">
              <a:extLst>
                <a:ext uri="{63B3BB69-23CF-44E3-9099-C40C66FF867C}">
                  <a14:compatExt spid="_x0000_s764447"/>
                </a:ext>
                <a:ext uri="{FF2B5EF4-FFF2-40B4-BE49-F238E27FC236}">
                  <a16:creationId xmlns:a16="http://schemas.microsoft.com/office/drawing/2014/main" id="{00000000-0008-0000-0700-00001F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43</xdr:row>
          <xdr:rowOff>12700</xdr:rowOff>
        </xdr:from>
        <xdr:to>
          <xdr:col>6</xdr:col>
          <xdr:colOff>876300</xdr:colOff>
          <xdr:row>44</xdr:row>
          <xdr:rowOff>0</xdr:rowOff>
        </xdr:to>
        <xdr:sp macro="" textlink="">
          <xdr:nvSpPr>
            <xdr:cNvPr id="764451" name="Drop Down 2595" hidden="1">
              <a:extLst>
                <a:ext uri="{63B3BB69-23CF-44E3-9099-C40C66FF867C}">
                  <a14:compatExt spid="_x0000_s764451"/>
                </a:ext>
                <a:ext uri="{FF2B5EF4-FFF2-40B4-BE49-F238E27FC236}">
                  <a16:creationId xmlns:a16="http://schemas.microsoft.com/office/drawing/2014/main" id="{00000000-0008-0000-0700-000023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35</xdr:row>
          <xdr:rowOff>12700</xdr:rowOff>
        </xdr:from>
        <xdr:to>
          <xdr:col>6</xdr:col>
          <xdr:colOff>876300</xdr:colOff>
          <xdr:row>36</xdr:row>
          <xdr:rowOff>0</xdr:rowOff>
        </xdr:to>
        <xdr:sp macro="" textlink="">
          <xdr:nvSpPr>
            <xdr:cNvPr id="764454" name="Drop Down 2598" hidden="1">
              <a:extLst>
                <a:ext uri="{63B3BB69-23CF-44E3-9099-C40C66FF867C}">
                  <a14:compatExt spid="_x0000_s764454"/>
                </a:ext>
                <a:ext uri="{FF2B5EF4-FFF2-40B4-BE49-F238E27FC236}">
                  <a16:creationId xmlns:a16="http://schemas.microsoft.com/office/drawing/2014/main" id="{00000000-0008-0000-0700-000026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36</xdr:row>
          <xdr:rowOff>12700</xdr:rowOff>
        </xdr:from>
        <xdr:to>
          <xdr:col>6</xdr:col>
          <xdr:colOff>876300</xdr:colOff>
          <xdr:row>37</xdr:row>
          <xdr:rowOff>0</xdr:rowOff>
        </xdr:to>
        <xdr:sp macro="" textlink="">
          <xdr:nvSpPr>
            <xdr:cNvPr id="764455" name="Drop Down 2599" hidden="1">
              <a:extLst>
                <a:ext uri="{63B3BB69-23CF-44E3-9099-C40C66FF867C}">
                  <a14:compatExt spid="_x0000_s764455"/>
                </a:ext>
                <a:ext uri="{FF2B5EF4-FFF2-40B4-BE49-F238E27FC236}">
                  <a16:creationId xmlns:a16="http://schemas.microsoft.com/office/drawing/2014/main" id="{00000000-0008-0000-0700-000027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37</xdr:row>
          <xdr:rowOff>12700</xdr:rowOff>
        </xdr:from>
        <xdr:to>
          <xdr:col>6</xdr:col>
          <xdr:colOff>876300</xdr:colOff>
          <xdr:row>38</xdr:row>
          <xdr:rowOff>0</xdr:rowOff>
        </xdr:to>
        <xdr:sp macro="" textlink="">
          <xdr:nvSpPr>
            <xdr:cNvPr id="764456" name="Drop Down 2600" hidden="1">
              <a:extLst>
                <a:ext uri="{63B3BB69-23CF-44E3-9099-C40C66FF867C}">
                  <a14:compatExt spid="_x0000_s764456"/>
                </a:ext>
                <a:ext uri="{FF2B5EF4-FFF2-40B4-BE49-F238E27FC236}">
                  <a16:creationId xmlns:a16="http://schemas.microsoft.com/office/drawing/2014/main" id="{00000000-0008-0000-0700-000028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50</xdr:row>
          <xdr:rowOff>12700</xdr:rowOff>
        </xdr:from>
        <xdr:to>
          <xdr:col>6</xdr:col>
          <xdr:colOff>876300</xdr:colOff>
          <xdr:row>51</xdr:row>
          <xdr:rowOff>0</xdr:rowOff>
        </xdr:to>
        <xdr:sp macro="" textlink="">
          <xdr:nvSpPr>
            <xdr:cNvPr id="764458" name="Drop Down 2602" hidden="1">
              <a:extLst>
                <a:ext uri="{63B3BB69-23CF-44E3-9099-C40C66FF867C}">
                  <a14:compatExt spid="_x0000_s764458"/>
                </a:ext>
                <a:ext uri="{FF2B5EF4-FFF2-40B4-BE49-F238E27FC236}">
                  <a16:creationId xmlns:a16="http://schemas.microsoft.com/office/drawing/2014/main" id="{00000000-0008-0000-0700-00002AAA0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bwMode="auto">
        <a:noFill/>
        <a:ln w="9525">
          <a:noFill/>
          <a:miter lim="800000"/>
          <a:headEnd/>
          <a:tailEnd/>
        </a:ln>
      </a:spPr>
      <a:bodyPr vertOverflow="clip" wrap="square" lIns="27432" tIns="27432" rIns="0" bIns="0" anchor="t" upright="1"/>
      <a:lstStyle>
        <a:defPPr algn="l" rtl="0">
          <a:defRPr sz="1100" b="0" i="0" strike="noStrike">
            <a:solidFill>
              <a:srgbClr val="000000"/>
            </a:solidFill>
            <a:latin typeface="Calibri"/>
          </a:defRPr>
        </a:defPPr>
      </a:lstStyle>
    </a:tx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drawing" Target="../drawings/drawing1.xml"/><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printerSettings" Target="../printerSettings/printerSettings1.bin"/><Relationship Id="rId1" Type="http://schemas.openxmlformats.org/officeDocument/2006/relationships/hyperlink" Target="http://www.ti.com/widevin"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2.vml"/><Relationship Id="rId10" Type="http://schemas.openxmlformats.org/officeDocument/2006/relationships/ctrlProp" Target="../ctrlProps/ctrlProp5.xml"/><Relationship Id="rId4" Type="http://schemas.openxmlformats.org/officeDocument/2006/relationships/vmlDrawing" Target="../drawings/vmlDrawing1.vml"/><Relationship Id="rId9" Type="http://schemas.openxmlformats.org/officeDocument/2006/relationships/ctrlProp" Target="../ctrlProps/ctrlProp4.xml"/><Relationship Id="rId1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Gpwr_@Fco" TargetMode="External"/><Relationship Id="rId5" Type="http://schemas.openxmlformats.org/officeDocument/2006/relationships/ctrlProp" Target="../ctrlProps/ctrlProp9.xml"/><Relationship Id="rId4"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image" Target="../media/image11.emf"/><Relationship Id="rId4" Type="http://schemas.openxmlformats.org/officeDocument/2006/relationships/oleObject" Target="../embeddings/Microsoft_Visio_2003-2010_Drawing.vsd"/></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18" Type="http://schemas.openxmlformats.org/officeDocument/2006/relationships/ctrlProp" Target="../ctrlProps/ctrlProp24.xml"/><Relationship Id="rId3" Type="http://schemas.openxmlformats.org/officeDocument/2006/relationships/vmlDrawing" Target="../drawings/vmlDrawing5.vml"/><Relationship Id="rId21" Type="http://schemas.openxmlformats.org/officeDocument/2006/relationships/ctrlProp" Target="../ctrlProps/ctrlProp2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5" Type="http://schemas.openxmlformats.org/officeDocument/2006/relationships/ctrlProp" Target="../ctrlProps/ctrlProp31.xml"/><Relationship Id="rId2" Type="http://schemas.openxmlformats.org/officeDocument/2006/relationships/drawing" Target="../drawings/drawing9.xml"/><Relationship Id="rId16" Type="http://schemas.openxmlformats.org/officeDocument/2006/relationships/ctrlProp" Target="../ctrlProps/ctrlProp22.xml"/><Relationship Id="rId20"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12.xml"/><Relationship Id="rId11" Type="http://schemas.openxmlformats.org/officeDocument/2006/relationships/ctrlProp" Target="../ctrlProps/ctrlProp17.xml"/><Relationship Id="rId24" Type="http://schemas.openxmlformats.org/officeDocument/2006/relationships/ctrlProp" Target="../ctrlProps/ctrlProp30.xml"/><Relationship Id="rId5" Type="http://schemas.openxmlformats.org/officeDocument/2006/relationships/ctrlProp" Target="../ctrlProps/ctrlProp11.xml"/><Relationship Id="rId15" Type="http://schemas.openxmlformats.org/officeDocument/2006/relationships/ctrlProp" Target="../ctrlProps/ctrlProp21.xml"/><Relationship Id="rId23" Type="http://schemas.openxmlformats.org/officeDocument/2006/relationships/ctrlProp" Target="../ctrlProps/ctrlProp29.xml"/><Relationship Id="rId10" Type="http://schemas.openxmlformats.org/officeDocument/2006/relationships/ctrlProp" Target="../ctrlProps/ctrlProp16.xml"/><Relationship Id="rId19" Type="http://schemas.openxmlformats.org/officeDocument/2006/relationships/ctrlProp" Target="../ctrlProps/ctrlProp25.xml"/><Relationship Id="rId4" Type="http://schemas.openxmlformats.org/officeDocument/2006/relationships/ctrlProp" Target="../ctrlProps/ctrlProp10.xml"/><Relationship Id="rId9" Type="http://schemas.openxmlformats.org/officeDocument/2006/relationships/ctrlProp" Target="../ctrlProps/ctrlProp15.xml"/><Relationship Id="rId14" Type="http://schemas.openxmlformats.org/officeDocument/2006/relationships/ctrlProp" Target="../ctrlProps/ctrlProp20.xml"/><Relationship Id="rId22" Type="http://schemas.openxmlformats.org/officeDocument/2006/relationships/ctrlProp" Target="../ctrlProps/ctrlProp2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sheetPr>
  <dimension ref="A1:AI92"/>
  <sheetViews>
    <sheetView tabSelected="1" topLeftCell="A26" zoomScale="115" zoomScaleNormal="115" zoomScaleSheetLayoutView="70" zoomScalePageLayoutView="10" workbookViewId="0">
      <selection activeCell="E73" sqref="E73"/>
    </sheetView>
  </sheetViews>
  <sheetFormatPr defaultColWidth="9.1796875" defaultRowHeight="13"/>
  <cols>
    <col min="1" max="1" width="8.26953125" style="107" customWidth="1"/>
    <col min="2" max="2" width="8.26953125" style="46" customWidth="1"/>
    <col min="3" max="3" width="13.54296875" style="46" customWidth="1"/>
    <col min="4" max="4" width="9.81640625" style="46" customWidth="1"/>
    <col min="5" max="5" width="9.1796875" style="46" customWidth="1"/>
    <col min="6" max="6" width="8.7265625" style="46" customWidth="1"/>
    <col min="7" max="7" width="2.7265625" style="46" customWidth="1"/>
    <col min="8" max="9" width="8.26953125" style="46" customWidth="1"/>
    <col min="10" max="10" width="13.7265625" style="46" customWidth="1"/>
    <col min="11" max="11" width="10" style="46" customWidth="1"/>
    <col min="12" max="12" width="9.453125" style="46" customWidth="1"/>
    <col min="13" max="13" width="8.7265625" style="46" customWidth="1"/>
    <col min="14" max="14" width="2.7265625" style="46" customWidth="1"/>
    <col min="15" max="15" width="9.1796875" style="46"/>
    <col min="16" max="18" width="10.1796875" style="46" customWidth="1"/>
    <col min="19" max="19" width="10" style="46" bestFit="1" customWidth="1"/>
    <col min="20" max="25" width="9.1796875" style="46"/>
    <col min="26" max="26" width="29.6328125" style="46" customWidth="1"/>
    <col min="27" max="27" width="3.1796875" style="46" customWidth="1"/>
    <col min="28" max="16384" width="9.1796875" style="46"/>
  </cols>
  <sheetData>
    <row r="1" spans="1:27" ht="47.25" customHeight="1">
      <c r="A1" s="516" t="s">
        <v>831</v>
      </c>
      <c r="B1" s="514"/>
      <c r="C1" s="514"/>
      <c r="D1" s="514"/>
      <c r="E1" s="514"/>
      <c r="F1" s="514"/>
      <c r="G1" s="514"/>
      <c r="H1" s="514"/>
      <c r="I1" s="514"/>
      <c r="J1" s="514"/>
      <c r="K1" s="514"/>
      <c r="L1" s="514"/>
      <c r="M1" s="514"/>
      <c r="N1" s="514"/>
      <c r="O1" s="514"/>
      <c r="P1" s="514"/>
      <c r="Q1" s="514"/>
      <c r="R1" s="515"/>
      <c r="S1" s="515"/>
      <c r="T1" s="515"/>
      <c r="U1" s="515"/>
      <c r="V1" s="417"/>
      <c r="W1" s="417"/>
      <c r="X1" s="417"/>
      <c r="Y1" s="417"/>
      <c r="Z1" s="417"/>
      <c r="AA1" s="417"/>
    </row>
    <row r="2" spans="1:27" ht="14.15" customHeight="1">
      <c r="A2" s="398"/>
      <c r="B2" s="399"/>
      <c r="C2" s="399"/>
      <c r="D2" s="399"/>
      <c r="E2" s="399"/>
      <c r="F2" s="399"/>
      <c r="G2" s="399"/>
      <c r="H2" s="399"/>
      <c r="I2" s="399"/>
      <c r="J2" s="399"/>
      <c r="K2" s="399"/>
      <c r="L2" s="399"/>
      <c r="M2" s="399"/>
      <c r="N2" s="399"/>
      <c r="O2" s="412"/>
      <c r="P2" s="399"/>
      <c r="Q2" s="399"/>
      <c r="R2" s="407"/>
      <c r="S2" s="500"/>
      <c r="T2" s="500"/>
      <c r="U2" s="500"/>
      <c r="V2" s="500"/>
      <c r="W2" s="500"/>
      <c r="X2" s="500"/>
      <c r="Y2" s="500"/>
      <c r="Z2" s="500"/>
      <c r="AA2" s="500"/>
    </row>
    <row r="3" spans="1:27" ht="16" customHeight="1">
      <c r="A3" s="400" t="s">
        <v>105</v>
      </c>
      <c r="B3" s="401"/>
      <c r="C3" s="413" t="s">
        <v>106</v>
      </c>
      <c r="D3" s="402"/>
      <c r="E3" s="83"/>
      <c r="F3" s="404" t="s">
        <v>59</v>
      </c>
      <c r="G3" s="403"/>
      <c r="H3" s="399"/>
      <c r="I3" s="399"/>
      <c r="J3" s="403"/>
      <c r="K3" s="405"/>
      <c r="L3" s="406"/>
      <c r="M3" s="407"/>
      <c r="N3" s="407"/>
      <c r="O3" s="500"/>
      <c r="P3" s="1"/>
      <c r="Q3" s="407" t="s">
        <v>77</v>
      </c>
      <c r="R3" s="407"/>
      <c r="S3" s="500"/>
      <c r="T3" s="500"/>
      <c r="U3" s="517" t="s">
        <v>315</v>
      </c>
      <c r="V3" s="500"/>
      <c r="W3" s="500"/>
      <c r="X3" s="500"/>
      <c r="Y3" s="500"/>
      <c r="Z3" s="500"/>
      <c r="AA3" s="500"/>
    </row>
    <row r="4" spans="1:27" ht="14.15" customHeight="1" thickBot="1">
      <c r="A4" s="408"/>
      <c r="B4" s="409"/>
      <c r="C4" s="410"/>
      <c r="D4" s="410"/>
      <c r="E4" s="410"/>
      <c r="F4" s="410"/>
      <c r="G4" s="410"/>
      <c r="H4" s="410"/>
      <c r="I4" s="410"/>
      <c r="J4" s="410"/>
      <c r="K4" s="410"/>
      <c r="L4" s="410"/>
      <c r="M4" s="411"/>
      <c r="N4" s="411"/>
      <c r="O4" s="411"/>
      <c r="P4" s="411"/>
      <c r="Q4" s="411"/>
      <c r="R4" s="407"/>
      <c r="S4" s="500"/>
      <c r="T4" s="500"/>
      <c r="U4" s="500"/>
      <c r="V4" s="500"/>
      <c r="W4" s="500"/>
      <c r="X4" s="500"/>
      <c r="Y4" s="500"/>
      <c r="Z4" s="500"/>
      <c r="AA4" s="500"/>
    </row>
    <row r="5" spans="1:27" ht="19.5" customHeight="1" thickBot="1">
      <c r="A5" s="106" t="s">
        <v>101</v>
      </c>
      <c r="B5" s="81"/>
      <c r="C5" s="47"/>
      <c r="D5" s="47"/>
      <c r="E5" s="48"/>
      <c r="F5" s="47"/>
      <c r="G5" s="72"/>
      <c r="H5" s="583" t="s">
        <v>360</v>
      </c>
      <c r="I5" s="92"/>
      <c r="J5" s="93"/>
      <c r="K5" s="93"/>
      <c r="L5" s="94"/>
      <c r="M5" s="356"/>
      <c r="N5" s="49"/>
      <c r="O5" s="49"/>
      <c r="P5" s="49"/>
      <c r="Q5" s="49"/>
      <c r="R5" s="501"/>
      <c r="S5" s="501"/>
      <c r="T5" s="501"/>
      <c r="U5" s="501"/>
      <c r="V5" s="501"/>
      <c r="W5" s="501"/>
      <c r="X5" s="501"/>
      <c r="Y5" s="501"/>
      <c r="Z5" s="505"/>
      <c r="AA5" s="500"/>
    </row>
    <row r="6" spans="1:27" ht="15.75" customHeight="1">
      <c r="A6" s="454"/>
      <c r="B6" s="508"/>
      <c r="C6" s="206"/>
      <c r="D6" s="788" t="s">
        <v>367</v>
      </c>
      <c r="E6" s="728">
        <v>9</v>
      </c>
      <c r="F6" s="789" t="s">
        <v>0</v>
      </c>
      <c r="G6" s="90"/>
      <c r="H6" s="454"/>
      <c r="I6" s="508"/>
      <c r="J6" s="206"/>
      <c r="K6" s="509" t="s">
        <v>835</v>
      </c>
      <c r="L6" s="785">
        <f>Lmin</f>
        <v>7.9527117747302301</v>
      </c>
      <c r="M6" s="624" t="s">
        <v>96</v>
      </c>
      <c r="N6" s="49"/>
      <c r="O6" s="49"/>
      <c r="P6" s="49"/>
      <c r="Q6" s="49"/>
      <c r="R6" s="82"/>
      <c r="S6" s="82"/>
      <c r="T6" s="75"/>
      <c r="U6" s="75"/>
      <c r="V6" s="75"/>
      <c r="W6" s="75"/>
      <c r="X6" s="75"/>
      <c r="Y6" s="75"/>
      <c r="Z6" s="506"/>
      <c r="AA6" s="500"/>
    </row>
    <row r="7" spans="1:27" ht="14.25" customHeight="1">
      <c r="A7" s="134"/>
      <c r="B7" s="133"/>
      <c r="C7" s="845"/>
      <c r="D7" s="846" t="s">
        <v>882</v>
      </c>
      <c r="E7" s="143">
        <v>24</v>
      </c>
      <c r="F7" s="427" t="s">
        <v>0</v>
      </c>
      <c r="G7" s="90"/>
      <c r="H7" s="88"/>
      <c r="I7" s="89"/>
      <c r="J7" s="87"/>
      <c r="K7" s="100" t="s">
        <v>836</v>
      </c>
      <c r="L7" s="143">
        <v>10</v>
      </c>
      <c r="M7" s="427" t="s">
        <v>96</v>
      </c>
      <c r="N7" s="49"/>
      <c r="O7" s="49"/>
      <c r="P7" s="49"/>
      <c r="Q7" s="49"/>
      <c r="R7" s="82"/>
      <c r="S7" s="82"/>
      <c r="T7" s="75"/>
      <c r="U7" s="75"/>
      <c r="V7" s="75"/>
      <c r="W7" s="75"/>
      <c r="X7" s="75"/>
      <c r="Y7" s="75"/>
      <c r="Z7" s="506"/>
      <c r="AA7" s="500"/>
    </row>
    <row r="8" spans="1:27" ht="15.75" customHeight="1">
      <c r="A8" s="134"/>
      <c r="B8" s="133"/>
      <c r="C8" s="135"/>
      <c r="D8" s="142" t="s">
        <v>368</v>
      </c>
      <c r="E8" s="143">
        <v>36</v>
      </c>
      <c r="F8" s="427" t="s">
        <v>0</v>
      </c>
      <c r="G8" s="90"/>
      <c r="H8" s="88"/>
      <c r="I8" s="89"/>
      <c r="J8" s="87"/>
      <c r="K8" s="100" t="s">
        <v>525</v>
      </c>
      <c r="L8" s="143">
        <v>30</v>
      </c>
      <c r="M8" s="427" t="s">
        <v>20</v>
      </c>
      <c r="N8" s="49"/>
      <c r="O8" s="49"/>
      <c r="P8" s="49"/>
      <c r="Q8" s="49"/>
      <c r="R8" s="82"/>
      <c r="S8" s="82"/>
      <c r="T8" s="75"/>
      <c r="U8" s="75"/>
      <c r="V8" s="75"/>
      <c r="W8" s="75"/>
      <c r="X8" s="75"/>
      <c r="Y8" s="75"/>
      <c r="Z8" s="506"/>
      <c r="AA8" s="500"/>
    </row>
    <row r="9" spans="1:27" ht="15.75" customHeight="1">
      <c r="A9" s="134"/>
      <c r="B9" s="133"/>
      <c r="C9" s="135"/>
      <c r="D9" s="142" t="s">
        <v>366</v>
      </c>
      <c r="E9" s="581">
        <v>32</v>
      </c>
      <c r="F9" s="144"/>
      <c r="G9" s="90"/>
      <c r="H9" s="88"/>
      <c r="I9" s="89"/>
      <c r="J9" s="87"/>
      <c r="K9" s="100" t="str">
        <f>CHOOSE(MODE, "Secondary Winding DCR", "Secondary Winding #1 DCR")</f>
        <v>Secondary Winding DCR</v>
      </c>
      <c r="L9" s="143">
        <v>30</v>
      </c>
      <c r="M9" s="427" t="s">
        <v>20</v>
      </c>
      <c r="N9" s="49"/>
      <c r="O9" s="49"/>
      <c r="P9" s="49"/>
      <c r="Q9" s="49"/>
      <c r="R9" s="82"/>
      <c r="S9" s="82"/>
      <c r="T9" s="75"/>
      <c r="U9" s="75"/>
      <c r="V9" s="75"/>
      <c r="W9" s="75"/>
      <c r="X9" s="75"/>
      <c r="Y9" s="75"/>
      <c r="Z9" s="506"/>
      <c r="AA9" s="500"/>
    </row>
    <row r="10" spans="1:27" ht="15.75" customHeight="1">
      <c r="A10" s="134"/>
      <c r="B10" s="133"/>
      <c r="C10" s="135"/>
      <c r="D10" s="142" t="str">
        <f>CHOOSE(MODE, "Output Voltage, VOUT ", "Output Voltage, VOUT1")</f>
        <v xml:space="preserve">Output Voltage, VOUT </v>
      </c>
      <c r="E10" s="143">
        <v>24</v>
      </c>
      <c r="F10" s="427" t="s">
        <v>0</v>
      </c>
      <c r="G10" s="90"/>
      <c r="H10" s="88"/>
      <c r="I10" s="89"/>
      <c r="J10" s="87"/>
      <c r="K10" s="100" t="str">
        <f>CHOOSE(MODE, "", "Secondary Winding #2 DCR")</f>
        <v/>
      </c>
      <c r="L10" s="143">
        <v>5</v>
      </c>
      <c r="M10" s="427" t="str">
        <f>CHOOSE(MODE, "", "mΩ")</f>
        <v/>
      </c>
      <c r="N10" s="49"/>
      <c r="O10" s="49"/>
      <c r="P10" s="49"/>
      <c r="Q10" s="49"/>
      <c r="R10" s="82"/>
      <c r="S10" s="82"/>
      <c r="T10" s="75"/>
      <c r="U10" s="75"/>
      <c r="V10" s="75"/>
      <c r="W10" s="75"/>
      <c r="X10" s="75"/>
      <c r="Y10" s="75"/>
      <c r="Z10" s="506"/>
      <c r="AA10" s="500"/>
    </row>
    <row r="11" spans="1:27" ht="15.75" customHeight="1" thickBot="1">
      <c r="A11" s="787"/>
      <c r="B11" s="151"/>
      <c r="C11" s="507"/>
      <c r="D11" s="510" t="str">
        <f>CHOOSE(MODE, "Rated Output Current, IOUT ", "Rated Output Current, IOUT1")</f>
        <v xml:space="preserve">Rated Output Current, IOUT </v>
      </c>
      <c r="E11" s="511">
        <v>1</v>
      </c>
      <c r="F11" s="730" t="s">
        <v>1</v>
      </c>
      <c r="G11" s="90"/>
      <c r="H11" s="88"/>
      <c r="I11" s="75"/>
      <c r="J11" s="75"/>
      <c r="K11" s="100" t="s">
        <v>663</v>
      </c>
      <c r="L11" s="143">
        <v>400</v>
      </c>
      <c r="M11" s="427" t="s">
        <v>662</v>
      </c>
      <c r="N11" s="49"/>
      <c r="O11" s="49"/>
      <c r="P11" s="49"/>
      <c r="Q11" s="49"/>
      <c r="R11" s="82"/>
      <c r="S11" s="82"/>
      <c r="T11" s="75"/>
      <c r="U11" s="75"/>
      <c r="V11" s="75"/>
      <c r="W11" s="75"/>
      <c r="X11" s="75"/>
      <c r="Y11" s="75"/>
      <c r="Z11" s="506"/>
      <c r="AA11" s="500"/>
    </row>
    <row r="12" spans="1:27" ht="15.75" customHeight="1">
      <c r="A12" s="425"/>
      <c r="B12" s="82"/>
      <c r="C12" s="82"/>
      <c r="D12" s="142" t="str">
        <f>CHOOSE(MODE, "", "Output Voltage, VOUT2")</f>
        <v/>
      </c>
      <c r="E12" s="143">
        <v>18</v>
      </c>
      <c r="F12" s="427" t="str">
        <f>CHOOSE(MODE, "", "V", "V")</f>
        <v/>
      </c>
      <c r="G12" s="90"/>
      <c r="H12" s="134"/>
      <c r="I12" s="133"/>
      <c r="J12" s="600"/>
      <c r="K12" s="135" t="s">
        <v>843</v>
      </c>
      <c r="L12" s="780" t="str">
        <f>"1 : "&amp;(ROUND(1/ktr_rcmd*100,0)/100)</f>
        <v>1 : 1.5</v>
      </c>
      <c r="M12" s="626"/>
      <c r="N12" s="49"/>
      <c r="O12" s="49"/>
      <c r="P12" s="49"/>
      <c r="Q12" s="49"/>
      <c r="R12" s="82"/>
      <c r="S12" s="82"/>
      <c r="T12" s="75"/>
      <c r="U12" s="75"/>
      <c r="V12" s="75"/>
      <c r="W12" s="75"/>
      <c r="X12" s="75"/>
      <c r="Y12" s="75"/>
      <c r="Z12" s="506"/>
      <c r="AA12" s="500"/>
    </row>
    <row r="13" spans="1:27" ht="15.75" customHeight="1" thickBot="1">
      <c r="A13" s="787"/>
      <c r="B13" s="151"/>
      <c r="C13" s="507"/>
      <c r="D13" s="510" t="str">
        <f>CHOOSE(MODE, "", "Rated Output Current, IOUT2")</f>
        <v/>
      </c>
      <c r="E13" s="511">
        <v>0.1</v>
      </c>
      <c r="F13" s="730" t="str">
        <f>CHOOSE(MODE, "", "A", "A")</f>
        <v/>
      </c>
      <c r="G13" s="90"/>
      <c r="H13" s="88"/>
      <c r="I13" s="89"/>
      <c r="J13" s="87"/>
      <c r="K13" s="86" t="str">
        <f>IF(MODE=1, "Transformer Turns Ratio, Pri : Sec", "Turns Ratio, PRI : SEC1")</f>
        <v>Transformer Turns Ratio, Pri : Sec</v>
      </c>
      <c r="L13" s="432"/>
      <c r="M13" s="453"/>
      <c r="N13" s="49"/>
      <c r="O13" s="49"/>
      <c r="P13" s="49"/>
      <c r="Q13" s="49"/>
      <c r="R13" s="82"/>
      <c r="S13" s="82"/>
      <c r="T13" s="75"/>
      <c r="U13" s="75"/>
      <c r="V13" s="75"/>
      <c r="W13" s="75"/>
      <c r="X13" s="75"/>
      <c r="Y13" s="75"/>
      <c r="Z13" s="506"/>
      <c r="AA13" s="500"/>
    </row>
    <row r="14" spans="1:27" ht="15.75" customHeight="1">
      <c r="A14" s="133"/>
      <c r="B14" s="133"/>
      <c r="C14" s="135"/>
      <c r="D14" s="142"/>
      <c r="E14" s="94"/>
      <c r="F14" s="757"/>
      <c r="G14" s="90"/>
      <c r="H14" s="134"/>
      <c r="I14" s="133"/>
      <c r="J14" s="135"/>
      <c r="K14" s="87" t="str">
        <f>CHOOSE(MODE, "Diode Max Rev Voltage (Spike Not Included)", "Turns Ratio, SEC2 : SEC1")</f>
        <v>Diode Max Rev Voltage (Spike Not Included)</v>
      </c>
      <c r="L14" s="622">
        <f>CHOOSE(MODE, ROUND(VRRM_DIODE,0), ROUND(Nsec1sec2,2))</f>
        <v>78</v>
      </c>
      <c r="M14" s="453" t="str">
        <f>CHOOSE(MODE, "V", "")</f>
        <v>V</v>
      </c>
      <c r="N14" s="49"/>
      <c r="O14" s="49"/>
      <c r="P14" s="49"/>
      <c r="Q14" s="49"/>
      <c r="R14" s="82"/>
      <c r="S14" s="82"/>
      <c r="T14" s="75"/>
      <c r="U14" s="75"/>
      <c r="V14" s="75"/>
      <c r="W14" s="75"/>
      <c r="X14" s="75"/>
      <c r="Y14" s="75"/>
      <c r="Z14" s="506"/>
      <c r="AA14" s="500"/>
    </row>
    <row r="15" spans="1:27" ht="15.75" customHeight="1" thickBot="1">
      <c r="A15" s="758" t="s">
        <v>873</v>
      </c>
      <c r="B15" s="49"/>
      <c r="C15" s="49"/>
      <c r="D15" s="87"/>
      <c r="E15" s="49"/>
      <c r="F15" s="89"/>
      <c r="G15" s="90"/>
      <c r="H15" s="134"/>
      <c r="I15" s="133"/>
      <c r="J15" s="600"/>
      <c r="K15" s="135" t="s">
        <v>658</v>
      </c>
      <c r="L15" s="780">
        <f>CHOOSE(MODE, 'Calculations - Single'!M212, 'Calculations - Dual'!N212)*100</f>
        <v>65.628945138596478</v>
      </c>
      <c r="M15" s="626" t="s">
        <v>659</v>
      </c>
      <c r="N15" s="49"/>
      <c r="O15" s="49"/>
      <c r="P15" s="49"/>
      <c r="Q15" s="49"/>
      <c r="R15" s="82"/>
      <c r="S15" s="82"/>
      <c r="T15" s="75"/>
      <c r="U15" s="75"/>
      <c r="V15" s="75"/>
      <c r="W15" s="75"/>
      <c r="X15" s="75"/>
      <c r="Y15" s="75"/>
      <c r="Z15" s="506"/>
      <c r="AA15" s="500"/>
    </row>
    <row r="16" spans="1:27" ht="15.75" customHeight="1" thickBot="1">
      <c r="A16" s="422"/>
      <c r="B16" s="584"/>
      <c r="C16" s="584"/>
      <c r="D16" s="509" t="s">
        <v>847</v>
      </c>
      <c r="E16" s="786">
        <f>RCSmin*1000</f>
        <v>10.075802044077902</v>
      </c>
      <c r="F16" s="729" t="s">
        <v>20</v>
      </c>
      <c r="G16" s="90"/>
      <c r="H16" s="601"/>
      <c r="I16" s="504"/>
      <c r="J16" s="104"/>
      <c r="K16" s="507" t="s">
        <v>605</v>
      </c>
      <c r="L16" s="628">
        <f>CHOOSE(MODE, 'Calculations - Single'!N212,'Calculations - Dual'!O212+'Calculations - Dual'!P212)</f>
        <v>31.425209069160488</v>
      </c>
      <c r="M16" s="627" t="s">
        <v>45</v>
      </c>
      <c r="N16" s="49"/>
      <c r="O16" s="49"/>
      <c r="P16" s="49"/>
      <c r="Q16" s="49"/>
      <c r="R16" s="82"/>
      <c r="S16" s="82"/>
      <c r="T16" s="75"/>
      <c r="U16" s="75"/>
      <c r="V16" s="75"/>
      <c r="W16" s="75"/>
      <c r="X16" s="75"/>
      <c r="Y16" s="75"/>
      <c r="Z16" s="506"/>
      <c r="AA16" s="500"/>
    </row>
    <row r="17" spans="1:27" ht="15.75" customHeight="1" thickBot="1">
      <c r="A17" s="88"/>
      <c r="B17" s="49"/>
      <c r="C17" s="49"/>
      <c r="D17" s="100" t="s">
        <v>772</v>
      </c>
      <c r="E17" s="150">
        <v>9</v>
      </c>
      <c r="F17" s="427" t="s">
        <v>20</v>
      </c>
      <c r="G17" s="91"/>
      <c r="H17" s="82"/>
      <c r="I17" s="82"/>
      <c r="J17" s="82"/>
      <c r="K17" s="82"/>
      <c r="L17" s="82"/>
      <c r="M17" s="82"/>
      <c r="N17" s="49"/>
      <c r="O17" s="49"/>
      <c r="P17" s="49"/>
      <c r="Q17" s="49"/>
      <c r="R17" s="82"/>
      <c r="S17" s="82"/>
      <c r="T17" s="75"/>
      <c r="U17" s="75"/>
      <c r="V17" s="75"/>
      <c r="W17" s="75"/>
      <c r="X17" s="75"/>
      <c r="Y17" s="75"/>
      <c r="Z17" s="506"/>
      <c r="AA17" s="500"/>
    </row>
    <row r="18" spans="1:27" ht="15.75" customHeight="1">
      <c r="A18" s="106"/>
      <c r="B18" s="92"/>
      <c r="C18" s="790"/>
      <c r="D18" s="87" t="s">
        <v>795</v>
      </c>
      <c r="E18" s="791">
        <f>Isw_max</f>
        <v>11.111111111111111</v>
      </c>
      <c r="F18" s="453" t="s">
        <v>1</v>
      </c>
      <c r="G18" s="586"/>
      <c r="H18" s="799"/>
      <c r="I18" s="584"/>
      <c r="J18" s="575"/>
      <c r="K18" s="509" t="s">
        <v>871</v>
      </c>
      <c r="L18" s="575">
        <v>100</v>
      </c>
      <c r="M18" s="815" t="s">
        <v>136</v>
      </c>
      <c r="N18" s="49"/>
      <c r="O18" s="49"/>
      <c r="P18" s="49"/>
      <c r="Q18" s="49"/>
      <c r="R18" s="82"/>
      <c r="S18" s="82"/>
      <c r="T18" s="75"/>
      <c r="U18" s="75"/>
      <c r="V18" s="75"/>
      <c r="W18" s="75"/>
      <c r="X18" s="75"/>
      <c r="Y18" s="75"/>
      <c r="Z18" s="506"/>
      <c r="AA18" s="500"/>
    </row>
    <row r="19" spans="1:27" ht="19.5" customHeight="1" thickBot="1">
      <c r="A19" s="753"/>
      <c r="B19" s="792"/>
      <c r="C19" s="793"/>
      <c r="D19" s="794" t="s">
        <v>844</v>
      </c>
      <c r="E19" s="795">
        <f>IF(MODE, RCS*'Calculations - Single'!BD210^2, RCS*'Calculations - Dual'!BA210^2)*1.21</f>
        <v>175.10760522814297</v>
      </c>
      <c r="F19" s="796" t="s">
        <v>293</v>
      </c>
      <c r="G19" s="587"/>
      <c r="H19" s="806"/>
      <c r="I19" s="503"/>
      <c r="J19" s="560"/>
      <c r="K19" s="208" t="s">
        <v>872</v>
      </c>
      <c r="L19" s="560">
        <v>100</v>
      </c>
      <c r="M19" s="816" t="s">
        <v>15</v>
      </c>
      <c r="N19" s="49"/>
      <c r="O19" s="49"/>
      <c r="P19" s="49"/>
      <c r="Q19" s="49"/>
      <c r="R19" s="82"/>
      <c r="S19" s="82"/>
      <c r="T19" s="75"/>
      <c r="U19" s="75"/>
      <c r="V19" s="75"/>
      <c r="W19" s="75"/>
      <c r="X19" s="75"/>
      <c r="Y19" s="75"/>
      <c r="Z19" s="506"/>
      <c r="AA19" s="500"/>
    </row>
    <row r="20" spans="1:27" ht="19.5" customHeight="1">
      <c r="A20" s="75"/>
      <c r="B20" s="92"/>
      <c r="C20" s="93"/>
      <c r="D20" s="93"/>
      <c r="E20" s="94"/>
      <c r="F20" s="93"/>
      <c r="G20" s="90"/>
      <c r="H20" s="82"/>
      <c r="I20" s="82"/>
      <c r="J20" s="82"/>
      <c r="K20" s="82"/>
      <c r="L20" s="82"/>
      <c r="M20" s="82"/>
      <c r="N20" s="49"/>
      <c r="O20" s="49"/>
      <c r="P20" s="49"/>
      <c r="Q20" s="49"/>
      <c r="R20" s="82"/>
      <c r="S20" s="82"/>
      <c r="T20" s="75"/>
      <c r="U20" s="75"/>
      <c r="V20" s="75"/>
      <c r="W20" s="75"/>
      <c r="X20" s="75"/>
      <c r="Y20" s="75"/>
      <c r="Z20" s="506"/>
      <c r="AA20" s="500"/>
    </row>
    <row r="21" spans="1:27" ht="19.5" customHeight="1" thickBot="1">
      <c r="A21" s="758" t="s">
        <v>860</v>
      </c>
      <c r="B21" s="92"/>
      <c r="C21" s="93"/>
      <c r="D21" s="93"/>
      <c r="E21" s="94"/>
      <c r="F21" s="93"/>
      <c r="G21" s="90"/>
      <c r="H21" s="82"/>
      <c r="I21" s="82"/>
      <c r="J21" s="82"/>
      <c r="K21" s="82"/>
      <c r="L21" s="82"/>
      <c r="M21" s="82"/>
      <c r="N21" s="49"/>
      <c r="O21" s="49"/>
      <c r="P21" s="49"/>
      <c r="Q21" s="49"/>
      <c r="R21" s="82"/>
      <c r="S21" s="82"/>
      <c r="T21" s="75"/>
      <c r="U21" s="75"/>
      <c r="V21" s="75"/>
      <c r="W21" s="75"/>
      <c r="X21" s="75"/>
      <c r="Y21" s="75"/>
      <c r="Z21" s="506"/>
      <c r="AA21" s="500"/>
    </row>
    <row r="22" spans="1:27" ht="19.5" customHeight="1">
      <c r="A22" s="799"/>
      <c r="B22" s="800"/>
      <c r="C22" s="801"/>
      <c r="D22" s="802" t="s">
        <v>855</v>
      </c>
      <c r="E22" s="803">
        <f>MAX(Vout_eff*Nps,Vout2_actual*Nps/Nsec1sec2)*1.2</f>
        <v>19.6098</v>
      </c>
      <c r="F22" s="804" t="s">
        <v>0</v>
      </c>
      <c r="G22" s="90"/>
      <c r="H22" s="834"/>
      <c r="I22" s="584"/>
      <c r="J22" s="584"/>
      <c r="K22" s="850" t="s">
        <v>848</v>
      </c>
      <c r="L22" s="728">
        <v>40</v>
      </c>
      <c r="M22" s="729" t="s">
        <v>20</v>
      </c>
      <c r="N22" s="49"/>
      <c r="O22" s="49"/>
      <c r="P22" s="49"/>
      <c r="Q22" s="49"/>
      <c r="R22" s="82"/>
      <c r="S22" s="82"/>
      <c r="T22" s="75"/>
      <c r="U22" s="75"/>
      <c r="V22" s="75"/>
      <c r="W22" s="75"/>
      <c r="X22" s="75"/>
      <c r="Y22" s="75"/>
      <c r="Z22" s="506"/>
      <c r="AA22" s="500"/>
    </row>
    <row r="23" spans="1:27" ht="19.5" customHeight="1" thickBot="1">
      <c r="A23" s="805"/>
      <c r="B23" s="92"/>
      <c r="C23" s="93"/>
      <c r="D23" s="86" t="s">
        <v>856</v>
      </c>
      <c r="E23" s="817">
        <v>24</v>
      </c>
      <c r="F23" s="752" t="s">
        <v>0</v>
      </c>
      <c r="G23" s="90"/>
      <c r="H23" s="88"/>
      <c r="I23" s="49"/>
      <c r="J23" s="814"/>
      <c r="K23" s="835" t="s">
        <v>857</v>
      </c>
      <c r="L23" s="840">
        <f>0.00000005*1*1000000000</f>
        <v>50</v>
      </c>
      <c r="M23" s="851" t="s">
        <v>31</v>
      </c>
      <c r="N23" s="49"/>
      <c r="O23" s="49"/>
      <c r="P23" s="49"/>
      <c r="Q23" s="49"/>
      <c r="R23" s="82"/>
      <c r="S23" s="82"/>
      <c r="T23" s="75"/>
      <c r="U23" s="75"/>
      <c r="V23" s="75"/>
      <c r="W23" s="75"/>
      <c r="X23" s="75"/>
      <c r="Y23" s="75"/>
      <c r="Z23" s="506"/>
      <c r="AA23" s="500"/>
    </row>
    <row r="24" spans="1:27" ht="19.5" customHeight="1">
      <c r="A24" s="425"/>
      <c r="B24" s="92"/>
      <c r="C24" s="790"/>
      <c r="D24" s="87" t="s">
        <v>851</v>
      </c>
      <c r="E24" s="791">
        <f>E8+E23*1.25</f>
        <v>66</v>
      </c>
      <c r="F24" s="453" t="s">
        <v>0</v>
      </c>
      <c r="G24" s="832"/>
      <c r="H24" s="798"/>
      <c r="I24" s="49"/>
      <c r="J24" s="49"/>
      <c r="K24" s="100" t="s">
        <v>858</v>
      </c>
      <c r="L24" s="143">
        <v>40</v>
      </c>
      <c r="M24" s="852" t="s">
        <v>31</v>
      </c>
      <c r="N24" s="49"/>
      <c r="O24" s="49"/>
      <c r="P24" s="49"/>
      <c r="Q24" s="49"/>
      <c r="R24" s="82"/>
      <c r="S24" s="82"/>
      <c r="T24" s="75"/>
      <c r="U24" s="75"/>
      <c r="V24" s="75"/>
      <c r="W24" s="75"/>
      <c r="X24" s="75"/>
      <c r="Y24" s="75"/>
      <c r="Z24" s="506"/>
      <c r="AA24" s="500"/>
    </row>
    <row r="25" spans="1:27" ht="19.5" customHeight="1" thickBot="1">
      <c r="A25" s="425"/>
      <c r="B25" s="92"/>
      <c r="C25" s="93"/>
      <c r="D25" s="87" t="s">
        <v>852</v>
      </c>
      <c r="E25" s="807" t="s">
        <v>854</v>
      </c>
      <c r="F25" s="752"/>
      <c r="G25" s="833"/>
      <c r="H25" s="88"/>
      <c r="I25" s="49"/>
      <c r="J25" s="49"/>
      <c r="K25" s="149" t="s">
        <v>859</v>
      </c>
      <c r="L25" s="143">
        <v>300</v>
      </c>
      <c r="M25" s="852" t="s">
        <v>15</v>
      </c>
      <c r="N25" s="49"/>
      <c r="O25" s="49"/>
      <c r="P25" s="49"/>
      <c r="Q25" s="49"/>
      <c r="R25" s="82"/>
      <c r="S25" s="82"/>
      <c r="T25" s="75"/>
      <c r="U25" s="75"/>
      <c r="V25" s="75"/>
      <c r="W25" s="75"/>
      <c r="X25" s="75"/>
      <c r="Y25" s="75"/>
      <c r="Z25" s="506"/>
      <c r="AA25" s="500"/>
    </row>
    <row r="26" spans="1:27" ht="19.5" customHeight="1" thickBot="1">
      <c r="A26" s="806"/>
      <c r="B26" s="754"/>
      <c r="C26" s="755"/>
      <c r="D26" s="208" t="s">
        <v>853</v>
      </c>
      <c r="E26" s="808" t="str">
        <f>IF(VIN_min&lt;7, "No", "Yes")</f>
        <v>Yes</v>
      </c>
      <c r="F26" s="756"/>
      <c r="G26" s="90"/>
      <c r="H26" s="853"/>
      <c r="I26" s="504"/>
      <c r="J26" s="854"/>
      <c r="K26" s="855" t="s">
        <v>887</v>
      </c>
      <c r="L26" s="857">
        <f>'Variable Mgmt'!L112</f>
        <v>1.4957641296135862</v>
      </c>
      <c r="M26" s="856" t="s">
        <v>45</v>
      </c>
      <c r="N26" s="49"/>
      <c r="O26" s="49"/>
      <c r="P26" s="49"/>
      <c r="Q26" s="49"/>
      <c r="R26" s="82"/>
      <c r="S26" s="82"/>
      <c r="T26" s="75"/>
      <c r="U26" s="75"/>
      <c r="V26" s="75"/>
      <c r="W26" s="75"/>
      <c r="X26" s="75"/>
      <c r="Y26" s="75"/>
      <c r="Z26" s="506"/>
      <c r="AA26" s="500"/>
    </row>
    <row r="27" spans="1:27" ht="19.5" customHeight="1">
      <c r="A27" s="75"/>
      <c r="B27" s="92"/>
      <c r="C27" s="93"/>
      <c r="D27" s="87"/>
      <c r="E27" s="797"/>
      <c r="F27" s="93"/>
      <c r="G27" s="90"/>
      <c r="H27" s="82"/>
      <c r="I27" s="82"/>
      <c r="J27" s="82"/>
      <c r="K27" s="82"/>
      <c r="L27" s="82"/>
      <c r="M27" s="82"/>
      <c r="N27" s="49"/>
      <c r="O27" s="49"/>
      <c r="P27" s="49"/>
      <c r="Q27" s="49"/>
      <c r="R27" s="82"/>
      <c r="S27" s="82"/>
      <c r="T27" s="75"/>
      <c r="U27" s="75"/>
      <c r="V27" s="75"/>
      <c r="W27" s="75"/>
      <c r="X27" s="75"/>
      <c r="Y27" s="75"/>
      <c r="Z27" s="506"/>
      <c r="AA27" s="500"/>
    </row>
    <row r="28" spans="1:27" ht="19.5" customHeight="1" thickBot="1">
      <c r="A28" s="106" t="s">
        <v>861</v>
      </c>
      <c r="B28" s="92"/>
      <c r="C28" s="93"/>
      <c r="D28" s="93"/>
      <c r="E28" s="94"/>
      <c r="F28" s="93"/>
      <c r="G28" s="90"/>
      <c r="H28" s="831" t="s">
        <v>874</v>
      </c>
      <c r="I28" s="82"/>
      <c r="J28" s="82"/>
      <c r="K28" s="82"/>
      <c r="L28" s="82"/>
      <c r="M28" s="82"/>
      <c r="N28" s="49"/>
      <c r="O28" s="49"/>
      <c r="P28" s="49"/>
      <c r="Q28" s="49"/>
      <c r="R28" s="82"/>
      <c r="S28" s="82"/>
      <c r="T28" s="75"/>
      <c r="U28" s="75"/>
      <c r="V28" s="75"/>
      <c r="W28" s="75"/>
      <c r="X28" s="75"/>
      <c r="Y28" s="75"/>
      <c r="Z28" s="506"/>
      <c r="AA28" s="500"/>
    </row>
    <row r="29" spans="1:27" ht="15.75" customHeight="1" thickBot="1">
      <c r="A29" s="385"/>
      <c r="B29" s="574"/>
      <c r="C29" s="575"/>
      <c r="D29" s="206" t="s">
        <v>314</v>
      </c>
      <c r="E29" s="609">
        <f>'Variable Mgmt'!B151</f>
        <v>2.7621499544841077</v>
      </c>
      <c r="F29" s="428" t="s">
        <v>97</v>
      </c>
      <c r="G29" s="90"/>
      <c r="H29" s="566"/>
      <c r="I29" s="501"/>
      <c r="J29" s="501"/>
      <c r="K29" s="837" t="str">
        <f>CHOOSE(MODE, "Min Diode Voltage Rating","Min Diode Voltage Rating, Output #1")</f>
        <v>Min Diode Voltage Rating</v>
      </c>
      <c r="L29" s="859">
        <f>(VIN_max/Nps+Vout)*1.3</f>
        <v>101.36491754122939</v>
      </c>
      <c r="M29" s="860" t="s">
        <v>0</v>
      </c>
      <c r="N29" s="49"/>
      <c r="O29" s="566"/>
      <c r="P29" s="501"/>
      <c r="Q29" s="501"/>
      <c r="R29" s="837" t="s">
        <v>877</v>
      </c>
      <c r="S29" s="859">
        <f>(VIN_max/Npri_sec2+Vout2)*1.3</f>
        <v>75.952671032904604</v>
      </c>
      <c r="T29" s="860" t="s">
        <v>0</v>
      </c>
      <c r="U29" s="75"/>
      <c r="V29" s="75"/>
      <c r="W29" s="75"/>
      <c r="X29" s="75"/>
      <c r="Y29" s="75"/>
      <c r="Z29" s="506"/>
      <c r="AA29" s="500"/>
    </row>
    <row r="30" spans="1:27" ht="15.75" customHeight="1" thickBot="1">
      <c r="A30" s="97"/>
      <c r="B30" s="89"/>
      <c r="C30" s="96"/>
      <c r="D30" s="100" t="s">
        <v>141</v>
      </c>
      <c r="E30" s="98">
        <v>10</v>
      </c>
      <c r="F30" s="429" t="s">
        <v>97</v>
      </c>
      <c r="G30" s="90"/>
      <c r="H30" s="425"/>
      <c r="I30" s="82"/>
      <c r="J30" s="82"/>
      <c r="K30" s="836" t="str">
        <f>CHOOSE(MODE, "Min Diode DC Current Rating","Min Diode DC Current Rating, Output #1")</f>
        <v>Min Diode DC Current Rating</v>
      </c>
      <c r="L30" s="861">
        <f>MAX(E11*3,0.5)</f>
        <v>3</v>
      </c>
      <c r="M30" s="862" t="s">
        <v>1</v>
      </c>
      <c r="N30" s="841"/>
      <c r="O30" s="425"/>
      <c r="P30" s="82"/>
      <c r="Q30" s="82"/>
      <c r="R30" s="836" t="s">
        <v>878</v>
      </c>
      <c r="S30" s="861">
        <f>MAX(E13*3,0.5)</f>
        <v>0.5</v>
      </c>
      <c r="T30" s="862" t="s">
        <v>1</v>
      </c>
      <c r="U30" s="75"/>
      <c r="V30" s="75"/>
      <c r="W30" s="75"/>
      <c r="X30" s="75"/>
      <c r="Y30" s="75"/>
      <c r="Z30" s="506"/>
      <c r="AA30" s="500"/>
    </row>
    <row r="31" spans="1:27" ht="15.75" customHeight="1" thickBot="1">
      <c r="A31" s="97"/>
      <c r="B31" s="89"/>
      <c r="C31" s="148"/>
      <c r="D31" s="142" t="s">
        <v>104</v>
      </c>
      <c r="E31" s="147">
        <v>3</v>
      </c>
      <c r="F31" s="430" t="s">
        <v>20</v>
      </c>
      <c r="G31" s="90"/>
      <c r="H31" s="806"/>
      <c r="I31" s="503"/>
      <c r="J31" s="503"/>
      <c r="K31" s="839" t="str">
        <f>CHOOSE(MODE, "Select  Diode Forward Drop VF","Select  Diode Forward Drop VF, Output #1")</f>
        <v>Select  Diode Forward Drop VF</v>
      </c>
      <c r="L31" s="863">
        <v>0.7</v>
      </c>
      <c r="M31" s="864" t="s">
        <v>0</v>
      </c>
      <c r="N31" s="49"/>
      <c r="O31" s="806"/>
      <c r="P31" s="503"/>
      <c r="Q31" s="503"/>
      <c r="R31" s="839" t="s">
        <v>923</v>
      </c>
      <c r="S31" s="863">
        <v>0.5</v>
      </c>
      <c r="T31" s="864" t="s">
        <v>0</v>
      </c>
      <c r="U31" s="75"/>
      <c r="V31" s="75"/>
      <c r="W31" s="75"/>
      <c r="X31" s="75"/>
      <c r="Y31" s="75"/>
      <c r="Z31" s="506"/>
      <c r="AA31" s="500"/>
    </row>
    <row r="32" spans="1:27" ht="15.75" customHeight="1" thickBot="1">
      <c r="A32" s="101"/>
      <c r="B32" s="102"/>
      <c r="C32" s="108"/>
      <c r="D32" s="208" t="s">
        <v>496</v>
      </c>
      <c r="E32" s="209">
        <f>Vinripple2*1000</f>
        <v>344.16002704975386</v>
      </c>
      <c r="F32" s="105" t="s">
        <v>103</v>
      </c>
      <c r="G32" s="90"/>
      <c r="H32" s="902" t="s">
        <v>926</v>
      </c>
      <c r="I32" s="49"/>
      <c r="J32" s="49"/>
      <c r="K32" s="49"/>
      <c r="L32" s="49"/>
      <c r="M32" s="49"/>
      <c r="N32" s="49"/>
      <c r="O32" s="49"/>
      <c r="P32" s="49"/>
      <c r="Q32" s="49"/>
      <c r="R32" s="82"/>
      <c r="S32" s="82"/>
      <c r="T32" s="75"/>
      <c r="U32" s="75"/>
      <c r="V32" s="75"/>
      <c r="W32" s="75"/>
      <c r="X32" s="75"/>
      <c r="Y32" s="75"/>
      <c r="Z32" s="506"/>
      <c r="AA32" s="500"/>
    </row>
    <row r="33" spans="1:27" ht="15.75" customHeight="1" thickBot="1">
      <c r="A33" s="422"/>
      <c r="B33" s="423"/>
      <c r="C33" s="424"/>
      <c r="D33" s="424" t="str">
        <f>CHOOSE(MODE, "Minimum Output Capacitance", "Minimum Output Capacitance, Output #1")</f>
        <v>Minimum Output Capacitance</v>
      </c>
      <c r="E33" s="621">
        <f>'Variable Mgmt'!B126</f>
        <v>38.290000880134386</v>
      </c>
      <c r="F33" s="428" t="s">
        <v>97</v>
      </c>
      <c r="G33" s="585"/>
      <c r="H33" s="575"/>
      <c r="I33" s="584"/>
      <c r="J33" s="501"/>
      <c r="K33" s="424" t="str">
        <f>CHOOSE(MODE, "", "Minimum Output Capacitance, Output #2")</f>
        <v/>
      </c>
      <c r="L33" s="621">
        <f>'Variable Mgmt'!B136</f>
        <v>4.7</v>
      </c>
      <c r="M33" s="428" t="s">
        <v>97</v>
      </c>
      <c r="N33" s="49"/>
      <c r="O33" s="49"/>
      <c r="P33" s="49"/>
      <c r="Q33" s="49"/>
      <c r="R33" s="82"/>
      <c r="S33" s="82"/>
      <c r="T33" s="75"/>
      <c r="U33" s="75"/>
      <c r="V33" s="75"/>
      <c r="W33" s="75"/>
      <c r="X33" s="75"/>
      <c r="Y33" s="75"/>
      <c r="Z33" s="506"/>
      <c r="AA33" s="500"/>
    </row>
    <row r="34" spans="1:27" ht="15.75" customHeight="1">
      <c r="A34" s="88"/>
      <c r="B34" s="89"/>
      <c r="C34" s="135"/>
      <c r="D34" s="149" t="s">
        <v>140</v>
      </c>
      <c r="E34" s="143">
        <v>47</v>
      </c>
      <c r="F34" s="427" t="s">
        <v>97</v>
      </c>
      <c r="G34" s="586"/>
      <c r="H34" s="89"/>
      <c r="I34" s="49"/>
      <c r="J34" s="75"/>
      <c r="K34" s="149" t="s">
        <v>532</v>
      </c>
      <c r="L34" s="143">
        <v>55</v>
      </c>
      <c r="M34" s="427" t="s">
        <v>97</v>
      </c>
      <c r="N34" s="49"/>
      <c r="O34" s="902" t="s">
        <v>922</v>
      </c>
      <c r="P34" s="49"/>
      <c r="Q34" s="49"/>
      <c r="R34" s="82"/>
      <c r="S34" s="82"/>
      <c r="T34" s="75"/>
      <c r="U34" s="75"/>
      <c r="V34" s="75"/>
      <c r="W34" s="75"/>
      <c r="X34" s="75"/>
      <c r="Y34" s="75"/>
      <c r="Z34" s="506"/>
      <c r="AA34" s="500"/>
    </row>
    <row r="35" spans="1:27" ht="16.5" customHeight="1" thickBot="1">
      <c r="A35" s="88"/>
      <c r="B35" s="89"/>
      <c r="C35" s="148"/>
      <c r="D35" s="142" t="s">
        <v>533</v>
      </c>
      <c r="E35" s="147">
        <v>2</v>
      </c>
      <c r="F35" s="430" t="s">
        <v>20</v>
      </c>
      <c r="G35" s="587"/>
      <c r="H35" s="89"/>
      <c r="I35" s="49"/>
      <c r="J35" s="75"/>
      <c r="K35" s="142" t="s">
        <v>533</v>
      </c>
      <c r="L35" s="147">
        <v>8</v>
      </c>
      <c r="M35" s="430" t="s">
        <v>20</v>
      </c>
      <c r="N35" s="49"/>
      <c r="O35" s="49"/>
      <c r="P35" s="49"/>
      <c r="Q35" s="49"/>
      <c r="R35" s="82"/>
      <c r="S35" s="82"/>
      <c r="T35" s="75"/>
      <c r="U35" s="75"/>
      <c r="V35" s="75"/>
      <c r="W35" s="75"/>
      <c r="X35" s="75"/>
      <c r="Y35" s="75"/>
      <c r="Z35" s="506"/>
      <c r="AA35" s="500"/>
    </row>
    <row r="36" spans="1:27" ht="15.75" customHeight="1" thickBot="1">
      <c r="A36" s="101"/>
      <c r="B36" s="104"/>
      <c r="C36" s="104"/>
      <c r="D36" s="208" t="str">
        <f>CHOOSE(MODE, "Resulting Output Voltage Ripple", "Resulting Output Voltage Ripple, Output #1")</f>
        <v>Resulting Output Voltage Ripple</v>
      </c>
      <c r="E36" s="209">
        <f>Vripple1_actual</f>
        <v>47.193941966736126</v>
      </c>
      <c r="F36" s="105" t="s">
        <v>103</v>
      </c>
      <c r="G36" s="585"/>
      <c r="H36" s="104"/>
      <c r="I36" s="504"/>
      <c r="J36" s="503"/>
      <c r="K36" s="208" t="str">
        <f>CHOOSE(MODE, "", "Resulting Output Voltage Ripple, Output #2")</f>
        <v/>
      </c>
      <c r="L36" s="209">
        <f>Vripple2_actual</f>
        <v>11.047741347666378</v>
      </c>
      <c r="M36" s="105" t="s">
        <v>103</v>
      </c>
      <c r="N36" s="49"/>
      <c r="O36" s="49"/>
      <c r="P36" s="49"/>
      <c r="Q36" s="49"/>
      <c r="R36" s="82"/>
      <c r="S36" s="82"/>
      <c r="T36" s="75"/>
      <c r="U36" s="75"/>
      <c r="V36" s="75"/>
      <c r="W36" s="75"/>
      <c r="X36" s="75"/>
      <c r="Y36" s="75"/>
      <c r="Z36" s="506"/>
      <c r="AA36" s="500"/>
    </row>
    <row r="37" spans="1:27" ht="13.5" customHeight="1">
      <c r="A37" s="425"/>
      <c r="B37" s="75"/>
      <c r="C37" s="75"/>
      <c r="D37" s="75"/>
      <c r="E37" s="75"/>
      <c r="F37" s="75"/>
      <c r="G37" s="75"/>
      <c r="H37" s="75"/>
      <c r="I37" s="75"/>
      <c r="J37" s="75"/>
      <c r="K37" s="75"/>
      <c r="L37" s="75"/>
      <c r="M37" s="75"/>
      <c r="N37" s="49"/>
      <c r="O37" s="49"/>
      <c r="P37" s="49"/>
      <c r="Q37" s="49"/>
      <c r="R37" s="82"/>
      <c r="S37" s="82"/>
      <c r="T37" s="75"/>
      <c r="U37" s="75"/>
      <c r="V37" s="75"/>
      <c r="W37" s="75"/>
      <c r="X37" s="75"/>
      <c r="Y37" s="75"/>
      <c r="Z37" s="506"/>
      <c r="AA37" s="500"/>
    </row>
    <row r="38" spans="1:27" ht="19.5" customHeight="1" thickBot="1">
      <c r="A38" s="106" t="s">
        <v>879</v>
      </c>
      <c r="B38" s="95"/>
      <c r="C38" s="89"/>
      <c r="D38" s="87"/>
      <c r="E38" s="89"/>
      <c r="F38" s="89"/>
      <c r="G38" s="89"/>
      <c r="H38" s="89"/>
      <c r="I38" s="49"/>
      <c r="J38" s="49"/>
      <c r="K38" s="49"/>
      <c r="L38" s="49"/>
      <c r="M38" s="49"/>
      <c r="N38" s="49"/>
      <c r="O38" s="49"/>
      <c r="P38" s="49"/>
      <c r="Q38" s="49"/>
      <c r="R38" s="82"/>
      <c r="S38" s="82"/>
      <c r="T38" s="75"/>
      <c r="U38" s="75"/>
      <c r="V38" s="75"/>
      <c r="W38" s="75"/>
      <c r="X38" s="75"/>
      <c r="Y38" s="75"/>
      <c r="Z38" s="506"/>
      <c r="AA38" s="500"/>
    </row>
    <row r="39" spans="1:27" ht="15.75" customHeight="1">
      <c r="A39" s="140"/>
      <c r="B39" s="141"/>
      <c r="C39" s="206"/>
      <c r="D39" s="206" t="s">
        <v>370</v>
      </c>
      <c r="E39" s="578">
        <f>Rfb_recommend</f>
        <v>163.41499999999999</v>
      </c>
      <c r="F39" s="513" t="s">
        <v>21</v>
      </c>
      <c r="G39" s="89"/>
      <c r="H39" s="89"/>
      <c r="I39" s="49"/>
      <c r="J39" s="49"/>
      <c r="K39" s="49"/>
      <c r="L39" s="49"/>
      <c r="M39" s="49"/>
      <c r="N39" s="49"/>
      <c r="O39" s="49"/>
      <c r="P39" s="49"/>
      <c r="Q39" s="49"/>
      <c r="R39" s="82"/>
      <c r="S39" s="82"/>
      <c r="T39" s="75"/>
      <c r="U39" s="75"/>
      <c r="V39" s="75"/>
      <c r="W39" s="75"/>
      <c r="X39" s="75"/>
      <c r="Y39" s="75"/>
      <c r="Z39" s="506"/>
      <c r="AA39" s="500"/>
    </row>
    <row r="40" spans="1:27" ht="15.75" customHeight="1" thickBot="1">
      <c r="A40" s="134"/>
      <c r="B40" s="133"/>
      <c r="C40" s="135"/>
      <c r="D40" s="149" t="s">
        <v>369</v>
      </c>
      <c r="E40" s="150">
        <v>163.4</v>
      </c>
      <c r="F40" s="144" t="str">
        <f>IF(Vout=Vref,"","kΩ")</f>
        <v>kΩ</v>
      </c>
      <c r="G40" s="89"/>
      <c r="H40" s="89"/>
      <c r="I40" s="49"/>
      <c r="J40" s="49"/>
      <c r="K40" s="49"/>
      <c r="L40" s="49"/>
      <c r="M40" s="49"/>
      <c r="N40" s="49"/>
      <c r="O40" s="49"/>
      <c r="P40" s="49"/>
      <c r="Q40" s="49"/>
      <c r="R40" s="82"/>
      <c r="S40" s="82"/>
      <c r="T40" s="75"/>
      <c r="U40" s="75"/>
      <c r="V40" s="75"/>
      <c r="W40" s="75"/>
      <c r="X40" s="75"/>
      <c r="Y40" s="75"/>
      <c r="Z40" s="506"/>
      <c r="AA40" s="500"/>
    </row>
    <row r="41" spans="1:27" ht="14.15" customHeight="1">
      <c r="A41" s="389"/>
      <c r="B41" s="390"/>
      <c r="C41" s="391"/>
      <c r="D41" s="392" t="s">
        <v>292</v>
      </c>
      <c r="E41" s="393" t="s">
        <v>682</v>
      </c>
      <c r="F41" s="394"/>
      <c r="G41" s="90"/>
      <c r="H41" s="89"/>
      <c r="I41" s="49"/>
      <c r="J41" s="49"/>
      <c r="K41" s="49"/>
      <c r="L41" s="49"/>
      <c r="M41" s="49"/>
      <c r="N41" s="49"/>
      <c r="O41" s="49"/>
      <c r="P41" s="49"/>
      <c r="Q41" s="49"/>
      <c r="R41" s="82"/>
      <c r="S41" s="82"/>
      <c r="T41" s="75"/>
      <c r="U41" s="75"/>
      <c r="V41" s="75"/>
      <c r="W41" s="75"/>
      <c r="X41" s="75"/>
      <c r="Y41" s="75"/>
      <c r="Z41" s="506"/>
      <c r="AA41" s="500"/>
    </row>
    <row r="42" spans="1:27" ht="16.5" customHeight="1">
      <c r="A42" s="134"/>
      <c r="B42" s="133"/>
      <c r="C42" s="133"/>
      <c r="D42" s="146" t="str">
        <f>CHOOSE(MODE_SS,"Soft-Start Time","*Leave SS Pin Open or Supply by Ext. Bias")</f>
        <v>Soft-Start Time</v>
      </c>
      <c r="E42" s="147">
        <v>20</v>
      </c>
      <c r="F42" s="144" t="s">
        <v>63</v>
      </c>
      <c r="G42" s="90"/>
      <c r="H42" s="89"/>
      <c r="I42" s="49"/>
      <c r="J42" s="49"/>
      <c r="K42" s="49"/>
      <c r="L42" s="49"/>
      <c r="M42" s="49"/>
      <c r="N42" s="49"/>
      <c r="O42" s="49"/>
      <c r="P42" s="49"/>
      <c r="Q42" s="49"/>
      <c r="R42" s="82"/>
      <c r="S42" s="82"/>
      <c r="T42" s="75"/>
      <c r="U42" s="75"/>
      <c r="V42" s="75"/>
      <c r="W42" s="75"/>
      <c r="X42" s="75"/>
      <c r="Y42" s="75"/>
      <c r="Z42" s="506"/>
      <c r="AA42" s="500"/>
    </row>
    <row r="43" spans="1:27" ht="16.5" customHeight="1" thickBot="1">
      <c r="A43" s="137"/>
      <c r="B43" s="138"/>
      <c r="C43" s="138"/>
      <c r="D43" s="373" t="s">
        <v>142</v>
      </c>
      <c r="E43" s="388">
        <f>IF(Tss&gt;0.0001,Css_u*1000000000,"N/A")</f>
        <v>100</v>
      </c>
      <c r="F43" s="139" t="s">
        <v>56</v>
      </c>
      <c r="G43" s="90"/>
      <c r="H43" s="89"/>
      <c r="I43" s="49"/>
      <c r="J43" s="49"/>
      <c r="K43" s="49"/>
      <c r="L43" s="49"/>
      <c r="M43" s="49"/>
      <c r="N43" s="49"/>
      <c r="O43" s="49"/>
      <c r="P43" s="49"/>
      <c r="Q43" s="49"/>
      <c r="R43" s="82"/>
      <c r="S43" s="82"/>
      <c r="T43" s="75"/>
      <c r="U43" s="75"/>
      <c r="V43" s="75"/>
      <c r="W43" s="75"/>
      <c r="X43" s="75"/>
      <c r="Y43" s="75"/>
      <c r="Z43" s="506"/>
      <c r="AA43" s="500"/>
    </row>
    <row r="44" spans="1:27" ht="15.75" customHeight="1">
      <c r="A44" s="134"/>
      <c r="B44" s="133"/>
      <c r="C44" s="133"/>
      <c r="D44" s="86" t="s">
        <v>381</v>
      </c>
      <c r="E44" s="145"/>
      <c r="F44" s="136"/>
      <c r="G44" s="89"/>
      <c r="H44" s="89"/>
      <c r="I44" s="49"/>
      <c r="J44" s="49"/>
      <c r="K44" s="49"/>
      <c r="L44" s="49"/>
      <c r="M44" s="49"/>
      <c r="N44" s="49"/>
      <c r="O44" s="49"/>
      <c r="P44" s="49"/>
      <c r="Q44" s="49"/>
      <c r="R44" s="82"/>
      <c r="S44" s="82"/>
      <c r="T44" s="75"/>
      <c r="U44" s="75"/>
      <c r="V44" s="75"/>
      <c r="W44" s="75"/>
      <c r="X44" s="75"/>
      <c r="Y44" s="75"/>
      <c r="Z44" s="506"/>
      <c r="AA44" s="500"/>
    </row>
    <row r="45" spans="1:27" ht="15.75" customHeight="1">
      <c r="A45" s="134"/>
      <c r="B45" s="133"/>
      <c r="C45" s="133"/>
      <c r="D45" s="86" t="str">
        <f>CHOOSE(TC,"Diode Voltage Drop Thermal Coefficient","*Leave TC Pin Open")</f>
        <v>Diode Voltage Drop Thermal Coefficient</v>
      </c>
      <c r="E45" s="582">
        <v>4</v>
      </c>
      <c r="F45" s="136" t="s">
        <v>380</v>
      </c>
      <c r="G45" s="89"/>
      <c r="H45" s="89"/>
      <c r="I45" s="49"/>
      <c r="J45" s="49"/>
      <c r="K45" s="49"/>
      <c r="L45" s="49"/>
      <c r="M45" s="49"/>
      <c r="N45" s="49"/>
      <c r="O45" s="49"/>
      <c r="P45" s="49"/>
      <c r="Q45" s="49"/>
      <c r="R45" s="82"/>
      <c r="S45" s="82"/>
      <c r="T45" s="75"/>
      <c r="U45" s="75"/>
      <c r="V45" s="75"/>
      <c r="W45" s="75"/>
      <c r="X45" s="75"/>
      <c r="Y45" s="75"/>
      <c r="Z45" s="506"/>
      <c r="AA45" s="500"/>
    </row>
    <row r="46" spans="1:27" ht="15.75" customHeight="1" thickBot="1">
      <c r="A46" s="137"/>
      <c r="B46" s="151"/>
      <c r="C46" s="151"/>
      <c r="D46" s="507" t="s">
        <v>382</v>
      </c>
      <c r="E46" s="522">
        <f>RTC</f>
        <v>243</v>
      </c>
      <c r="F46" s="523" t="s">
        <v>21</v>
      </c>
      <c r="G46" s="89"/>
      <c r="H46" s="89"/>
      <c r="I46" s="49"/>
      <c r="J46" s="49"/>
      <c r="K46" s="73"/>
      <c r="L46" s="49"/>
      <c r="M46" s="49"/>
      <c r="N46" s="49"/>
      <c r="O46" s="49"/>
      <c r="P46" s="49"/>
      <c r="Q46" s="49"/>
      <c r="R46" s="82"/>
      <c r="S46" s="82"/>
      <c r="T46" s="75"/>
      <c r="U46" s="75"/>
      <c r="V46" s="75"/>
      <c r="W46" s="75"/>
      <c r="X46" s="75"/>
      <c r="Y46" s="75"/>
      <c r="Z46" s="506"/>
      <c r="AA46" s="500"/>
    </row>
    <row r="47" spans="1:27" ht="16.5" customHeight="1">
      <c r="A47" s="454"/>
      <c r="B47" s="508"/>
      <c r="C47" s="508"/>
      <c r="D47" s="818" t="s">
        <v>303</v>
      </c>
      <c r="E47" s="819"/>
      <c r="F47" s="809"/>
      <c r="G47" s="89"/>
      <c r="H47" s="89"/>
      <c r="I47" s="49"/>
      <c r="J47" s="49"/>
      <c r="K47" s="49"/>
      <c r="L47" s="49"/>
      <c r="M47" s="49"/>
      <c r="N47" s="49"/>
      <c r="O47" s="49"/>
      <c r="P47" s="49"/>
      <c r="Q47" s="49"/>
      <c r="R47" s="82"/>
      <c r="S47" s="82"/>
      <c r="T47" s="75"/>
      <c r="U47" s="75"/>
      <c r="V47" s="75"/>
      <c r="W47" s="75"/>
      <c r="X47" s="75"/>
      <c r="Y47" s="75"/>
      <c r="Z47" s="506"/>
      <c r="AA47" s="500"/>
    </row>
    <row r="48" spans="1:27" ht="15.75" customHeight="1">
      <c r="A48" s="134"/>
      <c r="B48" s="133"/>
      <c r="C48" s="148"/>
      <c r="D48" s="149" t="str">
        <f>CHOOSE(MODE_UVLO, "Input UVLO Turn-On Threshold", "*Connect EN pin to VIN or Logic HIGH")</f>
        <v>Input UVLO Turn-On Threshold</v>
      </c>
      <c r="E48" s="150">
        <v>8</v>
      </c>
      <c r="F48" s="144" t="s">
        <v>0</v>
      </c>
      <c r="G48" s="89"/>
      <c r="H48" s="89"/>
      <c r="I48" s="82"/>
      <c r="J48" s="82"/>
      <c r="K48" s="82"/>
      <c r="L48" s="210"/>
      <c r="M48" s="49"/>
      <c r="N48" s="49"/>
      <c r="O48" s="49"/>
      <c r="P48" s="49"/>
      <c r="Q48" s="49"/>
      <c r="R48" s="82"/>
      <c r="S48" s="82"/>
      <c r="T48" s="75"/>
      <c r="U48" s="75"/>
      <c r="V48" s="75"/>
      <c r="W48" s="75"/>
      <c r="X48" s="75"/>
      <c r="Y48" s="75"/>
      <c r="Z48" s="506"/>
      <c r="AA48" s="500"/>
    </row>
    <row r="49" spans="1:27" ht="15.75" customHeight="1">
      <c r="A49" s="134"/>
      <c r="B49" s="133"/>
      <c r="C49" s="133"/>
      <c r="D49" s="149" t="str">
        <f>CHOOSE(MODE_UVLO, "Input UVLO Turn-Off Threshold", "")</f>
        <v>Input UVLO Turn-Off Threshold</v>
      </c>
      <c r="E49" s="150">
        <v>6</v>
      </c>
      <c r="F49" s="144" t="s">
        <v>0</v>
      </c>
      <c r="G49" s="89"/>
      <c r="H49" s="135"/>
      <c r="I49" s="211"/>
      <c r="J49" s="213"/>
      <c r="K49" s="82"/>
      <c r="L49" s="82"/>
      <c r="M49" s="49"/>
      <c r="N49" s="49"/>
      <c r="O49" s="49"/>
      <c r="P49" s="49"/>
      <c r="Q49" s="49"/>
      <c r="R49" s="82"/>
      <c r="S49" s="82"/>
      <c r="T49" s="75"/>
      <c r="U49" s="75"/>
      <c r="V49" s="75"/>
      <c r="W49" s="75"/>
      <c r="X49" s="75"/>
      <c r="Y49" s="75"/>
      <c r="Z49" s="506"/>
      <c r="AA49" s="500"/>
    </row>
    <row r="50" spans="1:27" ht="15.75" customHeight="1">
      <c r="A50" s="820"/>
      <c r="B50" s="821"/>
      <c r="C50" s="822"/>
      <c r="D50" s="823" t="s">
        <v>821</v>
      </c>
      <c r="E50" s="824">
        <f>'Variable Mgmt'!F181</f>
        <v>348</v>
      </c>
      <c r="F50" s="825" t="s">
        <v>21</v>
      </c>
      <c r="G50" s="89"/>
      <c r="H50" s="135"/>
      <c r="I50" s="211"/>
      <c r="J50" s="213"/>
      <c r="K50" s="82"/>
      <c r="L50" s="82"/>
      <c r="M50" s="49"/>
      <c r="N50" s="49"/>
      <c r="O50" s="49"/>
      <c r="P50" s="49"/>
      <c r="Q50" s="49"/>
      <c r="R50" s="82"/>
      <c r="S50" s="82"/>
      <c r="T50" s="75"/>
      <c r="U50" s="75"/>
      <c r="V50" s="75"/>
      <c r="W50" s="75"/>
      <c r="X50" s="75"/>
      <c r="Y50" s="75"/>
      <c r="Z50" s="506"/>
      <c r="AA50" s="500"/>
    </row>
    <row r="51" spans="1:27" ht="15.75" customHeight="1">
      <c r="A51" s="826"/>
      <c r="B51" s="827"/>
      <c r="C51" s="827"/>
      <c r="D51" s="828" t="s">
        <v>822</v>
      </c>
      <c r="E51" s="829">
        <f>'Variable Mgmt'!F182</f>
        <v>80.600000000000009</v>
      </c>
      <c r="F51" s="830" t="s">
        <v>21</v>
      </c>
      <c r="G51" s="89"/>
      <c r="H51" s="215"/>
      <c r="I51" s="146"/>
      <c r="J51" s="580"/>
      <c r="K51" s="214"/>
      <c r="L51" s="82"/>
      <c r="M51" s="49"/>
      <c r="N51" s="49"/>
      <c r="O51" s="49"/>
      <c r="P51" s="49"/>
      <c r="Q51" s="49"/>
      <c r="R51" s="82"/>
      <c r="S51" s="82"/>
      <c r="T51" s="75"/>
      <c r="U51" s="75"/>
      <c r="V51" s="75"/>
      <c r="W51" s="75"/>
      <c r="X51" s="75"/>
      <c r="Y51" s="75"/>
      <c r="Z51" s="506"/>
      <c r="AA51" s="500"/>
    </row>
    <row r="52" spans="1:27" ht="15.75" customHeight="1">
      <c r="A52" s="134"/>
      <c r="B52" s="133"/>
      <c r="C52" s="133"/>
      <c r="D52" s="135"/>
      <c r="E52" s="777"/>
      <c r="F52" s="75"/>
      <c r="G52" s="89"/>
      <c r="H52" s="215"/>
      <c r="I52" s="146"/>
      <c r="J52" s="580"/>
      <c r="K52" s="214"/>
      <c r="L52" s="82"/>
      <c r="M52" s="49"/>
      <c r="N52" s="49"/>
      <c r="O52" s="49"/>
      <c r="P52" s="49"/>
      <c r="Q52" s="49"/>
      <c r="R52" s="82"/>
      <c r="S52" s="82"/>
      <c r="T52" s="75"/>
      <c r="U52" s="75"/>
      <c r="V52" s="75"/>
      <c r="W52" s="75"/>
      <c r="X52" s="75"/>
      <c r="Y52" s="75"/>
      <c r="Z52" s="506"/>
      <c r="AA52" s="500"/>
    </row>
    <row r="53" spans="1:27" ht="15.75" customHeight="1" thickBot="1">
      <c r="A53" s="106" t="s">
        <v>889</v>
      </c>
      <c r="B53" s="133"/>
      <c r="C53" s="133"/>
      <c r="D53" s="149" t="s">
        <v>862</v>
      </c>
      <c r="E53" s="777"/>
      <c r="F53" s="89"/>
      <c r="G53" s="89"/>
      <c r="H53" s="89"/>
      <c r="I53" s="82"/>
      <c r="J53" s="212"/>
      <c r="K53" s="82"/>
      <c r="L53" s="82"/>
      <c r="M53" s="49"/>
      <c r="N53" s="49"/>
      <c r="O53" s="49"/>
      <c r="P53" s="49"/>
      <c r="Q53" s="49" t="s">
        <v>78</v>
      </c>
      <c r="R53" s="82"/>
      <c r="S53" s="82"/>
      <c r="T53" s="75"/>
      <c r="U53" s="75"/>
      <c r="V53" s="75"/>
      <c r="W53" s="75"/>
      <c r="X53" s="75"/>
      <c r="Y53" s="75"/>
      <c r="Z53" s="506"/>
      <c r="AA53" s="500"/>
    </row>
    <row r="54" spans="1:27" ht="15.75" hidden="1" customHeight="1">
      <c r="A54" s="454"/>
      <c r="B54" s="508"/>
      <c r="C54" s="206"/>
      <c r="D54" s="206" t="s">
        <v>800</v>
      </c>
      <c r="E54" s="578">
        <f>pole1/1000</f>
        <v>0.19420346532654906</v>
      </c>
      <c r="F54" s="809" t="s">
        <v>2</v>
      </c>
      <c r="G54" s="89"/>
      <c r="H54" s="89"/>
      <c r="I54" s="82"/>
      <c r="J54" s="212"/>
      <c r="K54" s="82"/>
      <c r="L54" s="82"/>
      <c r="M54" s="49"/>
      <c r="N54" s="49"/>
      <c r="O54" s="49"/>
      <c r="P54" s="49"/>
      <c r="Q54" s="49"/>
      <c r="R54" s="82"/>
      <c r="S54" s="82"/>
      <c r="T54" s="75"/>
      <c r="U54" s="75"/>
      <c r="V54" s="75"/>
      <c r="W54" s="75"/>
      <c r="X54" s="75"/>
      <c r="Y54" s="75"/>
      <c r="Z54" s="506"/>
      <c r="AA54" s="500"/>
    </row>
    <row r="55" spans="1:27" ht="15.75" hidden="1" customHeight="1">
      <c r="A55" s="134"/>
      <c r="B55" s="133"/>
      <c r="C55" s="135"/>
      <c r="D55" s="135" t="s">
        <v>797</v>
      </c>
      <c r="E55" s="759">
        <f>Zero1/1000</f>
        <v>1693.1376944016636</v>
      </c>
      <c r="F55" s="136" t="s">
        <v>2</v>
      </c>
      <c r="G55" s="89"/>
      <c r="H55" s="135"/>
      <c r="I55" s="211"/>
      <c r="J55" s="213"/>
      <c r="K55" s="82"/>
      <c r="L55" s="82"/>
      <c r="M55" s="49"/>
      <c r="N55" s="49"/>
      <c r="O55" s="49"/>
      <c r="P55" s="49"/>
      <c r="Q55" s="49"/>
      <c r="R55" s="82"/>
      <c r="S55" s="82"/>
      <c r="T55" s="75"/>
      <c r="U55" s="75"/>
      <c r="V55" s="75"/>
      <c r="W55" s="75"/>
      <c r="X55" s="75"/>
      <c r="Y55" s="75"/>
      <c r="Z55" s="506"/>
      <c r="AA55" s="500"/>
    </row>
    <row r="56" spans="1:27" ht="15.75" hidden="1" customHeight="1">
      <c r="A56" s="134"/>
      <c r="B56" s="133"/>
      <c r="C56" s="135"/>
      <c r="D56" s="135" t="s">
        <v>798</v>
      </c>
      <c r="E56" s="759">
        <f>z_RHP/1000</f>
        <v>151.57110163536555</v>
      </c>
      <c r="F56" s="136" t="s">
        <v>2</v>
      </c>
      <c r="G56" s="89"/>
      <c r="H56" s="135"/>
      <c r="I56" s="211"/>
      <c r="J56" s="213"/>
      <c r="K56" s="82"/>
      <c r="L56" s="82"/>
      <c r="M56" s="49"/>
      <c r="N56" s="49"/>
      <c r="O56" s="49"/>
      <c r="P56" s="49"/>
      <c r="Q56" s="49"/>
      <c r="R56" s="82"/>
      <c r="S56" s="82"/>
      <c r="T56" s="75"/>
      <c r="U56" s="75"/>
      <c r="V56" s="75"/>
      <c r="W56" s="75"/>
      <c r="X56" s="75"/>
      <c r="Y56" s="75"/>
      <c r="Z56" s="506"/>
      <c r="AA56" s="500"/>
    </row>
    <row r="57" spans="1:27" ht="15.75" customHeight="1">
      <c r="A57" s="454"/>
      <c r="B57" s="508"/>
      <c r="C57" s="206"/>
      <c r="D57" s="206" t="s">
        <v>799</v>
      </c>
      <c r="E57" s="578">
        <f>MIN(E56/10,'Calculations - Single'!DC212/10)*0+MIN(E56/10,CHOOSE(MODE,'Calculations - Single'!DC212/10,'Calculations - Dual'!DQ212/10))</f>
        <v>7.0171859057894306</v>
      </c>
      <c r="F57" s="809" t="s">
        <v>2</v>
      </c>
      <c r="G57" s="89"/>
      <c r="H57" s="89"/>
      <c r="I57" s="49"/>
      <c r="J57" s="49"/>
      <c r="K57" s="49"/>
      <c r="L57" s="49"/>
      <c r="M57" s="49"/>
      <c r="N57" s="49"/>
      <c r="O57" s="49"/>
      <c r="P57" s="49"/>
      <c r="Q57" s="49"/>
      <c r="R57" s="82"/>
      <c r="S57" s="82"/>
      <c r="T57" s="75"/>
      <c r="U57" s="75"/>
      <c r="V57" s="75"/>
      <c r="W57" s="75"/>
      <c r="X57" s="75"/>
      <c r="Y57" s="75"/>
      <c r="Z57" s="506"/>
      <c r="AA57" s="500"/>
    </row>
    <row r="58" spans="1:27" ht="15.75" customHeight="1">
      <c r="A58" s="134"/>
      <c r="B58" s="133"/>
      <c r="C58" s="133"/>
      <c r="D58" s="149" t="s">
        <v>864</v>
      </c>
      <c r="E58" s="582">
        <v>7</v>
      </c>
      <c r="F58" s="866" t="s">
        <v>2</v>
      </c>
      <c r="G58" s="89"/>
      <c r="H58" s="89"/>
      <c r="I58" s="49"/>
      <c r="J58" s="49"/>
      <c r="K58" s="49"/>
      <c r="L58" s="49"/>
      <c r="M58" s="49"/>
      <c r="N58" s="49"/>
      <c r="O58" s="49"/>
      <c r="P58" s="49"/>
      <c r="Q58" s="49"/>
      <c r="R58" s="82"/>
      <c r="S58" s="82"/>
      <c r="T58" s="75"/>
      <c r="U58" s="75"/>
      <c r="V58" s="75"/>
      <c r="W58" s="75"/>
      <c r="X58" s="75"/>
      <c r="Y58" s="75"/>
      <c r="Z58" s="506"/>
      <c r="AA58" s="500"/>
    </row>
    <row r="59" spans="1:27" ht="15.75" customHeight="1">
      <c r="A59" s="134"/>
      <c r="B59" s="133"/>
      <c r="C59" s="135"/>
      <c r="D59" s="135" t="s">
        <v>815</v>
      </c>
      <c r="E59" s="759">
        <f>'Stability Calculations'!D64</f>
        <v>37.898098373509065</v>
      </c>
      <c r="F59" s="867" t="s">
        <v>813</v>
      </c>
      <c r="G59" s="89"/>
      <c r="H59" s="89"/>
      <c r="I59" s="49"/>
      <c r="J59" s="49"/>
      <c r="K59" s="49"/>
      <c r="L59" s="49"/>
      <c r="M59" s="49"/>
      <c r="N59" s="49"/>
      <c r="O59" s="49"/>
      <c r="P59" s="49"/>
      <c r="Q59" s="49"/>
      <c r="R59" s="82"/>
      <c r="S59" s="82"/>
      <c r="T59" s="75"/>
      <c r="U59" s="75"/>
      <c r="V59" s="75"/>
      <c r="W59" s="75"/>
      <c r="X59" s="75"/>
      <c r="Y59" s="75"/>
      <c r="Z59" s="506"/>
      <c r="AA59" s="500"/>
    </row>
    <row r="60" spans="1:27" ht="15.75" customHeight="1">
      <c r="A60" s="134"/>
      <c r="B60" s="133"/>
      <c r="C60" s="135"/>
      <c r="D60" s="149" t="s">
        <v>816</v>
      </c>
      <c r="E60" s="778">
        <v>37</v>
      </c>
      <c r="F60" s="866" t="s">
        <v>814</v>
      </c>
      <c r="G60" s="89"/>
      <c r="H60" s="89"/>
      <c r="I60" s="49"/>
      <c r="J60" s="49"/>
      <c r="K60" s="49"/>
      <c r="L60" s="49"/>
      <c r="M60" s="49"/>
      <c r="N60" s="49"/>
      <c r="O60" s="49"/>
      <c r="P60" s="49"/>
      <c r="Q60" s="49"/>
      <c r="R60" s="82"/>
      <c r="S60" s="82"/>
      <c r="T60" s="75"/>
      <c r="U60" s="75"/>
      <c r="V60" s="75"/>
      <c r="W60" s="75"/>
      <c r="X60" s="75"/>
      <c r="Y60" s="75"/>
      <c r="Z60" s="506"/>
      <c r="AA60" s="500"/>
    </row>
    <row r="61" spans="1:27" ht="16.5" customHeight="1">
      <c r="A61" s="134"/>
      <c r="B61" s="133"/>
      <c r="C61" s="135"/>
      <c r="D61" s="135" t="s">
        <v>817</v>
      </c>
      <c r="E61" s="759">
        <f>'Stability Calculations'!D65</f>
        <v>10.817725742044621</v>
      </c>
      <c r="F61" s="868" t="s">
        <v>56</v>
      </c>
      <c r="G61" s="89"/>
      <c r="H61" s="89"/>
      <c r="I61" s="49"/>
      <c r="J61" s="49"/>
      <c r="K61" s="49"/>
      <c r="L61" s="49"/>
      <c r="M61" s="49"/>
      <c r="N61" s="49"/>
      <c r="O61" s="49"/>
      <c r="P61" s="49"/>
      <c r="Q61" s="49"/>
      <c r="R61" s="82"/>
      <c r="S61" s="82"/>
      <c r="T61" s="75"/>
      <c r="U61" s="75"/>
      <c r="V61" s="75"/>
      <c r="W61" s="75"/>
      <c r="X61" s="75"/>
      <c r="Y61" s="75"/>
      <c r="Z61" s="506"/>
      <c r="AA61" s="500"/>
    </row>
    <row r="62" spans="1:27" ht="15.75" customHeight="1">
      <c r="A62" s="134"/>
      <c r="B62" s="133"/>
      <c r="C62" s="135"/>
      <c r="D62" s="149" t="s">
        <v>818</v>
      </c>
      <c r="E62" s="778">
        <v>10</v>
      </c>
      <c r="F62" s="866" t="s">
        <v>56</v>
      </c>
      <c r="G62" s="89"/>
      <c r="H62" s="89"/>
      <c r="I62" s="49"/>
      <c r="J62" s="49"/>
      <c r="K62" s="49"/>
      <c r="L62" s="49"/>
      <c r="M62" s="49"/>
      <c r="N62" s="49"/>
      <c r="O62" s="49"/>
      <c r="P62" s="49"/>
      <c r="Q62" s="49"/>
      <c r="R62" s="82"/>
      <c r="S62" s="82"/>
      <c r="T62" s="75"/>
      <c r="U62" s="75"/>
      <c r="V62" s="75"/>
      <c r="W62" s="75"/>
      <c r="X62" s="75"/>
      <c r="Y62" s="75"/>
      <c r="Z62" s="506"/>
      <c r="AA62" s="500"/>
    </row>
    <row r="63" spans="1:27" ht="15.75" customHeight="1">
      <c r="A63" s="134"/>
      <c r="B63" s="133"/>
      <c r="C63" s="135"/>
      <c r="D63" s="135" t="s">
        <v>819</v>
      </c>
      <c r="E63" s="776">
        <f>'Stability Calculations'!D66</f>
        <v>72.118171613630807</v>
      </c>
      <c r="F63" s="868" t="s">
        <v>15</v>
      </c>
      <c r="G63" s="89"/>
      <c r="H63" s="89"/>
      <c r="I63" s="49"/>
      <c r="J63" s="49"/>
      <c r="K63" s="49"/>
      <c r="L63" s="49"/>
      <c r="M63" s="49"/>
      <c r="N63" s="49"/>
      <c r="O63" s="49"/>
      <c r="P63" s="49"/>
      <c r="Q63" s="49"/>
      <c r="R63" s="82"/>
      <c r="S63" s="82"/>
      <c r="T63" s="75"/>
      <c r="U63" s="75"/>
      <c r="V63" s="812" t="s">
        <v>863</v>
      </c>
      <c r="W63" s="813">
        <f>Vin</f>
        <v>24</v>
      </c>
      <c r="X63" s="734" t="s">
        <v>0</v>
      </c>
      <c r="Y63" s="75"/>
      <c r="Z63" s="506"/>
      <c r="AA63" s="500"/>
    </row>
    <row r="64" spans="1:27" ht="15.75" customHeight="1" thickBot="1">
      <c r="A64" s="787"/>
      <c r="B64" s="151"/>
      <c r="C64" s="151"/>
      <c r="D64" s="510" t="s">
        <v>820</v>
      </c>
      <c r="E64" s="810">
        <v>72</v>
      </c>
      <c r="F64" s="811" t="s">
        <v>15</v>
      </c>
      <c r="G64" s="89"/>
      <c r="H64" s="89"/>
      <c r="I64" s="49"/>
      <c r="J64" s="49"/>
      <c r="K64" s="49"/>
      <c r="L64" s="49"/>
      <c r="M64" s="49"/>
      <c r="N64" s="49"/>
      <c r="O64" s="49"/>
      <c r="P64" s="49"/>
      <c r="Q64" s="49"/>
      <c r="R64" s="82"/>
      <c r="S64" s="82"/>
      <c r="T64" s="75"/>
      <c r="U64" s="75"/>
      <c r="V64" s="75"/>
      <c r="W64" s="75"/>
      <c r="X64" s="75"/>
      <c r="Y64" s="75"/>
      <c r="Z64" s="506"/>
      <c r="AA64" s="500"/>
    </row>
    <row r="65" spans="1:27" ht="15.75" customHeight="1">
      <c r="A65" s="134"/>
      <c r="B65" s="133"/>
      <c r="C65" s="133"/>
      <c r="D65" s="135"/>
      <c r="E65" s="777"/>
      <c r="F65" s="75"/>
      <c r="G65" s="89"/>
      <c r="H65" s="89"/>
      <c r="I65" s="49"/>
      <c r="J65" s="49"/>
      <c r="K65" s="49"/>
      <c r="L65" s="49"/>
      <c r="M65" s="49"/>
      <c r="N65" s="49"/>
      <c r="O65" s="49"/>
      <c r="P65" s="49"/>
      <c r="Q65" s="49"/>
      <c r="R65" s="82"/>
      <c r="S65" s="82"/>
      <c r="T65" s="75"/>
      <c r="U65" s="75"/>
      <c r="V65" s="75"/>
      <c r="W65" s="75"/>
      <c r="X65" s="75"/>
      <c r="Y65" s="75"/>
      <c r="Z65" s="506"/>
      <c r="AA65" s="500"/>
    </row>
    <row r="66" spans="1:27" ht="15.75" customHeight="1" thickBot="1">
      <c r="A66" s="106" t="s">
        <v>894</v>
      </c>
      <c r="B66" s="133"/>
      <c r="C66" s="133"/>
      <c r="D66" s="135"/>
      <c r="E66" s="777"/>
      <c r="F66" s="75"/>
      <c r="G66" s="903" t="s">
        <v>945</v>
      </c>
      <c r="H66" s="89"/>
      <c r="I66" s="49"/>
      <c r="J66" s="49"/>
      <c r="K66" s="49"/>
      <c r="L66" s="49"/>
      <c r="M66" s="49"/>
      <c r="N66" s="49"/>
      <c r="O66" s="49"/>
      <c r="P66" s="49"/>
      <c r="Q66" s="49"/>
      <c r="R66" s="82"/>
      <c r="S66" s="82"/>
      <c r="T66" s="75"/>
      <c r="U66" s="75"/>
      <c r="V66" s="75"/>
      <c r="W66" s="75"/>
      <c r="X66" s="75"/>
      <c r="Y66" s="75"/>
      <c r="Z66" s="506"/>
      <c r="AA66" s="500"/>
    </row>
    <row r="67" spans="1:27" ht="15.75" customHeight="1" thickBot="1">
      <c r="A67" s="454"/>
      <c r="B67" s="508"/>
      <c r="C67" s="508"/>
      <c r="D67" s="206" t="str">
        <f>CHOOSE(MODE, "Initial Csnb", "Inisitial Csnb1")</f>
        <v>Initial Csnb</v>
      </c>
      <c r="E67" s="869">
        <v>22</v>
      </c>
      <c r="F67" s="860" t="s">
        <v>15</v>
      </c>
      <c r="G67" s="89"/>
      <c r="H67" s="872"/>
      <c r="I67" s="873"/>
      <c r="J67" s="874"/>
      <c r="K67" s="875" t="s">
        <v>892</v>
      </c>
      <c r="L67" s="875">
        <v>22</v>
      </c>
      <c r="M67" s="815" t="s">
        <v>15</v>
      </c>
      <c r="N67" s="733"/>
      <c r="O67" s="49"/>
      <c r="P67" s="734"/>
      <c r="Q67" s="49"/>
      <c r="R67" s="82"/>
      <c r="S67" s="82"/>
      <c r="T67" s="75"/>
      <c r="U67" s="75"/>
      <c r="V67" s="75"/>
      <c r="W67" s="75"/>
      <c r="X67" s="75"/>
      <c r="Y67" s="75"/>
      <c r="Z67" s="506"/>
      <c r="AA67" s="500"/>
    </row>
    <row r="68" spans="1:27" ht="15.75" customHeight="1">
      <c r="A68" s="134"/>
      <c r="B68" s="133"/>
      <c r="C68" s="133"/>
      <c r="D68" s="135" t="s">
        <v>890</v>
      </c>
      <c r="E68" s="777">
        <f>(VIN_max/Npri_sec1+E10)*1.3</f>
        <v>101.36491754122939</v>
      </c>
      <c r="F68" s="867" t="s">
        <v>0</v>
      </c>
      <c r="G68" s="881"/>
      <c r="H68" s="876"/>
      <c r="I68" s="211"/>
      <c r="J68" s="213"/>
      <c r="K68" s="135" t="s">
        <v>890</v>
      </c>
      <c r="L68" s="865">
        <f>E8/Nps*Nsec1sec2+Vout</f>
        <v>64.425131563772766</v>
      </c>
      <c r="M68" s="877" t="s">
        <v>0</v>
      </c>
      <c r="N68" s="49"/>
      <c r="O68" s="49"/>
      <c r="P68" s="49"/>
      <c r="Q68" s="49"/>
      <c r="R68" s="82"/>
      <c r="S68" s="82"/>
      <c r="T68" s="75"/>
      <c r="U68" s="75"/>
      <c r="V68" s="75"/>
      <c r="W68" s="75"/>
      <c r="X68" s="75"/>
      <c r="Y68" s="75"/>
      <c r="Z68" s="506"/>
      <c r="AA68" s="500"/>
    </row>
    <row r="69" spans="1:27" ht="16.5" customHeight="1" thickBot="1">
      <c r="A69" s="134"/>
      <c r="B69" s="133"/>
      <c r="C69" s="133"/>
      <c r="D69" s="135" t="str">
        <f>CHOOSE(MODE, "Initial Rsnb", "Inisitial Rsnb1")</f>
        <v>Initial Rsnb</v>
      </c>
      <c r="E69" s="777">
        <v>100</v>
      </c>
      <c r="F69" s="867" t="s">
        <v>136</v>
      </c>
      <c r="G69" s="882"/>
      <c r="H69" s="88"/>
      <c r="I69" s="49"/>
      <c r="J69" s="74"/>
      <c r="K69" s="89" t="s">
        <v>893</v>
      </c>
      <c r="L69" s="89">
        <v>100</v>
      </c>
      <c r="M69" s="867" t="s">
        <v>136</v>
      </c>
      <c r="N69" s="49"/>
      <c r="O69" s="49"/>
      <c r="P69" s="49"/>
      <c r="Q69" s="49"/>
      <c r="R69" s="82"/>
      <c r="S69" s="82"/>
      <c r="T69" s="75"/>
      <c r="U69" s="75"/>
      <c r="V69" s="75"/>
      <c r="W69" s="75"/>
      <c r="X69" s="75"/>
      <c r="Y69" s="75"/>
      <c r="Z69" s="506"/>
      <c r="AA69" s="500"/>
    </row>
    <row r="70" spans="1:27" ht="15.75" customHeight="1" thickBot="1">
      <c r="A70" s="787"/>
      <c r="B70" s="151"/>
      <c r="C70" s="151"/>
      <c r="D70" s="507" t="s">
        <v>891</v>
      </c>
      <c r="E70" s="880">
        <f>E68*E68*E67*0.000000000001*350000*3</f>
        <v>0.2373489543380394</v>
      </c>
      <c r="F70" s="871" t="s">
        <v>45</v>
      </c>
      <c r="G70" s="89"/>
      <c r="H70" s="853"/>
      <c r="I70" s="504"/>
      <c r="J70" s="878"/>
      <c r="K70" s="507" t="s">
        <v>891</v>
      </c>
      <c r="L70" s="879">
        <f>L68*L68*L67*0.000000000001*350000*3</f>
        <v>9.5878804028917838E-2</v>
      </c>
      <c r="M70" s="105" t="s">
        <v>45</v>
      </c>
      <c r="N70" s="49"/>
      <c r="O70" s="49"/>
      <c r="P70" s="49"/>
      <c r="Q70" s="49"/>
      <c r="R70" s="82"/>
      <c r="S70" s="82"/>
      <c r="T70" s="75"/>
      <c r="U70" s="75"/>
      <c r="V70" s="75"/>
      <c r="W70" s="75"/>
      <c r="X70" s="75"/>
      <c r="Y70" s="75"/>
      <c r="Z70" s="506"/>
      <c r="AA70" s="500"/>
    </row>
    <row r="71" spans="1:27" ht="15.75" customHeight="1">
      <c r="A71" s="134"/>
      <c r="B71" s="133"/>
      <c r="C71" s="133"/>
      <c r="D71" s="135"/>
      <c r="E71" s="777"/>
      <c r="F71" s="75"/>
      <c r="G71" s="89"/>
      <c r="H71" s="89"/>
      <c r="I71" s="49"/>
      <c r="J71" s="74"/>
      <c r="K71" s="49"/>
      <c r="L71" s="49"/>
      <c r="M71" s="49"/>
      <c r="N71" s="49"/>
      <c r="O71" s="49"/>
      <c r="P71" s="49"/>
      <c r="Q71" s="49"/>
      <c r="R71" s="82"/>
      <c r="S71" s="82"/>
      <c r="T71" s="75"/>
      <c r="U71" s="75"/>
      <c r="V71" s="75"/>
      <c r="W71" s="75"/>
      <c r="X71" s="75"/>
      <c r="Y71" s="75"/>
      <c r="Z71" s="506"/>
      <c r="AA71" s="500"/>
    </row>
    <row r="72" spans="1:27" ht="15.75" customHeight="1" thickBot="1">
      <c r="A72" s="106" t="s">
        <v>895</v>
      </c>
      <c r="B72" s="133"/>
      <c r="C72" s="133"/>
      <c r="D72" s="135"/>
      <c r="E72" s="777"/>
      <c r="F72" s="75"/>
      <c r="G72" s="89"/>
      <c r="H72" s="89"/>
      <c r="I72" s="49"/>
      <c r="J72" s="74"/>
      <c r="K72" s="49"/>
      <c r="L72" s="49"/>
      <c r="M72" s="49"/>
      <c r="N72" s="49"/>
      <c r="O72" s="49"/>
      <c r="P72" s="49"/>
      <c r="Q72" s="49"/>
      <c r="R72" s="82"/>
      <c r="S72" s="82"/>
      <c r="T72" s="75"/>
      <c r="U72" s="75"/>
      <c r="V72" s="75"/>
      <c r="W72" s="75"/>
      <c r="X72" s="75"/>
      <c r="Y72" s="75"/>
      <c r="Z72" s="506"/>
      <c r="AA72" s="500"/>
    </row>
    <row r="73" spans="1:27" ht="15.75" customHeight="1" thickBot="1">
      <c r="A73" s="454"/>
      <c r="B73" s="508"/>
      <c r="C73" s="508"/>
      <c r="D73" s="818" t="str">
        <f>CHOOSE(MODE, "Min Load Current, IOUT_min ", "Min Load Current, IOUT1_min")</f>
        <v xml:space="preserve">Min Load Current, IOUT_min </v>
      </c>
      <c r="E73" s="886">
        <v>0.1</v>
      </c>
      <c r="F73" s="887" t="s">
        <v>1</v>
      </c>
      <c r="G73" s="89"/>
      <c r="H73" s="422"/>
      <c r="I73" s="584"/>
      <c r="J73" s="584"/>
      <c r="K73" s="788" t="str">
        <f>CHOOSE(MODE, " ", "Min Load Current, IOUT2min")</f>
        <v xml:space="preserve"> </v>
      </c>
      <c r="L73" s="897">
        <v>5.0000000000000001E-4</v>
      </c>
      <c r="M73" s="890" t="str">
        <f>CHOOSE(MODE, "", "A")</f>
        <v/>
      </c>
      <c r="N73" s="49"/>
      <c r="O73" s="49"/>
      <c r="P73" s="49"/>
      <c r="Q73" s="49"/>
      <c r="R73" s="82"/>
      <c r="S73" s="82"/>
      <c r="T73" s="75"/>
      <c r="U73" s="75"/>
      <c r="V73" s="75"/>
      <c r="W73" s="75"/>
      <c r="X73" s="75"/>
      <c r="Y73" s="75"/>
      <c r="Z73" s="506"/>
      <c r="AA73" s="500"/>
    </row>
    <row r="74" spans="1:27" ht="15.75" customHeight="1">
      <c r="A74" s="134"/>
      <c r="B74" s="133"/>
      <c r="C74" s="133"/>
      <c r="D74" s="149" t="str">
        <f>CHOOSE(MODE, "Max VOUT Limit","Max VOUT1 Limit")</f>
        <v>Max VOUT Limit</v>
      </c>
      <c r="E74" s="883">
        <v>24000</v>
      </c>
      <c r="F74" s="888" t="s">
        <v>0</v>
      </c>
      <c r="G74" s="881"/>
      <c r="H74" s="88"/>
      <c r="I74" s="49"/>
      <c r="J74" s="49"/>
      <c r="K74" s="86" t="str">
        <f>CHOOSE(MODE,"","Max Output Voltage Limit, VOUT2max")</f>
        <v/>
      </c>
      <c r="L74" s="898">
        <v>31</v>
      </c>
      <c r="M74" s="891" t="str">
        <f>CHOOSE(MODE,"","V")</f>
        <v/>
      </c>
      <c r="N74" s="49"/>
      <c r="O74" s="49"/>
      <c r="P74" s="49"/>
      <c r="Q74" s="49"/>
      <c r="R74" s="82"/>
      <c r="S74" s="82"/>
      <c r="T74" s="75"/>
      <c r="U74" s="75"/>
      <c r="V74" s="75"/>
      <c r="W74" s="75"/>
      <c r="X74" s="75"/>
      <c r="Y74" s="75"/>
      <c r="Z74" s="506"/>
      <c r="AA74" s="500"/>
    </row>
    <row r="75" spans="1:27" ht="15.75" customHeight="1">
      <c r="A75" s="134"/>
      <c r="B75" s="133"/>
      <c r="C75" s="133"/>
      <c r="D75" s="135" t="str">
        <f>CHOOSE(MODE," Zener Clamp Dz or Dymmy Load Rdmy","Zener Clamp Dz1 or Dummy Load Rdmy1")</f>
        <v xml:space="preserve"> Zener Clamp Dz or Dymmy Load Rdmy</v>
      </c>
      <c r="E75" s="889" t="str">
        <f>CHOOSE(MODE, IF('Calculations - Single'!G329="Yes",IF(E74&gt;ROUND(Vout*11.25,0)/10, IF(E74/E10&gt;1.4,"None", "Dz"), "Rdmy"), "None"), IF('Calculations - Dual'!G329="Yes",IF(E74&gt;ROUND(Vout*11.25,0)/10, IF(E74/E10&gt;1.4,"None","Dz1"), "Rdmy1"), "None"))</f>
        <v>None</v>
      </c>
      <c r="F75" s="867"/>
      <c r="G75" s="896"/>
      <c r="H75" s="88"/>
      <c r="I75" s="49"/>
      <c r="J75" s="49"/>
      <c r="K75" s="87" t="str">
        <f>CHOOSE(MODE,"","Zener Clamp Dz2 or Dummy Load Rdmy2")</f>
        <v/>
      </c>
      <c r="L75" s="899" t="str">
        <f>CHOOSE(MODE, "", IF('Calculations - Dual'!N329="Yes",IF(ABS(L74)&gt;ROUND(Vout2*11.25,0)/10, IF(L74/Vout2&gt;1.4,"None","Dz2"), "Rdmy2"), "None"))</f>
        <v/>
      </c>
      <c r="M75" s="892"/>
      <c r="N75" s="49"/>
      <c r="O75" s="49"/>
      <c r="P75" s="49"/>
      <c r="Q75" s="49"/>
      <c r="R75" s="82"/>
      <c r="S75" s="82"/>
      <c r="T75" s="75"/>
      <c r="U75" s="75"/>
      <c r="V75" s="75"/>
      <c r="W75" s="75"/>
      <c r="X75" s="75"/>
      <c r="Y75" s="75"/>
      <c r="Z75" s="506"/>
      <c r="AA75" s="500"/>
    </row>
    <row r="76" spans="1:27" ht="15.75" customHeight="1" thickBot="1">
      <c r="A76" s="134"/>
      <c r="B76" s="133"/>
      <c r="C76" s="133"/>
      <c r="D76" s="135" t="s">
        <v>959</v>
      </c>
      <c r="E76" s="916" t="str">
        <f>CHOOSE(MODE,IF(OR(E75="Rdmy",E75="Rdmy1"),'Standard Value Calculator'!J23,IF(E75="None","None",ROUND(E74/0.0105,0)/100)),IF(OR(E75="Rdmy",E75="Rdmy1"),'Standard Value Calculator'!J24,IF(E75="None","None",ROUND(E74/0.0105,0)/100)))</f>
        <v>None</v>
      </c>
      <c r="F76" s="867" t="str">
        <f>IF(OR(E75="DZ", E75="DZ1"), "V", IF(OR(E75="Rdmy", E75="Rdmy1"),"Ohm", ""))</f>
        <v/>
      </c>
      <c r="G76" s="882"/>
      <c r="H76" s="876"/>
      <c r="I76" s="211"/>
      <c r="J76" s="213"/>
      <c r="K76" s="87" t="str">
        <f>CHOOSE(MODE, "", "Selection "&amp;IF(L75="Dz", "Zener Clamp (5%)", IF(L75="Rdym", "Dummy Load (1%)", "")))</f>
        <v/>
      </c>
      <c r="L76" s="858" t="str">
        <f>CHOOSE(MODE,"",IF(L75="Rdmy2",'Standard Value Calculator'!J25,IF(L75="None","None",ROUND(ABS(L74)/0.0105,0)/100)))</f>
        <v/>
      </c>
      <c r="M76" s="838" t="str">
        <f>IF(L75="DZ2", "V", IF(L75="Rdmy2","Ohm", ""))</f>
        <v/>
      </c>
      <c r="N76" s="49"/>
      <c r="O76" s="49"/>
      <c r="P76" s="49"/>
      <c r="Q76" s="49"/>
      <c r="R76" s="82"/>
      <c r="S76" s="82"/>
      <c r="T76" s="75"/>
      <c r="U76" s="75"/>
      <c r="V76" s="75"/>
      <c r="W76" s="75"/>
      <c r="X76" s="75"/>
      <c r="Y76" s="75"/>
      <c r="Z76" s="506"/>
      <c r="AA76" s="500"/>
    </row>
    <row r="77" spans="1:27" ht="15.75" customHeight="1" thickBot="1">
      <c r="A77" s="787"/>
      <c r="B77" s="151"/>
      <c r="C77" s="151"/>
      <c r="D77" s="507" t="s">
        <v>897</v>
      </c>
      <c r="E77" s="870" t="str">
        <f>IF(OR(E75="Rdmy",E75="Rdmy1"),(Vout*1.08)^2/E76*4, IF(OR(E75="Dz",E75="Dz1"), E76*1.065*E73*4*1*0+'Standard Value Calculator'!I27*5, "N/A"))</f>
        <v>N/A</v>
      </c>
      <c r="F77" s="871" t="s">
        <v>45</v>
      </c>
      <c r="G77" s="89"/>
      <c r="H77" s="893"/>
      <c r="I77" s="894"/>
      <c r="J77" s="895"/>
      <c r="K77" s="208" t="str">
        <f>CHOOSE(MODE, "", "Selected Device Min Power Rating&gt;")</f>
        <v/>
      </c>
      <c r="L77" s="560" t="str">
        <f>CHOOSE(MODE, "", IF(L75="Rdmy2",(Vout2*1.08)^2/L76*4, IF(L75="Dz2", ABS(L60*1.065*L73*4*0+'Standard Value Calculator'!I29*5), "")))</f>
        <v/>
      </c>
      <c r="M77" s="816" t="str">
        <f>CHOOSE(MODE, "", "W")</f>
        <v/>
      </c>
      <c r="N77" s="49"/>
      <c r="O77" s="49"/>
      <c r="P77" s="49"/>
      <c r="Q77" s="49"/>
      <c r="R77" s="82"/>
      <c r="S77" s="82"/>
      <c r="T77" s="75"/>
      <c r="U77" s="75"/>
      <c r="V77" s="75"/>
      <c r="W77" s="75"/>
      <c r="X77" s="75"/>
      <c r="Y77" s="75"/>
      <c r="Z77" s="506"/>
      <c r="AA77" s="500"/>
    </row>
    <row r="78" spans="1:27" ht="15.75" customHeight="1">
      <c r="A78" s="134"/>
      <c r="B78" s="133"/>
      <c r="C78" s="133"/>
      <c r="D78" s="135"/>
      <c r="E78" s="777"/>
      <c r="F78" s="75"/>
      <c r="G78" s="89"/>
      <c r="H78" s="135"/>
      <c r="I78" s="211"/>
      <c r="J78" s="213"/>
      <c r="K78" s="82"/>
      <c r="L78" s="82"/>
      <c r="M78" s="49"/>
      <c r="N78" s="49"/>
      <c r="O78" s="49"/>
      <c r="P78" s="49"/>
      <c r="Q78" s="49"/>
      <c r="R78" s="82"/>
      <c r="S78" s="82"/>
      <c r="T78" s="75"/>
      <c r="U78" s="75"/>
      <c r="V78" s="75"/>
      <c r="W78" s="75"/>
      <c r="X78" s="75"/>
      <c r="Y78" s="75"/>
      <c r="Z78" s="506"/>
      <c r="AA78" s="500"/>
    </row>
    <row r="79" spans="1:27" ht="15.75" customHeight="1" thickBot="1">
      <c r="A79" s="455" t="s">
        <v>896</v>
      </c>
      <c r="B79" s="89"/>
      <c r="C79" s="89"/>
      <c r="D79" s="87"/>
      <c r="E79" s="99"/>
      <c r="F79" s="89"/>
      <c r="G79" s="89"/>
      <c r="H79" s="135"/>
      <c r="I79" s="211"/>
      <c r="J79" s="213"/>
      <c r="K79" s="82"/>
      <c r="L79" s="82"/>
      <c r="M79" s="49"/>
      <c r="N79" s="49"/>
      <c r="O79" s="49"/>
      <c r="P79" s="49"/>
      <c r="Q79" s="49"/>
      <c r="R79" s="82"/>
      <c r="S79" s="82"/>
      <c r="T79" s="75"/>
      <c r="U79" s="75"/>
      <c r="V79" s="75"/>
      <c r="W79" s="75"/>
      <c r="X79" s="75"/>
      <c r="Y79" s="75"/>
      <c r="Z79" s="506"/>
      <c r="AA79" s="500"/>
    </row>
    <row r="80" spans="1:27" ht="15.75" customHeight="1">
      <c r="A80" s="566"/>
      <c r="B80" s="501"/>
      <c r="C80" s="501"/>
      <c r="D80" s="567" t="s">
        <v>924</v>
      </c>
      <c r="E80" s="570">
        <v>0.5</v>
      </c>
      <c r="F80" s="568" t="s">
        <v>0</v>
      </c>
      <c r="G80" s="89"/>
      <c r="H80" s="135"/>
      <c r="I80" s="211"/>
      <c r="J80" s="213"/>
      <c r="K80" s="82"/>
      <c r="L80" s="82"/>
      <c r="M80" s="49"/>
      <c r="N80" s="49"/>
      <c r="O80" s="49"/>
      <c r="P80" s="49"/>
      <c r="Q80" s="49"/>
      <c r="R80" s="82"/>
      <c r="S80" s="82"/>
      <c r="T80" s="75"/>
      <c r="U80" s="75"/>
      <c r="V80" s="75"/>
      <c r="W80" s="75"/>
      <c r="X80" s="75"/>
      <c r="Y80" s="75"/>
      <c r="Z80" s="506"/>
      <c r="AA80" s="500"/>
    </row>
    <row r="81" spans="1:35" ht="15.75" customHeight="1">
      <c r="A81" s="425"/>
      <c r="B81" s="75"/>
      <c r="C81" s="75"/>
      <c r="D81" s="842" t="s">
        <v>925</v>
      </c>
      <c r="E81" s="844">
        <f>L31</f>
        <v>0.7</v>
      </c>
      <c r="F81" s="843" t="s">
        <v>0</v>
      </c>
      <c r="G81" s="89"/>
      <c r="H81" s="135"/>
      <c r="I81" s="211"/>
      <c r="J81" s="213"/>
      <c r="K81" s="82"/>
      <c r="L81" s="82"/>
      <c r="M81" s="49"/>
      <c r="N81" s="49"/>
      <c r="O81" s="49"/>
      <c r="P81" s="49"/>
      <c r="Q81" s="49"/>
      <c r="R81" s="82"/>
      <c r="S81" s="82"/>
      <c r="T81" s="75"/>
      <c r="U81" s="75"/>
      <c r="V81" s="75"/>
      <c r="W81" s="75"/>
      <c r="X81" s="75"/>
      <c r="Y81" s="75"/>
      <c r="Z81" s="506"/>
      <c r="AA81" s="500"/>
    </row>
    <row r="82" spans="1:35" ht="15.75" customHeight="1">
      <c r="A82" s="88"/>
      <c r="B82" s="133"/>
      <c r="C82" s="133"/>
      <c r="D82" s="135" t="s">
        <v>958</v>
      </c>
      <c r="E82" s="915">
        <v>52.8</v>
      </c>
      <c r="F82" s="914" t="s">
        <v>84</v>
      </c>
      <c r="G82" s="89"/>
      <c r="H82" s="135"/>
      <c r="I82" s="211"/>
      <c r="J82" s="213"/>
      <c r="K82" s="82"/>
      <c r="L82" s="82"/>
      <c r="M82" s="49"/>
      <c r="N82" s="49"/>
      <c r="O82" s="49"/>
      <c r="P82" s="49"/>
      <c r="Q82" s="49"/>
      <c r="R82" s="82"/>
      <c r="S82" s="82"/>
      <c r="T82" s="75"/>
      <c r="U82" s="75"/>
      <c r="V82" s="75"/>
      <c r="W82" s="75"/>
      <c r="X82" s="75"/>
      <c r="Y82" s="75"/>
      <c r="Z82" s="506"/>
      <c r="AA82" s="500"/>
    </row>
    <row r="83" spans="1:35" ht="15.75" customHeight="1">
      <c r="A83" s="88"/>
      <c r="B83" s="89"/>
      <c r="C83" s="89"/>
      <c r="D83" s="86" t="s">
        <v>505</v>
      </c>
      <c r="E83" s="565">
        <v>85</v>
      </c>
      <c r="F83" s="430" t="s">
        <v>102</v>
      </c>
      <c r="G83" s="89"/>
      <c r="H83" s="135"/>
      <c r="I83" s="211"/>
      <c r="J83" s="213"/>
      <c r="K83" s="82"/>
      <c r="L83" s="82"/>
      <c r="M83" s="49"/>
      <c r="N83" s="49"/>
      <c r="O83" s="49"/>
      <c r="P83" s="49"/>
      <c r="Q83" s="49"/>
      <c r="R83" s="82"/>
      <c r="S83" s="82"/>
      <c r="T83" s="75"/>
      <c r="U83" s="75"/>
      <c r="V83" s="75"/>
      <c r="W83" s="75"/>
      <c r="X83" s="75"/>
      <c r="Y83" s="75"/>
      <c r="Z83" s="506"/>
      <c r="AA83" s="500"/>
    </row>
    <row r="84" spans="1:35" ht="15.75" customHeight="1">
      <c r="A84" s="88"/>
      <c r="B84" s="89"/>
      <c r="C84" s="89"/>
      <c r="D84" s="87" t="s">
        <v>779</v>
      </c>
      <c r="E84" s="370">
        <f>CHOOSE(MODE, 'Calculations - Single'!BL105, 'Calculations - Dual'!BJ105)</f>
        <v>186.71460951570148</v>
      </c>
      <c r="F84" s="103" t="s">
        <v>293</v>
      </c>
      <c r="G84" s="89"/>
      <c r="H84" s="135"/>
      <c r="I84" s="211"/>
      <c r="J84" s="213"/>
      <c r="K84" s="82"/>
      <c r="L84" s="82"/>
      <c r="M84" s="49"/>
      <c r="N84" s="49"/>
      <c r="O84" s="49"/>
      <c r="P84" s="49"/>
      <c r="Q84" s="49"/>
      <c r="R84" s="82"/>
      <c r="S84" s="82"/>
      <c r="T84" s="75"/>
      <c r="U84" s="75"/>
      <c r="V84" s="75"/>
      <c r="W84" s="75"/>
      <c r="X84" s="75"/>
      <c r="Y84" s="75"/>
      <c r="Z84" s="506"/>
      <c r="AA84" s="500"/>
    </row>
    <row r="85" spans="1:35" ht="15.75" customHeight="1" thickBot="1">
      <c r="A85" s="101"/>
      <c r="B85" s="102"/>
      <c r="C85" s="102"/>
      <c r="D85" s="373" t="s">
        <v>780</v>
      </c>
      <c r="E85" s="512">
        <f>E83+E84/1000*ThetaJA</f>
        <v>94.858531382429035</v>
      </c>
      <c r="F85" s="431" t="s">
        <v>102</v>
      </c>
      <c r="G85" s="89"/>
      <c r="H85" s="135"/>
      <c r="I85" s="211"/>
      <c r="J85" s="213"/>
      <c r="K85" s="82"/>
      <c r="L85" s="82"/>
      <c r="M85" s="49"/>
      <c r="N85" s="49"/>
      <c r="O85" s="49"/>
      <c r="P85" s="49"/>
      <c r="Q85" s="49"/>
      <c r="R85" s="82"/>
      <c r="S85" s="82"/>
      <c r="T85" s="75"/>
      <c r="U85" s="75"/>
      <c r="V85" s="75"/>
      <c r="W85" s="75"/>
      <c r="X85" s="75"/>
      <c r="Y85" s="75"/>
      <c r="Z85" s="506"/>
      <c r="AA85" s="500"/>
    </row>
    <row r="86" spans="1:35" ht="15.75" customHeight="1" thickBot="1">
      <c r="A86" s="101"/>
      <c r="B86" s="104"/>
      <c r="C86" s="104"/>
      <c r="D86" s="104"/>
      <c r="E86" s="560"/>
      <c r="F86" s="104"/>
      <c r="G86" s="104"/>
      <c r="H86" s="104"/>
      <c r="I86" s="504"/>
      <c r="J86" s="504"/>
      <c r="K86" s="504"/>
      <c r="L86" s="504"/>
      <c r="M86" s="504"/>
      <c r="N86" s="504"/>
      <c r="O86" s="504"/>
      <c r="P86" s="504"/>
      <c r="Q86" s="504"/>
      <c r="R86" s="502"/>
      <c r="S86" s="502"/>
      <c r="T86" s="502"/>
      <c r="U86" s="503"/>
      <c r="V86" s="503"/>
      <c r="W86" s="502"/>
      <c r="X86" s="502"/>
      <c r="Y86" s="502"/>
      <c r="Z86" s="561"/>
      <c r="AA86" s="500"/>
      <c r="AB86" s="23"/>
      <c r="AC86" s="23"/>
      <c r="AD86" s="23"/>
      <c r="AG86" s="23"/>
      <c r="AH86" s="23"/>
      <c r="AI86" s="23"/>
    </row>
    <row r="87" spans="1:35">
      <c r="A87" s="415"/>
      <c r="B87" s="416"/>
      <c r="C87" s="417"/>
      <c r="D87" s="417"/>
      <c r="E87" s="417"/>
      <c r="F87" s="417"/>
      <c r="G87" s="417"/>
      <c r="H87" s="417"/>
      <c r="I87" s="417"/>
      <c r="J87" s="417"/>
      <c r="K87" s="417"/>
      <c r="L87" s="417"/>
      <c r="M87" s="417"/>
      <c r="N87" s="417"/>
      <c r="O87" s="417"/>
      <c r="P87" s="417"/>
      <c r="Q87" s="417"/>
      <c r="R87" s="414"/>
      <c r="S87" s="414"/>
      <c r="T87" s="414"/>
      <c r="U87" s="500"/>
      <c r="V87" s="500"/>
      <c r="W87" s="414"/>
      <c r="X87" s="414"/>
      <c r="Y87" s="414"/>
      <c r="Z87" s="500"/>
      <c r="AA87" s="500"/>
      <c r="AB87" s="23"/>
      <c r="AC87" s="23"/>
      <c r="AD87" s="23"/>
      <c r="AG87" s="23"/>
      <c r="AH87" s="23"/>
      <c r="AI87" s="23"/>
    </row>
    <row r="88" spans="1:35">
      <c r="A88" s="45"/>
      <c r="B88" s="45"/>
      <c r="C88" s="45"/>
      <c r="D88" s="45"/>
      <c r="E88" s="45"/>
      <c r="F88" s="45"/>
      <c r="G88" s="45"/>
      <c r="H88" s="45"/>
      <c r="I88" s="45"/>
      <c r="J88" s="45"/>
      <c r="K88" s="45" t="s">
        <v>849</v>
      </c>
      <c r="L88" s="45"/>
      <c r="M88" s="45"/>
      <c r="N88" s="45"/>
      <c r="O88" s="45"/>
      <c r="P88" s="45"/>
      <c r="Q88" s="45"/>
      <c r="R88" s="23"/>
      <c r="S88" s="23"/>
      <c r="T88" s="23"/>
      <c r="W88" s="23"/>
      <c r="X88" s="23"/>
      <c r="Y88" s="23"/>
      <c r="AB88" s="23"/>
      <c r="AC88" s="23"/>
      <c r="AD88" s="23"/>
      <c r="AG88" s="23"/>
      <c r="AH88" s="23"/>
      <c r="AI88" s="23"/>
    </row>
    <row r="89" spans="1:35">
      <c r="B89" s="45"/>
      <c r="C89" s="45"/>
      <c r="D89" s="45"/>
      <c r="E89" s="45"/>
      <c r="F89" s="45"/>
      <c r="G89" s="45"/>
      <c r="H89" s="45"/>
      <c r="I89" s="45"/>
      <c r="J89" s="45"/>
      <c r="K89" s="45"/>
      <c r="L89" s="45"/>
      <c r="R89" s="23"/>
      <c r="S89" s="23"/>
      <c r="T89" s="23"/>
      <c r="W89" s="23"/>
      <c r="X89" s="23"/>
      <c r="Y89" s="23"/>
      <c r="AB89" s="23"/>
      <c r="AC89" s="23"/>
      <c r="AD89" s="23"/>
      <c r="AG89" s="23"/>
      <c r="AH89" s="23"/>
      <c r="AI89" s="23"/>
    </row>
    <row r="90" spans="1:35">
      <c r="B90" s="45"/>
      <c r="C90" s="45"/>
      <c r="D90" s="45"/>
      <c r="E90" s="45"/>
      <c r="F90" s="45"/>
      <c r="G90" s="45"/>
      <c r="H90" s="45"/>
      <c r="I90" s="45"/>
      <c r="J90" s="45"/>
      <c r="K90" s="45"/>
      <c r="L90" s="45"/>
      <c r="R90" s="23"/>
      <c r="S90" s="23"/>
      <c r="T90" s="23"/>
      <c r="W90" s="23"/>
      <c r="X90" s="23"/>
      <c r="Y90" s="23"/>
      <c r="AB90" s="23"/>
      <c r="AC90" s="23"/>
      <c r="AD90" s="23"/>
      <c r="AG90" s="23"/>
      <c r="AH90" s="23"/>
      <c r="AI90" s="23"/>
    </row>
    <row r="91" spans="1:35">
      <c r="B91" s="45"/>
      <c r="C91" s="45"/>
      <c r="D91" s="45"/>
      <c r="E91" s="45"/>
      <c r="F91" s="45"/>
      <c r="G91" s="45"/>
      <c r="H91" s="45"/>
      <c r="I91" s="45"/>
      <c r="J91" s="45"/>
      <c r="K91" s="45"/>
      <c r="L91" s="45"/>
      <c r="R91" s="23"/>
      <c r="S91" s="23"/>
      <c r="T91" s="23"/>
      <c r="W91" s="23"/>
      <c r="X91" s="23"/>
      <c r="Y91" s="23"/>
      <c r="AB91" s="23"/>
      <c r="AC91" s="23"/>
      <c r="AD91" s="23"/>
      <c r="AG91" s="23"/>
      <c r="AH91" s="23"/>
      <c r="AI91" s="23"/>
    </row>
    <row r="92" spans="1:35">
      <c r="B92" s="45"/>
      <c r="C92" s="45"/>
      <c r="D92" s="45"/>
      <c r="E92" s="45"/>
      <c r="F92" s="45"/>
      <c r="G92" s="45"/>
      <c r="H92" s="45"/>
      <c r="I92" s="45"/>
      <c r="J92" s="45"/>
      <c r="K92" s="45"/>
      <c r="L92" s="45"/>
      <c r="R92" s="23"/>
      <c r="S92" s="23"/>
      <c r="T92" s="23"/>
      <c r="W92" s="23"/>
      <c r="X92" s="23"/>
      <c r="Y92" s="23"/>
      <c r="AB92" s="23"/>
      <c r="AC92" s="23"/>
      <c r="AD92" s="23"/>
      <c r="AG92" s="23"/>
      <c r="AH92" s="23"/>
      <c r="AI92" s="23"/>
    </row>
  </sheetData>
  <sheetProtection algorithmName="SHA-512" hashValue="Sk+SkT6Lk/8Q0+YFQX3UcaCptwzFF7tlQ+F707yXLSKW4rcu2tVjAJdyknIe/5s49J+/wLoSSRxN4R5P9KvPOA==" saltValue="ggJkC+AbmD1efsCHBmxP4Q==" spinCount="100000" sheet="1" selectLockedCells="1"/>
  <phoneticPr fontId="6" type="noConversion"/>
  <conditionalFormatting sqref="E10">
    <cfRule type="cellIs" dxfId="78" priority="148" stopIfTrue="1" operator="notBetween">
      <formula>-200</formula>
      <formula>200</formula>
    </cfRule>
  </conditionalFormatting>
  <conditionalFormatting sqref="E34">
    <cfRule type="cellIs" dxfId="77" priority="145" stopIfTrue="1" operator="lessThan">
      <formula>$E$33</formula>
    </cfRule>
  </conditionalFormatting>
  <conditionalFormatting sqref="E30">
    <cfRule type="cellIs" dxfId="76" priority="141" stopIfTrue="1" operator="lessThan">
      <formula>$E$29</formula>
    </cfRule>
  </conditionalFormatting>
  <conditionalFormatting sqref="E31">
    <cfRule type="cellIs" dxfId="75" priority="140" stopIfTrue="1" operator="equal">
      <formula>0</formula>
    </cfRule>
  </conditionalFormatting>
  <conditionalFormatting sqref="E48">
    <cfRule type="cellIs" dxfId="74" priority="137" operator="notBetween">
      <formula>100</formula>
      <formula>4.5</formula>
    </cfRule>
    <cfRule type="cellIs" dxfId="73" priority="3" operator="greaterThanOrEqual">
      <formula>$E$6</formula>
    </cfRule>
  </conditionalFormatting>
  <conditionalFormatting sqref="E42">
    <cfRule type="cellIs" dxfId="72" priority="135" operator="lessThan">
      <formula>6</formula>
    </cfRule>
  </conditionalFormatting>
  <conditionalFormatting sqref="E42:F42">
    <cfRule type="expression" dxfId="71" priority="119">
      <formula>OR(MODE_SS=2,MODE_SS=3)</formula>
    </cfRule>
  </conditionalFormatting>
  <conditionalFormatting sqref="D42">
    <cfRule type="expression" dxfId="70" priority="118">
      <formula>OR(MODE_SS=2,MODE_SS=3)</formula>
    </cfRule>
  </conditionalFormatting>
  <conditionalFormatting sqref="D43:F43">
    <cfRule type="expression" dxfId="69" priority="117">
      <formula>OR(MODE_SS=2,MODE_SS=3)</formula>
    </cfRule>
  </conditionalFormatting>
  <conditionalFormatting sqref="D48">
    <cfRule type="expression" dxfId="68" priority="115">
      <formula>MODE_UVLO=2</formula>
    </cfRule>
  </conditionalFormatting>
  <conditionalFormatting sqref="E85">
    <cfRule type="cellIs" dxfId="67" priority="97" operator="notBetween">
      <formula>-40</formula>
      <formula>150</formula>
    </cfRule>
  </conditionalFormatting>
  <conditionalFormatting sqref="E83">
    <cfRule type="cellIs" dxfId="66" priority="96" operator="notBetween">
      <formula>-40</formula>
      <formula>150</formula>
    </cfRule>
  </conditionalFormatting>
  <conditionalFormatting sqref="F33">
    <cfRule type="cellIs" dxfId="65" priority="95" stopIfTrue="1" operator="lessThanOrEqual">
      <formula>0</formula>
    </cfRule>
  </conditionalFormatting>
  <conditionalFormatting sqref="F50:F51">
    <cfRule type="expression" dxfId="64" priority="87">
      <formula>MODE_UVLO=2</formula>
    </cfRule>
  </conditionalFormatting>
  <conditionalFormatting sqref="F29">
    <cfRule type="cellIs" dxfId="63" priority="77" stopIfTrue="1" operator="lessThanOrEqual">
      <formula>0</formula>
    </cfRule>
  </conditionalFormatting>
  <conditionalFormatting sqref="J51:J52">
    <cfRule type="cellIs" dxfId="62" priority="159" stopIfTrue="1" operator="notBetween">
      <formula>600</formula>
      <formula>50</formula>
    </cfRule>
    <cfRule type="cellIs" dxfId="61" priority="160" stopIfTrue="1" operator="greaterThan">
      <formula>$E$9</formula>
    </cfRule>
  </conditionalFormatting>
  <conditionalFormatting sqref="E12">
    <cfRule type="cellIs" dxfId="60" priority="75" operator="notBetween">
      <formula>-200</formula>
      <formula>200</formula>
    </cfRule>
  </conditionalFormatting>
  <conditionalFormatting sqref="E13">
    <cfRule type="expression" dxfId="59" priority="74">
      <formula>($E$12*$E$13)&lt;0</formula>
    </cfRule>
  </conditionalFormatting>
  <conditionalFormatting sqref="E35">
    <cfRule type="cellIs" dxfId="58" priority="69" stopIfTrue="1" operator="equal">
      <formula>0</formula>
    </cfRule>
  </conditionalFormatting>
  <conditionalFormatting sqref="D45">
    <cfRule type="expression" dxfId="57" priority="64">
      <formula>OR(TC=2)</formula>
    </cfRule>
  </conditionalFormatting>
  <conditionalFormatting sqref="D46:F46 E45:F45">
    <cfRule type="expression" dxfId="56" priority="63">
      <formula>OR(TC=2)</formula>
    </cfRule>
  </conditionalFormatting>
  <conditionalFormatting sqref="L35">
    <cfRule type="cellIs" dxfId="55" priority="57" stopIfTrue="1" operator="equal">
      <formula>0</formula>
    </cfRule>
  </conditionalFormatting>
  <conditionalFormatting sqref="L34">
    <cfRule type="cellIs" dxfId="54" priority="59" stopIfTrue="1" operator="lessThan">
      <formula>$L$33</formula>
    </cfRule>
  </conditionalFormatting>
  <conditionalFormatting sqref="M33">
    <cfRule type="cellIs" dxfId="53" priority="58" stopIfTrue="1" operator="lessThanOrEqual">
      <formula>0</formula>
    </cfRule>
  </conditionalFormatting>
  <conditionalFormatting sqref="W63">
    <cfRule type="cellIs" dxfId="52" priority="44" stopIfTrue="1" operator="notBetween">
      <formula>100</formula>
      <formula>4.5</formula>
    </cfRule>
  </conditionalFormatting>
  <conditionalFormatting sqref="E7">
    <cfRule type="cellIs" dxfId="51" priority="7" operator="notBetween">
      <formula>$E$6</formula>
      <formula>100</formula>
    </cfRule>
  </conditionalFormatting>
  <conditionalFormatting sqref="E8">
    <cfRule type="cellIs" dxfId="50" priority="41" operator="notBetween">
      <formula>$E$7</formula>
      <formula>100</formula>
    </cfRule>
  </conditionalFormatting>
  <conditionalFormatting sqref="E17">
    <cfRule type="cellIs" dxfId="49" priority="38" stopIfTrue="1" operator="greaterThan">
      <formula>$E$16</formula>
    </cfRule>
  </conditionalFormatting>
  <conditionalFormatting sqref="E58">
    <cfRule type="cellIs" dxfId="48" priority="25" operator="greaterThan">
      <formula>$E$57</formula>
    </cfRule>
  </conditionalFormatting>
  <conditionalFormatting sqref="E23">
    <cfRule type="cellIs" dxfId="47" priority="198" stopIfTrue="1" operator="lessThan">
      <formula>$E$22</formula>
    </cfRule>
  </conditionalFormatting>
  <conditionalFormatting sqref="E48:F49">
    <cfRule type="expression" dxfId="46" priority="21">
      <formula>OR(MODE_UVLO=2)</formula>
    </cfRule>
  </conditionalFormatting>
  <conditionalFormatting sqref="C50:E50">
    <cfRule type="expression" dxfId="45" priority="20">
      <formula>OR(MODE_UVLO=2)</formula>
    </cfRule>
  </conditionalFormatting>
  <conditionalFormatting sqref="C51:E51">
    <cfRule type="expression" dxfId="44" priority="19">
      <formula>OR(MODE_UVLO=2)</formula>
    </cfRule>
  </conditionalFormatting>
  <conditionalFormatting sqref="S31">
    <cfRule type="cellIs" dxfId="43" priority="13" operator="notBetween">
      <formula>0.3</formula>
      <formula>1.5</formula>
    </cfRule>
  </conditionalFormatting>
  <conditionalFormatting sqref="E80">
    <cfRule type="cellIs" dxfId="42" priority="12" operator="greaterThan">
      <formula>$E$81</formula>
    </cfRule>
  </conditionalFormatting>
  <conditionalFormatting sqref="E6">
    <cfRule type="cellIs" dxfId="41" priority="8" operator="notBetween">
      <formula>4.5</formula>
      <formula>100</formula>
    </cfRule>
  </conditionalFormatting>
  <conditionalFormatting sqref="E74">
    <cfRule type="cellIs" dxfId="40" priority="6" operator="lessThan">
      <formula>$E$10*1.03</formula>
    </cfRule>
  </conditionalFormatting>
  <conditionalFormatting sqref="L74">
    <cfRule type="cellIs" dxfId="39" priority="5" operator="lessThan">
      <formula>$E$12*1.03</formula>
    </cfRule>
  </conditionalFormatting>
  <conditionalFormatting sqref="E40">
    <cfRule type="cellIs" dxfId="38" priority="4" operator="notBetween">
      <formula>$E$39*0.969</formula>
      <formula>$E$39*1.031</formula>
    </cfRule>
  </conditionalFormatting>
  <conditionalFormatting sqref="E49">
    <cfRule type="cellIs" dxfId="37" priority="2" operator="greaterThanOrEqual">
      <formula>$E$48</formula>
    </cfRule>
    <cfRule type="cellIs" dxfId="36" priority="1" operator="notBetween">
      <formula>4.5</formula>
      <formula>100</formula>
    </cfRule>
  </conditionalFormatting>
  <hyperlinks>
    <hyperlink ref="C3" r:id="rId1" xr:uid="{00000000-0004-0000-0000-000000000000}"/>
  </hyperlinks>
  <printOptions horizontalCentered="1" verticalCentered="1"/>
  <pageMargins left="0.1" right="0.1" top="0.1" bottom="0.1" header="0.25" footer="0.25"/>
  <pageSetup scale="61" orientation="landscape" r:id="rId2"/>
  <headerFooter alignWithMargins="0"/>
  <rowBreaks count="1" manualBreakCount="1">
    <brk id="87" max="16383" man="1"/>
  </row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751583" r:id="rId6" name="Drop Down 6111">
              <controlPr defaultSize="0" autoLine="0" autoPict="0">
                <anchor moveWithCells="1">
                  <from>
                    <xdr:col>24</xdr:col>
                    <xdr:colOff>304800</xdr:colOff>
                    <xdr:row>0</xdr:row>
                    <xdr:rowOff>412750</xdr:rowOff>
                  </from>
                  <to>
                    <xdr:col>25</xdr:col>
                    <xdr:colOff>222250</xdr:colOff>
                    <xdr:row>1</xdr:row>
                    <xdr:rowOff>63500</xdr:rowOff>
                  </to>
                </anchor>
              </controlPr>
            </control>
          </mc:Choice>
        </mc:AlternateContent>
        <mc:AlternateContent xmlns:mc="http://schemas.openxmlformats.org/markup-compatibility/2006">
          <mc:Choice Requires="x14">
            <control shapeId="672935" r:id="rId7" name="Drop Down 167">
              <controlPr defaultSize="0" autoLine="0" autoPict="0">
                <anchor moveWithCells="1">
                  <from>
                    <xdr:col>4</xdr:col>
                    <xdr:colOff>12700</xdr:colOff>
                    <xdr:row>40</xdr:row>
                    <xdr:rowOff>0</xdr:rowOff>
                  </from>
                  <to>
                    <xdr:col>5</xdr:col>
                    <xdr:colOff>279400</xdr:colOff>
                    <xdr:row>41</xdr:row>
                    <xdr:rowOff>31750</xdr:rowOff>
                  </to>
                </anchor>
              </controlPr>
            </control>
          </mc:Choice>
        </mc:AlternateContent>
        <mc:AlternateContent xmlns:mc="http://schemas.openxmlformats.org/markup-compatibility/2006">
          <mc:Choice Requires="x14">
            <control shapeId="673043" r:id="rId8" name="Drop Down 275">
              <controlPr defaultSize="0" autoLine="0" autoPict="0">
                <anchor moveWithCells="1">
                  <from>
                    <xdr:col>4</xdr:col>
                    <xdr:colOff>12700</xdr:colOff>
                    <xdr:row>46</xdr:row>
                    <xdr:rowOff>0</xdr:rowOff>
                  </from>
                  <to>
                    <xdr:col>5</xdr:col>
                    <xdr:colOff>260350</xdr:colOff>
                    <xdr:row>46</xdr:row>
                    <xdr:rowOff>203200</xdr:rowOff>
                  </to>
                </anchor>
              </controlPr>
            </control>
          </mc:Choice>
        </mc:AlternateContent>
        <mc:AlternateContent xmlns:mc="http://schemas.openxmlformats.org/markup-compatibility/2006">
          <mc:Choice Requires="x14">
            <control shapeId="697343" r:id="rId9" name="Drop Down 3071">
              <controlPr defaultSize="0" autoLine="0" autoPict="0">
                <anchor moveWithCells="1">
                  <from>
                    <xdr:col>11</xdr:col>
                    <xdr:colOff>12700</xdr:colOff>
                    <xdr:row>12</xdr:row>
                    <xdr:rowOff>0</xdr:rowOff>
                  </from>
                  <to>
                    <xdr:col>12</xdr:col>
                    <xdr:colOff>69850</xdr:colOff>
                    <xdr:row>13</xdr:row>
                    <xdr:rowOff>6350</xdr:rowOff>
                  </to>
                </anchor>
              </controlPr>
            </control>
          </mc:Choice>
        </mc:AlternateContent>
        <mc:AlternateContent xmlns:mc="http://schemas.openxmlformats.org/markup-compatibility/2006">
          <mc:Choice Requires="x14">
            <control shapeId="714798" r:id="rId10" name="Drop Down 3118">
              <controlPr defaultSize="0" autoLine="0" autoPict="0">
                <anchor moveWithCells="1">
                  <from>
                    <xdr:col>4</xdr:col>
                    <xdr:colOff>0</xdr:colOff>
                    <xdr:row>43</xdr:row>
                    <xdr:rowOff>12700</xdr:rowOff>
                  </from>
                  <to>
                    <xdr:col>5</xdr:col>
                    <xdr:colOff>266700</xdr:colOff>
                    <xdr:row>44</xdr:row>
                    <xdr:rowOff>12700</xdr:rowOff>
                  </to>
                </anchor>
              </controlPr>
            </control>
          </mc:Choice>
        </mc:AlternateContent>
        <mc:AlternateContent xmlns:mc="http://schemas.openxmlformats.org/markup-compatibility/2006">
          <mc:Choice Requires="x14">
            <control shapeId="715085" r:id="rId11" name="Drop Down 3405">
              <controlPr locked="0" defaultSize="0" autoLine="0" autoPict="0">
                <anchor moveWithCells="1">
                  <from>
                    <xdr:col>4</xdr:col>
                    <xdr:colOff>0</xdr:colOff>
                    <xdr:row>7</xdr:row>
                    <xdr:rowOff>190500</xdr:rowOff>
                  </from>
                  <to>
                    <xdr:col>5</xdr:col>
                    <xdr:colOff>76200</xdr:colOff>
                    <xdr:row>8</xdr:row>
                    <xdr:rowOff>190500</xdr:rowOff>
                  </to>
                </anchor>
              </controlPr>
            </control>
          </mc:Choice>
        </mc:AlternateContent>
        <mc:AlternateContent xmlns:mc="http://schemas.openxmlformats.org/markup-compatibility/2006">
          <mc:Choice Requires="x14">
            <control shapeId="672895" r:id="rId12" name="Spinner 127">
              <controlPr defaultSize="0" autoPict="0">
                <anchor moveWithCells="1" sizeWithCells="1">
                  <from>
                    <xdr:col>5</xdr:col>
                    <xdr:colOff>127000</xdr:colOff>
                    <xdr:row>6</xdr:row>
                    <xdr:rowOff>12700</xdr:rowOff>
                  </from>
                  <to>
                    <xdr:col>5</xdr:col>
                    <xdr:colOff>304800</xdr:colOff>
                    <xdr:row>7</xdr:row>
                    <xdr:rowOff>31750</xdr:rowOff>
                  </to>
                </anchor>
              </controlPr>
            </control>
          </mc:Choice>
        </mc:AlternateContent>
        <mc:AlternateContent xmlns:mc="http://schemas.openxmlformats.org/markup-compatibility/2006">
          <mc:Choice Requires="x14">
            <control shapeId="751280" r:id="rId13" name="Spinner 5808">
              <controlPr defaultSize="0" autoPict="0">
                <anchor moveWithCells="1" sizeWithCells="1">
                  <from>
                    <xdr:col>23</xdr:col>
                    <xdr:colOff>127000</xdr:colOff>
                    <xdr:row>62</xdr:row>
                    <xdr:rowOff>12700</xdr:rowOff>
                  </from>
                  <to>
                    <xdr:col>23</xdr:col>
                    <xdr:colOff>304800</xdr:colOff>
                    <xdr:row>63</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9" id="{2F97F2FF-95A0-40C5-B045-6ADA68EA7C2F}">
            <xm:f>'Variable Mgmt'!$B$74</xm:f>
            <x14:dxf>
              <font>
                <strike val="0"/>
                <color theme="0"/>
              </font>
              <fill>
                <patternFill>
                  <bgColor theme="0"/>
                </patternFill>
              </fill>
            </x14:dxf>
          </x14:cfRule>
          <xm:sqref>E12:E13</xm:sqref>
        </x14:conditionalFormatting>
        <x14:conditionalFormatting xmlns:xm="http://schemas.microsoft.com/office/excel/2006/main">
          <x14:cfRule type="expression" priority="191" id="{9B976DD7-FFA8-454F-A63D-186A721FDF9C}">
            <xm:f>'Variable Mgmt'!$B$74</xm:f>
            <x14:dxf>
              <border>
                <bottom/>
                <vertical/>
                <horizontal/>
              </border>
            </x14:dxf>
          </x14:cfRule>
          <xm:sqref>A12:F13 A14:D14 F14</xm:sqref>
        </x14:conditionalFormatting>
        <x14:conditionalFormatting xmlns:xm="http://schemas.microsoft.com/office/excel/2006/main">
          <x14:cfRule type="expression" priority="192" id="{25C53C6F-CE07-4419-8FCF-F6B8FCD8434A}">
            <xm:f>'Variable Mgmt'!$B$74</xm:f>
            <x14:dxf>
              <border>
                <right/>
                <vertical/>
                <horizontal/>
              </border>
            </x14:dxf>
          </x14:cfRule>
          <xm:sqref>F12:F14</xm:sqref>
        </x14:conditionalFormatting>
        <x14:conditionalFormatting xmlns:xm="http://schemas.microsoft.com/office/excel/2006/main">
          <x14:cfRule type="expression" priority="62" id="{56BB0655-3B2C-4E9D-AD05-7700A46C30F4}">
            <xm:f>'Variable Mgmt'!$B$74=FALSE</xm:f>
            <x14:dxf>
              <border>
                <bottom/>
                <vertical/>
                <horizontal/>
              </border>
            </x14:dxf>
          </x14:cfRule>
          <xm:sqref>A12:F12</xm:sqref>
        </x14:conditionalFormatting>
        <x14:conditionalFormatting xmlns:xm="http://schemas.microsoft.com/office/excel/2006/main">
          <x14:cfRule type="expression" priority="61" id="{7DE853EF-1754-4C48-A140-FF26B3EC5CF8}">
            <xm:f>'Variable Mgmt'!$B$74=FALSE</xm:f>
            <x14:dxf>
              <border>
                <bottom/>
                <vertical/>
                <horizontal/>
              </border>
            </x14:dxf>
          </x14:cfRule>
          <xm:sqref>A11:F11</xm:sqref>
        </x14:conditionalFormatting>
        <x14:conditionalFormatting xmlns:xm="http://schemas.microsoft.com/office/excel/2006/main">
          <x14:cfRule type="expression" priority="56" id="{18CE8F81-B526-43C7-B5F1-BAA9C73809CD}">
            <xm:f>'Variable Mgmt'!$B$74=TRUE</xm:f>
            <x14:dxf>
              <font>
                <color theme="0"/>
              </font>
              <fill>
                <patternFill>
                  <bgColor theme="0"/>
                </patternFill>
              </fill>
              <border>
                <right/>
                <top/>
                <bottom/>
              </border>
            </x14:dxf>
          </x14:cfRule>
          <xm:sqref>K33:M36</xm:sqref>
        </x14:conditionalFormatting>
        <x14:conditionalFormatting xmlns:xm="http://schemas.microsoft.com/office/excel/2006/main">
          <x14:cfRule type="expression" priority="55" id="{B42E45EE-F49B-4512-9DB9-8B85B95C6919}">
            <xm:f>'Variable Mgmt'!$B$74=TRUE</xm:f>
            <x14:dxf>
              <border>
                <left/>
                <right/>
                <top/>
                <bottom/>
                <vertical/>
                <horizontal/>
              </border>
            </x14:dxf>
          </x14:cfRule>
          <xm:sqref>H33:J36</xm:sqref>
        </x14:conditionalFormatting>
        <x14:conditionalFormatting xmlns:xm="http://schemas.microsoft.com/office/excel/2006/main">
          <x14:cfRule type="expression" priority="54" id="{8076779E-531E-4945-9FF1-9C72CDB0D6DC}">
            <xm:f>'Variable Mgmt'!$B$74=TRUE</xm:f>
            <x14:dxf>
              <border>
                <top/>
                <bottom/>
                <vertical/>
                <horizontal/>
              </border>
            </x14:dxf>
          </x14:cfRule>
          <xm:sqref>G34:G35</xm:sqref>
        </x14:conditionalFormatting>
        <x14:conditionalFormatting xmlns:xm="http://schemas.microsoft.com/office/excel/2006/main">
          <x14:cfRule type="expression" priority="195" id="{2E385B5D-C8C9-48C7-B4AE-E1A8F27EB6E6}">
            <xm:f>Lmin_abs*0.000001&gt;'Variable Mgmt'!$B$96</xm:f>
            <x14:dxf>
              <font>
                <strike/>
                <color rgb="FFFF0000"/>
              </font>
            </x14:dxf>
          </x14:cfRule>
          <xm:sqref>L7</xm:sqref>
        </x14:conditionalFormatting>
        <x14:conditionalFormatting xmlns:xm="http://schemas.microsoft.com/office/excel/2006/main">
          <x14:cfRule type="expression" priority="196" id="{EE277573-B7FD-4D2F-97C3-CC46EAD89E7B}">
            <xm:f>AND('Variable Mgmt'!#REF!&gt;'Variable Mgmt'!$B$78*1/1000, MODE=1)</xm:f>
            <x14:dxf>
              <font>
                <b/>
                <i val="0"/>
                <color rgb="FFFF0000"/>
              </font>
            </x14:dxf>
          </x14:cfRule>
          <xm:sqref>L13</xm:sqref>
        </x14:conditionalFormatting>
        <x14:conditionalFormatting xmlns:xm="http://schemas.microsoft.com/office/excel/2006/main">
          <x14:cfRule type="expression" priority="53" id="{DA50B535-B6B5-4DFB-9CBC-C505A48C7EB5}">
            <xm:f>'Variable Mgmt'!$B$74=TRUE</xm:f>
            <x14:dxf>
              <font>
                <color theme="0"/>
              </font>
              <fill>
                <patternFill>
                  <bgColor theme="0"/>
                </patternFill>
              </fill>
            </x14:dxf>
          </x14:cfRule>
          <xm:sqref>L10</xm:sqref>
        </x14:conditionalFormatting>
        <x14:conditionalFormatting xmlns:xm="http://schemas.microsoft.com/office/excel/2006/main">
          <x14:cfRule type="expression" priority="51" id="{2E35C64D-1122-4B17-B495-E52D781938E1}">
            <xm:f>'Variable Mgmt'!$D$83=TRUE</xm:f>
            <x14:dxf>
              <font>
                <strike val="0"/>
                <color theme="0"/>
              </font>
              <fill>
                <patternFill>
                  <bgColor rgb="FFFF0000"/>
                </patternFill>
              </fill>
            </x14:dxf>
          </x14:cfRule>
          <xm:sqref>L15:M16</xm:sqref>
        </x14:conditionalFormatting>
        <x14:conditionalFormatting xmlns:xm="http://schemas.microsoft.com/office/excel/2006/main">
          <x14:cfRule type="expression" priority="49" id="{961AC190-666C-40F1-AF0E-45247CECAC28}">
            <xm:f>AND('Variable Mgmt'!#REF!&gt;'Variable Mgmt'!$B$78*1/1000, MODE=1)</xm:f>
            <x14:dxf>
              <font>
                <color rgb="FFFF0000"/>
              </font>
            </x14:dxf>
          </x14:cfRule>
          <xm:sqref>L24</xm:sqref>
        </x14:conditionalFormatting>
        <x14:conditionalFormatting xmlns:xm="http://schemas.microsoft.com/office/excel/2006/main">
          <x14:cfRule type="expression" priority="48" id="{461050CF-E84A-487F-98EC-3FE96E53D0D0}">
            <xm:f>AND('Variable Mgmt'!#REF!&gt;'Variable Mgmt'!$B$78*1/1000, MODE=1)</xm:f>
            <x14:dxf>
              <font>
                <color rgb="FFFF0000"/>
              </font>
            </x14:dxf>
          </x14:cfRule>
          <xm:sqref>L22</xm:sqref>
        </x14:conditionalFormatting>
        <x14:conditionalFormatting xmlns:xm="http://schemas.microsoft.com/office/excel/2006/main">
          <x14:cfRule type="expression" priority="47" id="{901FFC11-0194-41BF-B5C0-646916E32353}">
            <xm:f>AND('Variable Mgmt'!#REF!&gt;'Variable Mgmt'!$B$78*1/1000, MODE=1)</xm:f>
            <x14:dxf>
              <font>
                <color rgb="FFFF0000"/>
              </font>
            </x14:dxf>
          </x14:cfRule>
          <xm:sqref>L25</xm:sqref>
        </x14:conditionalFormatting>
        <x14:conditionalFormatting xmlns:xm="http://schemas.microsoft.com/office/excel/2006/main">
          <x14:cfRule type="expression" priority="197" id="{FB76FAF3-E114-4E5D-9585-0FED8547CF75}">
            <xm:f>'Variable Mgmt'!$D$48=TRUE</xm:f>
            <x14:dxf>
              <font>
                <b/>
                <i val="0"/>
                <color theme="0"/>
              </font>
              <fill>
                <patternFill patternType="solid">
                  <fgColor auto="1"/>
                  <bgColor rgb="FFFF0000"/>
                </patternFill>
              </fill>
            </x14:dxf>
          </x14:cfRule>
          <xm:sqref>L16:M16</xm:sqref>
        </x14:conditionalFormatting>
        <x14:conditionalFormatting xmlns:xm="http://schemas.microsoft.com/office/excel/2006/main">
          <x14:cfRule type="expression" priority="36" id="{FDC5A767-D495-475A-B6AD-F3FAFB5256A1}">
            <xm:f>AND('Variable Mgmt'!#REF!&gt;'Variable Mgmt'!$B$78*1/1000, MODE=1)</xm:f>
            <x14:dxf>
              <font>
                <color rgb="FFFF0000"/>
              </font>
            </x14:dxf>
          </x14:cfRule>
          <xm:sqref>L11</xm:sqref>
        </x14:conditionalFormatting>
        <x14:conditionalFormatting xmlns:xm="http://schemas.microsoft.com/office/excel/2006/main">
          <x14:cfRule type="expression" priority="35" id="{004998DE-C112-4A16-9357-8F0E103D9C84}">
            <xm:f>'Variable Mgmt'!$D$83=TRUE</xm:f>
            <x14:dxf>
              <font>
                <strike val="0"/>
                <color theme="0"/>
              </font>
              <fill>
                <patternFill>
                  <bgColor rgb="FFFF0000"/>
                </patternFill>
              </fill>
            </x14:dxf>
          </x14:cfRule>
          <xm:sqref>L12:M12</xm:sqref>
        </x14:conditionalFormatting>
        <x14:conditionalFormatting xmlns:xm="http://schemas.microsoft.com/office/excel/2006/main">
          <x14:cfRule type="expression" priority="28" id="{F1CB057B-DEBD-4CC6-A39A-8CCF4EB9AEA4}">
            <xm:f>AND('Variable Mgmt'!#REF!&gt;'Variable Mgmt'!$B$78*1/1000, MODE=1)</xm:f>
            <x14:dxf>
              <font>
                <color rgb="FFFF0000"/>
              </font>
            </x14:dxf>
          </x14:cfRule>
          <xm:sqref>L23</xm:sqref>
        </x14:conditionalFormatting>
        <x14:conditionalFormatting xmlns:xm="http://schemas.microsoft.com/office/excel/2006/main">
          <x14:cfRule type="expression" priority="14" id="{3BB56539-2E3C-47E6-AE6B-0D4CFCA3E58F}">
            <xm:f>'Variable Mgmt'!$B$74=TRUE</xm:f>
            <x14:dxf>
              <font>
                <color theme="0"/>
              </font>
              <fill>
                <patternFill>
                  <bgColor theme="0"/>
                </patternFill>
              </fill>
              <border>
                <right/>
                <top/>
                <bottom/>
                <vertical/>
                <horizontal/>
              </border>
            </x14:dxf>
          </x14:cfRule>
          <xm:sqref>N29:T31</xm:sqref>
        </x14:conditionalFormatting>
        <x14:conditionalFormatting xmlns:xm="http://schemas.microsoft.com/office/excel/2006/main">
          <x14:cfRule type="expression" priority="11" id="{39327DC7-FED1-4A11-B0EB-9DA33BE59322}">
            <xm:f>AND('Variable Mgmt'!#REF!&gt;'Variable Mgmt'!$B$78*1/1000, MODE=1)</xm:f>
            <x14:dxf>
              <font>
                <color rgb="FFFF0000"/>
              </font>
            </x14:dxf>
          </x14:cfRule>
          <xm:sqref>L26</xm:sqref>
        </x14:conditionalFormatting>
        <x14:conditionalFormatting xmlns:xm="http://schemas.microsoft.com/office/excel/2006/main">
          <x14:cfRule type="expression" priority="10" id="{0343908F-1CE4-4778-868E-05BB939E0494}">
            <xm:f>'Variable Mgmt'!$B$74=TRUE</xm:f>
            <x14:dxf>
              <font>
                <color theme="0"/>
              </font>
              <fill>
                <patternFill>
                  <bgColor theme="0"/>
                </patternFill>
              </fill>
              <border>
                <right/>
                <top/>
                <bottom/>
                <vertical/>
                <horizontal/>
              </border>
            </x14:dxf>
          </x14:cfRule>
          <xm:sqref>G67:M70</xm:sqref>
        </x14:conditionalFormatting>
        <x14:conditionalFormatting xmlns:xm="http://schemas.microsoft.com/office/excel/2006/main">
          <x14:cfRule type="expression" priority="9" id="{1E57FB43-6A30-4541-BAF2-E52CAF5FFFA7}">
            <xm:f>'Variable Mgmt'!$B$74=TRUE</xm:f>
            <x14:dxf>
              <font>
                <color theme="0"/>
              </font>
              <fill>
                <patternFill>
                  <bgColor theme="0"/>
                </patternFill>
              </fill>
              <border>
                <right/>
                <top/>
                <bottom/>
                <vertical/>
                <horizontal/>
              </border>
            </x14:dxf>
          </x14:cfRule>
          <xm:sqref>G73:M77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error="Selection is out of reasonable range!" xr:uid="{DB9BF754-8A1C-46C6-8BD1-90DBE37CFCCE}">
          <x14:formula1>
            <xm:f>'Stability Calculations'!$A$49:$A$96</xm:f>
          </x14:formula1>
          <xm:sqref>E58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2:B7"/>
  <sheetViews>
    <sheetView zoomScaleNormal="100" workbookViewId="0">
      <selection activeCell="D5" sqref="D5"/>
    </sheetView>
  </sheetViews>
  <sheetFormatPr defaultRowHeight="12.5"/>
  <cols>
    <col min="2" max="2" width="126.453125" customWidth="1"/>
  </cols>
  <sheetData>
    <row r="2" spans="1:2" ht="17.25" customHeight="1">
      <c r="A2" s="76" t="str">
        <f>CHOOSE(MODE, "EFF_SINGLE", "EFF_DUAL")</f>
        <v>EFF_SINGLE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2:B7"/>
  <sheetViews>
    <sheetView zoomScaleNormal="100" workbookViewId="0">
      <selection activeCell="B12" sqref="B12"/>
    </sheetView>
  </sheetViews>
  <sheetFormatPr defaultRowHeight="12.5"/>
  <cols>
    <col min="2" max="2" width="126.453125" customWidth="1"/>
  </cols>
  <sheetData>
    <row r="2" spans="1:2" ht="17.25" customHeight="1">
      <c r="A2" s="76" t="str">
        <f>CHOOSE(MODE, "Fsw_SINGLE", "Fsw_DUAL")</f>
        <v>Fsw_SINGLE</v>
      </c>
    </row>
    <row r="5" spans="1:2" ht="409.5" customHeight="1">
      <c r="B5" s="360"/>
    </row>
    <row r="6" spans="1:2" ht="17.149999999999999" customHeight="1"/>
    <row r="7" spans="1:2" ht="409.5" customHeight="1">
      <c r="B7" s="360"/>
    </row>
  </sheetData>
  <phoneticPr fontId="83"/>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00B050"/>
  </sheetPr>
  <dimension ref="A2:T67"/>
  <sheetViews>
    <sheetView topLeftCell="A8" zoomScale="40" zoomScaleNormal="40" zoomScaleSheetLayoutView="145" workbookViewId="0">
      <selection activeCell="N13" sqref="N13"/>
    </sheetView>
  </sheetViews>
  <sheetFormatPr defaultRowHeight="12.5"/>
  <cols>
    <col min="1" max="1" width="12.7265625" style="360" customWidth="1"/>
    <col min="2" max="2" width="124.7265625" style="11" customWidth="1"/>
    <col min="3" max="4" width="9.1796875" style="360"/>
    <col min="5" max="5" width="124.7265625" style="7" customWidth="1"/>
    <col min="8" max="8" width="124.7265625" style="361" customWidth="1"/>
  </cols>
  <sheetData>
    <row r="2" spans="1:15">
      <c r="A2" s="360" t="str">
        <f>'Variable Mgmt'!K66</f>
        <v>SCH_SINGLE_UVLOadj_SSadj_TCyes</v>
      </c>
    </row>
    <row r="5" spans="1:15" s="360" customFormat="1" ht="13.5" customHeight="1">
      <c r="E5" s="361"/>
      <c r="H5" s="361"/>
    </row>
    <row r="6" spans="1:15" s="360" customFormat="1" ht="16.5" customHeight="1">
      <c r="E6" s="361"/>
      <c r="H6" s="361"/>
    </row>
    <row r="7" spans="1:15" ht="357" customHeight="1">
      <c r="B7" s="12"/>
      <c r="E7" s="387"/>
      <c r="F7" s="11"/>
      <c r="G7" s="11"/>
      <c r="I7" s="11"/>
      <c r="J7" s="11"/>
      <c r="K7" s="11"/>
      <c r="L7" s="11"/>
      <c r="M7" s="11"/>
      <c r="N7" s="11"/>
    </row>
    <row r="8" spans="1:15" s="360" customFormat="1" ht="17.25" customHeight="1">
      <c r="B8" s="361"/>
      <c r="E8" s="361"/>
      <c r="H8" s="361"/>
      <c r="O8" s="362"/>
    </row>
    <row r="9" spans="1:15" ht="357" customHeight="1">
      <c r="B9" s="111"/>
      <c r="D9" s="361"/>
      <c r="E9" s="387"/>
      <c r="F9" s="360"/>
      <c r="G9" s="11"/>
      <c r="I9" s="11"/>
      <c r="J9" s="11"/>
      <c r="K9" s="11"/>
      <c r="L9" s="11"/>
      <c r="M9" s="11"/>
      <c r="N9" s="11"/>
      <c r="O9" s="363"/>
    </row>
    <row r="10" spans="1:15" s="360" customFormat="1">
      <c r="E10" s="361"/>
      <c r="H10" s="361"/>
    </row>
    <row r="11" spans="1:15" ht="357" customHeight="1">
      <c r="B11" s="387"/>
      <c r="D11" s="361"/>
      <c r="E11" s="361"/>
      <c r="F11" s="360"/>
      <c r="G11" s="11"/>
      <c r="I11" s="11"/>
      <c r="J11" s="11"/>
      <c r="K11" s="11"/>
      <c r="L11" s="11"/>
      <c r="M11" s="11"/>
      <c r="N11" s="11"/>
      <c r="O11" s="363"/>
    </row>
    <row r="12" spans="1:15">
      <c r="B12" s="360"/>
      <c r="E12" s="361"/>
      <c r="F12" s="360"/>
      <c r="G12" s="11"/>
      <c r="I12" s="11"/>
      <c r="J12" s="11"/>
      <c r="K12" s="11"/>
      <c r="L12" s="11"/>
      <c r="M12" s="11"/>
      <c r="N12" s="11"/>
    </row>
    <row r="13" spans="1:15" ht="357" customHeight="1">
      <c r="B13" s="387"/>
      <c r="E13" s="361"/>
      <c r="F13" s="360"/>
      <c r="G13" s="11"/>
      <c r="I13" s="11"/>
      <c r="J13" s="11"/>
      <c r="K13" s="11"/>
      <c r="L13" s="11"/>
      <c r="M13" s="11"/>
      <c r="N13" s="11"/>
      <c r="O13" s="363"/>
    </row>
    <row r="14" spans="1:15">
      <c r="B14" s="360"/>
      <c r="E14" s="361"/>
      <c r="F14" s="360"/>
      <c r="G14" s="11"/>
      <c r="I14" s="11"/>
      <c r="J14" s="11"/>
      <c r="K14" s="11"/>
      <c r="L14" s="11"/>
      <c r="M14" s="11"/>
      <c r="N14" s="11"/>
    </row>
    <row r="15" spans="1:15" ht="357" customHeight="1">
      <c r="E15" s="361"/>
      <c r="F15" s="360"/>
      <c r="G15" s="11"/>
      <c r="I15" s="11"/>
      <c r="J15" s="11"/>
      <c r="K15" s="11"/>
      <c r="L15" s="11"/>
      <c r="M15" s="11"/>
      <c r="N15" s="11"/>
      <c r="O15" s="363"/>
    </row>
    <row r="16" spans="1:15">
      <c r="B16" s="360"/>
      <c r="E16" s="361"/>
      <c r="F16" s="11"/>
      <c r="G16" s="11"/>
      <c r="I16" s="11"/>
      <c r="J16" s="11"/>
      <c r="K16" s="11"/>
      <c r="L16" s="11"/>
      <c r="M16" s="11"/>
      <c r="N16" s="11"/>
    </row>
    <row r="17" spans="2:15" ht="357" customHeight="1">
      <c r="B17" s="387"/>
      <c r="E17" s="361"/>
      <c r="F17" s="360"/>
      <c r="G17" s="11"/>
      <c r="I17" s="11"/>
      <c r="J17" s="11"/>
      <c r="K17" s="11"/>
      <c r="L17" s="11"/>
      <c r="M17" s="11"/>
      <c r="N17" s="11"/>
      <c r="O17" s="363"/>
    </row>
    <row r="18" spans="2:15" ht="12" customHeight="1">
      <c r="B18" s="360"/>
      <c r="E18" s="361"/>
      <c r="F18" s="11"/>
      <c r="G18" s="11"/>
      <c r="I18" s="11"/>
      <c r="J18" s="11"/>
      <c r="K18" s="11"/>
      <c r="L18" s="11"/>
      <c r="M18" s="11"/>
      <c r="N18" s="11"/>
    </row>
    <row r="19" spans="2:15" ht="357" customHeight="1">
      <c r="B19" s="360"/>
      <c r="E19" s="361"/>
      <c r="F19" s="11"/>
      <c r="G19" s="11"/>
      <c r="I19" s="11"/>
      <c r="J19" s="11"/>
      <c r="K19" s="11"/>
      <c r="L19" s="11"/>
      <c r="M19" s="11"/>
      <c r="N19" s="11"/>
    </row>
    <row r="20" spans="2:15" ht="13.5" customHeight="1">
      <c r="B20" s="360"/>
      <c r="E20" s="361"/>
      <c r="F20" s="11"/>
      <c r="G20" s="11"/>
      <c r="I20" s="11"/>
      <c r="J20" s="11"/>
      <c r="K20" s="11"/>
      <c r="L20" s="11"/>
      <c r="M20" s="11"/>
      <c r="N20" s="11"/>
    </row>
    <row r="21" spans="2:15" ht="357" customHeight="1">
      <c r="B21" s="360"/>
      <c r="E21" s="361"/>
      <c r="F21" s="11"/>
      <c r="G21" s="11"/>
      <c r="I21" s="11"/>
      <c r="J21" s="11"/>
      <c r="K21" s="11"/>
      <c r="L21" s="11"/>
      <c r="M21" s="11"/>
      <c r="N21" s="11"/>
    </row>
    <row r="22" spans="2:15">
      <c r="B22" s="360"/>
      <c r="E22" s="361"/>
      <c r="F22" s="11"/>
      <c r="G22" s="11"/>
      <c r="I22" s="11"/>
      <c r="J22" s="11"/>
      <c r="K22" s="11"/>
      <c r="L22" s="11"/>
      <c r="M22" s="11"/>
      <c r="N22" s="11"/>
    </row>
    <row r="23" spans="2:15" ht="357" customHeight="1">
      <c r="B23" s="360"/>
      <c r="E23" s="361"/>
      <c r="F23" s="11"/>
      <c r="G23" s="11"/>
      <c r="I23" s="11"/>
      <c r="J23" s="11"/>
      <c r="K23" s="11"/>
      <c r="L23" s="11"/>
      <c r="M23" s="11"/>
      <c r="N23" s="11"/>
    </row>
    <row r="24" spans="2:15">
      <c r="B24" s="360"/>
      <c r="E24" s="361"/>
      <c r="F24" s="11"/>
      <c r="G24" s="11"/>
      <c r="I24" s="11"/>
      <c r="J24" s="11"/>
      <c r="K24" s="11"/>
      <c r="L24" s="11"/>
      <c r="M24" s="11"/>
      <c r="N24" s="11"/>
    </row>
    <row r="25" spans="2:15" ht="327.75" customHeight="1">
      <c r="B25" s="360"/>
      <c r="E25" s="361"/>
      <c r="F25" s="11"/>
      <c r="G25" s="11"/>
      <c r="I25" s="11"/>
      <c r="J25" s="11"/>
      <c r="K25" s="11"/>
      <c r="L25" s="11"/>
      <c r="M25" s="11"/>
      <c r="N25" s="11"/>
    </row>
    <row r="26" spans="2:15">
      <c r="E26" s="361"/>
      <c r="F26" s="11"/>
      <c r="G26" s="11"/>
      <c r="I26" s="11"/>
      <c r="J26" s="11"/>
      <c r="K26" s="11"/>
      <c r="L26" s="11"/>
      <c r="M26" s="11"/>
      <c r="N26" s="11"/>
    </row>
    <row r="27" spans="2:15" ht="327.64999999999998" customHeight="1">
      <c r="B27" s="360"/>
      <c r="E27" s="361"/>
      <c r="F27" s="11"/>
      <c r="G27" s="11"/>
      <c r="I27" s="11"/>
      <c r="J27" s="11"/>
      <c r="K27" s="11"/>
      <c r="L27" s="11"/>
      <c r="M27" s="11"/>
      <c r="N27" s="11"/>
    </row>
    <row r="28" spans="2:15">
      <c r="B28" s="360"/>
      <c r="E28" s="361"/>
      <c r="F28" s="11"/>
      <c r="G28" s="11"/>
      <c r="I28" s="11"/>
      <c r="J28" s="11"/>
      <c r="K28" s="11"/>
      <c r="L28" s="11"/>
      <c r="M28" s="11"/>
      <c r="N28" s="11"/>
    </row>
    <row r="29" spans="2:15" ht="327.75" customHeight="1">
      <c r="B29" s="360"/>
      <c r="E29" s="361"/>
      <c r="F29" s="11"/>
      <c r="G29" s="11"/>
      <c r="I29" s="11"/>
      <c r="J29" s="11"/>
      <c r="K29" s="11"/>
      <c r="L29" s="11"/>
      <c r="M29" s="11"/>
      <c r="N29" s="11"/>
    </row>
    <row r="30" spans="2:15" ht="13.5" customHeight="1">
      <c r="B30" s="360"/>
      <c r="E30" s="361"/>
      <c r="F30" s="11"/>
      <c r="G30" s="11"/>
      <c r="I30" s="11"/>
      <c r="J30" s="11"/>
      <c r="K30" s="11"/>
      <c r="L30" s="11"/>
      <c r="M30" s="11"/>
      <c r="N30" s="11"/>
    </row>
    <row r="31" spans="2:15" ht="327.75" customHeight="1">
      <c r="B31" s="360"/>
      <c r="E31" s="361"/>
      <c r="F31" s="11"/>
      <c r="G31" s="11"/>
      <c r="I31" s="11"/>
      <c r="J31" s="11"/>
      <c r="K31" s="11"/>
      <c r="L31" s="11"/>
      <c r="M31" s="11"/>
      <c r="N31" s="11"/>
    </row>
    <row r="32" spans="2:15" ht="13.5" customHeight="1">
      <c r="B32" s="360"/>
      <c r="E32" s="361"/>
      <c r="F32" s="11"/>
      <c r="G32" s="11"/>
      <c r="I32" s="11"/>
      <c r="J32" s="11"/>
      <c r="K32" s="11"/>
      <c r="L32" s="11"/>
      <c r="M32" s="11"/>
      <c r="N32" s="11"/>
    </row>
    <row r="33" spans="2:20" ht="327.75" customHeight="1">
      <c r="B33" s="360"/>
      <c r="E33" s="361"/>
      <c r="F33" s="11"/>
      <c r="G33" s="11"/>
      <c r="I33" s="11"/>
      <c r="J33" s="11"/>
      <c r="K33" s="11"/>
      <c r="L33" s="11"/>
      <c r="M33" s="11"/>
      <c r="N33" s="11"/>
    </row>
    <row r="34" spans="2:20" ht="13.5" customHeight="1">
      <c r="B34" s="360"/>
      <c r="E34" s="361"/>
      <c r="F34" s="11"/>
      <c r="G34" s="11"/>
      <c r="I34" s="11"/>
      <c r="J34" s="11"/>
      <c r="K34" s="11"/>
      <c r="L34" s="11"/>
      <c r="M34" s="11"/>
      <c r="N34" s="11"/>
    </row>
    <row r="35" spans="2:20" ht="327.64999999999998" customHeight="1">
      <c r="B35" s="360"/>
      <c r="E35" s="361"/>
      <c r="F35" s="11"/>
      <c r="G35" s="11"/>
      <c r="I35" s="11"/>
      <c r="J35" s="11"/>
      <c r="K35" s="11"/>
      <c r="L35" s="11"/>
      <c r="M35" s="11"/>
      <c r="N35" s="11"/>
    </row>
    <row r="36" spans="2:20" ht="13.5" customHeight="1">
      <c r="B36" s="360"/>
      <c r="E36" s="361"/>
      <c r="F36" s="11"/>
      <c r="G36" s="11"/>
      <c r="I36" s="11"/>
      <c r="J36" s="11"/>
      <c r="K36" s="11"/>
      <c r="L36" s="11"/>
      <c r="M36" s="11"/>
      <c r="N36" s="11"/>
    </row>
    <row r="37" spans="2:20" ht="327.75" customHeight="1">
      <c r="B37" s="360"/>
      <c r="E37" s="361"/>
      <c r="F37" s="11"/>
      <c r="G37" s="11"/>
      <c r="I37" s="11"/>
      <c r="J37" s="11"/>
      <c r="K37" s="11"/>
      <c r="L37" s="11"/>
      <c r="M37" s="11"/>
      <c r="N37" s="11"/>
    </row>
    <row r="38" spans="2:20" ht="13.5" customHeight="1">
      <c r="B38" s="360"/>
      <c r="E38" s="361"/>
      <c r="F38" s="11"/>
      <c r="G38" s="364"/>
      <c r="I38" s="365"/>
      <c r="J38" s="11"/>
      <c r="K38" s="11"/>
      <c r="L38" s="11"/>
      <c r="M38" s="11"/>
      <c r="N38" s="11"/>
    </row>
    <row r="39" spans="2:20" ht="327.75" customHeight="1">
      <c r="B39" s="360"/>
      <c r="E39" s="361"/>
      <c r="F39" s="11"/>
      <c r="G39" s="11"/>
      <c r="I39" s="365"/>
      <c r="J39" s="11"/>
      <c r="K39" s="11"/>
      <c r="L39" s="11"/>
      <c r="M39" s="11"/>
      <c r="N39" s="11"/>
    </row>
    <row r="40" spans="2:20">
      <c r="B40" s="360"/>
      <c r="E40" s="361"/>
      <c r="F40" s="11"/>
      <c r="G40" s="11"/>
      <c r="I40" s="11"/>
      <c r="J40" s="11"/>
      <c r="K40" s="11"/>
      <c r="L40" s="11"/>
      <c r="M40" s="11"/>
      <c r="N40" s="11"/>
      <c r="O40" s="11"/>
      <c r="P40" s="11"/>
      <c r="Q40" s="13"/>
      <c r="S40" s="366"/>
      <c r="T40" s="366"/>
    </row>
    <row r="41" spans="2:20" ht="327.75" customHeight="1">
      <c r="B41" s="360"/>
      <c r="E41" s="361"/>
      <c r="F41" s="11"/>
      <c r="G41" s="11"/>
      <c r="I41" s="11"/>
      <c r="J41" s="11"/>
      <c r="K41" s="11"/>
      <c r="L41" s="11"/>
      <c r="M41" s="11"/>
      <c r="N41" s="11"/>
      <c r="O41" s="11"/>
      <c r="P41" s="11"/>
      <c r="Q41" s="13"/>
      <c r="S41" s="366"/>
    </row>
    <row r="42" spans="2:20">
      <c r="B42" s="360"/>
      <c r="E42" s="361"/>
      <c r="F42" s="11"/>
      <c r="G42" s="11"/>
      <c r="I42" s="11"/>
      <c r="J42" s="11"/>
      <c r="K42" s="11"/>
      <c r="L42" s="11"/>
      <c r="M42" s="11"/>
      <c r="N42" s="11"/>
      <c r="O42" s="11"/>
      <c r="P42" s="11"/>
      <c r="Q42" s="13"/>
      <c r="S42" s="366"/>
    </row>
    <row r="43" spans="2:20" ht="327.75" customHeight="1">
      <c r="B43" s="360"/>
      <c r="E43" s="361"/>
      <c r="F43" s="11"/>
      <c r="G43" s="11"/>
      <c r="I43" s="11"/>
      <c r="J43" s="11"/>
      <c r="K43" s="11"/>
      <c r="L43" s="11"/>
      <c r="M43" s="11"/>
      <c r="N43" s="11"/>
      <c r="O43" s="11"/>
      <c r="P43" s="11"/>
      <c r="Q43" s="13"/>
      <c r="S43" s="366"/>
    </row>
    <row r="44" spans="2:20">
      <c r="B44" s="360"/>
      <c r="E44" s="361"/>
      <c r="F44" s="11"/>
      <c r="G44" s="11"/>
      <c r="I44" s="11"/>
      <c r="J44" s="11"/>
      <c r="K44" s="11"/>
      <c r="L44" s="11"/>
      <c r="M44" s="11"/>
      <c r="N44" s="11"/>
      <c r="O44" s="11"/>
      <c r="P44" s="11"/>
      <c r="Q44" s="13"/>
      <c r="S44" s="366"/>
    </row>
    <row r="45" spans="2:20" ht="327.75" customHeight="1">
      <c r="B45" s="360"/>
      <c r="E45" s="361"/>
      <c r="F45" s="11"/>
      <c r="G45" s="11"/>
      <c r="I45" s="11"/>
      <c r="J45" s="11"/>
      <c r="K45" s="11"/>
      <c r="L45" s="11"/>
      <c r="M45" s="11"/>
      <c r="N45" s="11"/>
      <c r="O45" s="11"/>
      <c r="P45" s="11"/>
      <c r="Q45" s="13"/>
      <c r="S45" s="366"/>
    </row>
    <row r="46" spans="2:20">
      <c r="B46" s="360"/>
      <c r="E46" s="361"/>
      <c r="F46" s="11"/>
      <c r="G46" s="11"/>
      <c r="I46" s="11"/>
      <c r="J46" s="11"/>
      <c r="K46" s="11"/>
      <c r="L46" s="11"/>
      <c r="M46" s="11"/>
      <c r="N46" s="11"/>
      <c r="O46" s="11"/>
      <c r="P46" s="11"/>
      <c r="Q46" s="13"/>
      <c r="S46" s="366"/>
    </row>
    <row r="47" spans="2:20" ht="327.75" customHeight="1">
      <c r="B47" s="360"/>
      <c r="E47" s="361"/>
      <c r="F47" s="11"/>
      <c r="G47" s="11"/>
      <c r="I47" s="11"/>
      <c r="J47" s="11"/>
      <c r="K47" s="11"/>
      <c r="L47" s="11"/>
      <c r="M47" s="11"/>
      <c r="N47" s="11"/>
      <c r="O47" s="11"/>
      <c r="P47" s="11"/>
      <c r="Q47" s="13"/>
      <c r="S47" s="367"/>
    </row>
    <row r="48" spans="2:20">
      <c r="B48" s="360"/>
      <c r="E48" s="361"/>
      <c r="F48" s="11"/>
      <c r="G48" s="11"/>
      <c r="I48" s="11"/>
      <c r="J48" s="11"/>
      <c r="K48" s="11"/>
      <c r="L48" s="11"/>
      <c r="M48" s="11"/>
      <c r="N48" s="11"/>
      <c r="O48" s="11"/>
      <c r="P48" s="11"/>
      <c r="Q48" s="13"/>
      <c r="S48" s="366"/>
    </row>
    <row r="49" spans="2:19" ht="327.75" customHeight="1">
      <c r="B49" s="360"/>
      <c r="E49" s="361"/>
      <c r="F49" s="11"/>
      <c r="G49" s="11"/>
      <c r="I49" s="11"/>
      <c r="J49" s="11"/>
      <c r="K49" s="11"/>
      <c r="L49" s="11"/>
      <c r="M49" s="11"/>
      <c r="N49" s="11"/>
      <c r="O49" s="11"/>
      <c r="P49" s="11"/>
      <c r="Q49" s="13"/>
      <c r="S49" s="366"/>
    </row>
    <row r="50" spans="2:19">
      <c r="B50" s="360"/>
      <c r="E50" s="361"/>
      <c r="F50" s="11"/>
      <c r="G50" s="11"/>
      <c r="I50" s="11"/>
      <c r="J50" s="11"/>
      <c r="K50" s="11"/>
      <c r="L50" s="11"/>
      <c r="M50" s="11"/>
      <c r="N50" s="11"/>
      <c r="O50" s="11"/>
      <c r="P50" s="11"/>
      <c r="Q50" s="13"/>
      <c r="S50" s="366"/>
    </row>
    <row r="51" spans="2:19">
      <c r="B51" s="360"/>
      <c r="E51" s="361"/>
      <c r="F51" s="11"/>
      <c r="G51" s="11"/>
      <c r="I51" s="11"/>
      <c r="J51" s="11"/>
      <c r="K51" s="11"/>
      <c r="L51" s="11"/>
      <c r="M51" s="11"/>
      <c r="N51" s="11"/>
      <c r="O51" s="11"/>
      <c r="P51" s="11"/>
      <c r="Q51" s="13"/>
      <c r="S51" s="366"/>
    </row>
    <row r="52" spans="2:19">
      <c r="B52" s="360"/>
      <c r="E52" s="361"/>
      <c r="F52" s="11"/>
      <c r="G52" s="11"/>
      <c r="I52" s="11"/>
      <c r="J52" s="11"/>
      <c r="K52" s="11"/>
      <c r="L52" s="11"/>
      <c r="M52" s="11"/>
      <c r="N52" s="11"/>
      <c r="O52" s="11"/>
      <c r="P52" s="11"/>
      <c r="Q52" s="13"/>
      <c r="S52" s="366"/>
    </row>
    <row r="53" spans="2:19">
      <c r="B53" s="360"/>
      <c r="E53" s="361"/>
      <c r="F53" s="11"/>
      <c r="G53" s="11"/>
      <c r="I53" s="11"/>
      <c r="J53" s="11"/>
      <c r="K53" s="11"/>
      <c r="L53" s="11"/>
      <c r="M53" s="11"/>
      <c r="N53" s="11"/>
    </row>
    <row r="54" spans="2:19">
      <c r="B54" s="360"/>
      <c r="E54" s="361"/>
      <c r="F54" s="11"/>
      <c r="G54" s="11"/>
      <c r="I54" s="11"/>
      <c r="J54" s="11"/>
      <c r="K54" s="11"/>
      <c r="L54" s="11"/>
      <c r="M54" s="11"/>
      <c r="N54" s="11"/>
    </row>
    <row r="55" spans="2:19" ht="13">
      <c r="B55" s="360"/>
      <c r="E55" s="361"/>
      <c r="F55" s="11"/>
      <c r="G55" s="11"/>
      <c r="I55" s="11"/>
      <c r="J55" s="11"/>
      <c r="K55" s="11"/>
      <c r="L55" s="11"/>
      <c r="M55" s="11"/>
      <c r="N55" s="11"/>
      <c r="R55" s="14"/>
    </row>
    <row r="56" spans="2:19">
      <c r="B56" s="360"/>
      <c r="E56" s="361"/>
      <c r="F56" s="11"/>
      <c r="G56" s="11"/>
      <c r="I56" s="11"/>
      <c r="J56" s="11"/>
      <c r="K56" s="11"/>
      <c r="L56" s="11"/>
      <c r="M56" s="11"/>
      <c r="N56" s="11"/>
    </row>
    <row r="57" spans="2:19">
      <c r="B57" s="360"/>
      <c r="E57" s="361"/>
      <c r="F57" s="11"/>
      <c r="G57" s="11"/>
      <c r="I57" s="11"/>
      <c r="J57" s="11"/>
      <c r="K57" s="11"/>
      <c r="L57" s="11"/>
      <c r="M57" s="11"/>
      <c r="N57" s="11"/>
    </row>
    <row r="58" spans="2:19">
      <c r="E58" s="12"/>
      <c r="F58" s="11"/>
      <c r="G58" s="11"/>
      <c r="I58" s="11"/>
      <c r="J58" s="11"/>
      <c r="K58" s="11"/>
      <c r="L58" s="11"/>
      <c r="M58" s="11"/>
      <c r="N58" s="11"/>
    </row>
    <row r="59" spans="2:19">
      <c r="E59" s="12"/>
      <c r="F59" s="11"/>
      <c r="G59" s="11"/>
      <c r="I59" s="11"/>
      <c r="J59" s="11"/>
      <c r="K59" s="11"/>
      <c r="L59" s="11"/>
      <c r="M59" s="11"/>
      <c r="N59" s="11"/>
    </row>
    <row r="60" spans="2:19">
      <c r="E60" s="12"/>
      <c r="F60" s="11"/>
      <c r="G60" s="11"/>
      <c r="I60" s="11"/>
      <c r="J60" s="11"/>
      <c r="K60" s="11"/>
      <c r="L60" s="11"/>
      <c r="M60" s="11"/>
      <c r="N60" s="11"/>
    </row>
    <row r="61" spans="2:19">
      <c r="E61" s="12"/>
      <c r="F61" s="11"/>
      <c r="G61" s="11"/>
      <c r="I61" s="11"/>
      <c r="J61" s="11"/>
      <c r="K61" s="11"/>
      <c r="L61" s="11"/>
      <c r="M61" s="11"/>
      <c r="N61" s="11"/>
    </row>
    <row r="62" spans="2:19">
      <c r="E62" s="12"/>
      <c r="F62" s="11"/>
      <c r="G62" s="11"/>
      <c r="I62" s="11"/>
      <c r="J62" s="11"/>
      <c r="K62" s="11"/>
      <c r="L62" s="11"/>
      <c r="M62" s="11"/>
      <c r="N62" s="11"/>
    </row>
    <row r="63" spans="2:19">
      <c r="E63" s="12"/>
      <c r="F63" s="11"/>
      <c r="G63" s="11"/>
      <c r="I63" s="11"/>
      <c r="J63" s="11"/>
      <c r="K63" s="11"/>
      <c r="L63" s="11"/>
      <c r="M63" s="11"/>
      <c r="N63" s="11"/>
    </row>
    <row r="64" spans="2:19">
      <c r="E64" s="12"/>
      <c r="F64" s="11"/>
      <c r="G64" s="11"/>
      <c r="I64" s="11"/>
      <c r="J64" s="11"/>
      <c r="K64" s="11"/>
      <c r="L64" s="11"/>
      <c r="M64" s="11"/>
      <c r="N64" s="11"/>
    </row>
    <row r="65" spans="5:18">
      <c r="E65" s="12"/>
      <c r="F65" s="11"/>
      <c r="G65" s="11"/>
      <c r="I65" s="11"/>
      <c r="J65" s="11"/>
      <c r="K65" s="11"/>
      <c r="L65" s="11"/>
      <c r="M65" s="11"/>
      <c r="N65" s="11"/>
    </row>
    <row r="66" spans="5:18" ht="13">
      <c r="E66" s="12"/>
      <c r="F66" s="11"/>
      <c r="G66" s="11"/>
      <c r="I66" s="11"/>
      <c r="J66" s="11"/>
      <c r="K66" s="11"/>
      <c r="L66" s="11"/>
      <c r="M66" s="11"/>
      <c r="N66" s="11"/>
      <c r="R66" s="14"/>
    </row>
    <row r="67" spans="5:18">
      <c r="E67" s="12"/>
      <c r="F67" s="11"/>
      <c r="G67" s="11"/>
      <c r="I67" s="11"/>
      <c r="J67" s="11"/>
      <c r="K67" s="11"/>
      <c r="L67" s="11"/>
      <c r="M67" s="11"/>
      <c r="N67" s="11"/>
    </row>
  </sheetData>
  <sheetProtection sheet="1" objects="1" scenarios="1"/>
  <phoneticPr fontId="83"/>
  <conditionalFormatting sqref="O6">
    <cfRule type="cellIs" dxfId="0" priority="1" stopIfTrue="1" operator="equal">
      <formula>"n"</formula>
    </cfRule>
  </conditionalFormatting>
  <pageMargins left="0.75" right="0.75" top="1" bottom="1" header="0.5" footer="0.5"/>
  <pageSetup scale="83"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2:K159"/>
  <sheetViews>
    <sheetView workbookViewId="0">
      <selection activeCell="O25" sqref="O25"/>
    </sheetView>
  </sheetViews>
  <sheetFormatPr defaultRowHeight="12.5"/>
  <cols>
    <col min="1" max="1" width="17.26953125" customWidth="1"/>
    <col min="2" max="2" width="12" bestFit="1" customWidth="1"/>
    <col min="8" max="8" width="12.1796875" customWidth="1"/>
    <col min="9" max="9" width="12.453125" bestFit="1" customWidth="1"/>
    <col min="10" max="10" width="15.453125" customWidth="1"/>
  </cols>
  <sheetData>
    <row r="2" spans="1:11">
      <c r="A2" t="s">
        <v>68</v>
      </c>
      <c r="B2" t="s">
        <v>66</v>
      </c>
      <c r="C2" t="s">
        <v>14</v>
      </c>
      <c r="D2" t="s">
        <v>28</v>
      </c>
      <c r="E2" t="s">
        <v>75</v>
      </c>
    </row>
    <row r="3" spans="1:11" ht="13">
      <c r="A3" t="s">
        <v>71</v>
      </c>
      <c r="B3">
        <f>Css</f>
        <v>1.0000000000000001E-7</v>
      </c>
      <c r="C3">
        <f>Cout</f>
        <v>47</v>
      </c>
      <c r="D3">
        <f>Cin</f>
        <v>10</v>
      </c>
      <c r="E3">
        <f>Cb</f>
        <v>0</v>
      </c>
      <c r="H3" t="s">
        <v>73</v>
      </c>
      <c r="I3" t="s">
        <v>74</v>
      </c>
      <c r="J3" s="3" t="s">
        <v>70</v>
      </c>
    </row>
    <row r="4" spans="1:11" ht="13">
      <c r="A4" s="6" t="s">
        <v>70</v>
      </c>
      <c r="B4" s="6">
        <f>SUM(B6:B158)/1000000000000</f>
        <v>9.9999999999999995E-8</v>
      </c>
      <c r="C4" s="6">
        <f>SUM(C6:C158)/1000000000000</f>
        <v>0</v>
      </c>
      <c r="D4" s="6">
        <f>SUM(D6:D158)/1000000000000</f>
        <v>0</v>
      </c>
      <c r="E4" s="6">
        <f>IF(E3="OPEN","OPEN",SUM(E6:E158)/1000000000000)</f>
        <v>0</v>
      </c>
      <c r="H4" s="76" t="s">
        <v>139</v>
      </c>
      <c r="I4" t="e">
        <f>Rt</f>
        <v>#NAME?</v>
      </c>
      <c r="J4" s="3" t="e">
        <f t="shared" ref="J4:J9" si="0">IF(I4&gt;(INT(0.5+100*POWER(10,IF(96*(LOG(I4)-INT(LOG(I4)))-ROUND(96*(LOG(I4)-INT(LOG(I4))),0)&lt;0,ROUND(96*(LOG(I4)-INT(LOG(I4))),0)-1,ROUND(96*(LOG(I4)-INT(LOG(I4))),0))/96))*POWER(10,INT(LOG(I4))-2)+INT(0.5+100*POWER(10,(IF(96*(LOG(I4)-INT(LOG(I4)))-ROUND(96*(LOG(I4)-INT(LOG(I4))),0)&lt;0,ROUND(96*(LOG(I4)-INT(LOG(I4))),0)-1,ROUND(96*(LOG(I4)-INT(LOG(I4))),0))+1)/96))*POWER(10,INT(LOG(I4))-2))/2,INT(0.5+100*POWER(10,(IF(96*(LOG(I4)-INT(LOG(I4)))-ROUND(96*(LOG(I4)-INT(LOG(I4))),0)&lt;0,ROUND(96*(LOG(I4)-INT(LOG(I4))),0)-1,ROUND(96*(LOG(I4)-INT(LOG(I4))),0))+1)/96))*POWER(10,INT(LOG(I4))-2),INT(0.5+100*POWER(10,IF(96*(LOG(I4)-INT(LOG(I4)))-ROUND(96*(LOG(I4)-INT(LOG(I4))),0)&lt;0,ROUND(96*(LOG(I4)-INT(LOG(I4))),0)-1,ROUND(96*(LOG(I4)-INT(LOG(I4))),0))/96))*POWER(10,INT(LOG(I4))-2))</f>
        <v>#NAME?</v>
      </c>
      <c r="K4" s="17" t="s">
        <v>136</v>
      </c>
    </row>
    <row r="5" spans="1:11" ht="13">
      <c r="A5" t="s">
        <v>69</v>
      </c>
      <c r="J5" s="3"/>
      <c r="K5" s="17"/>
    </row>
    <row r="6" spans="1:11" ht="13">
      <c r="A6">
        <v>0.47</v>
      </c>
      <c r="B6">
        <f>IF(IF((B$3*10^12-$A7)*(B$3*10^12-$A6)*-1&lt;0,0,1)*IF(ABS(B$3*10^12-$A7)&gt;(B$3*10^12-$A6),$A6,$A7)=B7,0,IF((B$3*10^12-$A7)*(B$3*10^12-$A6)*-1&lt;0,0,1)*IF(ABS(B$3*10^12-$A7)&gt;(B$3*10^12-$A6),$A6,$A7))</f>
        <v>0</v>
      </c>
      <c r="C6">
        <f>IF(IF((C$3*10^12-$A7)*(C$3*10^12-$A6)*-1&lt;0,0,1)*IF(ABS(C$3*10^12-$A7)&gt;(C$3*10^12-$A6),$A6,$A7)=C7,0,IF((C$3*10^12-$A7)*(C$3*10^12-$A6)*-1&lt;0,0,1)*IF(ABS(C$3*10^12-$A7)&gt;(C$3*10^12-$A6),$A6,$A7))</f>
        <v>0</v>
      </c>
      <c r="D6">
        <f>IF(IF((D$3*10^12-$A7)*(D$3*10^12-$A6)*-1&lt;0,0,1)*IF(ABS(D$3*10^12-$A7)&gt;(D$3*10^12-$A6),$A6,$A7)=D7,0,IF((D$3*10^12-$A7)*(D$3*10^12-$A6)*-1&lt;0,0,1)*IF(ABS(D$3*10^12-$A7)&gt;(D$3*10^12-$A6),$A6,$A7))</f>
        <v>0</v>
      </c>
      <c r="E6">
        <f>IF(IF((E$3*10^12-$A7)*(E$3*10^12-$A6)*-1&lt;0,0,1)*IF(ABS(E$3*10^12-$A7)&gt;(E$3*10^12-$A6),$A6,$A7)=E7,0,IF((E$3*10^12-$A7)*(E$3*10^12-$A6)*-1&lt;0,0,1)*IF(ABS(E$3*10^12-$A7)&gt;(E$3*10^12-$A6),$A6,$A7))</f>
        <v>0</v>
      </c>
      <c r="H6" s="76" t="s">
        <v>162</v>
      </c>
      <c r="I6" t="e">
        <f>Rshunt</f>
        <v>#NAME?</v>
      </c>
      <c r="J6" s="3" t="e">
        <f t="shared" si="0"/>
        <v>#NAME?</v>
      </c>
      <c r="K6" s="17" t="s">
        <v>136</v>
      </c>
    </row>
    <row r="7" spans="1:11" ht="13">
      <c r="A7">
        <v>0.56000000000000005</v>
      </c>
      <c r="B7">
        <f t="shared" ref="B7:B70" si="1">IF(IF((B$3*10^12-$A8)*(B$3*10^12-$A7)*-1&lt;0,0,1)*IF(ABS(B$3*10^12-$A8)&gt;(B$3*10^12-$A7),$A7,$A8)=B8,0,IF((B$3*10^12-$A8)*(B$3*10^12-$A7)*-1&lt;0,0,1)*IF(ABS(B$3*10^12-$A8)&gt;(B$3*10^12-$A7),$A7,$A8))</f>
        <v>0</v>
      </c>
      <c r="C7">
        <f t="shared" ref="C7:C69" si="2">IF(IF((C$3*10^12-$A8)*(C$3*10^12-$A7)*-1&lt;0,0,1)*IF(ABS(C$3*10^12-$A8)&gt;(C$3*10^12-$A7),$A7,$A8)=C8,0,IF((C$3*10^12-$A8)*(C$3*10^12-$A7)*-1&lt;0,0,1)*IF(ABS(C$3*10^12-$A8)&gt;(C$3*10^12-$A7),$A7,$A8))</f>
        <v>0</v>
      </c>
      <c r="D7">
        <f t="shared" ref="D7:D69" si="3">IF(IF((D$3*10^12-$A8)*(D$3*10^12-$A7)*-1&lt;0,0,1)*IF(ABS(D$3*10^12-$A8)&gt;(D$3*10^12-$A7),$A7,$A8)=D8,0,IF((D$3*10^12-$A8)*(D$3*10^12-$A7)*-1&lt;0,0,1)*IF(ABS(D$3*10^12-$A8)&gt;(D$3*10^12-$A7),$A7,$A8))</f>
        <v>0</v>
      </c>
      <c r="E7">
        <f t="shared" ref="E7:E37" si="4">IF(IF((E$3*10^12-$A8)*(E$3*10^12-$A7)*-1&lt;0,0,1)*IF(ABS(E$3*10^12-$A8)&gt;(E$3*10^12-$A7),$A7,$A8)=E8,0,IF((E$3*10^12-$A8)*(E$3*10^12-$A7)*-1&lt;0,0,1)*IF(ABS(E$3*10^12-$A8)&gt;(E$3*10^12-$A7),$A7,$A8))</f>
        <v>0</v>
      </c>
      <c r="H7" t="s">
        <v>79</v>
      </c>
      <c r="I7">
        <v>6220.3534470000013</v>
      </c>
      <c r="J7" s="3">
        <f t="shared" si="0"/>
        <v>6190</v>
      </c>
      <c r="K7" s="17" t="s">
        <v>136</v>
      </c>
    </row>
    <row r="8" spans="1:11" ht="13">
      <c r="A8">
        <v>0.68</v>
      </c>
      <c r="B8">
        <f t="shared" si="1"/>
        <v>0</v>
      </c>
      <c r="C8">
        <f t="shared" si="2"/>
        <v>0</v>
      </c>
      <c r="D8">
        <f t="shared" si="3"/>
        <v>0</v>
      </c>
      <c r="E8">
        <f t="shared" si="4"/>
        <v>0</v>
      </c>
      <c r="J8" s="3"/>
      <c r="K8" s="17"/>
    </row>
    <row r="9" spans="1:11" ht="13">
      <c r="A9">
        <v>0.82</v>
      </c>
      <c r="B9">
        <f t="shared" si="1"/>
        <v>0</v>
      </c>
      <c r="C9">
        <f t="shared" si="2"/>
        <v>0</v>
      </c>
      <c r="D9">
        <f t="shared" si="3"/>
        <v>0</v>
      </c>
      <c r="E9">
        <f t="shared" si="4"/>
        <v>0</v>
      </c>
      <c r="H9" t="s">
        <v>377</v>
      </c>
      <c r="I9">
        <f>RTC_1</f>
        <v>244977.51124437782</v>
      </c>
      <c r="J9" s="3">
        <f t="shared" si="0"/>
        <v>243000</v>
      </c>
      <c r="K9" s="17" t="s">
        <v>136</v>
      </c>
    </row>
    <row r="10" spans="1:11" ht="13">
      <c r="A10">
        <v>1</v>
      </c>
      <c r="B10">
        <f t="shared" si="1"/>
        <v>0</v>
      </c>
      <c r="C10">
        <f t="shared" si="2"/>
        <v>0</v>
      </c>
      <c r="D10">
        <f t="shared" si="3"/>
        <v>0</v>
      </c>
      <c r="E10">
        <f t="shared" si="4"/>
        <v>0</v>
      </c>
      <c r="H10" t="s">
        <v>17</v>
      </c>
      <c r="I10">
        <f>Rfb</f>
        <v>163400</v>
      </c>
      <c r="J10" s="3">
        <f>IF(I10="OPEN","OPEN",IF(I10&gt;(INT(0.5+100*POWER(10,IF(96*(LOG(I10)-INT(LOG(I10)))-ROUND(96*(LOG(I10)-INT(LOG(I10))),0)&lt;0,ROUND(96*(LOG(I10)-INT(LOG(I10))),0)-1,ROUND(96*(LOG(I10)-INT(LOG(I10))),0))/96))*POWER(10,INT(LOG(I10))-2)+INT(0.5+100*POWER(10,(IF(96*(LOG(I10)-INT(LOG(I10)))-ROUND(96*(LOG(I10)-INT(LOG(I10))),0)&lt;0,ROUND(96*(LOG(I10)-INT(LOG(I10))),0)-1,ROUND(96*(LOG(I10)-INT(LOG(I10))),0))+1)/96))*POWER(10,INT(LOG(I10))-2))/2,INT(0.5+100*POWER(10,(IF(96*(LOG(I10)-INT(LOG(I10)))-ROUND(96*(LOG(I10)-INT(LOG(I10))),0)&lt;0,ROUND(96*(LOG(I10)-INT(LOG(I10))),0)-1,ROUND(96*(LOG(I10)-INT(LOG(I10))),0))+1)/96))*POWER(10,INT(LOG(I10))-2),INT(0.5+100*POWER(10,IF(96*(LOG(I10)-INT(LOG(I10)))-ROUND(96*(LOG(I10)-INT(LOG(I10))),0)&lt;0,ROUND(96*(LOG(I10)-INT(LOG(I10))),0)-1,ROUND(96*(LOG(I10)-INT(LOG(I10))),0))/96))*POWER(10,INT(LOG(I10))-2)))</f>
        <v>162000</v>
      </c>
      <c r="K10" s="17" t="s">
        <v>136</v>
      </c>
    </row>
    <row r="11" spans="1:11" ht="13">
      <c r="A11">
        <v>1.2</v>
      </c>
      <c r="B11">
        <f t="shared" si="1"/>
        <v>0</v>
      </c>
      <c r="C11">
        <f t="shared" si="2"/>
        <v>0</v>
      </c>
      <c r="D11">
        <f t="shared" si="3"/>
        <v>0</v>
      </c>
      <c r="E11">
        <f t="shared" si="4"/>
        <v>0</v>
      </c>
      <c r="J11" s="3"/>
    </row>
    <row r="12" spans="1:11" ht="13">
      <c r="A12">
        <v>1.5</v>
      </c>
      <c r="B12">
        <f t="shared" si="1"/>
        <v>0</v>
      </c>
      <c r="C12">
        <f t="shared" si="2"/>
        <v>0</v>
      </c>
      <c r="D12">
        <f t="shared" si="3"/>
        <v>0</v>
      </c>
      <c r="E12">
        <f t="shared" si="4"/>
        <v>0</v>
      </c>
      <c r="J12" s="3"/>
    </row>
    <row r="13" spans="1:11" ht="13">
      <c r="A13">
        <v>1.8</v>
      </c>
      <c r="B13">
        <f t="shared" si="1"/>
        <v>0</v>
      </c>
      <c r="C13">
        <f t="shared" si="2"/>
        <v>0</v>
      </c>
      <c r="D13">
        <f t="shared" si="3"/>
        <v>0</v>
      </c>
      <c r="E13">
        <f t="shared" si="4"/>
        <v>0</v>
      </c>
      <c r="H13" s="76" t="s">
        <v>76</v>
      </c>
      <c r="I13">
        <v>6.3765361949159995</v>
      </c>
      <c r="J13" s="3">
        <f>IF(I13=0,0,IF(I13&gt;(INT(0.5+100*POWER(10,IF(96*(LOG(I13)-INT(LOG(I13)))-ROUND(96*(LOG(I13)-INT(LOG(I13))),0)&lt;0,ROUND(96*(LOG(I13)-INT(LOG(I13))),0)-1,ROUND(96*(LOG(I13)-INT(LOG(I13))),0))/96))*POWER(10,INT(LOG(I13))-2)+INT(0.5+100*POWER(10,(IF(96*(LOG(I13)-INT(LOG(I13)))-ROUND(96*(LOG(I13)-INT(LOG(I13))),0)&lt;0,ROUND(96*(LOG(I13)-INT(LOG(I13))),0)-1,ROUND(96*(LOG(I13)-INT(LOG(I13))),0))+1)/96))*POWER(10,INT(LOG(I13))-2))/2,INT(0.5+100*POWER(10,(IF(96*(LOG(I13)-INT(LOG(I13)))-ROUND(96*(LOG(I13)-INT(LOG(I13))),0)&lt;0,ROUND(96*(LOG(I13)-INT(LOG(I13))),0)-1,ROUND(96*(LOG(I13)-INT(LOG(I13))),0))+1)/96))*POWER(10,INT(LOG(I13))-2),INT(0.5+100*POWER(10,IF(96*(LOG(I13)-INT(LOG(I13)))-ROUND(96*(LOG(I13)-INT(LOG(I13))),0)&lt;0,ROUND(96*(LOG(I13)-INT(LOG(I13))),0)-1,ROUND(96*(LOG(I13)-INT(LOG(I13))),0))/96))*POWER(10,INT(LOG(I13))-2)))</f>
        <v>6.34</v>
      </c>
      <c r="K13" s="17" t="s">
        <v>161</v>
      </c>
    </row>
    <row r="14" spans="1:11">
      <c r="A14">
        <v>2.2000000000000002</v>
      </c>
      <c r="B14">
        <f>IF(IF((B$3*10^12-$A15)*(B$3*10^12-$A14)*-1&lt;0,0,1)*IF(ABS(B$3*10^12-$A15)&gt;(B$3*10^12-$A14),$A14,$A15)=B15,0,IF((B$3*10^12-$A15)*(B$3*10^12-$A14)*-1&lt;0,0,1)*IF(ABS(B$3*10^12-$A15)&gt;(B$3*10^12-$A14),$A14,$A15))</f>
        <v>0</v>
      </c>
      <c r="C14">
        <f>IF(IF((C$3*10^12-$A15)*(C$3*10^12-$A14)*-1&lt;0,0,1)*IF(ABS(C$3*10^12-$A15)&gt;(C$3*10^12-$A14),$A14,$A15)=C15,0,IF((C$3*10^12-$A15)*(C$3*10^12-$A14)*-1&lt;0,0,1)*IF(ABS(C$3*10^12-$A15)&gt;(C$3*10^12-$A14),$A14,$A15))</f>
        <v>0</v>
      </c>
      <c r="D14">
        <f>IF(IF((D$3*10^12-$A15)*(D$3*10^12-$A14)*-1&lt;0,0,1)*IF(ABS(D$3*10^12-$A15)&gt;(D$3*10^12-$A14),$A14,$A15)=D15,0,IF((D$3*10^12-$A15)*(D$3*10^12-$A14)*-1&lt;0,0,1)*IF(ABS(D$3*10^12-$A15)&gt;(D$3*10^12-$A14),$A14,$A15))</f>
        <v>0</v>
      </c>
      <c r="E14">
        <f>IF(IF((E$3*10^12-$A15)*(E$3*10^12-$A14)*-1&lt;0,0,1)*IF(ABS(E$3*10^12-$A15)&gt;(E$3*10^12-$A14),$A14,$A15)=E15,0,IF((E$3*10^12-$A15)*(E$3*10^12-$A14)*-1&lt;0,0,1)*IF(ABS(E$3*10^12-$A15)&gt;(E$3*10^12-$A14),$A14,$A15))</f>
        <v>0</v>
      </c>
      <c r="H14" s="76" t="s">
        <v>160</v>
      </c>
      <c r="I14" t="e">
        <f>Cslope_ideal</f>
        <v>#NAME?</v>
      </c>
      <c r="J14" t="e">
        <f>#REF!*1000000000000</f>
        <v>#REF!</v>
      </c>
      <c r="K14" s="76" t="s">
        <v>15</v>
      </c>
    </row>
    <row r="15" spans="1:11">
      <c r="A15">
        <v>2.7</v>
      </c>
      <c r="B15">
        <f t="shared" si="1"/>
        <v>0</v>
      </c>
      <c r="C15">
        <f t="shared" si="2"/>
        <v>0</v>
      </c>
      <c r="D15">
        <f t="shared" si="3"/>
        <v>0</v>
      </c>
      <c r="E15">
        <f t="shared" si="4"/>
        <v>0</v>
      </c>
    </row>
    <row r="16" spans="1:11" ht="13">
      <c r="A16">
        <v>3.3</v>
      </c>
      <c r="B16">
        <f t="shared" si="1"/>
        <v>0</v>
      </c>
      <c r="C16">
        <f t="shared" si="2"/>
        <v>0</v>
      </c>
      <c r="D16">
        <f t="shared" si="3"/>
        <v>0</v>
      </c>
      <c r="E16">
        <f t="shared" si="4"/>
        <v>0</v>
      </c>
      <c r="H16" s="76" t="s">
        <v>130</v>
      </c>
      <c r="I16">
        <f>Ruvlo1</f>
        <v>346.66666666666669</v>
      </c>
      <c r="J16" s="3">
        <f>IF(I16="OPEN","OPEN",IF(I16&gt;(INT(0.5+100*POWER(10,IF(96*(LOG(I16)-INT(LOG(I16)))-ROUND(96*(LOG(I16)-INT(LOG(I16))),0)&lt;0,ROUND(96*(LOG(I16)-INT(LOG(I16))),0)-1,ROUND(96*(LOG(I16)-INT(LOG(I16))),0))/96))*POWER(10,INT(LOG(I16))-2)+INT(0.5+100*POWER(10,(IF(96*(LOG(I16)-INT(LOG(I16)))-ROUND(96*(LOG(I16)-INT(LOG(I16))),0)&lt;0,ROUND(96*(LOG(I16)-INT(LOG(I16))),0)-1,ROUND(96*(LOG(I16)-INT(LOG(I16))),0))+1)/96))*POWER(10,INT(LOG(I16))-2))/2,INT(0.5+100*POWER(10,(IF(96*(LOG(I16)-INT(LOG(I16)))-ROUND(96*(LOG(I16)-INT(LOG(I16))),0)&lt;0,ROUND(96*(LOG(I16)-INT(LOG(I16))),0)-1,ROUND(96*(LOG(I16)-INT(LOG(I16))),0))+1)/96))*POWER(10,INT(LOG(I16))-2),INT(0.5+100*POWER(10,IF(96*(LOG(I16)-INT(LOG(I16)))-ROUND(96*(LOG(I16)-INT(LOG(I16))),0)&lt;0,ROUND(96*(LOG(I16)-INT(LOG(I16))),0)-1,ROUND(96*(LOG(I16)-INT(LOG(I16))),0))/96))*POWER(10,INT(LOG(I16))-2)))</f>
        <v>348</v>
      </c>
      <c r="K16" s="17" t="s">
        <v>113</v>
      </c>
    </row>
    <row r="17" spans="1:11" ht="13">
      <c r="A17">
        <v>3.9</v>
      </c>
      <c r="B17">
        <f t="shared" si="1"/>
        <v>0</v>
      </c>
      <c r="C17">
        <f t="shared" si="2"/>
        <v>0</v>
      </c>
      <c r="D17">
        <f t="shared" si="3"/>
        <v>0</v>
      </c>
      <c r="E17">
        <f t="shared" si="4"/>
        <v>0</v>
      </c>
      <c r="H17" s="76" t="s">
        <v>131</v>
      </c>
      <c r="I17" s="173">
        <f>Ruvlo2</f>
        <v>80.307692307692307</v>
      </c>
      <c r="J17" s="3">
        <f>IF(I17="OPEN","OPEN",IF(I17&gt;(INT(0.5+100*POWER(10,IF(96*(LOG(I17)-INT(LOG(I17)))-ROUND(96*(LOG(I17)-INT(LOG(I17))),0)&lt;0,ROUND(96*(LOG(I17)-INT(LOG(I17))),0)-1,ROUND(96*(LOG(I17)-INT(LOG(I17))),0))/96))*POWER(10,INT(LOG(I17))-2)+INT(0.5+100*POWER(10,(IF(96*(LOG(I17)-INT(LOG(I17)))-ROUND(96*(LOG(I17)-INT(LOG(I17))),0)&lt;0,ROUND(96*(LOG(I17)-INT(LOG(I17))),0)-1,ROUND(96*(LOG(I17)-INT(LOG(I17))),0))+1)/96))*POWER(10,INT(LOG(I17))-2))/2,INT(0.5+100*POWER(10,(IF(96*(LOG(I17)-INT(LOG(I17)))-ROUND(96*(LOG(I17)-INT(LOG(I17))),0)&lt;0,ROUND(96*(LOG(I17)-INT(LOG(I17))),0)-1,ROUND(96*(LOG(I17)-INT(LOG(I17))),0))+1)/96))*POWER(10,INT(LOG(I17))-2),INT(0.5+100*POWER(10,IF(96*(LOG(I17)-INT(LOG(I17)))-ROUND(96*(LOG(I17)-INT(LOG(I17))),0)&lt;0,ROUND(96*(LOG(I17)-INT(LOG(I17))),0)-1,ROUND(96*(LOG(I17)-INT(LOG(I17))),0))/96))*POWER(10,INT(LOG(I17))-2)))</f>
        <v>80.600000000000009</v>
      </c>
      <c r="K17" s="17" t="s">
        <v>113</v>
      </c>
    </row>
    <row r="18" spans="1:11" ht="13">
      <c r="A18">
        <v>4.7</v>
      </c>
      <c r="B18">
        <f t="shared" si="1"/>
        <v>0</v>
      </c>
      <c r="C18">
        <f t="shared" si="2"/>
        <v>0</v>
      </c>
      <c r="D18">
        <f t="shared" si="3"/>
        <v>0</v>
      </c>
      <c r="E18">
        <f t="shared" si="4"/>
        <v>0</v>
      </c>
      <c r="H18" s="76" t="s">
        <v>295</v>
      </c>
      <c r="I18" s="173" t="e">
        <f>Rhys</f>
        <v>#NAME?</v>
      </c>
      <c r="J18" s="3" t="e">
        <f>IF(I18="OPEN","OPEN",IF(I18&gt;(INT(0.5+100*POWER(10,IF(96*(LOG(I18)-INT(LOG(I18)))-ROUND(96*(LOG(I18)-INT(LOG(I18))),0)&lt;0,ROUND(96*(LOG(I18)-INT(LOG(I18))),0)-1,ROUND(96*(LOG(I18)-INT(LOG(I18))),0))/96))*POWER(10,INT(LOG(I18))-2)+INT(0.5+100*POWER(10,(IF(96*(LOG(I18)-INT(LOG(I18)))-ROUND(96*(LOG(I18)-INT(LOG(I18))),0)&lt;0,ROUND(96*(LOG(I18)-INT(LOG(I18))),0)-1,ROUND(96*(LOG(I18)-INT(LOG(I18))),0))+1)/96))*POWER(10,INT(LOG(I18))-2))/2,INT(0.5+100*POWER(10,(IF(96*(LOG(I18)-INT(LOG(I18)))-ROUND(96*(LOG(I18)-INT(LOG(I18))),0)&lt;0,ROUND(96*(LOG(I18)-INT(LOG(I18))),0)-1,ROUND(96*(LOG(I18)-INT(LOG(I18))),0))+1)/96))*POWER(10,INT(LOG(I18))-2),INT(0.5+100*POWER(10,IF(96*(LOG(I18)-INT(LOG(I18)))-ROUND(96*(LOG(I18)-INT(LOG(I18))),0)&lt;0,ROUND(96*(LOG(I18)-INT(LOG(I18))),0)-1,ROUND(96*(LOG(I18)-INT(LOG(I18))),0))/96))*POWER(10,INT(LOG(I18))-2)))</f>
        <v>#NAME?</v>
      </c>
      <c r="K18" s="17" t="s">
        <v>113</v>
      </c>
    </row>
    <row r="19" spans="1:11">
      <c r="A19">
        <v>5.6</v>
      </c>
      <c r="B19">
        <f t="shared" si="1"/>
        <v>0</v>
      </c>
      <c r="C19">
        <f t="shared" si="2"/>
        <v>0</v>
      </c>
      <c r="D19">
        <f t="shared" si="3"/>
        <v>0</v>
      </c>
      <c r="E19">
        <f t="shared" si="4"/>
        <v>0</v>
      </c>
    </row>
    <row r="20" spans="1:11" ht="13">
      <c r="A20">
        <v>6.8</v>
      </c>
      <c r="B20">
        <f t="shared" si="1"/>
        <v>0</v>
      </c>
      <c r="C20">
        <f t="shared" si="2"/>
        <v>0</v>
      </c>
      <c r="D20">
        <f t="shared" si="3"/>
        <v>0</v>
      </c>
      <c r="E20">
        <f t="shared" si="4"/>
        <v>0</v>
      </c>
      <c r="H20" s="76"/>
      <c r="J20" s="3"/>
    </row>
    <row r="21" spans="1:11" ht="13">
      <c r="A21">
        <v>8.1999999999999993</v>
      </c>
      <c r="B21">
        <f t="shared" si="1"/>
        <v>0</v>
      </c>
      <c r="C21">
        <f t="shared" si="2"/>
        <v>0</v>
      </c>
      <c r="D21">
        <f t="shared" si="3"/>
        <v>0</v>
      </c>
      <c r="E21">
        <f t="shared" si="4"/>
        <v>0</v>
      </c>
      <c r="J21" s="3"/>
    </row>
    <row r="22" spans="1:11" ht="13">
      <c r="A22">
        <v>10</v>
      </c>
      <c r="B22">
        <f t="shared" si="1"/>
        <v>0</v>
      </c>
      <c r="C22">
        <f t="shared" si="2"/>
        <v>0</v>
      </c>
      <c r="D22">
        <f t="shared" si="3"/>
        <v>0</v>
      </c>
      <c r="E22">
        <f t="shared" si="4"/>
        <v>0</v>
      </c>
      <c r="H22" s="76"/>
      <c r="J22" s="3"/>
      <c r="K22" s="17"/>
    </row>
    <row r="23" spans="1:11" ht="13">
      <c r="A23">
        <v>12</v>
      </c>
      <c r="B23">
        <f t="shared" si="1"/>
        <v>0</v>
      </c>
      <c r="C23">
        <f t="shared" si="2"/>
        <v>0</v>
      </c>
      <c r="D23">
        <f t="shared" si="3"/>
        <v>0</v>
      </c>
      <c r="E23">
        <f t="shared" si="4"/>
        <v>0</v>
      </c>
      <c r="H23" t="s">
        <v>898</v>
      </c>
      <c r="I23">
        <f>'Calculations - Single'!H329</f>
        <v>-269.45010183299394</v>
      </c>
      <c r="J23" s="3" t="e">
        <f>IF(I23&gt;(INT(0.5+100*POWER(10,IF(96*(LOG(I23)-INT(LOG(I23)))-ROUND(96*(LOG(I23)-INT(LOG(I23))),0)&lt;0,ROUND(96*(LOG(I23)-INT(LOG(I23))),0)-1,ROUND(96*(LOG(I23)-INT(LOG(I23))),0))/96))*POWER(10,INT(LOG(I23))-2)+INT(0.5+100*POWER(10,(IF(96*(LOG(I23)-INT(LOG(I23)))-ROUND(96*(LOG(I23)-INT(LOG(I23))),0)&lt;0,ROUND(96*(LOG(I23)-INT(LOG(I23))),0)-1,ROUND(96*(LOG(I23)-INT(LOG(I23))),0))+1)/96))*POWER(10,INT(LOG(I23))-2))/2,INT(0.5+100*POWER(10,(IF(96*(LOG(I23)-INT(LOG(I23)))-ROUND(96*(LOG(I23)-INT(LOG(I23))),0)&lt;0,ROUND(96*(LOG(I23)-INT(LOG(I23))),0)-1,ROUND(96*(LOG(I23)-INT(LOG(I23))),0))+1)/96))*POWER(10,INT(LOG(I23))-2),INT(0.5+100*POWER(10,IF(96*(LOG(I23)-INT(LOG(I23)))-ROUND(96*(LOG(I23)-INT(LOG(I23))),0)&lt;0,ROUND(96*(LOG(I23)-INT(LOG(I23))),0)-1,ROUND(96*(LOG(I23)-INT(LOG(I23))),0))/96))*POWER(10,INT(LOG(I23))-2))</f>
        <v>#NUM!</v>
      </c>
      <c r="K23" s="17" t="s">
        <v>136</v>
      </c>
    </row>
    <row r="24" spans="1:11" ht="13">
      <c r="A24">
        <v>15</v>
      </c>
      <c r="B24">
        <f t="shared" si="1"/>
        <v>0</v>
      </c>
      <c r="C24">
        <f t="shared" si="2"/>
        <v>0</v>
      </c>
      <c r="D24">
        <f t="shared" si="3"/>
        <v>0</v>
      </c>
      <c r="E24">
        <f t="shared" si="4"/>
        <v>0</v>
      </c>
      <c r="H24" t="s">
        <v>899</v>
      </c>
      <c r="I24">
        <f>'Calculations - Dual'!H329</f>
        <v>-269.45010183299394</v>
      </c>
      <c r="J24" s="3" t="e">
        <f>IF(I24&gt;(INT(0.5+100*POWER(10,IF(96*(LOG(I24)-INT(LOG(I24)))-ROUND(96*(LOG(I24)-INT(LOG(I24))),0)&lt;0,ROUND(96*(LOG(I24)-INT(LOG(I24))),0)-1,ROUND(96*(LOG(I24)-INT(LOG(I24))),0))/96))*POWER(10,INT(LOG(I24))-2)+INT(0.5+100*POWER(10,(IF(96*(LOG(I24)-INT(LOG(I24)))-ROUND(96*(LOG(I24)-INT(LOG(I24))),0)&lt;0,ROUND(96*(LOG(I24)-INT(LOG(I24))),0)-1,ROUND(96*(LOG(I24)-INT(LOG(I24))),0))+1)/96))*POWER(10,INT(LOG(I24))-2))/2,INT(0.5+100*POWER(10,(IF(96*(LOG(I24)-INT(LOG(I24)))-ROUND(96*(LOG(I24)-INT(LOG(I24))),0)&lt;0,ROUND(96*(LOG(I24)-INT(LOG(I24))),0)-1,ROUND(96*(LOG(I24)-INT(LOG(I24))),0))+1)/96))*POWER(10,INT(LOG(I24))-2),INT(0.5+100*POWER(10,IF(96*(LOG(I24)-INT(LOG(I24)))-ROUND(96*(LOG(I24)-INT(LOG(I24))),0)&lt;0,ROUND(96*(LOG(I24)-INT(LOG(I24))),0)-1,ROUND(96*(LOG(I24)-INT(LOG(I24))),0))/96))*POWER(10,INT(LOG(I24))-2))</f>
        <v>#NUM!</v>
      </c>
    </row>
    <row r="25" spans="1:11" ht="13">
      <c r="A25">
        <v>18</v>
      </c>
      <c r="B25">
        <f t="shared" si="1"/>
        <v>0</v>
      </c>
      <c r="C25">
        <f t="shared" si="2"/>
        <v>0</v>
      </c>
      <c r="D25">
        <f t="shared" si="3"/>
        <v>0</v>
      </c>
      <c r="E25">
        <f t="shared" si="4"/>
        <v>0</v>
      </c>
      <c r="H25" s="76" t="s">
        <v>900</v>
      </c>
      <c r="I25">
        <f>'Calculations - Dual'!O329</f>
        <v>10444.736842105267</v>
      </c>
      <c r="J25" s="3">
        <f>IF(I25&gt;(INT(0.5+100*POWER(10,IF(96*(LOG(I25)-INT(LOG(I25)))-ROUND(96*(LOG(I25)-INT(LOG(I25))),0)&lt;0,ROUND(96*(LOG(I25)-INT(LOG(I25))),0)-1,ROUND(96*(LOG(I25)-INT(LOG(I25))),0))/96))*POWER(10,INT(LOG(I25))-2)+INT(0.5+100*POWER(10,(IF(96*(LOG(I25)-INT(LOG(I25)))-ROUND(96*(LOG(I25)-INT(LOG(I25))),0)&lt;0,ROUND(96*(LOG(I25)-INT(LOG(I25))),0)-1,ROUND(96*(LOG(I25)-INT(LOG(I25))),0))+1)/96))*POWER(10,INT(LOG(I25))-2))/2,INT(0.5+100*POWER(10,(IF(96*(LOG(I25)-INT(LOG(I25)))-ROUND(96*(LOG(I25)-INT(LOG(I25))),0)&lt;0,ROUND(96*(LOG(I25)-INT(LOG(I25))),0)-1,ROUND(96*(LOG(I25)-INT(LOG(I25))),0))+1)/96))*POWER(10,INT(LOG(I25))-2),INT(0.5+100*POWER(10,IF(96*(LOG(I25)-INT(LOG(I25)))-ROUND(96*(LOG(I25)-INT(LOG(I25))),0)&lt;0,ROUND(96*(LOG(I25)-INT(LOG(I25))),0)-1,ROUND(96*(LOG(I25)-INT(LOG(I25))),0))/96))*POWER(10,INT(LOG(I25))-2))</f>
        <v>10500</v>
      </c>
      <c r="K25" s="17"/>
    </row>
    <row r="26" spans="1:11">
      <c r="A26">
        <v>22</v>
      </c>
      <c r="B26">
        <f t="shared" si="1"/>
        <v>0</v>
      </c>
      <c r="C26">
        <f t="shared" si="2"/>
        <v>0</v>
      </c>
      <c r="D26">
        <f t="shared" si="3"/>
        <v>0</v>
      </c>
      <c r="E26">
        <f t="shared" si="4"/>
        <v>0</v>
      </c>
    </row>
    <row r="27" spans="1:11">
      <c r="A27">
        <v>27</v>
      </c>
      <c r="B27">
        <f t="shared" si="1"/>
        <v>0</v>
      </c>
      <c r="C27">
        <f t="shared" si="2"/>
        <v>0</v>
      </c>
      <c r="D27">
        <f t="shared" si="3"/>
        <v>0</v>
      </c>
      <c r="E27">
        <f t="shared" si="4"/>
        <v>0</v>
      </c>
      <c r="H27" t="s">
        <v>901</v>
      </c>
      <c r="I27">
        <f>'Calculations - Single'!G327</f>
        <v>4.3199999999999995E-2</v>
      </c>
    </row>
    <row r="28" spans="1:11" ht="13">
      <c r="A28">
        <v>33</v>
      </c>
      <c r="B28">
        <f t="shared" si="1"/>
        <v>0</v>
      </c>
      <c r="C28">
        <f t="shared" si="2"/>
        <v>0</v>
      </c>
      <c r="D28">
        <f t="shared" si="3"/>
        <v>0</v>
      </c>
      <c r="E28">
        <f t="shared" si="4"/>
        <v>0</v>
      </c>
      <c r="H28" s="76" t="s">
        <v>902</v>
      </c>
      <c r="I28">
        <f>'Calculations - Dual'!G327</f>
        <v>4.3199999999999995E-2</v>
      </c>
      <c r="K28" s="17"/>
    </row>
    <row r="29" spans="1:11">
      <c r="A29">
        <v>39</v>
      </c>
      <c r="B29">
        <f t="shared" si="1"/>
        <v>0</v>
      </c>
      <c r="C29">
        <f t="shared" si="2"/>
        <v>0</v>
      </c>
      <c r="D29">
        <f t="shared" si="3"/>
        <v>0</v>
      </c>
      <c r="E29">
        <f t="shared" si="4"/>
        <v>0</v>
      </c>
      <c r="H29" s="76" t="s">
        <v>903</v>
      </c>
      <c r="I29">
        <f>'Calculations - Dual'!N327</f>
        <v>4.3199999999999995E-2</v>
      </c>
      <c r="K29" s="76"/>
    </row>
    <row r="30" spans="1:11">
      <c r="A30">
        <v>47</v>
      </c>
      <c r="B30">
        <f t="shared" si="1"/>
        <v>0</v>
      </c>
      <c r="C30">
        <f t="shared" si="2"/>
        <v>0</v>
      </c>
      <c r="D30">
        <f t="shared" si="3"/>
        <v>0</v>
      </c>
      <c r="E30">
        <f t="shared" si="4"/>
        <v>0</v>
      </c>
      <c r="H30" s="4"/>
      <c r="K30" s="76"/>
    </row>
    <row r="31" spans="1:11" ht="13">
      <c r="A31">
        <v>56</v>
      </c>
      <c r="B31">
        <f t="shared" si="1"/>
        <v>0</v>
      </c>
      <c r="C31">
        <f t="shared" si="2"/>
        <v>0</v>
      </c>
      <c r="D31">
        <f t="shared" si="3"/>
        <v>0</v>
      </c>
      <c r="E31">
        <f t="shared" si="4"/>
        <v>0</v>
      </c>
      <c r="H31" s="4"/>
      <c r="K31" s="17"/>
    </row>
    <row r="32" spans="1:11">
      <c r="A32">
        <v>68</v>
      </c>
      <c r="B32">
        <f t="shared" si="1"/>
        <v>0</v>
      </c>
      <c r="C32">
        <f t="shared" si="2"/>
        <v>0</v>
      </c>
      <c r="D32">
        <f t="shared" si="3"/>
        <v>0</v>
      </c>
      <c r="E32">
        <f t="shared" si="4"/>
        <v>0</v>
      </c>
      <c r="H32" s="4"/>
      <c r="K32" s="76"/>
    </row>
    <row r="33" spans="1:8">
      <c r="A33">
        <v>82</v>
      </c>
      <c r="B33">
        <f t="shared" si="1"/>
        <v>0</v>
      </c>
      <c r="C33">
        <f t="shared" si="2"/>
        <v>0</v>
      </c>
      <c r="D33">
        <f t="shared" si="3"/>
        <v>0</v>
      </c>
      <c r="E33">
        <f t="shared" si="4"/>
        <v>0</v>
      </c>
    </row>
    <row r="34" spans="1:8">
      <c r="A34">
        <f>A22*10</f>
        <v>100</v>
      </c>
      <c r="B34">
        <f t="shared" si="1"/>
        <v>0</v>
      </c>
      <c r="C34">
        <f t="shared" si="2"/>
        <v>0</v>
      </c>
      <c r="D34">
        <f t="shared" si="3"/>
        <v>0</v>
      </c>
      <c r="E34">
        <f t="shared" si="4"/>
        <v>0</v>
      </c>
      <c r="H34" s="76"/>
    </row>
    <row r="35" spans="1:8">
      <c r="A35">
        <f t="shared" ref="A35:A98" si="5">A23*10</f>
        <v>120</v>
      </c>
      <c r="B35">
        <f t="shared" si="1"/>
        <v>0</v>
      </c>
      <c r="C35">
        <f t="shared" si="2"/>
        <v>0</v>
      </c>
      <c r="D35">
        <f t="shared" si="3"/>
        <v>0</v>
      </c>
      <c r="E35">
        <f t="shared" si="4"/>
        <v>0</v>
      </c>
      <c r="H35" s="76"/>
    </row>
    <row r="36" spans="1:8">
      <c r="A36">
        <f t="shared" si="5"/>
        <v>150</v>
      </c>
      <c r="B36">
        <f t="shared" si="1"/>
        <v>0</v>
      </c>
      <c r="C36">
        <f t="shared" si="2"/>
        <v>0</v>
      </c>
      <c r="D36">
        <f t="shared" si="3"/>
        <v>0</v>
      </c>
      <c r="E36">
        <f t="shared" si="4"/>
        <v>0</v>
      </c>
    </row>
    <row r="37" spans="1:8">
      <c r="A37">
        <f t="shared" si="5"/>
        <v>180</v>
      </c>
      <c r="B37">
        <f t="shared" si="1"/>
        <v>0</v>
      </c>
      <c r="C37">
        <f t="shared" si="2"/>
        <v>0</v>
      </c>
      <c r="D37">
        <f t="shared" si="3"/>
        <v>0</v>
      </c>
      <c r="E37">
        <f t="shared" si="4"/>
        <v>0</v>
      </c>
    </row>
    <row r="38" spans="1:8">
      <c r="A38">
        <f t="shared" si="5"/>
        <v>220</v>
      </c>
      <c r="B38">
        <f t="shared" si="1"/>
        <v>0</v>
      </c>
      <c r="C38">
        <f t="shared" si="2"/>
        <v>0</v>
      </c>
      <c r="D38">
        <f t="shared" si="3"/>
        <v>0</v>
      </c>
      <c r="E38">
        <f t="shared" ref="E38:E69" si="6">IF(IF((E$3*10^12-$A39)*(E$3*10^12-$A38)*-1&lt;0,0,1)*IF(ABS(E$3*10^12-$A39)&gt;(E$3*10^12-$A38),$A38,$A39)=E39,0,IF((E$3*10^12-$A39)*(E$3*10^12-$A38)*-1&lt;0,0,1)*IF(ABS(E$3*10^12-$A39)&gt;(E$3*10^12-$A38),$A38,$A39))</f>
        <v>0</v>
      </c>
    </row>
    <row r="39" spans="1:8">
      <c r="A39">
        <f t="shared" si="5"/>
        <v>270</v>
      </c>
      <c r="B39">
        <f t="shared" si="1"/>
        <v>0</v>
      </c>
      <c r="C39">
        <f t="shared" si="2"/>
        <v>0</v>
      </c>
      <c r="D39">
        <f t="shared" si="3"/>
        <v>0</v>
      </c>
      <c r="E39">
        <f t="shared" si="6"/>
        <v>0</v>
      </c>
    </row>
    <row r="40" spans="1:8">
      <c r="A40">
        <f t="shared" si="5"/>
        <v>330</v>
      </c>
      <c r="B40">
        <f t="shared" si="1"/>
        <v>0</v>
      </c>
      <c r="C40">
        <f t="shared" si="2"/>
        <v>0</v>
      </c>
      <c r="D40">
        <f t="shared" si="3"/>
        <v>0</v>
      </c>
      <c r="E40">
        <f t="shared" si="6"/>
        <v>0</v>
      </c>
    </row>
    <row r="41" spans="1:8">
      <c r="A41">
        <f t="shared" si="5"/>
        <v>390</v>
      </c>
      <c r="B41">
        <f t="shared" si="1"/>
        <v>0</v>
      </c>
      <c r="C41">
        <f t="shared" si="2"/>
        <v>0</v>
      </c>
      <c r="D41">
        <f t="shared" si="3"/>
        <v>0</v>
      </c>
      <c r="E41">
        <f t="shared" si="6"/>
        <v>0</v>
      </c>
    </row>
    <row r="42" spans="1:8">
      <c r="A42">
        <f t="shared" si="5"/>
        <v>470</v>
      </c>
      <c r="B42">
        <f t="shared" si="1"/>
        <v>0</v>
      </c>
      <c r="C42">
        <f t="shared" si="2"/>
        <v>0</v>
      </c>
      <c r="D42">
        <f t="shared" si="3"/>
        <v>0</v>
      </c>
      <c r="E42">
        <f t="shared" si="6"/>
        <v>0</v>
      </c>
    </row>
    <row r="43" spans="1:8">
      <c r="A43">
        <f t="shared" si="5"/>
        <v>560</v>
      </c>
      <c r="B43">
        <f t="shared" si="1"/>
        <v>0</v>
      </c>
      <c r="C43">
        <f t="shared" si="2"/>
        <v>0</v>
      </c>
      <c r="D43">
        <f t="shared" si="3"/>
        <v>0</v>
      </c>
      <c r="E43">
        <f t="shared" si="6"/>
        <v>0</v>
      </c>
    </row>
    <row r="44" spans="1:8">
      <c r="A44">
        <f t="shared" si="5"/>
        <v>680</v>
      </c>
      <c r="B44">
        <f t="shared" si="1"/>
        <v>0</v>
      </c>
      <c r="C44">
        <f t="shared" si="2"/>
        <v>0</v>
      </c>
      <c r="D44">
        <f t="shared" si="3"/>
        <v>0</v>
      </c>
      <c r="E44">
        <f t="shared" si="6"/>
        <v>0</v>
      </c>
    </row>
    <row r="45" spans="1:8">
      <c r="A45">
        <f>A33*10</f>
        <v>820</v>
      </c>
      <c r="B45">
        <f t="shared" si="1"/>
        <v>0</v>
      </c>
      <c r="C45">
        <f t="shared" si="2"/>
        <v>0</v>
      </c>
      <c r="D45">
        <f t="shared" si="3"/>
        <v>0</v>
      </c>
      <c r="E45">
        <f t="shared" si="6"/>
        <v>0</v>
      </c>
    </row>
    <row r="46" spans="1:8">
      <c r="A46">
        <f t="shared" si="5"/>
        <v>1000</v>
      </c>
      <c r="B46">
        <f t="shared" si="1"/>
        <v>0</v>
      </c>
      <c r="C46">
        <f t="shared" si="2"/>
        <v>0</v>
      </c>
      <c r="D46">
        <f t="shared" si="3"/>
        <v>0</v>
      </c>
      <c r="E46">
        <f t="shared" si="6"/>
        <v>0</v>
      </c>
    </row>
    <row r="47" spans="1:8">
      <c r="A47">
        <f t="shared" si="5"/>
        <v>1200</v>
      </c>
      <c r="B47">
        <f t="shared" si="1"/>
        <v>0</v>
      </c>
      <c r="C47">
        <f t="shared" si="2"/>
        <v>0</v>
      </c>
      <c r="D47">
        <f t="shared" si="3"/>
        <v>0</v>
      </c>
      <c r="E47">
        <f t="shared" si="6"/>
        <v>0</v>
      </c>
    </row>
    <row r="48" spans="1:8">
      <c r="A48">
        <f t="shared" si="5"/>
        <v>1500</v>
      </c>
      <c r="B48">
        <f t="shared" si="1"/>
        <v>0</v>
      </c>
      <c r="C48">
        <f t="shared" si="2"/>
        <v>0</v>
      </c>
      <c r="D48">
        <f t="shared" si="3"/>
        <v>0</v>
      </c>
      <c r="E48">
        <f t="shared" si="6"/>
        <v>0</v>
      </c>
    </row>
    <row r="49" spans="1:5">
      <c r="A49">
        <f t="shared" si="5"/>
        <v>1800</v>
      </c>
      <c r="B49">
        <f t="shared" si="1"/>
        <v>0</v>
      </c>
      <c r="C49">
        <f t="shared" si="2"/>
        <v>0</v>
      </c>
      <c r="D49">
        <f t="shared" si="3"/>
        <v>0</v>
      </c>
      <c r="E49">
        <f t="shared" si="6"/>
        <v>0</v>
      </c>
    </row>
    <row r="50" spans="1:5">
      <c r="A50">
        <f t="shared" si="5"/>
        <v>2200</v>
      </c>
      <c r="B50">
        <f t="shared" si="1"/>
        <v>0</v>
      </c>
      <c r="C50">
        <f t="shared" si="2"/>
        <v>0</v>
      </c>
      <c r="D50">
        <f t="shared" si="3"/>
        <v>0</v>
      </c>
      <c r="E50">
        <f t="shared" si="6"/>
        <v>0</v>
      </c>
    </row>
    <row r="51" spans="1:5">
      <c r="A51">
        <f t="shared" si="5"/>
        <v>2700</v>
      </c>
      <c r="B51">
        <f t="shared" si="1"/>
        <v>0</v>
      </c>
      <c r="C51">
        <f t="shared" si="2"/>
        <v>0</v>
      </c>
      <c r="D51">
        <f t="shared" si="3"/>
        <v>0</v>
      </c>
      <c r="E51">
        <f t="shared" si="6"/>
        <v>0</v>
      </c>
    </row>
    <row r="52" spans="1:5">
      <c r="A52">
        <f t="shared" si="5"/>
        <v>3300</v>
      </c>
      <c r="B52">
        <f t="shared" si="1"/>
        <v>0</v>
      </c>
      <c r="C52">
        <f t="shared" si="2"/>
        <v>0</v>
      </c>
      <c r="D52">
        <f t="shared" si="3"/>
        <v>0</v>
      </c>
      <c r="E52">
        <f t="shared" si="6"/>
        <v>0</v>
      </c>
    </row>
    <row r="53" spans="1:5">
      <c r="A53">
        <f t="shared" si="5"/>
        <v>3900</v>
      </c>
      <c r="B53">
        <f t="shared" si="1"/>
        <v>0</v>
      </c>
      <c r="C53">
        <f t="shared" si="2"/>
        <v>0</v>
      </c>
      <c r="D53">
        <f t="shared" si="3"/>
        <v>0</v>
      </c>
      <c r="E53">
        <f t="shared" si="6"/>
        <v>0</v>
      </c>
    </row>
    <row r="54" spans="1:5">
      <c r="A54">
        <f t="shared" si="5"/>
        <v>4700</v>
      </c>
      <c r="B54">
        <f t="shared" si="1"/>
        <v>0</v>
      </c>
      <c r="C54">
        <f t="shared" si="2"/>
        <v>0</v>
      </c>
      <c r="D54">
        <f t="shared" si="3"/>
        <v>0</v>
      </c>
      <c r="E54">
        <f t="shared" si="6"/>
        <v>0</v>
      </c>
    </row>
    <row r="55" spans="1:5">
      <c r="A55">
        <f t="shared" si="5"/>
        <v>5600</v>
      </c>
      <c r="B55">
        <f t="shared" si="1"/>
        <v>0</v>
      </c>
      <c r="C55">
        <f t="shared" si="2"/>
        <v>0</v>
      </c>
      <c r="D55">
        <f t="shared" si="3"/>
        <v>0</v>
      </c>
      <c r="E55">
        <f t="shared" si="6"/>
        <v>0</v>
      </c>
    </row>
    <row r="56" spans="1:5">
      <c r="A56">
        <f t="shared" si="5"/>
        <v>6800</v>
      </c>
      <c r="B56">
        <f t="shared" si="1"/>
        <v>0</v>
      </c>
      <c r="C56">
        <f t="shared" si="2"/>
        <v>0</v>
      </c>
      <c r="D56">
        <f t="shared" si="3"/>
        <v>0</v>
      </c>
      <c r="E56">
        <f t="shared" si="6"/>
        <v>0</v>
      </c>
    </row>
    <row r="57" spans="1:5">
      <c r="A57">
        <f t="shared" si="5"/>
        <v>8200</v>
      </c>
      <c r="B57">
        <f t="shared" si="1"/>
        <v>0</v>
      </c>
      <c r="C57">
        <f t="shared" si="2"/>
        <v>0</v>
      </c>
      <c r="D57">
        <f t="shared" si="3"/>
        <v>0</v>
      </c>
      <c r="E57">
        <f t="shared" si="6"/>
        <v>0</v>
      </c>
    </row>
    <row r="58" spans="1:5">
      <c r="A58">
        <f t="shared" si="5"/>
        <v>10000</v>
      </c>
      <c r="B58">
        <f t="shared" si="1"/>
        <v>0</v>
      </c>
      <c r="C58">
        <f t="shared" si="2"/>
        <v>0</v>
      </c>
      <c r="D58">
        <f t="shared" si="3"/>
        <v>0</v>
      </c>
      <c r="E58">
        <f t="shared" si="6"/>
        <v>0</v>
      </c>
    </row>
    <row r="59" spans="1:5">
      <c r="A59">
        <f t="shared" si="5"/>
        <v>12000</v>
      </c>
      <c r="B59">
        <f t="shared" si="1"/>
        <v>0</v>
      </c>
      <c r="C59">
        <f t="shared" si="2"/>
        <v>0</v>
      </c>
      <c r="D59">
        <f t="shared" si="3"/>
        <v>0</v>
      </c>
      <c r="E59">
        <f t="shared" si="6"/>
        <v>0</v>
      </c>
    </row>
    <row r="60" spans="1:5">
      <c r="A60">
        <f t="shared" si="5"/>
        <v>15000</v>
      </c>
      <c r="B60">
        <f t="shared" si="1"/>
        <v>0</v>
      </c>
      <c r="C60">
        <f t="shared" si="2"/>
        <v>0</v>
      </c>
      <c r="D60">
        <f t="shared" si="3"/>
        <v>0</v>
      </c>
      <c r="E60">
        <f t="shared" si="6"/>
        <v>0</v>
      </c>
    </row>
    <row r="61" spans="1:5">
      <c r="A61">
        <f t="shared" si="5"/>
        <v>18000</v>
      </c>
      <c r="B61">
        <f t="shared" si="1"/>
        <v>0</v>
      </c>
      <c r="C61">
        <f t="shared" si="2"/>
        <v>0</v>
      </c>
      <c r="D61">
        <f t="shared" si="3"/>
        <v>0</v>
      </c>
      <c r="E61">
        <f t="shared" si="6"/>
        <v>0</v>
      </c>
    </row>
    <row r="62" spans="1:5">
      <c r="A62">
        <f t="shared" si="5"/>
        <v>22000</v>
      </c>
      <c r="B62">
        <f t="shared" si="1"/>
        <v>0</v>
      </c>
      <c r="C62">
        <f t="shared" si="2"/>
        <v>0</v>
      </c>
      <c r="D62">
        <f t="shared" si="3"/>
        <v>0</v>
      </c>
      <c r="E62">
        <f t="shared" si="6"/>
        <v>0</v>
      </c>
    </row>
    <row r="63" spans="1:5">
      <c r="A63">
        <f t="shared" si="5"/>
        <v>27000</v>
      </c>
      <c r="B63">
        <f t="shared" si="1"/>
        <v>0</v>
      </c>
      <c r="C63">
        <f t="shared" si="2"/>
        <v>0</v>
      </c>
      <c r="D63">
        <f t="shared" si="3"/>
        <v>0</v>
      </c>
      <c r="E63">
        <f t="shared" si="6"/>
        <v>0</v>
      </c>
    </row>
    <row r="64" spans="1:5">
      <c r="A64">
        <f t="shared" si="5"/>
        <v>33000</v>
      </c>
      <c r="B64">
        <f t="shared" si="1"/>
        <v>0</v>
      </c>
      <c r="C64">
        <f t="shared" si="2"/>
        <v>0</v>
      </c>
      <c r="D64">
        <f t="shared" si="3"/>
        <v>0</v>
      </c>
      <c r="E64">
        <f t="shared" si="6"/>
        <v>0</v>
      </c>
    </row>
    <row r="65" spans="1:5">
      <c r="A65">
        <f t="shared" si="5"/>
        <v>39000</v>
      </c>
      <c r="B65">
        <f t="shared" si="1"/>
        <v>0</v>
      </c>
      <c r="C65">
        <f t="shared" si="2"/>
        <v>0</v>
      </c>
      <c r="D65">
        <f t="shared" si="3"/>
        <v>0</v>
      </c>
      <c r="E65">
        <f t="shared" si="6"/>
        <v>0</v>
      </c>
    </row>
    <row r="66" spans="1:5">
      <c r="A66">
        <f t="shared" si="5"/>
        <v>47000</v>
      </c>
      <c r="B66">
        <f t="shared" si="1"/>
        <v>0</v>
      </c>
      <c r="C66">
        <f t="shared" si="2"/>
        <v>0</v>
      </c>
      <c r="D66">
        <f t="shared" si="3"/>
        <v>0</v>
      </c>
      <c r="E66">
        <f t="shared" si="6"/>
        <v>0</v>
      </c>
    </row>
    <row r="67" spans="1:5">
      <c r="A67">
        <f t="shared" si="5"/>
        <v>56000</v>
      </c>
      <c r="B67">
        <f t="shared" si="1"/>
        <v>0</v>
      </c>
      <c r="C67">
        <f t="shared" si="2"/>
        <v>0</v>
      </c>
      <c r="D67">
        <f t="shared" si="3"/>
        <v>0</v>
      </c>
      <c r="E67">
        <f t="shared" si="6"/>
        <v>0</v>
      </c>
    </row>
    <row r="68" spans="1:5">
      <c r="A68">
        <f t="shared" si="5"/>
        <v>68000</v>
      </c>
      <c r="B68">
        <f t="shared" si="1"/>
        <v>0</v>
      </c>
      <c r="C68">
        <f t="shared" si="2"/>
        <v>0</v>
      </c>
      <c r="D68">
        <f t="shared" si="3"/>
        <v>0</v>
      </c>
      <c r="E68">
        <f t="shared" si="6"/>
        <v>0</v>
      </c>
    </row>
    <row r="69" spans="1:5">
      <c r="A69">
        <f t="shared" si="5"/>
        <v>82000</v>
      </c>
      <c r="B69">
        <f t="shared" si="1"/>
        <v>0</v>
      </c>
      <c r="C69">
        <f t="shared" si="2"/>
        <v>0</v>
      </c>
      <c r="D69">
        <f t="shared" si="3"/>
        <v>0</v>
      </c>
      <c r="E69">
        <f t="shared" si="6"/>
        <v>0</v>
      </c>
    </row>
    <row r="70" spans="1:5">
      <c r="A70">
        <f t="shared" si="5"/>
        <v>100000</v>
      </c>
      <c r="B70">
        <f t="shared" si="1"/>
        <v>100000</v>
      </c>
      <c r="C70">
        <f>IF(IF((C$3*10^12-$A71)*(C$3*10^12-$A70)*-1&lt;0,0,1)*IF(ABS(C$3*10^12-$A71)&gt;(C$3*10^12-$A70),$A70,$A71)=C71,0,IF((C$3*10^12-$A71)*(C$3*10^12-$A70)*-1&lt;0,0,1)*IF(ABS(C$3*10^12-$A71)&gt;(C$3*10^12-$A70),$A70,$A71))</f>
        <v>0</v>
      </c>
      <c r="D70">
        <f>IF(IF((D$3*10^12-$A71)*(D$3*10^12-$A70)*-1&lt;0,0,1)*IF(ABS(D$3*10^12-$A71)&gt;(D$3*10^12-$A70),$A70,$A71)=D71,0,IF((D$3*10^12-$A71)*(D$3*10^12-$A70)*-1&lt;0,0,1)*IF(ABS(D$3*10^12-$A71)&gt;(D$3*10^12-$A70),$A70,$A71))</f>
        <v>0</v>
      </c>
      <c r="E70">
        <f t="shared" ref="E70:E101" si="7">IF(IF((E$3*10^12-$A71)*(E$3*10^12-$A70)*-1&lt;0,0,1)*IF(ABS(E$3*10^12-$A71)&gt;(E$3*10^12-$A70),$A70,$A71)=E71,0,IF((E$3*10^12-$A71)*(E$3*10^12-$A70)*-1&lt;0,0,1)*IF(ABS(E$3*10^12-$A71)&gt;(E$3*10^12-$A70),$A70,$A71))</f>
        <v>0</v>
      </c>
    </row>
    <row r="71" spans="1:5">
      <c r="A71">
        <f t="shared" si="5"/>
        <v>120000</v>
      </c>
      <c r="B71">
        <f t="shared" ref="B71:B134" si="8">IF(IF((B$3*10^12-$A72)*(B$3*10^12-$A71)*-1&lt;0,0,1)*IF(ABS(B$3*10^12-$A72)&gt;(B$3*10^12-$A71),$A71,$A72)=B72,0,IF((B$3*10^12-$A72)*(B$3*10^12-$A71)*-1&lt;0,0,1)*IF(ABS(B$3*10^12-$A72)&gt;(B$3*10^12-$A71),$A71,$A72))</f>
        <v>0</v>
      </c>
      <c r="C71">
        <f t="shared" ref="C71:C133" si="9">IF(IF((C$3*10^12-$A72)*(C$3*10^12-$A71)*-1&lt;0,0,1)*IF(ABS(C$3*10^12-$A72)&gt;(C$3*10^12-$A71),$A71,$A72)=C72,0,IF((C$3*10^12-$A72)*(C$3*10^12-$A71)*-1&lt;0,0,1)*IF(ABS(C$3*10^12-$A72)&gt;(C$3*10^12-$A71),$A71,$A72))</f>
        <v>0</v>
      </c>
      <c r="D71">
        <f t="shared" ref="D71:D102" si="10">IF(IF((D$3*10^12-$A72)*(D$3*10^12-$A71)*-1&lt;0,0,1)*IF(ABS(D$3*10^12-$A72)&gt;(D$3*10^12-$A71),$A71,$A72)=D72,0,IF((D$3*10^12-$A72)*(D$3*10^12-$A71)*-1&lt;0,0,1)*IF(ABS(D$3*10^12-$A72)&gt;(D$3*10^12-$A71),$A71,$A72))</f>
        <v>0</v>
      </c>
      <c r="E71">
        <f t="shared" si="7"/>
        <v>0</v>
      </c>
    </row>
    <row r="72" spans="1:5">
      <c r="A72">
        <f t="shared" si="5"/>
        <v>150000</v>
      </c>
      <c r="B72">
        <f t="shared" si="8"/>
        <v>0</v>
      </c>
      <c r="C72">
        <f t="shared" si="9"/>
        <v>0</v>
      </c>
      <c r="D72">
        <f t="shared" si="10"/>
        <v>0</v>
      </c>
      <c r="E72">
        <f t="shared" si="7"/>
        <v>0</v>
      </c>
    </row>
    <row r="73" spans="1:5">
      <c r="A73">
        <f t="shared" si="5"/>
        <v>180000</v>
      </c>
      <c r="B73">
        <f t="shared" si="8"/>
        <v>0</v>
      </c>
      <c r="C73">
        <f t="shared" si="9"/>
        <v>0</v>
      </c>
      <c r="D73">
        <f t="shared" si="10"/>
        <v>0</v>
      </c>
      <c r="E73">
        <f t="shared" si="7"/>
        <v>0</v>
      </c>
    </row>
    <row r="74" spans="1:5">
      <c r="A74">
        <f t="shared" si="5"/>
        <v>220000</v>
      </c>
      <c r="B74">
        <f t="shared" si="8"/>
        <v>0</v>
      </c>
      <c r="C74">
        <f t="shared" si="9"/>
        <v>0</v>
      </c>
      <c r="D74">
        <f t="shared" si="10"/>
        <v>0</v>
      </c>
      <c r="E74">
        <f t="shared" si="7"/>
        <v>0</v>
      </c>
    </row>
    <row r="75" spans="1:5">
      <c r="A75">
        <f t="shared" si="5"/>
        <v>270000</v>
      </c>
      <c r="B75">
        <f t="shared" si="8"/>
        <v>0</v>
      </c>
      <c r="C75">
        <f t="shared" si="9"/>
        <v>0</v>
      </c>
      <c r="D75">
        <f t="shared" si="10"/>
        <v>0</v>
      </c>
      <c r="E75">
        <f t="shared" si="7"/>
        <v>0</v>
      </c>
    </row>
    <row r="76" spans="1:5">
      <c r="A76">
        <f t="shared" si="5"/>
        <v>330000</v>
      </c>
      <c r="B76">
        <f t="shared" si="8"/>
        <v>0</v>
      </c>
      <c r="C76">
        <f t="shared" si="9"/>
        <v>0</v>
      </c>
      <c r="D76">
        <f t="shared" si="10"/>
        <v>0</v>
      </c>
      <c r="E76">
        <f t="shared" si="7"/>
        <v>0</v>
      </c>
    </row>
    <row r="77" spans="1:5">
      <c r="A77">
        <f t="shared" si="5"/>
        <v>390000</v>
      </c>
      <c r="B77">
        <f t="shared" si="8"/>
        <v>0</v>
      </c>
      <c r="C77">
        <f t="shared" si="9"/>
        <v>0</v>
      </c>
      <c r="D77">
        <f t="shared" si="10"/>
        <v>0</v>
      </c>
      <c r="E77">
        <f t="shared" si="7"/>
        <v>0</v>
      </c>
    </row>
    <row r="78" spans="1:5">
      <c r="A78">
        <f t="shared" si="5"/>
        <v>470000</v>
      </c>
      <c r="B78">
        <f t="shared" si="8"/>
        <v>0</v>
      </c>
      <c r="C78">
        <f t="shared" si="9"/>
        <v>0</v>
      </c>
      <c r="D78">
        <f t="shared" si="10"/>
        <v>0</v>
      </c>
      <c r="E78">
        <f t="shared" si="7"/>
        <v>0</v>
      </c>
    </row>
    <row r="79" spans="1:5">
      <c r="A79">
        <f t="shared" si="5"/>
        <v>560000</v>
      </c>
      <c r="B79">
        <f t="shared" si="8"/>
        <v>0</v>
      </c>
      <c r="C79">
        <f t="shared" si="9"/>
        <v>0</v>
      </c>
      <c r="D79">
        <f t="shared" si="10"/>
        <v>0</v>
      </c>
      <c r="E79">
        <f t="shared" si="7"/>
        <v>0</v>
      </c>
    </row>
    <row r="80" spans="1:5">
      <c r="A80">
        <f t="shared" si="5"/>
        <v>680000</v>
      </c>
      <c r="B80">
        <f t="shared" si="8"/>
        <v>0</v>
      </c>
      <c r="C80">
        <f t="shared" si="9"/>
        <v>0</v>
      </c>
      <c r="D80">
        <f t="shared" si="10"/>
        <v>0</v>
      </c>
      <c r="E80">
        <f t="shared" si="7"/>
        <v>0</v>
      </c>
    </row>
    <row r="81" spans="1:5">
      <c r="A81">
        <f t="shared" si="5"/>
        <v>820000</v>
      </c>
      <c r="B81">
        <f t="shared" si="8"/>
        <v>0</v>
      </c>
      <c r="C81">
        <f t="shared" si="9"/>
        <v>0</v>
      </c>
      <c r="D81">
        <f t="shared" si="10"/>
        <v>0</v>
      </c>
      <c r="E81">
        <f t="shared" si="7"/>
        <v>0</v>
      </c>
    </row>
    <row r="82" spans="1:5">
      <c r="A82">
        <f t="shared" si="5"/>
        <v>1000000</v>
      </c>
      <c r="B82">
        <f t="shared" si="8"/>
        <v>0</v>
      </c>
      <c r="C82">
        <f t="shared" si="9"/>
        <v>0</v>
      </c>
      <c r="D82">
        <f t="shared" si="10"/>
        <v>0</v>
      </c>
      <c r="E82">
        <f t="shared" si="7"/>
        <v>0</v>
      </c>
    </row>
    <row r="83" spans="1:5">
      <c r="A83">
        <f t="shared" si="5"/>
        <v>1200000</v>
      </c>
      <c r="B83">
        <f t="shared" si="8"/>
        <v>0</v>
      </c>
      <c r="C83">
        <f t="shared" si="9"/>
        <v>0</v>
      </c>
      <c r="D83">
        <f t="shared" si="10"/>
        <v>0</v>
      </c>
      <c r="E83">
        <f t="shared" si="7"/>
        <v>0</v>
      </c>
    </row>
    <row r="84" spans="1:5">
      <c r="A84">
        <f t="shared" si="5"/>
        <v>1500000</v>
      </c>
      <c r="B84">
        <f t="shared" si="8"/>
        <v>0</v>
      </c>
      <c r="C84">
        <f t="shared" si="9"/>
        <v>0</v>
      </c>
      <c r="D84">
        <f t="shared" si="10"/>
        <v>0</v>
      </c>
      <c r="E84">
        <f t="shared" si="7"/>
        <v>0</v>
      </c>
    </row>
    <row r="85" spans="1:5">
      <c r="A85">
        <f t="shared" si="5"/>
        <v>1800000</v>
      </c>
      <c r="B85">
        <f t="shared" si="8"/>
        <v>0</v>
      </c>
      <c r="C85">
        <f t="shared" si="9"/>
        <v>0</v>
      </c>
      <c r="D85">
        <f t="shared" si="10"/>
        <v>0</v>
      </c>
      <c r="E85">
        <f t="shared" si="7"/>
        <v>0</v>
      </c>
    </row>
    <row r="86" spans="1:5">
      <c r="A86">
        <f t="shared" si="5"/>
        <v>2200000</v>
      </c>
      <c r="B86">
        <f t="shared" si="8"/>
        <v>0</v>
      </c>
      <c r="C86">
        <f t="shared" si="9"/>
        <v>0</v>
      </c>
      <c r="D86">
        <f t="shared" si="10"/>
        <v>0</v>
      </c>
      <c r="E86">
        <f t="shared" si="7"/>
        <v>0</v>
      </c>
    </row>
    <row r="87" spans="1:5">
      <c r="A87">
        <f t="shared" si="5"/>
        <v>2700000</v>
      </c>
      <c r="B87">
        <f t="shared" si="8"/>
        <v>0</v>
      </c>
      <c r="C87">
        <f t="shared" si="9"/>
        <v>0</v>
      </c>
      <c r="D87">
        <f t="shared" si="10"/>
        <v>0</v>
      </c>
      <c r="E87">
        <f t="shared" si="7"/>
        <v>0</v>
      </c>
    </row>
    <row r="88" spans="1:5">
      <c r="A88">
        <f t="shared" si="5"/>
        <v>3300000</v>
      </c>
      <c r="B88">
        <f t="shared" si="8"/>
        <v>0</v>
      </c>
      <c r="C88">
        <f t="shared" si="9"/>
        <v>0</v>
      </c>
      <c r="D88">
        <f t="shared" si="10"/>
        <v>0</v>
      </c>
      <c r="E88">
        <f t="shared" si="7"/>
        <v>0</v>
      </c>
    </row>
    <row r="89" spans="1:5">
      <c r="A89">
        <f t="shared" si="5"/>
        <v>3900000</v>
      </c>
      <c r="B89">
        <f t="shared" si="8"/>
        <v>0</v>
      </c>
      <c r="C89">
        <f t="shared" si="9"/>
        <v>0</v>
      </c>
      <c r="D89">
        <f t="shared" si="10"/>
        <v>0</v>
      </c>
      <c r="E89">
        <f t="shared" si="7"/>
        <v>0</v>
      </c>
    </row>
    <row r="90" spans="1:5">
      <c r="A90">
        <f t="shared" si="5"/>
        <v>4700000</v>
      </c>
      <c r="B90">
        <f t="shared" si="8"/>
        <v>0</v>
      </c>
      <c r="C90">
        <f t="shared" si="9"/>
        <v>0</v>
      </c>
      <c r="D90">
        <f t="shared" si="10"/>
        <v>0</v>
      </c>
      <c r="E90">
        <f t="shared" si="7"/>
        <v>0</v>
      </c>
    </row>
    <row r="91" spans="1:5">
      <c r="A91">
        <f t="shared" si="5"/>
        <v>5600000</v>
      </c>
      <c r="B91">
        <f t="shared" si="8"/>
        <v>0</v>
      </c>
      <c r="C91">
        <f t="shared" si="9"/>
        <v>0</v>
      </c>
      <c r="D91">
        <f t="shared" si="10"/>
        <v>0</v>
      </c>
      <c r="E91">
        <f t="shared" si="7"/>
        <v>0</v>
      </c>
    </row>
    <row r="92" spans="1:5">
      <c r="A92">
        <f t="shared" si="5"/>
        <v>6800000</v>
      </c>
      <c r="B92">
        <f t="shared" si="8"/>
        <v>0</v>
      </c>
      <c r="C92">
        <f t="shared" si="9"/>
        <v>0</v>
      </c>
      <c r="D92">
        <f t="shared" si="10"/>
        <v>0</v>
      </c>
      <c r="E92">
        <f t="shared" si="7"/>
        <v>0</v>
      </c>
    </row>
    <row r="93" spans="1:5">
      <c r="A93">
        <f t="shared" si="5"/>
        <v>8200000</v>
      </c>
      <c r="B93">
        <f t="shared" si="8"/>
        <v>0</v>
      </c>
      <c r="C93">
        <f t="shared" si="9"/>
        <v>0</v>
      </c>
      <c r="D93">
        <f t="shared" si="10"/>
        <v>0</v>
      </c>
      <c r="E93">
        <f t="shared" si="7"/>
        <v>0</v>
      </c>
    </row>
    <row r="94" spans="1:5">
      <c r="A94">
        <f t="shared" si="5"/>
        <v>10000000</v>
      </c>
      <c r="B94">
        <f t="shared" si="8"/>
        <v>0</v>
      </c>
      <c r="C94">
        <f t="shared" si="9"/>
        <v>0</v>
      </c>
      <c r="D94">
        <f t="shared" si="10"/>
        <v>0</v>
      </c>
      <c r="E94">
        <f t="shared" si="7"/>
        <v>0</v>
      </c>
    </row>
    <row r="95" spans="1:5">
      <c r="A95">
        <f t="shared" si="5"/>
        <v>12000000</v>
      </c>
      <c r="B95">
        <f t="shared" si="8"/>
        <v>0</v>
      </c>
      <c r="C95">
        <f t="shared" si="9"/>
        <v>0</v>
      </c>
      <c r="D95">
        <f t="shared" si="10"/>
        <v>0</v>
      </c>
      <c r="E95">
        <f t="shared" si="7"/>
        <v>0</v>
      </c>
    </row>
    <row r="96" spans="1:5">
      <c r="A96">
        <f t="shared" si="5"/>
        <v>15000000</v>
      </c>
      <c r="B96">
        <f t="shared" si="8"/>
        <v>0</v>
      </c>
      <c r="C96">
        <f t="shared" si="9"/>
        <v>0</v>
      </c>
      <c r="D96">
        <f t="shared" si="10"/>
        <v>0</v>
      </c>
      <c r="E96">
        <f t="shared" si="7"/>
        <v>0</v>
      </c>
    </row>
    <row r="97" spans="1:5">
      <c r="A97">
        <f t="shared" si="5"/>
        <v>18000000</v>
      </c>
      <c r="B97">
        <f t="shared" si="8"/>
        <v>0</v>
      </c>
      <c r="C97">
        <f t="shared" si="9"/>
        <v>0</v>
      </c>
      <c r="D97">
        <f t="shared" si="10"/>
        <v>0</v>
      </c>
      <c r="E97">
        <f t="shared" si="7"/>
        <v>0</v>
      </c>
    </row>
    <row r="98" spans="1:5">
      <c r="A98">
        <f t="shared" si="5"/>
        <v>22000000</v>
      </c>
      <c r="B98">
        <f t="shared" si="8"/>
        <v>0</v>
      </c>
      <c r="C98">
        <f t="shared" si="9"/>
        <v>0</v>
      </c>
      <c r="D98">
        <f t="shared" si="10"/>
        <v>0</v>
      </c>
      <c r="E98">
        <f t="shared" si="7"/>
        <v>0</v>
      </c>
    </row>
    <row r="99" spans="1:5">
      <c r="A99">
        <f t="shared" ref="A99:A159" si="11">A87*10</f>
        <v>27000000</v>
      </c>
      <c r="B99">
        <f t="shared" si="8"/>
        <v>0</v>
      </c>
      <c r="C99">
        <f t="shared" si="9"/>
        <v>0</v>
      </c>
      <c r="D99">
        <f t="shared" si="10"/>
        <v>0</v>
      </c>
      <c r="E99">
        <f t="shared" si="7"/>
        <v>0</v>
      </c>
    </row>
    <row r="100" spans="1:5">
      <c r="A100">
        <f t="shared" si="11"/>
        <v>33000000</v>
      </c>
      <c r="B100">
        <f t="shared" si="8"/>
        <v>0</v>
      </c>
      <c r="C100">
        <f t="shared" si="9"/>
        <v>0</v>
      </c>
      <c r="D100">
        <f t="shared" si="10"/>
        <v>0</v>
      </c>
      <c r="E100">
        <f t="shared" si="7"/>
        <v>0</v>
      </c>
    </row>
    <row r="101" spans="1:5">
      <c r="A101">
        <f t="shared" si="11"/>
        <v>39000000</v>
      </c>
      <c r="B101">
        <f t="shared" si="8"/>
        <v>0</v>
      </c>
      <c r="C101">
        <f t="shared" si="9"/>
        <v>0</v>
      </c>
      <c r="D101">
        <f t="shared" si="10"/>
        <v>0</v>
      </c>
      <c r="E101">
        <f t="shared" si="7"/>
        <v>0</v>
      </c>
    </row>
    <row r="102" spans="1:5">
      <c r="A102">
        <f t="shared" si="11"/>
        <v>47000000</v>
      </c>
      <c r="B102">
        <f t="shared" si="8"/>
        <v>0</v>
      </c>
      <c r="C102">
        <f t="shared" si="9"/>
        <v>0</v>
      </c>
      <c r="D102">
        <f t="shared" si="10"/>
        <v>0</v>
      </c>
      <c r="E102">
        <f t="shared" ref="E102:E133" si="12">IF(IF((E$3*10^12-$A103)*(E$3*10^12-$A102)*-1&lt;0,0,1)*IF(ABS(E$3*10^12-$A103)&gt;(E$3*10^12-$A102),$A102,$A103)=E103,0,IF((E$3*10^12-$A103)*(E$3*10^12-$A102)*-1&lt;0,0,1)*IF(ABS(E$3*10^12-$A103)&gt;(E$3*10^12-$A102),$A102,$A103))</f>
        <v>0</v>
      </c>
    </row>
    <row r="103" spans="1:5">
      <c r="A103">
        <f t="shared" si="11"/>
        <v>56000000</v>
      </c>
      <c r="B103">
        <f t="shared" si="8"/>
        <v>0</v>
      </c>
      <c r="C103">
        <f t="shared" si="9"/>
        <v>0</v>
      </c>
      <c r="D103">
        <f t="shared" ref="D103:D134" si="13">IF(IF((D$3*10^12-$A104)*(D$3*10^12-$A103)*-1&lt;0,0,1)*IF(ABS(D$3*10^12-$A104)&gt;(D$3*10^12-$A103),$A103,$A104)=D104,0,IF((D$3*10^12-$A104)*(D$3*10^12-$A103)*-1&lt;0,0,1)*IF(ABS(D$3*10^12-$A104)&gt;(D$3*10^12-$A103),$A103,$A104))</f>
        <v>0</v>
      </c>
      <c r="E103">
        <f t="shared" si="12"/>
        <v>0</v>
      </c>
    </row>
    <row r="104" spans="1:5">
      <c r="A104">
        <f t="shared" si="11"/>
        <v>68000000</v>
      </c>
      <c r="B104">
        <f t="shared" si="8"/>
        <v>0</v>
      </c>
      <c r="C104">
        <f t="shared" si="9"/>
        <v>0</v>
      </c>
      <c r="D104">
        <f t="shared" si="13"/>
        <v>0</v>
      </c>
      <c r="E104">
        <f t="shared" si="12"/>
        <v>0</v>
      </c>
    </row>
    <row r="105" spans="1:5">
      <c r="A105">
        <f t="shared" si="11"/>
        <v>82000000</v>
      </c>
      <c r="B105">
        <f t="shared" si="8"/>
        <v>0</v>
      </c>
      <c r="C105">
        <f t="shared" si="9"/>
        <v>0</v>
      </c>
      <c r="D105">
        <f t="shared" si="13"/>
        <v>0</v>
      </c>
      <c r="E105">
        <f t="shared" si="12"/>
        <v>0</v>
      </c>
    </row>
    <row r="106" spans="1:5">
      <c r="A106">
        <f t="shared" si="11"/>
        <v>100000000</v>
      </c>
      <c r="B106">
        <f t="shared" si="8"/>
        <v>0</v>
      </c>
      <c r="C106">
        <f t="shared" si="9"/>
        <v>0</v>
      </c>
      <c r="D106">
        <f t="shared" si="13"/>
        <v>0</v>
      </c>
      <c r="E106">
        <f t="shared" si="12"/>
        <v>0</v>
      </c>
    </row>
    <row r="107" spans="1:5">
      <c r="A107">
        <f t="shared" si="11"/>
        <v>120000000</v>
      </c>
      <c r="B107">
        <f t="shared" si="8"/>
        <v>0</v>
      </c>
      <c r="C107">
        <f t="shared" si="9"/>
        <v>0</v>
      </c>
      <c r="D107">
        <f t="shared" si="13"/>
        <v>0</v>
      </c>
      <c r="E107">
        <f t="shared" si="12"/>
        <v>0</v>
      </c>
    </row>
    <row r="108" spans="1:5">
      <c r="A108">
        <f t="shared" si="11"/>
        <v>150000000</v>
      </c>
      <c r="B108">
        <f t="shared" si="8"/>
        <v>0</v>
      </c>
      <c r="C108">
        <f t="shared" si="9"/>
        <v>0</v>
      </c>
      <c r="D108">
        <f t="shared" si="13"/>
        <v>0</v>
      </c>
      <c r="E108">
        <f t="shared" si="12"/>
        <v>0</v>
      </c>
    </row>
    <row r="109" spans="1:5">
      <c r="A109">
        <f t="shared" si="11"/>
        <v>180000000</v>
      </c>
      <c r="B109">
        <f t="shared" si="8"/>
        <v>0</v>
      </c>
      <c r="C109">
        <f t="shared" si="9"/>
        <v>0</v>
      </c>
      <c r="D109">
        <f t="shared" si="13"/>
        <v>0</v>
      </c>
      <c r="E109">
        <f t="shared" si="12"/>
        <v>0</v>
      </c>
    </row>
    <row r="110" spans="1:5">
      <c r="A110">
        <f t="shared" si="11"/>
        <v>220000000</v>
      </c>
      <c r="B110">
        <f t="shared" si="8"/>
        <v>0</v>
      </c>
      <c r="C110">
        <f t="shared" si="9"/>
        <v>0</v>
      </c>
      <c r="D110">
        <f t="shared" si="13"/>
        <v>0</v>
      </c>
      <c r="E110">
        <f t="shared" si="12"/>
        <v>0</v>
      </c>
    </row>
    <row r="111" spans="1:5">
      <c r="A111">
        <f t="shared" si="11"/>
        <v>270000000</v>
      </c>
      <c r="B111">
        <f t="shared" si="8"/>
        <v>0</v>
      </c>
      <c r="C111">
        <f t="shared" si="9"/>
        <v>0</v>
      </c>
      <c r="D111">
        <f t="shared" si="13"/>
        <v>0</v>
      </c>
      <c r="E111">
        <f t="shared" si="12"/>
        <v>0</v>
      </c>
    </row>
    <row r="112" spans="1:5">
      <c r="A112">
        <f t="shared" si="11"/>
        <v>330000000</v>
      </c>
      <c r="B112">
        <f t="shared" si="8"/>
        <v>0</v>
      </c>
      <c r="C112">
        <f t="shared" si="9"/>
        <v>0</v>
      </c>
      <c r="D112">
        <f t="shared" si="13"/>
        <v>0</v>
      </c>
      <c r="E112">
        <f t="shared" si="12"/>
        <v>0</v>
      </c>
    </row>
    <row r="113" spans="1:5">
      <c r="A113">
        <f t="shared" si="11"/>
        <v>390000000</v>
      </c>
      <c r="B113">
        <f t="shared" si="8"/>
        <v>0</v>
      </c>
      <c r="C113">
        <f t="shared" si="9"/>
        <v>0</v>
      </c>
      <c r="D113">
        <f t="shared" si="13"/>
        <v>0</v>
      </c>
      <c r="E113">
        <f t="shared" si="12"/>
        <v>0</v>
      </c>
    </row>
    <row r="114" spans="1:5">
      <c r="A114">
        <f t="shared" si="11"/>
        <v>470000000</v>
      </c>
      <c r="B114">
        <f t="shared" si="8"/>
        <v>0</v>
      </c>
      <c r="C114">
        <f t="shared" si="9"/>
        <v>0</v>
      </c>
      <c r="D114">
        <f t="shared" si="13"/>
        <v>0</v>
      </c>
      <c r="E114">
        <f t="shared" si="12"/>
        <v>0</v>
      </c>
    </row>
    <row r="115" spans="1:5">
      <c r="A115">
        <f t="shared" si="11"/>
        <v>560000000</v>
      </c>
      <c r="B115">
        <f t="shared" si="8"/>
        <v>0</v>
      </c>
      <c r="C115">
        <f t="shared" si="9"/>
        <v>0</v>
      </c>
      <c r="D115">
        <f t="shared" si="13"/>
        <v>0</v>
      </c>
      <c r="E115">
        <f t="shared" si="12"/>
        <v>0</v>
      </c>
    </row>
    <row r="116" spans="1:5">
      <c r="A116">
        <f t="shared" si="11"/>
        <v>680000000</v>
      </c>
      <c r="B116">
        <f t="shared" si="8"/>
        <v>0</v>
      </c>
      <c r="C116">
        <f t="shared" si="9"/>
        <v>0</v>
      </c>
      <c r="D116">
        <f t="shared" si="13"/>
        <v>0</v>
      </c>
      <c r="E116">
        <f t="shared" si="12"/>
        <v>0</v>
      </c>
    </row>
    <row r="117" spans="1:5">
      <c r="A117">
        <f t="shared" si="11"/>
        <v>820000000</v>
      </c>
      <c r="B117">
        <f t="shared" si="8"/>
        <v>0</v>
      </c>
      <c r="C117">
        <f t="shared" si="9"/>
        <v>0</v>
      </c>
      <c r="D117">
        <f t="shared" si="13"/>
        <v>0</v>
      </c>
      <c r="E117">
        <f t="shared" si="12"/>
        <v>0</v>
      </c>
    </row>
    <row r="118" spans="1:5">
      <c r="A118">
        <f t="shared" si="11"/>
        <v>1000000000</v>
      </c>
      <c r="B118">
        <f t="shared" si="8"/>
        <v>0</v>
      </c>
      <c r="C118">
        <f t="shared" si="9"/>
        <v>0</v>
      </c>
      <c r="D118">
        <f t="shared" si="13"/>
        <v>0</v>
      </c>
      <c r="E118">
        <f t="shared" si="12"/>
        <v>0</v>
      </c>
    </row>
    <row r="119" spans="1:5">
      <c r="A119">
        <f t="shared" si="11"/>
        <v>1200000000</v>
      </c>
      <c r="B119">
        <f t="shared" si="8"/>
        <v>0</v>
      </c>
      <c r="C119">
        <f t="shared" si="9"/>
        <v>0</v>
      </c>
      <c r="D119">
        <f t="shared" si="13"/>
        <v>0</v>
      </c>
      <c r="E119">
        <f t="shared" si="12"/>
        <v>0</v>
      </c>
    </row>
    <row r="120" spans="1:5">
      <c r="A120">
        <f t="shared" si="11"/>
        <v>1500000000</v>
      </c>
      <c r="B120">
        <f t="shared" si="8"/>
        <v>0</v>
      </c>
      <c r="C120">
        <f t="shared" si="9"/>
        <v>0</v>
      </c>
      <c r="D120">
        <f t="shared" si="13"/>
        <v>0</v>
      </c>
      <c r="E120">
        <f t="shared" si="12"/>
        <v>0</v>
      </c>
    </row>
    <row r="121" spans="1:5">
      <c r="A121">
        <f t="shared" si="11"/>
        <v>1800000000</v>
      </c>
      <c r="B121">
        <f t="shared" si="8"/>
        <v>0</v>
      </c>
      <c r="C121">
        <f t="shared" si="9"/>
        <v>0</v>
      </c>
      <c r="D121">
        <f t="shared" si="13"/>
        <v>0</v>
      </c>
      <c r="E121">
        <f t="shared" si="12"/>
        <v>0</v>
      </c>
    </row>
    <row r="122" spans="1:5">
      <c r="A122">
        <f t="shared" si="11"/>
        <v>2200000000</v>
      </c>
      <c r="B122">
        <f t="shared" si="8"/>
        <v>0</v>
      </c>
      <c r="C122">
        <f t="shared" si="9"/>
        <v>0</v>
      </c>
      <c r="D122">
        <f t="shared" si="13"/>
        <v>0</v>
      </c>
      <c r="E122">
        <f t="shared" si="12"/>
        <v>0</v>
      </c>
    </row>
    <row r="123" spans="1:5">
      <c r="A123">
        <f t="shared" si="11"/>
        <v>2700000000</v>
      </c>
      <c r="B123">
        <f t="shared" si="8"/>
        <v>0</v>
      </c>
      <c r="C123">
        <f t="shared" si="9"/>
        <v>0</v>
      </c>
      <c r="D123">
        <f t="shared" si="13"/>
        <v>0</v>
      </c>
      <c r="E123">
        <f t="shared" si="12"/>
        <v>0</v>
      </c>
    </row>
    <row r="124" spans="1:5">
      <c r="A124">
        <f t="shared" si="11"/>
        <v>3300000000</v>
      </c>
      <c r="B124">
        <f t="shared" si="8"/>
        <v>0</v>
      </c>
      <c r="C124">
        <f t="shared" si="9"/>
        <v>0</v>
      </c>
      <c r="D124">
        <f t="shared" si="13"/>
        <v>0</v>
      </c>
      <c r="E124">
        <f t="shared" si="12"/>
        <v>0</v>
      </c>
    </row>
    <row r="125" spans="1:5">
      <c r="A125">
        <f t="shared" si="11"/>
        <v>3900000000</v>
      </c>
      <c r="B125">
        <f t="shared" si="8"/>
        <v>0</v>
      </c>
      <c r="C125">
        <f t="shared" si="9"/>
        <v>0</v>
      </c>
      <c r="D125">
        <f t="shared" si="13"/>
        <v>0</v>
      </c>
      <c r="E125">
        <f t="shared" si="12"/>
        <v>0</v>
      </c>
    </row>
    <row r="126" spans="1:5">
      <c r="A126">
        <f t="shared" si="11"/>
        <v>4700000000</v>
      </c>
      <c r="B126">
        <f t="shared" si="8"/>
        <v>0</v>
      </c>
      <c r="C126">
        <f t="shared" si="9"/>
        <v>0</v>
      </c>
      <c r="D126">
        <f t="shared" si="13"/>
        <v>0</v>
      </c>
      <c r="E126">
        <f t="shared" si="12"/>
        <v>0</v>
      </c>
    </row>
    <row r="127" spans="1:5">
      <c r="A127">
        <f t="shared" si="11"/>
        <v>5600000000</v>
      </c>
      <c r="B127">
        <f t="shared" si="8"/>
        <v>0</v>
      </c>
      <c r="C127">
        <f t="shared" si="9"/>
        <v>0</v>
      </c>
      <c r="D127">
        <f t="shared" si="13"/>
        <v>0</v>
      </c>
      <c r="E127">
        <f t="shared" si="12"/>
        <v>0</v>
      </c>
    </row>
    <row r="128" spans="1:5">
      <c r="A128">
        <f t="shared" si="11"/>
        <v>6800000000</v>
      </c>
      <c r="B128">
        <f t="shared" si="8"/>
        <v>0</v>
      </c>
      <c r="C128">
        <f t="shared" si="9"/>
        <v>0</v>
      </c>
      <c r="D128">
        <f t="shared" si="13"/>
        <v>0</v>
      </c>
      <c r="E128">
        <f t="shared" si="12"/>
        <v>0</v>
      </c>
    </row>
    <row r="129" spans="1:5">
      <c r="A129">
        <f t="shared" si="11"/>
        <v>8200000000</v>
      </c>
      <c r="B129">
        <f t="shared" si="8"/>
        <v>0</v>
      </c>
      <c r="C129">
        <f t="shared" si="9"/>
        <v>0</v>
      </c>
      <c r="D129">
        <f t="shared" si="13"/>
        <v>0</v>
      </c>
      <c r="E129">
        <f t="shared" si="12"/>
        <v>0</v>
      </c>
    </row>
    <row r="130" spans="1:5">
      <c r="A130">
        <f t="shared" si="11"/>
        <v>10000000000</v>
      </c>
      <c r="B130">
        <f t="shared" si="8"/>
        <v>0</v>
      </c>
      <c r="C130">
        <f t="shared" si="9"/>
        <v>0</v>
      </c>
      <c r="D130">
        <f t="shared" si="13"/>
        <v>0</v>
      </c>
      <c r="E130">
        <f t="shared" si="12"/>
        <v>0</v>
      </c>
    </row>
    <row r="131" spans="1:5">
      <c r="A131">
        <f t="shared" si="11"/>
        <v>12000000000</v>
      </c>
      <c r="B131">
        <f t="shared" si="8"/>
        <v>0</v>
      </c>
      <c r="C131">
        <f t="shared" si="9"/>
        <v>0</v>
      </c>
      <c r="D131">
        <f t="shared" si="13"/>
        <v>0</v>
      </c>
      <c r="E131">
        <f t="shared" si="12"/>
        <v>0</v>
      </c>
    </row>
    <row r="132" spans="1:5">
      <c r="A132">
        <f t="shared" si="11"/>
        <v>15000000000</v>
      </c>
      <c r="B132">
        <f t="shared" si="8"/>
        <v>0</v>
      </c>
      <c r="C132">
        <f t="shared" si="9"/>
        <v>0</v>
      </c>
      <c r="D132">
        <f t="shared" si="13"/>
        <v>0</v>
      </c>
      <c r="E132">
        <f t="shared" si="12"/>
        <v>0</v>
      </c>
    </row>
    <row r="133" spans="1:5">
      <c r="A133">
        <f t="shared" si="11"/>
        <v>18000000000</v>
      </c>
      <c r="B133">
        <f t="shared" si="8"/>
        <v>0</v>
      </c>
      <c r="C133">
        <f t="shared" si="9"/>
        <v>0</v>
      </c>
      <c r="D133">
        <f t="shared" si="13"/>
        <v>0</v>
      </c>
      <c r="E133">
        <f t="shared" si="12"/>
        <v>0</v>
      </c>
    </row>
    <row r="134" spans="1:5">
      <c r="A134">
        <f t="shared" si="11"/>
        <v>22000000000</v>
      </c>
      <c r="B134">
        <f t="shared" si="8"/>
        <v>0</v>
      </c>
      <c r="C134">
        <f t="shared" ref="C134:D159" si="14">IF(IF((C$3*10^12-$A135)*(C$3*10^12-$A134)*-1&lt;0,0,1)*IF(ABS(C$3*10^12-$A135)&gt;(C$3*10^12-$A134),$A134,$A135)=C135,0,IF((C$3*10^12-$A135)*(C$3*10^12-$A134)*-1&lt;0,0,1)*IF(ABS(C$3*10^12-$A135)&gt;(C$3*10^12-$A134),$A134,$A135))</f>
        <v>0</v>
      </c>
      <c r="D134">
        <f t="shared" si="13"/>
        <v>0</v>
      </c>
      <c r="E134">
        <f t="shared" ref="E134:E159" si="15">IF(IF((E$3*10^12-$A135)*(E$3*10^12-$A134)*-1&lt;0,0,1)*IF(ABS(E$3*10^12-$A135)&gt;(E$3*10^12-$A134),$A134,$A135)=E135,0,IF((E$3*10^12-$A135)*(E$3*10^12-$A134)*-1&lt;0,0,1)*IF(ABS(E$3*10^12-$A135)&gt;(E$3*10^12-$A134),$A134,$A135))</f>
        <v>0</v>
      </c>
    </row>
    <row r="135" spans="1:5">
      <c r="A135">
        <f t="shared" si="11"/>
        <v>27000000000</v>
      </c>
      <c r="B135">
        <f t="shared" ref="B135:B159" si="16">IF(IF((B$3*10^12-$A136)*(B$3*10^12-$A135)*-1&lt;0,0,1)*IF(ABS(B$3*10^12-$A136)&gt;(B$3*10^12-$A135),$A135,$A136)=B136,0,IF((B$3*10^12-$A136)*(B$3*10^12-$A135)*-1&lt;0,0,1)*IF(ABS(B$3*10^12-$A136)&gt;(B$3*10^12-$A135),$A135,$A136))</f>
        <v>0</v>
      </c>
      <c r="C135">
        <f t="shared" si="14"/>
        <v>0</v>
      </c>
      <c r="D135">
        <f t="shared" si="14"/>
        <v>0</v>
      </c>
      <c r="E135">
        <f t="shared" si="15"/>
        <v>0</v>
      </c>
    </row>
    <row r="136" spans="1:5">
      <c r="A136">
        <f t="shared" si="11"/>
        <v>33000000000</v>
      </c>
      <c r="B136">
        <f t="shared" si="16"/>
        <v>0</v>
      </c>
      <c r="C136">
        <f t="shared" si="14"/>
        <v>0</v>
      </c>
      <c r="D136">
        <f t="shared" si="14"/>
        <v>0</v>
      </c>
      <c r="E136">
        <f t="shared" si="15"/>
        <v>0</v>
      </c>
    </row>
    <row r="137" spans="1:5">
      <c r="A137">
        <f t="shared" si="11"/>
        <v>39000000000</v>
      </c>
      <c r="B137">
        <f t="shared" si="16"/>
        <v>0</v>
      </c>
      <c r="C137">
        <f t="shared" si="14"/>
        <v>0</v>
      </c>
      <c r="D137">
        <f t="shared" si="14"/>
        <v>0</v>
      </c>
      <c r="E137">
        <f t="shared" si="15"/>
        <v>0</v>
      </c>
    </row>
    <row r="138" spans="1:5">
      <c r="A138">
        <f t="shared" si="11"/>
        <v>47000000000</v>
      </c>
      <c r="B138">
        <f t="shared" si="16"/>
        <v>0</v>
      </c>
      <c r="C138">
        <f t="shared" si="14"/>
        <v>0</v>
      </c>
      <c r="D138">
        <f t="shared" si="14"/>
        <v>0</v>
      </c>
      <c r="E138">
        <f t="shared" si="15"/>
        <v>0</v>
      </c>
    </row>
    <row r="139" spans="1:5">
      <c r="A139">
        <f t="shared" si="11"/>
        <v>56000000000</v>
      </c>
      <c r="B139">
        <f t="shared" si="16"/>
        <v>0</v>
      </c>
      <c r="C139">
        <f t="shared" si="14"/>
        <v>0</v>
      </c>
      <c r="D139">
        <f t="shared" si="14"/>
        <v>0</v>
      </c>
      <c r="E139">
        <f t="shared" si="15"/>
        <v>0</v>
      </c>
    </row>
    <row r="140" spans="1:5">
      <c r="A140">
        <f t="shared" si="11"/>
        <v>68000000000</v>
      </c>
      <c r="B140">
        <f t="shared" si="16"/>
        <v>0</v>
      </c>
      <c r="C140">
        <f t="shared" si="14"/>
        <v>0</v>
      </c>
      <c r="D140">
        <f t="shared" si="14"/>
        <v>0</v>
      </c>
      <c r="E140">
        <f t="shared" si="15"/>
        <v>0</v>
      </c>
    </row>
    <row r="141" spans="1:5">
      <c r="A141">
        <f t="shared" si="11"/>
        <v>82000000000</v>
      </c>
      <c r="B141">
        <f t="shared" si="16"/>
        <v>0</v>
      </c>
      <c r="C141">
        <f t="shared" si="14"/>
        <v>0</v>
      </c>
      <c r="D141">
        <f t="shared" si="14"/>
        <v>0</v>
      </c>
      <c r="E141">
        <f t="shared" si="15"/>
        <v>0</v>
      </c>
    </row>
    <row r="142" spans="1:5">
      <c r="A142">
        <f t="shared" si="11"/>
        <v>100000000000</v>
      </c>
      <c r="B142">
        <f t="shared" si="16"/>
        <v>0</v>
      </c>
      <c r="C142">
        <f t="shared" si="14"/>
        <v>0</v>
      </c>
      <c r="D142">
        <f t="shared" si="14"/>
        <v>0</v>
      </c>
      <c r="E142">
        <f t="shared" si="15"/>
        <v>0</v>
      </c>
    </row>
    <row r="143" spans="1:5">
      <c r="A143">
        <f t="shared" si="11"/>
        <v>120000000000</v>
      </c>
      <c r="B143">
        <f t="shared" si="16"/>
        <v>0</v>
      </c>
      <c r="C143">
        <f t="shared" si="14"/>
        <v>0</v>
      </c>
      <c r="D143">
        <f t="shared" si="14"/>
        <v>0</v>
      </c>
      <c r="E143">
        <f t="shared" si="15"/>
        <v>0</v>
      </c>
    </row>
    <row r="144" spans="1:5">
      <c r="A144">
        <f t="shared" si="11"/>
        <v>150000000000</v>
      </c>
      <c r="B144">
        <f t="shared" si="16"/>
        <v>0</v>
      </c>
      <c r="C144">
        <f t="shared" si="14"/>
        <v>0</v>
      </c>
      <c r="D144">
        <f t="shared" si="14"/>
        <v>0</v>
      </c>
      <c r="E144">
        <f t="shared" si="15"/>
        <v>0</v>
      </c>
    </row>
    <row r="145" spans="1:5">
      <c r="A145">
        <f t="shared" si="11"/>
        <v>180000000000</v>
      </c>
      <c r="B145">
        <f t="shared" si="16"/>
        <v>0</v>
      </c>
      <c r="C145">
        <f t="shared" si="14"/>
        <v>0</v>
      </c>
      <c r="D145">
        <f t="shared" si="14"/>
        <v>0</v>
      </c>
      <c r="E145">
        <f t="shared" si="15"/>
        <v>0</v>
      </c>
    </row>
    <row r="146" spans="1:5">
      <c r="A146">
        <f t="shared" si="11"/>
        <v>220000000000</v>
      </c>
      <c r="B146">
        <f t="shared" si="16"/>
        <v>0</v>
      </c>
      <c r="C146">
        <f t="shared" si="14"/>
        <v>0</v>
      </c>
      <c r="D146">
        <f t="shared" si="14"/>
        <v>0</v>
      </c>
      <c r="E146">
        <f t="shared" si="15"/>
        <v>0</v>
      </c>
    </row>
    <row r="147" spans="1:5">
      <c r="A147">
        <f t="shared" si="11"/>
        <v>270000000000</v>
      </c>
      <c r="B147">
        <f t="shared" si="16"/>
        <v>0</v>
      </c>
      <c r="C147">
        <f t="shared" si="14"/>
        <v>0</v>
      </c>
      <c r="D147">
        <f t="shared" si="14"/>
        <v>0</v>
      </c>
      <c r="E147">
        <f t="shared" si="15"/>
        <v>0</v>
      </c>
    </row>
    <row r="148" spans="1:5">
      <c r="A148">
        <f t="shared" si="11"/>
        <v>330000000000</v>
      </c>
      <c r="B148">
        <f t="shared" si="16"/>
        <v>0</v>
      </c>
      <c r="C148">
        <f t="shared" si="14"/>
        <v>0</v>
      </c>
      <c r="D148">
        <f t="shared" si="14"/>
        <v>0</v>
      </c>
      <c r="E148">
        <f t="shared" si="15"/>
        <v>0</v>
      </c>
    </row>
    <row r="149" spans="1:5">
      <c r="A149">
        <f t="shared" si="11"/>
        <v>390000000000</v>
      </c>
      <c r="B149">
        <f t="shared" si="16"/>
        <v>0</v>
      </c>
      <c r="C149">
        <f t="shared" si="14"/>
        <v>0</v>
      </c>
      <c r="D149">
        <f t="shared" si="14"/>
        <v>0</v>
      </c>
      <c r="E149">
        <f t="shared" si="15"/>
        <v>0</v>
      </c>
    </row>
    <row r="150" spans="1:5">
      <c r="A150">
        <f t="shared" si="11"/>
        <v>470000000000</v>
      </c>
      <c r="B150">
        <f t="shared" si="16"/>
        <v>0</v>
      </c>
      <c r="C150">
        <f t="shared" si="14"/>
        <v>0</v>
      </c>
      <c r="D150">
        <f t="shared" si="14"/>
        <v>0</v>
      </c>
      <c r="E150">
        <f t="shared" si="15"/>
        <v>0</v>
      </c>
    </row>
    <row r="151" spans="1:5">
      <c r="A151">
        <f t="shared" si="11"/>
        <v>560000000000</v>
      </c>
      <c r="B151">
        <f t="shared" si="16"/>
        <v>0</v>
      </c>
      <c r="C151">
        <f t="shared" si="14"/>
        <v>0</v>
      </c>
      <c r="D151">
        <f t="shared" si="14"/>
        <v>0</v>
      </c>
      <c r="E151">
        <f t="shared" si="15"/>
        <v>0</v>
      </c>
    </row>
    <row r="152" spans="1:5">
      <c r="A152">
        <f t="shared" si="11"/>
        <v>680000000000</v>
      </c>
      <c r="B152">
        <f t="shared" si="16"/>
        <v>0</v>
      </c>
      <c r="C152">
        <f t="shared" si="14"/>
        <v>0</v>
      </c>
      <c r="D152">
        <f t="shared" si="14"/>
        <v>0</v>
      </c>
      <c r="E152">
        <f t="shared" si="15"/>
        <v>0</v>
      </c>
    </row>
    <row r="153" spans="1:5">
      <c r="A153">
        <f t="shared" si="11"/>
        <v>820000000000</v>
      </c>
      <c r="B153">
        <f t="shared" si="16"/>
        <v>0</v>
      </c>
      <c r="C153">
        <f t="shared" si="14"/>
        <v>0</v>
      </c>
      <c r="D153">
        <f t="shared" si="14"/>
        <v>0</v>
      </c>
      <c r="E153">
        <f t="shared" si="15"/>
        <v>0</v>
      </c>
    </row>
    <row r="154" spans="1:5">
      <c r="A154">
        <f t="shared" si="11"/>
        <v>1000000000000</v>
      </c>
      <c r="B154">
        <f t="shared" si="16"/>
        <v>0</v>
      </c>
      <c r="C154">
        <f t="shared" si="14"/>
        <v>0</v>
      </c>
      <c r="D154">
        <f t="shared" si="14"/>
        <v>0</v>
      </c>
      <c r="E154">
        <f t="shared" si="15"/>
        <v>0</v>
      </c>
    </row>
    <row r="155" spans="1:5">
      <c r="A155">
        <f t="shared" si="11"/>
        <v>1200000000000</v>
      </c>
      <c r="B155">
        <f t="shared" si="16"/>
        <v>0</v>
      </c>
      <c r="C155">
        <f t="shared" si="14"/>
        <v>0</v>
      </c>
      <c r="D155">
        <f t="shared" si="14"/>
        <v>0</v>
      </c>
      <c r="E155">
        <f t="shared" si="15"/>
        <v>0</v>
      </c>
    </row>
    <row r="156" spans="1:5">
      <c r="A156">
        <f t="shared" si="11"/>
        <v>1500000000000</v>
      </c>
      <c r="B156">
        <f t="shared" si="16"/>
        <v>0</v>
      </c>
      <c r="C156">
        <f t="shared" si="14"/>
        <v>0</v>
      </c>
      <c r="D156">
        <f t="shared" si="14"/>
        <v>0</v>
      </c>
      <c r="E156">
        <f t="shared" si="15"/>
        <v>0</v>
      </c>
    </row>
    <row r="157" spans="1:5">
      <c r="A157">
        <f t="shared" si="11"/>
        <v>1800000000000</v>
      </c>
      <c r="B157">
        <f t="shared" si="16"/>
        <v>0</v>
      </c>
      <c r="C157">
        <f t="shared" si="14"/>
        <v>0</v>
      </c>
      <c r="D157">
        <f t="shared" si="14"/>
        <v>0</v>
      </c>
      <c r="E157">
        <f t="shared" si="15"/>
        <v>0</v>
      </c>
    </row>
    <row r="158" spans="1:5">
      <c r="A158">
        <f t="shared" si="11"/>
        <v>2200000000000</v>
      </c>
      <c r="B158">
        <f t="shared" si="16"/>
        <v>0</v>
      </c>
      <c r="C158">
        <f t="shared" si="14"/>
        <v>0</v>
      </c>
      <c r="D158">
        <f t="shared" si="14"/>
        <v>0</v>
      </c>
      <c r="E158">
        <f t="shared" si="15"/>
        <v>0</v>
      </c>
    </row>
    <row r="159" spans="1:5">
      <c r="A159" s="15">
        <f t="shared" si="11"/>
        <v>2700000000000</v>
      </c>
      <c r="B159">
        <f t="shared" si="16"/>
        <v>2700000000000</v>
      </c>
      <c r="C159">
        <f t="shared" si="14"/>
        <v>0</v>
      </c>
      <c r="D159">
        <f t="shared" si="14"/>
        <v>0</v>
      </c>
      <c r="E159">
        <f t="shared" si="15"/>
        <v>2700000000000</v>
      </c>
    </row>
  </sheetData>
  <sheetProtection sheet="1" objects="1" scenarios="1"/>
  <phoneticPr fontId="6"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R687"/>
  <sheetViews>
    <sheetView zoomScaleNormal="100" workbookViewId="0">
      <pane ySplit="11" topLeftCell="A19" activePane="bottomLeft" state="frozen"/>
      <selection activeCell="A93" sqref="A93"/>
      <selection pane="bottomLeft" activeCell="B19" sqref="B19"/>
    </sheetView>
  </sheetViews>
  <sheetFormatPr defaultColWidth="9.1796875" defaultRowHeight="12.5"/>
  <cols>
    <col min="1" max="1" width="14.7265625" style="170" bestFit="1" customWidth="1"/>
    <col min="2" max="2" width="10.7265625" style="170" customWidth="1"/>
    <col min="3" max="3" width="10" style="170" customWidth="1"/>
    <col min="4" max="4" width="13.81640625" style="170" customWidth="1"/>
    <col min="5" max="5" width="10.1796875" style="170" customWidth="1"/>
    <col min="6" max="6" width="3.26953125" style="170" customWidth="1"/>
    <col min="7" max="7" width="16.1796875" style="170" customWidth="1"/>
    <col min="8" max="8" width="15.7265625" style="170" customWidth="1"/>
    <col min="9" max="9" width="10" style="170" customWidth="1"/>
    <col min="10" max="10" width="10.81640625" style="170" customWidth="1"/>
    <col min="11" max="11" width="10.1796875" style="170" customWidth="1"/>
    <col min="12" max="14" width="11.81640625" style="170" customWidth="1"/>
    <col min="15" max="15" width="14.26953125" style="170" customWidth="1"/>
    <col min="16" max="16" width="11" style="170" customWidth="1"/>
    <col min="17" max="17" width="12" style="170" customWidth="1"/>
    <col min="18" max="18" width="11.453125" style="170" customWidth="1"/>
    <col min="19" max="19" width="10.81640625" style="170" customWidth="1"/>
    <col min="20" max="20" width="11.453125" style="170" customWidth="1"/>
    <col min="21" max="21" width="11.81640625" style="170" customWidth="1"/>
    <col min="22" max="22" width="13.54296875" style="170" customWidth="1"/>
    <col min="23" max="23" width="9.453125" style="170" customWidth="1"/>
    <col min="24" max="24" width="16.26953125" style="170" bestFit="1" customWidth="1"/>
    <col min="25" max="25" width="16.1796875" style="172" customWidth="1"/>
    <col min="26" max="26" width="8.81640625" style="170" bestFit="1" customWidth="1"/>
    <col min="27" max="27" width="13.54296875" style="170" bestFit="1" customWidth="1"/>
    <col min="28" max="28" width="10.7265625" style="170" bestFit="1" customWidth="1"/>
    <col min="29" max="29" width="9.1796875" style="170"/>
    <col min="30" max="30" width="13.54296875" style="170" customWidth="1"/>
    <col min="31" max="31" width="10.54296875" style="170" customWidth="1"/>
    <col min="32" max="32" width="9.1796875" style="170"/>
    <col min="33" max="33" width="9.453125" style="170" bestFit="1" customWidth="1"/>
    <col min="34" max="34" width="11.453125" style="170" bestFit="1" customWidth="1"/>
    <col min="35" max="35" width="5.81640625" style="170" customWidth="1"/>
    <col min="36" max="36" width="12.26953125" style="170" customWidth="1"/>
    <col min="37" max="37" width="8.81640625" style="170" customWidth="1"/>
    <col min="38" max="38" width="18.1796875" style="170" customWidth="1"/>
    <col min="39" max="39" width="45.26953125" style="170" customWidth="1"/>
    <col min="40" max="40" width="19.26953125" style="170" bestFit="1" customWidth="1"/>
    <col min="41" max="41" width="40.7265625" style="170" bestFit="1" customWidth="1"/>
    <col min="42" max="42" width="40.1796875" style="170" bestFit="1" customWidth="1"/>
    <col min="43" max="43" width="40.7265625" style="170" bestFit="1" customWidth="1"/>
    <col min="44" max="44" width="40.1796875" style="170" bestFit="1" customWidth="1"/>
    <col min="45" max="45" width="28.453125" style="170" customWidth="1"/>
    <col min="46" max="16384" width="9.1796875" style="170"/>
  </cols>
  <sheetData>
    <row r="1" spans="1:44" ht="13" thickBot="1"/>
    <row r="2" spans="1:44" s="189" customFormat="1" ht="13">
      <c r="A2" s="724" t="s">
        <v>770</v>
      </c>
      <c r="G2" s="927" t="s">
        <v>764</v>
      </c>
      <c r="H2" s="928"/>
      <c r="I2" s="929"/>
      <c r="J2" s="930"/>
      <c r="K2" s="927" t="s">
        <v>683</v>
      </c>
      <c r="L2" s="928"/>
      <c r="M2" s="928"/>
      <c r="N2" s="636"/>
      <c r="O2" s="637"/>
      <c r="P2" s="927" t="s">
        <v>684</v>
      </c>
      <c r="Q2" s="929"/>
      <c r="R2" s="930"/>
      <c r="S2" s="927" t="s">
        <v>765</v>
      </c>
      <c r="T2" s="929"/>
      <c r="U2" s="930"/>
      <c r="V2" s="927" t="s">
        <v>685</v>
      </c>
      <c r="W2" s="928"/>
      <c r="X2" s="931"/>
      <c r="Y2" s="536"/>
      <c r="AA2" s="724" t="s">
        <v>796</v>
      </c>
    </row>
    <row r="3" spans="1:44">
      <c r="B3" s="338"/>
      <c r="H3" s="638" t="s">
        <v>757</v>
      </c>
      <c r="I3" s="735">
        <f>Vref/(Vout_eff*Npri_sec)</f>
        <v>6.1193892849493621E-2</v>
      </c>
      <c r="J3" s="639" t="s">
        <v>686</v>
      </c>
      <c r="K3" s="640" t="s">
        <v>687</v>
      </c>
      <c r="L3" s="269">
        <f>1/Rcs_gain</f>
        <v>11.111111111111111</v>
      </c>
      <c r="M3" s="639" t="s">
        <v>688</v>
      </c>
      <c r="N3" s="194" t="s">
        <v>689</v>
      </c>
      <c r="O3" s="641">
        <f>gmEA</f>
        <v>5.9999999999999995E-4</v>
      </c>
      <c r="P3" s="642" t="s">
        <v>690</v>
      </c>
      <c r="Q3" s="643">
        <f>1/(2*Pi*D25*D26)</f>
        <v>1693137.6944016635</v>
      </c>
      <c r="R3" s="639" t="s">
        <v>8</v>
      </c>
      <c r="S3" s="642"/>
      <c r="T3" s="643"/>
      <c r="U3" s="639"/>
      <c r="V3" s="644" t="s">
        <v>692</v>
      </c>
      <c r="W3" s="643">
        <f>Am*Afb*Aea</f>
        <v>282412.71633470349</v>
      </c>
      <c r="X3" s="645" t="s">
        <v>686</v>
      </c>
      <c r="AA3" s="170">
        <f>MIN(z_RHP/10,'Calculations - Single'!Y212/10)</f>
        <v>4.9454638738444832</v>
      </c>
      <c r="AB3" s="170" t="s">
        <v>2</v>
      </c>
    </row>
    <row r="4" spans="1:44" ht="13">
      <c r="B4" s="170">
        <f>BODE_TYPE*0+IF('Variable Mgmt'!Y17="BCM",2, 1)</f>
        <v>2</v>
      </c>
      <c r="H4" s="646" t="s">
        <v>693</v>
      </c>
      <c r="I4" s="643">
        <f>1/(2*Pi*Rcomp*Ccomp)</f>
        <v>430.14849533447671</v>
      </c>
      <c r="J4" s="639" t="s">
        <v>8</v>
      </c>
      <c r="K4" s="642" t="s">
        <v>694</v>
      </c>
      <c r="L4" s="269">
        <f>CHOOSE(BODE_TYPE, Rload_pri/Rcs_gain*(Lmag/(2*Vout_eff*Npri_sec)*Fsw_DCM)*SQRT(Iout_eff/(Lmag/(2*Vout_eff*Npri_sec)*Fsw_DCM*Npri_sec)), Rload_pri/(Rcs_gain*2*(2*M+1)))</f>
        <v>25.639152244353099</v>
      </c>
      <c r="M4" s="639" t="s">
        <v>686</v>
      </c>
      <c r="N4" s="647" t="s">
        <v>755</v>
      </c>
      <c r="O4" s="713">
        <f>REAout</f>
        <v>300000000</v>
      </c>
      <c r="P4" s="642" t="s">
        <v>695</v>
      </c>
      <c r="Q4" s="643">
        <f>CHOOSE(BODE_TYPE, 2/(2*Pi*D25*Rload_sec), 1/(2*Pi*D25*[0]!Rload_sec)*(2*M+1)/(M+1))</f>
        <v>194.20346532654906</v>
      </c>
      <c r="R4" s="639" t="s">
        <v>8</v>
      </c>
      <c r="S4" s="648"/>
      <c r="T4" s="649"/>
      <c r="U4" s="645"/>
      <c r="V4" s="719" t="s">
        <v>696</v>
      </c>
      <c r="W4" s="720">
        <f>AK7</f>
        <v>6.6068999999999996</v>
      </c>
      <c r="X4" s="721" t="s">
        <v>2</v>
      </c>
    </row>
    <row r="5" spans="1:44" ht="13">
      <c r="H5" s="638" t="s">
        <v>697</v>
      </c>
      <c r="I5" s="190">
        <f>1/(2*Pi*REAout*Ccomp)</f>
        <v>5.3051647757918791E-2</v>
      </c>
      <c r="J5" s="639" t="s">
        <v>8</v>
      </c>
      <c r="K5" s="642"/>
      <c r="L5" s="190"/>
      <c r="M5" s="639"/>
      <c r="N5" s="647"/>
      <c r="O5" s="647"/>
      <c r="P5" s="648" t="s">
        <v>712</v>
      </c>
      <c r="Q5" s="650">
        <f>Rload_pri/(2*Pi*Lmag*M*(M+1))</f>
        <v>151571.10163536554</v>
      </c>
      <c r="R5" s="645" t="s">
        <v>8</v>
      </c>
      <c r="S5" s="648"/>
      <c r="T5" s="188"/>
      <c r="U5" s="645"/>
      <c r="V5" s="719" t="s">
        <v>698</v>
      </c>
      <c r="W5" s="722">
        <f>AK9</f>
        <v>70.398338360790149</v>
      </c>
      <c r="X5" s="723" t="s">
        <v>699</v>
      </c>
    </row>
    <row r="6" spans="1:44">
      <c r="H6" s="638" t="s">
        <v>700</v>
      </c>
      <c r="I6" s="171">
        <f>gmEA*REAout</f>
        <v>179999.99999999997</v>
      </c>
      <c r="J6" s="639" t="s">
        <v>686</v>
      </c>
      <c r="K6" s="648"/>
      <c r="L6" s="651"/>
      <c r="M6" s="652"/>
      <c r="N6" s="725"/>
      <c r="O6" s="645"/>
      <c r="P6" s="648"/>
      <c r="Q6" s="188"/>
      <c r="R6" s="645"/>
      <c r="S6" s="648"/>
      <c r="T6" s="651"/>
      <c r="U6" s="645"/>
      <c r="V6" s="726" t="s">
        <v>701</v>
      </c>
      <c r="W6" s="188">
        <v>57.295779578552292</v>
      </c>
      <c r="X6" s="645"/>
      <c r="AJ6" s="653" t="s">
        <v>702</v>
      </c>
      <c r="AK6" s="653"/>
    </row>
    <row r="7" spans="1:44" ht="13" thickBot="1">
      <c r="H7" s="654" t="s">
        <v>703</v>
      </c>
      <c r="I7" s="655">
        <f>1/(2*Pi*Rcomp*Chf)</f>
        <v>59742.846574232877</v>
      </c>
      <c r="J7" s="656" t="s">
        <v>8</v>
      </c>
      <c r="K7" s="657"/>
      <c r="L7" s="658"/>
      <c r="M7" s="658"/>
      <c r="N7" s="659"/>
      <c r="O7" s="656"/>
      <c r="P7" s="657"/>
      <c r="Q7" s="657"/>
      <c r="R7" s="656"/>
      <c r="S7" s="657"/>
      <c r="T7" s="657"/>
      <c r="U7" s="656"/>
      <c r="V7" s="657"/>
      <c r="W7" s="657"/>
      <c r="X7" s="656"/>
      <c r="AJ7" s="170" t="s">
        <v>704</v>
      </c>
      <c r="AK7" s="170">
        <f>SUM(AJ12:AJ613)/1000</f>
        <v>6.6068999999999996</v>
      </c>
      <c r="AL7" s="197">
        <f>AK7*1000</f>
        <v>6606.9</v>
      </c>
    </row>
    <row r="8" spans="1:44">
      <c r="H8" s="660"/>
      <c r="I8" s="661"/>
      <c r="J8" s="662"/>
      <c r="K8" s="662"/>
      <c r="L8" s="663"/>
      <c r="M8" s="663"/>
      <c r="N8" s="663"/>
      <c r="O8" s="662"/>
      <c r="P8" s="662"/>
      <c r="Q8" s="662"/>
      <c r="R8" s="662"/>
      <c r="S8" s="662"/>
      <c r="T8" s="662"/>
      <c r="U8" s="662"/>
      <c r="V8" s="662"/>
      <c r="W8" s="662"/>
      <c r="X8" s="662"/>
      <c r="AL8" s="170">
        <v>0</v>
      </c>
    </row>
    <row r="9" spans="1:44" ht="13" thickBot="1">
      <c r="A9" s="711"/>
      <c r="B9" s="716" t="s">
        <v>758</v>
      </c>
      <c r="AJ9" s="170" t="s">
        <v>705</v>
      </c>
      <c r="AK9" s="172">
        <f>SUM(AK13:AK613)</f>
        <v>70.398338360790149</v>
      </c>
      <c r="AL9" s="443">
        <f>AK9</f>
        <v>70.398338360790149</v>
      </c>
    </row>
    <row r="10" spans="1:44" ht="14">
      <c r="A10" s="714"/>
      <c r="B10" s="259" t="s">
        <v>762</v>
      </c>
      <c r="G10" s="932" t="s">
        <v>706</v>
      </c>
      <c r="H10" s="935" t="s">
        <v>756</v>
      </c>
      <c r="I10" s="937" t="s">
        <v>707</v>
      </c>
      <c r="J10" s="938"/>
      <c r="K10" s="938"/>
      <c r="L10" s="938"/>
      <c r="M10" s="938"/>
      <c r="N10" s="939"/>
      <c r="O10" s="937" t="s">
        <v>708</v>
      </c>
      <c r="P10" s="938"/>
      <c r="Q10" s="938"/>
      <c r="R10" s="938"/>
      <c r="S10" s="938"/>
      <c r="T10" s="939"/>
      <c r="U10" s="917" t="s">
        <v>760</v>
      </c>
      <c r="V10" s="940"/>
      <c r="W10" s="917" t="s">
        <v>709</v>
      </c>
      <c r="X10" s="918"/>
      <c r="Y10" s="919"/>
      <c r="AD10" s="920" t="s">
        <v>710</v>
      </c>
      <c r="AE10" s="921"/>
      <c r="AG10" s="920" t="s">
        <v>711</v>
      </c>
      <c r="AH10" s="921"/>
      <c r="AM10" s="333" t="s">
        <v>761</v>
      </c>
    </row>
    <row r="11" spans="1:44" ht="13">
      <c r="G11" s="933"/>
      <c r="H11" s="936"/>
      <c r="I11" s="922" t="s">
        <v>695</v>
      </c>
      <c r="J11" s="923"/>
      <c r="K11" s="923" t="s">
        <v>690</v>
      </c>
      <c r="L11" s="924"/>
      <c r="M11" s="925" t="s">
        <v>712</v>
      </c>
      <c r="N11" s="926"/>
      <c r="O11" s="922" t="s">
        <v>713</v>
      </c>
      <c r="P11" s="923"/>
      <c r="Q11" s="923" t="s">
        <v>714</v>
      </c>
      <c r="R11" s="924"/>
      <c r="S11" s="925" t="s">
        <v>715</v>
      </c>
      <c r="T11" s="926"/>
      <c r="U11" s="922" t="s">
        <v>691</v>
      </c>
      <c r="V11" s="924"/>
      <c r="W11" s="642"/>
      <c r="X11" s="171"/>
      <c r="Y11" s="664"/>
      <c r="AD11" s="642"/>
      <c r="AE11" s="639"/>
      <c r="AG11" s="642"/>
      <c r="AH11" s="639"/>
    </row>
    <row r="12" spans="1:44" ht="13.5" thickBot="1">
      <c r="A12" s="662"/>
      <c r="B12" s="662"/>
      <c r="C12" s="662"/>
      <c r="D12" s="662"/>
      <c r="E12" s="662"/>
      <c r="F12" s="707"/>
      <c r="G12" s="934"/>
      <c r="H12" s="665"/>
      <c r="I12" s="666" t="s">
        <v>716</v>
      </c>
      <c r="J12" s="667" t="s">
        <v>717</v>
      </c>
      <c r="K12" s="667" t="s">
        <v>716</v>
      </c>
      <c r="L12" s="668" t="s">
        <v>717</v>
      </c>
      <c r="M12" s="667" t="s">
        <v>716</v>
      </c>
      <c r="N12" s="668" t="s">
        <v>717</v>
      </c>
      <c r="O12" s="666" t="s">
        <v>716</v>
      </c>
      <c r="P12" s="667" t="s">
        <v>717</v>
      </c>
      <c r="Q12" s="667" t="s">
        <v>716</v>
      </c>
      <c r="R12" s="668" t="s">
        <v>717</v>
      </c>
      <c r="S12" s="666" t="s">
        <v>716</v>
      </c>
      <c r="T12" s="667" t="s">
        <v>717</v>
      </c>
      <c r="U12" s="666" t="s">
        <v>716</v>
      </c>
      <c r="V12" s="668" t="s">
        <v>717</v>
      </c>
      <c r="W12" s="669" t="s">
        <v>718</v>
      </c>
      <c r="X12" s="670" t="s">
        <v>719</v>
      </c>
      <c r="Y12" s="671" t="s">
        <v>720</v>
      </c>
      <c r="AB12" s="672" t="s">
        <v>721</v>
      </c>
      <c r="AD12" s="673" t="s">
        <v>722</v>
      </c>
      <c r="AE12" s="674" t="s">
        <v>723</v>
      </c>
      <c r="AG12" s="673" t="s">
        <v>722</v>
      </c>
      <c r="AH12" s="674" t="s">
        <v>723</v>
      </c>
    </row>
    <row r="13" spans="1:44" ht="13">
      <c r="A13" s="333" t="s">
        <v>739</v>
      </c>
      <c r="B13" s="710" t="str">
        <f>Nps</f>
        <v>0.667</v>
      </c>
      <c r="D13" s="170" t="s">
        <v>766</v>
      </c>
      <c r="G13" s="675">
        <v>1</v>
      </c>
      <c r="H13" s="676">
        <f>G13/1000</f>
        <v>1E-3</v>
      </c>
      <c r="I13" s="677">
        <f t="shared" ref="I13:I76" si="0">SQRT(1+(G13/pole1)^2)</f>
        <v>1.0000132572417353</v>
      </c>
      <c r="J13" s="678">
        <f t="shared" ref="J13:J76" si="1">ATAN(G13/pole1)</f>
        <v>5.1491931940524172E-3</v>
      </c>
      <c r="K13" s="678">
        <f t="shared" ref="K13:K76" si="2">SQRT(1+(G13/Zero1)^2)</f>
        <v>1.0000000000001745</v>
      </c>
      <c r="L13" s="679">
        <f t="shared" ref="L13:L76" si="3">ATAN(G13/Zero1)</f>
        <v>5.9061941819993136E-7</v>
      </c>
      <c r="M13" s="678">
        <f t="shared" ref="M13:M76" si="4">SQRT(1+(G13/z_RHP)^2)</f>
        <v>1.0000000000217639</v>
      </c>
      <c r="N13" s="679">
        <f t="shared" ref="N13:N76" si="5">-ATAN(G13/z_RHP)</f>
        <v>-6.5975637123176016E-6</v>
      </c>
      <c r="O13" s="677">
        <f t="shared" ref="O13:O76" si="6">SQRT(1+(G13/Pole2)^2)</f>
        <v>18.876063086015179</v>
      </c>
      <c r="P13" s="680">
        <f t="shared" ref="P13:P76" si="7">ATAN(G13/Pole2)</f>
        <v>1.517794366044795</v>
      </c>
      <c r="Q13" s="678">
        <f t="shared" ref="Q13:Q76" si="8">SQRT(1+(G13/Zero2)^2)</f>
        <v>1.0000027022940277</v>
      </c>
      <c r="R13" s="679">
        <f t="shared" ref="R13:R76" si="9">ATAN(G13/Zero2)</f>
        <v>2.3247743728511084E-3</v>
      </c>
      <c r="S13" s="677">
        <f t="shared" ref="S13:S76" si="10">SQRT(1+(G13/pole4)^2)</f>
        <v>1.0000000001400871</v>
      </c>
      <c r="T13" s="680">
        <f t="shared" ref="T13:T76" si="11">ATAN(G13/pole4)</f>
        <v>1.6738405637636776E-5</v>
      </c>
      <c r="U13" s="681">
        <f>IMABS(IMPRODUCT(AO13, AR13))</f>
        <v>0.99959999981300529</v>
      </c>
      <c r="V13" s="682">
        <f>IMARGUMENT(IMPRODUCT(AO13, AR13))</f>
        <v>-2.3811668499557362E-5</v>
      </c>
      <c r="W13" s="683">
        <f t="shared" ref="W13:W76" si="12">20*LOG10(((K13*Q13*M13*U13)/(I13*O13*S13))*Adc)</f>
        <v>83.495889825506978</v>
      </c>
      <c r="X13" s="684">
        <f t="shared" ref="X13:X76" si="13">((L13+R13+N13+V13)-(J13+P13+T13))*radconv</f>
        <v>-87.127706241354019</v>
      </c>
      <c r="Y13" s="685">
        <f t="shared" ref="Y13:Y76" si="14">IF(X13&gt;0,X13,X13+180)</f>
        <v>92.872293758645981</v>
      </c>
      <c r="AA13" s="170">
        <f t="shared" ref="AA13:AA76" si="15">IF(W13&lt;0,G13,1000000000)</f>
        <v>1000000000</v>
      </c>
      <c r="AB13" s="170">
        <f t="shared" ref="AB13:AB76" si="16">G13^2</f>
        <v>1</v>
      </c>
      <c r="AD13" s="686">
        <f t="shared" ref="AD13:AD76" si="17">20*LOG10((Q13/(O13*S13))*Aea)</f>
        <v>79.587245169917381</v>
      </c>
      <c r="AE13" s="687">
        <f t="shared" ref="AE13:AE76" si="18">(R13-(P13+T13))*radconv</f>
        <v>-86.830970722434245</v>
      </c>
      <c r="AG13" s="686">
        <f t="shared" ref="AG13:AG76" si="19">20*LOG10((K13*M13/(I13*U13))*Acs*Am)</f>
        <v>49.096582937497956</v>
      </c>
      <c r="AH13" s="687">
        <f t="shared" ref="AH13:AH76" si="20">(L13+N13-(J13+V13))*radconv</f>
        <v>-0.29400690270027718</v>
      </c>
      <c r="AJ13" s="170">
        <f t="shared" ref="AJ13:AJ76" si="21">SUM((W14&lt;0)*(W13&gt;0))*G13</f>
        <v>0</v>
      </c>
      <c r="AK13" s="170">
        <f t="shared" ref="AK13:AK44" si="22">IF(AJ13&gt;0,Y11,0)</f>
        <v>0</v>
      </c>
      <c r="AM13" s="170" t="str">
        <f>IMSUB(1,IMEXP(COMPLEX(0,-2*Pi*G13*Tsw)))</f>
        <v>5.78566972109229E-10+0.0000340166768693814i</v>
      </c>
      <c r="AN13" s="170" t="str">
        <f>COMPLEX(0, 2*Pi*G13*Tsw)</f>
        <v>0.0000340166768759417i</v>
      </c>
      <c r="AO13" s="170" t="str">
        <f>IMDIV(AM13, AN13)</f>
        <v>0.999999999807145-0.0000170083331249332i</v>
      </c>
      <c r="AP13" s="170" t="str">
        <f>IMDIV(IMEXP(COMPLEX(0,-2*Pi*G13*Tsw)),6)</f>
        <v>0.166666666570239-0.0000056694461448969i</v>
      </c>
      <c r="AQ13" s="170" t="str">
        <f>IMSUB(1, AP13)</f>
        <v>0.833333333429761+0.0000056694461448969i</v>
      </c>
      <c r="AR13" s="170" t="str">
        <f>IMDIV(0.833, AQ13)</f>
        <v>0.999599999838066-6.80061403783812E-06i</v>
      </c>
    </row>
    <row r="14" spans="1:44" ht="13">
      <c r="A14" s="333" t="s">
        <v>736</v>
      </c>
      <c r="B14" s="711">
        <f>Vout+Vfwd1</f>
        <v>24.5</v>
      </c>
      <c r="C14" s="170" t="s">
        <v>0</v>
      </c>
      <c r="D14" s="170" t="s">
        <v>763</v>
      </c>
      <c r="G14" s="688">
        <v>1.0965</v>
      </c>
      <c r="H14" s="676">
        <f t="shared" ref="H14:H77" si="23">G14/1000</f>
        <v>1.0965E-3</v>
      </c>
      <c r="I14" s="677">
        <f t="shared" si="0"/>
        <v>1.0000159393227643</v>
      </c>
      <c r="J14" s="678">
        <f t="shared" si="1"/>
        <v>5.6460802418810555E-3</v>
      </c>
      <c r="K14" s="678">
        <f t="shared" si="2"/>
        <v>1.0000000000002096</v>
      </c>
      <c r="L14" s="679">
        <f t="shared" si="3"/>
        <v>6.4761419205620961E-7</v>
      </c>
      <c r="M14" s="678">
        <f t="shared" si="4"/>
        <v>1.0000000000261671</v>
      </c>
      <c r="N14" s="679">
        <f t="shared" si="5"/>
        <v>-7.2342286105350143E-6</v>
      </c>
      <c r="O14" s="677">
        <f t="shared" si="6"/>
        <v>20.69271526143303</v>
      </c>
      <c r="P14" s="680">
        <f t="shared" si="7"/>
        <v>1.5224513109911022</v>
      </c>
      <c r="Q14" s="689">
        <f t="shared" si="8"/>
        <v>1.0000032490003243</v>
      </c>
      <c r="R14" s="690">
        <f t="shared" si="9"/>
        <v>2.5491141707552531E-3</v>
      </c>
      <c r="S14" s="677">
        <f t="shared" si="10"/>
        <v>1.0000000001684284</v>
      </c>
      <c r="T14" s="680">
        <f t="shared" si="11"/>
        <v>1.8353661781321951E-5</v>
      </c>
      <c r="U14" s="681">
        <f t="shared" ref="U14:U77" si="24">IMABS(IMPRODUCT(AO14, AR14))</f>
        <v>0.99959999977517233</v>
      </c>
      <c r="V14" s="682">
        <f t="shared" ref="V14:V77" si="25">IMARGUMENT(IMPRODUCT(AO14, AR14))</f>
        <v>-2.6109490478134199E-5</v>
      </c>
      <c r="W14" s="683">
        <f t="shared" si="12"/>
        <v>82.697750045247659</v>
      </c>
      <c r="X14" s="684">
        <f t="shared" si="13"/>
        <v>-87.410402755176747</v>
      </c>
      <c r="Y14" s="687">
        <f t="shared" si="14"/>
        <v>92.589597244823253</v>
      </c>
      <c r="AA14" s="170">
        <f t="shared" si="15"/>
        <v>1000000000</v>
      </c>
      <c r="AB14" s="170">
        <f t="shared" si="16"/>
        <v>1.2023122500000001</v>
      </c>
      <c r="AD14" s="686">
        <f t="shared" si="17"/>
        <v>78.789128685867993</v>
      </c>
      <c r="AE14" s="687">
        <f t="shared" si="18"/>
        <v>-87.085032837335888</v>
      </c>
      <c r="AG14" s="686">
        <f t="shared" si="19"/>
        <v>49.096559641945504</v>
      </c>
      <c r="AH14" s="687">
        <f t="shared" si="20"/>
        <v>-0.32237799061818273</v>
      </c>
      <c r="AJ14" s="170">
        <f t="shared" si="21"/>
        <v>0</v>
      </c>
      <c r="AK14" s="170">
        <f t="shared" si="22"/>
        <v>0</v>
      </c>
      <c r="AM14" s="170" t="str">
        <f t="shared" ref="AM14:AM77" si="26">IMSUB(1,IMEXP(COMPLEX(0,-2*Pi*G14*Tsw)))</f>
        <v>6.95618007640064E-10+0.0000372992861858214i</v>
      </c>
      <c r="AN14" s="170" t="str">
        <f t="shared" ref="AN14:AN77" si="27">COMPLEX(0, 2*Pi*G14*Tsw)</f>
        <v>0.0000372992861944701i</v>
      </c>
      <c r="AO14" s="170" t="str">
        <f t="shared" ref="AO14:AO77" si="28">IMDIV(AM14, AN14)</f>
        <v>0.999999999768127-0.000018649633239984i</v>
      </c>
      <c r="AP14" s="170" t="str">
        <f t="shared" ref="AP14:AP77" si="29">IMDIV(IMEXP(COMPLEX(0,-2*Pi*G14*Tsw)),6)</f>
        <v>0.16666666655073-0.0000062165476976369i</v>
      </c>
      <c r="AQ14" s="170" t="str">
        <f t="shared" ref="AQ14:AQ77" si="30">IMSUB(1, AP14)</f>
        <v>0.83333333344927+0.0000062165476976369i</v>
      </c>
      <c r="AR14" s="170" t="str">
        <f t="shared" ref="AR14:AR77" si="31">IMDIV(0.833, AQ14)</f>
        <v>0.999599999805304-7.45687329177958E-06i</v>
      </c>
    </row>
    <row r="15" spans="1:44" ht="13">
      <c r="A15" s="333" t="s">
        <v>735</v>
      </c>
      <c r="B15" s="711">
        <f>'Design Converter'!E11+IF(MODE=2,ABS('Design Converter'!E13*'Design Converter'!L14),0)</f>
        <v>1</v>
      </c>
      <c r="C15" s="170" t="s">
        <v>1</v>
      </c>
      <c r="G15" s="688">
        <v>1.2022999999999999</v>
      </c>
      <c r="H15" s="676">
        <f t="shared" si="23"/>
        <v>1.2022999999999999E-3</v>
      </c>
      <c r="I15" s="677">
        <f>SQRT(1+(G15/pole1)^2)</f>
        <v>1.0000191636216105</v>
      </c>
      <c r="J15" s="678">
        <f t="shared" si="1"/>
        <v>6.1908506004407461E-3</v>
      </c>
      <c r="K15" s="678">
        <f t="shared" si="2"/>
        <v>1.0000000000002522</v>
      </c>
      <c r="L15" s="679">
        <f t="shared" si="3"/>
        <v>7.1010172650174071E-7</v>
      </c>
      <c r="M15" s="678">
        <f t="shared" si="4"/>
        <v>1.0000000000314602</v>
      </c>
      <c r="N15" s="679">
        <f t="shared" si="5"/>
        <v>-7.9322508512681748E-6</v>
      </c>
      <c r="O15" s="677">
        <f t="shared" si="6"/>
        <v>22.684872896552974</v>
      </c>
      <c r="P15" s="680">
        <f t="shared" si="7"/>
        <v>1.5266997977079753</v>
      </c>
      <c r="Q15" s="689">
        <f t="shared" si="8"/>
        <v>1.0000039062320065</v>
      </c>
      <c r="R15" s="690">
        <f t="shared" si="9"/>
        <v>2.7950739850862733E-3</v>
      </c>
      <c r="S15" s="677">
        <f t="shared" si="10"/>
        <v>1.0000000002024994</v>
      </c>
      <c r="T15" s="680">
        <f t="shared" si="11"/>
        <v>2.0124585097293348E-5</v>
      </c>
      <c r="U15" s="681">
        <f t="shared" si="24"/>
        <v>0.99959999972969527</v>
      </c>
      <c r="V15" s="682">
        <f t="shared" si="25"/>
        <v>-2.8628764457276657E-5</v>
      </c>
      <c r="W15" s="683">
        <f t="shared" si="12"/>
        <v>81.899350377861992</v>
      </c>
      <c r="X15" s="684">
        <f t="shared" si="13"/>
        <v>-87.671225920382</v>
      </c>
      <c r="Y15" s="687">
        <f t="shared" si="14"/>
        <v>92.328774079618</v>
      </c>
      <c r="AA15" s="170">
        <f t="shared" si="15"/>
        <v>1000000000</v>
      </c>
      <c r="AB15" s="170">
        <f t="shared" si="16"/>
        <v>1.4455252899999997</v>
      </c>
      <c r="AD15" s="686">
        <f t="shared" si="17"/>
        <v>77.990757024243564</v>
      </c>
      <c r="AE15" s="687">
        <f t="shared" si="18"/>
        <v>-87.314462202933115</v>
      </c>
      <c r="AG15" s="686">
        <f t="shared" si="19"/>
        <v>49.096531636974625</v>
      </c>
      <c r="AH15" s="687">
        <f t="shared" si="20"/>
        <v>-0.35348310269298677</v>
      </c>
      <c r="AJ15" s="170">
        <f t="shared" si="21"/>
        <v>0</v>
      </c>
      <c r="AK15" s="170">
        <f t="shared" si="22"/>
        <v>0</v>
      </c>
      <c r="AM15" s="170" t="str">
        <f t="shared" si="26"/>
        <v>8.36333002851575E-10+0.0000408982505965432i</v>
      </c>
      <c r="AN15" s="170" t="str">
        <f t="shared" si="27"/>
        <v>0.0000408982506079447i</v>
      </c>
      <c r="AO15" s="170" t="str">
        <f t="shared" si="28"/>
        <v>0.999999999721223-0.0000204491143366683i</v>
      </c>
      <c r="AP15" s="170" t="str">
        <f t="shared" si="29"/>
        <v>0.166666666527278-6.81637509942387E-06i</v>
      </c>
      <c r="AQ15" s="170" t="str">
        <f t="shared" si="30"/>
        <v>0.833333333472722+6.81637509942387E-06i</v>
      </c>
      <c r="AR15" s="170" t="str">
        <f t="shared" si="31"/>
        <v>0.999599999765921-0.0000081763782559786i</v>
      </c>
    </row>
    <row r="16" spans="1:44" ht="13">
      <c r="A16" s="333" t="s">
        <v>3</v>
      </c>
      <c r="B16" s="711">
        <f>VIN_nom</f>
        <v>24</v>
      </c>
      <c r="C16" s="170" t="s">
        <v>0</v>
      </c>
      <c r="G16" s="688">
        <v>1.3183</v>
      </c>
      <c r="H16" s="676">
        <f t="shared" si="23"/>
        <v>1.3183000000000001E-3</v>
      </c>
      <c r="I16" s="677">
        <f t="shared" si="0"/>
        <v>1.000023039845118</v>
      </c>
      <c r="J16" s="678">
        <f t="shared" si="1"/>
        <v>6.7881371177287101E-3</v>
      </c>
      <c r="K16" s="678">
        <f t="shared" si="2"/>
        <v>1.0000000000003031</v>
      </c>
      <c r="L16" s="679">
        <f t="shared" si="3"/>
        <v>7.7861357901290272E-7</v>
      </c>
      <c r="M16" s="678">
        <f t="shared" si="4"/>
        <v>1.000000000037824</v>
      </c>
      <c r="N16" s="679">
        <f t="shared" si="5"/>
        <v>-8.6975682418551728E-6</v>
      </c>
      <c r="O16" s="677">
        <f t="shared" si="6"/>
        <v>24.869482638026174</v>
      </c>
      <c r="P16" s="680">
        <f t="shared" si="7"/>
        <v>1.5305755596882988</v>
      </c>
      <c r="Q16" s="689">
        <f t="shared" si="8"/>
        <v>1.0000046963523455</v>
      </c>
      <c r="R16" s="690">
        <f t="shared" si="9"/>
        <v>3.0647459815498165E-3</v>
      </c>
      <c r="S16" s="677">
        <f t="shared" si="10"/>
        <v>1.0000000002434595</v>
      </c>
      <c r="T16" s="680">
        <f t="shared" si="11"/>
        <v>2.2066240150575873E-5</v>
      </c>
      <c r="U16" s="681">
        <f t="shared" si="24"/>
        <v>0.99959999967501767</v>
      </c>
      <c r="V16" s="682">
        <f t="shared" si="25"/>
        <v>-3.1390919480370257E-5</v>
      </c>
      <c r="W16" s="683">
        <f t="shared" si="12"/>
        <v>81.100715563340401</v>
      </c>
      <c r="X16" s="684">
        <f t="shared" si="13"/>
        <v>-87.912371086359286</v>
      </c>
      <c r="Y16" s="687">
        <f t="shared" si="14"/>
        <v>92.087628913640714</v>
      </c>
      <c r="AA16" s="170">
        <f t="shared" si="15"/>
        <v>1000000000</v>
      </c>
      <c r="AB16" s="170">
        <f t="shared" si="16"/>
        <v>1.7379148900000001</v>
      </c>
      <c r="AD16" s="686">
        <f t="shared" si="17"/>
        <v>77.192155877880509</v>
      </c>
      <c r="AE16" s="687">
        <f t="shared" si="18"/>
        <v>-87.52118718842874</v>
      </c>
      <c r="AG16" s="686">
        <f t="shared" si="19"/>
        <v>49.096497969766304</v>
      </c>
      <c r="AH16" s="687">
        <f t="shared" si="20"/>
        <v>-0.38758676352391286</v>
      </c>
      <c r="AJ16" s="170">
        <f t="shared" si="21"/>
        <v>0</v>
      </c>
      <c r="AK16" s="170">
        <f t="shared" si="22"/>
        <v>0</v>
      </c>
      <c r="AM16" s="170" t="str">
        <f t="shared" si="26"/>
        <v>1.00550001658206E-09+0.0000448441851105237i</v>
      </c>
      <c r="AN16" s="170" t="str">
        <f t="shared" si="27"/>
        <v>0.000044844185125554i</v>
      </c>
      <c r="AO16" s="170" t="str">
        <f t="shared" si="28"/>
        <v>0.999999999664833-0.0000224220824565521i</v>
      </c>
      <c r="AP16" s="170" t="str">
        <f t="shared" si="29"/>
        <v>0.166666666499083-7.47403085175395E-06i</v>
      </c>
      <c r="AQ16" s="170" t="str">
        <f t="shared" si="30"/>
        <v>0.833333333500917+7.47403085175395E-06i</v>
      </c>
      <c r="AR16" s="170" t="str">
        <f t="shared" si="31"/>
        <v>0.999599999718572-0.0000089652494829689i</v>
      </c>
    </row>
    <row r="17" spans="1:44">
      <c r="G17" s="688">
        <v>1.4454</v>
      </c>
      <c r="H17" s="676">
        <f t="shared" si="23"/>
        <v>1.4454000000000001E-3</v>
      </c>
      <c r="I17" s="677">
        <f t="shared" si="0"/>
        <v>1.0000276965797079</v>
      </c>
      <c r="J17" s="678">
        <f t="shared" si="1"/>
        <v>7.4425721995374419E-3</v>
      </c>
      <c r="K17" s="678">
        <f t="shared" si="2"/>
        <v>1.0000000000003644</v>
      </c>
      <c r="L17" s="679">
        <f t="shared" si="3"/>
        <v>8.5368130706607273E-7</v>
      </c>
      <c r="M17" s="678">
        <f t="shared" si="4"/>
        <v>1.0000000000454687</v>
      </c>
      <c r="N17" s="679">
        <f t="shared" si="5"/>
        <v>-9.5361185896331593E-6</v>
      </c>
      <c r="O17" s="677">
        <f t="shared" si="6"/>
        <v>27.263493812685205</v>
      </c>
      <c r="P17" s="680">
        <f t="shared" si="7"/>
        <v>1.5341090126668642</v>
      </c>
      <c r="Q17" s="689">
        <f t="shared" si="8"/>
        <v>1.0000056455734632</v>
      </c>
      <c r="R17" s="690">
        <f t="shared" si="9"/>
        <v>3.3602222851506045E-3</v>
      </c>
      <c r="S17" s="677">
        <f t="shared" si="10"/>
        <v>1.0000000002926672</v>
      </c>
      <c r="T17" s="680">
        <f t="shared" si="11"/>
        <v>2.4193691506179209E-5</v>
      </c>
      <c r="U17" s="681">
        <f t="shared" si="24"/>
        <v>0.99959999960933177</v>
      </c>
      <c r="V17" s="682">
        <f t="shared" si="25"/>
        <v>-3.4417401623253866E-5</v>
      </c>
      <c r="W17" s="683">
        <f t="shared" si="12"/>
        <v>80.302388177544543</v>
      </c>
      <c r="X17" s="684">
        <f t="shared" si="13"/>
        <v>-88.135728895373916</v>
      </c>
      <c r="Y17" s="687">
        <f t="shared" si="14"/>
        <v>91.864271104626084</v>
      </c>
      <c r="AA17" s="170">
        <f t="shared" si="15"/>
        <v>1000000000</v>
      </c>
      <c r="AB17" s="170">
        <f t="shared" si="16"/>
        <v>2.0891811599999999</v>
      </c>
      <c r="AD17" s="686">
        <f t="shared" si="17"/>
        <v>76.393868939445156</v>
      </c>
      <c r="AE17" s="687">
        <f t="shared" si="18"/>
        <v>-87.70683148026194</v>
      </c>
      <c r="AG17" s="686">
        <f t="shared" si="19"/>
        <v>49.096457523547343</v>
      </c>
      <c r="AH17" s="687">
        <f t="shared" si="20"/>
        <v>-0.42495347139783252</v>
      </c>
      <c r="AJ17" s="170">
        <f t="shared" si="21"/>
        <v>0</v>
      </c>
      <c r="AK17" s="170">
        <f t="shared" si="22"/>
        <v>0</v>
      </c>
      <c r="AM17" s="170" t="str">
        <f t="shared" si="26"/>
        <v>1.20873200337712E-09+0.000049167704736676i</v>
      </c>
      <c r="AN17" s="170" t="str">
        <f t="shared" si="27"/>
        <v>0.0000491677047564862i</v>
      </c>
      <c r="AO17" s="170" t="str">
        <f t="shared" si="28"/>
        <v>0.999999999597089-0.0000245838606736603i</v>
      </c>
      <c r="AP17" s="170" t="str">
        <f t="shared" si="29"/>
        <v>0.166666666465211-8.19461745611267E-06i</v>
      </c>
      <c r="AQ17" s="170" t="str">
        <f t="shared" si="30"/>
        <v>0.833333333534789+8.19461745611267E-06i</v>
      </c>
      <c r="AR17" s="170" t="str">
        <f t="shared" si="31"/>
        <v>0.99959999966169-9.82960752525321E-06i</v>
      </c>
    </row>
    <row r="18" spans="1:44">
      <c r="A18" s="170" t="s">
        <v>742</v>
      </c>
      <c r="B18" s="715">
        <f>Vout_eff*Npri_sec/Vin_eff</f>
        <v>0.68089583333333337</v>
      </c>
      <c r="C18" s="170" t="s">
        <v>686</v>
      </c>
      <c r="G18" s="688">
        <v>1.5849</v>
      </c>
      <c r="H18" s="676">
        <f t="shared" si="23"/>
        <v>1.5849E-3</v>
      </c>
      <c r="I18" s="677">
        <f t="shared" si="0"/>
        <v>1.0000333006379785</v>
      </c>
      <c r="J18" s="678">
        <f t="shared" si="1"/>
        <v>8.1608472469899725E-3</v>
      </c>
      <c r="K18" s="678">
        <f t="shared" si="2"/>
        <v>1.0000000000004381</v>
      </c>
      <c r="L18" s="679">
        <f t="shared" si="3"/>
        <v>9.3607271590490673E-7</v>
      </c>
      <c r="M18" s="678">
        <f t="shared" si="4"/>
        <v>1.0000000000546689</v>
      </c>
      <c r="N18" s="679">
        <f t="shared" si="5"/>
        <v>-1.0456478727422785E-5</v>
      </c>
      <c r="O18" s="677">
        <f t="shared" si="6"/>
        <v>29.891393051896138</v>
      </c>
      <c r="P18" s="680">
        <f t="shared" si="7"/>
        <v>1.5373356371040561</v>
      </c>
      <c r="Q18" s="689">
        <f t="shared" si="8"/>
        <v>1.0000067879001471</v>
      </c>
      <c r="R18" s="690">
        <f t="shared" si="9"/>
        <v>3.6845248678747441E-3</v>
      </c>
      <c r="S18" s="677">
        <f t="shared" si="10"/>
        <v>1.0000000003518859</v>
      </c>
      <c r="T18" s="680">
        <f t="shared" si="11"/>
        <v>2.6528699091344693E-5</v>
      </c>
      <c r="U18" s="681">
        <f t="shared" si="24"/>
        <v>0.99959999953028544</v>
      </c>
      <c r="V18" s="682">
        <f t="shared" si="25"/>
        <v>-3.7739113750675463E-5</v>
      </c>
      <c r="W18" s="683">
        <f t="shared" si="12"/>
        <v>79.503056515001632</v>
      </c>
      <c r="X18" s="684">
        <f t="shared" si="13"/>
        <v>-88.343545935646517</v>
      </c>
      <c r="Y18" s="687">
        <f t="shared" si="14"/>
        <v>91.656454064353483</v>
      </c>
      <c r="AA18" s="170">
        <f t="shared" si="15"/>
        <v>1000000000</v>
      </c>
      <c r="AB18" s="170">
        <f t="shared" si="16"/>
        <v>2.51190801</v>
      </c>
      <c r="AD18" s="686">
        <f t="shared" si="17"/>
        <v>75.594585952255699</v>
      </c>
      <c r="AE18" s="687">
        <f t="shared" si="18"/>
        <v>-87.87325605958145</v>
      </c>
      <c r="AG18" s="686">
        <f t="shared" si="19"/>
        <v>49.096408849567609</v>
      </c>
      <c r="AH18" s="687">
        <f t="shared" si="20"/>
        <v>-0.46596529217915844</v>
      </c>
      <c r="AJ18" s="170">
        <f t="shared" si="21"/>
        <v>0</v>
      </c>
      <c r="AK18" s="170">
        <f t="shared" si="22"/>
        <v>0</v>
      </c>
      <c r="AM18" s="170" t="str">
        <f t="shared" si="26"/>
        <v>1.45330703027469E-09+0.0000539130311545626i</v>
      </c>
      <c r="AN18" s="170" t="str">
        <f t="shared" si="27"/>
        <v>0.00005391303118068i</v>
      </c>
      <c r="AO18" s="170" t="str">
        <f t="shared" si="28"/>
        <v>0.999999999515564-0.0000269565075167855i</v>
      </c>
      <c r="AP18" s="170" t="str">
        <f t="shared" si="29"/>
        <v>0.166666666424449-0.0000089855051924271i</v>
      </c>
      <c r="AQ18" s="170" t="str">
        <f t="shared" si="30"/>
        <v>0.833333333575551+0.0000089855051924271i</v>
      </c>
      <c r="AR18" s="170" t="str">
        <f t="shared" si="31"/>
        <v>0.999599999593237-0.0000107782931809014i</v>
      </c>
    </row>
    <row r="19" spans="1:44">
      <c r="A19" s="170" t="s">
        <v>759</v>
      </c>
      <c r="B19" s="170">
        <f>1/'Calculations - Single'!AQ105/1000*0+1/CHOOSE(MODE, 'Calculations - Single'!AQ105,'Calculations - Dual'!AP105)/1000</f>
        <v>5.4139222785522059E-6</v>
      </c>
      <c r="C19" s="170" t="s">
        <v>51</v>
      </c>
      <c r="G19" s="688">
        <v>1.7378</v>
      </c>
      <c r="H19" s="676">
        <f t="shared" si="23"/>
        <v>1.7378000000000001E-3</v>
      </c>
      <c r="I19" s="677">
        <f t="shared" si="0"/>
        <v>1.0000400356557577</v>
      </c>
      <c r="J19" s="678">
        <f t="shared" si="1"/>
        <v>8.9481081902226603E-3</v>
      </c>
      <c r="K19" s="678">
        <f t="shared" si="2"/>
        <v>1.0000000000005267</v>
      </c>
      <c r="L19" s="679">
        <f t="shared" si="3"/>
        <v>1.0263784249475998E-6</v>
      </c>
      <c r="M19" s="678">
        <f t="shared" si="4"/>
        <v>1.0000000000657261</v>
      </c>
      <c r="N19" s="679">
        <f t="shared" si="5"/>
        <v>-1.1465246218929505E-5</v>
      </c>
      <c r="O19" s="677">
        <f t="shared" si="6"/>
        <v>32.772018714013619</v>
      </c>
      <c r="P19" s="680">
        <f t="shared" si="7"/>
        <v>1.5402777537357457</v>
      </c>
      <c r="Q19" s="689">
        <f t="shared" si="8"/>
        <v>1.0000081607674414</v>
      </c>
      <c r="R19" s="690">
        <f t="shared" si="9"/>
        <v>4.039978203763386E-3</v>
      </c>
      <c r="S19" s="677">
        <f t="shared" si="10"/>
        <v>1.0000000004230558</v>
      </c>
      <c r="T19" s="680">
        <f t="shared" si="11"/>
        <v>2.9088001311597861E-5</v>
      </c>
      <c r="U19" s="681">
        <f t="shared" si="24"/>
        <v>0.99959999943528344</v>
      </c>
      <c r="V19" s="682">
        <f t="shared" si="25"/>
        <v>-4.1379923617501326E-5</v>
      </c>
      <c r="W19" s="683">
        <f t="shared" si="12"/>
        <v>78.703869162461501</v>
      </c>
      <c r="X19" s="684">
        <f t="shared" si="13"/>
        <v>-88.537265419400271</v>
      </c>
      <c r="Y19" s="687">
        <f t="shared" si="14"/>
        <v>91.462734580599729</v>
      </c>
      <c r="AA19" s="170">
        <f t="shared" si="15"/>
        <v>1000000000</v>
      </c>
      <c r="AB19" s="170">
        <f t="shared" si="16"/>
        <v>3.0199488400000001</v>
      </c>
      <c r="AD19" s="686">
        <f t="shared" si="17"/>
        <v>74.795457097920419</v>
      </c>
      <c r="AE19" s="687">
        <f t="shared" si="18"/>
        <v>-88.021607586837476</v>
      </c>
      <c r="AG19" s="686">
        <f t="shared" si="19"/>
        <v>49.096350353013776</v>
      </c>
      <c r="AH19" s="687">
        <f t="shared" si="20"/>
        <v>-0.510916042597644</v>
      </c>
      <c r="AJ19" s="170">
        <f t="shared" si="21"/>
        <v>0</v>
      </c>
      <c r="AK19" s="170">
        <f t="shared" si="22"/>
        <v>0</v>
      </c>
      <c r="AM19" s="170" t="str">
        <f t="shared" si="26"/>
        <v>1.7472430169363E-09+0.0000591141810405826i</v>
      </c>
      <c r="AN19" s="170" t="str">
        <f t="shared" si="27"/>
        <v>0.0000591141810750115i</v>
      </c>
      <c r="AO19" s="170" t="str">
        <f t="shared" si="28"/>
        <v>0.999999999417586-0.0000295570874054599i</v>
      </c>
      <c r="AP19" s="170" t="str">
        <f t="shared" si="29"/>
        <v>0.166666666375459-9.85236350676377E-06i</v>
      </c>
      <c r="AQ19" s="170" t="str">
        <f t="shared" si="30"/>
        <v>0.833333333624541+9.85236350676377E-06i</v>
      </c>
      <c r="AR19" s="170" t="str">
        <f t="shared" si="31"/>
        <v>0.999599999510967-0.0000118181070637217i</v>
      </c>
    </row>
    <row r="20" spans="1:44">
      <c r="G20" s="688">
        <v>1.9055</v>
      </c>
      <c r="H20" s="676">
        <f t="shared" si="23"/>
        <v>1.9055000000000001E-3</v>
      </c>
      <c r="I20" s="677">
        <f t="shared" si="0"/>
        <v>1.0000481352806214</v>
      </c>
      <c r="J20" s="678">
        <f t="shared" si="1"/>
        <v>9.811559495114296E-3</v>
      </c>
      <c r="K20" s="678">
        <f t="shared" si="2"/>
        <v>1.0000000000006333</v>
      </c>
      <c r="L20" s="679">
        <f t="shared" si="3"/>
        <v>1.125425301379625E-6</v>
      </c>
      <c r="M20" s="678">
        <f t="shared" si="4"/>
        <v>1.0000000000790235</v>
      </c>
      <c r="N20" s="679">
        <f t="shared" si="5"/>
        <v>-1.2571657653341292E-5</v>
      </c>
      <c r="O20" s="677">
        <f t="shared" si="6"/>
        <v>35.931746734160576</v>
      </c>
      <c r="P20" s="680">
        <f t="shared" si="7"/>
        <v>1.5429621905292261</v>
      </c>
      <c r="Q20" s="689">
        <f t="shared" si="8"/>
        <v>1.0000098118062508</v>
      </c>
      <c r="R20" s="690">
        <f t="shared" si="9"/>
        <v>4.429836571529535E-3</v>
      </c>
      <c r="S20" s="677">
        <f t="shared" si="10"/>
        <v>1.0000000005086465</v>
      </c>
      <c r="T20" s="680">
        <f t="shared" si="11"/>
        <v>3.1895031934680065E-5</v>
      </c>
      <c r="U20" s="681">
        <f t="shared" si="24"/>
        <v>0.99959999932103327</v>
      </c>
      <c r="V20" s="682">
        <f t="shared" si="25"/>
        <v>-4.5373145247287682E-5</v>
      </c>
      <c r="W20" s="683">
        <f t="shared" si="12"/>
        <v>77.904310438135099</v>
      </c>
      <c r="X20" s="684">
        <f t="shared" si="13"/>
        <v>-88.718654538239392</v>
      </c>
      <c r="Y20" s="687">
        <f t="shared" si="14"/>
        <v>91.281345461760608</v>
      </c>
      <c r="AA20" s="170">
        <f t="shared" si="15"/>
        <v>1000000000</v>
      </c>
      <c r="AB20" s="170">
        <f t="shared" si="16"/>
        <v>3.63093025</v>
      </c>
      <c r="AD20" s="686">
        <f t="shared" si="17"/>
        <v>73.995968723816631</v>
      </c>
      <c r="AE20" s="687">
        <f t="shared" si="18"/>
        <v>-88.153238077550753</v>
      </c>
      <c r="AG20" s="686">
        <f t="shared" si="19"/>
        <v>49.096280004776673</v>
      </c>
      <c r="AH20" s="687">
        <f t="shared" si="20"/>
        <v>-0.5602170812308892</v>
      </c>
      <c r="AJ20" s="170">
        <f t="shared" si="21"/>
        <v>0</v>
      </c>
      <c r="AK20" s="170">
        <f t="shared" si="22"/>
        <v>0</v>
      </c>
      <c r="AM20" s="170" t="str">
        <f t="shared" si="26"/>
        <v>2.10073702877622E-09+0.0000648187777417179i</v>
      </c>
      <c r="AN20" s="170" t="str">
        <f t="shared" si="27"/>
        <v>0.000064818777787107i</v>
      </c>
      <c r="AO20" s="170" t="str">
        <f t="shared" si="28"/>
        <v>0.999999999299754-0.0000324093896937698i</v>
      </c>
      <c r="AP20" s="170" t="str">
        <f t="shared" si="29"/>
        <v>0.166666666316544-0.0000108031296236196i</v>
      </c>
      <c r="AQ20" s="170" t="str">
        <f t="shared" si="30"/>
        <v>0.833333333683456+0.0000108031296236196i</v>
      </c>
      <c r="AR20" s="170" t="str">
        <f t="shared" si="31"/>
        <v>0.999599999412029-0.0000129585700330574i</v>
      </c>
    </row>
    <row r="21" spans="1:44" ht="13">
      <c r="A21" s="333" t="s">
        <v>738</v>
      </c>
      <c r="B21" s="718">
        <f>Vout_eff/Iout_eff</f>
        <v>24.5</v>
      </c>
      <c r="C21" s="706" t="s">
        <v>45</v>
      </c>
      <c r="D21" s="706"/>
      <c r="E21" s="706"/>
      <c r="G21" s="688">
        <v>2.0893000000000002</v>
      </c>
      <c r="H21" s="676">
        <f t="shared" si="23"/>
        <v>2.0893000000000001E-3</v>
      </c>
      <c r="I21" s="677">
        <f t="shared" si="0"/>
        <v>1.000057868882626</v>
      </c>
      <c r="J21" s="678">
        <f t="shared" si="1"/>
        <v>1.0757889392521112E-2</v>
      </c>
      <c r="K21" s="678">
        <f t="shared" si="2"/>
        <v>1.0000000000007614</v>
      </c>
      <c r="L21" s="679">
        <f t="shared" si="3"/>
        <v>1.2339811504446338E-6</v>
      </c>
      <c r="M21" s="678">
        <f t="shared" si="4"/>
        <v>1.0000000000950033</v>
      </c>
      <c r="N21" s="679">
        <f t="shared" si="5"/>
        <v>-1.378428986347213E-5</v>
      </c>
      <c r="O21" s="677">
        <f t="shared" si="6"/>
        <v>39.395071130085363</v>
      </c>
      <c r="P21" s="680">
        <f t="shared" si="7"/>
        <v>1.5454097138826624</v>
      </c>
      <c r="Q21" s="689">
        <f t="shared" si="8"/>
        <v>1.0000117959313202</v>
      </c>
      <c r="R21" s="690">
        <f t="shared" si="9"/>
        <v>4.8571216513300444E-3</v>
      </c>
      <c r="S21" s="677">
        <f t="shared" si="10"/>
        <v>1.0000000006115046</v>
      </c>
      <c r="T21" s="680">
        <f t="shared" si="11"/>
        <v>3.4971550887723718E-5</v>
      </c>
      <c r="U21" s="681">
        <f t="shared" si="24"/>
        <v>0.99959999918373199</v>
      </c>
      <c r="V21" s="682">
        <f t="shared" si="25"/>
        <v>-4.974973596603789E-5</v>
      </c>
      <c r="W21" s="683">
        <f t="shared" si="12"/>
        <v>77.104971947863831</v>
      </c>
      <c r="X21" s="684">
        <f t="shared" si="13"/>
        <v>-88.889116664916955</v>
      </c>
      <c r="Y21" s="687">
        <f t="shared" si="14"/>
        <v>91.110883335083045</v>
      </c>
      <c r="AA21" s="170">
        <f t="shared" si="15"/>
        <v>1000000000</v>
      </c>
      <c r="AB21" s="170">
        <f t="shared" si="16"/>
        <v>4.3651744900000002</v>
      </c>
      <c r="AD21" s="686">
        <f t="shared" si="17"/>
        <v>73.196714775110493</v>
      </c>
      <c r="AE21" s="687">
        <f t="shared" si="18"/>
        <v>-88.26916547592495</v>
      </c>
      <c r="AG21" s="686">
        <f t="shared" si="19"/>
        <v>49.096195465597674</v>
      </c>
      <c r="AH21" s="687">
        <f t="shared" si="20"/>
        <v>-0.61425028917999858</v>
      </c>
      <c r="AJ21" s="170">
        <f t="shared" si="21"/>
        <v>0</v>
      </c>
      <c r="AK21" s="170">
        <f t="shared" si="22"/>
        <v>0</v>
      </c>
      <c r="AM21" s="170" t="str">
        <f t="shared" si="26"/>
        <v>2.52554699375906E-09+0.000071071042937074i</v>
      </c>
      <c r="AN21" s="170" t="str">
        <f t="shared" si="27"/>
        <v>0.0000710710429969051i</v>
      </c>
      <c r="AO21" s="170" t="str">
        <f t="shared" si="28"/>
        <v>0.999999999158151-0.0000355355273718023i</v>
      </c>
      <c r="AP21" s="170" t="str">
        <f t="shared" si="29"/>
        <v>0.166666666245742-0.0000118451738228457i</v>
      </c>
      <c r="AQ21" s="170" t="str">
        <f t="shared" si="30"/>
        <v>0.833333333754258+0.0000118451738228457i</v>
      </c>
      <c r="AR21" s="170" t="str">
        <f t="shared" si="31"/>
        <v>0.999599999293129-0.0000142085228867554i</v>
      </c>
    </row>
    <row r="22" spans="1:44">
      <c r="A22" s="170" t="s">
        <v>737</v>
      </c>
      <c r="B22" s="718">
        <f>Rload_sec*(Npri_sec^2)</f>
        <v>10.8997805</v>
      </c>
      <c r="C22" s="706" t="s">
        <v>45</v>
      </c>
      <c r="D22" s="706"/>
      <c r="E22" s="706"/>
      <c r="G22" s="688">
        <v>2.2909000000000002</v>
      </c>
      <c r="H22" s="676">
        <f t="shared" si="23"/>
        <v>2.2909000000000002E-3</v>
      </c>
      <c r="I22" s="677">
        <f t="shared" si="0"/>
        <v>1.0000695749993316</v>
      </c>
      <c r="J22" s="678">
        <f t="shared" si="1"/>
        <v>1.1795843816409808E-2</v>
      </c>
      <c r="K22" s="678">
        <f t="shared" si="2"/>
        <v>1.0000000000009153</v>
      </c>
      <c r="L22" s="679">
        <f t="shared" si="3"/>
        <v>1.3530500251535547E-6</v>
      </c>
      <c r="M22" s="678">
        <f t="shared" si="4"/>
        <v>1.000000000114222</v>
      </c>
      <c r="N22" s="679">
        <f t="shared" si="5"/>
        <v>-1.5114358707616764E-5</v>
      </c>
      <c r="O22" s="677">
        <f t="shared" si="6"/>
        <v>43.194024837974212</v>
      </c>
      <c r="P22" s="680">
        <f>ATAN(G22/Pole2)</f>
        <v>1.5476429078638956</v>
      </c>
      <c r="Q22" s="689">
        <f t="shared" si="8"/>
        <v>1.0000141821597506</v>
      </c>
      <c r="R22" s="690">
        <f t="shared" si="9"/>
        <v>5.3257848513309988E-3</v>
      </c>
      <c r="S22" s="677">
        <f t="shared" si="10"/>
        <v>1.0000000007352083</v>
      </c>
      <c r="T22" s="680">
        <f t="shared" si="11"/>
        <v>3.8346013460048406E-5</v>
      </c>
      <c r="U22" s="681">
        <f t="shared" si="24"/>
        <v>0.99959999901860863</v>
      </c>
      <c r="V22" s="682">
        <f t="shared" si="25"/>
        <v>-5.4550159072384216E-5</v>
      </c>
      <c r="W22" s="683">
        <f t="shared" si="12"/>
        <v>76.305255305783604</v>
      </c>
      <c r="X22" s="684">
        <f t="shared" si="13"/>
        <v>-89.050225011136959</v>
      </c>
      <c r="Y22" s="687">
        <f t="shared" si="14"/>
        <v>90.949774988863041</v>
      </c>
      <c r="AA22" s="170">
        <f t="shared" si="15"/>
        <v>1000000000</v>
      </c>
      <c r="AB22" s="170">
        <f t="shared" si="16"/>
        <v>5.2482228100000006</v>
      </c>
      <c r="AD22" s="686">
        <f t="shared" si="17"/>
        <v>72.397099805855902</v>
      </c>
      <c r="AE22" s="687">
        <f t="shared" si="18"/>
        <v>-88.370458985089741</v>
      </c>
      <c r="AG22" s="686">
        <f t="shared" si="19"/>
        <v>49.096093795641671</v>
      </c>
      <c r="AH22" s="687">
        <f t="shared" si="20"/>
        <v>-0.67351503826684189</v>
      </c>
      <c r="AJ22" s="170">
        <f t="shared" si="21"/>
        <v>0</v>
      </c>
      <c r="AK22" s="170">
        <f t="shared" si="22"/>
        <v>0</v>
      </c>
      <c r="AM22" s="170" t="str">
        <f t="shared" si="26"/>
        <v>3.03644898114186E-09+0.0000779288049762193i</v>
      </c>
      <c r="AN22" s="170" t="str">
        <f t="shared" si="27"/>
        <v>0.0000779288050550949i</v>
      </c>
      <c r="AO22" s="170" t="str">
        <f t="shared" si="28"/>
        <v>0.999999998987851-0.0000389643980681485i</v>
      </c>
      <c r="AP22" s="170" t="str">
        <f t="shared" si="29"/>
        <v>0.166666666160592-0.0000129881341627032i</v>
      </c>
      <c r="AQ22" s="170" t="str">
        <f t="shared" si="30"/>
        <v>0.833333333839408+0.0000129881341627032i</v>
      </c>
      <c r="AR22" s="170" t="str">
        <f t="shared" si="31"/>
        <v>0.999599999150135-0.0000155795266681387i</v>
      </c>
    </row>
    <row r="23" spans="1:44">
      <c r="B23" s="633"/>
      <c r="G23" s="688">
        <v>2.5118999999999998</v>
      </c>
      <c r="H23" s="676">
        <f t="shared" si="23"/>
        <v>2.5118999999999996E-3</v>
      </c>
      <c r="I23" s="677">
        <f t="shared" si="0"/>
        <v>1.0000836455002755</v>
      </c>
      <c r="J23" s="678">
        <f t="shared" si="1"/>
        <v>1.2933651473328664E-2</v>
      </c>
      <c r="K23" s="678">
        <f t="shared" si="2"/>
        <v>1.0000000000011005</v>
      </c>
      <c r="L23" s="679">
        <f t="shared" si="3"/>
        <v>1.4835769165754915E-6</v>
      </c>
      <c r="M23" s="678">
        <f t="shared" si="4"/>
        <v>1.0000000001373226</v>
      </c>
      <c r="N23" s="679">
        <f t="shared" si="5"/>
        <v>-1.6572420287693855E-5</v>
      </c>
      <c r="O23" s="677">
        <f t="shared" si="6"/>
        <v>47.358758351516279</v>
      </c>
      <c r="P23" s="680">
        <f t="shared" si="7"/>
        <v>1.5496793389372379</v>
      </c>
      <c r="Q23" s="689">
        <f t="shared" si="8"/>
        <v>1.0000170503845192</v>
      </c>
      <c r="R23" s="690">
        <f t="shared" si="9"/>
        <v>5.8395448897564329E-3</v>
      </c>
      <c r="S23" s="677">
        <f t="shared" si="10"/>
        <v>1.0000000008838994</v>
      </c>
      <c r="T23" s="680">
        <f t="shared" si="11"/>
        <v>4.2045201100330658E-5</v>
      </c>
      <c r="U23" s="681">
        <f t="shared" si="24"/>
        <v>0.99959999882012829</v>
      </c>
      <c r="V23" s="682">
        <f t="shared" si="25"/>
        <v>-5.9812538654272278E-5</v>
      </c>
      <c r="W23" s="683">
        <f t="shared" si="12"/>
        <v>75.505625332574112</v>
      </c>
      <c r="X23" s="684">
        <f t="shared" si="13"/>
        <v>-89.203248733952961</v>
      </c>
      <c r="Y23" s="687">
        <f t="shared" si="14"/>
        <v>90.796751266047039</v>
      </c>
      <c r="AA23" s="170">
        <f t="shared" si="15"/>
        <v>1000000000</v>
      </c>
      <c r="AB23" s="170">
        <f t="shared" si="16"/>
        <v>6.309641609999999</v>
      </c>
      <c r="AD23" s="686">
        <f t="shared" si="17"/>
        <v>71.597592039624985</v>
      </c>
      <c r="AE23" s="687">
        <f t="shared" si="18"/>
        <v>-88.457913556916651</v>
      </c>
      <c r="AG23" s="686">
        <f t="shared" si="19"/>
        <v>49.095971592112441</v>
      </c>
      <c r="AH23" s="687">
        <f t="shared" si="20"/>
        <v>-0.73848116497477523</v>
      </c>
      <c r="AJ23" s="170">
        <f t="shared" si="21"/>
        <v>0</v>
      </c>
      <c r="AK23" s="170">
        <f t="shared" si="22"/>
        <v>0</v>
      </c>
      <c r="AM23" s="170" t="str">
        <f t="shared" si="26"/>
        <v>3.65055097262257E-09+0.0000854464905407024i</v>
      </c>
      <c r="AN23" s="170" t="str">
        <f t="shared" si="27"/>
        <v>0.000085446490644678i</v>
      </c>
      <c r="AO23" s="170" t="str">
        <f t="shared" si="28"/>
        <v>0.99999999878315-0.0000427232405342787i</v>
      </c>
      <c r="AP23" s="170" t="str">
        <f t="shared" si="29"/>
        <v>0.166666666058242-0.0000142410817567837i</v>
      </c>
      <c r="AQ23" s="170" t="str">
        <f t="shared" si="30"/>
        <v>0.833333333941758+0.0000142410817567837i</v>
      </c>
      <c r="AR23" s="170" t="str">
        <f t="shared" si="31"/>
        <v>0.999599998978255-0.0000170824623589642i</v>
      </c>
    </row>
    <row r="24" spans="1:44">
      <c r="D24" s="712"/>
      <c r="E24" s="189"/>
      <c r="G24" s="688">
        <v>2.7542</v>
      </c>
      <c r="H24" s="676">
        <f t="shared" si="23"/>
        <v>2.7542000000000001E-3</v>
      </c>
      <c r="I24" s="677">
        <f t="shared" si="0"/>
        <v>1.000100559977213</v>
      </c>
      <c r="J24" s="678">
        <f t="shared" si="1"/>
        <v>1.4181082540619673E-2</v>
      </c>
      <c r="K24" s="678">
        <f t="shared" si="2"/>
        <v>1.0000000000013229</v>
      </c>
      <c r="L24" s="679">
        <f t="shared" si="3"/>
        <v>1.6266840016050053E-6</v>
      </c>
      <c r="M24" s="678">
        <f t="shared" si="4"/>
        <v>1.0000000001650928</v>
      </c>
      <c r="N24" s="679">
        <f t="shared" si="5"/>
        <v>-1.817100997472885E-5</v>
      </c>
      <c r="O24" s="677">
        <f t="shared" si="6"/>
        <v>51.925077011504193</v>
      </c>
      <c r="P24" s="680">
        <f t="shared" si="7"/>
        <v>1.5515366187124247</v>
      </c>
      <c r="Q24" s="689">
        <f t="shared" si="8"/>
        <v>1.0000204983868493</v>
      </c>
      <c r="R24" s="690">
        <f t="shared" si="9"/>
        <v>6.4028176144777273E-3</v>
      </c>
      <c r="S24" s="677">
        <f t="shared" si="10"/>
        <v>1.0000000010626473</v>
      </c>
      <c r="T24" s="680">
        <f t="shared" si="11"/>
        <v>4.6100916778825302E-5</v>
      </c>
      <c r="U24" s="681">
        <f t="shared" si="24"/>
        <v>0.99959999858152626</v>
      </c>
      <c r="V24" s="682">
        <f t="shared" si="25"/>
        <v>-6.5582109852309998E-5</v>
      </c>
      <c r="W24" s="683">
        <f t="shared" si="12"/>
        <v>74.705971538673282</v>
      </c>
      <c r="X24" s="684">
        <f t="shared" si="13"/>
        <v>-89.349508752641995</v>
      </c>
      <c r="Y24" s="687">
        <f t="shared" si="14"/>
        <v>90.650491247358005</v>
      </c>
      <c r="AA24" s="170">
        <f t="shared" si="15"/>
        <v>1000000000</v>
      </c>
      <c r="AB24" s="170">
        <f t="shared" si="16"/>
        <v>7.5856176399999997</v>
      </c>
      <c r="AD24" s="686">
        <f t="shared" si="17"/>
        <v>70.798085151304051</v>
      </c>
      <c r="AE24" s="687">
        <f t="shared" si="18"/>
        <v>-88.532287075044763</v>
      </c>
      <c r="AG24" s="686">
        <f t="shared" si="19"/>
        <v>49.095824690679144</v>
      </c>
      <c r="AH24" s="687">
        <f t="shared" si="20"/>
        <v>-0.80970652137643861</v>
      </c>
      <c r="AJ24" s="170">
        <f t="shared" si="21"/>
        <v>0</v>
      </c>
      <c r="AK24" s="170">
        <f t="shared" si="22"/>
        <v>0</v>
      </c>
      <c r="AM24" s="170" t="str">
        <f t="shared" si="26"/>
        <v>4.38878899888806E-09+0.0000936887313146587i</v>
      </c>
      <c r="AN24" s="170" t="str">
        <f t="shared" si="27"/>
        <v>0.0000936887314517187i</v>
      </c>
      <c r="AO24" s="170" t="str">
        <f t="shared" si="28"/>
        <v>0.999999998537071-0.0000468443635737534i</v>
      </c>
      <c r="AP24" s="170" t="str">
        <f t="shared" si="29"/>
        <v>0.166666665935202-0.0000156147885524431i</v>
      </c>
      <c r="AQ24" s="170" t="str">
        <f t="shared" si="30"/>
        <v>0.833333334064798+0.0000156147885524431i</v>
      </c>
      <c r="AR24" s="170" t="str">
        <f t="shared" si="31"/>
        <v>0.999599998771631-0.0000187302511249691i</v>
      </c>
    </row>
    <row r="25" spans="1:44" ht="13">
      <c r="A25" s="333" t="s">
        <v>751</v>
      </c>
      <c r="B25" s="711">
        <f>'Design Converter'!E34+'Design Converter'!E34*0+IF(MODE=2,ABS('Design Converter'!L34*('Design Converter'!L14)^2),0)</f>
        <v>47</v>
      </c>
      <c r="C25" s="170" t="s">
        <v>749</v>
      </c>
      <c r="D25" s="709">
        <f>Cout_sec*0.000001</f>
        <v>4.6999999999999997E-5</v>
      </c>
      <c r="E25" s="170" t="s">
        <v>13</v>
      </c>
      <c r="G25" s="688">
        <v>3.02</v>
      </c>
      <c r="H25" s="676">
        <f t="shared" si="23"/>
        <v>3.0200000000000001E-3</v>
      </c>
      <c r="I25" s="677">
        <f t="shared" si="0"/>
        <v>1.0001209048400073</v>
      </c>
      <c r="J25" s="678">
        <f t="shared" si="1"/>
        <v>1.5549447553768268E-2</v>
      </c>
      <c r="K25" s="678">
        <f t="shared" si="2"/>
        <v>1.0000000000015907</v>
      </c>
      <c r="L25" s="679">
        <f t="shared" si="3"/>
        <v>1.7836706429621085E-6</v>
      </c>
      <c r="M25" s="678">
        <f t="shared" si="4"/>
        <v>1.0000000001984957</v>
      </c>
      <c r="N25" s="679">
        <f t="shared" si="5"/>
        <v>-1.992464240885161E-5</v>
      </c>
      <c r="O25" s="677">
        <f t="shared" si="6"/>
        <v>56.934441525875542</v>
      </c>
      <c r="P25" s="680">
        <f t="shared" si="7"/>
        <v>1.5532313626646355</v>
      </c>
      <c r="Q25" s="689">
        <f t="shared" si="8"/>
        <v>1.0000246457320441</v>
      </c>
      <c r="R25" s="690">
        <f t="shared" si="9"/>
        <v>7.0207159005262034E-3</v>
      </c>
      <c r="S25" s="677">
        <f t="shared" si="10"/>
        <v>1.0000000012776504</v>
      </c>
      <c r="T25" s="680">
        <f t="shared" si="11"/>
        <v>5.0549984987327196E-5</v>
      </c>
      <c r="U25" s="681">
        <f t="shared" si="24"/>
        <v>0.99959999829452506</v>
      </c>
      <c r="V25" s="682">
        <f t="shared" si="25"/>
        <v>-7.1911256505938394E-5</v>
      </c>
      <c r="W25" s="683">
        <f t="shared" si="12"/>
        <v>73.905872550333584</v>
      </c>
      <c r="X25" s="684">
        <f t="shared" si="13"/>
        <v>-89.490318032035304</v>
      </c>
      <c r="Y25" s="687">
        <f t="shared" si="14"/>
        <v>90.509681967964696</v>
      </c>
      <c r="AA25" s="170">
        <f t="shared" si="15"/>
        <v>1000000000</v>
      </c>
      <c r="AB25" s="170">
        <f t="shared" si="16"/>
        <v>9.1204000000000001</v>
      </c>
      <c r="AD25" s="686">
        <f t="shared" si="17"/>
        <v>69.99816285883297</v>
      </c>
      <c r="AE25" s="687">
        <f t="shared" si="18"/>
        <v>-88.594240699804715</v>
      </c>
      <c r="AG25" s="686">
        <f t="shared" si="19"/>
        <v>49.095647999798246</v>
      </c>
      <c r="AH25" s="687">
        <f t="shared" si="20"/>
        <v>-0.88783690922662395</v>
      </c>
      <c r="AJ25" s="170">
        <f t="shared" si="21"/>
        <v>0</v>
      </c>
      <c r="AK25" s="170">
        <f t="shared" si="22"/>
        <v>0</v>
      </c>
      <c r="AM25" s="170" t="str">
        <f t="shared" si="26"/>
        <v>5.27676402573007E-09+0.000102730363984649i</v>
      </c>
      <c r="AN25" s="170" t="str">
        <f t="shared" si="27"/>
        <v>0.000102730364165344i</v>
      </c>
      <c r="AO25" s="170" t="str">
        <f t="shared" si="28"/>
        <v>0.999999998241075-0.0000513651836884093i</v>
      </c>
      <c r="AP25" s="170" t="str">
        <f t="shared" si="29"/>
        <v>0.166666665787206-0.0000171217273307748i</v>
      </c>
      <c r="AQ25" s="170" t="str">
        <f t="shared" si="30"/>
        <v>0.833333334212794+0.0000171217273307748i</v>
      </c>
      <c r="AR25" s="170" t="str">
        <f t="shared" si="31"/>
        <v>0.999599998523097-0.0000205378543157917i</v>
      </c>
    </row>
    <row r="26" spans="1:44" ht="13">
      <c r="A26" s="333" t="s">
        <v>746</v>
      </c>
      <c r="B26" s="711">
        <f>IF(MODE=2,('Design Converter'!E35*'Design Converter'!E34+'Design Converter'!L34*'Design Converter'!L35)/Cout_sec,'Design Converter'!E35)</f>
        <v>2</v>
      </c>
      <c r="C26" s="170" t="s">
        <v>748</v>
      </c>
      <c r="D26" s="189">
        <f>B26*0.001</f>
        <v>2E-3</v>
      </c>
      <c r="E26" s="706" t="s">
        <v>45</v>
      </c>
      <c r="G26" s="688">
        <v>3.3113000000000001</v>
      </c>
      <c r="H26" s="676">
        <f t="shared" si="23"/>
        <v>3.3113000000000001E-3</v>
      </c>
      <c r="I26" s="677">
        <f t="shared" si="0"/>
        <v>1.0001453521803225</v>
      </c>
      <c r="J26" s="678">
        <f t="shared" si="1"/>
        <v>1.7049022051658157E-2</v>
      </c>
      <c r="K26" s="678">
        <f t="shared" si="2"/>
        <v>1.0000000000019125</v>
      </c>
      <c r="L26" s="679">
        <f t="shared" si="3"/>
        <v>1.9557180794831669E-6</v>
      </c>
      <c r="M26" s="678">
        <f t="shared" si="4"/>
        <v>1.0000000002386351</v>
      </c>
      <c r="N26" s="679">
        <f t="shared" si="5"/>
        <v>-2.184651271743869E-5</v>
      </c>
      <c r="O26" s="677">
        <f t="shared" si="6"/>
        <v>62.42454463555589</v>
      </c>
      <c r="P26" s="680">
        <f t="shared" si="7"/>
        <v>1.554776301648483</v>
      </c>
      <c r="Q26" s="689">
        <f t="shared" si="8"/>
        <v>1.0000296294651874</v>
      </c>
      <c r="R26" s="690">
        <f t="shared" si="9"/>
        <v>7.6978871930024088E-3</v>
      </c>
      <c r="S26" s="677">
        <f t="shared" si="10"/>
        <v>1.0000000015360142</v>
      </c>
      <c r="T26" s="680">
        <f t="shared" si="11"/>
        <v>5.5425882536326332E-5</v>
      </c>
      <c r="U26" s="681">
        <f t="shared" si="24"/>
        <v>0.99959999794965149</v>
      </c>
      <c r="V26" s="682">
        <f t="shared" si="25"/>
        <v>-7.8847598272740281E-5</v>
      </c>
      <c r="W26" s="683">
        <f t="shared" si="12"/>
        <v>73.106097153117801</v>
      </c>
      <c r="X26" s="684">
        <f t="shared" si="13"/>
        <v>-89.626733797223963</v>
      </c>
      <c r="Y26" s="687">
        <f t="shared" si="14"/>
        <v>90.373266202776037</v>
      </c>
      <c r="AA26" s="170">
        <f t="shared" si="15"/>
        <v>1000000000</v>
      </c>
      <c r="AB26" s="170">
        <f t="shared" si="16"/>
        <v>10.964707690000001</v>
      </c>
      <c r="AD26" s="686">
        <f t="shared" si="17"/>
        <v>69.19859978289675</v>
      </c>
      <c r="AE26" s="687">
        <f t="shared" si="18"/>
        <v>-88.644239494526133</v>
      </c>
      <c r="AG26" s="686">
        <f t="shared" si="19"/>
        <v>49.09543568451214</v>
      </c>
      <c r="AH26" s="687">
        <f t="shared" si="20"/>
        <v>-0.9734590334759684</v>
      </c>
      <c r="AJ26" s="170">
        <f t="shared" si="21"/>
        <v>0</v>
      </c>
      <c r="AK26" s="170">
        <f t="shared" si="22"/>
        <v>0</v>
      </c>
      <c r="AM26" s="170" t="str">
        <f t="shared" si="26"/>
        <v>6.34382002484557E-09+0.000112639421901118i</v>
      </c>
      <c r="AN26" s="170" t="str">
        <f t="shared" si="27"/>
        <v>0.000112639422139306i</v>
      </c>
      <c r="AO26" s="170" t="str">
        <f t="shared" si="28"/>
        <v>0.999999997885394-0.0000563197138653632i</v>
      </c>
      <c r="AP26" s="170" t="str">
        <f t="shared" si="29"/>
        <v>0.166666665609363-0.0000187732369835197i</v>
      </c>
      <c r="AQ26" s="170" t="str">
        <f t="shared" si="30"/>
        <v>0.833333334390637+0.0000187732369835197i</v>
      </c>
      <c r="AR26" s="170" t="str">
        <f t="shared" si="31"/>
        <v>0.99959999822444-0.0000225188731579008i</v>
      </c>
    </row>
    <row r="27" spans="1:44">
      <c r="A27" s="170" t="s">
        <v>740</v>
      </c>
      <c r="B27" s="717">
        <f>Cout_sec/Npri_sec^2</f>
        <v>105.64432925965802</v>
      </c>
      <c r="C27" s="170" t="s">
        <v>749</v>
      </c>
      <c r="D27" s="709">
        <f>Cout_pri*0.000001</f>
        <v>1.0564432925965801E-4</v>
      </c>
      <c r="E27" s="170" t="s">
        <v>13</v>
      </c>
      <c r="G27" s="688">
        <v>3.6307999999999998</v>
      </c>
      <c r="H27" s="676">
        <f t="shared" si="23"/>
        <v>3.6308E-3</v>
      </c>
      <c r="I27" s="677">
        <f t="shared" si="0"/>
        <v>1.000174752244452</v>
      </c>
      <c r="J27" s="678">
        <f t="shared" si="1"/>
        <v>1.8693678055638936E-2</v>
      </c>
      <c r="K27" s="678">
        <f t="shared" si="2"/>
        <v>1.0000000000022993</v>
      </c>
      <c r="L27" s="679">
        <f t="shared" si="3"/>
        <v>2.1444209835972732E-6</v>
      </c>
      <c r="M27" s="678">
        <f t="shared" si="4"/>
        <v>1.0000000002869074</v>
      </c>
      <c r="N27" s="679">
        <f t="shared" si="5"/>
        <v>-2.3954434322448501E-5</v>
      </c>
      <c r="O27" s="677">
        <f t="shared" si="6"/>
        <v>68.446272951229147</v>
      </c>
      <c r="P27" s="680">
        <f t="shared" si="7"/>
        <v>1.5561858076877901</v>
      </c>
      <c r="Q27" s="689">
        <f t="shared" si="8"/>
        <v>1.0000356229684608</v>
      </c>
      <c r="R27" s="690">
        <f t="shared" si="9"/>
        <v>8.4406055465667002E-3</v>
      </c>
      <c r="S27" s="677">
        <f t="shared" si="10"/>
        <v>1.0000000018467274</v>
      </c>
      <c r="T27" s="680">
        <f t="shared" si="11"/>
        <v>6.0773803119985584E-5</v>
      </c>
      <c r="U27" s="681">
        <f t="shared" si="24"/>
        <v>0.99959999753489814</v>
      </c>
      <c r="V27" s="682">
        <f t="shared" si="25"/>
        <v>-8.6455423322120425E-5</v>
      </c>
      <c r="W27" s="683">
        <f t="shared" si="12"/>
        <v>72.306005443228685</v>
      </c>
      <c r="X27" s="684">
        <f t="shared" si="13"/>
        <v>-89.76002203805632</v>
      </c>
      <c r="Y27" s="687">
        <f t="shared" si="14"/>
        <v>90.23997796194368</v>
      </c>
      <c r="AA27" s="170">
        <f t="shared" si="15"/>
        <v>1000000000</v>
      </c>
      <c r="AB27" s="170">
        <f t="shared" si="16"/>
        <v>13.182708639999998</v>
      </c>
      <c r="AD27" s="686">
        <f t="shared" si="17"/>
        <v>68.398763401036021</v>
      </c>
      <c r="AE27" s="687">
        <f t="shared" si="18"/>
        <v>-88.682750028073116</v>
      </c>
      <c r="AG27" s="686">
        <f t="shared" si="19"/>
        <v>49.095180363691647</v>
      </c>
      <c r="AH27" s="687">
        <f t="shared" si="20"/>
        <v>-1.0673649482271419</v>
      </c>
      <c r="AJ27" s="170">
        <f t="shared" si="21"/>
        <v>0</v>
      </c>
      <c r="AK27" s="170">
        <f t="shared" si="22"/>
        <v>0</v>
      </c>
      <c r="AM27" s="170" t="str">
        <f t="shared" si="26"/>
        <v>7.62708196599959E-09+0.000123507750087168i</v>
      </c>
      <c r="AN27" s="170" t="str">
        <f t="shared" si="27"/>
        <v>0.000123507750401169i</v>
      </c>
      <c r="AO27" s="170" t="str">
        <f t="shared" si="28"/>
        <v>0.999999997457641-0.0000617538732688908i</v>
      </c>
      <c r="AP27" s="170" t="str">
        <f t="shared" si="29"/>
        <v>0.166666665395486-0.000020584625014528i</v>
      </c>
      <c r="AQ27" s="170" t="str">
        <f t="shared" si="30"/>
        <v>0.833333334604514+0.000020584625014528i</v>
      </c>
      <c r="AR27" s="170" t="str">
        <f t="shared" si="31"/>
        <v>0.999599997865271-0.0000246916693070304i</v>
      </c>
    </row>
    <row r="28" spans="1:44">
      <c r="B28" s="633"/>
      <c r="D28" s="189"/>
      <c r="G28" s="688">
        <v>3.9811000000000001</v>
      </c>
      <c r="H28" s="676">
        <f t="shared" si="23"/>
        <v>3.9811000000000004E-3</v>
      </c>
      <c r="I28" s="677">
        <f t="shared" si="0"/>
        <v>1.0002100954311677</v>
      </c>
      <c r="J28" s="678">
        <f t="shared" si="1"/>
        <v>2.0496763371441306E-2</v>
      </c>
      <c r="K28" s="678">
        <f t="shared" si="2"/>
        <v>1.0000000000027645</v>
      </c>
      <c r="L28" s="679">
        <f t="shared" si="3"/>
        <v>2.3513149657916868E-6</v>
      </c>
      <c r="M28" s="678">
        <f t="shared" si="4"/>
        <v>1.0000000003449399</v>
      </c>
      <c r="N28" s="679">
        <f t="shared" si="5"/>
        <v>-2.626556088944867E-5</v>
      </c>
      <c r="O28" s="677">
        <f t="shared" si="6"/>
        <v>75.04862963607026</v>
      </c>
      <c r="P28" s="680">
        <f t="shared" si="7"/>
        <v>1.5574712388025185</v>
      </c>
      <c r="Q28" s="689">
        <f t="shared" si="8"/>
        <v>1.0000428282236118</v>
      </c>
      <c r="R28" s="690">
        <f t="shared" si="9"/>
        <v>9.2549116819563154E-3</v>
      </c>
      <c r="S28" s="677">
        <f t="shared" si="10"/>
        <v>1.0000000022202626</v>
      </c>
      <c r="T28" s="680">
        <f t="shared" si="11"/>
        <v>6.6637266591584304E-5</v>
      </c>
      <c r="U28" s="681">
        <f t="shared" si="24"/>
        <v>0.99959999703628655</v>
      </c>
      <c r="V28" s="682">
        <f t="shared" si="25"/>
        <v>-9.4796656552722608E-5</v>
      </c>
      <c r="W28" s="683">
        <f t="shared" si="12"/>
        <v>71.50590185497596</v>
      </c>
      <c r="X28" s="684">
        <f t="shared" si="13"/>
        <v>-89.891259122659591</v>
      </c>
      <c r="Y28" s="687">
        <f t="shared" si="14"/>
        <v>90.108740877340409</v>
      </c>
      <c r="AA28" s="170">
        <f t="shared" si="15"/>
        <v>1000000000</v>
      </c>
      <c r="AB28" s="170">
        <f t="shared" si="16"/>
        <v>15.849157210000001</v>
      </c>
      <c r="AD28" s="686">
        <f t="shared" si="17"/>
        <v>67.598966744566852</v>
      </c>
      <c r="AE28" s="687">
        <f t="shared" si="18"/>
        <v>-88.710079452753888</v>
      </c>
      <c r="AG28" s="686">
        <f t="shared" si="19"/>
        <v>49.094873440573323</v>
      </c>
      <c r="AH28" s="687">
        <f t="shared" si="20"/>
        <v>-1.1703167732284461</v>
      </c>
      <c r="AJ28" s="170">
        <f t="shared" si="21"/>
        <v>0</v>
      </c>
      <c r="AK28" s="170">
        <f t="shared" si="22"/>
        <v>0</v>
      </c>
      <c r="AM28" s="170" t="str">
        <f t="shared" si="26"/>
        <v>9.16980202880779E-09+0.000135423791896876i</v>
      </c>
      <c r="AN28" s="170" t="str">
        <f t="shared" si="27"/>
        <v>0.000135423792310812i</v>
      </c>
      <c r="AO28" s="170" t="str">
        <f t="shared" si="28"/>
        <v>0.999999996943403-0.0000677118981261588i</v>
      </c>
      <c r="AP28" s="170" t="str">
        <f t="shared" si="29"/>
        <v>0.166666665138366-0.0000225706319828127i</v>
      </c>
      <c r="AQ28" s="170" t="str">
        <f t="shared" si="30"/>
        <v>0.833333334861634+0.0000225706319828127i</v>
      </c>
      <c r="AR28" s="170" t="str">
        <f t="shared" si="31"/>
        <v>0.999599997433482-0.0000270739243568575i</v>
      </c>
    </row>
    <row r="29" spans="1:44">
      <c r="B29" s="633"/>
      <c r="D29" s="189"/>
      <c r="G29" s="688">
        <v>4.3651999999999997</v>
      </c>
      <c r="H29" s="676">
        <f t="shared" si="23"/>
        <v>4.3651999999999996E-3</v>
      </c>
      <c r="I29" s="677">
        <f t="shared" si="0"/>
        <v>1.0002525861319562</v>
      </c>
      <c r="J29" s="678">
        <f t="shared" si="1"/>
        <v>2.2473672461410719E-2</v>
      </c>
      <c r="K29" s="678">
        <f t="shared" si="2"/>
        <v>1.0000000000033236</v>
      </c>
      <c r="L29" s="679">
        <f t="shared" si="3"/>
        <v>2.5781718843209279E-6</v>
      </c>
      <c r="M29" s="678">
        <f t="shared" si="4"/>
        <v>1.0000000004147109</v>
      </c>
      <c r="N29" s="679">
        <f t="shared" si="5"/>
        <v>-2.8799685109464291E-5</v>
      </c>
      <c r="O29" s="677">
        <f t="shared" si="6"/>
        <v>82.288157847481486</v>
      </c>
      <c r="P29" s="680">
        <f t="shared" si="7"/>
        <v>1.5586436107621862</v>
      </c>
      <c r="Q29" s="689">
        <f t="shared" si="8"/>
        <v>1.0000514908783564</v>
      </c>
      <c r="R29" s="690">
        <f t="shared" si="9"/>
        <v>1.0147775029841962E-2</v>
      </c>
      <c r="S29" s="677">
        <f t="shared" si="10"/>
        <v>1.0000000026693558</v>
      </c>
      <c r="T29" s="680">
        <f t="shared" si="11"/>
        <v>7.3066488166208867E-5</v>
      </c>
      <c r="U29" s="681">
        <f t="shared" si="24"/>
        <v>0.9995999964368153</v>
      </c>
      <c r="V29" s="682">
        <f t="shared" si="25"/>
        <v>-1.039427163580942E-4</v>
      </c>
      <c r="W29" s="683">
        <f t="shared" si="12"/>
        <v>70.705716632010891</v>
      </c>
      <c r="X29" s="684">
        <f t="shared" si="13"/>
        <v>-90.021566928503844</v>
      </c>
      <c r="Y29" s="687">
        <f t="shared" si="14"/>
        <v>89.978433071496156</v>
      </c>
      <c r="AA29" s="170">
        <f t="shared" si="15"/>
        <v>1000000000</v>
      </c>
      <c r="AB29" s="170">
        <f t="shared" si="16"/>
        <v>19.054971039999998</v>
      </c>
      <c r="AD29" s="686">
        <f t="shared" si="17"/>
        <v>66.799150510376592</v>
      </c>
      <c r="AE29" s="687">
        <f t="shared" si="18"/>
        <v>-88.726462483827063</v>
      </c>
      <c r="AG29" s="686">
        <f t="shared" si="19"/>
        <v>49.094504462216563</v>
      </c>
      <c r="AH29" s="687">
        <f t="shared" si="20"/>
        <v>-1.2831934867462838</v>
      </c>
      <c r="AJ29" s="170">
        <f t="shared" si="21"/>
        <v>0</v>
      </c>
      <c r="AK29" s="170">
        <f t="shared" si="22"/>
        <v>0</v>
      </c>
      <c r="AM29" s="170" t="str">
        <f t="shared" si="26"/>
        <v>1.1024580026664E-08+0.000148489597353183i</v>
      </c>
      <c r="AN29" s="170" t="str">
        <f t="shared" si="27"/>
        <v>0.000148489597898861i</v>
      </c>
      <c r="AO29" s="170" t="str">
        <f t="shared" si="28"/>
        <v>0.999999996325143-0.00007424479682525i</v>
      </c>
      <c r="AP29" s="170" t="str">
        <f t="shared" si="29"/>
        <v>0.166666664829237-0.0000247482662255305i</v>
      </c>
      <c r="AQ29" s="170" t="str">
        <f t="shared" si="30"/>
        <v>0.833333335170763+0.0000247482662255305i</v>
      </c>
      <c r="AR29" s="170" t="str">
        <f t="shared" si="31"/>
        <v>0.999599996914353-0.0000296860401457558i</v>
      </c>
    </row>
    <row r="30" spans="1:44">
      <c r="A30" s="170" t="s">
        <v>18</v>
      </c>
      <c r="B30" s="714">
        <f>Vref</f>
        <v>1</v>
      </c>
      <c r="C30" s="170" t="s">
        <v>0</v>
      </c>
      <c r="D30" s="189"/>
      <c r="G30" s="688">
        <v>4.7862999999999998</v>
      </c>
      <c r="H30" s="676">
        <f t="shared" si="23"/>
        <v>4.7862999999999994E-3</v>
      </c>
      <c r="I30" s="677">
        <f t="shared" si="0"/>
        <v>1.0003036616533487</v>
      </c>
      <c r="J30" s="678">
        <f t="shared" si="1"/>
        <v>2.4640812943382728E-2</v>
      </c>
      <c r="K30" s="678">
        <f t="shared" si="2"/>
        <v>1.0000000000039955</v>
      </c>
      <c r="L30" s="679">
        <f t="shared" si="3"/>
        <v>2.82688172132313E-6</v>
      </c>
      <c r="M30" s="678">
        <f t="shared" si="4"/>
        <v>1.0000000004985825</v>
      </c>
      <c r="N30" s="679">
        <f t="shared" si="5"/>
        <v>-3.1577919186227769E-5</v>
      </c>
      <c r="O30" s="677">
        <f t="shared" si="6"/>
        <v>90.225171265150706</v>
      </c>
      <c r="P30" s="680">
        <f t="shared" si="7"/>
        <v>1.5597127182999808</v>
      </c>
      <c r="Q30" s="689">
        <f t="shared" si="8"/>
        <v>1.0000619041234637</v>
      </c>
      <c r="R30" s="690">
        <f t="shared" si="9"/>
        <v>1.112662843800807E-2</v>
      </c>
      <c r="S30" s="677">
        <f t="shared" si="10"/>
        <v>1.0000000032092091</v>
      </c>
      <c r="T30" s="680">
        <f t="shared" si="11"/>
        <v>8.0115030739499041E-5</v>
      </c>
      <c r="U30" s="681">
        <f t="shared" si="24"/>
        <v>0.99959999571619063</v>
      </c>
      <c r="V30" s="682">
        <f t="shared" si="25"/>
        <v>-1.1396981625464105E-4</v>
      </c>
      <c r="W30" s="683">
        <f t="shared" si="12"/>
        <v>69.905556050873813</v>
      </c>
      <c r="X30" s="684">
        <f t="shared" si="13"/>
        <v>-90.152029405902312</v>
      </c>
      <c r="Y30" s="687">
        <f t="shared" si="14"/>
        <v>89.847970594097688</v>
      </c>
      <c r="AA30" s="170">
        <f t="shared" si="15"/>
        <v>1000000000</v>
      </c>
      <c r="AB30" s="170">
        <f t="shared" si="16"/>
        <v>22.908667689999998</v>
      </c>
      <c r="AD30" s="686">
        <f t="shared" si="17"/>
        <v>65.999433447757511</v>
      </c>
      <c r="AE30" s="687">
        <f t="shared" si="18"/>
        <v>-88.732037516285942</v>
      </c>
      <c r="AG30" s="686">
        <f t="shared" si="19"/>
        <v>49.094060956222108</v>
      </c>
      <c r="AH30" s="687">
        <f t="shared" si="20"/>
        <v>-1.4069319106749048</v>
      </c>
      <c r="AJ30" s="170">
        <f t="shared" si="21"/>
        <v>0</v>
      </c>
      <c r="AK30" s="170">
        <f t="shared" si="22"/>
        <v>0</v>
      </c>
      <c r="AM30" s="170" t="str">
        <f t="shared" si="26"/>
        <v>1.32542029573912E-08+0.000162814019811997i</v>
      </c>
      <c r="AN30" s="170" t="str">
        <f t="shared" si="27"/>
        <v>0.00016281402053132i</v>
      </c>
      <c r="AO30" s="170" t="str">
        <f t="shared" si="28"/>
        <v>0.999999995581934-0.0000814070122102386i</v>
      </c>
      <c r="AP30" s="170" t="str">
        <f t="shared" si="29"/>
        <v>0.166666664457633-0.0000271356699686662i</v>
      </c>
      <c r="AQ30" s="170" t="str">
        <f t="shared" si="30"/>
        <v>0.833333335542367+0.0000271356699686662i</v>
      </c>
      <c r="AR30" s="170" t="str">
        <f t="shared" si="31"/>
        <v>0.999599996290308-0.0000325497786337322i</v>
      </c>
    </row>
    <row r="31" spans="1:44">
      <c r="A31" s="170" t="s">
        <v>745</v>
      </c>
      <c r="B31" s="714">
        <v>600</v>
      </c>
      <c r="C31" s="170" t="s">
        <v>753</v>
      </c>
      <c r="D31" s="708">
        <f>B31*0.000001</f>
        <v>5.9999999999999995E-4</v>
      </c>
      <c r="E31" s="170" t="s">
        <v>754</v>
      </c>
      <c r="G31" s="688">
        <v>5.2481</v>
      </c>
      <c r="H31" s="676">
        <f t="shared" si="23"/>
        <v>5.2481000000000003E-3</v>
      </c>
      <c r="I31" s="677">
        <f t="shared" si="0"/>
        <v>1.0003650740720376</v>
      </c>
      <c r="J31" s="678">
        <f t="shared" si="1"/>
        <v>2.701714421357335E-2</v>
      </c>
      <c r="K31" s="678">
        <f t="shared" si="2"/>
        <v>1.0000000000048037</v>
      </c>
      <c r="L31" s="679">
        <f t="shared" si="3"/>
        <v>3.0996297686454937E-6</v>
      </c>
      <c r="M31" s="678">
        <f t="shared" si="4"/>
        <v>1.0000000005994341</v>
      </c>
      <c r="N31" s="679">
        <f t="shared" si="5"/>
        <v>-3.4624674105279578E-5</v>
      </c>
      <c r="O31" s="677">
        <f t="shared" si="6"/>
        <v>98.929408556755803</v>
      </c>
      <c r="P31" s="680">
        <f t="shared" si="7"/>
        <v>1.5606879369367528</v>
      </c>
      <c r="Q31" s="689">
        <f t="shared" si="8"/>
        <v>1.000074425409119</v>
      </c>
      <c r="R31" s="690">
        <f t="shared" si="9"/>
        <v>1.2200065037597947E-2</v>
      </c>
      <c r="S31" s="677">
        <f t="shared" si="10"/>
        <v>1.0000000038583567</v>
      </c>
      <c r="T31" s="680">
        <f t="shared" si="11"/>
        <v>8.7844826409127729E-5</v>
      </c>
      <c r="U31" s="681">
        <f t="shared" si="24"/>
        <v>0.9995999948496751</v>
      </c>
      <c r="V31" s="682">
        <f t="shared" si="25"/>
        <v>-1.2496604643747426E-4</v>
      </c>
      <c r="W31" s="683">
        <f t="shared" si="12"/>
        <v>69.105177595006921</v>
      </c>
      <c r="X31" s="684">
        <f t="shared" si="13"/>
        <v>-90.283787544952403</v>
      </c>
      <c r="Y31" s="687">
        <f t="shared" si="14"/>
        <v>89.716212455047597</v>
      </c>
      <c r="AA31" s="170">
        <f t="shared" si="15"/>
        <v>1000000000</v>
      </c>
      <c r="AB31" s="170">
        <f t="shared" si="16"/>
        <v>27.542553609999999</v>
      </c>
      <c r="AD31" s="686">
        <f t="shared" si="17"/>
        <v>65.199588241728989</v>
      </c>
      <c r="AE31" s="687">
        <f t="shared" si="18"/>
        <v>-88.726852926206547</v>
      </c>
      <c r="AG31" s="686">
        <f t="shared" si="19"/>
        <v>49.093527721442669</v>
      </c>
      <c r="AH31" s="687">
        <f t="shared" si="20"/>
        <v>-1.5426145646428895</v>
      </c>
      <c r="AJ31" s="170">
        <f t="shared" si="21"/>
        <v>0</v>
      </c>
      <c r="AK31" s="170">
        <f t="shared" si="22"/>
        <v>0</v>
      </c>
      <c r="AM31" s="170" t="str">
        <f t="shared" si="26"/>
        <v>1.59352170348015E-08+0.000178522920964363i</v>
      </c>
      <c r="AN31" s="170" t="str">
        <f t="shared" si="27"/>
        <v>0.00017852292191263i</v>
      </c>
      <c r="AO31" s="170" t="str">
        <f t="shared" si="28"/>
        <v>0.999999994688262-0.0000892614621364996i</v>
      </c>
      <c r="AP31" s="170" t="str">
        <f t="shared" si="29"/>
        <v>0.166666664010797-0.0000297538201607272i</v>
      </c>
      <c r="AQ31" s="170" t="str">
        <f t="shared" si="30"/>
        <v>0.833333335989203+0.0000297538201607272i</v>
      </c>
      <c r="AR31" s="170" t="str">
        <f t="shared" si="31"/>
        <v>0.999599995539924-0.0000356903020862038i</v>
      </c>
    </row>
    <row r="32" spans="1:44">
      <c r="A32" s="170" t="s">
        <v>741</v>
      </c>
      <c r="B32" s="714">
        <v>300</v>
      </c>
      <c r="C32" s="706" t="s">
        <v>747</v>
      </c>
      <c r="D32" s="708">
        <f>B32*1000000</f>
        <v>300000000</v>
      </c>
      <c r="E32" s="706" t="s">
        <v>45</v>
      </c>
      <c r="G32" s="688">
        <v>5.7544000000000004</v>
      </c>
      <c r="H32" s="676">
        <f t="shared" si="23"/>
        <v>5.7544000000000007E-3</v>
      </c>
      <c r="I32" s="677">
        <f t="shared" si="0"/>
        <v>1.0004388952233436</v>
      </c>
      <c r="J32" s="678">
        <f t="shared" si="1"/>
        <v>2.9622111986148676E-2</v>
      </c>
      <c r="K32" s="678">
        <f t="shared" si="2"/>
        <v>1.0000000000057754</v>
      </c>
      <c r="L32" s="679">
        <f t="shared" si="3"/>
        <v>3.3986603800769949E-6</v>
      </c>
      <c r="M32" s="678">
        <f t="shared" si="4"/>
        <v>1.0000000007206713</v>
      </c>
      <c r="N32" s="679">
        <f t="shared" si="5"/>
        <v>-3.7965020608471045E-5</v>
      </c>
      <c r="O32" s="677">
        <f t="shared" si="6"/>
        <v>108.47249403238375</v>
      </c>
      <c r="P32" s="680">
        <f t="shared" si="7"/>
        <v>1.5615772692427372</v>
      </c>
      <c r="Q32" s="689">
        <f t="shared" si="8"/>
        <v>1.000089477502474</v>
      </c>
      <c r="R32" s="690">
        <f t="shared" si="9"/>
        <v>1.337690779893109E-2</v>
      </c>
      <c r="S32" s="677">
        <f t="shared" si="10"/>
        <v>1.0000000046387212</v>
      </c>
      <c r="T32" s="680">
        <f t="shared" si="11"/>
        <v>9.6319481112346343E-5</v>
      </c>
      <c r="U32" s="681">
        <f t="shared" si="24"/>
        <v>0.99959999380800479</v>
      </c>
      <c r="V32" s="682">
        <f t="shared" si="25"/>
        <v>-1.3702189443208759E-4</v>
      </c>
      <c r="W32" s="683">
        <f t="shared" si="12"/>
        <v>68.304783105249157</v>
      </c>
      <c r="X32" s="684">
        <f t="shared" si="13"/>
        <v>-90.417918634305096</v>
      </c>
      <c r="Y32" s="687">
        <f t="shared" si="14"/>
        <v>89.582081365694904</v>
      </c>
      <c r="AA32" s="170">
        <f t="shared" si="15"/>
        <v>1000000000</v>
      </c>
      <c r="AB32" s="170">
        <f t="shared" si="16"/>
        <v>33.113119360000006</v>
      </c>
      <c r="AD32" s="686">
        <f t="shared" si="17"/>
        <v>64.39983470468475</v>
      </c>
      <c r="AE32" s="687">
        <f t="shared" si="18"/>
        <v>-88.710865352478237</v>
      </c>
      <c r="AG32" s="686">
        <f t="shared" si="19"/>
        <v>49.092886786832068</v>
      </c>
      <c r="AH32" s="687">
        <f t="shared" si="20"/>
        <v>-1.6913517293052287</v>
      </c>
      <c r="AJ32" s="170">
        <f t="shared" si="21"/>
        <v>0</v>
      </c>
      <c r="AK32" s="170">
        <f t="shared" si="22"/>
        <v>0</v>
      </c>
      <c r="AM32" s="170" t="str">
        <f t="shared" si="26"/>
        <v>1.91581629449544E-08+0.000195745564164877i</v>
      </c>
      <c r="AN32" s="170" t="str">
        <f t="shared" si="27"/>
        <v>0.000195745565414919i</v>
      </c>
      <c r="AO32" s="170" t="str">
        <f t="shared" si="28"/>
        <v>0.999999993613945-0.0000978727814566073i</v>
      </c>
      <c r="AP32" s="170" t="str">
        <f t="shared" si="29"/>
        <v>0.16666666347364-0.0000326242606941462i</v>
      </c>
      <c r="AQ32" s="170" t="str">
        <f t="shared" si="30"/>
        <v>0.83333333652636+0.0000326242606941462i</v>
      </c>
      <c r="AR32" s="170" t="str">
        <f t="shared" si="31"/>
        <v>0.999599994637861-0.0000391334528279743i</v>
      </c>
    </row>
    <row r="33" spans="1:44">
      <c r="A33" s="170" t="s">
        <v>771</v>
      </c>
      <c r="B33" s="633">
        <f>RCS/1000</f>
        <v>8.9999999999999993E-3</v>
      </c>
      <c r="C33" s="706" t="s">
        <v>45</v>
      </c>
      <c r="D33" s="189"/>
      <c r="G33" s="688">
        <v>6.3095999999999997</v>
      </c>
      <c r="H33" s="676">
        <f t="shared" si="23"/>
        <v>6.3095999999999994E-3</v>
      </c>
      <c r="I33" s="677">
        <f t="shared" si="0"/>
        <v>1.0005276490339523</v>
      </c>
      <c r="J33" s="678">
        <f t="shared" si="1"/>
        <v>3.247821199257786E-2</v>
      </c>
      <c r="K33" s="678">
        <f t="shared" si="2"/>
        <v>1.0000000000069438</v>
      </c>
      <c r="L33" s="679">
        <f t="shared" si="3"/>
        <v>3.7265722810574697E-6</v>
      </c>
      <c r="M33" s="678">
        <f t="shared" si="4"/>
        <v>1.0000000008664447</v>
      </c>
      <c r="N33" s="679">
        <f t="shared" si="5"/>
        <v>-4.1627987975797561E-5</v>
      </c>
      <c r="O33" s="677">
        <f t="shared" si="6"/>
        <v>118.93736187441593</v>
      </c>
      <c r="P33" s="680">
        <f t="shared" si="7"/>
        <v>1.5623884407746544</v>
      </c>
      <c r="Q33" s="689">
        <f t="shared" si="8"/>
        <v>1.0001075755275972</v>
      </c>
      <c r="R33" s="690">
        <f t="shared" si="9"/>
        <v>1.466737091214769E-2</v>
      </c>
      <c r="S33" s="677">
        <f t="shared" si="10"/>
        <v>1.0000000055770153</v>
      </c>
      <c r="T33" s="680">
        <f t="shared" si="11"/>
        <v>1.0561264382842742E-4</v>
      </c>
      <c r="U33" s="681">
        <f t="shared" si="24"/>
        <v>0.99959999255552512</v>
      </c>
      <c r="V33" s="682">
        <f t="shared" si="25"/>
        <v>-1.5024213644510221E-4</v>
      </c>
      <c r="W33" s="683">
        <f t="shared" si="12"/>
        <v>67.504196224621197</v>
      </c>
      <c r="X33" s="684">
        <f t="shared" si="13"/>
        <v>-90.555580733609588</v>
      </c>
      <c r="Y33" s="687">
        <f t="shared" si="14"/>
        <v>89.444419266390412</v>
      </c>
      <c r="AA33" s="170">
        <f t="shared" si="15"/>
        <v>1000000000</v>
      </c>
      <c r="AB33" s="170">
        <f t="shared" si="16"/>
        <v>39.811052159999996</v>
      </c>
      <c r="AD33" s="686">
        <f t="shared" si="17"/>
        <v>63.600018367090797</v>
      </c>
      <c r="AE33" s="687">
        <f t="shared" si="18"/>
        <v>-88.683936426684824</v>
      </c>
      <c r="AG33" s="686">
        <f t="shared" si="19"/>
        <v>49.092116265564556</v>
      </c>
      <c r="AH33" s="687">
        <f t="shared" si="20"/>
        <v>-1.8544278262584266</v>
      </c>
      <c r="AJ33" s="170">
        <f t="shared" si="21"/>
        <v>0</v>
      </c>
      <c r="AK33" s="170">
        <f t="shared" si="22"/>
        <v>0</v>
      </c>
      <c r="AM33" s="170" t="str">
        <f t="shared" si="26"/>
        <v>2.30333669914984E-08+0.000214631622768546i</v>
      </c>
      <c r="AN33" s="170" t="str">
        <f t="shared" si="27"/>
        <v>0.000214631624416442i</v>
      </c>
      <c r="AO33" s="170" t="str">
        <f t="shared" si="28"/>
        <v>0.999999992322212-0.000107315811703533i</v>
      </c>
      <c r="AP33" s="170" t="str">
        <f t="shared" si="29"/>
        <v>0.166666662827772-0.000035771937128091i</v>
      </c>
      <c r="AQ33" s="170" t="str">
        <f t="shared" si="30"/>
        <v>0.833333337172228+0.000035771937128091i</v>
      </c>
      <c r="AR33" s="170" t="str">
        <f t="shared" si="31"/>
        <v>0.999599993553237-0.0000429091535494834i</v>
      </c>
    </row>
    <row r="34" spans="1:44">
      <c r="A34" s="170" t="s">
        <v>752</v>
      </c>
      <c r="B34" s="715">
        <f>10*B33</f>
        <v>0.09</v>
      </c>
      <c r="C34" s="706" t="s">
        <v>45</v>
      </c>
      <c r="D34" s="189"/>
      <c r="E34" s="706"/>
      <c r="G34" s="688">
        <v>6.9183000000000003</v>
      </c>
      <c r="H34" s="676">
        <f t="shared" si="23"/>
        <v>6.9183000000000005E-3</v>
      </c>
      <c r="I34" s="677">
        <f t="shared" si="0"/>
        <v>1.000634332719617</v>
      </c>
      <c r="J34" s="678">
        <f t="shared" si="1"/>
        <v>3.5608919838226644E-2</v>
      </c>
      <c r="K34" s="678">
        <f t="shared" si="2"/>
        <v>1.000000000008348</v>
      </c>
      <c r="L34" s="679">
        <f t="shared" si="3"/>
        <v>4.0860823209103207E-6</v>
      </c>
      <c r="M34" s="678">
        <f t="shared" si="4"/>
        <v>1.0000000010416839</v>
      </c>
      <c r="N34" s="679">
        <f t="shared" si="5"/>
        <v>-4.5643924999891431E-5</v>
      </c>
      <c r="O34" s="677">
        <f t="shared" si="6"/>
        <v>130.41071668006632</v>
      </c>
      <c r="P34" s="680">
        <f t="shared" si="7"/>
        <v>1.5631281701768722</v>
      </c>
      <c r="Q34" s="689">
        <f t="shared" si="8"/>
        <v>1.000129331372416</v>
      </c>
      <c r="R34" s="690">
        <f t="shared" si="9"/>
        <v>1.6082128908674723E-2</v>
      </c>
      <c r="S34" s="677">
        <f t="shared" si="10"/>
        <v>1.0000000067049719</v>
      </c>
      <c r="T34" s="680">
        <f t="shared" si="11"/>
        <v>1.1580131121604767E-4</v>
      </c>
      <c r="U34" s="681">
        <f t="shared" si="24"/>
        <v>0.99959999104986996</v>
      </c>
      <c r="V34" s="682">
        <f t="shared" si="25"/>
        <v>-1.6473630170855938E-4</v>
      </c>
      <c r="W34" s="683">
        <f t="shared" si="12"/>
        <v>66.703559438359022</v>
      </c>
      <c r="X34" s="684">
        <f t="shared" si="13"/>
        <v>-90.697904510683443</v>
      </c>
      <c r="Y34" s="687">
        <f t="shared" si="14"/>
        <v>89.302095489316557</v>
      </c>
      <c r="AA34" s="170">
        <f t="shared" si="15"/>
        <v>1000000000</v>
      </c>
      <c r="AB34" s="170">
        <f t="shared" si="16"/>
        <v>47.862874890000008</v>
      </c>
      <c r="AD34" s="686">
        <f t="shared" si="17"/>
        <v>62.800307697039884</v>
      </c>
      <c r="AE34" s="687">
        <f t="shared" si="18"/>
        <v>-88.645843904776896</v>
      </c>
      <c r="AG34" s="686">
        <f t="shared" si="19"/>
        <v>49.091190175519664</v>
      </c>
      <c r="AH34" s="687">
        <f t="shared" si="20"/>
        <v>-2.0331832162439873</v>
      </c>
      <c r="AJ34" s="170">
        <f t="shared" si="21"/>
        <v>0</v>
      </c>
      <c r="AK34" s="170">
        <f t="shared" si="22"/>
        <v>0</v>
      </c>
      <c r="AM34" s="170" t="str">
        <f t="shared" si="26"/>
        <v>2.76918870056875E-08+0.000235337573458514i</v>
      </c>
      <c r="AN34" s="170" t="str">
        <f t="shared" si="27"/>
        <v>0.000235337575630828i</v>
      </c>
      <c r="AO34" s="170" t="str">
        <f t="shared" si="28"/>
        <v>0.99999999076937-0.000117668786769213i</v>
      </c>
      <c r="AP34" s="170" t="str">
        <f t="shared" si="29"/>
        <v>0.166666662051352-0.0000392229289097523i</v>
      </c>
      <c r="AQ34" s="170" t="str">
        <f t="shared" si="30"/>
        <v>0.833333337948648+0.0000392229289097523i</v>
      </c>
      <c r="AR34" s="170" t="str">
        <f t="shared" si="31"/>
        <v>0.999599992249373-0.0000470486870604499i</v>
      </c>
    </row>
    <row r="35" spans="1:44">
      <c r="B35" s="633"/>
      <c r="D35" s="189"/>
      <c r="G35" s="688">
        <v>7.5857999999999999</v>
      </c>
      <c r="H35" s="676">
        <f t="shared" si="23"/>
        <v>7.5858000000000002E-3</v>
      </c>
      <c r="I35" s="677">
        <f t="shared" si="0"/>
        <v>1.000762593794952</v>
      </c>
      <c r="J35" s="678">
        <f t="shared" si="1"/>
        <v>3.9041247052241289E-2</v>
      </c>
      <c r="K35" s="678">
        <f t="shared" si="2"/>
        <v>1.0000000000100366</v>
      </c>
      <c r="L35" s="679">
        <f t="shared" si="3"/>
        <v>4.4803207825515823E-6</v>
      </c>
      <c r="M35" s="678">
        <f t="shared" si="4"/>
        <v>1.0000000012523911</v>
      </c>
      <c r="N35" s="679">
        <f t="shared" si="5"/>
        <v>-5.0047798767838741E-5</v>
      </c>
      <c r="O35" s="677">
        <f t="shared" si="6"/>
        <v>142.9924578768937</v>
      </c>
      <c r="P35" s="680">
        <f t="shared" si="7"/>
        <v>1.5638028939506416</v>
      </c>
      <c r="Q35" s="689">
        <f t="shared" si="8"/>
        <v>1.0001554899063347</v>
      </c>
      <c r="R35" s="690">
        <f t="shared" si="9"/>
        <v>1.7633477332347425E-2</v>
      </c>
      <c r="S35" s="677">
        <f t="shared" si="10"/>
        <v>1.0000000080612235</v>
      </c>
      <c r="T35" s="680">
        <f t="shared" si="11"/>
        <v>1.269741968154651E-4</v>
      </c>
      <c r="U35" s="681">
        <f t="shared" si="24"/>
        <v>0.99959998923947879</v>
      </c>
      <c r="V35" s="682">
        <f t="shared" si="25"/>
        <v>-1.8063059321416451E-4</v>
      </c>
      <c r="W35" s="683">
        <f t="shared" si="12"/>
        <v>65.902676313708952</v>
      </c>
      <c r="X35" s="684">
        <f t="shared" si="13"/>
        <v>-90.846116051659038</v>
      </c>
      <c r="Y35" s="687">
        <f t="shared" si="14"/>
        <v>89.153883948340962</v>
      </c>
      <c r="AA35" s="170">
        <f t="shared" si="15"/>
        <v>1000000000</v>
      </c>
      <c r="AB35" s="170">
        <f t="shared" si="16"/>
        <v>57.544361639999998</v>
      </c>
      <c r="AD35" s="686">
        <f t="shared" si="17"/>
        <v>62.000537870234929</v>
      </c>
      <c r="AE35" s="687">
        <f t="shared" si="18"/>
        <v>-88.596257171253484</v>
      </c>
      <c r="AG35" s="686">
        <f t="shared" si="19"/>
        <v>49.090076909136862</v>
      </c>
      <c r="AH35" s="687">
        <f t="shared" si="20"/>
        <v>-2.229160139097675</v>
      </c>
      <c r="AJ35" s="170">
        <f t="shared" si="21"/>
        <v>0</v>
      </c>
      <c r="AK35" s="170">
        <f t="shared" si="22"/>
        <v>0</v>
      </c>
      <c r="AM35" s="170" t="str">
        <f t="shared" si="26"/>
        <v>3.32932770241712E-08+0.000258043704581812i</v>
      </c>
      <c r="AN35" s="170" t="str">
        <f t="shared" si="27"/>
        <v>0.000258043707445519i</v>
      </c>
      <c r="AO35" s="170" t="str">
        <f t="shared" si="28"/>
        <v>0.999999988902241-0.000129021851971339i</v>
      </c>
      <c r="AP35" s="170" t="str">
        <f t="shared" si="29"/>
        <v>0.166666661117787-0.0000430072840969687i</v>
      </c>
      <c r="AQ35" s="170" t="str">
        <f t="shared" si="30"/>
        <v>0.833333338882213+0.0000430072840969687i</v>
      </c>
      <c r="AR35" s="170" t="str">
        <f t="shared" si="31"/>
        <v>0.999599990681611-0.0000515880965955782i</v>
      </c>
    </row>
    <row r="36" spans="1:44">
      <c r="B36" s="633"/>
      <c r="D36" s="189"/>
      <c r="G36" s="688">
        <v>8.3176000000000005</v>
      </c>
      <c r="H36" s="676">
        <f t="shared" si="23"/>
        <v>8.3176000000000014E-3</v>
      </c>
      <c r="I36" s="677">
        <f t="shared" si="0"/>
        <v>1.0009167545855273</v>
      </c>
      <c r="J36" s="678">
        <f t="shared" si="1"/>
        <v>4.2803148649980971E-2</v>
      </c>
      <c r="K36" s="678">
        <f t="shared" si="2"/>
        <v>1.0000000000120663</v>
      </c>
      <c r="L36" s="679">
        <f t="shared" si="3"/>
        <v>4.9125360727808021E-6</v>
      </c>
      <c r="M36" s="678">
        <f t="shared" si="4"/>
        <v>1.000000001505682</v>
      </c>
      <c r="N36" s="679">
        <f t="shared" si="5"/>
        <v>-5.4875895879285326E-5</v>
      </c>
      <c r="O36" s="677">
        <f t="shared" si="6"/>
        <v>156.78625524132968</v>
      </c>
      <c r="P36" s="680">
        <f t="shared" si="7"/>
        <v>1.5644181734380671</v>
      </c>
      <c r="Q36" s="689">
        <f t="shared" si="8"/>
        <v>1.0001869341552598</v>
      </c>
      <c r="R36" s="690">
        <f t="shared" si="9"/>
        <v>1.9334168696323321E-2</v>
      </c>
      <c r="S36" s="677">
        <f t="shared" si="10"/>
        <v>1.0000000096915722</v>
      </c>
      <c r="T36" s="680">
        <f t="shared" si="11"/>
        <v>1.3922336184508108E-4</v>
      </c>
      <c r="U36" s="681">
        <f t="shared" si="24"/>
        <v>0.99959998706321029</v>
      </c>
      <c r="V36" s="682">
        <f t="shared" si="25"/>
        <v>-1.9805597564805837E-4</v>
      </c>
      <c r="W36" s="683">
        <f t="shared" si="12"/>
        <v>65.101714335398157</v>
      </c>
      <c r="X36" s="684">
        <f t="shared" si="13"/>
        <v>-91.001419708575</v>
      </c>
      <c r="Y36" s="687">
        <f t="shared" si="14"/>
        <v>88.998580291425</v>
      </c>
      <c r="AA36" s="170">
        <f t="shared" si="15"/>
        <v>1000000000</v>
      </c>
      <c r="AB36" s="170">
        <f t="shared" si="16"/>
        <v>69.182469760000004</v>
      </c>
      <c r="AD36" s="686">
        <f t="shared" si="17"/>
        <v>61.200913808832667</v>
      </c>
      <c r="AE36" s="687">
        <f t="shared" si="18"/>
        <v>-88.534769477082264</v>
      </c>
      <c r="AG36" s="686">
        <f t="shared" si="19"/>
        <v>49.088739030049112</v>
      </c>
      <c r="AH36" s="687">
        <f t="shared" si="20"/>
        <v>-2.4439546884428491</v>
      </c>
      <c r="AJ36" s="170">
        <f t="shared" si="21"/>
        <v>0</v>
      </c>
      <c r="AK36" s="170">
        <f t="shared" si="22"/>
        <v>0</v>
      </c>
      <c r="AM36" s="170" t="str">
        <f t="shared" si="26"/>
        <v>4.00267039513125E-08+0.00028293710780832i</v>
      </c>
      <c r="AN36" s="170" t="str">
        <f t="shared" si="27"/>
        <v>0.000282937111583333i</v>
      </c>
      <c r="AO36" s="170" t="str">
        <f t="shared" si="28"/>
        <v>0.999999986657766-0.000141468553656043i</v>
      </c>
      <c r="AP36" s="170" t="str">
        <f t="shared" si="29"/>
        <v>0.166666659995549-0.00004715618463472i</v>
      </c>
      <c r="AQ36" s="170" t="str">
        <f t="shared" si="30"/>
        <v>0.833333340004451+0.00004715618463472i</v>
      </c>
      <c r="AR36" s="170" t="str">
        <f t="shared" si="31"/>
        <v>0.999599988797006-0.0000565647855062704i</v>
      </c>
    </row>
    <row r="37" spans="1:44">
      <c r="A37" s="189" t="s">
        <v>743</v>
      </c>
      <c r="B37" s="714">
        <f>'Design Converter'!E60*0.001</f>
        <v>3.6999999999999998E-2</v>
      </c>
      <c r="C37" s="706" t="s">
        <v>747</v>
      </c>
      <c r="D37" s="189">
        <f>B37*1000000</f>
        <v>37000</v>
      </c>
      <c r="E37" s="706" t="s">
        <v>45</v>
      </c>
      <c r="G37" s="688">
        <v>9.1201000000000008</v>
      </c>
      <c r="H37" s="676">
        <f t="shared" si="23"/>
        <v>9.1201000000000008E-3</v>
      </c>
      <c r="I37" s="677">
        <f t="shared" si="0"/>
        <v>1.0011020873193905</v>
      </c>
      <c r="J37" s="678">
        <f t="shared" si="1"/>
        <v>4.6927094660740194E-2</v>
      </c>
      <c r="K37" s="678">
        <f t="shared" si="2"/>
        <v>1.0000000000145073</v>
      </c>
      <c r="L37" s="679">
        <f t="shared" si="3"/>
        <v>5.3865081558737247E-6</v>
      </c>
      <c r="M37" s="678">
        <f t="shared" si="4"/>
        <v>1.0000000018102408</v>
      </c>
      <c r="N37" s="679">
        <f t="shared" si="5"/>
        <v>-6.0170440740965461E-5</v>
      </c>
      <c r="O37" s="677">
        <f t="shared" si="6"/>
        <v>171.91274324041493</v>
      </c>
      <c r="P37" s="680">
        <f t="shared" si="7"/>
        <v>1.5649793895473558</v>
      </c>
      <c r="Q37" s="689">
        <f t="shared" si="8"/>
        <v>1.0002247416626695</v>
      </c>
      <c r="R37" s="690">
        <f t="shared" si="9"/>
        <v>2.1199036773451904E-2</v>
      </c>
      <c r="S37" s="677">
        <f t="shared" si="10"/>
        <v>1.000000011651917</v>
      </c>
      <c r="T37" s="680">
        <f t="shared" si="11"/>
        <v>1.5265593208424512E-4</v>
      </c>
      <c r="U37" s="681">
        <f t="shared" si="24"/>
        <v>0.99959998444644449</v>
      </c>
      <c r="V37" s="682">
        <f t="shared" si="25"/>
        <v>-2.1716484557697177E-4</v>
      </c>
      <c r="W37" s="683">
        <f t="shared" si="12"/>
        <v>64.300432803236973</v>
      </c>
      <c r="X37" s="684">
        <f t="shared" si="13"/>
        <v>-91.165151340063218</v>
      </c>
      <c r="Y37" s="687">
        <f t="shared" si="14"/>
        <v>88.834848659936782</v>
      </c>
      <c r="AA37" s="170">
        <f t="shared" si="15"/>
        <v>1000000000</v>
      </c>
      <c r="AB37" s="170">
        <f t="shared" si="16"/>
        <v>83.176224010000013</v>
      </c>
      <c r="AD37" s="686">
        <f t="shared" si="17"/>
        <v>60.401240453113452</v>
      </c>
      <c r="AE37" s="687">
        <f t="shared" si="18"/>
        <v>-88.460845350869363</v>
      </c>
      <c r="AG37" s="686">
        <f t="shared" si="19"/>
        <v>49.087130899083192</v>
      </c>
      <c r="AH37" s="687">
        <f t="shared" si="20"/>
        <v>-2.6794207309450817</v>
      </c>
      <c r="AJ37" s="170">
        <f t="shared" si="21"/>
        <v>0</v>
      </c>
      <c r="AK37" s="170">
        <f t="shared" si="22"/>
        <v>0</v>
      </c>
      <c r="AM37" s="170" t="str">
        <f t="shared" si="26"/>
        <v>4.81230310045433E-08+0.000310235489799785i</v>
      </c>
      <c r="AN37" s="170" t="str">
        <f t="shared" si="27"/>
        <v>0.000310235494776276i</v>
      </c>
      <c r="AO37" s="170" t="str">
        <f t="shared" si="28"/>
        <v>0.999999983958989-0.000155117747049695i</v>
      </c>
      <c r="AP37" s="170" t="str">
        <f t="shared" si="29"/>
        <v>0.166666658646162-0.0000517059149666308i</v>
      </c>
      <c r="AQ37" s="170" t="str">
        <f t="shared" si="30"/>
        <v>0.833333341353838+0.0000517059149666308i</v>
      </c>
      <c r="AR37" s="170" t="str">
        <f t="shared" si="31"/>
        <v>0.999599986530942-0.0000620222776881171i</v>
      </c>
    </row>
    <row r="38" spans="1:44">
      <c r="A38" s="189" t="s">
        <v>744</v>
      </c>
      <c r="B38" s="714">
        <f>'Design Converter'!E62*1000</f>
        <v>10000</v>
      </c>
      <c r="C38" s="170" t="s">
        <v>15</v>
      </c>
      <c r="D38" s="189">
        <f>B38*0.000000000001</f>
        <v>1E-8</v>
      </c>
      <c r="E38" s="170" t="s">
        <v>13</v>
      </c>
      <c r="G38" s="688">
        <v>10</v>
      </c>
      <c r="H38" s="676">
        <f t="shared" si="23"/>
        <v>0.01</v>
      </c>
      <c r="I38" s="677">
        <f t="shared" si="0"/>
        <v>1.0013248553404095</v>
      </c>
      <c r="J38" s="678">
        <f t="shared" si="1"/>
        <v>5.144694919540678E-2</v>
      </c>
      <c r="K38" s="678">
        <f t="shared" si="2"/>
        <v>1.0000000000174416</v>
      </c>
      <c r="L38" s="679">
        <f t="shared" si="3"/>
        <v>5.9061941819313249E-6</v>
      </c>
      <c r="M38" s="678">
        <f t="shared" si="4"/>
        <v>1.0000000021763924</v>
      </c>
      <c r="N38" s="679">
        <f t="shared" si="5"/>
        <v>-6.5975637028407351E-5</v>
      </c>
      <c r="O38" s="677">
        <f t="shared" si="6"/>
        <v>188.49821156372408</v>
      </c>
      <c r="P38" s="680">
        <f t="shared" si="7"/>
        <v>1.5654912117891508</v>
      </c>
      <c r="Q38" s="689">
        <f t="shared" si="8"/>
        <v>1.0002701932656839</v>
      </c>
      <c r="R38" s="690">
        <f t="shared" si="9"/>
        <v>2.3243598805122528E-2</v>
      </c>
      <c r="S38" s="677">
        <f t="shared" si="10"/>
        <v>1.0000000140087111</v>
      </c>
      <c r="T38" s="680">
        <f t="shared" si="11"/>
        <v>1.6738405482877677E-4</v>
      </c>
      <c r="U38" s="681">
        <f t="shared" si="24"/>
        <v>0.99959998130047745</v>
      </c>
      <c r="V38" s="682">
        <f t="shared" si="25"/>
        <v>-2.3811673665720452E-4</v>
      </c>
      <c r="W38" s="683">
        <f t="shared" si="12"/>
        <v>63.498911583855914</v>
      </c>
      <c r="X38" s="684">
        <f t="shared" si="13"/>
        <v>-91.338647559694977</v>
      </c>
      <c r="Y38" s="687">
        <f t="shared" si="14"/>
        <v>88.661352440305023</v>
      </c>
      <c r="AA38" s="170">
        <f t="shared" si="15"/>
        <v>1000000000</v>
      </c>
      <c r="AB38" s="170">
        <f t="shared" si="16"/>
        <v>100</v>
      </c>
      <c r="AD38" s="686">
        <f t="shared" si="17"/>
        <v>59.601651851169891</v>
      </c>
      <c r="AE38" s="687">
        <f t="shared" si="18"/>
        <v>-88.373869688991746</v>
      </c>
      <c r="AG38" s="686">
        <f t="shared" si="19"/>
        <v>49.085198336318626</v>
      </c>
      <c r="AH38" s="687">
        <f t="shared" si="20"/>
        <v>-2.9374917025882681</v>
      </c>
      <c r="AJ38" s="170">
        <f t="shared" si="21"/>
        <v>0</v>
      </c>
      <c r="AK38" s="170">
        <f t="shared" si="22"/>
        <v>0</v>
      </c>
      <c r="AM38" s="170" t="str">
        <f t="shared" si="26"/>
        <v>5.78567149744913E-08+0.000340166762199106i</v>
      </c>
      <c r="AN38" s="170" t="str">
        <f t="shared" si="27"/>
        <v>0.000340166768759417i</v>
      </c>
      <c r="AO38" s="170" t="str">
        <f t="shared" si="28"/>
        <v>0.999999980714427-0.000170083383469508i</v>
      </c>
      <c r="AP38" s="170" t="str">
        <f t="shared" si="29"/>
        <v>0.166666657023881-0.0000566944603665177i</v>
      </c>
      <c r="AQ38" s="170" t="str">
        <f t="shared" si="30"/>
        <v>0.833333342976119+0.0000566944603665177i</v>
      </c>
      <c r="AR38" s="170" t="str">
        <f t="shared" si="31"/>
        <v>0.9995999838066-0.0000680061372102317i</v>
      </c>
    </row>
    <row r="39" spans="1:44">
      <c r="A39" s="189" t="s">
        <v>750</v>
      </c>
      <c r="B39" s="714">
        <f>'Design Converter'!E64</f>
        <v>72</v>
      </c>
      <c r="C39" s="170" t="s">
        <v>15</v>
      </c>
      <c r="D39" s="189">
        <f>B39*0.000000000001</f>
        <v>7.1999999999999997E-11</v>
      </c>
      <c r="E39" s="170" t="s">
        <v>13</v>
      </c>
      <c r="G39" s="688">
        <v>10.965</v>
      </c>
      <c r="H39" s="676">
        <f t="shared" si="23"/>
        <v>1.0964999999999999E-2</v>
      </c>
      <c r="I39" s="677">
        <f t="shared" si="0"/>
        <v>1.0015926766700471</v>
      </c>
      <c r="J39" s="678">
        <f t="shared" si="1"/>
        <v>5.6401519302623222E-2</v>
      </c>
      <c r="K39" s="678">
        <f t="shared" si="2"/>
        <v>1.0000000000209703</v>
      </c>
      <c r="L39" s="679">
        <f t="shared" si="3"/>
        <v>6.4761419204724633E-6</v>
      </c>
      <c r="M39" s="678">
        <f t="shared" si="4"/>
        <v>1.0000000026167031</v>
      </c>
      <c r="N39" s="679">
        <f t="shared" si="5"/>
        <v>-7.234228598041328E-5</v>
      </c>
      <c r="O39" s="677">
        <f t="shared" si="6"/>
        <v>206.68779956512753</v>
      </c>
      <c r="P39" s="680">
        <f t="shared" si="7"/>
        <v>1.5659580929778429</v>
      </c>
      <c r="Q39" s="689">
        <f t="shared" si="8"/>
        <v>1.0003248477971962</v>
      </c>
      <c r="R39" s="690">
        <f t="shared" si="9"/>
        <v>2.5485677670280579E-2</v>
      </c>
      <c r="S39" s="677">
        <f t="shared" si="10"/>
        <v>1.0000000168428449</v>
      </c>
      <c r="T39" s="680">
        <f t="shared" si="11"/>
        <v>1.8353661577297551E-4</v>
      </c>
      <c r="U39" s="681">
        <f t="shared" si="24"/>
        <v>0.99959997751733576</v>
      </c>
      <c r="V39" s="682">
        <f t="shared" si="25"/>
        <v>-2.6109500107974592E-4</v>
      </c>
      <c r="W39" s="683">
        <f t="shared" si="12"/>
        <v>62.696911081219746</v>
      </c>
      <c r="X39" s="684">
        <f t="shared" si="13"/>
        <v>-91.523386339345322</v>
      </c>
      <c r="Y39" s="687">
        <f t="shared" si="14"/>
        <v>88.476613660654678</v>
      </c>
      <c r="AA39" s="170">
        <f t="shared" si="15"/>
        <v>1000000000</v>
      </c>
      <c r="AB39" s="170">
        <f t="shared" si="16"/>
        <v>120.23122499999999</v>
      </c>
      <c r="AD39" s="686">
        <f t="shared" si="17"/>
        <v>58.801974255542063</v>
      </c>
      <c r="AE39" s="687">
        <f t="shared" si="18"/>
        <v>-88.273083827784077</v>
      </c>
      <c r="AG39" s="686">
        <f t="shared" si="19"/>
        <v>49.082875495056498</v>
      </c>
      <c r="AH39" s="687">
        <f t="shared" si="20"/>
        <v>-3.2203832282993834</v>
      </c>
      <c r="AJ39" s="170">
        <f t="shared" si="21"/>
        <v>0</v>
      </c>
      <c r="AK39" s="170">
        <f t="shared" si="22"/>
        <v>0</v>
      </c>
      <c r="AM39" s="170" t="str">
        <f t="shared" si="26"/>
        <v>6.9561836957277E-08+0.000372992853296011i</v>
      </c>
      <c r="AN39" s="170" t="str">
        <f t="shared" si="27"/>
        <v>0.000372992861944701i</v>
      </c>
      <c r="AO39" s="170" t="str">
        <f t="shared" si="28"/>
        <v>0.99999997681272-0.000186496429434593i</v>
      </c>
      <c r="AP39" s="170" t="str">
        <f t="shared" si="29"/>
        <v>0.166666655073027-0.0000621654755493352i</v>
      </c>
      <c r="AQ39" s="170" t="str">
        <f t="shared" si="30"/>
        <v>0.833333344926973+0.0000621654755493352i</v>
      </c>
      <c r="AR39" s="170" t="str">
        <f t="shared" si="31"/>
        <v>0.999599980530477-0.0000745687287411124i</v>
      </c>
    </row>
    <row r="40" spans="1:44">
      <c r="B40" s="633"/>
      <c r="D40" s="189"/>
      <c r="G40" s="688">
        <v>12.023</v>
      </c>
      <c r="H40" s="676">
        <f t="shared" si="23"/>
        <v>1.2022999999999999E-2</v>
      </c>
      <c r="I40" s="677">
        <f t="shared" si="0"/>
        <v>1.0019145477766729</v>
      </c>
      <c r="J40" s="678">
        <f t="shared" si="1"/>
        <v>6.1830383811203482E-2</v>
      </c>
      <c r="K40" s="678">
        <f t="shared" si="2"/>
        <v>1.0000000000252123</v>
      </c>
      <c r="L40" s="679">
        <f t="shared" si="3"/>
        <v>7.101017264899246E-6</v>
      </c>
      <c r="M40" s="678">
        <f t="shared" si="4"/>
        <v>1.0000000031460301</v>
      </c>
      <c r="N40" s="679">
        <f t="shared" si="5"/>
        <v>-7.9322508347978089E-5</v>
      </c>
      <c r="O40" s="677">
        <f t="shared" si="6"/>
        <v>226.63041683162564</v>
      </c>
      <c r="P40" s="680">
        <f t="shared" si="7"/>
        <v>1.5663838421028977</v>
      </c>
      <c r="Q40" s="689">
        <f t="shared" si="8"/>
        <v>1.0003905476998347</v>
      </c>
      <c r="R40" s="690">
        <f t="shared" si="9"/>
        <v>2.7943537210800833E-2</v>
      </c>
      <c r="S40" s="677">
        <f t="shared" si="10"/>
        <v>1.0000000202499462</v>
      </c>
      <c r="T40" s="680">
        <f t="shared" si="11"/>
        <v>2.0124584828328987E-4</v>
      </c>
      <c r="U40" s="681">
        <f t="shared" si="24"/>
        <v>0.99959997296936964</v>
      </c>
      <c r="V40" s="682">
        <f t="shared" si="25"/>
        <v>-2.862877505571958E-4</v>
      </c>
      <c r="W40" s="683">
        <f t="shared" si="12"/>
        <v>61.894623514775006</v>
      </c>
      <c r="X40" s="684">
        <f t="shared" si="13"/>
        <v>-91.720828250212605</v>
      </c>
      <c r="Y40" s="687">
        <f t="shared" si="14"/>
        <v>88.279171749787395</v>
      </c>
      <c r="AA40" s="170">
        <f t="shared" si="15"/>
        <v>1000000000</v>
      </c>
      <c r="AB40" s="170">
        <f t="shared" si="16"/>
        <v>144.55252899999999</v>
      </c>
      <c r="AD40" s="686">
        <f t="shared" si="17"/>
        <v>58.00247756685944</v>
      </c>
      <c r="AE40" s="687">
        <f t="shared" si="18"/>
        <v>-88.157667141622696</v>
      </c>
      <c r="AG40" s="686">
        <f t="shared" si="19"/>
        <v>49.08008469633225</v>
      </c>
      <c r="AH40" s="687">
        <f t="shared" si="20"/>
        <v>-3.5303549488859685</v>
      </c>
      <c r="AJ40" s="170">
        <f t="shared" si="21"/>
        <v>0</v>
      </c>
      <c r="AK40" s="170">
        <f t="shared" si="22"/>
        <v>0</v>
      </c>
      <c r="AM40" s="170" t="str">
        <f t="shared" si="26"/>
        <v>8.36333440279446E-08+0.000408982494677922i</v>
      </c>
      <c r="AN40" s="170" t="str">
        <f t="shared" si="27"/>
        <v>0.000408982506079447i</v>
      </c>
      <c r="AO40" s="170" t="str">
        <f t="shared" si="28"/>
        <v>0.999999972122218-0.000204491250321837i</v>
      </c>
      <c r="AP40" s="170" t="str">
        <f t="shared" si="29"/>
        <v>0.166666652727776-0.000068163749112987i</v>
      </c>
      <c r="AQ40" s="170" t="str">
        <f t="shared" si="30"/>
        <v>0.833333347272224+0.000068163749112987i</v>
      </c>
      <c r="AR40" s="170" t="str">
        <f t="shared" si="31"/>
        <v>0.999599976592032-0.0000817637770536847i</v>
      </c>
    </row>
    <row r="41" spans="1:44" ht="13">
      <c r="A41" s="333" t="str">
        <f>V3</f>
        <v>Adc</v>
      </c>
      <c r="B41" s="170">
        <f>Adc</f>
        <v>282412.71633470349</v>
      </c>
      <c r="C41" s="170" t="str">
        <f>X3</f>
        <v>V/V</v>
      </c>
      <c r="D41" s="172">
        <f>10*LOG10(B41)</f>
        <v>54.508842480088553</v>
      </c>
      <c r="E41" s="170" t="s">
        <v>781</v>
      </c>
      <c r="G41" s="688">
        <v>13.183</v>
      </c>
      <c r="H41" s="676">
        <f t="shared" si="23"/>
        <v>1.3183E-2</v>
      </c>
      <c r="I41" s="677">
        <f t="shared" si="0"/>
        <v>1.0023013629178732</v>
      </c>
      <c r="J41" s="678">
        <f t="shared" si="1"/>
        <v>6.7778433275239372E-2</v>
      </c>
      <c r="K41" s="678">
        <f t="shared" si="2"/>
        <v>1.000000000030312</v>
      </c>
      <c r="L41" s="679">
        <f t="shared" si="3"/>
        <v>7.7861357899732595E-6</v>
      </c>
      <c r="M41" s="678">
        <f t="shared" si="4"/>
        <v>1.0000000037823846</v>
      </c>
      <c r="N41" s="679">
        <f t="shared" si="5"/>
        <v>-8.697568220142789E-5</v>
      </c>
      <c r="O41" s="677">
        <f t="shared" si="6"/>
        <v>248.49570754503691</v>
      </c>
      <c r="P41" s="680">
        <f t="shared" si="7"/>
        <v>1.5667721015519367</v>
      </c>
      <c r="Q41" s="689">
        <f t="shared" si="8"/>
        <v>1.0004695261099434</v>
      </c>
      <c r="R41" s="690">
        <f t="shared" si="9"/>
        <v>3.0637965703135782E-2</v>
      </c>
      <c r="S41" s="677">
        <f t="shared" si="10"/>
        <v>1.0000000243459475</v>
      </c>
      <c r="T41" s="680">
        <f t="shared" si="11"/>
        <v>2.206623979600835E-4</v>
      </c>
      <c r="U41" s="681">
        <f t="shared" si="24"/>
        <v>0.99959996750182356</v>
      </c>
      <c r="V41" s="682">
        <f t="shared" si="25"/>
        <v>-3.1390929007767609E-4</v>
      </c>
      <c r="W41" s="683">
        <f t="shared" si="12"/>
        <v>61.091942500521704</v>
      </c>
      <c r="X41" s="684">
        <f t="shared" si="13"/>
        <v>-91.932586952203394</v>
      </c>
      <c r="Y41" s="687">
        <f t="shared" si="14"/>
        <v>88.067413047796606</v>
      </c>
      <c r="AA41" s="170">
        <f t="shared" si="15"/>
        <v>1000000000</v>
      </c>
      <c r="AB41" s="170">
        <f t="shared" si="16"/>
        <v>173.79148899999998</v>
      </c>
      <c r="AD41" s="686">
        <f t="shared" si="17"/>
        <v>57.203149360731153</v>
      </c>
      <c r="AE41" s="687">
        <f t="shared" si="18"/>
        <v>-88.026645874797609</v>
      </c>
      <c r="AG41" s="686">
        <f t="shared" si="19"/>
        <v>49.07673198322626</v>
      </c>
      <c r="AH41" s="687">
        <f t="shared" si="20"/>
        <v>-3.869969722421895</v>
      </c>
      <c r="AJ41" s="170">
        <f t="shared" si="21"/>
        <v>0</v>
      </c>
      <c r="AK41" s="170">
        <f t="shared" si="22"/>
        <v>0</v>
      </c>
      <c r="AM41" s="170" t="str">
        <f t="shared" si="26"/>
        <v>1.00550044956904E-07+0.000448441836225257i</v>
      </c>
      <c r="AN41" s="170" t="str">
        <f t="shared" si="27"/>
        <v>0.00044844185125554i</v>
      </c>
      <c r="AO41" s="170" t="str">
        <f t="shared" si="28"/>
        <v>0.999999966483318-0.000224220921119172i</v>
      </c>
      <c r="AP41" s="170" t="str">
        <f t="shared" si="29"/>
        <v>0.166666649908326-0.0000747403060375428i</v>
      </c>
      <c r="AQ41" s="170" t="str">
        <f t="shared" si="30"/>
        <v>0.833333350091674+0.0000747403060375428i</v>
      </c>
      <c r="AR41" s="170" t="str">
        <f t="shared" si="31"/>
        <v>0.99959997185725-0.0000896524875711638i</v>
      </c>
    </row>
    <row r="42" spans="1:44" ht="13">
      <c r="A42" s="333" t="str">
        <f>V4</f>
        <v>Crossover</v>
      </c>
      <c r="B42" s="332">
        <f>W4</f>
        <v>6.6068999999999996</v>
      </c>
      <c r="C42" s="170" t="str">
        <f>X4</f>
        <v>kHz</v>
      </c>
      <c r="G42" s="688">
        <v>14.454000000000001</v>
      </c>
      <c r="H42" s="676">
        <f t="shared" si="23"/>
        <v>1.4454E-2</v>
      </c>
      <c r="I42" s="677">
        <f t="shared" si="0"/>
        <v>1.0027658713037912</v>
      </c>
      <c r="J42" s="678">
        <f t="shared" si="1"/>
        <v>7.429012420710418E-2</v>
      </c>
      <c r="K42" s="678">
        <f t="shared" si="2"/>
        <v>1.0000000000364386</v>
      </c>
      <c r="L42" s="679">
        <f t="shared" si="3"/>
        <v>8.5368130704554229E-6</v>
      </c>
      <c r="M42" s="678">
        <f t="shared" si="4"/>
        <v>1.0000000045468778</v>
      </c>
      <c r="N42" s="679">
        <f t="shared" si="5"/>
        <v>-9.5361185610158452E-5</v>
      </c>
      <c r="O42" s="677">
        <f t="shared" si="6"/>
        <v>272.45331616156273</v>
      </c>
      <c r="P42" s="680">
        <f t="shared" si="7"/>
        <v>1.567125964989978</v>
      </c>
      <c r="Q42" s="689">
        <f t="shared" si="8"/>
        <v>1.0005643996664433</v>
      </c>
      <c r="R42" s="690">
        <f t="shared" si="9"/>
        <v>3.3589710877290666E-2</v>
      </c>
      <c r="S42" s="677">
        <f t="shared" si="10"/>
        <v>1.000000029266735</v>
      </c>
      <c r="T42" s="680">
        <f t="shared" si="11"/>
        <v>2.4193691038852785E-4</v>
      </c>
      <c r="U42" s="681">
        <f t="shared" si="24"/>
        <v>0.99959996093331294</v>
      </c>
      <c r="V42" s="682">
        <f t="shared" si="25"/>
        <v>-3.4417392648261033E-4</v>
      </c>
      <c r="W42" s="683">
        <f t="shared" si="12"/>
        <v>60.289277429767616</v>
      </c>
      <c r="X42" s="684">
        <f t="shared" si="13"/>
        <v>-92.160222120221846</v>
      </c>
      <c r="Y42" s="687">
        <f t="shared" si="14"/>
        <v>87.839777879778154</v>
      </c>
      <c r="AA42" s="170">
        <f t="shared" si="15"/>
        <v>1000000000</v>
      </c>
      <c r="AB42" s="170">
        <f t="shared" si="16"/>
        <v>208.91811600000003</v>
      </c>
      <c r="AD42" s="686">
        <f t="shared" si="17"/>
        <v>56.404508812536378</v>
      </c>
      <c r="AE42" s="687">
        <f t="shared" si="18"/>
        <v>-87.879017155248832</v>
      </c>
      <c r="AG42" s="686">
        <f t="shared" si="19"/>
        <v>49.072707574819319</v>
      </c>
      <c r="AH42" s="687">
        <f t="shared" si="20"/>
        <v>-4.2417655381161614</v>
      </c>
      <c r="AJ42" s="170">
        <f t="shared" si="21"/>
        <v>0</v>
      </c>
      <c r="AK42" s="170">
        <f t="shared" si="22"/>
        <v>0</v>
      </c>
      <c r="AM42" s="170" t="str">
        <f t="shared" si="26"/>
        <v>1.20873157039014E-07+0.000491677027754676i</v>
      </c>
      <c r="AN42" s="170" t="str">
        <f t="shared" si="27"/>
        <v>0.000491677047564862i</v>
      </c>
      <c r="AO42" s="170" t="str">
        <f t="shared" si="28"/>
        <v>0.999999959708947-0.000245838518673314i</v>
      </c>
      <c r="AP42" s="170" t="str">
        <f t="shared" si="29"/>
        <v>0.16666664652114-0.000081946171292446i</v>
      </c>
      <c r="AQ42" s="170" t="str">
        <f t="shared" si="30"/>
        <v>0.83333335347886+0.000081946171292446i</v>
      </c>
      <c r="AR42" s="170" t="str">
        <f t="shared" si="31"/>
        <v>0.999599966169055-0.0000982960656856639i</v>
      </c>
    </row>
    <row r="43" spans="1:44" ht="13">
      <c r="A43" s="333" t="str">
        <f>V5</f>
        <v>Phase Margin</v>
      </c>
      <c r="B43" s="531">
        <f>W5</f>
        <v>70.398338360790149</v>
      </c>
      <c r="C43" s="170" t="str">
        <f>X5</f>
        <v>°</v>
      </c>
      <c r="G43" s="688">
        <v>15.849</v>
      </c>
      <c r="H43" s="676">
        <f t="shared" si="23"/>
        <v>1.5848999999999999E-2</v>
      </c>
      <c r="I43" s="677">
        <f t="shared" si="0"/>
        <v>1.0033245927858787</v>
      </c>
      <c r="J43" s="678">
        <f t="shared" si="1"/>
        <v>8.1429823491823039E-2</v>
      </c>
      <c r="K43" s="678">
        <f t="shared" si="2"/>
        <v>1.0000000000438116</v>
      </c>
      <c r="L43" s="679">
        <f t="shared" si="3"/>
        <v>9.3607271587783967E-6</v>
      </c>
      <c r="M43" s="678">
        <f t="shared" si="4"/>
        <v>1.0000000054668974</v>
      </c>
      <c r="N43" s="679">
        <f t="shared" si="5"/>
        <v>-1.0456478689694218E-4</v>
      </c>
      <c r="O43" s="677">
        <f t="shared" si="6"/>
        <v>298.74828511356259</v>
      </c>
      <c r="P43" s="680">
        <f t="shared" si="7"/>
        <v>1.5674490209951941</v>
      </c>
      <c r="Q43" s="689">
        <f t="shared" si="8"/>
        <v>1.0006785620952303</v>
      </c>
      <c r="R43" s="690">
        <f t="shared" si="9"/>
        <v>3.6828755391649245E-2</v>
      </c>
      <c r="S43" s="677">
        <f t="shared" si="10"/>
        <v>1.0000000351885932</v>
      </c>
      <c r="T43" s="680">
        <f t="shared" si="11"/>
        <v>2.6528698475229695E-4</v>
      </c>
      <c r="U43" s="681">
        <f t="shared" si="24"/>
        <v>0.99959995302852545</v>
      </c>
      <c r="V43" s="682">
        <f t="shared" si="25"/>
        <v>-3.7739120941738158E-4</v>
      </c>
      <c r="W43" s="683">
        <f>20*LOG10(((K43*Q43*M43*U43)/(I43*O43*S43))*Adc)</f>
        <v>59.485163589880791</v>
      </c>
      <c r="X43" s="684">
        <f t="shared" si="13"/>
        <v>-92.405944113368605</v>
      </c>
      <c r="Y43" s="687">
        <f t="shared" si="14"/>
        <v>87.594055886631395</v>
      </c>
      <c r="AA43" s="170">
        <f t="shared" si="15"/>
        <v>1000000000</v>
      </c>
      <c r="AB43" s="170">
        <f t="shared" si="16"/>
        <v>251.19080099999999</v>
      </c>
      <c r="AD43" s="686">
        <f t="shared" si="17"/>
        <v>55.605233292915948</v>
      </c>
      <c r="AE43" s="687">
        <f t="shared" si="18"/>
        <v>-87.7132811810893</v>
      </c>
      <c r="AG43" s="686">
        <f t="shared" si="19"/>
        <v>49.067869391928113</v>
      </c>
      <c r="AH43" s="687">
        <f t="shared" si="20"/>
        <v>-4.6494170851799916</v>
      </c>
      <c r="AJ43" s="170">
        <f t="shared" si="21"/>
        <v>0</v>
      </c>
      <c r="AK43" s="170">
        <f t="shared" si="22"/>
        <v>0</v>
      </c>
      <c r="AM43" s="170" t="str">
        <f t="shared" si="26"/>
        <v>1.45330742995498E-07+0.000539130285689398i</v>
      </c>
      <c r="AN43" s="170" t="str">
        <f t="shared" si="27"/>
        <v>0.000539130311806801i</v>
      </c>
      <c r="AO43" s="170" t="str">
        <f t="shared" si="28"/>
        <v>0.999999951556419-0.000269565149302118i</v>
      </c>
      <c r="AP43" s="170" t="str">
        <f t="shared" si="29"/>
        <v>0.166666642444876-0.0000898550476148997i</v>
      </c>
      <c r="AQ43" s="170" t="str">
        <f t="shared" si="30"/>
        <v>0.833333357555124+0.0000898550476148997i</v>
      </c>
      <c r="AR43" s="170" t="str">
        <f t="shared" si="31"/>
        <v>0.999599959323672-0.000107782919196222i</v>
      </c>
    </row>
    <row r="44" spans="1:44">
      <c r="G44" s="688">
        <v>17.378</v>
      </c>
      <c r="H44" s="676">
        <f t="shared" si="23"/>
        <v>1.7378000000000001E-2</v>
      </c>
      <c r="I44" s="677">
        <f t="shared" si="0"/>
        <v>1.0039956630568323</v>
      </c>
      <c r="J44" s="678">
        <f t="shared" si="1"/>
        <v>8.9245771068242663E-2</v>
      </c>
      <c r="K44" s="678">
        <f t="shared" si="2"/>
        <v>1.0000000000526725</v>
      </c>
      <c r="L44" s="679">
        <f t="shared" si="3"/>
        <v>1.0263784249119188E-5</v>
      </c>
      <c r="M44" s="678">
        <f t="shared" si="4"/>
        <v>1.0000000065725936</v>
      </c>
      <c r="N44" s="679">
        <f t="shared" si="5"/>
        <v>-1.1465246169194279E-4</v>
      </c>
      <c r="O44" s="677">
        <f t="shared" si="6"/>
        <v>327.56910882921471</v>
      </c>
      <c r="P44" s="680">
        <f t="shared" si="7"/>
        <v>1.5677435311364902</v>
      </c>
      <c r="Q44" s="689">
        <f t="shared" si="8"/>
        <v>1.0008157473521841</v>
      </c>
      <c r="R44" s="690">
        <f t="shared" si="9"/>
        <v>4.037804357502791E-2</v>
      </c>
      <c r="S44" s="677">
        <f t="shared" si="10"/>
        <v>1.0000000423055901</v>
      </c>
      <c r="T44" s="680">
        <f t="shared" si="11"/>
        <v>2.908800049941174E-4</v>
      </c>
      <c r="U44" s="681">
        <f t="shared" si="24"/>
        <v>0.99959994352840287</v>
      </c>
      <c r="V44" s="682">
        <f t="shared" si="25"/>
        <v>-4.1379925578092374E-4</v>
      </c>
      <c r="W44" s="683">
        <f t="shared" si="12"/>
        <v>58.680596191965371</v>
      </c>
      <c r="X44" s="684">
        <f t="shared" si="13"/>
        <v>-92.671358516905769</v>
      </c>
      <c r="Y44" s="687">
        <f t="shared" si="14"/>
        <v>87.328641483094231</v>
      </c>
      <c r="AA44" s="170">
        <f t="shared" si="15"/>
        <v>1000000000</v>
      </c>
      <c r="AB44" s="170">
        <f t="shared" si="16"/>
        <v>301.99488400000001</v>
      </c>
      <c r="AD44" s="686">
        <f t="shared" si="17"/>
        <v>54.806473553891934</v>
      </c>
      <c r="AE44" s="687">
        <f t="shared" si="18"/>
        <v>-87.528262507859552</v>
      </c>
      <c r="AG44" s="686">
        <f t="shared" si="19"/>
        <v>49.06206189813679</v>
      </c>
      <c r="AH44" s="687">
        <f t="shared" si="20"/>
        <v>-5.0956781071482382</v>
      </c>
      <c r="AJ44" s="170">
        <f t="shared" si="21"/>
        <v>0</v>
      </c>
      <c r="AK44" s="170">
        <f t="shared" si="22"/>
        <v>0</v>
      </c>
      <c r="AM44" s="170" t="str">
        <f t="shared" si="26"/>
        <v>1.74724315016306E-07+0.000591141776321165i</v>
      </c>
      <c r="AN44" s="170" t="str">
        <f t="shared" si="27"/>
        <v>0.000591141810750115i</v>
      </c>
      <c r="AO44" s="170" t="str">
        <f t="shared" si="28"/>
        <v>0.99999994175856-0.00029557089659179i</v>
      </c>
      <c r="AP44" s="170" t="str">
        <f t="shared" si="29"/>
        <v>0.166666637545947-0.0000985236293868608i</v>
      </c>
      <c r="AQ44" s="170" t="str">
        <f t="shared" si="30"/>
        <v>0.833333362454053+0.0000985236293868608i</v>
      </c>
      <c r="AR44" s="170" t="str">
        <f t="shared" si="31"/>
        <v>0.999599951096764-0.000118181054010557i</v>
      </c>
    </row>
    <row r="45" spans="1:44">
      <c r="G45" s="688">
        <v>19.055</v>
      </c>
      <c r="H45" s="676">
        <f t="shared" si="23"/>
        <v>1.9054999999999999E-2</v>
      </c>
      <c r="I45" s="677">
        <f t="shared" si="0"/>
        <v>1.0048021137641081</v>
      </c>
      <c r="J45" s="678">
        <f t="shared" si="1"/>
        <v>9.7805677438593835E-2</v>
      </c>
      <c r="K45" s="678">
        <f t="shared" si="2"/>
        <v>1.0000000000633291</v>
      </c>
      <c r="L45" s="679">
        <f t="shared" si="3"/>
        <v>1.1254253013325852E-5</v>
      </c>
      <c r="M45" s="678">
        <f t="shared" si="4"/>
        <v>1.0000000079023288</v>
      </c>
      <c r="N45" s="679">
        <f t="shared" si="5"/>
        <v>-1.2571657587773347E-4</v>
      </c>
      <c r="O45" s="677">
        <f t="shared" si="6"/>
        <v>359.1796797381304</v>
      </c>
      <c r="P45" s="680">
        <f t="shared" si="7"/>
        <v>1.5680122013326137</v>
      </c>
      <c r="Q45" s="689">
        <f t="shared" si="8"/>
        <v>1.0009807045479562</v>
      </c>
      <c r="R45" s="690">
        <f t="shared" si="9"/>
        <v>4.426971275289928E-2</v>
      </c>
      <c r="S45" s="677">
        <f t="shared" si="10"/>
        <v>1.0000000508646518</v>
      </c>
      <c r="T45" s="680">
        <f t="shared" si="11"/>
        <v>3.1895030863942508E-4</v>
      </c>
      <c r="U45" s="681">
        <f t="shared" si="24"/>
        <v>0.99959993210334663</v>
      </c>
      <c r="V45" s="682">
        <f t="shared" si="25"/>
        <v>-4.5373142873984953E-4</v>
      </c>
      <c r="W45" s="683">
        <f t="shared" si="12"/>
        <v>57.874877086305723</v>
      </c>
      <c r="X45" s="684">
        <f t="shared" si="13"/>
        <v>-92.958695906720848</v>
      </c>
      <c r="Y45" s="687">
        <f t="shared" si="14"/>
        <v>87.041304093279152</v>
      </c>
      <c r="AA45" s="170">
        <f t="shared" si="15"/>
        <v>1000000000</v>
      </c>
      <c r="AB45" s="170">
        <f t="shared" si="16"/>
        <v>363.09302500000001</v>
      </c>
      <c r="AD45" s="686">
        <f t="shared" si="17"/>
        <v>54.007728599954845</v>
      </c>
      <c r="AE45" s="687">
        <f t="shared" si="18"/>
        <v>-87.32228826671836</v>
      </c>
      <c r="AG45" s="686">
        <f t="shared" si="19"/>
        <v>49.055087944967212</v>
      </c>
      <c r="AH45" s="687">
        <f t="shared" si="20"/>
        <v>-5.5844138481446057</v>
      </c>
      <c r="AJ45" s="170">
        <f t="shared" si="21"/>
        <v>0</v>
      </c>
      <c r="AK45" s="170">
        <f t="shared" ref="AK45:AK53" si="32">IF(AJ45&gt;0,Y43,0)</f>
        <v>0</v>
      </c>
      <c r="AM45" s="170" t="str">
        <f t="shared" si="26"/>
        <v>2.10073689999035E-07+0.000648187732482003i</v>
      </c>
      <c r="AN45" s="170" t="str">
        <f t="shared" si="27"/>
        <v>0.00064818777787107i</v>
      </c>
      <c r="AO45" s="170" t="str">
        <f t="shared" si="28"/>
        <v>0.999999929975435-0.000324093877069093i</v>
      </c>
      <c r="AP45" s="170" t="str">
        <f t="shared" si="29"/>
        <v>0.166666631654385-0.000108031288747001i</v>
      </c>
      <c r="AQ45" s="170" t="str">
        <f t="shared" si="30"/>
        <v>0.833333368345615+0.000108031288747001i</v>
      </c>
      <c r="AR45" s="170" t="str">
        <f t="shared" si="31"/>
        <v>0.999599941202901-0.000129585678410983i</v>
      </c>
    </row>
    <row r="46" spans="1:44">
      <c r="G46" s="688">
        <v>20.893000000000001</v>
      </c>
      <c r="H46" s="676">
        <f t="shared" si="23"/>
        <v>2.0893000000000002E-2</v>
      </c>
      <c r="I46" s="677">
        <f t="shared" si="0"/>
        <v>1.0057704069050577</v>
      </c>
      <c r="J46" s="678">
        <f t="shared" si="1"/>
        <v>0.10717084360046246</v>
      </c>
      <c r="K46" s="678">
        <f t="shared" si="2"/>
        <v>1.0000000000761355</v>
      </c>
      <c r="L46" s="679">
        <f t="shared" si="3"/>
        <v>1.233981150382627E-5</v>
      </c>
      <c r="M46" s="678">
        <f t="shared" si="4"/>
        <v>1.0000000095003323</v>
      </c>
      <c r="N46" s="679">
        <f t="shared" si="5"/>
        <v>-1.3784289777041609E-4</v>
      </c>
      <c r="O46" s="677">
        <f t="shared" si="6"/>
        <v>393.82504102005566</v>
      </c>
      <c r="P46" s="680">
        <f t="shared" si="7"/>
        <v>1.5682571254480213</v>
      </c>
      <c r="Q46" s="689">
        <f t="shared" si="8"/>
        <v>1.0011789051804947</v>
      </c>
      <c r="R46" s="690">
        <f t="shared" si="9"/>
        <v>4.8533455744305967E-2</v>
      </c>
      <c r="S46" s="677">
        <f t="shared" si="10"/>
        <v>1.0000000611504667</v>
      </c>
      <c r="T46" s="680">
        <f t="shared" si="11"/>
        <v>3.4971549476296178E-4</v>
      </c>
      <c r="U46" s="681">
        <f t="shared" si="24"/>
        <v>0.99959991837333384</v>
      </c>
      <c r="V46" s="682">
        <f t="shared" si="25"/>
        <v>-4.9749728083376592E-4</v>
      </c>
      <c r="W46" s="683">
        <f t="shared" si="12"/>
        <v>57.068398961035058</v>
      </c>
      <c r="X46" s="684">
        <f t="shared" si="13"/>
        <v>-93.269921945446157</v>
      </c>
      <c r="Y46" s="687">
        <f t="shared" si="14"/>
        <v>86.730078054553843</v>
      </c>
      <c r="AA46" s="170">
        <f t="shared" si="15"/>
        <v>1000000000</v>
      </c>
      <c r="AB46" s="170">
        <f t="shared" si="16"/>
        <v>436.51744900000006</v>
      </c>
      <c r="AD46" s="686">
        <f t="shared" si="17"/>
        <v>53.209616841770035</v>
      </c>
      <c r="AE46" s="687">
        <f t="shared" si="18"/>
        <v>-87.093789621555814</v>
      </c>
      <c r="AG46" s="686">
        <f t="shared" si="19"/>
        <v>49.046721816491569</v>
      </c>
      <c r="AH46" s="687">
        <f t="shared" si="20"/>
        <v>-6.1191233348031764</v>
      </c>
      <c r="AJ46" s="170">
        <f t="shared" si="21"/>
        <v>0</v>
      </c>
      <c r="AK46" s="170">
        <f t="shared" si="32"/>
        <v>0</v>
      </c>
      <c r="AM46" s="170" t="str">
        <f t="shared" si="26"/>
        <v>2.5255464697338E-07+0.000710710370137976i</v>
      </c>
      <c r="AN46" s="170" t="str">
        <f t="shared" si="27"/>
        <v>0.000710710429969051i</v>
      </c>
      <c r="AO46" s="170" t="str">
        <f t="shared" si="28"/>
        <v>0.999999915815116-0.000355355199985426i</v>
      </c>
      <c r="AP46" s="170" t="str">
        <f t="shared" si="29"/>
        <v>0.166666624574226-0.000118451728356329i</v>
      </c>
      <c r="AQ46" s="170" t="str">
        <f t="shared" si="30"/>
        <v>0.833333375425774+0.000118451728356329i</v>
      </c>
      <c r="AR46" s="170" t="str">
        <f t="shared" si="31"/>
        <v>0.999599929312994-0.000142085199973531i</v>
      </c>
    </row>
    <row r="47" spans="1:44">
      <c r="G47" s="688">
        <v>22.909000000000002</v>
      </c>
      <c r="H47" s="676">
        <f t="shared" si="23"/>
        <v>2.2909000000000002E-2</v>
      </c>
      <c r="I47" s="677">
        <f t="shared" si="0"/>
        <v>1.0069337038426904</v>
      </c>
      <c r="J47" s="678">
        <f t="shared" si="1"/>
        <v>0.11742125809377023</v>
      </c>
      <c r="K47" s="678">
        <f t="shared" si="2"/>
        <v>1.0000000000915372</v>
      </c>
      <c r="L47" s="679">
        <f t="shared" si="3"/>
        <v>1.3530500250718107E-5</v>
      </c>
      <c r="M47" s="678">
        <f t="shared" si="4"/>
        <v>1.0000000114221919</v>
      </c>
      <c r="N47" s="679">
        <f t="shared" si="5"/>
        <v>-1.5114358593674957E-4</v>
      </c>
      <c r="O47" s="677">
        <f t="shared" si="6"/>
        <v>431.82563398940709</v>
      </c>
      <c r="P47" s="680">
        <f t="shared" si="7"/>
        <v>1.5684805752158477</v>
      </c>
      <c r="Q47" s="689">
        <f t="shared" si="8"/>
        <v>1.0014172217729744</v>
      </c>
      <c r="R47" s="690">
        <f t="shared" si="9"/>
        <v>5.3208082657435443E-2</v>
      </c>
      <c r="S47" s="677">
        <f t="shared" si="10"/>
        <v>1.0000000735208348</v>
      </c>
      <c r="T47" s="680">
        <f t="shared" si="11"/>
        <v>3.8346011599356097E-4</v>
      </c>
      <c r="U47" s="681">
        <f t="shared" si="24"/>
        <v>0.99959990186075731</v>
      </c>
      <c r="V47" s="682">
        <f t="shared" si="25"/>
        <v>-5.4550160950984472E-4</v>
      </c>
      <c r="W47" s="683">
        <f t="shared" si="12"/>
        <v>56.260323694998682</v>
      </c>
      <c r="X47" s="684">
        <f t="shared" si="13"/>
        <v>-93.607571491933214</v>
      </c>
      <c r="Y47" s="687">
        <f t="shared" si="14"/>
        <v>86.392428508066786</v>
      </c>
      <c r="AA47" s="170">
        <f t="shared" si="15"/>
        <v>1000000000</v>
      </c>
      <c r="AB47" s="170">
        <f t="shared" si="16"/>
        <v>524.82228100000009</v>
      </c>
      <c r="AD47" s="686">
        <f t="shared" si="17"/>
        <v>52.411582194570066</v>
      </c>
      <c r="AE47" s="687">
        <f t="shared" si="18"/>
        <v>-86.840689381353442</v>
      </c>
      <c r="AG47" s="686">
        <f t="shared" si="19"/>
        <v>49.036681484622811</v>
      </c>
      <c r="AH47" s="687">
        <f t="shared" si="20"/>
        <v>-6.7043722306233278</v>
      </c>
      <c r="AJ47" s="170">
        <f t="shared" si="21"/>
        <v>0</v>
      </c>
      <c r="AK47" s="170">
        <f t="shared" si="32"/>
        <v>0</v>
      </c>
      <c r="AM47" s="170" t="str">
        <f t="shared" si="26"/>
        <v>3.03644917987178E-07+0.000779287971675329i</v>
      </c>
      <c r="AN47" s="170" t="str">
        <f t="shared" si="27"/>
        <v>0.000779288050550949i</v>
      </c>
      <c r="AO47" s="170" t="str">
        <f t="shared" si="28"/>
        <v>0.999999898785026-0.000389644006182956i</v>
      </c>
      <c r="AP47" s="170" t="str">
        <f t="shared" si="29"/>
        <v>0.16666661605918-0.000129881328612555i</v>
      </c>
      <c r="AQ47" s="170" t="str">
        <f t="shared" si="30"/>
        <v>0.83333338394082+0.000129881328612555i</v>
      </c>
      <c r="AR47" s="170" t="str">
        <f t="shared" si="31"/>
        <v>0.999599915013443-0.000155795228590246i</v>
      </c>
    </row>
    <row r="48" spans="1:44">
      <c r="A48" s="170" t="s">
        <v>802</v>
      </c>
      <c r="G48" s="688">
        <v>25.119</v>
      </c>
      <c r="H48" s="676">
        <f t="shared" si="23"/>
        <v>2.5118999999999999E-2</v>
      </c>
      <c r="I48" s="677">
        <f t="shared" si="0"/>
        <v>1.008330203709108</v>
      </c>
      <c r="J48" s="678">
        <f t="shared" si="1"/>
        <v>0.12862958367078917</v>
      </c>
      <c r="K48" s="678">
        <f t="shared" si="2"/>
        <v>1.00000000011005</v>
      </c>
      <c r="L48" s="679">
        <f t="shared" si="3"/>
        <v>1.483576916467735E-5</v>
      </c>
      <c r="M48" s="678">
        <f t="shared" si="4"/>
        <v>1.0000000137322556</v>
      </c>
      <c r="N48" s="679">
        <f t="shared" si="5"/>
        <v>-1.6572420137493229E-4</v>
      </c>
      <c r="O48" s="677">
        <f t="shared" si="6"/>
        <v>473.48305065728727</v>
      </c>
      <c r="P48" s="680">
        <f t="shared" si="7"/>
        <v>1.5686843172054448</v>
      </c>
      <c r="Q48" s="689">
        <f t="shared" si="8"/>
        <v>1.0017036018580578</v>
      </c>
      <c r="R48" s="690">
        <f t="shared" si="9"/>
        <v>5.8329869181834797E-2</v>
      </c>
      <c r="S48" s="677">
        <f t="shared" si="10"/>
        <v>1.0000000883899429</v>
      </c>
      <c r="T48" s="680">
        <f t="shared" si="11"/>
        <v>4.2045198647524678E-4</v>
      </c>
      <c r="U48" s="681">
        <f t="shared" si="24"/>
        <v>0.99959988201273742</v>
      </c>
      <c r="V48" s="682">
        <f t="shared" si="25"/>
        <v>-5.9812539964874674E-4</v>
      </c>
      <c r="W48" s="683">
        <f t="shared" si="12"/>
        <v>55.450848675491606</v>
      </c>
      <c r="X48" s="684">
        <f t="shared" si="13"/>
        <v>-93.973873268481185</v>
      </c>
      <c r="Y48" s="687">
        <f t="shared" si="14"/>
        <v>86.026126731518815</v>
      </c>
      <c r="AA48" s="170">
        <f t="shared" si="15"/>
        <v>1000000000</v>
      </c>
      <c r="AB48" s="170">
        <f t="shared" si="16"/>
        <v>630.96416099999999</v>
      </c>
      <c r="AD48" s="686">
        <f t="shared" si="17"/>
        <v>51.614145299715773</v>
      </c>
      <c r="AE48" s="687">
        <f t="shared" si="18"/>
        <v>-86.56102566378722</v>
      </c>
      <c r="AG48" s="686">
        <f t="shared" si="19"/>
        <v>49.024643704903454</v>
      </c>
      <c r="AH48" s="687">
        <f t="shared" si="20"/>
        <v>-7.3443074825767498</v>
      </c>
      <c r="AJ48" s="170">
        <f t="shared" si="21"/>
        <v>0</v>
      </c>
      <c r="AK48" s="170">
        <f t="shared" si="32"/>
        <v>0</v>
      </c>
      <c r="AM48" s="170" t="str">
        <f t="shared" si="26"/>
        <v>3.65055116025026E-07+0.000854464802471182i</v>
      </c>
      <c r="AN48" s="170" t="str">
        <f t="shared" si="27"/>
        <v>0.00085446490644678i</v>
      </c>
      <c r="AO48" s="170" t="str">
        <f t="shared" si="28"/>
        <v>0.999999878314958-0.000427232427301288i</v>
      </c>
      <c r="AP48" s="170" t="str">
        <f t="shared" si="29"/>
        <v>0.166666605824147-0.000142410800411864i</v>
      </c>
      <c r="AQ48" s="170" t="str">
        <f t="shared" si="30"/>
        <v>0.833333394175853+0.000142410800411864i</v>
      </c>
      <c r="AR48" s="170" t="str">
        <f t="shared" si="31"/>
        <v>0.999599897825471-0.000170824573377054i</v>
      </c>
    </row>
    <row r="49" spans="1:44" ht="13">
      <c r="A49" s="170">
        <v>0.1</v>
      </c>
      <c r="C49" s="333" t="s">
        <v>803</v>
      </c>
      <c r="D49" s="761">
        <f>Fco_desire*1000</f>
        <v>7000</v>
      </c>
      <c r="E49" s="761" t="s">
        <v>8</v>
      </c>
      <c r="G49" s="688">
        <v>27.542000000000002</v>
      </c>
      <c r="H49" s="676">
        <f t="shared" si="23"/>
        <v>2.7542000000000001E-2</v>
      </c>
      <c r="I49" s="677">
        <f t="shared" si="0"/>
        <v>1.0100064389267587</v>
      </c>
      <c r="J49" s="678">
        <f t="shared" si="1"/>
        <v>0.14088083316838115</v>
      </c>
      <c r="K49" s="678">
        <f t="shared" si="2"/>
        <v>1.0000000001323051</v>
      </c>
      <c r="L49" s="679">
        <f t="shared" si="3"/>
        <v>1.6266840014629615E-5</v>
      </c>
      <c r="M49" s="678">
        <f t="shared" si="4"/>
        <v>1.0000000165092799</v>
      </c>
      <c r="N49" s="679">
        <f t="shared" si="5"/>
        <v>-1.8171009776735261E-4</v>
      </c>
      <c r="O49" s="677">
        <f t="shared" si="6"/>
        <v>519.15543170139733</v>
      </c>
      <c r="P49" s="680">
        <f t="shared" si="7"/>
        <v>1.5688701201960333</v>
      </c>
      <c r="Q49" s="689">
        <f t="shared" si="8"/>
        <v>1.0020477630274078</v>
      </c>
      <c r="R49" s="690">
        <f t="shared" si="9"/>
        <v>6.3941765354206231E-2</v>
      </c>
      <c r="S49" s="677">
        <f t="shared" si="10"/>
        <v>1.000000106264721</v>
      </c>
      <c r="T49" s="680">
        <f t="shared" si="11"/>
        <v>4.6100913545550848E-4</v>
      </c>
      <c r="U49" s="681">
        <f t="shared" si="24"/>
        <v>0.99959985815260521</v>
      </c>
      <c r="V49" s="682">
        <f t="shared" si="25"/>
        <v>-6.5582107417418492E-4</v>
      </c>
      <c r="W49" s="683">
        <f t="shared" si="12"/>
        <v>54.639545461548344</v>
      </c>
      <c r="X49" s="684">
        <f t="shared" si="13"/>
        <v>-94.371389322535592</v>
      </c>
      <c r="Y49" s="687">
        <f t="shared" si="14"/>
        <v>85.628610677464408</v>
      </c>
      <c r="AA49" s="170">
        <f t="shared" si="15"/>
        <v>1000000000</v>
      </c>
      <c r="AB49" s="170">
        <f t="shared" si="16"/>
        <v>758.56176400000004</v>
      </c>
      <c r="AD49" s="686">
        <f t="shared" si="17"/>
        <v>50.817269591908961</v>
      </c>
      <c r="AE49" s="687">
        <f t="shared" si="18"/>
        <v>-86.252457178339412</v>
      </c>
      <c r="AG49" s="686">
        <f t="shared" si="19"/>
        <v>49.010216613425868</v>
      </c>
      <c r="AH49" s="687">
        <f t="shared" si="20"/>
        <v>-8.0437805847784691</v>
      </c>
      <c r="AJ49" s="170">
        <f t="shared" si="21"/>
        <v>0</v>
      </c>
      <c r="AK49" s="170">
        <f t="shared" si="32"/>
        <v>0</v>
      </c>
      <c r="AM49" s="170" t="str">
        <f t="shared" si="26"/>
        <v>4.3887888800942E-07+0.000936887177457162i</v>
      </c>
      <c r="AN49" s="170" t="str">
        <f t="shared" si="27"/>
        <v>0.000936887314517187i</v>
      </c>
      <c r="AO49" s="170" t="str">
        <f t="shared" si="28"/>
        <v>0.999999853707033-0.000468443623057903i</v>
      </c>
      <c r="AP49" s="170" t="str">
        <f t="shared" si="29"/>
        <v>0.166666593520185-0.000156147862909527i</v>
      </c>
      <c r="AQ49" s="170" t="str">
        <f t="shared" si="30"/>
        <v>0.833333406479815+0.000156147862909527i</v>
      </c>
      <c r="AR49" s="170" t="str">
        <f t="shared" si="31"/>
        <v>0.999599877163091-0.000187302445059753i</v>
      </c>
    </row>
    <row r="50" spans="1:44">
      <c r="A50" s="170">
        <v>0.2</v>
      </c>
      <c r="C50" s="760" t="s">
        <v>810</v>
      </c>
      <c r="D50" s="170">
        <f>SQRT(1+(D49/Zero1)^2)*SQRT(1+(D49/z_RHP)^2)/SQRT(1+(D49/pole1)^2)/D58</f>
        <v>2.8027200595957435E-2</v>
      </c>
      <c r="G50" s="688">
        <v>30.2</v>
      </c>
      <c r="H50" s="676">
        <f t="shared" si="23"/>
        <v>3.0199999999999998E-2</v>
      </c>
      <c r="I50" s="677">
        <f t="shared" si="0"/>
        <v>1.0120189868769724</v>
      </c>
      <c r="J50" s="678">
        <f t="shared" si="1"/>
        <v>0.15427137582176975</v>
      </c>
      <c r="K50" s="678">
        <f t="shared" si="2"/>
        <v>1.0000000001590741</v>
      </c>
      <c r="L50" s="679">
        <f t="shared" si="3"/>
        <v>1.7836706427748431E-5</v>
      </c>
      <c r="M50" s="678">
        <f t="shared" si="4"/>
        <v>1.0000000198495687</v>
      </c>
      <c r="N50" s="679">
        <f t="shared" si="5"/>
        <v>-1.9924642147824546E-4</v>
      </c>
      <c r="O50" s="677">
        <f t="shared" si="6"/>
        <v>569.25746651786142</v>
      </c>
      <c r="P50" s="680">
        <f t="shared" si="7"/>
        <v>1.5690396515238014</v>
      </c>
      <c r="Q50" s="689">
        <f t="shared" si="8"/>
        <v>1.0024615739019742</v>
      </c>
      <c r="R50" s="690">
        <f t="shared" si="9"/>
        <v>7.0093295411618975E-2</v>
      </c>
      <c r="S50" s="677">
        <f t="shared" si="10"/>
        <v>1.0000001277650412</v>
      </c>
      <c r="T50" s="680">
        <f t="shared" si="11"/>
        <v>5.0549980724703774E-4</v>
      </c>
      <c r="U50" s="681">
        <f t="shared" si="24"/>
        <v>0.9995998294529268</v>
      </c>
      <c r="V50" s="682">
        <f t="shared" si="25"/>
        <v>-7.1911248872269528E-4</v>
      </c>
      <c r="W50" s="683">
        <f t="shared" si="12"/>
        <v>53.825614254682435</v>
      </c>
      <c r="X50" s="684">
        <f t="shared" si="13"/>
        <v>-94.802957891467898</v>
      </c>
      <c r="Y50" s="687">
        <f t="shared" si="14"/>
        <v>85.197042108532102</v>
      </c>
      <c r="AA50" s="170">
        <f t="shared" si="15"/>
        <v>1000000000</v>
      </c>
      <c r="AB50" s="170">
        <f t="shared" si="16"/>
        <v>912.04</v>
      </c>
      <c r="AD50" s="686">
        <f t="shared" si="17"/>
        <v>50.020628966552721</v>
      </c>
      <c r="AE50" s="687">
        <f t="shared" si="18"/>
        <v>-85.912263025410795</v>
      </c>
      <c r="AG50" s="686">
        <f t="shared" si="19"/>
        <v>48.992926530680272</v>
      </c>
      <c r="AH50" s="687">
        <f t="shared" si="20"/>
        <v>-8.8082906447650213</v>
      </c>
      <c r="AJ50" s="170">
        <f t="shared" si="21"/>
        <v>0</v>
      </c>
      <c r="AK50" s="170">
        <f t="shared" si="32"/>
        <v>0</v>
      </c>
      <c r="AM50" s="170" t="str">
        <f t="shared" si="26"/>
        <v>5.27676339956429E-07+0.00102730346095883i</v>
      </c>
      <c r="AN50" s="170" t="str">
        <f t="shared" si="27"/>
        <v>0.00102730364165344i</v>
      </c>
      <c r="AO50" s="170" t="str">
        <f t="shared" si="28"/>
        <v>0.999999824107885-0.000513651775931736i</v>
      </c>
      <c r="AP50" s="170" t="str">
        <f t="shared" si="29"/>
        <v>0.16666657872061-0.000171217243493138i</v>
      </c>
      <c r="AQ50" s="170" t="str">
        <f t="shared" si="30"/>
        <v>0.83333342127939+0.000171217243493138i</v>
      </c>
      <c r="AR50" s="170" t="str">
        <f t="shared" si="31"/>
        <v>0.999599852309762-0.00020537845589568i</v>
      </c>
    </row>
    <row r="51" spans="1:44" ht="13">
      <c r="A51" s="170">
        <v>0.3</v>
      </c>
      <c r="C51" s="333" t="s">
        <v>811</v>
      </c>
      <c r="D51" s="761">
        <f>20*LOG(D50*Acs*Am)</f>
        <v>18.044817472176348</v>
      </c>
      <c r="E51" s="333" t="s">
        <v>781</v>
      </c>
      <c r="G51" s="688">
        <v>33.113</v>
      </c>
      <c r="H51" s="676">
        <f t="shared" si="23"/>
        <v>3.3112999999999997E-2</v>
      </c>
      <c r="I51" s="677">
        <f t="shared" si="0"/>
        <v>1.0144321311897206</v>
      </c>
      <c r="J51" s="678">
        <f t="shared" si="1"/>
        <v>0.16888262358911763</v>
      </c>
      <c r="K51" s="678">
        <f t="shared" si="2"/>
        <v>1.0000000001912417</v>
      </c>
      <c r="L51" s="679">
        <f t="shared" si="3"/>
        <v>1.9557180792363169E-5</v>
      </c>
      <c r="M51" s="678">
        <f t="shared" si="4"/>
        <v>1.0000000238635056</v>
      </c>
      <c r="N51" s="679">
        <f t="shared" si="5"/>
        <v>-2.1846512373358001E-4</v>
      </c>
      <c r="O51" s="677">
        <f t="shared" si="6"/>
        <v>624.16614558597371</v>
      </c>
      <c r="P51" s="680">
        <f t="shared" si="7"/>
        <v>1.569194188590382</v>
      </c>
      <c r="Q51" s="689">
        <f t="shared" si="8"/>
        <v>1.0029586137164259</v>
      </c>
      <c r="R51" s="690">
        <f t="shared" si="9"/>
        <v>7.6828869436903729E-2</v>
      </c>
      <c r="S51" s="677">
        <f t="shared" si="10"/>
        <v>1.0000001536014111</v>
      </c>
      <c r="T51" s="680">
        <f t="shared" si="11"/>
        <v>5.542587691742104E-4</v>
      </c>
      <c r="U51" s="681">
        <f t="shared" si="24"/>
        <v>0.99959979496526619</v>
      </c>
      <c r="V51" s="682">
        <f t="shared" si="25"/>
        <v>-7.884758750215195E-4</v>
      </c>
      <c r="W51" s="683">
        <f t="shared" si="12"/>
        <v>53.009403139708702</v>
      </c>
      <c r="X51" s="684">
        <f t="shared" si="13"/>
        <v>-95.270825566564753</v>
      </c>
      <c r="Y51" s="687">
        <f t="shared" si="14"/>
        <v>84.729174433435247</v>
      </c>
      <c r="AA51" s="170">
        <f t="shared" si="15"/>
        <v>1000000000</v>
      </c>
      <c r="AB51" s="170">
        <f t="shared" si="16"/>
        <v>1096.470769</v>
      </c>
      <c r="AD51" s="686">
        <f t="shared" si="17"/>
        <v>49.225104837741696</v>
      </c>
      <c r="AE51" s="687">
        <f t="shared" si="18"/>
        <v>-85.53799106516162</v>
      </c>
      <c r="AG51" s="686">
        <f t="shared" si="19"/>
        <v>48.972240143869442</v>
      </c>
      <c r="AH51" s="687">
        <f t="shared" si="20"/>
        <v>-9.6424818215266441</v>
      </c>
      <c r="AJ51" s="170">
        <f t="shared" si="21"/>
        <v>0</v>
      </c>
      <c r="AK51" s="170">
        <f t="shared" si="32"/>
        <v>0</v>
      </c>
      <c r="AM51" s="170" t="str">
        <f t="shared" si="26"/>
        <v>6.34381904007775E-07+0.00112639398320501i</v>
      </c>
      <c r="AN51" s="170" t="str">
        <f t="shared" si="27"/>
        <v>0.00112639422139306i</v>
      </c>
      <c r="AO51" s="170" t="str">
        <f t="shared" si="28"/>
        <v>0.999999788539354-0.000563197051227063i</v>
      </c>
      <c r="AP51" s="170" t="str">
        <f t="shared" si="29"/>
        <v>0.166666560936349-0.000187732330534168i</v>
      </c>
      <c r="AQ51" s="170" t="str">
        <f t="shared" si="30"/>
        <v>0.833333439063651+0.000187732330534168i</v>
      </c>
      <c r="AR51" s="170" t="str">
        <f t="shared" si="31"/>
        <v>0.999599822444171-0.000225188616551665i</v>
      </c>
    </row>
    <row r="52" spans="1:44">
      <c r="A52" s="170">
        <v>0.4</v>
      </c>
      <c r="C52" s="170" t="s">
        <v>694</v>
      </c>
      <c r="D52" s="170" t="str">
        <f>IMSUB(1,IMEXP(COMPLEX(0,-2*Pi*D49*Tsw)))</f>
        <v>0.028216091629891+0.235872922212183i</v>
      </c>
      <c r="G52" s="688">
        <v>36.308</v>
      </c>
      <c r="H52" s="676">
        <f t="shared" si="23"/>
        <v>3.6308E-2</v>
      </c>
      <c r="I52" s="677">
        <f t="shared" si="0"/>
        <v>1.0173266450482352</v>
      </c>
      <c r="J52" s="678">
        <f t="shared" si="1"/>
        <v>0.18482484615312481</v>
      </c>
      <c r="K52" s="678">
        <f t="shared" si="2"/>
        <v>1.0000000002299272</v>
      </c>
      <c r="L52" s="679">
        <f t="shared" si="3"/>
        <v>2.1444209832718533E-5</v>
      </c>
      <c r="M52" s="678">
        <f t="shared" si="4"/>
        <v>1.0000000286907458</v>
      </c>
      <c r="N52" s="679">
        <f t="shared" si="5"/>
        <v>-2.3954433868849927E-4</v>
      </c>
      <c r="O52" s="677">
        <f t="shared" si="6"/>
        <v>684.39040619475099</v>
      </c>
      <c r="P52" s="680">
        <f t="shared" si="7"/>
        <v>1.5693351719528978</v>
      </c>
      <c r="Q52" s="689">
        <f t="shared" si="8"/>
        <v>1.0035560375941874</v>
      </c>
      <c r="R52" s="690">
        <f t="shared" si="9"/>
        <v>8.420845131310474E-2</v>
      </c>
      <c r="S52" s="677">
        <f t="shared" si="10"/>
        <v>1.0000001846727407</v>
      </c>
      <c r="T52" s="680">
        <f t="shared" si="11"/>
        <v>6.0773795712631788E-4</v>
      </c>
      <c r="U52" s="681">
        <f t="shared" si="24"/>
        <v>0.99959975348973995</v>
      </c>
      <c r="V52" s="682">
        <f t="shared" si="25"/>
        <v>-8.6455414769847879E-4</v>
      </c>
      <c r="W52" s="683">
        <f t="shared" si="12"/>
        <v>52.189752329709407</v>
      </c>
      <c r="X52" s="684">
        <f t="shared" si="13"/>
        <v>-95.778029218647333</v>
      </c>
      <c r="Y52" s="687">
        <f t="shared" si="14"/>
        <v>84.221970781352667</v>
      </c>
      <c r="AA52" s="170">
        <f t="shared" si="15"/>
        <v>1000000000</v>
      </c>
      <c r="AB52" s="170">
        <f t="shared" si="16"/>
        <v>1318.2708640000001</v>
      </c>
      <c r="AD52" s="686">
        <f t="shared" si="17"/>
        <v>48.430202800497085</v>
      </c>
      <c r="AE52" s="687">
        <f t="shared" si="18"/>
        <v>-85.126314052028818</v>
      </c>
      <c r="AG52" s="686">
        <f t="shared" si="19"/>
        <v>48.947492091906923</v>
      </c>
      <c r="AH52" s="687">
        <f t="shared" si="20"/>
        <v>-10.552644558857997</v>
      </c>
      <c r="AJ52" s="170">
        <f t="shared" si="21"/>
        <v>0</v>
      </c>
      <c r="AK52" s="170">
        <f t="shared" si="32"/>
        <v>0</v>
      </c>
      <c r="AM52" s="170" t="str">
        <f t="shared" si="26"/>
        <v>7.62708123991374E-07+0.00123507719001046i</v>
      </c>
      <c r="AN52" s="170" t="str">
        <f t="shared" si="27"/>
        <v>0.00123507750401169i</v>
      </c>
      <c r="AO52" s="170" t="str">
        <f t="shared" si="28"/>
        <v>0.999999745763947-0.000617538673900221i</v>
      </c>
      <c r="AP52" s="170" t="str">
        <f t="shared" si="29"/>
        <v>0.166666539548646-0.000205846198335077i</v>
      </c>
      <c r="AQ52" s="170" t="str">
        <f t="shared" si="30"/>
        <v>0.833333460451354+0.000205846198335077i</v>
      </c>
      <c r="AR52" s="170" t="str">
        <f t="shared" si="31"/>
        <v>0.999599786527227-0.000246916541430771i</v>
      </c>
    </row>
    <row r="53" spans="1:44">
      <c r="A53" s="170">
        <v>0.5</v>
      </c>
      <c r="C53" s="170" t="s">
        <v>804</v>
      </c>
      <c r="D53" s="170" t="str">
        <f>COMPLEX(0, 2*Pi*D49*Tsw)</f>
        <v>0.238116738131592i</v>
      </c>
      <c r="G53" s="688">
        <v>39.811</v>
      </c>
      <c r="H53" s="676">
        <f t="shared" si="23"/>
        <v>3.9810999999999999E-2</v>
      </c>
      <c r="I53" s="677">
        <f t="shared" si="0"/>
        <v>1.0207955232280996</v>
      </c>
      <c r="J53" s="678">
        <f t="shared" si="1"/>
        <v>0.20219508642935258</v>
      </c>
      <c r="K53" s="678">
        <f t="shared" si="2"/>
        <v>1.000000000276434</v>
      </c>
      <c r="L53" s="679">
        <f t="shared" si="3"/>
        <v>2.3513149653626978E-5</v>
      </c>
      <c r="M53" s="678">
        <f t="shared" si="4"/>
        <v>1.0000000344939839</v>
      </c>
      <c r="N53" s="679">
        <f t="shared" si="5"/>
        <v>-2.6265560291486158E-4</v>
      </c>
      <c r="O53" s="677">
        <f t="shared" si="6"/>
        <v>750.42033622843962</v>
      </c>
      <c r="P53" s="680">
        <f t="shared" si="7"/>
        <v>1.5694637399130025</v>
      </c>
      <c r="Q53" s="689">
        <f t="shared" si="8"/>
        <v>1.0042737814699929</v>
      </c>
      <c r="R53" s="690">
        <f t="shared" si="9"/>
        <v>9.2288848383108982E-2</v>
      </c>
      <c r="S53" s="677">
        <f t="shared" si="10"/>
        <v>1.0000002220262409</v>
      </c>
      <c r="T53" s="680">
        <f t="shared" si="11"/>
        <v>6.6637256826739433E-4</v>
      </c>
      <c r="U53" s="681">
        <f t="shared" si="24"/>
        <v>0.99959970362846062</v>
      </c>
      <c r="V53" s="682">
        <f t="shared" si="25"/>
        <v>-9.479664070666991E-4</v>
      </c>
      <c r="W53" s="683">
        <f t="shared" si="12"/>
        <v>51.36638117081533</v>
      </c>
      <c r="X53" s="684">
        <f t="shared" si="13"/>
        <v>-96.327008751376908</v>
      </c>
      <c r="Y53" s="687">
        <f t="shared" si="14"/>
        <v>83.672991248623092</v>
      </c>
      <c r="AA53" s="170">
        <f t="shared" si="15"/>
        <v>1000000000</v>
      </c>
      <c r="AB53" s="170">
        <f t="shared" si="16"/>
        <v>1584.9157210000001</v>
      </c>
      <c r="AD53" s="686">
        <f t="shared" si="17"/>
        <v>47.636398771919055</v>
      </c>
      <c r="AE53" s="687">
        <f t="shared" si="18"/>
        <v>-84.674067319857315</v>
      </c>
      <c r="AG53" s="686">
        <f t="shared" si="19"/>
        <v>48.917925828116879</v>
      </c>
      <c r="AH53" s="687">
        <f t="shared" si="20"/>
        <v>-11.544312482905278</v>
      </c>
      <c r="AJ53" s="170">
        <f t="shared" si="21"/>
        <v>0</v>
      </c>
      <c r="AK53" s="170">
        <f t="shared" si="32"/>
        <v>0</v>
      </c>
      <c r="AM53" s="170" t="str">
        <f t="shared" si="26"/>
        <v>9.16980036014259E-07+0.00135423750917171i</v>
      </c>
      <c r="AN53" s="170" t="str">
        <f t="shared" si="27"/>
        <v>0.00135423792310812i</v>
      </c>
      <c r="AO53" s="170" t="str">
        <f t="shared" si="28"/>
        <v>0.999999694339966-0.000677118858043565i</v>
      </c>
      <c r="AP53" s="170" t="str">
        <f t="shared" si="29"/>
        <v>0.166666513836661-0.000225706251528618i</v>
      </c>
      <c r="AQ53" s="170" t="str">
        <f t="shared" si="30"/>
        <v>0.833333486163339+0.000225706251528618i</v>
      </c>
      <c r="AR53" s="170" t="str">
        <f t="shared" si="31"/>
        <v>0.999599743348405-0.000270739043667705i</v>
      </c>
    </row>
    <row r="54" spans="1:44">
      <c r="A54" s="170">
        <v>0.6</v>
      </c>
      <c r="C54" s="170" t="s">
        <v>805</v>
      </c>
      <c r="D54" s="170" t="str">
        <f>IMDIV(D52, D53)</f>
        <v>0.990576824052709-0.118496884558774i</v>
      </c>
      <c r="G54" s="688">
        <v>43.652000000000001</v>
      </c>
      <c r="H54" s="676">
        <f t="shared" si="23"/>
        <v>4.3652000000000003E-2</v>
      </c>
      <c r="I54" s="677">
        <f t="shared" si="0"/>
        <v>1.0249505384976525</v>
      </c>
      <c r="J54" s="678">
        <f t="shared" si="1"/>
        <v>0.22109986245647481</v>
      </c>
      <c r="K54" s="678">
        <f t="shared" si="2"/>
        <v>1.0000000003323484</v>
      </c>
      <c r="L54" s="679">
        <f t="shared" si="3"/>
        <v>2.5781718837554059E-5</v>
      </c>
      <c r="M54" s="678">
        <f t="shared" si="4"/>
        <v>1.0000000414710923</v>
      </c>
      <c r="N54" s="679">
        <f t="shared" si="5"/>
        <v>-2.8799684321190411E-4</v>
      </c>
      <c r="O54" s="677">
        <f t="shared" si="6"/>
        <v>822.82142181229267</v>
      </c>
      <c r="P54" s="680">
        <f t="shared" si="7"/>
        <v>1.5695809959592348</v>
      </c>
      <c r="Q54" s="689">
        <f t="shared" si="8"/>
        <v>1.005136030993995</v>
      </c>
      <c r="R54" s="690">
        <f t="shared" si="9"/>
        <v>0.1011350044536643</v>
      </c>
      <c r="S54" s="677">
        <f t="shared" si="10"/>
        <v>1.0000002669355501</v>
      </c>
      <c r="T54" s="680">
        <f t="shared" si="11"/>
        <v>7.3066475293542777E-4</v>
      </c>
      <c r="U54" s="681">
        <f t="shared" si="24"/>
        <v>0.99959964368133458</v>
      </c>
      <c r="V54" s="682">
        <f t="shared" si="25"/>
        <v>-1.0394270022039366E-3</v>
      </c>
      <c r="W54" s="683">
        <f t="shared" si="12"/>
        <v>50.538531729075018</v>
      </c>
      <c r="X54" s="684">
        <f t="shared" si="13"/>
        <v>-96.92028944347085</v>
      </c>
      <c r="Y54" s="687">
        <f t="shared" si="14"/>
        <v>83.07971055652915</v>
      </c>
      <c r="AA54" s="170">
        <f t="shared" si="15"/>
        <v>1000000000</v>
      </c>
      <c r="AB54" s="170">
        <f t="shared" si="16"/>
        <v>1905.497104</v>
      </c>
      <c r="AD54" s="686">
        <f t="shared" si="17"/>
        <v>46.843832813998063</v>
      </c>
      <c r="AE54" s="687">
        <f t="shared" si="18"/>
        <v>-84.177621858941848</v>
      </c>
      <c r="AG54" s="686">
        <f t="shared" si="19"/>
        <v>48.882643386102849</v>
      </c>
      <c r="AH54" s="687">
        <f t="shared" si="20"/>
        <v>-12.623558023716454</v>
      </c>
      <c r="AJ54" s="170">
        <f t="shared" si="21"/>
        <v>0</v>
      </c>
      <c r="AK54" s="170">
        <f t="shared" ref="AK54:AK85" si="33">IF(AJ54&gt;0,Y54,0)</f>
        <v>0</v>
      </c>
      <c r="AM54" s="170" t="str">
        <f t="shared" si="26"/>
        <v>1.10245783202512E-06+0.00148489543331017i</v>
      </c>
      <c r="AN54" s="170" t="str">
        <f t="shared" si="27"/>
        <v>0.00148489597898861i</v>
      </c>
      <c r="AO54" s="170" t="str">
        <f t="shared" si="28"/>
        <v>0.999999632514029-0.000742447853334497i</v>
      </c>
      <c r="AP54" s="170" t="str">
        <f t="shared" si="29"/>
        <v>0.166666482923695-0.000247482572218362i</v>
      </c>
      <c r="AQ54" s="170" t="str">
        <f t="shared" si="30"/>
        <v>0.833333517076305+0.000247482572218362i</v>
      </c>
      <c r="AR54" s="170" t="str">
        <f t="shared" si="31"/>
        <v>0.999599691435446-0.000296860137934993i</v>
      </c>
    </row>
    <row r="55" spans="1:44">
      <c r="A55" s="170">
        <v>0.7</v>
      </c>
      <c r="C55" s="170" t="s">
        <v>806</v>
      </c>
      <c r="D55" s="170" t="str">
        <f>IMDIV(IMEXP(COMPLEX(0,-2*Pi*D49*Tsw)),6)</f>
        <v>0.161963984728351-0.0393121537020305i</v>
      </c>
      <c r="G55" s="688">
        <v>47.863</v>
      </c>
      <c r="H55" s="676">
        <f t="shared" si="23"/>
        <v>4.7863000000000003E-2</v>
      </c>
      <c r="I55" s="677">
        <f t="shared" si="0"/>
        <v>1.0299230804820927</v>
      </c>
      <c r="J55" s="678">
        <f t="shared" si="1"/>
        <v>0.24164225920158874</v>
      </c>
      <c r="K55" s="678">
        <f t="shared" si="2"/>
        <v>1.000000000399563</v>
      </c>
      <c r="L55" s="679">
        <f t="shared" si="3"/>
        <v>2.8268817205776486E-5</v>
      </c>
      <c r="M55" s="678">
        <f t="shared" si="4"/>
        <v>1.0000000498582478</v>
      </c>
      <c r="N55" s="679">
        <f t="shared" si="5"/>
        <v>-3.1577918147110797E-4</v>
      </c>
      <c r="O55" s="677">
        <f t="shared" si="6"/>
        <v>902.19684824464866</v>
      </c>
      <c r="P55" s="680">
        <f t="shared" si="7"/>
        <v>1.5696879210110521</v>
      </c>
      <c r="Q55" s="689">
        <f t="shared" si="8"/>
        <v>1.0061715598767502</v>
      </c>
      <c r="R55" s="690">
        <f t="shared" si="9"/>
        <v>0.11081503520377985</v>
      </c>
      <c r="S55" s="677">
        <f t="shared" si="10"/>
        <v>1.0000003209208574</v>
      </c>
      <c r="T55" s="680">
        <f t="shared" si="11"/>
        <v>8.0115013770517207E-4</v>
      </c>
      <c r="U55" s="681">
        <f t="shared" si="24"/>
        <v>0.99959957161913304</v>
      </c>
      <c r="V55" s="682">
        <f t="shared" si="25"/>
        <v>-1.1396979018486204E-3</v>
      </c>
      <c r="W55" s="683">
        <f t="shared" si="12"/>
        <v>49.705522659764689</v>
      </c>
      <c r="X55" s="684">
        <f t="shared" si="13"/>
        <v>-97.560016450344833</v>
      </c>
      <c r="Y55" s="687">
        <f t="shared" si="14"/>
        <v>82.439983549655167</v>
      </c>
      <c r="AA55" s="170">
        <f t="shared" si="15"/>
        <v>1000000000</v>
      </c>
      <c r="AB55" s="170">
        <f t="shared" si="16"/>
        <v>2290.8667689999997</v>
      </c>
      <c r="AD55" s="686">
        <f t="shared" si="17"/>
        <v>46.052861953472515</v>
      </c>
      <c r="AE55" s="687">
        <f t="shared" si="18"/>
        <v>-83.633161820039248</v>
      </c>
      <c r="AG55" s="686">
        <f t="shared" si="19"/>
        <v>48.840606429668149</v>
      </c>
      <c r="AH55" s="687">
        <f t="shared" si="20"/>
        <v>-13.796254870764667</v>
      </c>
      <c r="AJ55" s="170">
        <f t="shared" si="21"/>
        <v>0</v>
      </c>
      <c r="AK55" s="170">
        <f t="shared" si="33"/>
        <v>0</v>
      </c>
      <c r="AM55" s="170" t="str">
        <f t="shared" si="26"/>
        <v>1.32541997099889E-06+0.00162813948598996i</v>
      </c>
      <c r="AN55" s="170" t="str">
        <f t="shared" si="27"/>
        <v>0.0016281402053132i</v>
      </c>
      <c r="AO55" s="170" t="str">
        <f t="shared" si="28"/>
        <v>0.999999558193307-0.000814069922647677i</v>
      </c>
      <c r="AP55" s="170" t="str">
        <f t="shared" si="29"/>
        <v>0.166666445763338-0.000271356580998327i</v>
      </c>
      <c r="AQ55" s="170" t="str">
        <f t="shared" si="30"/>
        <v>0.833333554236662+0.000271356580998327i</v>
      </c>
      <c r="AR55" s="170" t="str">
        <f t="shared" si="31"/>
        <v>0.999599629031091-0.000325497438957126i</v>
      </c>
    </row>
    <row r="56" spans="1:44">
      <c r="A56" s="170">
        <v>0.8</v>
      </c>
      <c r="C56" s="170" t="s">
        <v>807</v>
      </c>
      <c r="D56" s="170" t="str">
        <f>IMSUB(1, D55)</f>
        <v>0.838036015271649+0.0393121537020305i</v>
      </c>
      <c r="G56" s="688">
        <v>52.481000000000002</v>
      </c>
      <c r="H56" s="676">
        <f t="shared" si="23"/>
        <v>5.2481E-2</v>
      </c>
      <c r="I56" s="677">
        <f t="shared" si="0"/>
        <v>1.0358707169890062</v>
      </c>
      <c r="J56" s="678">
        <f t="shared" si="1"/>
        <v>0.26393290094857624</v>
      </c>
      <c r="K56" s="678">
        <f t="shared" si="2"/>
        <v>1.0000000004803853</v>
      </c>
      <c r="L56" s="679">
        <f t="shared" si="3"/>
        <v>3.0996297676627427E-5</v>
      </c>
      <c r="M56" s="678">
        <f t="shared" si="4"/>
        <v>1.0000000599434011</v>
      </c>
      <c r="N56" s="679">
        <f t="shared" si="5"/>
        <v>-3.4624672735435955E-4</v>
      </c>
      <c r="O56" s="677">
        <f t="shared" si="6"/>
        <v>989.24404862447921</v>
      </c>
      <c r="P56" s="680">
        <f t="shared" si="7"/>
        <v>1.5697854537229774</v>
      </c>
      <c r="Q56" s="689">
        <f t="shared" si="8"/>
        <v>1.0074153243513524</v>
      </c>
      <c r="R56" s="690">
        <f t="shared" si="9"/>
        <v>0.12140667128017837</v>
      </c>
      <c r="S56" s="677">
        <f t="shared" si="10"/>
        <v>1.0000003858356039</v>
      </c>
      <c r="T56" s="680">
        <f t="shared" si="11"/>
        <v>8.7844804039317133E-4</v>
      </c>
      <c r="U56" s="681">
        <f t="shared" si="24"/>
        <v>0.99959948496779216</v>
      </c>
      <c r="V56" s="682">
        <f t="shared" si="25"/>
        <v>-1.2496601346331721E-3</v>
      </c>
      <c r="W56" s="683">
        <f t="shared" si="12"/>
        <v>48.866193617310898</v>
      </c>
      <c r="X56" s="684">
        <f t="shared" si="13"/>
        <v>-98.248226917418535</v>
      </c>
      <c r="Y56" s="687">
        <f t="shared" si="14"/>
        <v>81.751773082581465</v>
      </c>
      <c r="AA56" s="170">
        <f t="shared" si="15"/>
        <v>1000000000</v>
      </c>
      <c r="AB56" s="170">
        <f t="shared" si="16"/>
        <v>2754.255361</v>
      </c>
      <c r="AD56" s="686">
        <f t="shared" si="17"/>
        <v>45.263548884173716</v>
      </c>
      <c r="AE56" s="687">
        <f t="shared" si="18"/>
        <v>-83.03632283038813</v>
      </c>
      <c r="AG56" s="686">
        <f t="shared" si="19"/>
        <v>48.7905919624042</v>
      </c>
      <c r="AH56" s="687">
        <f t="shared" si="20"/>
        <v>-15.068703583786311</v>
      </c>
      <c r="AJ56" s="170">
        <f t="shared" si="21"/>
        <v>0</v>
      </c>
      <c r="AK56" s="170">
        <f t="shared" si="33"/>
        <v>0</v>
      </c>
      <c r="AM56" s="170" t="str">
        <f t="shared" si="26"/>
        <v>1.59352125894685E-06+0.00178522827085929i</v>
      </c>
      <c r="AN56" s="170" t="str">
        <f t="shared" si="27"/>
        <v>0.0017852292191263i</v>
      </c>
      <c r="AO56" s="170" t="str">
        <f t="shared" si="28"/>
        <v>0.999999468826188-0.000892614372358709i</v>
      </c>
      <c r="AP56" s="170" t="str">
        <f t="shared" si="29"/>
        <v>0.16666640107979-0.000297538045143215i</v>
      </c>
      <c r="AQ56" s="170" t="str">
        <f t="shared" si="30"/>
        <v>0.83333359892021+0.000297538045143215i</v>
      </c>
      <c r="AR56" s="170" t="str">
        <f t="shared" si="31"/>
        <v>0.999599553992863-0.000356902562918915i</v>
      </c>
    </row>
    <row r="57" spans="1:44">
      <c r="A57" s="170">
        <v>0.9</v>
      </c>
      <c r="C57" s="170" t="s">
        <v>808</v>
      </c>
      <c r="D57" s="170" t="str">
        <f>IMDIV(0.833,D56)</f>
        <v>0.991808184741081-0.0465255849282738i</v>
      </c>
      <c r="G57" s="688">
        <v>57.544000000000004</v>
      </c>
      <c r="H57" s="676">
        <f t="shared" si="23"/>
        <v>5.7544000000000005E-2</v>
      </c>
      <c r="I57" s="677">
        <f t="shared" si="0"/>
        <v>1.0429756984563172</v>
      </c>
      <c r="J57" s="678">
        <f t="shared" si="1"/>
        <v>0.2880660149011981</v>
      </c>
      <c r="K57" s="678">
        <f t="shared" si="2"/>
        <v>1.0000000005775445</v>
      </c>
      <c r="L57" s="679">
        <f t="shared" si="3"/>
        <v>3.3986603787814955E-5</v>
      </c>
      <c r="M57" s="678">
        <f t="shared" si="4"/>
        <v>1.0000000720671369</v>
      </c>
      <c r="N57" s="679">
        <f t="shared" si="5"/>
        <v>-3.7965018802691119E-4</v>
      </c>
      <c r="O57" s="677">
        <f t="shared" si="6"/>
        <v>1084.6793056754391</v>
      </c>
      <c r="P57" s="680">
        <f t="shared" si="7"/>
        <v>1.5698743951820897</v>
      </c>
      <c r="Q57" s="689">
        <f t="shared" si="8"/>
        <v>1.0089084701384727</v>
      </c>
      <c r="R57" s="690">
        <f t="shared" si="9"/>
        <v>0.13298748046760978</v>
      </c>
      <c r="S57" s="677">
        <f t="shared" si="10"/>
        <v>1.0000004638720172</v>
      </c>
      <c r="T57" s="680">
        <f t="shared" si="11"/>
        <v>9.6319451623614065E-4</v>
      </c>
      <c r="U57" s="681">
        <f t="shared" si="24"/>
        <v>0.99959938080104671</v>
      </c>
      <c r="V57" s="682">
        <f t="shared" si="25"/>
        <v>-1.3702185377427328E-3</v>
      </c>
      <c r="W57" s="683">
        <f t="shared" si="12"/>
        <v>48.019725616008515</v>
      </c>
      <c r="X57" s="684">
        <f t="shared" si="13"/>
        <v>-98.986022623175302</v>
      </c>
      <c r="Y57" s="687">
        <f t="shared" si="14"/>
        <v>81.013977376824698</v>
      </c>
      <c r="AA57" s="170">
        <f t="shared" si="15"/>
        <v>1000000000</v>
      </c>
      <c r="AB57" s="170">
        <f t="shared" si="16"/>
        <v>3311.3119360000005</v>
      </c>
      <c r="AD57" s="686">
        <f t="shared" si="17"/>
        <v>44.476454346184923</v>
      </c>
      <c r="AE57" s="687">
        <f t="shared" si="18"/>
        <v>-82.382742925480443</v>
      </c>
      <c r="AG57" s="686">
        <f t="shared" si="19"/>
        <v>48.73122030937747</v>
      </c>
      <c r="AH57" s="687">
        <f t="shared" si="20"/>
        <v>-16.446264219068947</v>
      </c>
      <c r="AJ57" s="170">
        <f t="shared" si="21"/>
        <v>0</v>
      </c>
      <c r="AK57" s="170">
        <f t="shared" si="33"/>
        <v>0</v>
      </c>
      <c r="AM57" s="170" t="str">
        <f t="shared" si="26"/>
        <v>1.91581570696542E-06+0.0019574544041076i</v>
      </c>
      <c r="AN57" s="170" t="str">
        <f t="shared" si="27"/>
        <v>0.00195745565414919i</v>
      </c>
      <c r="AO57" s="170" t="str">
        <f t="shared" si="28"/>
        <v>0.999999361394682-0.000978727514416224i</v>
      </c>
      <c r="AP57" s="170" t="str">
        <f t="shared" si="29"/>
        <v>0.166666347364049-0.0003262424006846i</v>
      </c>
      <c r="AQ57" s="170" t="str">
        <f t="shared" si="30"/>
        <v>0.833333652635951+0.0003262424006846i</v>
      </c>
      <c r="AR57" s="170" t="str">
        <f t="shared" si="31"/>
        <v>0.999599463786667-0.000391333924601825i</v>
      </c>
    </row>
    <row r="58" spans="1:44">
      <c r="A58" s="170">
        <v>1</v>
      </c>
      <c r="C58" s="170" t="s">
        <v>809</v>
      </c>
      <c r="D58" s="170">
        <f>IMABS(IMPRODUCT(D54, D57))</f>
        <v>0.99055479521859013</v>
      </c>
      <c r="G58" s="688">
        <v>63.095999999999997</v>
      </c>
      <c r="H58" s="676">
        <f t="shared" si="23"/>
        <v>6.3095999999999999E-2</v>
      </c>
      <c r="I58" s="677">
        <f t="shared" si="0"/>
        <v>1.0514550147965356</v>
      </c>
      <c r="J58" s="678">
        <f t="shared" si="1"/>
        <v>0.31413816212545992</v>
      </c>
      <c r="K58" s="678">
        <f t="shared" si="2"/>
        <v>1.000000000694367</v>
      </c>
      <c r="L58" s="679">
        <f t="shared" si="3"/>
        <v>3.7265722793496472E-5</v>
      </c>
      <c r="M58" s="678">
        <f t="shared" si="4"/>
        <v>1.0000000866444656</v>
      </c>
      <c r="N58" s="679">
        <f t="shared" si="5"/>
        <v>-4.1627985595286759E-4</v>
      </c>
      <c r="O58" s="677">
        <f t="shared" si="6"/>
        <v>1189.3319994705332</v>
      </c>
      <c r="P58" s="680">
        <f t="shared" si="7"/>
        <v>1.569955518577955</v>
      </c>
      <c r="Q58" s="689">
        <f t="shared" si="8"/>
        <v>1.0107008770001391</v>
      </c>
      <c r="R58" s="690">
        <f t="shared" si="9"/>
        <v>0.14564557213508139</v>
      </c>
      <c r="S58" s="677">
        <f t="shared" si="10"/>
        <v>1.0000005577013755</v>
      </c>
      <c r="T58" s="680">
        <f t="shared" si="11"/>
        <v>1.0561260495423367E-3</v>
      </c>
      <c r="U58" s="681">
        <f t="shared" si="24"/>
        <v>0.9995992555531511</v>
      </c>
      <c r="V58" s="682">
        <f t="shared" si="25"/>
        <v>-1.5024208173174316E-3</v>
      </c>
      <c r="W58" s="683">
        <f t="shared" si="12"/>
        <v>47.164776194257229</v>
      </c>
      <c r="X58" s="684">
        <f t="shared" si="13"/>
        <v>-99.774049484838031</v>
      </c>
      <c r="Y58" s="687">
        <f t="shared" si="14"/>
        <v>80.225950515161969</v>
      </c>
      <c r="AA58" s="170">
        <f t="shared" si="15"/>
        <v>1000000000</v>
      </c>
      <c r="AB58" s="170">
        <f t="shared" si="16"/>
        <v>3981.1052159999995</v>
      </c>
      <c r="AD58" s="686">
        <f t="shared" si="17"/>
        <v>43.691836030557255</v>
      </c>
      <c r="AE58" s="687">
        <f t="shared" si="18"/>
        <v>-81.667460308272254</v>
      </c>
      <c r="AG58" s="686">
        <f t="shared" si="19"/>
        <v>48.660891379904776</v>
      </c>
      <c r="AH58" s="687">
        <f t="shared" si="20"/>
        <v>-17.934424432599283</v>
      </c>
      <c r="AJ58" s="170">
        <f t="shared" si="21"/>
        <v>0</v>
      </c>
      <c r="AK58" s="170">
        <f t="shared" si="33"/>
        <v>0</v>
      </c>
      <c r="AM58" s="170" t="str">
        <f t="shared" si="26"/>
        <v>2.30333582595943E-06+0.00214631459626847i</v>
      </c>
      <c r="AN58" s="170" t="str">
        <f t="shared" si="27"/>
        <v>0.00214631624416442i</v>
      </c>
      <c r="AO58" s="170" t="str">
        <f t="shared" si="28"/>
        <v>0.999999232221275-0.0010731577102032i</v>
      </c>
      <c r="AP58" s="170" t="str">
        <f t="shared" si="29"/>
        <v>0.166666282777362-0.000357719099378078i</v>
      </c>
      <c r="AQ58" s="170" t="str">
        <f t="shared" si="30"/>
        <v>0.833333717222638+0.000357719099378078i</v>
      </c>
      <c r="AR58" s="170" t="str">
        <f t="shared" si="31"/>
        <v>0.999599355324655-0.000429090739682756i</v>
      </c>
    </row>
    <row r="59" spans="1:44">
      <c r="A59" s="170">
        <v>1.2</v>
      </c>
      <c r="G59" s="688">
        <v>69.183000000000007</v>
      </c>
      <c r="H59" s="676">
        <f t="shared" si="23"/>
        <v>6.9183000000000008E-2</v>
      </c>
      <c r="I59" s="677">
        <f t="shared" si="0"/>
        <v>1.0615586567511579</v>
      </c>
      <c r="J59" s="678">
        <f t="shared" si="1"/>
        <v>0.34222279341677797</v>
      </c>
      <c r="K59" s="678">
        <f t="shared" si="2"/>
        <v>1.0000000008348033</v>
      </c>
      <c r="L59" s="679">
        <f t="shared" si="3"/>
        <v>4.0860823186590106E-5</v>
      </c>
      <c r="M59" s="678">
        <f t="shared" si="4"/>
        <v>1.0000001041683892</v>
      </c>
      <c r="N59" s="679">
        <f t="shared" si="5"/>
        <v>-4.5643921861819928E-4</v>
      </c>
      <c r="O59" s="677">
        <f t="shared" si="6"/>
        <v>1304.0692092449899</v>
      </c>
      <c r="P59" s="680">
        <f t="shared" si="7"/>
        <v>1.5700294962532999</v>
      </c>
      <c r="Q59" s="689">
        <f t="shared" si="8"/>
        <v>1.0128513944027506</v>
      </c>
      <c r="R59" s="690">
        <f t="shared" si="9"/>
        <v>0.15946946480284874</v>
      </c>
      <c r="S59" s="677">
        <f t="shared" si="10"/>
        <v>1.0000006704969653</v>
      </c>
      <c r="T59" s="680">
        <f t="shared" si="11"/>
        <v>1.1580125997074963E-3</v>
      </c>
      <c r="U59" s="681">
        <f t="shared" si="24"/>
        <v>0.99959910498826421</v>
      </c>
      <c r="V59" s="682">
        <f t="shared" si="25"/>
        <v>-1.6473622994739084E-3</v>
      </c>
      <c r="W59" s="683">
        <f t="shared" si="12"/>
        <v>46.30021908657973</v>
      </c>
      <c r="X59" s="684">
        <f t="shared" si="13"/>
        <v>-100.61160541266594</v>
      </c>
      <c r="Y59" s="687">
        <f t="shared" si="14"/>
        <v>79.388394587334062</v>
      </c>
      <c r="AA59" s="170">
        <f t="shared" si="15"/>
        <v>1000000000</v>
      </c>
      <c r="AB59" s="170">
        <f t="shared" si="16"/>
        <v>4786.2874890000012</v>
      </c>
      <c r="AD59" s="686">
        <f t="shared" si="17"/>
        <v>42.910346069234649</v>
      </c>
      <c r="AE59" s="687">
        <f t="shared" si="18"/>
        <v>-80.885485878962868</v>
      </c>
      <c r="AG59" s="686">
        <f t="shared" si="19"/>
        <v>48.577826850178667</v>
      </c>
      <c r="AH59" s="687">
        <f t="shared" si="20"/>
        <v>-19.53734571930973</v>
      </c>
      <c r="AJ59" s="170">
        <f t="shared" si="21"/>
        <v>0</v>
      </c>
      <c r="AK59" s="170">
        <f t="shared" si="33"/>
        <v>0</v>
      </c>
      <c r="AM59" s="170" t="str">
        <f t="shared" si="26"/>
        <v>2.76918744701593E-06+0.00235337358399501i</v>
      </c>
      <c r="AN59" s="170" t="str">
        <f t="shared" si="27"/>
        <v>0.00235337575630828i</v>
      </c>
      <c r="AO59" s="170" t="str">
        <f t="shared" si="28"/>
        <v>0.999999076937347-0.00117668733503056i</v>
      </c>
      <c r="AP59" s="170" t="str">
        <f t="shared" si="29"/>
        <v>0.166666205135425-0.000392228930665835i</v>
      </c>
      <c r="AQ59" s="170" t="str">
        <f t="shared" si="30"/>
        <v>0.833333794864575+0.000392228930665835i</v>
      </c>
      <c r="AR59" s="170" t="str">
        <f t="shared" si="31"/>
        <v>0.999599224938693-0.000470485821537835i</v>
      </c>
    </row>
    <row r="60" spans="1:44">
      <c r="A60" s="170">
        <v>1.5</v>
      </c>
      <c r="C60" s="170" t="s">
        <v>743</v>
      </c>
      <c r="D60" s="170">
        <f>10^(-D51/20)/O3*'Design Converter'!E40/10*Acs</f>
        <v>37898.098373509063</v>
      </c>
      <c r="G60" s="688">
        <v>75.858000000000004</v>
      </c>
      <c r="H60" s="676">
        <f t="shared" si="23"/>
        <v>7.5858000000000009E-2</v>
      </c>
      <c r="I60" s="677">
        <f t="shared" si="0"/>
        <v>1.0735813494654249</v>
      </c>
      <c r="J60" s="678">
        <f t="shared" si="1"/>
        <v>0.37238625628146471</v>
      </c>
      <c r="K60" s="678">
        <f t="shared" si="2"/>
        <v>1.0000000010036636</v>
      </c>
      <c r="L60" s="679">
        <f t="shared" si="3"/>
        <v>4.4803207795837372E-5</v>
      </c>
      <c r="M60" s="678">
        <f t="shared" si="4"/>
        <v>1.0000001252391004</v>
      </c>
      <c r="N60" s="679">
        <f t="shared" si="5"/>
        <v>-5.0047794630997844E-4</v>
      </c>
      <c r="O60" s="677">
        <f t="shared" si="6"/>
        <v>1429.8899611395004</v>
      </c>
      <c r="P60" s="680">
        <f t="shared" si="7"/>
        <v>1.5700969722230811</v>
      </c>
      <c r="Q60" s="689">
        <f t="shared" si="8"/>
        <v>1.0154311394565614</v>
      </c>
      <c r="R60" s="690">
        <f t="shared" si="9"/>
        <v>0.17455821031051269</v>
      </c>
      <c r="S60" s="677">
        <f t="shared" si="10"/>
        <v>1.0000008061220167</v>
      </c>
      <c r="T60" s="680">
        <f t="shared" si="11"/>
        <v>1.2697412926008444E-3</v>
      </c>
      <c r="U60" s="681">
        <f t="shared" si="24"/>
        <v>0.99959892394960181</v>
      </c>
      <c r="V60" s="682">
        <f t="shared" si="25"/>
        <v>-1.8063049898221484E-3</v>
      </c>
      <c r="W60" s="683">
        <f t="shared" si="12"/>
        <v>45.424452696296768</v>
      </c>
      <c r="X60" s="684">
        <f t="shared" si="13"/>
        <v>-101.49699486300192</v>
      </c>
      <c r="Y60" s="687">
        <f t="shared" si="14"/>
        <v>78.503005136998084</v>
      </c>
      <c r="AA60" s="170">
        <f t="shared" si="15"/>
        <v>1000000000</v>
      </c>
      <c r="AB60" s="170">
        <f t="shared" si="16"/>
        <v>5754.4361640000006</v>
      </c>
      <c r="AD60" s="686">
        <f t="shared" si="17"/>
        <v>42.132400307040932</v>
      </c>
      <c r="AE60" s="687">
        <f t="shared" si="18"/>
        <v>-80.031232113090923</v>
      </c>
      <c r="AG60" s="686">
        <f t="shared" si="19"/>
        <v>48.480009368314697</v>
      </c>
      <c r="AH60" s="687">
        <f t="shared" si="20"/>
        <v>-21.258775444814017</v>
      </c>
      <c r="AJ60" s="170">
        <f t="shared" si="21"/>
        <v>0</v>
      </c>
      <c r="AK60" s="170">
        <f t="shared" si="33"/>
        <v>0</v>
      </c>
      <c r="AM60" s="170" t="str">
        <f t="shared" si="26"/>
        <v>3.32932589997004E-06+0.00258043421074923i</v>
      </c>
      <c r="AN60" s="170" t="str">
        <f t="shared" si="27"/>
        <v>0.00258043707445519i</v>
      </c>
      <c r="AO60" s="170" t="str">
        <f t="shared" si="28"/>
        <v>0.999998890224455-0.00129021782120882i</v>
      </c>
      <c r="AP60" s="170" t="str">
        <f t="shared" si="29"/>
        <v>0.166666111779017-0.000430072368458205i</v>
      </c>
      <c r="AQ60" s="170" t="str">
        <f t="shared" si="30"/>
        <v>0.833333888220983+0.000430072368458205i</v>
      </c>
      <c r="AR60" s="170" t="str">
        <f t="shared" si="31"/>
        <v>0.999599068163122-0.000515879582997983i</v>
      </c>
    </row>
    <row r="61" spans="1:44">
      <c r="A61" s="170">
        <v>1.8</v>
      </c>
      <c r="C61" s="170" t="s">
        <v>744</v>
      </c>
      <c r="D61" s="170">
        <f>1/(6.28*D60*pole1*2)</f>
        <v>1.0817725742044621E-8</v>
      </c>
      <c r="G61" s="688">
        <v>83.176000000000002</v>
      </c>
      <c r="H61" s="676">
        <f t="shared" si="23"/>
        <v>8.3176E-2</v>
      </c>
      <c r="I61" s="677">
        <f t="shared" si="0"/>
        <v>1.0878579691312915</v>
      </c>
      <c r="J61" s="678">
        <f t="shared" si="1"/>
        <v>0.4046566046810568</v>
      </c>
      <c r="K61" s="678">
        <f t="shared" si="2"/>
        <v>1.0000000012066506</v>
      </c>
      <c r="L61" s="679">
        <f t="shared" si="3"/>
        <v>4.9125360688685118E-5</v>
      </c>
      <c r="M61" s="678">
        <f t="shared" si="4"/>
        <v>1.0000001505681864</v>
      </c>
      <c r="N61" s="679">
        <f t="shared" si="5"/>
        <v>-5.487589042599358E-4</v>
      </c>
      <c r="O61" s="677">
        <f t="shared" si="6"/>
        <v>1567.8309804503601</v>
      </c>
      <c r="P61" s="680">
        <f t="shared" si="7"/>
        <v>1.5701585028966114</v>
      </c>
      <c r="Q61" s="689">
        <f t="shared" si="8"/>
        <v>1.0185236008506673</v>
      </c>
      <c r="R61" s="690">
        <f t="shared" si="9"/>
        <v>0.19100844167441261</v>
      </c>
      <c r="S61" s="677">
        <f t="shared" si="10"/>
        <v>1.0000009691567671</v>
      </c>
      <c r="T61" s="680">
        <f t="shared" si="11"/>
        <v>1.392232727918282E-3</v>
      </c>
      <c r="U61" s="681">
        <f t="shared" si="24"/>
        <v>0.9995987063232753</v>
      </c>
      <c r="V61" s="682">
        <f t="shared" si="25"/>
        <v>-1.9805585125637101E-3</v>
      </c>
      <c r="W61" s="683">
        <f t="shared" si="12"/>
        <v>44.536184715443866</v>
      </c>
      <c r="X61" s="684">
        <f t="shared" si="13"/>
        <v>-102.42646713720684</v>
      </c>
      <c r="Y61" s="687">
        <f t="shared" si="14"/>
        <v>77.573532862793158</v>
      </c>
      <c r="AA61" s="170">
        <f t="shared" si="15"/>
        <v>1000000000</v>
      </c>
      <c r="AB61" s="170">
        <f t="shared" si="16"/>
        <v>6918.2469760000004</v>
      </c>
      <c r="AD61" s="686">
        <f t="shared" si="17"/>
        <v>41.358878781641494</v>
      </c>
      <c r="AE61" s="687">
        <f t="shared" si="18"/>
        <v>-79.099246973034852</v>
      </c>
      <c r="AG61" s="686">
        <f t="shared" si="19"/>
        <v>48.365266694935052</v>
      </c>
      <c r="AH61" s="687">
        <f t="shared" si="20"/>
        <v>-23.100264876215434</v>
      </c>
      <c r="AJ61" s="170">
        <f t="shared" si="21"/>
        <v>0</v>
      </c>
      <c r="AK61" s="170">
        <f t="shared" si="33"/>
        <v>0</v>
      </c>
      <c r="AM61" s="170" t="str">
        <f t="shared" si="26"/>
        <v>4.00266778499692E-06+0.00282936734082145i</v>
      </c>
      <c r="AN61" s="170" t="str">
        <f t="shared" si="27"/>
        <v>0.00282937111583333i</v>
      </c>
      <c r="AO61" s="170" t="str">
        <f t="shared" si="28"/>
        <v>0.999998665777049-0.00141468461404648i</v>
      </c>
      <c r="AP61" s="170" t="str">
        <f t="shared" si="29"/>
        <v>0.166665999555369-0.000471561223470242i</v>
      </c>
      <c r="AQ61" s="170" t="str">
        <f t="shared" si="30"/>
        <v>0.833334000444631+0.000471561223470242i</v>
      </c>
      <c r="AR61" s="170" t="str">
        <f t="shared" si="31"/>
        <v>0.999598879703471-0.000565646032012312i</v>
      </c>
    </row>
    <row r="62" spans="1:44">
      <c r="A62" s="170">
        <v>2</v>
      </c>
      <c r="C62" s="170" t="s">
        <v>812</v>
      </c>
      <c r="D62" s="170">
        <f>D61/150</f>
        <v>7.2118171613630809E-11</v>
      </c>
      <c r="G62" s="688">
        <v>91.201000000000008</v>
      </c>
      <c r="H62" s="676">
        <f t="shared" si="23"/>
        <v>9.1201000000000004E-2</v>
      </c>
      <c r="I62" s="677">
        <f t="shared" si="0"/>
        <v>1.1047800339995548</v>
      </c>
      <c r="J62" s="678">
        <f t="shared" si="1"/>
        <v>0.4390460884868963</v>
      </c>
      <c r="K62" s="678">
        <f t="shared" si="2"/>
        <v>1.0000000014507235</v>
      </c>
      <c r="L62" s="679">
        <f t="shared" si="3"/>
        <v>5.3865081507162646E-5</v>
      </c>
      <c r="M62" s="678">
        <f t="shared" si="4"/>
        <v>1.0000001810240811</v>
      </c>
      <c r="N62" s="679">
        <f t="shared" si="5"/>
        <v>-6.0170433552049214E-4</v>
      </c>
      <c r="O62" s="677">
        <f t="shared" si="6"/>
        <v>1719.0986384860187</v>
      </c>
      <c r="P62" s="680">
        <f t="shared" si="7"/>
        <v>1.5702146265747878</v>
      </c>
      <c r="Q62" s="689">
        <f t="shared" si="8"/>
        <v>1.0222296138419309</v>
      </c>
      <c r="R62" s="690">
        <f t="shared" si="9"/>
        <v>0.20892812461742036</v>
      </c>
      <c r="S62" s="677">
        <f t="shared" si="10"/>
        <v>1.0000011651910192</v>
      </c>
      <c r="T62" s="680">
        <f t="shared" si="11"/>
        <v>1.5265581468794965E-3</v>
      </c>
      <c r="U62" s="681">
        <f t="shared" si="24"/>
        <v>0.9995984446478241</v>
      </c>
      <c r="V62" s="682">
        <f t="shared" si="25"/>
        <v>-2.1716467912500791E-3</v>
      </c>
      <c r="W62" s="683">
        <f t="shared" si="12"/>
        <v>43.633624758046693</v>
      </c>
      <c r="X62" s="684">
        <f t="shared" si="13"/>
        <v>-103.3947396822924</v>
      </c>
      <c r="Y62" s="687">
        <f t="shared" si="14"/>
        <v>76.605260317707604</v>
      </c>
      <c r="AA62" s="170">
        <f t="shared" si="15"/>
        <v>1000000000</v>
      </c>
      <c r="AB62" s="170">
        <f t="shared" si="16"/>
        <v>8317.6224010000005</v>
      </c>
      <c r="AD62" s="686">
        <f t="shared" si="17"/>
        <v>40.590393219089805</v>
      </c>
      <c r="AE62" s="687">
        <f t="shared" si="18"/>
        <v>-78.083436698505267</v>
      </c>
      <c r="AG62" s="686">
        <f t="shared" si="19"/>
        <v>48.231196847683258</v>
      </c>
      <c r="AH62" s="687">
        <f t="shared" si="20"/>
        <v>-25.062450592039266</v>
      </c>
      <c r="AJ62" s="170">
        <f t="shared" si="21"/>
        <v>0</v>
      </c>
      <c r="AK62" s="170">
        <f t="shared" si="33"/>
        <v>0</v>
      </c>
      <c r="AM62" s="170" t="str">
        <f t="shared" si="26"/>
        <v>4.81229925097804E-06+0.00310234997127437i</v>
      </c>
      <c r="AN62" s="170" t="str">
        <f t="shared" si="27"/>
        <v>0.00310235494776276i</v>
      </c>
      <c r="AO62" s="170" t="str">
        <f t="shared" si="28"/>
        <v>0.999998395899736-0.00155117622967301i</v>
      </c>
      <c r="AP62" s="170" t="str">
        <f t="shared" si="29"/>
        <v>0.166665864616792-0.000517058328545728i</v>
      </c>
      <c r="AQ62" s="170" t="str">
        <f t="shared" si="30"/>
        <v>0.833334135383208+0.000517058328545728i</v>
      </c>
      <c r="AR62" s="170" t="str">
        <f t="shared" si="31"/>
        <v>0.999598653098299-0.000620220373607873i</v>
      </c>
    </row>
    <row r="63" spans="1:44">
      <c r="A63" s="170">
        <v>2.5</v>
      </c>
      <c r="G63" s="688">
        <v>100</v>
      </c>
      <c r="H63" s="676">
        <f t="shared" si="23"/>
        <v>0.1</v>
      </c>
      <c r="I63" s="677">
        <f t="shared" si="0"/>
        <v>1.1247873542359808</v>
      </c>
      <c r="J63" s="678">
        <f t="shared" si="1"/>
        <v>0.47551530000823278</v>
      </c>
      <c r="K63" s="678">
        <f t="shared" si="2"/>
        <v>1.0000000017441564</v>
      </c>
      <c r="L63" s="679">
        <f t="shared" si="3"/>
        <v>5.9061941751324496E-5</v>
      </c>
      <c r="M63" s="678">
        <f t="shared" si="4"/>
        <v>1.0000002176392111</v>
      </c>
      <c r="N63" s="679">
        <f t="shared" si="5"/>
        <v>-6.597562755154432E-4</v>
      </c>
      <c r="O63" s="677">
        <f t="shared" si="6"/>
        <v>1884.9558552582205</v>
      </c>
      <c r="P63" s="680">
        <f t="shared" si="7"/>
        <v>1.5702658103670883</v>
      </c>
      <c r="Q63" s="689">
        <f t="shared" si="8"/>
        <v>1.0266674016334854</v>
      </c>
      <c r="R63" s="690">
        <f t="shared" si="9"/>
        <v>0.22842047371967583</v>
      </c>
      <c r="S63" s="677">
        <f t="shared" si="10"/>
        <v>1.0000014008701354</v>
      </c>
      <c r="T63" s="680">
        <f t="shared" si="11"/>
        <v>1.6738390006993612E-3</v>
      </c>
      <c r="U63" s="681">
        <f t="shared" si="24"/>
        <v>0.99959813005278808</v>
      </c>
      <c r="V63" s="682">
        <f t="shared" si="25"/>
        <v>-2.3811651769343268E-3</v>
      </c>
      <c r="W63" s="683">
        <f t="shared" si="12"/>
        <v>42.715346677730793</v>
      </c>
      <c r="X63" s="684">
        <f t="shared" si="13"/>
        <v>-104.39384632825255</v>
      </c>
      <c r="Y63" s="687">
        <f t="shared" si="14"/>
        <v>75.60615367174745</v>
      </c>
      <c r="AA63" s="170">
        <f t="shared" si="15"/>
        <v>1000000000</v>
      </c>
      <c r="AB63" s="170">
        <f t="shared" si="16"/>
        <v>10000</v>
      </c>
      <c r="AD63" s="686">
        <f t="shared" si="17"/>
        <v>39.82800971396901</v>
      </c>
      <c r="AE63" s="687">
        <f t="shared" si="18"/>
        <v>-76.977978547492498</v>
      </c>
      <c r="AG63" s="686">
        <f t="shared" si="19"/>
        <v>48.07530773975995</v>
      </c>
      <c r="AH63" s="687">
        <f t="shared" si="20"/>
        <v>-27.143006350524551</v>
      </c>
      <c r="AJ63" s="170">
        <f t="shared" si="21"/>
        <v>0</v>
      </c>
      <c r="AK63" s="170">
        <f t="shared" si="33"/>
        <v>0</v>
      </c>
      <c r="AM63" s="170" t="str">
        <f t="shared" si="26"/>
        <v>5.78566594899854E-06+0.00340166112728734i</v>
      </c>
      <c r="AN63" s="170" t="str">
        <f t="shared" si="27"/>
        <v>0.00340166768759417i</v>
      </c>
      <c r="AO63" s="170" t="str">
        <f t="shared" si="28"/>
        <v>0.999998071443941-0.00170083220359789i</v>
      </c>
      <c r="AP63" s="170" t="str">
        <f t="shared" si="29"/>
        <v>0.166665702389008-0.000566943521214557i</v>
      </c>
      <c r="AQ63" s="170" t="str">
        <f t="shared" si="30"/>
        <v>0.833334297610992+0.000566943521214557i</v>
      </c>
      <c r="AR63" s="170" t="str">
        <f t="shared" si="31"/>
        <v>0.999598380666025-0.000680058203964279i</v>
      </c>
    </row>
    <row r="64" spans="1:44">
      <c r="A64" s="170">
        <v>3</v>
      </c>
      <c r="C64" s="170" t="s">
        <v>743</v>
      </c>
      <c r="D64" s="172">
        <f>D60/1000</f>
        <v>37.898098373509065</v>
      </c>
      <c r="G64" s="688">
        <v>109.65</v>
      </c>
      <c r="H64" s="676">
        <f t="shared" si="23"/>
        <v>0.10965000000000001</v>
      </c>
      <c r="I64" s="677">
        <f t="shared" si="0"/>
        <v>1.1483853864913736</v>
      </c>
      <c r="J64" s="678">
        <f t="shared" si="1"/>
        <v>0.51399391493759083</v>
      </c>
      <c r="K64" s="678">
        <f t="shared" si="2"/>
        <v>1.0000000020970206</v>
      </c>
      <c r="L64" s="679">
        <f t="shared" si="3"/>
        <v>6.4761419115092646E-5</v>
      </c>
      <c r="M64" s="678">
        <f t="shared" si="4"/>
        <v>1.0000002616702837</v>
      </c>
      <c r="N64" s="679">
        <f t="shared" si="5"/>
        <v>-7.2342273486730095E-4</v>
      </c>
      <c r="O64" s="677">
        <f t="shared" si="6"/>
        <v>2066.8540463485647</v>
      </c>
      <c r="P64" s="680">
        <f t="shared" si="7"/>
        <v>1.5703124996757145</v>
      </c>
      <c r="Q64" s="689">
        <f t="shared" si="8"/>
        <v>1.0319787362384851</v>
      </c>
      <c r="R64" s="690">
        <f t="shared" si="9"/>
        <v>0.24959632322122399</v>
      </c>
      <c r="S64" s="677">
        <f t="shared" si="10"/>
        <v>1.0000016842830859</v>
      </c>
      <c r="T64" s="680">
        <f t="shared" si="11"/>
        <v>1.8353641174899027E-3</v>
      </c>
      <c r="U64" s="681">
        <f t="shared" si="24"/>
        <v>0.9995977517407687</v>
      </c>
      <c r="V64" s="682">
        <f t="shared" si="25"/>
        <v>-2.6109471275758207E-3</v>
      </c>
      <c r="W64" s="683">
        <f t="shared" si="12"/>
        <v>41.7796436756486</v>
      </c>
      <c r="X64" s="684">
        <f t="shared" si="13"/>
        <v>-105.41363836954538</v>
      </c>
      <c r="Y64" s="687">
        <f t="shared" si="14"/>
        <v>74.586361630454618</v>
      </c>
      <c r="AA64" s="170">
        <f t="shared" si="15"/>
        <v>1000000000</v>
      </c>
      <c r="AB64" s="170">
        <f t="shared" si="16"/>
        <v>12023.122500000001</v>
      </c>
      <c r="AD64" s="686">
        <f t="shared" si="17"/>
        <v>39.072654260307118</v>
      </c>
      <c r="AE64" s="687">
        <f t="shared" si="18"/>
        <v>-75.776621549886954</v>
      </c>
      <c r="AG64" s="686">
        <f t="shared" si="19"/>
        <v>47.894966765935926</v>
      </c>
      <c r="AH64" s="687">
        <f t="shared" si="20"/>
        <v>-29.33782431743278</v>
      </c>
      <c r="AJ64" s="170">
        <f t="shared" si="21"/>
        <v>0</v>
      </c>
      <c r="AK64" s="170">
        <f t="shared" si="33"/>
        <v>0</v>
      </c>
      <c r="AM64" s="170" t="str">
        <f t="shared" si="26"/>
        <v>6.95617568802209E-06+0.00372991997076341i</v>
      </c>
      <c r="AN64" s="170" t="str">
        <f t="shared" si="27"/>
        <v>0.00372992861944701i</v>
      </c>
      <c r="AO64" s="170" t="str">
        <f t="shared" si="28"/>
        <v>0.999997681273696-0.00186496214746689i</v>
      </c>
      <c r="AP64" s="170" t="str">
        <f t="shared" si="29"/>
        <v>0.166665507304052-0.000621653328460568i</v>
      </c>
      <c r="AQ64" s="170" t="str">
        <f t="shared" si="30"/>
        <v>0.833334492695948+0.000621653328460568i</v>
      </c>
      <c r="AR64" s="170" t="str">
        <f t="shared" si="31"/>
        <v>0.9995980530564-0.000745683110745712i</v>
      </c>
    </row>
    <row r="65" spans="1:44">
      <c r="A65" s="170">
        <v>4</v>
      </c>
      <c r="C65" s="170" t="s">
        <v>744</v>
      </c>
      <c r="D65" s="172">
        <f>D61*1000000000</f>
        <v>10.817725742044621</v>
      </c>
      <c r="G65" s="688">
        <v>120.23</v>
      </c>
      <c r="H65" s="676">
        <f t="shared" si="23"/>
        <v>0.12023</v>
      </c>
      <c r="I65" s="677">
        <f t="shared" si="0"/>
        <v>1.1761275885946663</v>
      </c>
      <c r="J65" s="678">
        <f t="shared" si="1"/>
        <v>0.55434028154807302</v>
      </c>
      <c r="K65" s="678">
        <f t="shared" si="2"/>
        <v>1.0000000025212223</v>
      </c>
      <c r="L65" s="679">
        <f t="shared" si="3"/>
        <v>7.1010172530831052E-5</v>
      </c>
      <c r="M65" s="678">
        <f t="shared" si="4"/>
        <v>1.0000003146029683</v>
      </c>
      <c r="N65" s="679">
        <f t="shared" si="5"/>
        <v>-7.9322491877618006E-4</v>
      </c>
      <c r="O65" s="677">
        <f t="shared" si="6"/>
        <v>2266.2823264826561</v>
      </c>
      <c r="P65" s="680">
        <f t="shared" si="7"/>
        <v>1.5703550754906064</v>
      </c>
      <c r="Q65" s="689">
        <f t="shared" si="8"/>
        <v>1.0383278830492351</v>
      </c>
      <c r="R65" s="690">
        <f t="shared" si="9"/>
        <v>0.27255253060615708</v>
      </c>
      <c r="S65" s="677">
        <f t="shared" si="10"/>
        <v>1.000002024992577</v>
      </c>
      <c r="T65" s="680">
        <f t="shared" si="11"/>
        <v>2.0124557931958378E-3</v>
      </c>
      <c r="U65" s="681">
        <f t="shared" si="24"/>
        <v>0.99959729694721389</v>
      </c>
      <c r="V65" s="682">
        <f t="shared" si="25"/>
        <v>-2.8628737115666283E-3</v>
      </c>
      <c r="W65" s="683">
        <f t="shared" si="12"/>
        <v>40.825492932243364</v>
      </c>
      <c r="X65" s="684">
        <f t="shared" si="13"/>
        <v>-106.44068279286158</v>
      </c>
      <c r="Y65" s="687">
        <f t="shared" si="14"/>
        <v>73.55931720713842</v>
      </c>
      <c r="AA65" s="170">
        <f t="shared" si="15"/>
        <v>1000000000</v>
      </c>
      <c r="AB65" s="170">
        <f t="shared" si="16"/>
        <v>14455.252900000001</v>
      </c>
      <c r="AD65" s="686">
        <f t="shared" si="17"/>
        <v>38.325842606399931</v>
      </c>
      <c r="AE65" s="687">
        <f t="shared" si="18"/>
        <v>-74.473913771722152</v>
      </c>
      <c r="AG65" s="686">
        <f t="shared" si="19"/>
        <v>47.687635580192207</v>
      </c>
      <c r="AH65" s="687">
        <f t="shared" si="20"/>
        <v>-31.638707858861107</v>
      </c>
      <c r="AJ65" s="170">
        <f t="shared" si="21"/>
        <v>0</v>
      </c>
      <c r="AK65" s="170">
        <f t="shared" si="33"/>
        <v>0</v>
      </c>
      <c r="AM65" s="170" t="str">
        <f t="shared" si="26"/>
        <v>8.36332285603092E-06+0.00408981365927898i</v>
      </c>
      <c r="AN65" s="170" t="str">
        <f t="shared" si="27"/>
        <v>0.00408982506079447i</v>
      </c>
      <c r="AO65" s="170" t="str">
        <f t="shared" si="28"/>
        <v>0.999997212224161-0.00204490967992805i</v>
      </c>
      <c r="AP65" s="170" t="str">
        <f t="shared" si="29"/>
        <v>0.166665272779524-0.00068163560987983i</v>
      </c>
      <c r="AQ65" s="170" t="str">
        <f t="shared" si="30"/>
        <v>0.833334727220476+0.00068163560987983i</v>
      </c>
      <c r="AR65" s="170" t="str">
        <f t="shared" si="31"/>
        <v>0.999597659215689-0.000817632264464203i</v>
      </c>
    </row>
    <row r="66" spans="1:44">
      <c r="A66" s="170">
        <v>5</v>
      </c>
      <c r="C66" s="170" t="s">
        <v>812</v>
      </c>
      <c r="D66" s="172">
        <f>D62*1000000000000</f>
        <v>72.118171613630807</v>
      </c>
      <c r="G66" s="688">
        <v>131.83000000000001</v>
      </c>
      <c r="H66" s="676">
        <f t="shared" si="23"/>
        <v>0.13183</v>
      </c>
      <c r="I66" s="677">
        <f t="shared" si="0"/>
        <v>1.208636508923425</v>
      </c>
      <c r="J66" s="678">
        <f t="shared" si="1"/>
        <v>0.5963721553971062</v>
      </c>
      <c r="K66" s="678">
        <f t="shared" si="2"/>
        <v>1.0000000030311955</v>
      </c>
      <c r="L66" s="679">
        <f t="shared" si="3"/>
        <v>7.7861357743964015E-5</v>
      </c>
      <c r="M66" s="678">
        <f t="shared" si="4"/>
        <v>1.000000378238395</v>
      </c>
      <c r="N66" s="679">
        <f t="shared" si="5"/>
        <v>-8.6975660489055687E-4</v>
      </c>
      <c r="O66" s="677">
        <f t="shared" si="6"/>
        <v>2484.9371555093403</v>
      </c>
      <c r="P66" s="680">
        <f t="shared" si="7"/>
        <v>1.5703939021199813</v>
      </c>
      <c r="Q66" s="689">
        <f t="shared" si="8"/>
        <v>1.0459097797924353</v>
      </c>
      <c r="R66" s="690">
        <f t="shared" si="9"/>
        <v>0.2973870342057095</v>
      </c>
      <c r="S66" s="677">
        <f t="shared" si="10"/>
        <v>1.000002434591809</v>
      </c>
      <c r="T66" s="680">
        <f t="shared" si="11"/>
        <v>2.2066204339360042E-3</v>
      </c>
      <c r="U66" s="681">
        <f t="shared" si="24"/>
        <v>0.99959675019726646</v>
      </c>
      <c r="V66" s="682">
        <f t="shared" si="25"/>
        <v>-3.1390879085535003E-3</v>
      </c>
      <c r="W66" s="683">
        <f t="shared" si="12"/>
        <v>39.851825942631947</v>
      </c>
      <c r="X66" s="684">
        <f t="shared" si="13"/>
        <v>-107.4591872508304</v>
      </c>
      <c r="Y66" s="687">
        <f t="shared" si="14"/>
        <v>72.540812749169604</v>
      </c>
      <c r="AA66" s="170">
        <f t="shared" si="15"/>
        <v>1000000000</v>
      </c>
      <c r="AB66" s="170">
        <f t="shared" si="16"/>
        <v>17379.148900000004</v>
      </c>
      <c r="AD66" s="686">
        <f t="shared" si="17"/>
        <v>37.589005236832584</v>
      </c>
      <c r="AE66" s="687">
        <f t="shared" si="18"/>
        <v>-73.064350943995677</v>
      </c>
      <c r="AG66" s="686">
        <f t="shared" si="19"/>
        <v>47.450815461996555</v>
      </c>
      <c r="AH66" s="687">
        <f t="shared" si="20"/>
        <v>-34.035123329062365</v>
      </c>
      <c r="AJ66" s="170">
        <f t="shared" si="21"/>
        <v>0</v>
      </c>
      <c r="AK66" s="170">
        <f t="shared" si="33"/>
        <v>0</v>
      </c>
      <c r="AM66" s="170" t="str">
        <f t="shared" si="26"/>
        <v>0.000010054987847008+0.00448440348228744i</v>
      </c>
      <c r="AN66" s="170" t="str">
        <f t="shared" si="27"/>
        <v>0.0044844185125554i</v>
      </c>
      <c r="AO66" s="170" t="str">
        <f t="shared" si="28"/>
        <v>0.999996648335137-0.00224220549862958i</v>
      </c>
      <c r="AP66" s="170" t="str">
        <f t="shared" si="29"/>
        <v>0.166664990835359-0.00074740058038124i</v>
      </c>
      <c r="AQ66" s="170" t="str">
        <f t="shared" si="30"/>
        <v>0.833335009164641+0.00074740058038124i</v>
      </c>
      <c r="AR66" s="170" t="str">
        <f t="shared" si="31"/>
        <v>0.999597185743144-0.000896517617231507i</v>
      </c>
    </row>
    <row r="67" spans="1:44">
      <c r="A67" s="170">
        <v>6</v>
      </c>
      <c r="G67" s="688">
        <v>144.54</v>
      </c>
      <c r="H67" s="676">
        <f t="shared" si="23"/>
        <v>0.14454</v>
      </c>
      <c r="I67" s="677">
        <f t="shared" si="0"/>
        <v>1.2465710028575123</v>
      </c>
      <c r="J67" s="678">
        <f t="shared" si="1"/>
        <v>0.63982443048109916</v>
      </c>
      <c r="K67" s="678">
        <f t="shared" si="2"/>
        <v>1.0000000036438588</v>
      </c>
      <c r="L67" s="679">
        <f t="shared" si="3"/>
        <v>8.5368130499248384E-5</v>
      </c>
      <c r="M67" s="678">
        <f t="shared" si="4"/>
        <v>1.0000004546876853</v>
      </c>
      <c r="N67" s="679">
        <f t="shared" si="5"/>
        <v>-9.5361156992860153E-4</v>
      </c>
      <c r="O67" s="677">
        <f t="shared" si="6"/>
        <v>2724.5149933049083</v>
      </c>
      <c r="P67" s="680">
        <f t="shared" si="7"/>
        <v>1.5704292889826952</v>
      </c>
      <c r="Q67" s="689">
        <f t="shared" si="8"/>
        <v>1.0549463436530764</v>
      </c>
      <c r="R67" s="690">
        <f t="shared" si="9"/>
        <v>0.32416974115991948</v>
      </c>
      <c r="S67" s="677">
        <f t="shared" si="10"/>
        <v>1.0000029266692618</v>
      </c>
      <c r="T67" s="680">
        <f t="shared" si="11"/>
        <v>2.4193644306374201E-3</v>
      </c>
      <c r="U67" s="681">
        <f t="shared" si="24"/>
        <v>0.9995960933528194</v>
      </c>
      <c r="V67" s="682">
        <f t="shared" si="25"/>
        <v>-3.4417326768372242E-3</v>
      </c>
      <c r="W67" s="683">
        <f t="shared" si="12"/>
        <v>38.858637497412829</v>
      </c>
      <c r="X67" s="684">
        <f t="shared" si="13"/>
        <v>-108.45021470022222</v>
      </c>
      <c r="Y67" s="687">
        <f t="shared" si="14"/>
        <v>71.549785299777781</v>
      </c>
      <c r="AA67" s="170">
        <f t="shared" si="15"/>
        <v>1000000000</v>
      </c>
      <c r="AB67" s="170">
        <f t="shared" si="16"/>
        <v>20891.811599999997</v>
      </c>
      <c r="AD67" s="686">
        <f t="shared" si="17"/>
        <v>36.864248061979374</v>
      </c>
      <c r="AE67" s="687">
        <f t="shared" si="18"/>
        <v>-71.544031720858001</v>
      </c>
      <c r="AG67" s="686">
        <f t="shared" si="19"/>
        <v>47.182395606794316</v>
      </c>
      <c r="AH67" s="687">
        <f t="shared" si="20"/>
        <v>-36.511789465723517</v>
      </c>
      <c r="AJ67" s="170">
        <f t="shared" si="21"/>
        <v>0</v>
      </c>
      <c r="AK67" s="170">
        <f t="shared" si="33"/>
        <v>0</v>
      </c>
      <c r="AM67" s="170" t="str">
        <f t="shared" si="26"/>
        <v>0.0000120872916049564+0.00491675066548649i</v>
      </c>
      <c r="AN67" s="170" t="str">
        <f t="shared" si="27"/>
        <v>0.00491677047564862i</v>
      </c>
      <c r="AO67" s="170" t="str">
        <f t="shared" si="28"/>
        <v>0.999995970899551-0.00245838028535628i</v>
      </c>
      <c r="AP67" s="170" t="str">
        <f t="shared" si="29"/>
        <v>0.166664652118066-0.000819458444247748i</v>
      </c>
      <c r="AQ67" s="170" t="str">
        <f t="shared" si="30"/>
        <v>0.833335347881934+0.000819458444247748i</v>
      </c>
      <c r="AR67" s="170" t="str">
        <f t="shared" si="31"/>
        <v>0.999596616931756-0.000982951090060159i</v>
      </c>
    </row>
    <row r="68" spans="1:44">
      <c r="A68" s="170">
        <v>7</v>
      </c>
      <c r="G68" s="688">
        <v>158.49</v>
      </c>
      <c r="H68" s="676">
        <f t="shared" si="23"/>
        <v>0.15849000000000002</v>
      </c>
      <c r="I68" s="677">
        <f t="shared" si="0"/>
        <v>1.2907454624731065</v>
      </c>
      <c r="J68" s="678">
        <f t="shared" si="1"/>
        <v>0.68448291413597262</v>
      </c>
      <c r="K68" s="678">
        <f t="shared" si="2"/>
        <v>1.0000000043811605</v>
      </c>
      <c r="L68" s="679">
        <f t="shared" si="3"/>
        <v>9.3607271317112359E-5</v>
      </c>
      <c r="M68" s="678">
        <f t="shared" si="4"/>
        <v>1.0000005466895876</v>
      </c>
      <c r="N68" s="679">
        <f t="shared" si="5"/>
        <v>-1.045647491683998E-3</v>
      </c>
      <c r="O68" s="677">
        <f t="shared" si="6"/>
        <v>2987.4662819569107</v>
      </c>
      <c r="P68" s="680">
        <f t="shared" si="7"/>
        <v>1.5704615949772645</v>
      </c>
      <c r="Q68" s="689">
        <f t="shared" si="8"/>
        <v>1.0657196928356836</v>
      </c>
      <c r="R68" s="690">
        <f t="shared" si="9"/>
        <v>0.35301953298217481</v>
      </c>
      <c r="S68" s="677">
        <f t="shared" si="10"/>
        <v>1.0000035188531877</v>
      </c>
      <c r="T68" s="680">
        <f t="shared" si="11"/>
        <v>2.6528636863989781E-3</v>
      </c>
      <c r="U68" s="681">
        <f t="shared" si="24"/>
        <v>0.99959530288348708</v>
      </c>
      <c r="V68" s="682">
        <f t="shared" si="25"/>
        <v>-3.7739034072883839E-3</v>
      </c>
      <c r="W68" s="683">
        <f t="shared" si="12"/>
        <v>37.844130748979147</v>
      </c>
      <c r="X68" s="684">
        <f t="shared" si="13"/>
        <v>-109.39504872476734</v>
      </c>
      <c r="Y68" s="687">
        <f t="shared" si="14"/>
        <v>70.604951275232665</v>
      </c>
      <c r="AA68" s="170">
        <f t="shared" si="15"/>
        <v>1000000000</v>
      </c>
      <c r="AB68" s="170">
        <f t="shared" si="16"/>
        <v>25119.080100000003</v>
      </c>
      <c r="AD68" s="686">
        <f t="shared" si="17"/>
        <v>36.152219110090329</v>
      </c>
      <c r="AE68" s="687">
        <f t="shared" si="18"/>
        <v>-69.906289926756713</v>
      </c>
      <c r="AG68" s="686">
        <f t="shared" si="19"/>
        <v>46.879931547662508</v>
      </c>
      <c r="AH68" s="687">
        <f t="shared" si="20"/>
        <v>-39.056301322461138</v>
      </c>
      <c r="AJ68" s="170">
        <f t="shared" si="21"/>
        <v>0</v>
      </c>
      <c r="AK68" s="170">
        <f t="shared" si="33"/>
        <v>0</v>
      </c>
      <c r="AM68" s="170" t="str">
        <f t="shared" si="26"/>
        <v>0.0000145330394539789+0.00539127700070239i</v>
      </c>
      <c r="AN68" s="170" t="str">
        <f t="shared" si="27"/>
        <v>0.005391303118068i</v>
      </c>
      <c r="AO68" s="170" t="str">
        <f t="shared" si="28"/>
        <v>0.999995155648822-0.00269564502972834i</v>
      </c>
      <c r="AP68" s="170" t="str">
        <f t="shared" si="29"/>
        <v>0.166664244493424-0.000898546166783732i</v>
      </c>
      <c r="AQ68" s="170" t="str">
        <f t="shared" si="30"/>
        <v>0.833335755506576+0.000898546166783732i</v>
      </c>
      <c r="AR68" s="170" t="str">
        <f t="shared" si="31"/>
        <v>0.999595932405028-0.001077816579284i</v>
      </c>
    </row>
    <row r="69" spans="1:44">
      <c r="A69" s="170">
        <v>8</v>
      </c>
      <c r="G69" s="688">
        <v>173.78</v>
      </c>
      <c r="H69" s="676">
        <f t="shared" si="23"/>
        <v>0.17377999999999999</v>
      </c>
      <c r="I69" s="677">
        <f t="shared" si="0"/>
        <v>1.3419124947972045</v>
      </c>
      <c r="J69" s="678">
        <f t="shared" si="1"/>
        <v>0.72995400532349497</v>
      </c>
      <c r="K69" s="678">
        <f t="shared" si="2"/>
        <v>1.0000000052672633</v>
      </c>
      <c r="L69" s="679">
        <f t="shared" si="3"/>
        <v>1.0263784213438232E-4</v>
      </c>
      <c r="M69" s="678">
        <f t="shared" si="4"/>
        <v>1.0000006572591384</v>
      </c>
      <c r="N69" s="679">
        <f t="shared" si="5"/>
        <v>-1.1465241195675623E-3</v>
      </c>
      <c r="O69" s="677">
        <f t="shared" si="6"/>
        <v>3275.6759769422538</v>
      </c>
      <c r="P69" s="680">
        <f t="shared" si="7"/>
        <v>1.5704910462901789</v>
      </c>
      <c r="Q69" s="689">
        <f t="shared" si="8"/>
        <v>1.0785249254473024</v>
      </c>
      <c r="R69" s="690">
        <f t="shared" si="9"/>
        <v>0.38394990543083074</v>
      </c>
      <c r="S69" s="677">
        <f t="shared" si="10"/>
        <v>1.0000042305501551</v>
      </c>
      <c r="T69" s="680">
        <f t="shared" si="11"/>
        <v>2.9087919281212378E-3</v>
      </c>
      <c r="U69" s="681">
        <f t="shared" si="24"/>
        <v>0.99959435288539156</v>
      </c>
      <c r="V69" s="682">
        <f t="shared" si="25"/>
        <v>-4.1379811072190615E-3</v>
      </c>
      <c r="W69" s="683">
        <f t="shared" si="12"/>
        <v>36.810230927556759</v>
      </c>
      <c r="X69" s="684">
        <f t="shared" si="13"/>
        <v>-110.27064409168739</v>
      </c>
      <c r="Y69" s="687">
        <f t="shared" si="14"/>
        <v>69.729355908312613</v>
      </c>
      <c r="AA69" s="170">
        <f t="shared" si="15"/>
        <v>1000000000</v>
      </c>
      <c r="AB69" s="170">
        <f t="shared" si="16"/>
        <v>30199.488400000002</v>
      </c>
      <c r="AD69" s="686">
        <f t="shared" si="17"/>
        <v>35.455998369868304</v>
      </c>
      <c r="AE69" s="687">
        <f t="shared" si="18"/>
        <v>-68.150461168714671</v>
      </c>
      <c r="AG69" s="686">
        <f t="shared" si="19"/>
        <v>46.542268976308705</v>
      </c>
      <c r="AH69" s="687">
        <f t="shared" si="20"/>
        <v>-41.646005216133801</v>
      </c>
      <c r="AJ69" s="170">
        <f t="shared" si="21"/>
        <v>0</v>
      </c>
      <c r="AK69" s="170">
        <f t="shared" si="33"/>
        <v>0</v>
      </c>
      <c r="AM69" s="170" t="str">
        <f t="shared" si="26"/>
        <v>0.0000174723811400268+0.00591138367861096i</v>
      </c>
      <c r="AN69" s="170" t="str">
        <f t="shared" si="27"/>
        <v>0.00591141810750115i</v>
      </c>
      <c r="AO69" s="170" t="str">
        <f t="shared" si="28"/>
        <v>0.999994175866169-0.00295570044654017i</v>
      </c>
      <c r="AP69" s="170" t="str">
        <f t="shared" si="29"/>
        <v>0.166663754603143-0.000985230613101827i</v>
      </c>
      <c r="AQ69" s="170" t="str">
        <f t="shared" si="30"/>
        <v>0.833336245396857+0.000985230613101827i</v>
      </c>
      <c r="AR69" s="170" t="str">
        <f t="shared" si="31"/>
        <v>0.9995951097312-0.00118179391362613i</v>
      </c>
    </row>
    <row r="70" spans="1:44">
      <c r="A70" s="170">
        <v>9</v>
      </c>
      <c r="G70" s="688">
        <v>190.55</v>
      </c>
      <c r="H70" s="676">
        <f t="shared" si="23"/>
        <v>0.19055000000000002</v>
      </c>
      <c r="I70" s="677">
        <f t="shared" si="0"/>
        <v>1.4009742262018796</v>
      </c>
      <c r="J70" s="678">
        <f t="shared" si="1"/>
        <v>0.77590284794202991</v>
      </c>
      <c r="K70" s="678">
        <f t="shared" si="2"/>
        <v>1.0000000063329104</v>
      </c>
      <c r="L70" s="679">
        <f t="shared" si="3"/>
        <v>1.1254252966286218E-4</v>
      </c>
      <c r="M70" s="678">
        <f t="shared" si="4"/>
        <v>1.0000007902325685</v>
      </c>
      <c r="N70" s="679">
        <f t="shared" si="5"/>
        <v>-1.2571651030985048E-3</v>
      </c>
      <c r="O70" s="677">
        <f t="shared" si="6"/>
        <v>3591.7830159516307</v>
      </c>
      <c r="P70" s="680">
        <f t="shared" si="7"/>
        <v>1.5705179135365015</v>
      </c>
      <c r="Q70" s="689">
        <f t="shared" si="8"/>
        <v>1.0937262398481116</v>
      </c>
      <c r="R70" s="690">
        <f t="shared" si="9"/>
        <v>0.41700625811314018</v>
      </c>
      <c r="S70" s="677">
        <f t="shared" si="10"/>
        <v>1.000005086452378</v>
      </c>
      <c r="T70" s="680">
        <f t="shared" si="11"/>
        <v>3.1894923790839963E-3</v>
      </c>
      <c r="U70" s="681">
        <f t="shared" si="24"/>
        <v>0.99959321039956017</v>
      </c>
      <c r="V70" s="682">
        <f t="shared" si="25"/>
        <v>-4.5372991945620634E-3</v>
      </c>
      <c r="W70" s="683">
        <f t="shared" si="12"/>
        <v>35.757481517580054</v>
      </c>
      <c r="X70" s="684">
        <f t="shared" si="13"/>
        <v>-111.05560269000665</v>
      </c>
      <c r="Y70" s="687">
        <f t="shared" si="14"/>
        <v>68.944397309993349</v>
      </c>
      <c r="AA70" s="170">
        <f t="shared" si="15"/>
        <v>1000000000</v>
      </c>
      <c r="AB70" s="170">
        <f t="shared" si="16"/>
        <v>36309.302500000005</v>
      </c>
      <c r="AD70" s="686">
        <f t="shared" si="17"/>
        <v>34.777376701430036</v>
      </c>
      <c r="AE70" s="687">
        <f t="shared" si="18"/>
        <v>-66.274094002747347</v>
      </c>
      <c r="AG70" s="686">
        <f t="shared" si="19"/>
        <v>46.168161089847445</v>
      </c>
      <c r="AH70" s="687">
        <f t="shared" si="20"/>
        <v>-44.261572498192152</v>
      </c>
      <c r="AJ70" s="170">
        <f t="shared" si="21"/>
        <v>0</v>
      </c>
      <c r="AK70" s="170">
        <f t="shared" si="33"/>
        <v>0</v>
      </c>
      <c r="AM70" s="170" t="str">
        <f t="shared" si="26"/>
        <v>0.0000210072962180119+0.00648183238973828i</v>
      </c>
      <c r="AN70" s="170" t="str">
        <f t="shared" si="27"/>
        <v>0.0064818777787107i</v>
      </c>
      <c r="AO70" s="170" t="str">
        <f t="shared" si="28"/>
        <v>0.99999299755812-0.00324092754217134i</v>
      </c>
      <c r="AP70" s="170" t="str">
        <f t="shared" si="29"/>
        <v>0.16666316545063-0.00108030539828971i</v>
      </c>
      <c r="AQ70" s="170" t="str">
        <f t="shared" si="30"/>
        <v>0.83333683454937+0.00108030539828971i</v>
      </c>
      <c r="AR70" s="170" t="str">
        <f t="shared" si="31"/>
        <v>0.999594120369163-0.00129583486480278i</v>
      </c>
    </row>
    <row r="71" spans="1:44">
      <c r="A71" s="170">
        <v>10</v>
      </c>
      <c r="G71" s="688">
        <v>208.93</v>
      </c>
      <c r="H71" s="676">
        <f t="shared" si="23"/>
        <v>0.20893</v>
      </c>
      <c r="I71" s="677">
        <f t="shared" si="0"/>
        <v>1.468812833752668</v>
      </c>
      <c r="J71" s="678">
        <f t="shared" si="1"/>
        <v>0.8219120987426366</v>
      </c>
      <c r="K71" s="678">
        <f t="shared" si="2"/>
        <v>1.0000000076135473</v>
      </c>
      <c r="L71" s="679">
        <f t="shared" si="3"/>
        <v>1.2339811441819444E-4</v>
      </c>
      <c r="M71" s="678">
        <f t="shared" si="4"/>
        <v>1.000000950032784</v>
      </c>
      <c r="N71" s="679">
        <f t="shared" si="5"/>
        <v>-1.3784281133999454E-3</v>
      </c>
      <c r="O71" s="677">
        <f t="shared" si="6"/>
        <v>3938.2378411473387</v>
      </c>
      <c r="P71" s="680">
        <f t="shared" si="7"/>
        <v>1.5705424061199444</v>
      </c>
      <c r="Q71" s="689">
        <f t="shared" si="8"/>
        <v>1.1117193970788672</v>
      </c>
      <c r="R71" s="690">
        <f t="shared" si="9"/>
        <v>0.45215523699979776</v>
      </c>
      <c r="S71" s="677">
        <f t="shared" si="10"/>
        <v>1.0000061150281656</v>
      </c>
      <c r="T71" s="680">
        <f t="shared" si="11"/>
        <v>3.4971408334578315E-3</v>
      </c>
      <c r="U71" s="681">
        <f t="shared" si="24"/>
        <v>0.99959183742711288</v>
      </c>
      <c r="V71" s="682">
        <f t="shared" si="25"/>
        <v>-4.9749529067207197E-3</v>
      </c>
      <c r="W71" s="683">
        <f t="shared" si="12"/>
        <v>34.688629862100363</v>
      </c>
      <c r="X71" s="684">
        <f t="shared" si="13"/>
        <v>-111.72828230558464</v>
      </c>
      <c r="Y71" s="687">
        <f t="shared" si="14"/>
        <v>68.271717694415358</v>
      </c>
      <c r="AA71" s="170">
        <f t="shared" si="15"/>
        <v>1000000000</v>
      </c>
      <c r="AB71" s="170">
        <f t="shared" si="16"/>
        <v>43651.744900000005</v>
      </c>
      <c r="AD71" s="686">
        <f t="shared" si="17"/>
        <v>34.119261835201364</v>
      </c>
      <c r="AE71" s="687">
        <f t="shared" si="18"/>
        <v>-64.279236135737975</v>
      </c>
      <c r="AG71" s="686">
        <f t="shared" si="19"/>
        <v>45.757448161293411</v>
      </c>
      <c r="AH71" s="687">
        <f t="shared" si="20"/>
        <v>-46.878958559532393</v>
      </c>
      <c r="AJ71" s="170">
        <f t="shared" si="21"/>
        <v>0</v>
      </c>
      <c r="AK71" s="170">
        <f t="shared" si="33"/>
        <v>0</v>
      </c>
      <c r="AM71" s="170" t="str">
        <f t="shared" si="26"/>
        <v>0.000025255359456966+0.00710704446876518i</v>
      </c>
      <c r="AN71" s="170" t="str">
        <f t="shared" si="27"/>
        <v>0.00710710429969051i</v>
      </c>
      <c r="AO71" s="170" t="str">
        <f t="shared" si="28"/>
        <v>0.999991581532674-0.00355353719208339i</v>
      </c>
      <c r="AP71" s="170" t="str">
        <f t="shared" si="29"/>
        <v>0.166662457440091-0.00118450741146086i</v>
      </c>
      <c r="AQ71" s="170" t="str">
        <f t="shared" si="30"/>
        <v>0.833337542559909+0.00118450741146086i</v>
      </c>
      <c r="AR71" s="170" t="str">
        <f t="shared" si="31"/>
        <v>0.999592931413642-0.00142082310616436i</v>
      </c>
    </row>
    <row r="72" spans="1:44">
      <c r="A72" s="170">
        <v>11</v>
      </c>
      <c r="G72" s="688">
        <v>229.09</v>
      </c>
      <c r="H72" s="676">
        <f t="shared" si="23"/>
        <v>0.22909000000000002</v>
      </c>
      <c r="I72" s="677">
        <f t="shared" si="0"/>
        <v>1.5464631885162685</v>
      </c>
      <c r="J72" s="678">
        <f t="shared" si="1"/>
        <v>0.8676292121617174</v>
      </c>
      <c r="K72" s="678">
        <f t="shared" si="2"/>
        <v>1.0000000091537218</v>
      </c>
      <c r="L72" s="679">
        <f t="shared" si="3"/>
        <v>1.3530500168974178E-4</v>
      </c>
      <c r="M72" s="678">
        <f t="shared" si="4"/>
        <v>1.0000011422185435</v>
      </c>
      <c r="N72" s="679">
        <f t="shared" si="5"/>
        <v>-1.51143471995097E-3</v>
      </c>
      <c r="O72" s="677">
        <f t="shared" si="6"/>
        <v>4318.2448769187858</v>
      </c>
      <c r="P72" s="680">
        <f t="shared" si="7"/>
        <v>1.5705647512271739</v>
      </c>
      <c r="Q72" s="689">
        <f t="shared" si="8"/>
        <v>1.1329806734230894</v>
      </c>
      <c r="R72" s="690">
        <f t="shared" si="9"/>
        <v>0.48937338022790544</v>
      </c>
      <c r="S72" s="677">
        <f t="shared" si="10"/>
        <v>1.0000073520567223</v>
      </c>
      <c r="T72" s="680">
        <f t="shared" si="11"/>
        <v>3.8345825531766425E-3</v>
      </c>
      <c r="U72" s="681">
        <f t="shared" si="24"/>
        <v>0.99959018621115714</v>
      </c>
      <c r="V72" s="682">
        <f t="shared" si="25"/>
        <v>-5.4549898519844686E-3</v>
      </c>
      <c r="W72" s="683">
        <f t="shared" si="12"/>
        <v>33.605583745772933</v>
      </c>
      <c r="X72" s="684">
        <f t="shared" si="13"/>
        <v>-112.2702942888517</v>
      </c>
      <c r="Y72" s="687">
        <f t="shared" si="14"/>
        <v>67.729705711148299</v>
      </c>
      <c r="AA72" s="170">
        <f t="shared" si="15"/>
        <v>1000000000</v>
      </c>
      <c r="AB72" s="170">
        <f t="shared" si="16"/>
        <v>52482.2281</v>
      </c>
      <c r="AD72" s="686">
        <f t="shared" si="17"/>
        <v>33.483690947184741</v>
      </c>
      <c r="AE72" s="687">
        <f t="shared" si="18"/>
        <v>-62.167407871749411</v>
      </c>
      <c r="AG72" s="686">
        <f t="shared" si="19"/>
        <v>45.310001629278169</v>
      </c>
      <c r="AH72" s="687">
        <f t="shared" si="20"/>
        <v>-49.477790624777185</v>
      </c>
      <c r="AJ72" s="170">
        <f t="shared" si="21"/>
        <v>0</v>
      </c>
      <c r="AK72" s="170">
        <f t="shared" si="33"/>
        <v>0</v>
      </c>
      <c r="AM72" s="170" t="str">
        <f t="shared" si="26"/>
        <v>0.0000303643396200037+0.00779280163012639i</v>
      </c>
      <c r="AN72" s="170" t="str">
        <f t="shared" si="27"/>
        <v>0.00779288050550949i</v>
      </c>
      <c r="AO72" s="170" t="str">
        <f t="shared" si="28"/>
        <v>0.999989878532971-0.0038964205339138i</v>
      </c>
      <c r="AP72" s="170" t="str">
        <f t="shared" si="29"/>
        <v>0.166661605943397-0.00129880027168773i</v>
      </c>
      <c r="AQ72" s="170" t="str">
        <f t="shared" si="30"/>
        <v>0.833338394056603+0.00129880027168773i</v>
      </c>
      <c r="AR72" s="170" t="str">
        <f t="shared" si="31"/>
        <v>0.999591501509577-0.00155791419547772i</v>
      </c>
    </row>
    <row r="73" spans="1:44">
      <c r="A73" s="170">
        <v>12</v>
      </c>
      <c r="G73" s="688">
        <v>251.19</v>
      </c>
      <c r="H73" s="676">
        <f t="shared" si="23"/>
        <v>0.25119000000000002</v>
      </c>
      <c r="I73" s="677">
        <f t="shared" si="0"/>
        <v>1.6349250659296637</v>
      </c>
      <c r="J73" s="678">
        <f t="shared" si="1"/>
        <v>0.91265326658135137</v>
      </c>
      <c r="K73" s="678">
        <f t="shared" si="2"/>
        <v>1.0000000110050022</v>
      </c>
      <c r="L73" s="679">
        <f t="shared" si="3"/>
        <v>1.4835769056920686E-4</v>
      </c>
      <c r="M73" s="678">
        <f t="shared" si="4"/>
        <v>1.0000013732246285</v>
      </c>
      <c r="N73" s="679">
        <f t="shared" si="5"/>
        <v>-1.6572405117455157E-3</v>
      </c>
      <c r="O73" s="677">
        <f t="shared" si="6"/>
        <v>4734.8200521216349</v>
      </c>
      <c r="P73" s="680">
        <f t="shared" si="7"/>
        <v>1.5705851255250645</v>
      </c>
      <c r="Q73" s="689">
        <f t="shared" si="8"/>
        <v>1.1580201196614139</v>
      </c>
      <c r="R73" s="690">
        <f t="shared" si="9"/>
        <v>0.52854272588314288</v>
      </c>
      <c r="S73" s="677">
        <f t="shared" si="10"/>
        <v>1.0000088389556248</v>
      </c>
      <c r="T73" s="680">
        <f t="shared" si="11"/>
        <v>4.2044953369528093E-3</v>
      </c>
      <c r="U73" s="681">
        <f t="shared" si="24"/>
        <v>0.99958820146970673</v>
      </c>
      <c r="V73" s="682">
        <f t="shared" si="25"/>
        <v>-5.9812194097868957E-3</v>
      </c>
      <c r="W73" s="683">
        <f t="shared" si="12"/>
        <v>32.512338126099138</v>
      </c>
      <c r="X73" s="684">
        <f t="shared" si="13"/>
        <v>-112.66586311959126</v>
      </c>
      <c r="Y73" s="687">
        <f t="shared" si="14"/>
        <v>67.334136880408735</v>
      </c>
      <c r="AA73" s="170">
        <f t="shared" si="15"/>
        <v>1000000000</v>
      </c>
      <c r="AB73" s="170">
        <f t="shared" si="16"/>
        <v>63096.416100000002</v>
      </c>
      <c r="AD73" s="686">
        <f t="shared" si="17"/>
        <v>32.873625863736422</v>
      </c>
      <c r="AE73" s="687">
        <f t="shared" si="18"/>
        <v>-59.945531479454345</v>
      </c>
      <c r="AG73" s="686">
        <f t="shared" si="19"/>
        <v>44.826855585712877</v>
      </c>
      <c r="AH73" s="687">
        <f t="shared" si="20"/>
        <v>-52.034934382308705</v>
      </c>
      <c r="AJ73" s="170">
        <f t="shared" si="21"/>
        <v>0</v>
      </c>
      <c r="AK73" s="170">
        <f t="shared" si="33"/>
        <v>0</v>
      </c>
      <c r="AM73" s="170" t="str">
        <f t="shared" si="26"/>
        <v>0.0000365052917089548+0.00854454508924587i</v>
      </c>
      <c r="AN73" s="170" t="str">
        <f t="shared" si="27"/>
        <v>0.0085446490644678i</v>
      </c>
      <c r="AO73" s="170" t="str">
        <f t="shared" si="28"/>
        <v>0.999987831539816-0.0042722985383635i</v>
      </c>
      <c r="AP73" s="170" t="str">
        <f t="shared" si="29"/>
        <v>0.166660582451382-0.00142409084820764i</v>
      </c>
      <c r="AQ73" s="170" t="str">
        <f t="shared" si="30"/>
        <v>0.833339417548618+0.00142409084820764i</v>
      </c>
      <c r="AR73" s="170" t="str">
        <f t="shared" si="31"/>
        <v>0.999589782785946-0.00170819552231763i</v>
      </c>
    </row>
    <row r="74" spans="1:44">
      <c r="A74" s="170">
        <v>13</v>
      </c>
      <c r="G74" s="688">
        <v>275.42</v>
      </c>
      <c r="H74" s="676">
        <f t="shared" si="23"/>
        <v>0.27542</v>
      </c>
      <c r="I74" s="677">
        <f t="shared" si="0"/>
        <v>1.7353099629032418</v>
      </c>
      <c r="J74" s="678">
        <f t="shared" si="1"/>
        <v>0.9566440411793572</v>
      </c>
      <c r="K74" s="678">
        <f t="shared" si="2"/>
        <v>1.0000000132305042</v>
      </c>
      <c r="L74" s="679">
        <f t="shared" si="3"/>
        <v>1.6266839872585407E-4</v>
      </c>
      <c r="M74" s="678">
        <f t="shared" si="4"/>
        <v>1.0000016509266552</v>
      </c>
      <c r="N74" s="679">
        <f t="shared" si="5"/>
        <v>-1.8170989977415418E-3</v>
      </c>
      <c r="O74" s="677">
        <f t="shared" si="6"/>
        <v>5191.5447822884489</v>
      </c>
      <c r="P74" s="680">
        <f t="shared" si="7"/>
        <v>1.5706037058991671</v>
      </c>
      <c r="Q74" s="689">
        <f t="shared" si="8"/>
        <v>1.1874223927580245</v>
      </c>
      <c r="R74" s="690">
        <f t="shared" si="9"/>
        <v>0.56951925874604004</v>
      </c>
      <c r="S74" s="677">
        <f t="shared" si="10"/>
        <v>1.0000106264161939</v>
      </c>
      <c r="T74" s="680">
        <f t="shared" si="11"/>
        <v>4.6100590222227997E-3</v>
      </c>
      <c r="U74" s="681">
        <f t="shared" si="24"/>
        <v>0.99958581554363202</v>
      </c>
      <c r="V74" s="682">
        <f t="shared" si="25"/>
        <v>-6.5581651502723947E-3</v>
      </c>
      <c r="W74" s="683">
        <f t="shared" si="12"/>
        <v>31.412640208373837</v>
      </c>
      <c r="X74" s="684">
        <f t="shared" si="13"/>
        <v>-112.90426394355076</v>
      </c>
      <c r="Y74" s="687">
        <f t="shared" si="14"/>
        <v>67.09573605644924</v>
      </c>
      <c r="AA74" s="170">
        <f t="shared" si="15"/>
        <v>1000000000</v>
      </c>
      <c r="AB74" s="170">
        <f t="shared" si="16"/>
        <v>75856.176400000011</v>
      </c>
      <c r="AD74" s="686">
        <f t="shared" si="17"/>
        <v>32.291530405223163</v>
      </c>
      <c r="AE74" s="687">
        <f t="shared" si="18"/>
        <v>-57.622050749183849</v>
      </c>
      <c r="AG74" s="686">
        <f t="shared" si="19"/>
        <v>44.309294591406633</v>
      </c>
      <c r="AH74" s="687">
        <f t="shared" si="20"/>
        <v>-54.530702824587415</v>
      </c>
      <c r="AJ74" s="170">
        <f t="shared" si="21"/>
        <v>0</v>
      </c>
      <c r="AK74" s="170">
        <f t="shared" si="33"/>
        <v>0</v>
      </c>
      <c r="AM74" s="170" t="str">
        <f t="shared" si="26"/>
        <v>0.0000438875709819486+0.00936873608574246i</v>
      </c>
      <c r="AN74" s="170" t="str">
        <f t="shared" si="27"/>
        <v>0.00936887314517187i</v>
      </c>
      <c r="AO74" s="170" t="str">
        <f t="shared" si="28"/>
        <v>0.99998537076687-0.00468440230771675i</v>
      </c>
      <c r="AP74" s="170" t="str">
        <f t="shared" si="29"/>
        <v>0.166659352071503-0.00156145601429041i</v>
      </c>
      <c r="AQ74" s="170" t="str">
        <f t="shared" si="30"/>
        <v>0.833340647928497+0.00156145601429041i</v>
      </c>
      <c r="AR74" s="170" t="str">
        <f t="shared" si="31"/>
        <v>0.999587716654294-0.00187295826245906i</v>
      </c>
    </row>
    <row r="75" spans="1:44">
      <c r="A75" s="170">
        <v>14</v>
      </c>
      <c r="G75" s="688">
        <v>302</v>
      </c>
      <c r="H75" s="676">
        <f t="shared" si="23"/>
        <v>0.30199999999999999</v>
      </c>
      <c r="I75" s="677">
        <f t="shared" si="0"/>
        <v>1.8488490960458077</v>
      </c>
      <c r="J75" s="678">
        <f t="shared" si="1"/>
        <v>0.99931685590775798</v>
      </c>
      <c r="K75" s="678">
        <f t="shared" si="2"/>
        <v>1.0000000159074047</v>
      </c>
      <c r="L75" s="679">
        <f t="shared" si="3"/>
        <v>1.7836706240482864E-4</v>
      </c>
      <c r="M75" s="678">
        <f t="shared" si="4"/>
        <v>1.000001984954906</v>
      </c>
      <c r="N75" s="679">
        <f t="shared" si="5"/>
        <v>-1.9924616045180412E-3</v>
      </c>
      <c r="O75" s="677">
        <f t="shared" si="6"/>
        <v>5692.5659696338535</v>
      </c>
      <c r="P75" s="680">
        <f t="shared" si="7"/>
        <v>1.570620659088896</v>
      </c>
      <c r="Q75" s="689">
        <f t="shared" si="8"/>
        <v>1.2218513473423531</v>
      </c>
      <c r="R75" s="690">
        <f t="shared" si="9"/>
        <v>0.61212266735042709</v>
      </c>
      <c r="S75" s="677">
        <f t="shared" si="10"/>
        <v>1.0000127764233142</v>
      </c>
      <c r="T75" s="680">
        <f t="shared" si="11"/>
        <v>5.0549554468896536E-3</v>
      </c>
      <c r="U75" s="681">
        <f t="shared" si="24"/>
        <v>0.99958294570139272</v>
      </c>
      <c r="V75" s="682">
        <f t="shared" si="25"/>
        <v>-7.1910647794436204E-3</v>
      </c>
      <c r="W75" s="683">
        <f t="shared" si="12"/>
        <v>30.310144813191933</v>
      </c>
      <c r="X75" s="684">
        <f t="shared" si="13"/>
        <v>-112.98011320297721</v>
      </c>
      <c r="Y75" s="687">
        <f t="shared" si="14"/>
        <v>67.019886797022792</v>
      </c>
      <c r="AA75" s="170">
        <f t="shared" si="15"/>
        <v>1000000000</v>
      </c>
      <c r="AB75" s="170">
        <f t="shared" si="16"/>
        <v>91204</v>
      </c>
      <c r="AD75" s="686">
        <f t="shared" si="17"/>
        <v>31.739545124652849</v>
      </c>
      <c r="AE75" s="687">
        <f t="shared" si="18"/>
        <v>-55.207517274196746</v>
      </c>
      <c r="AG75" s="686">
        <f t="shared" si="19"/>
        <v>43.758834351789986</v>
      </c>
      <c r="AH75" s="687">
        <f t="shared" si="20"/>
        <v>-56.948560603704287</v>
      </c>
      <c r="AJ75" s="170">
        <f t="shared" si="21"/>
        <v>0</v>
      </c>
      <c r="AK75" s="170">
        <f t="shared" si="33"/>
        <v>0</v>
      </c>
      <c r="AM75" s="170" t="str">
        <f t="shared" si="26"/>
        <v>0.000052767174538948+0.0102728557228635i</v>
      </c>
      <c r="AN75" s="170" t="str">
        <f t="shared" si="27"/>
        <v>0.0102730364165344i</v>
      </c>
      <c r="AO75" s="170" t="str">
        <f t="shared" si="28"/>
        <v>0.999982410879941-0.00513647303479033i</v>
      </c>
      <c r="AP75" s="170" t="str">
        <f t="shared" si="29"/>
        <v>0.166657872137577-0.00171214262047725i</v>
      </c>
      <c r="AQ75" s="170" t="str">
        <f t="shared" si="30"/>
        <v>0.833342127862423+0.00171214262047725i</v>
      </c>
      <c r="AR75" s="170" t="str">
        <f t="shared" si="31"/>
        <v>0.999585231475114-0.00205369729956902i</v>
      </c>
    </row>
    <row r="76" spans="1:44">
      <c r="A76" s="170">
        <v>15</v>
      </c>
      <c r="G76" s="688">
        <v>331.13</v>
      </c>
      <c r="H76" s="676">
        <f t="shared" si="23"/>
        <v>0.33112999999999998</v>
      </c>
      <c r="I76" s="677">
        <f t="shared" si="0"/>
        <v>1.9766777377741303</v>
      </c>
      <c r="J76" s="678">
        <f t="shared" si="1"/>
        <v>1.0403720569085528</v>
      </c>
      <c r="K76" s="678">
        <f t="shared" si="2"/>
        <v>1.0000000191241658</v>
      </c>
      <c r="L76" s="679">
        <f t="shared" si="3"/>
        <v>1.9557180545513427E-4</v>
      </c>
      <c r="M76" s="678">
        <f t="shared" si="4"/>
        <v>1.000002386347743</v>
      </c>
      <c r="N76" s="679">
        <f t="shared" si="5"/>
        <v>-2.1846477965388094E-3</v>
      </c>
      <c r="O76" s="677">
        <f t="shared" si="6"/>
        <v>6241.6535252739786</v>
      </c>
      <c r="P76" s="680">
        <f t="shared" si="7"/>
        <v>1.5706361128387343</v>
      </c>
      <c r="Q76" s="689">
        <f t="shared" si="8"/>
        <v>1.2619818076333333</v>
      </c>
      <c r="R76" s="690">
        <f t="shared" si="9"/>
        <v>0.65605561316298211</v>
      </c>
      <c r="S76" s="677">
        <f t="shared" si="10"/>
        <v>1.0000153600243409</v>
      </c>
      <c r="T76" s="680">
        <f t="shared" si="11"/>
        <v>5.5425315037248169E-3</v>
      </c>
      <c r="U76" s="681">
        <f t="shared" si="24"/>
        <v>0.99957949711824023</v>
      </c>
      <c r="V76" s="682">
        <f t="shared" si="25"/>
        <v>-7.884679520520849E-3</v>
      </c>
      <c r="W76" s="683">
        <f t="shared" si="12"/>
        <v>29.210270548355084</v>
      </c>
      <c r="X76" s="684">
        <f t="shared" si="13"/>
        <v>-112.89381895133164</v>
      </c>
      <c r="Y76" s="687">
        <f t="shared" si="14"/>
        <v>67.106181048668361</v>
      </c>
      <c r="AA76" s="170">
        <f t="shared" si="15"/>
        <v>1000000000</v>
      </c>
      <c r="AB76" s="170">
        <f t="shared" si="16"/>
        <v>109647.0769</v>
      </c>
      <c r="AD76" s="686">
        <f t="shared" si="17"/>
        <v>31.220385427908859</v>
      </c>
      <c r="AE76" s="687">
        <f t="shared" si="18"/>
        <v>-52.719166379608708</v>
      </c>
      <c r="AG76" s="686">
        <f t="shared" si="19"/>
        <v>43.178179716821184</v>
      </c>
      <c r="AH76" s="687">
        <f t="shared" si="20"/>
        <v>-59.271134852012345</v>
      </c>
      <c r="AJ76" s="170">
        <f t="shared" si="21"/>
        <v>0</v>
      </c>
      <c r="AK76" s="170">
        <f t="shared" si="33"/>
        <v>0</v>
      </c>
      <c r="AM76" s="170" t="str">
        <f t="shared" si="26"/>
        <v>0.0000634375263679487+0.0112637040273795i</v>
      </c>
      <c r="AN76" s="170" t="str">
        <f t="shared" si="27"/>
        <v>0.0112639422139306i</v>
      </c>
      <c r="AO76" s="170" t="str">
        <f t="shared" si="28"/>
        <v>0.999978854068445-0.00563191156019007i</v>
      </c>
      <c r="AP76" s="170" t="str">
        <f t="shared" si="29"/>
        <v>0.166656093745605-0.00187728400456325i</v>
      </c>
      <c r="AQ76" s="170" t="str">
        <f t="shared" si="30"/>
        <v>0.833343906254395+0.00187728400456325i</v>
      </c>
      <c r="AR76" s="170" t="str">
        <f t="shared" si="31"/>
        <v>0.999582245138255-0.00225177114269391i</v>
      </c>
    </row>
    <row r="77" spans="1:44">
      <c r="A77" s="170">
        <v>16</v>
      </c>
      <c r="G77" s="688">
        <v>363.08</v>
      </c>
      <c r="H77" s="676">
        <f t="shared" si="23"/>
        <v>0.36307999999999996</v>
      </c>
      <c r="I77" s="677">
        <f t="shared" ref="I77:I140" si="34">SQRT(1+(G77/pole1)^2)</f>
        <v>2.1202241090294658</v>
      </c>
      <c r="J77" s="678">
        <f t="shared" ref="J77:J140" si="35">ATAN(G77/pole1)</f>
        <v>1.0796372601295308</v>
      </c>
      <c r="K77" s="678">
        <f t="shared" ref="K77:K140" si="36">SQRT(1+(G77/Zero1)^2)</f>
        <v>1.0000000229927064</v>
      </c>
      <c r="L77" s="679">
        <f t="shared" ref="L77:L140" si="37">ATAN(G77/Zero1)</f>
        <v>2.1444209507298658E-4</v>
      </c>
      <c r="M77" s="678">
        <f t="shared" ref="M77:M140" si="38">SQRT(1+(G77/z_RHP)^2)</f>
        <v>1.0000028690705038</v>
      </c>
      <c r="N77" s="679">
        <f t="shared" ref="N77:N140" si="39">-ATAN(G77/z_RHP)</f>
        <v>-2.3954388509148349E-3</v>
      </c>
      <c r="O77" s="677">
        <f t="shared" ref="O77:O140" si="40">SQRT(1+(G77/Pole2)^2)</f>
        <v>6843.8968292297941</v>
      </c>
      <c r="P77" s="680">
        <f t="shared" ref="P77:P140" si="41">ATAN(G77/Pole2)</f>
        <v>1.5706502112077523</v>
      </c>
      <c r="Q77" s="689">
        <f t="shared" ref="Q77:Q140" si="42">SQRT(1+(G77/Zero2)^2)</f>
        <v>1.3086145571460719</v>
      </c>
      <c r="R77" s="690">
        <f t="shared" ref="R77:R140" si="43">ATAN(G77/Zero2)</f>
        <v>0.70104749354861096</v>
      </c>
      <c r="S77" s="677">
        <f t="shared" ref="S77:S140" si="44">SQRT(1+(G77/pole4)^2)</f>
        <v>1.0000184671052568</v>
      </c>
      <c r="T77" s="680">
        <f t="shared" ref="T77:T140" si="45">ATAN(G77/pole4)</f>
        <v>6.0773054993665688E-3</v>
      </c>
      <c r="U77" s="681">
        <f t="shared" si="24"/>
        <v>0.99957534982861107</v>
      </c>
      <c r="V77" s="682">
        <f t="shared" si="25"/>
        <v>-8.6454370267795653E-3</v>
      </c>
      <c r="W77" s="683">
        <f t="shared" ref="W77:W140" si="46">20*LOG10(((K77*Q77*M77*U77)/(I77*O77*S77))*Adc)</f>
        <v>28.116390922081244</v>
      </c>
      <c r="X77" s="684">
        <f t="shared" ref="X77:X140" si="47">((L77+R77+N77+V77)-(J77+P77+T77))*radconv</f>
        <v>-112.65173703303601</v>
      </c>
      <c r="Y77" s="687">
        <f t="shared" ref="Y77:Y140" si="48">IF(X77&gt;0,X77,X77+180)</f>
        <v>67.348262966963986</v>
      </c>
      <c r="AA77" s="170">
        <f t="shared" ref="AA77:AA140" si="49">IF(W77&lt;0,G77,1000000000)</f>
        <v>1000000000</v>
      </c>
      <c r="AB77" s="170">
        <f t="shared" ref="AB77:AB140" si="50">G77^2</f>
        <v>131827.0864</v>
      </c>
      <c r="AD77" s="686">
        <f t="shared" ref="AD77:AD140" si="51">20*LOG10((Q77/(O77*S77))*Aea)</f>
        <v>30.735455562892454</v>
      </c>
      <c r="AE77" s="687">
        <f t="shared" ref="AE77:AE140" si="52">(R77-(P77+T77))*radconv</f>
        <v>-50.172769588231432</v>
      </c>
      <c r="AG77" s="686">
        <f t="shared" ref="AG77:AG140" si="53">20*LOG10((K77*M77/(I77*U77))*Acs*Am)</f>
        <v>42.569302031821515</v>
      </c>
      <c r="AH77" s="687">
        <f t="shared" ref="AH77:AH140" si="54">(L77+N77-(J77+V77))*radconv</f>
        <v>-61.488273336311352</v>
      </c>
      <c r="AJ77" s="170">
        <f t="shared" ref="AJ77:AJ140" si="55">SUM((W78&lt;0)*(W77&gt;0))*G77</f>
        <v>0</v>
      </c>
      <c r="AK77" s="170">
        <f t="shared" si="33"/>
        <v>0</v>
      </c>
      <c r="AM77" s="170" t="str">
        <f t="shared" si="26"/>
        <v>0.0000762698525109684+0.0123504610412567i</v>
      </c>
      <c r="AN77" s="170" t="str">
        <f t="shared" si="27"/>
        <v>0.0123507750401169i</v>
      </c>
      <c r="AO77" s="170" t="str">
        <f t="shared" si="28"/>
        <v>0.999974576586556-0.00617530902014118i</v>
      </c>
      <c r="AP77" s="170" t="str">
        <f t="shared" si="29"/>
        <v>0.166653955024581-0.00205841017354278i</v>
      </c>
      <c r="AQ77" s="170" t="str">
        <f t="shared" si="30"/>
        <v>0.833346044975419+0.00205841017354278i</v>
      </c>
      <c r="AR77" s="170" t="str">
        <f t="shared" si="31"/>
        <v>0.999578653764995-0.00246901378193587i</v>
      </c>
    </row>
    <row r="78" spans="1:44">
      <c r="A78" s="170">
        <v>17</v>
      </c>
      <c r="G78" s="688">
        <v>398.11</v>
      </c>
      <c r="H78" s="676">
        <f t="shared" ref="H78:H141" si="56">G78/1000</f>
        <v>0.39811000000000002</v>
      </c>
      <c r="I78" s="677">
        <f t="shared" si="34"/>
        <v>2.2808660688986073</v>
      </c>
      <c r="J78" s="678">
        <f t="shared" si="35"/>
        <v>1.1169452939799471</v>
      </c>
      <c r="K78" s="678">
        <f t="shared" si="36"/>
        <v>1.00000002764341</v>
      </c>
      <c r="L78" s="679">
        <f t="shared" si="37"/>
        <v>2.3513149224637788E-4</v>
      </c>
      <c r="M78" s="678">
        <f t="shared" si="38"/>
        <v>1.0000034493924965</v>
      </c>
      <c r="N78" s="679">
        <f t="shared" si="39"/>
        <v>-2.6265500495482089E-3</v>
      </c>
      <c r="O78" s="677">
        <f t="shared" si="40"/>
        <v>7504.1967659783841</v>
      </c>
      <c r="P78" s="680">
        <f t="shared" si="41"/>
        <v>1.5706630680286162</v>
      </c>
      <c r="Q78" s="689">
        <f t="shared" si="42"/>
        <v>1.3625647928828537</v>
      </c>
      <c r="R78" s="690">
        <f t="shared" si="43"/>
        <v>0.74673568019698222</v>
      </c>
      <c r="S78" s="677">
        <f t="shared" si="44"/>
        <v>1.0000222023800869</v>
      </c>
      <c r="T78" s="680">
        <f t="shared" si="45"/>
        <v>6.6636280368266194E-3</v>
      </c>
      <c r="U78" s="681">
        <f t="shared" ref="U78:U141" si="57">IMABS(IMPRODUCT(AO78, AR78))</f>
        <v>0.99957036408188227</v>
      </c>
      <c r="V78" s="682">
        <f t="shared" ref="V78:V141" si="58">IMARGUMENT(IMPRODUCT(AO78, AR78))</f>
        <v>-9.4795263840822905E-3</v>
      </c>
      <c r="W78" s="683">
        <f t="shared" si="46"/>
        <v>27.032853053916885</v>
      </c>
      <c r="X78" s="684">
        <f t="shared" si="47"/>
        <v>-112.26576617505218</v>
      </c>
      <c r="Y78" s="687">
        <f t="shared" si="48"/>
        <v>67.734233824947822</v>
      </c>
      <c r="AA78" s="170">
        <f t="shared" si="49"/>
        <v>1000000000</v>
      </c>
      <c r="AB78" s="170">
        <f t="shared" si="50"/>
        <v>158491.57210000002</v>
      </c>
      <c r="AD78" s="686">
        <f t="shared" si="51"/>
        <v>30.286316256981756</v>
      </c>
      <c r="AE78" s="687">
        <f t="shared" si="52"/>
        <v>-47.589359765125145</v>
      </c>
      <c r="AG78" s="686">
        <f t="shared" si="53"/>
        <v>41.934990117870768</v>
      </c>
      <c r="AH78" s="687">
        <f t="shared" si="54"/>
        <v>-63.59013270150411</v>
      </c>
      <c r="AJ78" s="170">
        <f t="shared" si="55"/>
        <v>0</v>
      </c>
      <c r="AK78" s="170">
        <f t="shared" si="33"/>
        <v>0</v>
      </c>
      <c r="AM78" s="170" t="str">
        <f t="shared" ref="AM78:AM141" si="59">IMSUB(1,IMEXP(COMPLEX(0,-2*Pi*G78*Tsw)))</f>
        <v>0.0000916966162070043+0.0135419652984338i</v>
      </c>
      <c r="AN78" s="170" t="str">
        <f t="shared" ref="AN78:AN141" si="60">COMPLEX(0, 2*Pi*G78*Tsw)</f>
        <v>0.0135423792310812i</v>
      </c>
      <c r="AO78" s="170" t="str">
        <f t="shared" ref="AO78:AO141" si="61">IMDIV(AM78, AN78)</f>
        <v>0.999969434274411-0.00677108613208459i</v>
      </c>
      <c r="AP78" s="170" t="str">
        <f t="shared" ref="AP78:AP141" si="62">IMDIV(IMEXP(COMPLEX(0,-2*Pi*G78*Tsw)),6)</f>
        <v>0.166651383897299-0.00225699421640563i</v>
      </c>
      <c r="AQ78" s="170" t="str">
        <f t="shared" ref="AQ78:AQ141" si="63">IMSUB(1, AP78)</f>
        <v>0.833348616102701+0.00225699421640563i</v>
      </c>
      <c r="AR78" s="170" t="str">
        <f t="shared" ref="AR78:AR141" si="64">IMDIV(0.833, AQ78)</f>
        <v>0.999574336347053-0.00270719054716083i</v>
      </c>
    </row>
    <row r="79" spans="1:44">
      <c r="A79" s="170">
        <v>18</v>
      </c>
      <c r="G79" s="688">
        <v>436.52</v>
      </c>
      <c r="H79" s="676">
        <f t="shared" si="56"/>
        <v>0.43651999999999996</v>
      </c>
      <c r="I79" s="677">
        <f t="shared" si="34"/>
        <v>2.4601545960900038</v>
      </c>
      <c r="J79" s="678">
        <f t="shared" si="35"/>
        <v>1.1521998390725032</v>
      </c>
      <c r="K79" s="678">
        <f t="shared" si="36"/>
        <v>1.0000000332348509</v>
      </c>
      <c r="L79" s="679">
        <f t="shared" si="37"/>
        <v>2.5781718272032029E-4</v>
      </c>
      <c r="M79" s="678">
        <f t="shared" si="38"/>
        <v>1.0000041471007151</v>
      </c>
      <c r="N79" s="679">
        <f t="shared" si="39"/>
        <v>-2.8799605494194635E-3</v>
      </c>
      <c r="O79" s="677">
        <f t="shared" si="40"/>
        <v>8228.2082022345712</v>
      </c>
      <c r="P79" s="680">
        <f t="shared" si="41"/>
        <v>1.5706747936520928</v>
      </c>
      <c r="Q79" s="689">
        <f t="shared" si="42"/>
        <v>1.4247259667164438</v>
      </c>
      <c r="R79" s="690">
        <f t="shared" si="43"/>
        <v>0.79274975159402983</v>
      </c>
      <c r="S79" s="677">
        <f t="shared" si="44"/>
        <v>1.0000266932022961</v>
      </c>
      <c r="T79" s="680">
        <f t="shared" si="45"/>
        <v>7.3065188068162116E-3</v>
      </c>
      <c r="U79" s="681">
        <f t="shared" si="57"/>
        <v>0.99956436991921349</v>
      </c>
      <c r="V79" s="682">
        <f t="shared" si="58"/>
        <v>-1.0394088512776876E-2</v>
      </c>
      <c r="W79" s="683">
        <f t="shared" si="46"/>
        <v>25.962978127301035</v>
      </c>
      <c r="X79" s="684">
        <f t="shared" si="47"/>
        <v>-111.75241759208807</v>
      </c>
      <c r="Y79" s="687">
        <f t="shared" si="48"/>
        <v>68.247582407911935</v>
      </c>
      <c r="AA79" s="170">
        <f t="shared" si="49"/>
        <v>1000000000</v>
      </c>
      <c r="AB79" s="170">
        <f t="shared" si="50"/>
        <v>190549.71039999998</v>
      </c>
      <c r="AD79" s="686">
        <f t="shared" si="51"/>
        <v>29.873739598986919</v>
      </c>
      <c r="AE79" s="687">
        <f t="shared" si="52"/>
        <v>-44.990454429436689</v>
      </c>
      <c r="AG79" s="686">
        <f t="shared" si="53"/>
        <v>41.277796023589843</v>
      </c>
      <c r="AH79" s="687">
        <f t="shared" si="54"/>
        <v>-65.570888353955297</v>
      </c>
      <c r="AJ79" s="170">
        <f t="shared" si="55"/>
        <v>0</v>
      </c>
      <c r="AK79" s="170">
        <f t="shared" si="33"/>
        <v>0</v>
      </c>
      <c r="AM79" s="170" t="str">
        <f t="shared" si="59"/>
        <v>0.000110243777746044+0.0148484141174013i</v>
      </c>
      <c r="AN79" s="170" t="str">
        <f t="shared" si="60"/>
        <v>0.0148489597898861i</v>
      </c>
      <c r="AO79" s="170" t="str">
        <f t="shared" si="61"/>
        <v>0.999963251803997-0.00742434347631092i</v>
      </c>
      <c r="AP79" s="170" t="str">
        <f t="shared" si="62"/>
        <v>0.166648292703709-0.00247473568623355i</v>
      </c>
      <c r="AQ79" s="170" t="str">
        <f t="shared" si="63"/>
        <v>0.833351707296291+0.00247473568623355i</v>
      </c>
      <c r="AR79" s="170" t="str">
        <f t="shared" si="64"/>
        <v>0.99956914572225-0.00296833787477602i</v>
      </c>
    </row>
    <row r="80" spans="1:44">
      <c r="A80" s="170">
        <v>19</v>
      </c>
      <c r="G80" s="688">
        <v>478.63</v>
      </c>
      <c r="H80" s="676">
        <f t="shared" si="56"/>
        <v>0.47863</v>
      </c>
      <c r="I80" s="677">
        <f t="shared" si="34"/>
        <v>2.6597284017305873</v>
      </c>
      <c r="J80" s="678">
        <f t="shared" si="35"/>
        <v>1.1853440813073477</v>
      </c>
      <c r="K80" s="678">
        <f t="shared" si="36"/>
        <v>1.0000000399563005</v>
      </c>
      <c r="L80" s="679">
        <f t="shared" si="37"/>
        <v>2.8268816460295053E-4</v>
      </c>
      <c r="M80" s="678">
        <f t="shared" si="38"/>
        <v>1.0000049858124749</v>
      </c>
      <c r="N80" s="679">
        <f t="shared" si="39"/>
        <v>-3.1577814236034589E-3</v>
      </c>
      <c r="O80" s="677">
        <f t="shared" si="40"/>
        <v>9021.9629958373134</v>
      </c>
      <c r="P80" s="680">
        <f t="shared" si="41"/>
        <v>1.5706854861715744</v>
      </c>
      <c r="Q80" s="689">
        <f t="shared" si="42"/>
        <v>1.4960350231466095</v>
      </c>
      <c r="R80" s="690">
        <f t="shared" si="43"/>
        <v>0.83869562848709978</v>
      </c>
      <c r="S80" s="677">
        <f t="shared" si="44"/>
        <v>1.0000320915759546</v>
      </c>
      <c r="T80" s="680">
        <f t="shared" si="45"/>
        <v>8.0113316937672728E-3</v>
      </c>
      <c r="U80" s="681">
        <f t="shared" si="57"/>
        <v>0.99955716449414034</v>
      </c>
      <c r="V80" s="682">
        <f t="shared" si="58"/>
        <v>-1.1396739757006105E-2</v>
      </c>
      <c r="W80" s="683">
        <f t="shared" si="46"/>
        <v>24.909671169400788</v>
      </c>
      <c r="X80" s="684">
        <f t="shared" si="47"/>
        <v>-111.13187404047666</v>
      </c>
      <c r="Y80" s="687">
        <f t="shared" si="48"/>
        <v>68.86812595952334</v>
      </c>
      <c r="AA80" s="170">
        <f t="shared" si="49"/>
        <v>1000000000</v>
      </c>
      <c r="AB80" s="170">
        <f t="shared" si="50"/>
        <v>229086.67689999999</v>
      </c>
      <c r="AD80" s="686">
        <f t="shared" si="51"/>
        <v>29.497985748319099</v>
      </c>
      <c r="AE80" s="687">
        <f t="shared" si="52"/>
        <v>-42.398945034482288</v>
      </c>
      <c r="AG80" s="686">
        <f t="shared" si="53"/>
        <v>40.600368142414766</v>
      </c>
      <c r="AH80" s="687">
        <f t="shared" si="54"/>
        <v>-67.426958827931287</v>
      </c>
      <c r="AJ80" s="170">
        <f t="shared" si="55"/>
        <v>0</v>
      </c>
      <c r="AK80" s="170">
        <f t="shared" si="33"/>
        <v>0</v>
      </c>
      <c r="AM80" s="170" t="str">
        <f t="shared" si="59"/>
        <v>0.000132539098536055+0.0162806827393257i</v>
      </c>
      <c r="AN80" s="170" t="str">
        <f t="shared" si="60"/>
        <v>0.016281402053132i</v>
      </c>
      <c r="AO80" s="170" t="str">
        <f t="shared" si="61"/>
        <v>0.999955819910107-0.00814052119734731i</v>
      </c>
      <c r="AP80" s="170" t="str">
        <f t="shared" si="62"/>
        <v>0.166644576816911-0.00271344712322095i</v>
      </c>
      <c r="AQ80" s="170" t="str">
        <f t="shared" si="63"/>
        <v>0.833355423183089+0.00271344712322095i</v>
      </c>
      <c r="AR80" s="170" t="str">
        <f t="shared" si="64"/>
        <v>0.999562906256648-0.00325462703788583i</v>
      </c>
    </row>
    <row r="81" spans="1:44">
      <c r="A81" s="170">
        <v>20</v>
      </c>
      <c r="G81" s="688">
        <v>524.80999999999995</v>
      </c>
      <c r="H81" s="676">
        <f t="shared" si="56"/>
        <v>0.52481</v>
      </c>
      <c r="I81" s="677">
        <f t="shared" si="34"/>
        <v>2.8814604337959921</v>
      </c>
      <c r="J81" s="678">
        <f t="shared" si="35"/>
        <v>1.2163765774228308</v>
      </c>
      <c r="K81" s="678">
        <f t="shared" si="36"/>
        <v>1.0000000480385223</v>
      </c>
      <c r="L81" s="679">
        <f t="shared" si="37"/>
        <v>3.0996296693876674E-4</v>
      </c>
      <c r="M81" s="678">
        <f t="shared" si="38"/>
        <v>1.0000059943223234</v>
      </c>
      <c r="N81" s="679">
        <f t="shared" si="39"/>
        <v>-3.4624535752058963E-3</v>
      </c>
      <c r="O81" s="677">
        <f t="shared" si="40"/>
        <v>9892.4354824226702</v>
      </c>
      <c r="P81" s="680">
        <f t="shared" si="41"/>
        <v>1.5706952394536164</v>
      </c>
      <c r="Q81" s="689">
        <f t="shared" si="42"/>
        <v>1.5775181690852329</v>
      </c>
      <c r="R81" s="690">
        <f t="shared" si="43"/>
        <v>0.88420169421901595</v>
      </c>
      <c r="S81" s="677">
        <f t="shared" si="44"/>
        <v>1.0000385828235157</v>
      </c>
      <c r="T81" s="680">
        <f t="shared" si="45"/>
        <v>8.7842567161814013E-3</v>
      </c>
      <c r="U81" s="681">
        <f t="shared" si="57"/>
        <v>0.99954850051045163</v>
      </c>
      <c r="V81" s="682">
        <f t="shared" si="58"/>
        <v>-1.2496285935843841E-2</v>
      </c>
      <c r="W81" s="683">
        <f t="shared" si="46"/>
        <v>23.874649421095604</v>
      </c>
      <c r="X81" s="684">
        <f t="shared" si="47"/>
        <v>-110.42633680251012</v>
      </c>
      <c r="Y81" s="687">
        <f t="shared" si="48"/>
        <v>69.573663197489878</v>
      </c>
      <c r="AA81" s="170">
        <f t="shared" si="49"/>
        <v>1000000000</v>
      </c>
      <c r="AB81" s="170">
        <f t="shared" si="50"/>
        <v>275425.53609999997</v>
      </c>
      <c r="AD81" s="686">
        <f t="shared" si="51"/>
        <v>29.158537850773531</v>
      </c>
      <c r="AE81" s="687">
        <f t="shared" si="52"/>
        <v>-39.836483686432331</v>
      </c>
      <c r="AG81" s="686">
        <f t="shared" si="53"/>
        <v>39.904944867800211</v>
      </c>
      <c r="AH81" s="687">
        <f t="shared" si="54"/>
        <v>-69.157884227016424</v>
      </c>
      <c r="AJ81" s="170">
        <f t="shared" si="55"/>
        <v>0</v>
      </c>
      <c r="AK81" s="170">
        <f t="shared" si="33"/>
        <v>0</v>
      </c>
      <c r="AM81" s="170" t="str">
        <f t="shared" si="59"/>
        <v>0.000159347936100951+0.0178513439392175i</v>
      </c>
      <c r="AN81" s="170" t="str">
        <f t="shared" si="60"/>
        <v>0.017852292191263i</v>
      </c>
      <c r="AO81" s="170" t="str">
        <f t="shared" si="61"/>
        <v>0.999946883457018-0.00892590903138683i</v>
      </c>
      <c r="AP81" s="170" t="str">
        <f t="shared" si="62"/>
        <v>0.166640108677317-0.00297522398986958i</v>
      </c>
      <c r="AQ81" s="170" t="str">
        <f t="shared" si="63"/>
        <v>0.833359891322683+0.00297522398986958i</v>
      </c>
      <c r="AR81" s="170" t="str">
        <f t="shared" si="64"/>
        <v>0.999555403835888-0.00356856773125501i</v>
      </c>
    </row>
    <row r="82" spans="1:44">
      <c r="A82" s="170">
        <v>21</v>
      </c>
      <c r="G82" s="688">
        <v>575.44000000000005</v>
      </c>
      <c r="H82" s="676">
        <f t="shared" si="56"/>
        <v>0.57544000000000006</v>
      </c>
      <c r="I82" s="677">
        <f t="shared" si="34"/>
        <v>3.1272720951404716</v>
      </c>
      <c r="J82" s="678">
        <f t="shared" si="35"/>
        <v>1.2453122264186569</v>
      </c>
      <c r="K82" s="678">
        <f t="shared" si="36"/>
        <v>1.0000000577544601</v>
      </c>
      <c r="L82" s="679">
        <f t="shared" si="37"/>
        <v>3.3986602492315558E-4</v>
      </c>
      <c r="M82" s="678">
        <f t="shared" si="38"/>
        <v>1.0000072066879877</v>
      </c>
      <c r="N82" s="679">
        <f t="shared" si="39"/>
        <v>-3.7964838226259338E-3</v>
      </c>
      <c r="O82" s="677">
        <f t="shared" si="40"/>
        <v>10846.788493192595</v>
      </c>
      <c r="P82" s="680">
        <f t="shared" si="41"/>
        <v>1.570704133607757</v>
      </c>
      <c r="Q82" s="689">
        <f t="shared" si="42"/>
        <v>1.6702185820171351</v>
      </c>
      <c r="R82" s="690">
        <f t="shared" si="43"/>
        <v>0.92888922865459778</v>
      </c>
      <c r="S82" s="677">
        <f t="shared" si="44"/>
        <v>1.0000463861366589</v>
      </c>
      <c r="T82" s="680">
        <f t="shared" si="45"/>
        <v>9.6316502914506573E-3</v>
      </c>
      <c r="U82" s="681">
        <f t="shared" si="57"/>
        <v>0.99953808549738654</v>
      </c>
      <c r="V82" s="682">
        <f t="shared" si="58"/>
        <v>-1.3701769596233621E-2</v>
      </c>
      <c r="W82" s="683">
        <f t="shared" si="46"/>
        <v>22.859461492704352</v>
      </c>
      <c r="X82" s="684">
        <f t="shared" si="47"/>
        <v>-109.65937624990831</v>
      </c>
      <c r="Y82" s="687">
        <f t="shared" si="48"/>
        <v>70.340623750091694</v>
      </c>
      <c r="AA82" s="170">
        <f t="shared" si="49"/>
        <v>1000000000</v>
      </c>
      <c r="AB82" s="170">
        <f t="shared" si="50"/>
        <v>331131.19360000006</v>
      </c>
      <c r="AD82" s="686">
        <f t="shared" si="51"/>
        <v>28.854489994524272</v>
      </c>
      <c r="AE82" s="687">
        <f t="shared" si="52"/>
        <v>-37.325138236502355</v>
      </c>
      <c r="AG82" s="686">
        <f t="shared" si="53"/>
        <v>39.19398580563486</v>
      </c>
      <c r="AH82" s="687">
        <f t="shared" si="54"/>
        <v>-70.764130872162141</v>
      </c>
      <c r="AJ82" s="170">
        <f t="shared" si="55"/>
        <v>0</v>
      </c>
      <c r="AK82" s="170">
        <f t="shared" si="33"/>
        <v>0</v>
      </c>
      <c r="AM82" s="170" t="str">
        <f t="shared" si="59"/>
        <v>0.000191575514723041+0.0195733065236116i</v>
      </c>
      <c r="AN82" s="170" t="str">
        <f t="shared" si="60"/>
        <v>0.0195745565414919i</v>
      </c>
      <c r="AO82" s="170" t="str">
        <f t="shared" si="61"/>
        <v>0.999936140679476-0.00978696576430537i</v>
      </c>
      <c r="AP82" s="170" t="str">
        <f t="shared" si="62"/>
        <v>0.166634737414213-0.00326221775393527i</v>
      </c>
      <c r="AQ82" s="170" t="str">
        <f t="shared" si="63"/>
        <v>0.833365262585787+0.00326221775393527i</v>
      </c>
      <c r="AR82" s="170" t="str">
        <f t="shared" si="64"/>
        <v>0.999546385242547-0.00391273563971524i</v>
      </c>
    </row>
    <row r="83" spans="1:44">
      <c r="A83" s="170">
        <v>22</v>
      </c>
      <c r="G83" s="688">
        <v>630.96</v>
      </c>
      <c r="H83" s="676">
        <f t="shared" si="56"/>
        <v>0.63096000000000008</v>
      </c>
      <c r="I83" s="677">
        <f t="shared" si="34"/>
        <v>3.3993771214853861</v>
      </c>
      <c r="J83" s="678">
        <f t="shared" si="35"/>
        <v>1.2722077390224498</v>
      </c>
      <c r="K83" s="678">
        <f t="shared" si="36"/>
        <v>1.0000000694367024</v>
      </c>
      <c r="L83" s="679">
        <f t="shared" si="37"/>
        <v>3.7265721085674686E-4</v>
      </c>
      <c r="M83" s="678">
        <f t="shared" si="38"/>
        <v>1.0000086644093886</v>
      </c>
      <c r="N83" s="679">
        <f t="shared" si="39"/>
        <v>-4.1627747546681458E-3</v>
      </c>
      <c r="O83" s="677">
        <f t="shared" si="40"/>
        <v>11893.315832704422</v>
      </c>
      <c r="P83" s="680">
        <f t="shared" si="41"/>
        <v>1.5707122459535867</v>
      </c>
      <c r="Q83" s="689">
        <f t="shared" si="42"/>
        <v>1.7752820274212788</v>
      </c>
      <c r="R83" s="690">
        <f t="shared" si="43"/>
        <v>0.97243315963708654</v>
      </c>
      <c r="S83" s="677">
        <f t="shared" si="44"/>
        <v>1.0000557685980287</v>
      </c>
      <c r="T83" s="680">
        <f t="shared" si="45"/>
        <v>1.0560871779497438E-2</v>
      </c>
      <c r="U83" s="681">
        <f t="shared" si="57"/>
        <v>0.99952556310967977</v>
      </c>
      <c r="V83" s="682">
        <f t="shared" si="58"/>
        <v>-1.5023660065445928E-2</v>
      </c>
      <c r="W83" s="683">
        <f t="shared" si="46"/>
        <v>21.864455695587285</v>
      </c>
      <c r="X83" s="684">
        <f t="shared" si="47"/>
        <v>-108.85404428578187</v>
      </c>
      <c r="Y83" s="687">
        <f t="shared" si="48"/>
        <v>71.145955714218132</v>
      </c>
      <c r="AA83" s="170">
        <f t="shared" si="49"/>
        <v>1000000000</v>
      </c>
      <c r="AB83" s="170">
        <f t="shared" si="50"/>
        <v>398110.52160000004</v>
      </c>
      <c r="AD83" s="686">
        <f t="shared" si="51"/>
        <v>28.58425380479499</v>
      </c>
      <c r="AE83" s="687">
        <f t="shared" si="52"/>
        <v>-34.883960037683288</v>
      </c>
      <c r="AG83" s="686">
        <f t="shared" si="53"/>
        <v>38.469433836295181</v>
      </c>
      <c r="AH83" s="687">
        <f t="shared" si="54"/>
        <v>-72.248499616952799</v>
      </c>
      <c r="AJ83" s="170">
        <f t="shared" si="55"/>
        <v>0</v>
      </c>
      <c r="AK83" s="170">
        <f t="shared" si="33"/>
        <v>0</v>
      </c>
      <c r="AM83" s="170" t="str">
        <f t="shared" si="59"/>
        <v>0.000230324828866979+0.0214615145832682i</v>
      </c>
      <c r="AN83" s="170" t="str">
        <f t="shared" si="60"/>
        <v>0.0214631624416442i</v>
      </c>
      <c r="AO83" s="170" t="str">
        <f t="shared" si="61"/>
        <v>0.999923223878099-0.0107311692530495i</v>
      </c>
      <c r="AP83" s="170" t="str">
        <f t="shared" si="62"/>
        <v>0.166628279195189-0.00357691909721137i</v>
      </c>
      <c r="AQ83" s="170" t="str">
        <f t="shared" si="63"/>
        <v>0.833371720804811+0.00357691909721137i</v>
      </c>
      <c r="AR83" s="170" t="str">
        <f t="shared" si="64"/>
        <v>0.999535541970515-0.00429011169825048i</v>
      </c>
    </row>
    <row r="84" spans="1:44">
      <c r="A84" s="170">
        <v>23</v>
      </c>
      <c r="G84" s="688">
        <v>691.83</v>
      </c>
      <c r="H84" s="676">
        <f t="shared" si="56"/>
        <v>0.69183000000000006</v>
      </c>
      <c r="I84" s="677">
        <f t="shared" si="34"/>
        <v>3.7000916437748188</v>
      </c>
      <c r="J84" s="678">
        <f t="shared" si="35"/>
        <v>1.2971295418686819</v>
      </c>
      <c r="K84" s="678">
        <f t="shared" si="36"/>
        <v>1.0000000834803402</v>
      </c>
      <c r="L84" s="679">
        <f t="shared" si="37"/>
        <v>4.086082093528046E-4</v>
      </c>
      <c r="M84" s="678">
        <f t="shared" si="38"/>
        <v>1.0000104167852069</v>
      </c>
      <c r="N84" s="679">
        <f t="shared" si="39"/>
        <v>-4.5643608058591719E-3</v>
      </c>
      <c r="O84" s="677">
        <f t="shared" si="40"/>
        <v>13040.688296638535</v>
      </c>
      <c r="P84" s="680">
        <f t="shared" si="41"/>
        <v>1.5707196437258566</v>
      </c>
      <c r="Q84" s="689">
        <f t="shared" si="42"/>
        <v>1.8938835007358901</v>
      </c>
      <c r="R84" s="690">
        <f t="shared" si="43"/>
        <v>1.014534176149875</v>
      </c>
      <c r="S84" s="677">
        <f t="shared" si="44"/>
        <v>1.0000670474713145</v>
      </c>
      <c r="T84" s="680">
        <f t="shared" si="45"/>
        <v>1.1579613585317984E-2</v>
      </c>
      <c r="U84" s="681">
        <f t="shared" si="57"/>
        <v>0.99951051009283953</v>
      </c>
      <c r="V84" s="682">
        <f t="shared" si="58"/>
        <v>-1.6472900475113433E-2</v>
      </c>
      <c r="W84" s="683">
        <f t="shared" si="46"/>
        <v>20.88974642792142</v>
      </c>
      <c r="X84" s="684">
        <f t="shared" si="47"/>
        <v>-108.03252601774713</v>
      </c>
      <c r="Y84" s="687">
        <f t="shared" si="48"/>
        <v>71.967473982252869</v>
      </c>
      <c r="AA84" s="170">
        <f t="shared" si="49"/>
        <v>1000000000</v>
      </c>
      <c r="AB84" s="170">
        <f t="shared" si="50"/>
        <v>478628.74890000006</v>
      </c>
      <c r="AD84" s="686">
        <f t="shared" si="51"/>
        <v>28.345922678253068</v>
      </c>
      <c r="AE84" s="687">
        <f t="shared" si="52"/>
        <v>-32.53054294261667</v>
      </c>
      <c r="AG84" s="686">
        <f t="shared" si="53"/>
        <v>37.73331731895032</v>
      </c>
      <c r="AH84" s="687">
        <f t="shared" si="54"/>
        <v>-73.614327725847417</v>
      </c>
      <c r="AJ84" s="170">
        <f t="shared" si="55"/>
        <v>0</v>
      </c>
      <c r="AK84" s="170">
        <f t="shared" si="33"/>
        <v>0</v>
      </c>
      <c r="AM84" s="170" t="str">
        <f t="shared" si="59"/>
        <v>0.000276906092077978+0.0235315853093673i</v>
      </c>
      <c r="AN84" s="170" t="str">
        <f t="shared" si="60"/>
        <v>0.0235337575630828i</v>
      </c>
      <c r="AO84" s="170" t="str">
        <f t="shared" si="61"/>
        <v>0.999907696265262-0.0117663357131017i</v>
      </c>
      <c r="AP84" s="170" t="str">
        <f t="shared" si="62"/>
        <v>0.16662051565132-0.00392193088489455i</v>
      </c>
      <c r="AQ84" s="170" t="str">
        <f t="shared" si="63"/>
        <v>0.83337948434868+0.00392193088489455i</v>
      </c>
      <c r="AR84" s="170" t="str">
        <f t="shared" si="64"/>
        <v>0.999522507607595-0.00470380932858836i</v>
      </c>
    </row>
    <row r="85" spans="1:44">
      <c r="A85" s="170">
        <v>24</v>
      </c>
      <c r="G85" s="688">
        <v>758.58</v>
      </c>
      <c r="H85" s="676">
        <f t="shared" si="56"/>
        <v>0.75858000000000003</v>
      </c>
      <c r="I85" s="677">
        <f t="shared" si="34"/>
        <v>4.0320827610554213</v>
      </c>
      <c r="J85" s="678">
        <f t="shared" si="35"/>
        <v>1.3201699836565859</v>
      </c>
      <c r="K85" s="678">
        <f t="shared" si="36"/>
        <v>1.0000001003663666</v>
      </c>
      <c r="L85" s="679">
        <f t="shared" si="37"/>
        <v>4.4803204827992369E-4</v>
      </c>
      <c r="M85" s="678">
        <f t="shared" si="38"/>
        <v>1.0000125238324051</v>
      </c>
      <c r="N85" s="679">
        <f t="shared" si="39"/>
        <v>-5.0047380953125199E-3</v>
      </c>
      <c r="O85" s="677">
        <f t="shared" si="40"/>
        <v>14298.896149589737</v>
      </c>
      <c r="P85" s="680">
        <f t="shared" si="41"/>
        <v>1.5707263913264273</v>
      </c>
      <c r="Q85" s="689">
        <f t="shared" si="42"/>
        <v>2.0273233333153944</v>
      </c>
      <c r="R85" s="690">
        <f t="shared" si="43"/>
        <v>1.0549614902237456</v>
      </c>
      <c r="S85" s="677">
        <f t="shared" si="44"/>
        <v>1.000080608985247</v>
      </c>
      <c r="T85" s="680">
        <f t="shared" si="45"/>
        <v>1.2696737437537055E-2</v>
      </c>
      <c r="U85" s="681">
        <f t="shared" si="57"/>
        <v>0.99949241124455979</v>
      </c>
      <c r="V85" s="682">
        <f t="shared" si="58"/>
        <v>-1.8062097439923798E-2</v>
      </c>
      <c r="W85" s="683">
        <f t="shared" si="46"/>
        <v>19.934505884520771</v>
      </c>
      <c r="X85" s="684">
        <f t="shared" si="47"/>
        <v>-107.21475192624889</v>
      </c>
      <c r="Y85" s="687">
        <f t="shared" si="48"/>
        <v>72.785248073751106</v>
      </c>
      <c r="AA85" s="170">
        <f t="shared" si="49"/>
        <v>1000000000</v>
      </c>
      <c r="AB85" s="170">
        <f t="shared" si="50"/>
        <v>575443.61640000006</v>
      </c>
      <c r="AD85" s="686">
        <f t="shared" si="51"/>
        <v>28.13716010789927</v>
      </c>
      <c r="AE85" s="687">
        <f t="shared" si="52"/>
        <v>-30.27862155752095</v>
      </c>
      <c r="AG85" s="686">
        <f t="shared" si="53"/>
        <v>36.987153911924466</v>
      </c>
      <c r="AH85" s="687">
        <f t="shared" si="54"/>
        <v>-74.866366461439569</v>
      </c>
      <c r="AJ85" s="170">
        <f t="shared" si="55"/>
        <v>0</v>
      </c>
      <c r="AK85" s="170">
        <f t="shared" si="33"/>
        <v>0</v>
      </c>
      <c r="AM85" s="170" t="str">
        <f t="shared" si="59"/>
        <v>0.000332914301132026+0.0258015071329749i</v>
      </c>
      <c r="AN85" s="170" t="str">
        <f t="shared" si="60"/>
        <v>0.0258043707445519i</v>
      </c>
      <c r="AO85" s="170" t="str">
        <f t="shared" si="61"/>
        <v>0.999889026103161-0.0129014694614212i</v>
      </c>
      <c r="AP85" s="170" t="str">
        <f t="shared" si="62"/>
        <v>0.166611180949811-0.00430025118882915i</v>
      </c>
      <c r="AQ85" s="170" t="str">
        <f t="shared" si="63"/>
        <v>0.833388819050189+0.00430025118882915i</v>
      </c>
      <c r="AR85" s="170" t="str">
        <f t="shared" si="64"/>
        <v>0.999506836169559-0.00515741315725783i</v>
      </c>
    </row>
    <row r="86" spans="1:44">
      <c r="A86" s="170">
        <v>25</v>
      </c>
      <c r="G86" s="688">
        <v>831.76</v>
      </c>
      <c r="H86" s="676">
        <f t="shared" si="56"/>
        <v>0.83175999999999994</v>
      </c>
      <c r="I86" s="677">
        <f t="shared" si="34"/>
        <v>4.3981241569839513</v>
      </c>
      <c r="J86" s="678">
        <f t="shared" si="35"/>
        <v>1.3414205835635096</v>
      </c>
      <c r="K86" s="678">
        <f t="shared" si="36"/>
        <v>1.000000120665046</v>
      </c>
      <c r="L86" s="679">
        <f t="shared" si="37"/>
        <v>4.9125356776394261E-4</v>
      </c>
      <c r="M86" s="678">
        <f t="shared" si="38"/>
        <v>1.0000150567064208</v>
      </c>
      <c r="N86" s="679">
        <f t="shared" si="39"/>
        <v>-5.487534510667154E-3</v>
      </c>
      <c r="O86" s="677">
        <f t="shared" si="40"/>
        <v>15678.3066472752</v>
      </c>
      <c r="P86" s="680">
        <f t="shared" si="41"/>
        <v>1.5707325443965052</v>
      </c>
      <c r="Q86" s="689">
        <f t="shared" si="42"/>
        <v>2.1769319118844646</v>
      </c>
      <c r="R86" s="690">
        <f t="shared" si="43"/>
        <v>1.0935194236997872</v>
      </c>
      <c r="S86" s="677">
        <f t="shared" si="44"/>
        <v>1.000096911027796</v>
      </c>
      <c r="T86" s="680">
        <f t="shared" si="45"/>
        <v>1.3921436850197226E-2</v>
      </c>
      <c r="U86" s="681">
        <f t="shared" si="57"/>
        <v>0.9994706558644163</v>
      </c>
      <c r="V86" s="682">
        <f t="shared" si="58"/>
        <v>-1.9804329603269388E-2</v>
      </c>
      <c r="W86" s="683">
        <f t="shared" si="46"/>
        <v>18.997940152879828</v>
      </c>
      <c r="X86" s="684">
        <f t="shared" si="47"/>
        <v>-106.41864574587272</v>
      </c>
      <c r="Y86" s="687">
        <f t="shared" si="48"/>
        <v>73.581354254127277</v>
      </c>
      <c r="AA86" s="170">
        <f t="shared" si="49"/>
        <v>1000000000</v>
      </c>
      <c r="AB86" s="170">
        <f t="shared" si="50"/>
        <v>691824.69759999996</v>
      </c>
      <c r="AD86" s="686">
        <f t="shared" si="51"/>
        <v>27.955522211418153</v>
      </c>
      <c r="AE86" s="687">
        <f t="shared" si="52"/>
        <v>-28.139937352617864</v>
      </c>
      <c r="AG86" s="686">
        <f t="shared" si="53"/>
        <v>36.232604202472068</v>
      </c>
      <c r="AH86" s="687">
        <f t="shared" si="54"/>
        <v>-76.009299385955003</v>
      </c>
      <c r="AJ86" s="170">
        <f t="shared" si="55"/>
        <v>0</v>
      </c>
      <c r="AK86" s="170">
        <f>IF(AJ86&gt;0,Y86,0)</f>
        <v>0</v>
      </c>
      <c r="AM86" s="170" t="str">
        <f t="shared" si="59"/>
        <v>0.000400240343983005+0.0282899362960407i</v>
      </c>
      <c r="AN86" s="170" t="str">
        <f t="shared" si="60"/>
        <v>0.0282937111583333i</v>
      </c>
      <c r="AO86" s="170" t="str">
        <f t="shared" si="61"/>
        <v>0.999866582991836-0.0141459118509847i</v>
      </c>
      <c r="AP86" s="170" t="str">
        <f t="shared" si="62"/>
        <v>0.166599959942669-0.00471498938267345i</v>
      </c>
      <c r="AQ86" s="170" t="str">
        <f t="shared" si="63"/>
        <v>0.833400040057331+0.00471498938267345i</v>
      </c>
      <c r="AR86" s="170" t="str">
        <f t="shared" si="64"/>
        <v>0.999487999047706-0.00565463772151401i</v>
      </c>
    </row>
    <row r="87" spans="1:44">
      <c r="A87" s="170">
        <v>26</v>
      </c>
      <c r="G87" s="688">
        <v>912.01</v>
      </c>
      <c r="H87" s="676">
        <f t="shared" si="56"/>
        <v>0.91200999999999999</v>
      </c>
      <c r="I87" s="677">
        <f t="shared" si="34"/>
        <v>4.8014469019667123</v>
      </c>
      <c r="J87" s="678">
        <f t="shared" si="35"/>
        <v>1.3609899231778619</v>
      </c>
      <c r="K87" s="678">
        <f t="shared" si="36"/>
        <v>1.0000001450723401</v>
      </c>
      <c r="L87" s="679">
        <f t="shared" si="37"/>
        <v>5.3865076349703122E-4</v>
      </c>
      <c r="M87" s="678">
        <f t="shared" si="38"/>
        <v>1.0000181022458929</v>
      </c>
      <c r="N87" s="679">
        <f t="shared" si="39"/>
        <v>-6.0169714676038691E-3</v>
      </c>
      <c r="O87" s="677">
        <f t="shared" si="40"/>
        <v>17190.983505444015</v>
      </c>
      <c r="P87" s="680">
        <f t="shared" si="41"/>
        <v>1.5707381567663903</v>
      </c>
      <c r="Q87" s="689">
        <f t="shared" si="42"/>
        <v>2.3442138003054089</v>
      </c>
      <c r="R87" s="690">
        <f t="shared" si="43"/>
        <v>1.1300857521159977</v>
      </c>
      <c r="S87" s="677">
        <f t="shared" si="44"/>
        <v>1.0001165123822453</v>
      </c>
      <c r="T87" s="680">
        <f t="shared" si="45"/>
        <v>1.5264407669943735E-2</v>
      </c>
      <c r="U87" s="681">
        <f t="shared" si="57"/>
        <v>0.99944449880234953</v>
      </c>
      <c r="V87" s="682">
        <f t="shared" si="58"/>
        <v>-2.1714812845589966E-2</v>
      </c>
      <c r="W87" s="683">
        <f t="shared" si="46"/>
        <v>18.078492419531692</v>
      </c>
      <c r="X87" s="684">
        <f t="shared" si="47"/>
        <v>-105.65913961780535</v>
      </c>
      <c r="Y87" s="687">
        <f t="shared" si="48"/>
        <v>74.340860382194649</v>
      </c>
      <c r="AA87" s="170">
        <f t="shared" si="49"/>
        <v>1000000000</v>
      </c>
      <c r="AB87" s="170">
        <f t="shared" si="50"/>
        <v>831762.24009999994</v>
      </c>
      <c r="AD87" s="686">
        <f t="shared" si="51"/>
        <v>27.798368040784275</v>
      </c>
      <c r="AE87" s="687">
        <f t="shared" si="52"/>
        <v>-26.122109184862182</v>
      </c>
      <c r="AG87" s="686">
        <f t="shared" si="53"/>
        <v>35.470765281074335</v>
      </c>
      <c r="AH87" s="687">
        <f t="shared" si="54"/>
        <v>-77.048696172162281</v>
      </c>
      <c r="AJ87" s="170">
        <f t="shared" si="55"/>
        <v>0</v>
      </c>
      <c r="AK87" s="170">
        <f t="shared" ref="AK87:AK150" si="65">IF(AJ87&gt;0,Y87,0)</f>
        <v>0</v>
      </c>
      <c r="AM87" s="170" t="str">
        <f t="shared" si="59"/>
        <v>0.000481191715231977+0.0310185732263171i</v>
      </c>
      <c r="AN87" s="170" t="str">
        <f t="shared" si="60"/>
        <v>0.0310235494776276i</v>
      </c>
      <c r="AO87" s="170" t="str">
        <f t="shared" si="61"/>
        <v>0.999839597615544-0.0155105306560419i</v>
      </c>
      <c r="AP87" s="170" t="str">
        <f t="shared" si="62"/>
        <v>0.166586468047461-0.00516976220438618i</v>
      </c>
      <c r="AQ87" s="170" t="str">
        <f t="shared" si="63"/>
        <v>0.833413531952539+0.00516976220438618i</v>
      </c>
      <c r="AR87" s="170" t="str">
        <f t="shared" si="64"/>
        <v>0.999465351313286-0.00619980117878292i</v>
      </c>
    </row>
    <row r="88" spans="1:44">
      <c r="A88" s="170">
        <v>27</v>
      </c>
      <c r="G88" s="688">
        <v>1000</v>
      </c>
      <c r="H88" s="676">
        <f t="shared" si="56"/>
        <v>1</v>
      </c>
      <c r="I88" s="677">
        <f t="shared" si="34"/>
        <v>5.2454417568892877</v>
      </c>
      <c r="J88" s="678">
        <f t="shared" si="35"/>
        <v>1.3789805199872975</v>
      </c>
      <c r="K88" s="678">
        <f t="shared" si="36"/>
        <v>1.0000001744156333</v>
      </c>
      <c r="L88" s="679">
        <f t="shared" si="37"/>
        <v>5.9061934952450181E-4</v>
      </c>
      <c r="M88" s="678">
        <f t="shared" si="38"/>
        <v>1.0000217636866406</v>
      </c>
      <c r="N88" s="679">
        <f t="shared" si="39"/>
        <v>-6.5974679889988126E-3</v>
      </c>
      <c r="O88" s="677">
        <f t="shared" si="40"/>
        <v>18849.555926525827</v>
      </c>
      <c r="P88" s="680">
        <f t="shared" si="41"/>
        <v>1.5707432751471884</v>
      </c>
      <c r="Q88" s="689">
        <f t="shared" si="42"/>
        <v>2.5307302024682978</v>
      </c>
      <c r="R88" s="690">
        <f t="shared" si="43"/>
        <v>1.1645729521367663</v>
      </c>
      <c r="S88" s="677">
        <f t="shared" si="44"/>
        <v>1.0001400773008462</v>
      </c>
      <c r="T88" s="680">
        <f t="shared" si="45"/>
        <v>1.6736842678665688E-2</v>
      </c>
      <c r="U88" s="681">
        <f t="shared" si="57"/>
        <v>0.99941305445043616</v>
      </c>
      <c r="V88" s="682">
        <f t="shared" si="58"/>
        <v>-2.3809470043475497E-2</v>
      </c>
      <c r="W88" s="683">
        <f t="shared" si="46"/>
        <v>17.174812373166674</v>
      </c>
      <c r="X88" s="684">
        <f t="shared" si="47"/>
        <v>-104.94890888692406</v>
      </c>
      <c r="Y88" s="687">
        <f t="shared" si="48"/>
        <v>75.051091113075941</v>
      </c>
      <c r="AA88" s="170">
        <f t="shared" si="49"/>
        <v>1000000000</v>
      </c>
      <c r="AB88" s="170">
        <f t="shared" si="50"/>
        <v>1000000</v>
      </c>
      <c r="AD88" s="686">
        <f t="shared" si="51"/>
        <v>27.663127989678792</v>
      </c>
      <c r="AE88" s="687">
        <f t="shared" si="52"/>
        <v>-24.230795747512261</v>
      </c>
      <c r="AG88" s="686">
        <f t="shared" si="53"/>
        <v>34.702871842361638</v>
      </c>
      <c r="AH88" s="687">
        <f t="shared" si="54"/>
        <v>-77.989748844425549</v>
      </c>
      <c r="AJ88" s="170">
        <f t="shared" si="55"/>
        <v>0</v>
      </c>
      <c r="AK88" s="170">
        <f t="shared" si="65"/>
        <v>0</v>
      </c>
      <c r="AM88" s="170" t="str">
        <f t="shared" si="59"/>
        <v>0.000578511365000978+0.0340101169448595i</v>
      </c>
      <c r="AN88" s="170" t="str">
        <f t="shared" si="60"/>
        <v>0.0340166768759417i</v>
      </c>
      <c r="AO88" s="170" t="str">
        <f t="shared" si="61"/>
        <v>0.999807155440077-0.0170066984235644i</v>
      </c>
      <c r="AP88" s="170" t="str">
        <f t="shared" si="62"/>
        <v>0.166570248105833-0.00566835282414325i</v>
      </c>
      <c r="AQ88" s="170" t="str">
        <f t="shared" si="63"/>
        <v>0.833429751894167+0.00566835282414325i</v>
      </c>
      <c r="AR88" s="170" t="str">
        <f t="shared" si="64"/>
        <v>0.999438126560972-0.00679741503632776i</v>
      </c>
    </row>
    <row r="89" spans="1:44">
      <c r="A89" s="170">
        <v>28</v>
      </c>
      <c r="G89" s="688">
        <v>1096.5</v>
      </c>
      <c r="H89" s="676">
        <f t="shared" si="56"/>
        <v>1.0965</v>
      </c>
      <c r="I89" s="677">
        <f t="shared" si="34"/>
        <v>5.7340125209746571</v>
      </c>
      <c r="J89" s="678">
        <f t="shared" si="35"/>
        <v>1.3955020167566414</v>
      </c>
      <c r="K89" s="678">
        <f t="shared" si="36"/>
        <v>1.0000002097020488</v>
      </c>
      <c r="L89" s="679">
        <f t="shared" si="37"/>
        <v>6.476141015189647E-4</v>
      </c>
      <c r="M89" s="678">
        <f t="shared" si="38"/>
        <v>1.0000261666894479</v>
      </c>
      <c r="N89" s="679">
        <f t="shared" si="39"/>
        <v>-7.2341024157637161E-3</v>
      </c>
      <c r="O89" s="677">
        <f t="shared" si="40"/>
        <v>20668.538068541362</v>
      </c>
      <c r="P89" s="680">
        <f t="shared" si="41"/>
        <v>1.5707479440792409</v>
      </c>
      <c r="Q89" s="689">
        <f t="shared" si="42"/>
        <v>2.7382496607939326</v>
      </c>
      <c r="R89" s="690">
        <f t="shared" si="43"/>
        <v>1.1969521364420392</v>
      </c>
      <c r="S89" s="677">
        <f t="shared" si="44"/>
        <v>1.0001684142687464</v>
      </c>
      <c r="T89" s="680">
        <f t="shared" si="45"/>
        <v>1.8351601347267456E-2</v>
      </c>
      <c r="U89" s="681">
        <f t="shared" si="57"/>
        <v>0.99937524515280762</v>
      </c>
      <c r="V89" s="682">
        <f t="shared" si="58"/>
        <v>-2.6106595160490163E-2</v>
      </c>
      <c r="W89" s="683">
        <f t="shared" si="46"/>
        <v>16.285116037312253</v>
      </c>
      <c r="X89" s="684">
        <f t="shared" si="47"/>
        <v>-104.29794316549987</v>
      </c>
      <c r="Y89" s="687">
        <f t="shared" si="48"/>
        <v>75.702056834500127</v>
      </c>
      <c r="AA89" s="170">
        <f t="shared" si="49"/>
        <v>1000000000</v>
      </c>
      <c r="AB89" s="170">
        <f t="shared" si="50"/>
        <v>1202312.25</v>
      </c>
      <c r="AD89" s="686">
        <f t="shared" si="51"/>
        <v>27.547253066260303</v>
      </c>
      <c r="AE89" s="687">
        <f t="shared" si="52"/>
        <v>-22.468391507474543</v>
      </c>
      <c r="AG89" s="686">
        <f t="shared" si="53"/>
        <v>33.929707642871364</v>
      </c>
      <c r="AH89" s="687">
        <f t="shared" si="54"/>
        <v>-78.837956214301443</v>
      </c>
      <c r="AJ89" s="170">
        <f t="shared" si="55"/>
        <v>0</v>
      </c>
      <c r="AK89" s="170">
        <f t="shared" si="65"/>
        <v>0</v>
      </c>
      <c r="AM89" s="170" t="str">
        <f t="shared" si="59"/>
        <v>0.000695537731560947+0.037290638106448i</v>
      </c>
      <c r="AN89" s="170" t="str">
        <f t="shared" si="60"/>
        <v>0.0372992861944701i</v>
      </c>
      <c r="AO89" s="170" t="str">
        <f t="shared" si="61"/>
        <v>0.999768143337194-0.0186474810250944i</v>
      </c>
      <c r="AP89" s="170" t="str">
        <f t="shared" si="62"/>
        <v>0.166550743711407-0.00621510635107467i</v>
      </c>
      <c r="AQ89" s="170" t="str">
        <f t="shared" si="63"/>
        <v>0.833449256288593+0.00621510635107467i</v>
      </c>
      <c r="AR89" s="170" t="str">
        <f t="shared" si="64"/>
        <v>0.999405392306746-0.0074526562405056i</v>
      </c>
    </row>
    <row r="90" spans="1:44">
      <c r="A90" s="170">
        <v>29</v>
      </c>
      <c r="G90" s="688">
        <v>1202.3</v>
      </c>
      <c r="H90" s="676">
        <f t="shared" si="56"/>
        <v>1.2022999999999999</v>
      </c>
      <c r="I90" s="677">
        <f t="shared" si="34"/>
        <v>6.2711729736430044</v>
      </c>
      <c r="J90" s="678">
        <f t="shared" si="35"/>
        <v>1.4106528979025328</v>
      </c>
      <c r="K90" s="678">
        <f t="shared" si="36"/>
        <v>1.0000002521221991</v>
      </c>
      <c r="L90" s="679">
        <f t="shared" si="37"/>
        <v>7.1010160714694186E-4</v>
      </c>
      <c r="M90" s="678">
        <f t="shared" si="38"/>
        <v>1.0000314598069253</v>
      </c>
      <c r="N90" s="679">
        <f t="shared" si="39"/>
        <v>-7.9320844903779403E-3</v>
      </c>
      <c r="O90" s="677">
        <f t="shared" si="40"/>
        <v>22662.821080632566</v>
      </c>
      <c r="P90" s="680">
        <f t="shared" si="41"/>
        <v>1.5707522016616324</v>
      </c>
      <c r="Q90" s="689">
        <f t="shared" si="42"/>
        <v>2.9685820304904151</v>
      </c>
      <c r="R90" s="690">
        <f t="shared" si="43"/>
        <v>1.2272151000841192</v>
      </c>
      <c r="S90" s="677">
        <f t="shared" si="44"/>
        <v>1.0002024789638584</v>
      </c>
      <c r="T90" s="680">
        <f t="shared" si="45"/>
        <v>2.0121868948222557E-2</v>
      </c>
      <c r="U90" s="681">
        <f t="shared" si="57"/>
        <v>0.99932979745378669</v>
      </c>
      <c r="V90" s="682">
        <f t="shared" si="58"/>
        <v>-2.8624945755818577E-2</v>
      </c>
      <c r="W90" s="683">
        <f t="shared" si="46"/>
        <v>15.408104699856242</v>
      </c>
      <c r="X90" s="684">
        <f t="shared" si="47"/>
        <v>-103.71445943894645</v>
      </c>
      <c r="Y90" s="687">
        <f t="shared" si="48"/>
        <v>76.285540561053551</v>
      </c>
      <c r="AA90" s="170">
        <f t="shared" si="49"/>
        <v>1000000000</v>
      </c>
      <c r="AB90" s="170">
        <f t="shared" si="50"/>
        <v>1445525.2899999998</v>
      </c>
      <c r="AD90" s="686">
        <f t="shared" si="51"/>
        <v>27.448393252674602</v>
      </c>
      <c r="AE90" s="687">
        <f t="shared" si="52"/>
        <v>-20.836124217005803</v>
      </c>
      <c r="AG90" s="686">
        <f t="shared" si="53"/>
        <v>33.152346137917604</v>
      </c>
      <c r="AH90" s="687">
        <f t="shared" si="54"/>
        <v>-79.598158056993839</v>
      </c>
      <c r="AJ90" s="170">
        <f t="shared" si="55"/>
        <v>0</v>
      </c>
      <c r="AK90" s="170">
        <f t="shared" si="65"/>
        <v>0</v>
      </c>
      <c r="AM90" s="170" t="str">
        <f t="shared" si="59"/>
        <v>0.000836216882287966+0.0408868500364254i</v>
      </c>
      <c r="AN90" s="170" t="str">
        <f t="shared" si="60"/>
        <v>0.0408982506079447i</v>
      </c>
      <c r="AO90" s="170" t="str">
        <f t="shared" si="61"/>
        <v>0.999721245497061-0.0204462750816419i</v>
      </c>
      <c r="AP90" s="170" t="str">
        <f t="shared" si="62"/>
        <v>0.166527297186285-0.0068144750060709i</v>
      </c>
      <c r="AQ90" s="170" t="str">
        <f t="shared" si="63"/>
        <v>0.833472702813715+0.0068144750060709i</v>
      </c>
      <c r="AR90" s="170" t="str">
        <f t="shared" si="64"/>
        <v>0.999366046834332-0.00817081942225351i</v>
      </c>
    </row>
    <row r="91" spans="1:44">
      <c r="A91" s="170">
        <v>30</v>
      </c>
      <c r="G91" s="688">
        <v>1318.3</v>
      </c>
      <c r="H91" s="676">
        <f t="shared" si="56"/>
        <v>1.3183</v>
      </c>
      <c r="I91" s="677">
        <f t="shared" si="34"/>
        <v>6.8615028288459126</v>
      </c>
      <c r="J91" s="678">
        <f t="shared" si="35"/>
        <v>1.424534734760055</v>
      </c>
      <c r="K91" s="678">
        <f t="shared" si="36"/>
        <v>1.0000003031195068</v>
      </c>
      <c r="L91" s="679">
        <f t="shared" si="37"/>
        <v>7.7861342167111745E-4</v>
      </c>
      <c r="M91" s="678">
        <f t="shared" si="38"/>
        <v>1.000037823131368</v>
      </c>
      <c r="N91" s="679">
        <f t="shared" si="39"/>
        <v>-8.6973489350367604E-3</v>
      </c>
      <c r="O91" s="677">
        <f t="shared" si="40"/>
        <v>24849.369563091237</v>
      </c>
      <c r="P91" s="680">
        <f t="shared" si="41"/>
        <v>1.5707560843252544</v>
      </c>
      <c r="Q91" s="689">
        <f t="shared" si="42"/>
        <v>3.2237752320138635</v>
      </c>
      <c r="R91" s="690">
        <f t="shared" si="43"/>
        <v>1.2553978433942927</v>
      </c>
      <c r="S91" s="677">
        <f t="shared" si="44"/>
        <v>1.000243429848225</v>
      </c>
      <c r="T91" s="680">
        <f t="shared" si="45"/>
        <v>2.2062659709935352E-2</v>
      </c>
      <c r="U91" s="681">
        <f t="shared" si="57"/>
        <v>0.999275168209107</v>
      </c>
      <c r="V91" s="682">
        <f t="shared" si="58"/>
        <v>-3.138588138213546E-2</v>
      </c>
      <c r="W91" s="683">
        <f t="shared" si="46"/>
        <v>14.542206526753157</v>
      </c>
      <c r="X91" s="684">
        <f t="shared" si="47"/>
        <v>-103.20461037918507</v>
      </c>
      <c r="Y91" s="687">
        <f t="shared" si="48"/>
        <v>76.79538962081493</v>
      </c>
      <c r="AA91" s="170">
        <f t="shared" si="49"/>
        <v>1000000000</v>
      </c>
      <c r="AB91" s="170">
        <f t="shared" si="50"/>
        <v>1737914.89</v>
      </c>
      <c r="AD91" s="686">
        <f t="shared" si="51"/>
        <v>27.364323540722314</v>
      </c>
      <c r="AE91" s="687">
        <f t="shared" si="52"/>
        <v>-19.332793548317429</v>
      </c>
      <c r="AG91" s="686">
        <f t="shared" si="53"/>
        <v>32.371467346358493</v>
      </c>
      <c r="AH91" s="687">
        <f t="shared" si="54"/>
        <v>-80.275259747768786</v>
      </c>
      <c r="AJ91" s="170">
        <f t="shared" si="55"/>
        <v>0</v>
      </c>
      <c r="AK91" s="170">
        <f t="shared" si="65"/>
        <v>0</v>
      </c>
      <c r="AM91" s="170" t="str">
        <f t="shared" si="59"/>
        <v>0.00100533197588304+0.044829156353707i</v>
      </c>
      <c r="AN91" s="170" t="str">
        <f t="shared" si="60"/>
        <v>0.044844185125554i</v>
      </c>
      <c r="AO91" s="170" t="str">
        <f t="shared" si="61"/>
        <v>0.999664866876164-0.0224183352438745i</v>
      </c>
      <c r="AP91" s="170" t="str">
        <f t="shared" si="62"/>
        <v>0.166499111337353-0.00747152605895117i</v>
      </c>
      <c r="AQ91" s="170" t="str">
        <f t="shared" si="63"/>
        <v>0.833500888662647+0.00747152605895117i</v>
      </c>
      <c r="AR91" s="170" t="str">
        <f t="shared" si="64"/>
        <v>0.999318755361164-0.00895792220912864i</v>
      </c>
    </row>
    <row r="92" spans="1:44">
      <c r="A92" s="170">
        <v>31</v>
      </c>
      <c r="G92" s="688">
        <v>1445.4</v>
      </c>
      <c r="H92" s="676">
        <f t="shared" si="56"/>
        <v>1.4454</v>
      </c>
      <c r="I92" s="677">
        <f t="shared" si="34"/>
        <v>7.509588971209971</v>
      </c>
      <c r="J92" s="678">
        <f t="shared" si="35"/>
        <v>1.4372365221677696</v>
      </c>
      <c r="K92" s="678">
        <f t="shared" si="36"/>
        <v>1.0000003643858206</v>
      </c>
      <c r="L92" s="679">
        <f t="shared" si="37"/>
        <v>8.5368109968675734E-4</v>
      </c>
      <c r="M92" s="678">
        <f t="shared" si="38"/>
        <v>1.0000454677452226</v>
      </c>
      <c r="N92" s="679">
        <f t="shared" si="39"/>
        <v>-9.5358295419148888E-3</v>
      </c>
      <c r="O92" s="677">
        <f t="shared" si="40"/>
        <v>27245.148116211898</v>
      </c>
      <c r="P92" s="680">
        <f t="shared" si="41"/>
        <v>1.5707596230120446</v>
      </c>
      <c r="Q92" s="689">
        <f t="shared" si="42"/>
        <v>3.5058777501075888</v>
      </c>
      <c r="R92" s="690">
        <f t="shared" si="43"/>
        <v>1.2815444362896189</v>
      </c>
      <c r="S92" s="677">
        <f t="shared" si="44"/>
        <v>1.0002926245399015</v>
      </c>
      <c r="T92" s="680">
        <f t="shared" si="45"/>
        <v>2.4188972698913399E-2</v>
      </c>
      <c r="U92" s="681">
        <f t="shared" si="57"/>
        <v>0.99920954982955235</v>
      </c>
      <c r="V92" s="682">
        <f t="shared" si="58"/>
        <v>-3.4410740227039029E-2</v>
      </c>
      <c r="W92" s="683">
        <f t="shared" si="46"/>
        <v>13.686501791160525</v>
      </c>
      <c r="X92" s="684">
        <f t="shared" si="47"/>
        <v>-102.77336326417354</v>
      </c>
      <c r="Y92" s="687">
        <f t="shared" si="48"/>
        <v>77.22663673582646</v>
      </c>
      <c r="AA92" s="170">
        <f t="shared" si="49"/>
        <v>1000000000</v>
      </c>
      <c r="AB92" s="170">
        <f t="shared" si="50"/>
        <v>2089181.1600000001</v>
      </c>
      <c r="AD92" s="686">
        <f t="shared" si="51"/>
        <v>27.293060667921033</v>
      </c>
      <c r="AE92" s="687">
        <f t="shared" si="52"/>
        <v>-17.956735637206503</v>
      </c>
      <c r="AG92" s="686">
        <f t="shared" si="53"/>
        <v>31.588166255869478</v>
      </c>
      <c r="AH92" s="687">
        <f t="shared" si="54"/>
        <v>-80.873447252600542</v>
      </c>
      <c r="AJ92" s="170">
        <f t="shared" si="55"/>
        <v>0</v>
      </c>
      <c r="AK92" s="170">
        <f t="shared" si="65"/>
        <v>0</v>
      </c>
      <c r="AM92" s="170" t="str">
        <f t="shared" si="59"/>
        <v>0.00120848810978702+0.0491478969647955i</v>
      </c>
      <c r="AN92" s="170" t="str">
        <f t="shared" si="60"/>
        <v>0.0491677047564862i</v>
      </c>
      <c r="AO92" s="170" t="str">
        <f t="shared" si="61"/>
        <v>0.999597138166428-0.0245789002307983i</v>
      </c>
      <c r="AP92" s="170" t="str">
        <f t="shared" si="62"/>
        <v>0.166465251981702-0.00819131616079925i</v>
      </c>
      <c r="AQ92" s="170" t="str">
        <f t="shared" si="63"/>
        <v>0.833534748018298+0.00819131616079925i</v>
      </c>
      <c r="AR92" s="170" t="str">
        <f t="shared" si="64"/>
        <v>0.999261954771275-0.00981995125992049i</v>
      </c>
    </row>
    <row r="93" spans="1:44">
      <c r="A93" s="170">
        <v>32</v>
      </c>
      <c r="G93" s="688">
        <v>1584.9</v>
      </c>
      <c r="H93" s="676">
        <f t="shared" si="56"/>
        <v>1.5849000000000002</v>
      </c>
      <c r="I93" s="677">
        <f t="shared" si="34"/>
        <v>8.2220669475194228</v>
      </c>
      <c r="J93" s="678">
        <f t="shared" si="35"/>
        <v>1.4488705434476865</v>
      </c>
      <c r="K93" s="678">
        <f t="shared" si="36"/>
        <v>1.0000004381159688</v>
      </c>
      <c r="L93" s="679">
        <f t="shared" si="37"/>
        <v>9.3607244249966075E-4</v>
      </c>
      <c r="M93" s="678">
        <f t="shared" si="38"/>
        <v>1.000054667479426</v>
      </c>
      <c r="N93" s="679">
        <f t="shared" si="39"/>
        <v>-1.0456097656162601E-2</v>
      </c>
      <c r="O93" s="677">
        <f t="shared" si="40"/>
        <v>29874.661162646596</v>
      </c>
      <c r="P93" s="680">
        <f t="shared" si="41"/>
        <v>1.5707628536118958</v>
      </c>
      <c r="Q93" s="689">
        <f t="shared" si="42"/>
        <v>3.8178326796467057</v>
      </c>
      <c r="R93" s="690">
        <f t="shared" si="43"/>
        <v>1.3057761786292181</v>
      </c>
      <c r="S93" s="677">
        <f t="shared" si="44"/>
        <v>1.0003518240478244</v>
      </c>
      <c r="T93" s="680">
        <f t="shared" si="45"/>
        <v>2.6522478340044505E-2</v>
      </c>
      <c r="U93" s="681">
        <f t="shared" si="57"/>
        <v>0.99913059846416175</v>
      </c>
      <c r="V93" s="682">
        <f t="shared" si="58"/>
        <v>-3.7730351324010085E-2</v>
      </c>
      <c r="W93" s="683">
        <f t="shared" si="46"/>
        <v>12.838211294253181</v>
      </c>
      <c r="X93" s="684">
        <f t="shared" si="47"/>
        <v>-102.42365864825112</v>
      </c>
      <c r="Y93" s="687">
        <f t="shared" si="48"/>
        <v>77.57634135174888</v>
      </c>
      <c r="AA93" s="170">
        <f t="shared" si="49"/>
        <v>1000000000</v>
      </c>
      <c r="AB93" s="170">
        <f t="shared" si="50"/>
        <v>2511908.0100000002</v>
      </c>
      <c r="AD93" s="686">
        <f t="shared" si="51"/>
        <v>27.23267279168391</v>
      </c>
      <c r="AE93" s="687">
        <f t="shared" si="52"/>
        <v>-16.702244193909088</v>
      </c>
      <c r="AG93" s="686">
        <f t="shared" si="53"/>
        <v>30.80163630010318</v>
      </c>
      <c r="AH93" s="687">
        <f t="shared" si="54"/>
        <v>-81.397834668578383</v>
      </c>
      <c r="AJ93" s="170">
        <f t="shared" si="55"/>
        <v>0</v>
      </c>
      <c r="AK93" s="170">
        <f t="shared" si="65"/>
        <v>0</v>
      </c>
      <c r="AM93" s="170" t="str">
        <f t="shared" si="59"/>
        <v>0.00145295548254998+0.0538869175725108i</v>
      </c>
      <c r="AN93" s="170" t="str">
        <f t="shared" si="60"/>
        <v>0.05391303118068i</v>
      </c>
      <c r="AO93" s="170" t="str">
        <f t="shared" si="61"/>
        <v>0.9995156345767-0.0269499868720172i</v>
      </c>
      <c r="AP93" s="170" t="str">
        <f t="shared" si="62"/>
        <v>0.166424507419575-0.0089811529287518i</v>
      </c>
      <c r="AQ93" s="170" t="str">
        <f t="shared" si="63"/>
        <v>0.833575492580425+0.0089811529287518i</v>
      </c>
      <c r="AR93" s="170" t="str">
        <f t="shared" si="64"/>
        <v>0.99919361861385-0.0107655644558649i</v>
      </c>
    </row>
    <row r="94" spans="1:44">
      <c r="A94" s="170">
        <v>33</v>
      </c>
      <c r="G94" s="688">
        <v>1737.8</v>
      </c>
      <c r="H94" s="676">
        <f t="shared" si="56"/>
        <v>1.7378</v>
      </c>
      <c r="I94" s="677">
        <f t="shared" si="34"/>
        <v>9.0040498870944585</v>
      </c>
      <c r="J94" s="678">
        <f t="shared" si="35"/>
        <v>1.4595055998107587</v>
      </c>
      <c r="K94" s="678">
        <f t="shared" si="36"/>
        <v>1.0000005267261969</v>
      </c>
      <c r="L94" s="679">
        <f t="shared" si="37"/>
        <v>1.0263780645344903E-3</v>
      </c>
      <c r="M94" s="678">
        <f t="shared" si="38"/>
        <v>1.0000657237756287</v>
      </c>
      <c r="N94" s="679">
        <f t="shared" si="39"/>
        <v>-1.1464743883029269E-2</v>
      </c>
      <c r="O94" s="677">
        <f t="shared" si="40"/>
        <v>32756.758258284026</v>
      </c>
      <c r="P94" s="680">
        <f t="shared" si="41"/>
        <v>1.570765798743486</v>
      </c>
      <c r="Q94" s="689">
        <f t="shared" si="42"/>
        <v>4.161922810566157</v>
      </c>
      <c r="R94" s="690">
        <f t="shared" si="43"/>
        <v>1.3281486723596567</v>
      </c>
      <c r="S94" s="677">
        <f t="shared" si="44"/>
        <v>1.0004229664600772</v>
      </c>
      <c r="T94" s="680">
        <f t="shared" si="45"/>
        <v>2.9079801581550158E-2</v>
      </c>
      <c r="U94" s="681">
        <f t="shared" si="57"/>
        <v>0.99903573671482304</v>
      </c>
      <c r="V94" s="682">
        <f t="shared" si="58"/>
        <v>-4.1368366461500515E-2</v>
      </c>
      <c r="W94" s="683">
        <f t="shared" si="46"/>
        <v>11.99731205856663</v>
      </c>
      <c r="X94" s="684">
        <f t="shared" si="47"/>
        <v>-102.15890555069385</v>
      </c>
      <c r="Y94" s="687">
        <f t="shared" si="48"/>
        <v>77.841094449306155</v>
      </c>
      <c r="AA94" s="170">
        <f t="shared" si="49"/>
        <v>1000000000</v>
      </c>
      <c r="AB94" s="170">
        <f t="shared" si="50"/>
        <v>3019948.84</v>
      </c>
      <c r="AD94" s="686">
        <f t="shared" si="51"/>
        <v>27.181639150854508</v>
      </c>
      <c r="AE94" s="687">
        <f t="shared" si="52"/>
        <v>-15.567087296874176</v>
      </c>
      <c r="AG94" s="686">
        <f t="shared" si="53"/>
        <v>30.013420134869065</v>
      </c>
      <c r="AH94" s="687">
        <f t="shared" si="54"/>
        <v>-81.851352641213836</v>
      </c>
      <c r="AJ94" s="170">
        <f t="shared" si="55"/>
        <v>0</v>
      </c>
      <c r="AK94" s="170">
        <f t="shared" si="65"/>
        <v>0</v>
      </c>
      <c r="AM94" s="170" t="str">
        <f t="shared" si="59"/>
        <v>0.00174673445154705+0.0590797581397426i</v>
      </c>
      <c r="AN94" s="170" t="str">
        <f t="shared" si="60"/>
        <v>0.0591141810750115i</v>
      </c>
      <c r="AO94" s="170" t="str">
        <f t="shared" si="61"/>
        <v>0.999417687352799-0.0295484843024481i</v>
      </c>
      <c r="AP94" s="170" t="str">
        <f t="shared" si="62"/>
        <v>0.166375544258075-0.00984662635662377i</v>
      </c>
      <c r="AQ94" s="170" t="str">
        <f t="shared" si="63"/>
        <v>0.833624455741925+0.00984662635662377i</v>
      </c>
      <c r="AR94" s="170" t="str">
        <f t="shared" si="64"/>
        <v>0.999111519545731-0.0118013306277222i</v>
      </c>
    </row>
    <row r="95" spans="1:44">
      <c r="A95" s="170">
        <v>34</v>
      </c>
      <c r="G95" s="688">
        <v>1905.5</v>
      </c>
      <c r="H95" s="676">
        <f t="shared" si="56"/>
        <v>1.9055</v>
      </c>
      <c r="I95" s="677">
        <f t="shared" si="34"/>
        <v>9.8627013666741163</v>
      </c>
      <c r="J95" s="678">
        <f t="shared" si="35"/>
        <v>1.4692296939815181</v>
      </c>
      <c r="K95" s="678">
        <f t="shared" si="36"/>
        <v>1.000000633290854</v>
      </c>
      <c r="L95" s="679">
        <f t="shared" si="37"/>
        <v>1.1254248262326106E-3</v>
      </c>
      <c r="M95" s="678">
        <f t="shared" si="38"/>
        <v>1.0000790201659915</v>
      </c>
      <c r="N95" s="679">
        <f t="shared" si="39"/>
        <v>-1.2570995414318293E-2</v>
      </c>
      <c r="O95" s="677">
        <f t="shared" si="40"/>
        <v>35917.828781370663</v>
      </c>
      <c r="P95" s="680">
        <f t="shared" si="41"/>
        <v>1.570768485468345</v>
      </c>
      <c r="Q95" s="689">
        <f t="shared" si="42"/>
        <v>4.5413333695324409</v>
      </c>
      <c r="R95" s="690">
        <f t="shared" si="43"/>
        <v>1.3487771914486792</v>
      </c>
      <c r="S95" s="677">
        <f t="shared" si="44"/>
        <v>1.0005085172365122</v>
      </c>
      <c r="T95" s="680">
        <f t="shared" si="45"/>
        <v>3.1884223010662925E-2</v>
      </c>
      <c r="U95" s="681">
        <f t="shared" si="57"/>
        <v>0.99892168770165657</v>
      </c>
      <c r="V95" s="682">
        <f t="shared" si="58"/>
        <v>-4.5357906143281758E-2</v>
      </c>
      <c r="W95" s="683">
        <f t="shared" si="46"/>
        <v>11.162138328107758</v>
      </c>
      <c r="X95" s="684">
        <f t="shared" si="47"/>
        <v>-101.98125584288547</v>
      </c>
      <c r="Y95" s="687">
        <f t="shared" si="48"/>
        <v>78.018744157114526</v>
      </c>
      <c r="AA95" s="170">
        <f t="shared" si="49"/>
        <v>1000000000</v>
      </c>
      <c r="AB95" s="170">
        <f t="shared" si="50"/>
        <v>3630930.25</v>
      </c>
      <c r="AD95" s="686">
        <f t="shared" si="51"/>
        <v>27.138500456903841</v>
      </c>
      <c r="AE95" s="687">
        <f t="shared" si="52"/>
        <v>-14.545995664160708</v>
      </c>
      <c r="AG95" s="686">
        <f t="shared" si="53"/>
        <v>29.223368358125384</v>
      </c>
      <c r="AH95" s="687">
        <f t="shared" si="54"/>
        <v>-82.237626993664477</v>
      </c>
      <c r="AJ95" s="170">
        <f t="shared" si="55"/>
        <v>0</v>
      </c>
      <c r="AK95" s="170">
        <f t="shared" si="65"/>
        <v>0</v>
      </c>
      <c r="AM95" s="170" t="str">
        <f t="shared" si="59"/>
        <v>0.00210000156393297+0.0647733982534374i</v>
      </c>
      <c r="AN95" s="170" t="str">
        <f t="shared" si="60"/>
        <v>0.064818777787107i</v>
      </c>
      <c r="AO95" s="170" t="str">
        <f t="shared" si="61"/>
        <v>0.999299901429511-0.0323980432156602i</v>
      </c>
      <c r="AP95" s="170" t="str">
        <f t="shared" si="62"/>
        <v>0.166316666406011-0.0107955663755729i</v>
      </c>
      <c r="AQ95" s="170" t="str">
        <f t="shared" si="63"/>
        <v>0.833683333593989+0.0107955663755729i</v>
      </c>
      <c r="AR95" s="170" t="str">
        <f t="shared" si="64"/>
        <v>0.999012826633468-0.0129364578196338i</v>
      </c>
    </row>
    <row r="96" spans="1:44">
      <c r="A96" s="170">
        <v>35</v>
      </c>
      <c r="G96" s="688">
        <v>2089.3000000000002</v>
      </c>
      <c r="H96" s="676">
        <f t="shared" si="56"/>
        <v>2.0893000000000002</v>
      </c>
      <c r="I96" s="677">
        <f t="shared" si="34"/>
        <v>10.804680192382108</v>
      </c>
      <c r="J96" s="678">
        <f t="shared" si="35"/>
        <v>1.4781111964642593</v>
      </c>
      <c r="K96" s="678">
        <f t="shared" si="36"/>
        <v>1.0000007613544499</v>
      </c>
      <c r="L96" s="679">
        <f t="shared" si="37"/>
        <v>1.233980524114234E-3</v>
      </c>
      <c r="M96" s="678">
        <f t="shared" si="38"/>
        <v>1.0000949988111452</v>
      </c>
      <c r="N96" s="679">
        <f t="shared" si="39"/>
        <v>-1.3783416928294767E-2</v>
      </c>
      <c r="O96" s="677">
        <f t="shared" si="40"/>
        <v>39382.377154566042</v>
      </c>
      <c r="P96" s="680">
        <f t="shared" si="41"/>
        <v>1.5707709347268612</v>
      </c>
      <c r="Q96" s="689">
        <f t="shared" si="42"/>
        <v>4.9590323435263048</v>
      </c>
      <c r="R96" s="690">
        <f t="shared" si="43"/>
        <v>1.3677518004331941</v>
      </c>
      <c r="S96" s="677">
        <f t="shared" si="44"/>
        <v>1.0006113178314995</v>
      </c>
      <c r="T96" s="680">
        <f t="shared" si="45"/>
        <v>3.4957304509761797E-2</v>
      </c>
      <c r="U96" s="681">
        <f t="shared" si="57"/>
        <v>0.99878467870989962</v>
      </c>
      <c r="V96" s="682">
        <f t="shared" si="58"/>
        <v>-4.9729646533518572E-2</v>
      </c>
      <c r="W96" s="683">
        <f t="shared" si="46"/>
        <v>10.332307842254602</v>
      </c>
      <c r="X96" s="684">
        <f t="shared" si="47"/>
        <v>-101.8929074961293</v>
      </c>
      <c r="Y96" s="687">
        <f t="shared" si="48"/>
        <v>78.107092503870703</v>
      </c>
      <c r="AA96" s="170">
        <f t="shared" si="49"/>
        <v>1000000000</v>
      </c>
      <c r="AB96" s="170">
        <f t="shared" si="50"/>
        <v>4365174.4900000012</v>
      </c>
      <c r="AD96" s="686">
        <f t="shared" si="51"/>
        <v>27.102042162096946</v>
      </c>
      <c r="AE96" s="687">
        <f t="shared" si="52"/>
        <v>-13.6350455825701</v>
      </c>
      <c r="AG96" s="686">
        <f t="shared" si="53"/>
        <v>28.432378989707505</v>
      </c>
      <c r="AH96" s="687">
        <f t="shared" si="54"/>
        <v>-82.559264180951587</v>
      </c>
      <c r="AJ96" s="170">
        <f t="shared" si="55"/>
        <v>0</v>
      </c>
      <c r="AK96" s="170">
        <f t="shared" si="65"/>
        <v>0</v>
      </c>
      <c r="AM96" s="170" t="str">
        <f t="shared" si="59"/>
        <v>0.00252448369105396+0.0710112270292659i</v>
      </c>
      <c r="AN96" s="170" t="str">
        <f t="shared" si="60"/>
        <v>0.0710710429969051i</v>
      </c>
      <c r="AO96" s="170" t="str">
        <f t="shared" si="61"/>
        <v>0.999158363728505-0.0355205662475488i</v>
      </c>
      <c r="AP96" s="170" t="str">
        <f t="shared" si="62"/>
        <v>0.166245919384824-0.0118352045048777i</v>
      </c>
      <c r="AQ96" s="170" t="str">
        <f t="shared" si="63"/>
        <v>0.833754080615176+0.0118352045048777i</v>
      </c>
      <c r="AR96" s="170" t="str">
        <f t="shared" si="64"/>
        <v>0.998894282463435-0.0141793826100197i</v>
      </c>
    </row>
    <row r="97" spans="1:44">
      <c r="A97" s="170" t="s">
        <v>801</v>
      </c>
      <c r="G97" s="688">
        <v>2290.9</v>
      </c>
      <c r="H97" s="676">
        <f t="shared" si="56"/>
        <v>2.2909000000000002</v>
      </c>
      <c r="I97" s="677">
        <f t="shared" si="34"/>
        <v>11.838700914525647</v>
      </c>
      <c r="J97" s="678">
        <f t="shared" si="35"/>
        <v>1.4862268286221272</v>
      </c>
      <c r="K97" s="678">
        <f t="shared" si="36"/>
        <v>1.0000009153717664</v>
      </c>
      <c r="L97" s="679">
        <f t="shared" si="37"/>
        <v>1.3530491994590483E-3</v>
      </c>
      <c r="M97" s="678">
        <f t="shared" si="38"/>
        <v>1.0001142153970102</v>
      </c>
      <c r="N97" s="679">
        <f t="shared" si="39"/>
        <v>-1.5113207939118604E-2</v>
      </c>
      <c r="O97" s="677">
        <f t="shared" si="40"/>
        <v>43182.44762288878</v>
      </c>
      <c r="P97" s="680">
        <f t="shared" si="41"/>
        <v>1.5707731692377145</v>
      </c>
      <c r="Q97" s="689">
        <f t="shared" si="42"/>
        <v>5.4189040068102097</v>
      </c>
      <c r="R97" s="690">
        <f t="shared" si="43"/>
        <v>1.3851933770747868</v>
      </c>
      <c r="S97" s="677">
        <f t="shared" si="44"/>
        <v>1.0007349383077018</v>
      </c>
      <c r="T97" s="680">
        <f t="shared" si="45"/>
        <v>3.8327235169724035E-2</v>
      </c>
      <c r="U97" s="681">
        <f t="shared" si="57"/>
        <v>0.99861997374989631</v>
      </c>
      <c r="V97" s="682">
        <f t="shared" si="58"/>
        <v>-5.4523692510766809E-2</v>
      </c>
      <c r="W97" s="683">
        <f t="shared" si="46"/>
        <v>9.5063117116337423</v>
      </c>
      <c r="X97" s="684">
        <f t="shared" si="47"/>
        <v>-101.89582895062377</v>
      </c>
      <c r="Y97" s="687">
        <f t="shared" si="48"/>
        <v>78.104171049376234</v>
      </c>
      <c r="AA97" s="170">
        <f t="shared" si="49"/>
        <v>1000000000</v>
      </c>
      <c r="AB97" s="170">
        <f t="shared" si="50"/>
        <v>5248222.8100000005</v>
      </c>
      <c r="AD97" s="686">
        <f t="shared" si="51"/>
        <v>27.071152910513</v>
      </c>
      <c r="AE97" s="687">
        <f t="shared" si="52"/>
        <v>-12.828927684140499</v>
      </c>
      <c r="AG97" s="686">
        <f t="shared" si="53"/>
        <v>27.640137046640199</v>
      </c>
      <c r="AH97" s="687">
        <f t="shared" si="54"/>
        <v>-82.818946330671977</v>
      </c>
      <c r="AJ97" s="170">
        <f t="shared" si="55"/>
        <v>0</v>
      </c>
      <c r="AK97" s="170">
        <f t="shared" si="65"/>
        <v>0</v>
      </c>
      <c r="AM97" s="170" t="str">
        <f t="shared" si="59"/>
        <v>0.00303491296893799+0.0778499533792178i</v>
      </c>
      <c r="AN97" s="170" t="str">
        <f t="shared" si="60"/>
        <v>0.0779288050550949i</v>
      </c>
      <c r="AO97" s="170" t="str">
        <f t="shared" si="61"/>
        <v>0.998988157513498-0.0389446876131661i</v>
      </c>
      <c r="AP97" s="170" t="str">
        <f t="shared" si="62"/>
        <v>0.16616084783851-0.0129749922298696i</v>
      </c>
      <c r="AQ97" s="170" t="str">
        <f t="shared" si="63"/>
        <v>0.83383915216149+0.0129749922298696i</v>
      </c>
      <c r="AR97" s="170" t="str">
        <f t="shared" si="64"/>
        <v>0.99875179990142-0.0155411230207855i</v>
      </c>
    </row>
    <row r="98" spans="1:44">
      <c r="G98" s="688">
        <v>2511.9</v>
      </c>
      <c r="H98" s="676">
        <f t="shared" si="56"/>
        <v>2.5119000000000002</v>
      </c>
      <c r="I98" s="677">
        <f t="shared" si="34"/>
        <v>12.972971792172817</v>
      </c>
      <c r="J98" s="678">
        <f t="shared" si="35"/>
        <v>1.4936364454474875</v>
      </c>
      <c r="K98" s="678">
        <f t="shared" si="36"/>
        <v>1.0000011004996281</v>
      </c>
      <c r="L98" s="679">
        <f t="shared" si="37"/>
        <v>1.4835758281268553E-3</v>
      </c>
      <c r="M98" s="678">
        <f t="shared" si="38"/>
        <v>1.0001373131296734</v>
      </c>
      <c r="N98" s="679">
        <f t="shared" si="39"/>
        <v>-1.6570903361085465E-2</v>
      </c>
      <c r="O98" s="677">
        <f t="shared" si="40"/>
        <v>47348.199475770067</v>
      </c>
      <c r="P98" s="680">
        <f t="shared" si="41"/>
        <v>1.5707752066676026</v>
      </c>
      <c r="Q98" s="689">
        <f t="shared" si="42"/>
        <v>5.9246147346526739</v>
      </c>
      <c r="R98" s="690">
        <f t="shared" si="43"/>
        <v>1.4011970929397168</v>
      </c>
      <c r="S98" s="677">
        <f t="shared" si="44"/>
        <v>1.0008835091745945</v>
      </c>
      <c r="T98" s="680">
        <f t="shared" si="45"/>
        <v>4.2020451550543146E-2</v>
      </c>
      <c r="U98" s="681">
        <f t="shared" si="57"/>
        <v>0.9984221014254453</v>
      </c>
      <c r="V98" s="682">
        <f t="shared" si="58"/>
        <v>-5.9777657052753744E-2</v>
      </c>
      <c r="W98" s="683">
        <f t="shared" si="46"/>
        <v>8.6838436104996912</v>
      </c>
      <c r="X98" s="684">
        <f t="shared" si="47"/>
        <v>-101.99221695915705</v>
      </c>
      <c r="Y98" s="687">
        <f t="shared" si="48"/>
        <v>78.007783040842952</v>
      </c>
      <c r="AA98" s="170">
        <f t="shared" si="49"/>
        <v>1000000000</v>
      </c>
      <c r="AB98" s="170">
        <f t="shared" si="50"/>
        <v>6309641.6100000003</v>
      </c>
      <c r="AD98" s="686">
        <f t="shared" si="51"/>
        <v>27.044912341519606</v>
      </c>
      <c r="AE98" s="687">
        <f t="shared" si="52"/>
        <v>-12.12370475533077</v>
      </c>
      <c r="AG98" s="686">
        <f t="shared" si="53"/>
        <v>26.847352000162914</v>
      </c>
      <c r="AH98" s="687">
        <f t="shared" si="54"/>
        <v>-83.018497279392534</v>
      </c>
      <c r="AJ98" s="170">
        <f t="shared" si="55"/>
        <v>0</v>
      </c>
      <c r="AK98" s="170">
        <f t="shared" si="65"/>
        <v>0</v>
      </c>
      <c r="AM98" s="170" t="str">
        <f t="shared" si="59"/>
        <v>0.00364833083465599+0.0853425529934119i</v>
      </c>
      <c r="AN98" s="170" t="str">
        <f t="shared" si="60"/>
        <v>0.085446490644678i</v>
      </c>
      <c r="AO98" s="170" t="str">
        <f t="shared" si="61"/>
        <v>0.998783593679718-0.0426972577472756i</v>
      </c>
      <c r="AP98" s="170" t="str">
        <f t="shared" si="62"/>
        <v>0.166058611527557-0.0142237588322353i</v>
      </c>
      <c r="AQ98" s="170" t="str">
        <f t="shared" si="63"/>
        <v>0.833941388472443+0.0142237588322353i</v>
      </c>
      <c r="AR98" s="170" t="str">
        <f t="shared" si="64"/>
        <v>0.998580661044506-0.0170318570268449i</v>
      </c>
    </row>
    <row r="99" spans="1:44">
      <c r="G99" s="688">
        <v>2754.2</v>
      </c>
      <c r="H99" s="676">
        <f t="shared" si="56"/>
        <v>2.7542</v>
      </c>
      <c r="I99" s="677">
        <f t="shared" si="34"/>
        <v>14.217245398990796</v>
      </c>
      <c r="J99" s="678">
        <f t="shared" si="35"/>
        <v>1.5004010874492155</v>
      </c>
      <c r="K99" s="678">
        <f t="shared" si="36"/>
        <v>1.0000013230495453</v>
      </c>
      <c r="L99" s="679">
        <f t="shared" si="37"/>
        <v>1.6266825668187497E-3</v>
      </c>
      <c r="M99" s="678">
        <f t="shared" si="38"/>
        <v>1.00016507917622</v>
      </c>
      <c r="N99" s="679">
        <f t="shared" si="39"/>
        <v>-1.816901043754636E-2</v>
      </c>
      <c r="O99" s="677">
        <f t="shared" si="40"/>
        <v>51915.446869411047</v>
      </c>
      <c r="P99" s="680">
        <f t="shared" si="41"/>
        <v>1.5707770647050878</v>
      </c>
      <c r="Q99" s="689">
        <f t="shared" si="42"/>
        <v>6.4805241981123087</v>
      </c>
      <c r="R99" s="690">
        <f t="shared" si="43"/>
        <v>1.4158687894943895</v>
      </c>
      <c r="S99" s="677">
        <f t="shared" si="44"/>
        <v>1.0010620832550094</v>
      </c>
      <c r="T99" s="680">
        <f t="shared" si="45"/>
        <v>4.6068299052677231E-2</v>
      </c>
      <c r="U99" s="681">
        <f t="shared" si="57"/>
        <v>0.99818437814040939</v>
      </c>
      <c r="V99" s="682">
        <f t="shared" si="58"/>
        <v>-6.5536138113446482E-2</v>
      </c>
      <c r="W99" s="683">
        <f t="shared" si="46"/>
        <v>7.8640869317256792</v>
      </c>
      <c r="X99" s="684">
        <f t="shared" si="47"/>
        <v>-102.18450918053225</v>
      </c>
      <c r="Y99" s="687">
        <f t="shared" si="48"/>
        <v>77.815490819467755</v>
      </c>
      <c r="AA99" s="170">
        <f t="shared" si="49"/>
        <v>1000000000</v>
      </c>
      <c r="AB99" s="170">
        <f t="shared" si="50"/>
        <v>7585617.6399999987</v>
      </c>
      <c r="AD99" s="686">
        <f t="shared" si="51"/>
        <v>27.022500659316464</v>
      </c>
      <c r="AE99" s="687">
        <f t="shared" si="52"/>
        <v>-11.515109499446911</v>
      </c>
      <c r="AG99" s="686">
        <f t="shared" si="53"/>
        <v>26.054143699028245</v>
      </c>
      <c r="AH99" s="687">
        <f t="shared" si="54"/>
        <v>-83.15951143353017</v>
      </c>
      <c r="AJ99" s="170">
        <f t="shared" si="55"/>
        <v>0</v>
      </c>
      <c r="AK99" s="170">
        <f t="shared" si="65"/>
        <v>0</v>
      </c>
      <c r="AM99" s="170" t="str">
        <f t="shared" si="59"/>
        <v>0.00438557989453403+0.0935517315609722i</v>
      </c>
      <c r="AN99" s="170" t="str">
        <f t="shared" si="60"/>
        <v>0.0936887314517187i</v>
      </c>
      <c r="AO99" s="170" t="str">
        <f t="shared" si="61"/>
        <v>0.998537712181351-0.0468101107420169i</v>
      </c>
      <c r="AP99" s="170" t="str">
        <f t="shared" si="62"/>
        <v>0.165935736684244-0.015591955260162i</v>
      </c>
      <c r="AQ99" s="170" t="str">
        <f t="shared" si="63"/>
        <v>0.834064263315756+0.015591955260162i</v>
      </c>
      <c r="AR99" s="170" t="str">
        <f t="shared" si="64"/>
        <v>0.998375107309561-0.0186635738883551i</v>
      </c>
    </row>
    <row r="100" spans="1:44">
      <c r="G100" s="688">
        <v>3020</v>
      </c>
      <c r="H100" s="676">
        <f t="shared" si="56"/>
        <v>3.02</v>
      </c>
      <c r="I100" s="677">
        <f t="shared" si="34"/>
        <v>15.582820604593381</v>
      </c>
      <c r="J100" s="678">
        <f t="shared" si="35"/>
        <v>1.5065789641090506</v>
      </c>
      <c r="K100" s="678">
        <f t="shared" si="36"/>
        <v>1.0000015907392161</v>
      </c>
      <c r="L100" s="679">
        <f t="shared" si="37"/>
        <v>1.783668751396213E-3</v>
      </c>
      <c r="M100" s="678">
        <f t="shared" si="38"/>
        <v>1.0001984759912532</v>
      </c>
      <c r="N100" s="679">
        <f t="shared" si="39"/>
        <v>-1.992200640227958E-2</v>
      </c>
      <c r="O100" s="677">
        <f t="shared" si="40"/>
        <v>56925.658826783387</v>
      </c>
      <c r="P100" s="680">
        <f t="shared" si="41"/>
        <v>1.5707787600241176</v>
      </c>
      <c r="Q100" s="689">
        <f t="shared" si="42"/>
        <v>7.0916903133337943</v>
      </c>
      <c r="R100" s="690">
        <f t="shared" si="43"/>
        <v>1.4293146857492052</v>
      </c>
      <c r="S100" s="677">
        <f t="shared" si="44"/>
        <v>1.0012768353390444</v>
      </c>
      <c r="T100" s="680">
        <f t="shared" si="45"/>
        <v>5.0506994115124076E-2</v>
      </c>
      <c r="U100" s="681">
        <f t="shared" si="57"/>
        <v>0.99789865027557256</v>
      </c>
      <c r="V100" s="682">
        <f t="shared" si="58"/>
        <v>-7.1850665535455341E-2</v>
      </c>
      <c r="W100" s="683">
        <f t="shared" si="46"/>
        <v>7.0459803868350699</v>
      </c>
      <c r="X100" s="684">
        <f t="shared" si="47"/>
        <v>-102.47573835626864</v>
      </c>
      <c r="Y100" s="687">
        <f t="shared" si="48"/>
        <v>77.524261643731364</v>
      </c>
      <c r="AA100" s="170">
        <f t="shared" si="49"/>
        <v>1000000000</v>
      </c>
      <c r="AB100" s="170">
        <f t="shared" si="50"/>
        <v>9120400</v>
      </c>
      <c r="AD100" s="686">
        <f t="shared" si="51"/>
        <v>27.003200656613352</v>
      </c>
      <c r="AE100" s="687">
        <f t="shared" si="52"/>
        <v>-10.999132019934727</v>
      </c>
      <c r="AG100" s="686">
        <f t="shared" si="53"/>
        <v>25.260310498494604</v>
      </c>
      <c r="AH100" s="687">
        <f t="shared" si="54"/>
        <v>-83.243126546150449</v>
      </c>
      <c r="AJ100" s="170">
        <f t="shared" si="55"/>
        <v>0</v>
      </c>
      <c r="AK100" s="170">
        <f t="shared" si="65"/>
        <v>0</v>
      </c>
      <c r="AM100" s="170" t="str">
        <f t="shared" si="59"/>
        <v>0.00527212478685102+0.102549764865331i</v>
      </c>
      <c r="AN100" s="170" t="str">
        <f t="shared" si="60"/>
        <v>0.102730364165344i</v>
      </c>
      <c r="AO100" s="170" t="str">
        <f t="shared" si="61"/>
        <v>0.998242006621116-0.0513200243149685i</v>
      </c>
      <c r="AP100" s="170" t="str">
        <f t="shared" si="62"/>
        <v>0.165787979202191-0.0170916274775552i</v>
      </c>
      <c r="AQ100" s="170" t="str">
        <f t="shared" si="63"/>
        <v>0.834212020797809+0.0170916274775552i</v>
      </c>
      <c r="AR100" s="170" t="str">
        <f t="shared" si="64"/>
        <v>0.998128120305699-0.0204499978204848i</v>
      </c>
    </row>
    <row r="101" spans="1:44">
      <c r="G101" s="688">
        <v>3311.3</v>
      </c>
      <c r="H101" s="676">
        <f t="shared" si="56"/>
        <v>3.3113000000000001</v>
      </c>
      <c r="I101" s="677">
        <f t="shared" si="34"/>
        <v>17.079973299194158</v>
      </c>
      <c r="J101" s="678">
        <f t="shared" si="35"/>
        <v>1.5122147248857301</v>
      </c>
      <c r="K101" s="678">
        <f t="shared" si="36"/>
        <v>1.0000019124147745</v>
      </c>
      <c r="L101" s="679">
        <f t="shared" si="37"/>
        <v>1.9557155860595648E-3</v>
      </c>
      <c r="M101" s="678">
        <f t="shared" si="38"/>
        <v>1.0002386065924795</v>
      </c>
      <c r="N101" s="679">
        <f t="shared" si="39"/>
        <v>-2.1843038153275835E-2</v>
      </c>
      <c r="O101" s="677">
        <f t="shared" si="40"/>
        <v>62416.534459680704</v>
      </c>
      <c r="P101" s="680">
        <f t="shared" si="41"/>
        <v>1.5707803053991447</v>
      </c>
      <c r="Q101" s="689">
        <f t="shared" si="42"/>
        <v>7.7627191292580955</v>
      </c>
      <c r="R101" s="690">
        <f t="shared" si="43"/>
        <v>1.4416165065276665</v>
      </c>
      <c r="S101" s="677">
        <f t="shared" si="44"/>
        <v>1.0015348363692709</v>
      </c>
      <c r="T101" s="680">
        <f t="shared" si="45"/>
        <v>5.5369230349257351E-2</v>
      </c>
      <c r="U101" s="681">
        <f t="shared" si="57"/>
        <v>0.99755560567048318</v>
      </c>
      <c r="V101" s="682">
        <f t="shared" si="58"/>
        <v>-7.876776074506435E-2</v>
      </c>
      <c r="W101" s="683">
        <f t="shared" si="46"/>
        <v>6.2297355767326534</v>
      </c>
      <c r="X101" s="684">
        <f t="shared" si="47"/>
        <v>-102.86900522745182</v>
      </c>
      <c r="Y101" s="687">
        <f t="shared" si="48"/>
        <v>77.130994772548178</v>
      </c>
      <c r="AA101" s="170">
        <f t="shared" si="49"/>
        <v>1000000000</v>
      </c>
      <c r="AB101" s="170">
        <f t="shared" si="50"/>
        <v>10964707.690000001</v>
      </c>
      <c r="AD101" s="686">
        <f t="shared" si="51"/>
        <v>26.98641332399712</v>
      </c>
      <c r="AE101" s="687">
        <f t="shared" si="52"/>
        <v>-10.572963767193819</v>
      </c>
      <c r="AG101" s="686">
        <f t="shared" si="53"/>
        <v>24.466825891799541</v>
      </c>
      <c r="AH101" s="687">
        <f t="shared" si="54"/>
        <v>-83.269920945167328</v>
      </c>
      <c r="AJ101" s="170">
        <f t="shared" si="55"/>
        <v>0</v>
      </c>
      <c r="AK101" s="170">
        <f t="shared" si="65"/>
        <v>0</v>
      </c>
      <c r="AM101" s="170" t="str">
        <f t="shared" si="59"/>
        <v>0.00633711520455504+0.112401385133786i</v>
      </c>
      <c r="AN101" s="170" t="str">
        <f t="shared" si="60"/>
        <v>0.112639422139306i</v>
      </c>
      <c r="AO101" s="170" t="str">
        <f t="shared" si="61"/>
        <v>0.997886734493137-0.0562601892321292i</v>
      </c>
      <c r="AP101" s="170" t="str">
        <f t="shared" si="62"/>
        <v>0.165610480799241-0.0187335641889643i</v>
      </c>
      <c r="AQ101" s="170" t="str">
        <f t="shared" si="63"/>
        <v>0.834389519200759+0.0187335641889643i</v>
      </c>
      <c r="AR101" s="170" t="str">
        <f t="shared" si="64"/>
        <v>0.997831696352714-0.0224031387059035i</v>
      </c>
    </row>
    <row r="102" spans="1:44">
      <c r="G102" s="688">
        <v>3630.8</v>
      </c>
      <c r="H102" s="676">
        <f t="shared" si="56"/>
        <v>3.6308000000000002</v>
      </c>
      <c r="I102" s="677">
        <f t="shared" si="34"/>
        <v>18.722580678180538</v>
      </c>
      <c r="J102" s="678">
        <f t="shared" si="35"/>
        <v>1.5173594586477173</v>
      </c>
      <c r="K102" s="678">
        <f t="shared" si="36"/>
        <v>1.0000022992680342</v>
      </c>
      <c r="L102" s="679">
        <f t="shared" si="37"/>
        <v>2.1444176965401047E-3</v>
      </c>
      <c r="M102" s="678">
        <f t="shared" si="38"/>
        <v>1.0002868663158224</v>
      </c>
      <c r="N102" s="679">
        <f t="shared" si="39"/>
        <v>-2.3949854099878175E-2</v>
      </c>
      <c r="O102" s="677">
        <f t="shared" si="40"/>
        <v>68438.967569025786</v>
      </c>
      <c r="P102" s="680">
        <f t="shared" si="41"/>
        <v>1.5707817152360792</v>
      </c>
      <c r="Q102" s="689">
        <f t="shared" si="42"/>
        <v>8.4998356406145295</v>
      </c>
      <c r="R102" s="690">
        <f t="shared" si="43"/>
        <v>1.4528738839462747</v>
      </c>
      <c r="S102" s="677">
        <f t="shared" si="44"/>
        <v>1.0018450255178</v>
      </c>
      <c r="T102" s="680">
        <f t="shared" si="45"/>
        <v>6.0699146796909936E-2</v>
      </c>
      <c r="U102" s="681">
        <f t="shared" si="57"/>
        <v>0.99714349665110191</v>
      </c>
      <c r="V102" s="682">
        <f t="shared" si="58"/>
        <v>-8.6350232026961446E-2</v>
      </c>
      <c r="W102" s="683">
        <f t="shared" si="46"/>
        <v>5.4141659205542947</v>
      </c>
      <c r="X102" s="684">
        <f t="shared" si="47"/>
        <v>-103.36858247031216</v>
      </c>
      <c r="Y102" s="687">
        <f t="shared" si="48"/>
        <v>76.631417529687837</v>
      </c>
      <c r="AA102" s="170">
        <f t="shared" si="49"/>
        <v>1000000000</v>
      </c>
      <c r="AB102" s="170">
        <f t="shared" si="50"/>
        <v>13182708.640000001</v>
      </c>
      <c r="AD102" s="686">
        <f t="shared" si="51"/>
        <v>26.971580750596896</v>
      </c>
      <c r="AE102" s="687">
        <f t="shared" si="52"/>
        <v>-10.233426047647717</v>
      </c>
      <c r="AG102" s="686">
        <f t="shared" si="53"/>
        <v>23.673266901211779</v>
      </c>
      <c r="AH102" s="687">
        <f t="shared" si="54"/>
        <v>-83.240148701117207</v>
      </c>
      <c r="AJ102" s="170">
        <f t="shared" si="55"/>
        <v>0</v>
      </c>
      <c r="AK102" s="170">
        <f t="shared" si="65"/>
        <v>0</v>
      </c>
      <c r="AM102" s="170" t="str">
        <f t="shared" si="59"/>
        <v>0.00761739173591602+0.123193988550473i</v>
      </c>
      <c r="AN102" s="170" t="str">
        <f t="shared" si="60"/>
        <v>0.123507750401169i</v>
      </c>
      <c r="AO102" s="170" t="str">
        <f t="shared" si="61"/>
        <v>0.997459577640457-0.061675414791167i</v>
      </c>
      <c r="AP102" s="170" t="str">
        <f t="shared" si="62"/>
        <v>0.165397101377347-0.0205323314250788i</v>
      </c>
      <c r="AQ102" s="170" t="str">
        <f t="shared" si="63"/>
        <v>0.834602898622653+0.0205323314250788i</v>
      </c>
      <c r="AR102" s="170" t="str">
        <f t="shared" si="64"/>
        <v>0.997475750457454-0.024539218268557i</v>
      </c>
    </row>
    <row r="103" spans="1:44">
      <c r="G103" s="688">
        <v>3981.1</v>
      </c>
      <c r="H103" s="676">
        <f t="shared" si="56"/>
        <v>3.9811000000000001</v>
      </c>
      <c r="I103" s="677">
        <f t="shared" si="34"/>
        <v>20.524010388452314</v>
      </c>
      <c r="J103" s="678">
        <f t="shared" si="35"/>
        <v>1.5220536071068513</v>
      </c>
      <c r="K103" s="678">
        <f t="shared" si="36"/>
        <v>1.0000027643372134</v>
      </c>
      <c r="L103" s="679">
        <f t="shared" si="37"/>
        <v>2.3513106325860982E-3</v>
      </c>
      <c r="M103" s="678">
        <f t="shared" si="38"/>
        <v>1.0003448803733412</v>
      </c>
      <c r="N103" s="679">
        <f t="shared" si="39"/>
        <v>-2.6259523368729963E-2</v>
      </c>
      <c r="O103" s="677">
        <f t="shared" si="40"/>
        <v>75041.967000152945</v>
      </c>
      <c r="P103" s="680">
        <f t="shared" si="41"/>
        <v>1.5707830009181905</v>
      </c>
      <c r="Q103" s="689">
        <f t="shared" si="42"/>
        <v>9.3090429948727493</v>
      </c>
      <c r="R103" s="690">
        <f t="shared" si="43"/>
        <v>1.4631662170363213</v>
      </c>
      <c r="S103" s="677">
        <f t="shared" si="44"/>
        <v>1.0022178033301661</v>
      </c>
      <c r="T103" s="680">
        <f t="shared" si="45"/>
        <v>6.6538893830660778E-2</v>
      </c>
      <c r="U103" s="681">
        <f t="shared" si="57"/>
        <v>0.99664870454067467</v>
      </c>
      <c r="V103" s="682">
        <f t="shared" si="58"/>
        <v>-9.465806480897411E-2</v>
      </c>
      <c r="W103" s="683">
        <f t="shared" si="46"/>
        <v>4.5990759359271403</v>
      </c>
      <c r="X103" s="684">
        <f t="shared" si="47"/>
        <v>-103.97898060577963</v>
      </c>
      <c r="Y103" s="687">
        <f t="shared" si="48"/>
        <v>76.021019394220374</v>
      </c>
      <c r="AA103" s="170">
        <f t="shared" si="49"/>
        <v>1000000000</v>
      </c>
      <c r="AB103" s="170">
        <f t="shared" si="50"/>
        <v>15849157.209999999</v>
      </c>
      <c r="AD103" s="686">
        <f t="shared" si="51"/>
        <v>26.958224374983576</v>
      </c>
      <c r="AE103" s="687">
        <f t="shared" si="52"/>
        <v>-9.9783853225705066</v>
      </c>
      <c r="AG103" s="686">
        <f t="shared" si="53"/>
        <v>22.880155474089541</v>
      </c>
      <c r="AH103" s="687">
        <f t="shared" si="54"/>
        <v>-83.153580049954527</v>
      </c>
      <c r="AJ103" s="170">
        <f t="shared" si="55"/>
        <v>0</v>
      </c>
      <c r="AK103" s="170">
        <f t="shared" si="65"/>
        <v>0</v>
      </c>
      <c r="AM103" s="170" t="str">
        <f t="shared" si="59"/>
        <v>0.00915579611555895+0.135010235273512i</v>
      </c>
      <c r="AN103" s="170" t="str">
        <f t="shared" si="60"/>
        <v>0.135423792310812i</v>
      </c>
      <c r="AO103" s="170" t="str">
        <f t="shared" si="61"/>
        <v>0.996946201031272-0.0676084752858303i</v>
      </c>
      <c r="AP103" s="170" t="str">
        <f t="shared" si="62"/>
        <v>0.165140700647407-0.0225017058789187i</v>
      </c>
      <c r="AQ103" s="170" t="str">
        <f t="shared" si="63"/>
        <v>0.834859299352593+0.0225017058789187i</v>
      </c>
      <c r="AR103" s="170" t="str">
        <f t="shared" si="64"/>
        <v>0.997048615316636-0.0268731446199808i</v>
      </c>
    </row>
    <row r="104" spans="1:44">
      <c r="G104" s="688">
        <v>4365.2</v>
      </c>
      <c r="H104" s="676">
        <f t="shared" si="56"/>
        <v>4.3651999999999997</v>
      </c>
      <c r="I104" s="677">
        <f t="shared" si="34"/>
        <v>22.499690301563643</v>
      </c>
      <c r="J104" s="678">
        <f t="shared" si="35"/>
        <v>1.5263366250495962</v>
      </c>
      <c r="K104" s="678">
        <f t="shared" si="36"/>
        <v>1.0000033234796097</v>
      </c>
      <c r="L104" s="679">
        <f t="shared" si="37"/>
        <v>2.5781661720054709E-3</v>
      </c>
      <c r="M104" s="678">
        <f t="shared" si="38"/>
        <v>1.0004146249744967</v>
      </c>
      <c r="N104" s="679">
        <f t="shared" si="39"/>
        <v>-2.8791726714748642E-2</v>
      </c>
      <c r="O104" s="677">
        <f t="shared" si="40"/>
        <v>82282.081420756658</v>
      </c>
      <c r="P104" s="680">
        <f t="shared" si="41"/>
        <v>1.570784173480557</v>
      </c>
      <c r="Q104" s="689">
        <f t="shared" si="42"/>
        <v>10.197274538993765</v>
      </c>
      <c r="R104" s="690">
        <f t="shared" si="43"/>
        <v>1.4725730440159905</v>
      </c>
      <c r="S104" s="677">
        <f t="shared" si="44"/>
        <v>1.0026658026042097</v>
      </c>
      <c r="T104" s="680">
        <f t="shared" si="45"/>
        <v>7.293687624815226E-2</v>
      </c>
      <c r="U104" s="681">
        <f t="shared" si="57"/>
        <v>0.99605474855260534</v>
      </c>
      <c r="V104" s="682">
        <f t="shared" si="58"/>
        <v>-0.10376015101652812</v>
      </c>
      <c r="W104" s="683">
        <f t="shared" si="46"/>
        <v>3.7839006631563881</v>
      </c>
      <c r="X104" s="684">
        <f t="shared" si="47"/>
        <v>-104.70565037064416</v>
      </c>
      <c r="Y104" s="687">
        <f t="shared" si="48"/>
        <v>75.294349629355835</v>
      </c>
      <c r="AA104" s="170">
        <f t="shared" si="49"/>
        <v>1000000000</v>
      </c>
      <c r="AB104" s="170">
        <f t="shared" si="50"/>
        <v>19054971.039999999</v>
      </c>
      <c r="AD104" s="686">
        <f t="shared" si="51"/>
        <v>26.945902897878796</v>
      </c>
      <c r="AE104" s="687">
        <f t="shared" si="52"/>
        <v>-9.8060584106247468</v>
      </c>
      <c r="AG104" s="686">
        <f t="shared" si="53"/>
        <v>22.087657532039447</v>
      </c>
      <c r="AH104" s="687">
        <f t="shared" si="54"/>
        <v>-83.009554476658835</v>
      </c>
      <c r="AJ104" s="170">
        <f t="shared" si="55"/>
        <v>0</v>
      </c>
      <c r="AK104" s="170">
        <f t="shared" si="65"/>
        <v>0</v>
      </c>
      <c r="AM104" s="170" t="str">
        <f t="shared" si="59"/>
        <v>0.011004338329187+0.147944520670117i</v>
      </c>
      <c r="AN104" s="170" t="str">
        <f t="shared" si="60"/>
        <v>0.148489597898861i</v>
      </c>
      <c r="AO104" s="170" t="str">
        <f t="shared" si="61"/>
        <v>0.996329189138789-0.0741084795494042i</v>
      </c>
      <c r="AP104" s="170" t="str">
        <f t="shared" si="62"/>
        <v>0.164832610278469-0.0246574201116862i</v>
      </c>
      <c r="AQ104" s="170" t="str">
        <f t="shared" si="63"/>
        <v>0.835167389721531+0.0246574201116862i</v>
      </c>
      <c r="AR104" s="170" t="str">
        <f t="shared" si="64"/>
        <v>0.996536200992529-0.0294216609350247i</v>
      </c>
    </row>
    <row r="105" spans="1:44">
      <c r="G105" s="688">
        <v>4786.3</v>
      </c>
      <c r="H105" s="676">
        <f t="shared" si="56"/>
        <v>4.7862999999999998</v>
      </c>
      <c r="I105" s="677">
        <f t="shared" si="34"/>
        <v>24.666080294550945</v>
      </c>
      <c r="J105" s="678">
        <f t="shared" si="35"/>
        <v>1.5302437085248464</v>
      </c>
      <c r="K105" s="678">
        <f t="shared" si="36"/>
        <v>1.0000039956221507</v>
      </c>
      <c r="L105" s="679">
        <f t="shared" si="37"/>
        <v>2.8268741912509062E-3</v>
      </c>
      <c r="M105" s="678">
        <f t="shared" si="38"/>
        <v>1.0004984582600789</v>
      </c>
      <c r="N105" s="679">
        <f t="shared" si="39"/>
        <v>-3.1567429340349722E-2</v>
      </c>
      <c r="O105" s="677">
        <f t="shared" si="40"/>
        <v>90219.629409712041</v>
      </c>
      <c r="P105" s="680">
        <f t="shared" si="41"/>
        <v>1.5707852427325195</v>
      </c>
      <c r="Q105" s="689">
        <f t="shared" si="42"/>
        <v>11.171932646061185</v>
      </c>
      <c r="R105" s="690">
        <f t="shared" si="43"/>
        <v>1.4811663397446286</v>
      </c>
      <c r="S105" s="677">
        <f t="shared" si="44"/>
        <v>1.0032040760373011</v>
      </c>
      <c r="T105" s="680">
        <f t="shared" si="45"/>
        <v>7.9944284061377408E-2</v>
      </c>
      <c r="U105" s="681">
        <f t="shared" si="57"/>
        <v>0.99534208477200936</v>
      </c>
      <c r="V105" s="682">
        <f t="shared" si="58"/>
        <v>-0.11372935740598825</v>
      </c>
      <c r="W105" s="683">
        <f t="shared" si="46"/>
        <v>2.9682523029880632</v>
      </c>
      <c r="X105" s="684">
        <f t="shared" si="47"/>
        <v>-105.5546859212496</v>
      </c>
      <c r="Y105" s="687">
        <f t="shared" si="48"/>
        <v>74.4453140787504</v>
      </c>
      <c r="AA105" s="170">
        <f t="shared" si="49"/>
        <v>1000000000</v>
      </c>
      <c r="AB105" s="170">
        <f t="shared" si="50"/>
        <v>22908667.690000001</v>
      </c>
      <c r="AD105" s="686">
        <f t="shared" si="51"/>
        <v>26.934209739363904</v>
      </c>
      <c r="AE105" s="687">
        <f t="shared" si="52"/>
        <v>-9.7152549898117044</v>
      </c>
      <c r="AG105" s="686">
        <f t="shared" si="53"/>
        <v>21.296136053505336</v>
      </c>
      <c r="AH105" s="687">
        <f t="shared" si="54"/>
        <v>-82.807006544350116</v>
      </c>
      <c r="AJ105" s="170">
        <f t="shared" si="55"/>
        <v>0</v>
      </c>
      <c r="AK105" s="170">
        <f t="shared" si="65"/>
        <v>0</v>
      </c>
      <c r="AM105" s="170" t="str">
        <f t="shared" si="59"/>
        <v>0.013224949518573+0.162095649995234i</v>
      </c>
      <c r="AN105" s="170" t="str">
        <f t="shared" si="60"/>
        <v>0.16281402053132i</v>
      </c>
      <c r="AO105" s="170" t="str">
        <f t="shared" si="61"/>
        <v>0.995587784554784-0.0812273382563448i</v>
      </c>
      <c r="AP105" s="170" t="str">
        <f t="shared" si="62"/>
        <v>0.164462508413571-0.0270159416658723i</v>
      </c>
      <c r="AQ105" s="170" t="str">
        <f t="shared" si="63"/>
        <v>0.835537491586429+0.0270159416658723i</v>
      </c>
      <c r="AR105" s="170" t="str">
        <f t="shared" si="64"/>
        <v>0.995921844173208-0.0322017464409234i</v>
      </c>
    </row>
    <row r="106" spans="1:44">
      <c r="G106" s="688">
        <v>5248.1</v>
      </c>
      <c r="H106" s="676">
        <f t="shared" si="56"/>
        <v>5.2481</v>
      </c>
      <c r="I106" s="677">
        <f t="shared" si="34"/>
        <v>27.042215574046057</v>
      </c>
      <c r="J106" s="678">
        <f t="shared" si="35"/>
        <v>1.5338086750968982</v>
      </c>
      <c r="K106" s="678">
        <f t="shared" si="36"/>
        <v>1.0000048038408129</v>
      </c>
      <c r="L106" s="679">
        <f t="shared" si="37"/>
        <v>3.0996198419368094E-3</v>
      </c>
      <c r="M106" s="678">
        <f t="shared" si="38"/>
        <v>1.0005992544759641</v>
      </c>
      <c r="N106" s="679">
        <f t="shared" si="39"/>
        <v>-3.4610847258431776E-2</v>
      </c>
      <c r="O106" s="677">
        <f t="shared" si="40"/>
        <v>98924.354323844382</v>
      </c>
      <c r="P106" s="680">
        <f t="shared" si="41"/>
        <v>1.5707862180607346</v>
      </c>
      <c r="Q106" s="689">
        <f t="shared" si="42"/>
        <v>12.241583123902014</v>
      </c>
      <c r="R106" s="690">
        <f t="shared" si="43"/>
        <v>1.4890164198114217</v>
      </c>
      <c r="S106" s="677">
        <f t="shared" si="44"/>
        <v>1.0038509419064905</v>
      </c>
      <c r="T106" s="680">
        <f t="shared" si="45"/>
        <v>8.7619909305375887E-2</v>
      </c>
      <c r="U106" s="681">
        <f t="shared" si="57"/>
        <v>0.99448705452832731</v>
      </c>
      <c r="V106" s="682">
        <f t="shared" si="58"/>
        <v>-0.12464938372917897</v>
      </c>
      <c r="W106" s="683">
        <f t="shared" si="46"/>
        <v>2.1513700727371323</v>
      </c>
      <c r="X106" s="684">
        <f t="shared" si="47"/>
        <v>-106.53342306600663</v>
      </c>
      <c r="Y106" s="687">
        <f t="shared" si="48"/>
        <v>73.466576933993366</v>
      </c>
      <c r="AA106" s="170">
        <f t="shared" si="49"/>
        <v>1000000000</v>
      </c>
      <c r="AB106" s="170">
        <f t="shared" si="50"/>
        <v>27542553.610000003</v>
      </c>
      <c r="AD106" s="686">
        <f t="shared" si="51"/>
        <v>26.922752717321721</v>
      </c>
      <c r="AE106" s="687">
        <f t="shared" si="52"/>
        <v>-9.7053153469288738</v>
      </c>
      <c r="AG106" s="686">
        <f t="shared" si="53"/>
        <v>20.505640164893411</v>
      </c>
      <c r="AH106" s="687">
        <f t="shared" si="54"/>
        <v>-82.544340489578929</v>
      </c>
      <c r="AJ106" s="170">
        <f t="shared" si="55"/>
        <v>0</v>
      </c>
      <c r="AK106" s="170">
        <f t="shared" si="65"/>
        <v>0</v>
      </c>
      <c r="AM106" s="170" t="str">
        <f t="shared" si="59"/>
        <v>0.015892939903191+0.17757616469452i</v>
      </c>
      <c r="AN106" s="170" t="str">
        <f t="shared" si="60"/>
        <v>0.17852292191263i</v>
      </c>
      <c r="AO106" s="170" t="str">
        <f t="shared" si="61"/>
        <v>0.994696719009712-0.0890246458713525i</v>
      </c>
      <c r="AP106" s="170" t="str">
        <f t="shared" si="62"/>
        <v>0.164017843349468-0.0295960274490867i</v>
      </c>
      <c r="AQ106" s="170" t="str">
        <f t="shared" si="63"/>
        <v>0.835982156650532+0.0295960274490867i</v>
      </c>
      <c r="AR106" s="170" t="str">
        <f t="shared" si="64"/>
        <v>0.995185433844984-0.0352322536823234i</v>
      </c>
    </row>
    <row r="107" spans="1:44">
      <c r="G107" s="688">
        <v>5370.3</v>
      </c>
      <c r="H107" s="676">
        <f t="shared" si="56"/>
        <v>5.3703000000000003</v>
      </c>
      <c r="I107" s="677">
        <f t="shared" si="34"/>
        <v>27.671031950785164</v>
      </c>
      <c r="J107" s="678">
        <f t="shared" si="35"/>
        <v>1.5346495795563224</v>
      </c>
      <c r="K107" s="678">
        <f t="shared" si="36"/>
        <v>1.0000050301559482</v>
      </c>
      <c r="L107" s="679">
        <f t="shared" si="37"/>
        <v>3.1717928251528797E-3</v>
      </c>
      <c r="M107" s="678">
        <f t="shared" si="38"/>
        <v>1.000627477346113</v>
      </c>
      <c r="N107" s="679">
        <f t="shared" si="39"/>
        <v>-3.5416081521936413E-2</v>
      </c>
      <c r="O107" s="677">
        <f t="shared" si="40"/>
        <v>101227.77005470937</v>
      </c>
      <c r="P107" s="680">
        <f t="shared" si="41"/>
        <v>1.5707864480827658</v>
      </c>
      <c r="Q107" s="689">
        <f t="shared" si="42"/>
        <v>12.52474310964857</v>
      </c>
      <c r="R107" s="690">
        <f t="shared" si="43"/>
        <v>1.4908692969951092</v>
      </c>
      <c r="S107" s="677">
        <f t="shared" si="44"/>
        <v>1.0040320008882515</v>
      </c>
      <c r="T107" s="680">
        <f t="shared" si="45"/>
        <v>8.9649314681435013E-2</v>
      </c>
      <c r="U107" s="681">
        <f t="shared" si="57"/>
        <v>0.99424800465061403</v>
      </c>
      <c r="V107" s="682">
        <f t="shared" si="58"/>
        <v>-0.12753662920323527</v>
      </c>
      <c r="W107" s="683">
        <f t="shared" si="46"/>
        <v>1.9469966275603063</v>
      </c>
      <c r="X107" s="684">
        <f t="shared" si="47"/>
        <v>-106.79915914005528</v>
      </c>
      <c r="Y107" s="687">
        <f t="shared" si="48"/>
        <v>73.200840859944719</v>
      </c>
      <c r="AA107" s="170">
        <f t="shared" si="49"/>
        <v>1000000000</v>
      </c>
      <c r="AB107" s="170">
        <f t="shared" si="50"/>
        <v>28840122.090000004</v>
      </c>
      <c r="AD107" s="686">
        <f t="shared" si="51"/>
        <v>26.919882143344971</v>
      </c>
      <c r="AE107" s="687">
        <f t="shared" si="52"/>
        <v>-9.7154428466200056</v>
      </c>
      <c r="AG107" s="686">
        <f t="shared" si="53"/>
        <v>20.308313537997435</v>
      </c>
      <c r="AH107" s="687">
        <f t="shared" si="54"/>
        <v>-82.469095103394977</v>
      </c>
      <c r="AJ107" s="170">
        <f t="shared" si="55"/>
        <v>0</v>
      </c>
      <c r="AK107" s="170">
        <f t="shared" si="65"/>
        <v>0</v>
      </c>
      <c r="AM107" s="170" t="str">
        <f t="shared" si="59"/>
        <v>0.016639595440489+0.18166539225883i</v>
      </c>
      <c r="AN107" s="170" t="str">
        <f t="shared" si="60"/>
        <v>0.18267975982687i</v>
      </c>
      <c r="AO107" s="170" t="str">
        <f t="shared" si="61"/>
        <v>0.994447290882135-0.0910861469067988i</v>
      </c>
      <c r="AP107" s="170" t="str">
        <f t="shared" si="62"/>
        <v>0.163893400759919-0.0302775653764717i</v>
      </c>
      <c r="AQ107" s="170" t="str">
        <f t="shared" si="63"/>
        <v>0.836106599240081+0.0302775653764717i</v>
      </c>
      <c r="AR107" s="170" t="str">
        <f t="shared" si="64"/>
        <v>0.994979679438528-0.0360307672727872i</v>
      </c>
    </row>
    <row r="108" spans="1:44">
      <c r="G108" s="688">
        <v>5432.85</v>
      </c>
      <c r="H108" s="676">
        <f t="shared" si="56"/>
        <v>5.4328500000000002</v>
      </c>
      <c r="I108" s="677">
        <f t="shared" si="34"/>
        <v>27.992908858562167</v>
      </c>
      <c r="J108" s="678">
        <f t="shared" si="35"/>
        <v>1.5350653915054944</v>
      </c>
      <c r="K108" s="678">
        <f t="shared" si="36"/>
        <v>1.0000051480144612</v>
      </c>
      <c r="L108" s="679">
        <f t="shared" si="37"/>
        <v>3.2087356937579247E-3</v>
      </c>
      <c r="M108" s="678">
        <f t="shared" si="38"/>
        <v>1.0006421747049081</v>
      </c>
      <c r="N108" s="679">
        <f t="shared" si="39"/>
        <v>-3.5828235685375028E-2</v>
      </c>
      <c r="O108" s="677">
        <f t="shared" si="40"/>
        <v>102406.80977619751</v>
      </c>
      <c r="P108" s="680">
        <f t="shared" si="41"/>
        <v>1.5707865618192842</v>
      </c>
      <c r="Q108" s="689">
        <f t="shared" si="42"/>
        <v>12.66969909633038</v>
      </c>
      <c r="R108" s="690">
        <f t="shared" si="43"/>
        <v>1.4917856732752224</v>
      </c>
      <c r="S108" s="677">
        <f t="shared" si="44"/>
        <v>1.0041262783663867</v>
      </c>
      <c r="T108" s="680">
        <f t="shared" si="45"/>
        <v>9.0687812509420554E-2</v>
      </c>
      <c r="U108" s="681">
        <f t="shared" si="57"/>
        <v>0.99412357879369917</v>
      </c>
      <c r="V108" s="682">
        <f t="shared" si="58"/>
        <v>-0.12901411115694003</v>
      </c>
      <c r="W108" s="683">
        <f t="shared" si="46"/>
        <v>1.8441352461807661</v>
      </c>
      <c r="X108" s="684">
        <f t="shared" si="47"/>
        <v>-106.93613847974723</v>
      </c>
      <c r="Y108" s="687">
        <f t="shared" si="48"/>
        <v>73.063861520252772</v>
      </c>
      <c r="AA108" s="170">
        <f t="shared" si="49"/>
        <v>1000000000</v>
      </c>
      <c r="AB108" s="170">
        <f t="shared" si="50"/>
        <v>29515859.122500002</v>
      </c>
      <c r="AD108" s="686">
        <f t="shared" si="51"/>
        <v>26.918432715706309</v>
      </c>
      <c r="AE108" s="687">
        <f t="shared" si="52"/>
        <v>-9.722446412531184</v>
      </c>
      <c r="AG108" s="686">
        <f t="shared" si="53"/>
        <v>20.209075723681384</v>
      </c>
      <c r="AH108" s="687">
        <f t="shared" si="54"/>
        <v>-82.429763916474286</v>
      </c>
      <c r="AJ108" s="170">
        <f t="shared" si="55"/>
        <v>0</v>
      </c>
      <c r="AK108" s="170">
        <f t="shared" si="65"/>
        <v>0</v>
      </c>
      <c r="AM108" s="170" t="str">
        <f t="shared" si="59"/>
        <v>0.0170283584191741+0.183757317807742i</v>
      </c>
      <c r="AN108" s="170" t="str">
        <f t="shared" si="60"/>
        <v>0.18480750296546i</v>
      </c>
      <c r="AO108" s="170" t="str">
        <f t="shared" si="61"/>
        <v>0.994317410598236-0.092141055671082i</v>
      </c>
      <c r="AP108" s="170" t="str">
        <f t="shared" si="62"/>
        <v>0.163828606930138-0.0306262196346237i</v>
      </c>
      <c r="AQ108" s="170" t="str">
        <f t="shared" si="63"/>
        <v>0.836171393069862+0.0306262196346237i</v>
      </c>
      <c r="AR108" s="170" t="str">
        <f t="shared" si="64"/>
        <v>0.994872606697595-0.036438925337219i</v>
      </c>
    </row>
    <row r="109" spans="1:44">
      <c r="G109" s="688">
        <v>5495.4</v>
      </c>
      <c r="H109" s="676">
        <f t="shared" si="56"/>
        <v>5.4954000000000001</v>
      </c>
      <c r="I109" s="677">
        <f t="shared" si="34"/>
        <v>28.314790496261331</v>
      </c>
      <c r="J109" s="678">
        <f t="shared" si="35"/>
        <v>1.5354717496495771</v>
      </c>
      <c r="K109" s="678">
        <f t="shared" si="36"/>
        <v>1.0000052672377564</v>
      </c>
      <c r="L109" s="679">
        <f t="shared" si="37"/>
        <v>3.2456785536045325E-3</v>
      </c>
      <c r="M109" s="678">
        <f t="shared" si="38"/>
        <v>1.0006570420388343</v>
      </c>
      <c r="N109" s="679">
        <f t="shared" si="39"/>
        <v>-3.6240377671602694E-2</v>
      </c>
      <c r="O109" s="677">
        <f t="shared" si="40"/>
        <v>103585.84949768691</v>
      </c>
      <c r="P109" s="680">
        <f t="shared" si="41"/>
        <v>1.5707866729666482</v>
      </c>
      <c r="Q109" s="689">
        <f t="shared" si="42"/>
        <v>12.81466548163147</v>
      </c>
      <c r="R109" s="690">
        <f t="shared" si="43"/>
        <v>1.492681317211054</v>
      </c>
      <c r="S109" s="677">
        <f t="shared" si="44"/>
        <v>1.0042216385683458</v>
      </c>
      <c r="T109" s="680">
        <f t="shared" si="45"/>
        <v>9.1726114226923977E-2</v>
      </c>
      <c r="U109" s="681">
        <f t="shared" si="57"/>
        <v>0.99399775704954541</v>
      </c>
      <c r="V109" s="682">
        <f t="shared" si="58"/>
        <v>-0.13049131809901771</v>
      </c>
      <c r="W109" s="683">
        <f t="shared" si="46"/>
        <v>1.7424221988136868</v>
      </c>
      <c r="X109" s="684">
        <f t="shared" si="47"/>
        <v>-107.07373619327761</v>
      </c>
      <c r="Y109" s="687">
        <f t="shared" si="48"/>
        <v>72.926263806722389</v>
      </c>
      <c r="AA109" s="170">
        <f t="shared" si="49"/>
        <v>1000000000</v>
      </c>
      <c r="AB109" s="170">
        <f t="shared" si="50"/>
        <v>30199421.159999996</v>
      </c>
      <c r="AD109" s="686">
        <f t="shared" si="51"/>
        <v>26.916995433073527</v>
      </c>
      <c r="AE109" s="687">
        <f t="shared" si="52"/>
        <v>-9.7306264696198763</v>
      </c>
      <c r="AG109" s="686">
        <f t="shared" si="53"/>
        <v>20.110998765962623</v>
      </c>
      <c r="AH109" s="687">
        <f t="shared" si="54"/>
        <v>-82.389906126225597</v>
      </c>
      <c r="AJ109" s="170">
        <f t="shared" si="55"/>
        <v>0</v>
      </c>
      <c r="AK109" s="170">
        <f t="shared" si="65"/>
        <v>0</v>
      </c>
      <c r="AM109" s="170" t="str">
        <f t="shared" si="59"/>
        <v>0.017421571594712+0.185848411434142i</v>
      </c>
      <c r="AN109" s="170" t="str">
        <f t="shared" si="60"/>
        <v>0.18693524610405i</v>
      </c>
      <c r="AO109" s="170" t="str">
        <f t="shared" si="61"/>
        <v>0.994186036648739-0.0931957560588386i</v>
      </c>
      <c r="AP109" s="170" t="str">
        <f t="shared" si="62"/>
        <v>0.163763071400881-0.0309747352390237i</v>
      </c>
      <c r="AQ109" s="170" t="str">
        <f t="shared" si="63"/>
        <v>0.836236928599119+0.0309747352390237i</v>
      </c>
      <c r="AR109" s="170" t="str">
        <f t="shared" si="64"/>
        <v>0.994764348600093-0.0368466893404547i</v>
      </c>
    </row>
    <row r="110" spans="1:44">
      <c r="G110" s="688">
        <v>5559.4</v>
      </c>
      <c r="H110" s="676">
        <f t="shared" si="56"/>
        <v>5.5593999999999992</v>
      </c>
      <c r="I110" s="677">
        <f t="shared" si="34"/>
        <v>28.644138547953343</v>
      </c>
      <c r="J110" s="678">
        <f t="shared" si="35"/>
        <v>1.5358780749756589</v>
      </c>
      <c r="K110" s="678">
        <f t="shared" si="36"/>
        <v>1.000005390637426</v>
      </c>
      <c r="L110" s="679">
        <f t="shared" si="37"/>
        <v>3.2834777935176799E-3</v>
      </c>
      <c r="M110" s="678">
        <f t="shared" si="38"/>
        <v>1.0006724299424961</v>
      </c>
      <c r="N110" s="679">
        <f t="shared" si="39"/>
        <v>-3.6662060959288964E-2</v>
      </c>
      <c r="O110" s="677">
        <f t="shared" si="40"/>
        <v>104792.22107523135</v>
      </c>
      <c r="P110" s="680">
        <f t="shared" si="41"/>
        <v>1.5707867841018441</v>
      </c>
      <c r="Q110" s="689">
        <f t="shared" si="42"/>
        <v>12.96300279776125</v>
      </c>
      <c r="R110" s="690">
        <f t="shared" si="43"/>
        <v>1.4935769886702301</v>
      </c>
      <c r="S110" s="677">
        <f t="shared" si="44"/>
        <v>1.0043203297002219</v>
      </c>
      <c r="T110" s="680">
        <f t="shared" si="45"/>
        <v>9.2788280029974204E-2</v>
      </c>
      <c r="U110" s="681">
        <f t="shared" si="57"/>
        <v>0.99386757536453874</v>
      </c>
      <c r="V110" s="682">
        <f t="shared" si="58"/>
        <v>-0.13200248104323481</v>
      </c>
      <c r="W110" s="683">
        <f t="shared" si="46"/>
        <v>1.6395119111844167</v>
      </c>
      <c r="X110" s="684">
        <f t="shared" si="47"/>
        <v>-107.21514090514742</v>
      </c>
      <c r="Y110" s="687">
        <f t="shared" si="48"/>
        <v>72.784859094852578</v>
      </c>
      <c r="AA110" s="170">
        <f t="shared" si="49"/>
        <v>1000000000</v>
      </c>
      <c r="AB110" s="170">
        <f t="shared" si="50"/>
        <v>30906928.359999996</v>
      </c>
      <c r="AD110" s="686">
        <f t="shared" si="51"/>
        <v>26.915536412908274</v>
      </c>
      <c r="AE110" s="687">
        <f t="shared" si="52"/>
        <v>-9.7401722604252559</v>
      </c>
      <c r="AG110" s="686">
        <f t="shared" si="53"/>
        <v>20.011822790958401</v>
      </c>
      <c r="AH110" s="687">
        <f t="shared" si="54"/>
        <v>-82.34859852937177</v>
      </c>
      <c r="AJ110" s="170">
        <f t="shared" si="55"/>
        <v>0</v>
      </c>
      <c r="AK110" s="170">
        <f t="shared" si="65"/>
        <v>0</v>
      </c>
      <c r="AM110" s="170" t="str">
        <f t="shared" si="59"/>
        <v>0.017828504302424+0.187987108704788i</v>
      </c>
      <c r="AN110" s="170" t="str">
        <f t="shared" si="60"/>
        <v>0.18911231342411i</v>
      </c>
      <c r="AO110" s="170" t="str">
        <f t="shared" si="61"/>
        <v>0.99405007162702-0.0942746877747784i</v>
      </c>
      <c r="AP110" s="170" t="str">
        <f t="shared" si="62"/>
        <v>0.163695249282929-0.0313311847841313i</v>
      </c>
      <c r="AQ110" s="170" t="str">
        <f t="shared" si="63"/>
        <v>0.836304750717071+0.0313311847841313i</v>
      </c>
      <c r="AR110" s="170" t="str">
        <f t="shared" si="64"/>
        <v>0.994652355952533-0.0372634936410439i</v>
      </c>
    </row>
    <row r="111" spans="1:44">
      <c r="G111" s="688">
        <v>5623.4</v>
      </c>
      <c r="H111" s="676">
        <f t="shared" si="56"/>
        <v>5.6233999999999993</v>
      </c>
      <c r="I111" s="677">
        <f t="shared" si="34"/>
        <v>28.973491221285244</v>
      </c>
      <c r="J111" s="678">
        <f t="shared" si="35"/>
        <v>1.5362751626576105</v>
      </c>
      <c r="K111" s="678">
        <f t="shared" si="36"/>
        <v>1.0000055154658853</v>
      </c>
      <c r="L111" s="679">
        <f t="shared" si="37"/>
        <v>3.321277024048044E-3</v>
      </c>
      <c r="M111" s="678">
        <f t="shared" si="38"/>
        <v>1.0006879957770314</v>
      </c>
      <c r="N111" s="679">
        <f t="shared" si="39"/>
        <v>-3.7083731203274378E-2</v>
      </c>
      <c r="O111" s="677">
        <f t="shared" si="40"/>
        <v>105998.59265277705</v>
      </c>
      <c r="P111" s="680">
        <f t="shared" si="41"/>
        <v>1.5707868927073774</v>
      </c>
      <c r="Q111" s="689">
        <f t="shared" si="42"/>
        <v>13.111350277854109</v>
      </c>
      <c r="R111" s="690">
        <f t="shared" si="43"/>
        <v>1.4944523927910025</v>
      </c>
      <c r="S111" s="677">
        <f t="shared" si="44"/>
        <v>1.0044201536790613</v>
      </c>
      <c r="T111" s="680">
        <f t="shared" si="45"/>
        <v>9.3850235904897744E-2</v>
      </c>
      <c r="U111" s="681">
        <f t="shared" si="57"/>
        <v>0.99373593557176843</v>
      </c>
      <c r="V111" s="682">
        <f t="shared" si="58"/>
        <v>-0.13351334967479839</v>
      </c>
      <c r="W111" s="683">
        <f t="shared" si="46"/>
        <v>1.5377480297138348</v>
      </c>
      <c r="X111" s="684">
        <f t="shared" si="47"/>
        <v>-107.35714778933017</v>
      </c>
      <c r="Y111" s="687">
        <f t="shared" si="48"/>
        <v>72.64285221066983</v>
      </c>
      <c r="AA111" s="170">
        <f t="shared" si="49"/>
        <v>1000000000</v>
      </c>
      <c r="AB111" s="170">
        <f t="shared" si="50"/>
        <v>31622627.559999995</v>
      </c>
      <c r="AD111" s="686">
        <f t="shared" si="51"/>
        <v>26.914088153856376</v>
      </c>
      <c r="AE111" s="687">
        <f t="shared" si="52"/>
        <v>-9.7508671112497929</v>
      </c>
      <c r="AG111" s="686">
        <f t="shared" si="53"/>
        <v>19.913808248624068</v>
      </c>
      <c r="AH111" s="687">
        <f t="shared" si="54"/>
        <v>-82.306777770557517</v>
      </c>
      <c r="AJ111" s="170">
        <f t="shared" si="55"/>
        <v>0</v>
      </c>
      <c r="AK111" s="170">
        <f t="shared" si="65"/>
        <v>0</v>
      </c>
      <c r="AM111" s="170" t="str">
        <f t="shared" si="59"/>
        <v>0.01824009213004+0.190124914987928i</v>
      </c>
      <c r="AN111" s="170" t="str">
        <f t="shared" si="60"/>
        <v>0.191289380744171i</v>
      </c>
      <c r="AO111" s="170" t="str">
        <f t="shared" si="61"/>
        <v>0.993912543646109-0.0953533962997881i</v>
      </c>
      <c r="AP111" s="170" t="str">
        <f t="shared" si="62"/>
        <v>0.16362665131166-0.0316874858313213i</v>
      </c>
      <c r="AQ111" s="170" t="str">
        <f t="shared" si="63"/>
        <v>0.83637334868834+0.0316874858313213i</v>
      </c>
      <c r="AR111" s="170" t="str">
        <f t="shared" si="64"/>
        <v>0.994539126279311-0.0376798764835029i</v>
      </c>
    </row>
    <row r="112" spans="1:44">
      <c r="G112" s="688">
        <v>5688.9</v>
      </c>
      <c r="H112" s="676">
        <f t="shared" si="56"/>
        <v>5.6888999999999994</v>
      </c>
      <c r="I112" s="677">
        <f t="shared" si="34"/>
        <v>29.310567720711596</v>
      </c>
      <c r="J112" s="678">
        <f t="shared" si="35"/>
        <v>1.5366723169642564</v>
      </c>
      <c r="K112" s="678">
        <f t="shared" si="36"/>
        <v>1.0000056446994245</v>
      </c>
      <c r="L112" s="679">
        <f t="shared" si="37"/>
        <v>3.3599621642160294E-3</v>
      </c>
      <c r="M112" s="678">
        <f t="shared" si="38"/>
        <v>1.0007041106622745</v>
      </c>
      <c r="N112" s="679">
        <f t="shared" si="39"/>
        <v>-3.7515270681914493E-2</v>
      </c>
      <c r="O112" s="677">
        <f t="shared" si="40"/>
        <v>107233.23856417273</v>
      </c>
      <c r="P112" s="680">
        <f t="shared" si="41"/>
        <v>1.5707870013281533</v>
      </c>
      <c r="Q112" s="689">
        <f t="shared" si="42"/>
        <v>13.263184820201582</v>
      </c>
      <c r="R112" s="690">
        <f t="shared" si="43"/>
        <v>1.4953280370526134</v>
      </c>
      <c r="S112" s="677">
        <f t="shared" si="44"/>
        <v>1.0045234899147153</v>
      </c>
      <c r="T112" s="680">
        <f t="shared" si="45"/>
        <v>9.4936861570787137E-2</v>
      </c>
      <c r="U112" s="681">
        <f t="shared" si="57"/>
        <v>0.99359970244212181</v>
      </c>
      <c r="V112" s="682">
        <f t="shared" si="58"/>
        <v>-0.13505932117856953</v>
      </c>
      <c r="W112" s="683">
        <f t="shared" si="46"/>
        <v>1.4347581577438686</v>
      </c>
      <c r="X112" s="684">
        <f t="shared" si="47"/>
        <v>-107.50308416058755</v>
      </c>
      <c r="Y112" s="687">
        <f t="shared" si="48"/>
        <v>72.496915839412452</v>
      </c>
      <c r="AA112" s="170">
        <f t="shared" si="49"/>
        <v>1000000000</v>
      </c>
      <c r="AB112" s="170">
        <f t="shared" si="50"/>
        <v>32363583.209999997</v>
      </c>
      <c r="AD112" s="686">
        <f t="shared" si="51"/>
        <v>26.912616148358165</v>
      </c>
      <c r="AE112" s="687">
        <f t="shared" si="52"/>
        <v>-9.7629616787965325</v>
      </c>
      <c r="AG112" s="686">
        <f t="shared" si="53"/>
        <v>19.814672075326591</v>
      </c>
      <c r="AH112" s="687">
        <f t="shared" si="54"/>
        <v>-82.263464289238556</v>
      </c>
      <c r="AJ112" s="170">
        <f t="shared" si="55"/>
        <v>0</v>
      </c>
      <c r="AK112" s="170">
        <f t="shared" si="65"/>
        <v>0</v>
      </c>
      <c r="AM112" s="170" t="str">
        <f t="shared" si="59"/>
        <v>0.018666144566593+0.192311892976498i</v>
      </c>
      <c r="AN112" s="170" t="str">
        <f t="shared" si="60"/>
        <v>0.193517473079545i</v>
      </c>
      <c r="AO112" s="170" t="str">
        <f t="shared" si="61"/>
        <v>0.993770174424759-0.0964571532975749i</v>
      </c>
      <c r="AP112" s="170" t="str">
        <f t="shared" si="62"/>
        <v>0.163555642572235-0.0320519821627497i</v>
      </c>
      <c r="AQ112" s="170" t="str">
        <f t="shared" si="63"/>
        <v>0.836444357427765+0.0320519821627497i</v>
      </c>
      <c r="AR112" s="170" t="str">
        <f t="shared" si="64"/>
        <v>0.994421964034143-0.0381055772215206i</v>
      </c>
    </row>
    <row r="113" spans="7:44">
      <c r="G113" s="688">
        <v>5754.4</v>
      </c>
      <c r="H113" s="676">
        <f t="shared" si="56"/>
        <v>5.7543999999999995</v>
      </c>
      <c r="I113" s="677">
        <f t="shared" si="34"/>
        <v>29.647648738212396</v>
      </c>
      <c r="J113" s="678">
        <f t="shared" si="35"/>
        <v>1.5370604403835908</v>
      </c>
      <c r="K113" s="678">
        <f t="shared" si="36"/>
        <v>1.0000057754295117</v>
      </c>
      <c r="L113" s="679">
        <f t="shared" si="37"/>
        <v>3.3986472943273432E-3</v>
      </c>
      <c r="M113" s="678">
        <f t="shared" si="38"/>
        <v>1.0007204118989412</v>
      </c>
      <c r="N113" s="679">
        <f t="shared" si="39"/>
        <v>-3.794679618178786E-2</v>
      </c>
      <c r="O113" s="677">
        <f t="shared" si="40"/>
        <v>108467.88447556968</v>
      </c>
      <c r="P113" s="680">
        <f t="shared" si="41"/>
        <v>1.5707871074761568</v>
      </c>
      <c r="Q113" s="689">
        <f t="shared" si="42"/>
        <v>13.415029301925991</v>
      </c>
      <c r="R113" s="690">
        <f t="shared" si="43"/>
        <v>1.4961838591539824</v>
      </c>
      <c r="S113" s="677">
        <f t="shared" si="44"/>
        <v>1.0046280120020208</v>
      </c>
      <c r="T113" s="680">
        <f t="shared" si="45"/>
        <v>9.6023262412886265E-2</v>
      </c>
      <c r="U113" s="681">
        <f t="shared" si="57"/>
        <v>0.99346194560873824</v>
      </c>
      <c r="V113" s="682">
        <f t="shared" si="58"/>
        <v>-0.13660497757143483</v>
      </c>
      <c r="W113" s="683">
        <f t="shared" si="46"/>
        <v>1.3329133296005424</v>
      </c>
      <c r="X113" s="684">
        <f t="shared" si="47"/>
        <v>-107.6496069482332</v>
      </c>
      <c r="Y113" s="687">
        <f t="shared" si="48"/>
        <v>72.350393051766801</v>
      </c>
      <c r="AA113" s="170">
        <f t="shared" si="49"/>
        <v>1000000000</v>
      </c>
      <c r="AB113" s="170">
        <f t="shared" si="50"/>
        <v>33113119.359999996</v>
      </c>
      <c r="AD113" s="686">
        <f t="shared" si="51"/>
        <v>26.911153548487384</v>
      </c>
      <c r="AE113" s="687">
        <f t="shared" si="52"/>
        <v>-9.7761789493335201</v>
      </c>
      <c r="AG113" s="686">
        <f t="shared" si="53"/>
        <v>19.716698510428436</v>
      </c>
      <c r="AH113" s="687">
        <f t="shared" si="54"/>
        <v>-82.219650630367667</v>
      </c>
      <c r="AJ113" s="170">
        <f t="shared" si="55"/>
        <v>0</v>
      </c>
      <c r="AK113" s="170">
        <f t="shared" si="65"/>
        <v>0</v>
      </c>
      <c r="AM113" s="170" t="str">
        <f t="shared" si="59"/>
        <v>0.019097068730462+0.194497916253176i</v>
      </c>
      <c r="AN113" s="170" t="str">
        <f t="shared" si="60"/>
        <v>0.195745565414919i</v>
      </c>
      <c r="AO113" s="170" t="str">
        <f t="shared" si="61"/>
        <v>0.993626168955101-0.0975606711190735i</v>
      </c>
      <c r="AP113" s="170" t="str">
        <f t="shared" si="62"/>
        <v>0.163483821878256-0.0324163193755293i</v>
      </c>
      <c r="AQ113" s="170" t="str">
        <f t="shared" si="63"/>
        <v>0.836516178121744+0.0324163193755293i</v>
      </c>
      <c r="AR113" s="170" t="str">
        <f t="shared" si="64"/>
        <v>0.994303510391687-0.0385308270085554i</v>
      </c>
    </row>
    <row r="114" spans="7:44">
      <c r="G114" s="688">
        <v>5821.4</v>
      </c>
      <c r="H114" s="676">
        <f t="shared" si="56"/>
        <v>5.8213999999999997</v>
      </c>
      <c r="I114" s="677">
        <f t="shared" si="34"/>
        <v>29.99245368397801</v>
      </c>
      <c r="J114" s="678">
        <f t="shared" si="35"/>
        <v>1.5374484259638874</v>
      </c>
      <c r="K114" s="678">
        <f t="shared" si="36"/>
        <v>1.000005910701766</v>
      </c>
      <c r="L114" s="679">
        <f t="shared" si="37"/>
        <v>3.438218332923368E-3</v>
      </c>
      <c r="M114" s="678">
        <f t="shared" si="38"/>
        <v>1.0007372792385505</v>
      </c>
      <c r="N114" s="679">
        <f t="shared" si="39"/>
        <v>-3.8388189315570163E-2</v>
      </c>
      <c r="O114" s="677">
        <f t="shared" si="40"/>
        <v>109730.80472081661</v>
      </c>
      <c r="P114" s="680">
        <f t="shared" si="41"/>
        <v>1.5707872135836833</v>
      </c>
      <c r="Q114" s="689">
        <f t="shared" si="42"/>
        <v>13.570361073774453</v>
      </c>
      <c r="R114" s="690">
        <f t="shared" si="43"/>
        <v>1.4970394643605185</v>
      </c>
      <c r="S114" s="677">
        <f t="shared" si="44"/>
        <v>1.0047361542370357</v>
      </c>
      <c r="T114" s="680">
        <f t="shared" si="45"/>
        <v>9.7134307457967223E-2</v>
      </c>
      <c r="U114" s="681">
        <f t="shared" si="57"/>
        <v>0.99331945949777445</v>
      </c>
      <c r="V114" s="682">
        <f t="shared" si="58"/>
        <v>-0.13818570105969033</v>
      </c>
      <c r="W114" s="683">
        <f t="shared" si="46"/>
        <v>1.2298929809836137</v>
      </c>
      <c r="X114" s="684">
        <f t="shared" si="47"/>
        <v>-107.80007008347316</v>
      </c>
      <c r="Y114" s="687">
        <f t="shared" si="48"/>
        <v>72.199929916526841</v>
      </c>
      <c r="AA114" s="170">
        <f t="shared" si="49"/>
        <v>1000000000</v>
      </c>
      <c r="AB114" s="170">
        <f t="shared" si="50"/>
        <v>33888697.959999993</v>
      </c>
      <c r="AD114" s="686">
        <f t="shared" si="51"/>
        <v>26.909666283171774</v>
      </c>
      <c r="AE114" s="687">
        <f t="shared" si="52"/>
        <v>-9.7908206535318172</v>
      </c>
      <c r="AG114" s="686">
        <f t="shared" si="53"/>
        <v>19.617657132825034</v>
      </c>
      <c r="AH114" s="687">
        <f t="shared" si="54"/>
        <v>-82.174334492293866</v>
      </c>
      <c r="AJ114" s="170">
        <f t="shared" si="55"/>
        <v>0</v>
      </c>
      <c r="AK114" s="170">
        <f t="shared" si="65"/>
        <v>0</v>
      </c>
      <c r="AM114" s="170" t="str">
        <f t="shared" si="59"/>
        <v>0.0195428995104731+0.19673300206033i</v>
      </c>
      <c r="AN114" s="170" t="str">
        <f t="shared" si="60"/>
        <v>0.198024682765607i</v>
      </c>
      <c r="AO114" s="170" t="str">
        <f t="shared" si="61"/>
        <v>0.993477173212766-0.0986892100395644i</v>
      </c>
      <c r="AP114" s="170" t="str">
        <f t="shared" si="62"/>
        <v>0.163409516748254-0.0327888336767217i</v>
      </c>
      <c r="AQ114" s="170" t="str">
        <f t="shared" si="63"/>
        <v>0.836590483251746+0.0327888336767217i</v>
      </c>
      <c r="AR114" s="170" t="str">
        <f t="shared" si="64"/>
        <v>0.994181010272227-0.0389653437888342i</v>
      </c>
    </row>
    <row r="115" spans="7:44">
      <c r="G115" s="688">
        <v>5888.4</v>
      </c>
      <c r="H115" s="676">
        <f t="shared" si="56"/>
        <v>5.8883999999999999</v>
      </c>
      <c r="I115" s="677">
        <f t="shared" si="34"/>
        <v>30.33726304196254</v>
      </c>
      <c r="J115" s="678">
        <f t="shared" si="35"/>
        <v>1.5378275920136144</v>
      </c>
      <c r="K115" s="678">
        <f t="shared" si="36"/>
        <v>1.000006047539896</v>
      </c>
      <c r="L115" s="679">
        <f t="shared" si="37"/>
        <v>3.4777893607517672E-3</v>
      </c>
      <c r="M115" s="678">
        <f t="shared" si="38"/>
        <v>1.0007543415431066</v>
      </c>
      <c r="N115" s="679">
        <f t="shared" si="39"/>
        <v>-3.8829567484328274E-2</v>
      </c>
      <c r="O115" s="677">
        <f t="shared" si="40"/>
        <v>110993.72496606476</v>
      </c>
      <c r="P115" s="680">
        <f t="shared" si="41"/>
        <v>1.570787317276563</v>
      </c>
      <c r="Q115" s="689">
        <f t="shared" si="42"/>
        <v>13.725702555090368</v>
      </c>
      <c r="R115" s="690">
        <f t="shared" si="43"/>
        <v>1.4978757034388328</v>
      </c>
      <c r="S115" s="677">
        <f t="shared" si="44"/>
        <v>1.0048455364717015</v>
      </c>
      <c r="T115" s="680">
        <f t="shared" si="45"/>
        <v>9.8245111988884679E-2</v>
      </c>
      <c r="U115" s="681">
        <f t="shared" si="57"/>
        <v>0.99317538298055641</v>
      </c>
      <c r="V115" s="682">
        <f t="shared" si="58"/>
        <v>-0.13976608754067732</v>
      </c>
      <c r="W115" s="683">
        <f t="shared" si="46"/>
        <v>1.1280151100222389</v>
      </c>
      <c r="X115" s="684">
        <f t="shared" si="47"/>
        <v>-107.95110340954194</v>
      </c>
      <c r="Y115" s="687">
        <f t="shared" si="48"/>
        <v>72.048896590458057</v>
      </c>
      <c r="AA115" s="170">
        <f t="shared" si="49"/>
        <v>1000000000</v>
      </c>
      <c r="AB115" s="170">
        <f t="shared" si="50"/>
        <v>34673254.559999995</v>
      </c>
      <c r="AD115" s="686">
        <f t="shared" si="51"/>
        <v>26.908187079500699</v>
      </c>
      <c r="AE115" s="687">
        <f t="shared" si="52"/>
        <v>-9.8065580363484361</v>
      </c>
      <c r="AG115" s="686">
        <f t="shared" si="53"/>
        <v>19.519778346691087</v>
      </c>
      <c r="AH115" s="687">
        <f t="shared" si="54"/>
        <v>-82.128531484618932</v>
      </c>
      <c r="AJ115" s="170">
        <f t="shared" si="55"/>
        <v>0</v>
      </c>
      <c r="AK115" s="170">
        <f t="shared" si="65"/>
        <v>0</v>
      </c>
      <c r="AM115" s="170" t="str">
        <f t="shared" si="59"/>
        <v>0.0199938231510119+0.198967065962762i</v>
      </c>
      <c r="AN115" s="170" t="str">
        <f t="shared" si="60"/>
        <v>0.200303800116295i</v>
      </c>
      <c r="AO115" s="170" t="str">
        <f t="shared" si="61"/>
        <v>0.993326466333854-0.0998174929252646i</v>
      </c>
      <c r="AP115" s="170" t="str">
        <f t="shared" si="62"/>
        <v>0.163334362808165-0.0331611776604603i</v>
      </c>
      <c r="AQ115" s="170" t="str">
        <f t="shared" si="63"/>
        <v>0.836665637191835+0.0331611776604603i</v>
      </c>
      <c r="AR115" s="170" t="str">
        <f t="shared" si="64"/>
        <v>0.994057163621259-0.0393993786073703i</v>
      </c>
    </row>
    <row r="116" spans="7:44">
      <c r="G116" s="688">
        <v>5957</v>
      </c>
      <c r="H116" s="676">
        <f t="shared" si="56"/>
        <v>5.9569999999999999</v>
      </c>
      <c r="I116" s="677">
        <f t="shared" si="34"/>
        <v>30.690311069487208</v>
      </c>
      <c r="J116" s="678">
        <f t="shared" si="35"/>
        <v>1.5382069851445048</v>
      </c>
      <c r="K116" s="678">
        <f t="shared" si="36"/>
        <v>1.0000061892682151</v>
      </c>
      <c r="L116" s="679">
        <f t="shared" si="37"/>
        <v>3.5183053570633839E-3</v>
      </c>
      <c r="M116" s="678">
        <f t="shared" si="38"/>
        <v>1.0007720132996252</v>
      </c>
      <c r="N116" s="679">
        <f t="shared" si="39"/>
        <v>-3.9281470343116423E-2</v>
      </c>
      <c r="O116" s="677">
        <f t="shared" si="40"/>
        <v>112286.8045007529</v>
      </c>
      <c r="P116" s="680">
        <f t="shared" si="41"/>
        <v>1.5707874210289479</v>
      </c>
      <c r="Q116" s="689">
        <f t="shared" si="42"/>
        <v>13.884763403418839</v>
      </c>
      <c r="R116" s="690">
        <f t="shared" si="43"/>
        <v>1.4987125246721313</v>
      </c>
      <c r="S116" s="677">
        <f t="shared" si="44"/>
        <v>1.0049588151676767</v>
      </c>
      <c r="T116" s="680">
        <f t="shared" si="45"/>
        <v>9.9382191216705745E-2</v>
      </c>
      <c r="U116" s="681">
        <f t="shared" si="57"/>
        <v>0.99302622008400132</v>
      </c>
      <c r="V116" s="682">
        <f t="shared" si="58"/>
        <v>-0.14138386157499272</v>
      </c>
      <c r="W116" s="683">
        <f t="shared" si="46"/>
        <v>1.0248602051770697</v>
      </c>
      <c r="X116" s="684">
        <f t="shared" si="47"/>
        <v>-108.10631285065971</v>
      </c>
      <c r="Y116" s="687">
        <f t="shared" si="48"/>
        <v>71.893687149340295</v>
      </c>
      <c r="AA116" s="170">
        <f t="shared" si="49"/>
        <v>1000000000</v>
      </c>
      <c r="AB116" s="170">
        <f t="shared" si="50"/>
        <v>35485849</v>
      </c>
      <c r="AD116" s="686">
        <f t="shared" si="51"/>
        <v>26.90668004274416</v>
      </c>
      <c r="AE116" s="687">
        <f t="shared" si="52"/>
        <v>-9.8237674967930637</v>
      </c>
      <c r="AG116" s="686">
        <f t="shared" si="53"/>
        <v>19.420739705093883</v>
      </c>
      <c r="AH116" s="687">
        <f t="shared" si="54"/>
        <v>-82.081148216335976</v>
      </c>
      <c r="AJ116" s="170">
        <f t="shared" si="55"/>
        <v>0</v>
      </c>
      <c r="AK116" s="170">
        <f t="shared" si="65"/>
        <v>0</v>
      </c>
      <c r="AM116" s="170" t="str">
        <f t="shared" si="59"/>
        <v>0.020460789414514+0.201253409724068i</v>
      </c>
      <c r="AN116" s="170" t="str">
        <f t="shared" si="60"/>
        <v>0.202637344149985i</v>
      </c>
      <c r="AO116" s="170" t="str">
        <f t="shared" si="61"/>
        <v>0.993170388055951-0.100972451550538i</v>
      </c>
      <c r="AP116" s="170" t="str">
        <f t="shared" si="62"/>
        <v>0.163256535097581-0.0335422349540113i</v>
      </c>
      <c r="AQ116" s="170" t="str">
        <f t="shared" si="63"/>
        <v>0.836743464902419+0.0335422349540113i</v>
      </c>
      <c r="AR116" s="170" t="str">
        <f t="shared" si="64"/>
        <v>0.993928966804023-0.0398432737518018i</v>
      </c>
    </row>
    <row r="117" spans="7:44">
      <c r="G117" s="688">
        <v>6025.6</v>
      </c>
      <c r="H117" s="676">
        <f t="shared" si="56"/>
        <v>6.0256000000000007</v>
      </c>
      <c r="I117" s="677">
        <f t="shared" si="34"/>
        <v>31.043363414069752</v>
      </c>
      <c r="J117" s="678">
        <f t="shared" si="35"/>
        <v>1.538577748745156</v>
      </c>
      <c r="K117" s="678">
        <f t="shared" si="36"/>
        <v>1.0000063326380899</v>
      </c>
      <c r="L117" s="679">
        <f t="shared" si="37"/>
        <v>3.5588213418240359E-3</v>
      </c>
      <c r="M117" s="678">
        <f t="shared" si="38"/>
        <v>1.0007898894227529</v>
      </c>
      <c r="N117" s="679">
        <f t="shared" si="39"/>
        <v>-3.9733357150393958E-2</v>
      </c>
      <c r="O117" s="677">
        <f t="shared" si="40"/>
        <v>113579.8840354422</v>
      </c>
      <c r="P117" s="680">
        <f t="shared" si="41"/>
        <v>1.5707875224189414</v>
      </c>
      <c r="Q117" s="689">
        <f t="shared" si="42"/>
        <v>14.043833754575807</v>
      </c>
      <c r="R117" s="690">
        <f t="shared" si="43"/>
        <v>1.4995303896141918</v>
      </c>
      <c r="S117" s="677">
        <f t="shared" si="44"/>
        <v>1.0050733929304447</v>
      </c>
      <c r="T117" s="680">
        <f t="shared" si="45"/>
        <v>0.1005190126614041</v>
      </c>
      <c r="U117" s="681">
        <f t="shared" si="57"/>
        <v>0.99287539416924664</v>
      </c>
      <c r="V117" s="682">
        <f t="shared" si="58"/>
        <v>-0.14300127451151454</v>
      </c>
      <c r="W117" s="683">
        <f t="shared" si="46"/>
        <v>0.92284738117078802</v>
      </c>
      <c r="X117" s="684">
        <f t="shared" si="47"/>
        <v>-108.2620774579578</v>
      </c>
      <c r="Y117" s="687">
        <f t="shared" si="48"/>
        <v>71.737922542042199</v>
      </c>
      <c r="AA117" s="170">
        <f t="shared" si="49"/>
        <v>1000000000</v>
      </c>
      <c r="AB117" s="170">
        <f t="shared" si="50"/>
        <v>36307855.360000007</v>
      </c>
      <c r="AD117" s="686">
        <f t="shared" si="51"/>
        <v>26.905179756362575</v>
      </c>
      <c r="AE117" s="687">
        <f t="shared" si="52"/>
        <v>-9.8420481674820781</v>
      </c>
      <c r="AG117" s="686">
        <f t="shared" si="53"/>
        <v>19.322865882787685</v>
      </c>
      <c r="AH117" s="687">
        <f t="shared" si="54"/>
        <v>-82.03329028274814</v>
      </c>
      <c r="AJ117" s="170">
        <f t="shared" si="55"/>
        <v>0</v>
      </c>
      <c r="AK117" s="170">
        <f t="shared" si="65"/>
        <v>0</v>
      </c>
      <c r="AM117" s="170" t="str">
        <f t="shared" si="59"/>
        <v>0.020933089685603+0.203538657574967i</v>
      </c>
      <c r="AN117" s="170" t="str">
        <f t="shared" si="60"/>
        <v>0.204970888183674i</v>
      </c>
      <c r="AO117" s="170" t="str">
        <f t="shared" si="61"/>
        <v>0.993012516941315-0.102127135570808i</v>
      </c>
      <c r="AP117" s="170" t="str">
        <f t="shared" si="62"/>
        <v>0.163177818385733-0.0339231095958278i</v>
      </c>
      <c r="AQ117" s="170" t="str">
        <f t="shared" si="63"/>
        <v>0.836822181614267+0.0339231095958278i</v>
      </c>
      <c r="AR117" s="170" t="str">
        <f t="shared" si="64"/>
        <v>0.993799363511127-0.04028665284615i</v>
      </c>
    </row>
    <row r="118" spans="7:44">
      <c r="G118" s="688">
        <v>6095.8</v>
      </c>
      <c r="H118" s="676">
        <f t="shared" si="56"/>
        <v>6.0958000000000006</v>
      </c>
      <c r="I118" s="677">
        <f t="shared" si="34"/>
        <v>31.404654533032112</v>
      </c>
      <c r="J118" s="678">
        <f t="shared" si="35"/>
        <v>1.5389485296479963</v>
      </c>
      <c r="K118" s="678">
        <f t="shared" si="36"/>
        <v>1.0000064810513003</v>
      </c>
      <c r="L118" s="679">
        <f t="shared" si="37"/>
        <v>3.600282293724093E-3</v>
      </c>
      <c r="M118" s="678">
        <f t="shared" si="38"/>
        <v>1.0008083940423198</v>
      </c>
      <c r="N118" s="679">
        <f t="shared" si="39"/>
        <v>-4.0195766782573535E-2</v>
      </c>
      <c r="O118" s="677">
        <f t="shared" si="40"/>
        <v>114903.12285957151</v>
      </c>
      <c r="P118" s="680">
        <f t="shared" si="41"/>
        <v>1.5707876238112428</v>
      </c>
      <c r="Q118" s="689">
        <f t="shared" si="42"/>
        <v>14.206623706229491</v>
      </c>
      <c r="R118" s="690">
        <f t="shared" si="43"/>
        <v>1.5003483686916947</v>
      </c>
      <c r="S118" s="677">
        <f t="shared" si="44"/>
        <v>1.005191987465897</v>
      </c>
      <c r="T118" s="680">
        <f t="shared" si="45"/>
        <v>0.10168207904699521</v>
      </c>
      <c r="U118" s="681">
        <f t="shared" si="57"/>
        <v>0.99271933107756694</v>
      </c>
      <c r="V118" s="682">
        <f t="shared" si="58"/>
        <v>-0.1446560334289449</v>
      </c>
      <c r="W118" s="683">
        <f t="shared" si="46"/>
        <v>0.8196097520076977</v>
      </c>
      <c r="X118" s="684">
        <f t="shared" si="47"/>
        <v>-108.4220287795173</v>
      </c>
      <c r="Y118" s="687">
        <f t="shared" si="48"/>
        <v>71.577971220482695</v>
      </c>
      <c r="AA118" s="170">
        <f t="shared" si="49"/>
        <v>1000000000</v>
      </c>
      <c r="AB118" s="170">
        <f t="shared" si="50"/>
        <v>37158777.640000001</v>
      </c>
      <c r="AD118" s="686">
        <f t="shared" si="51"/>
        <v>26.903650643428328</v>
      </c>
      <c r="AE118" s="687">
        <f t="shared" si="52"/>
        <v>-9.8618260231726058</v>
      </c>
      <c r="AG118" s="686">
        <f t="shared" si="53"/>
        <v>19.223888128836681</v>
      </c>
      <c r="AH118" s="687">
        <f t="shared" si="54"/>
        <v>-81.983842344239676</v>
      </c>
      <c r="AJ118" s="170">
        <f t="shared" si="55"/>
        <v>0</v>
      </c>
      <c r="AK118" s="170">
        <f t="shared" si="65"/>
        <v>0</v>
      </c>
      <c r="AM118" s="170" t="str">
        <f t="shared" si="59"/>
        <v>0.021421925093946+0.205876058134894i</v>
      </c>
      <c r="AN118" s="170" t="str">
        <f t="shared" si="60"/>
        <v>0.207358858900366i</v>
      </c>
      <c r="AO118" s="170" t="str">
        <f t="shared" si="61"/>
        <v>0.992849108191782-0.103308463441338i</v>
      </c>
      <c r="AP118" s="170" t="str">
        <f t="shared" si="62"/>
        <v>0.163096345817676-0.0343126763558157i</v>
      </c>
      <c r="AQ118" s="170" t="str">
        <f t="shared" si="63"/>
        <v>0.836903654182324+0.0343126763558157i</v>
      </c>
      <c r="AR118" s="170" t="str">
        <f t="shared" si="64"/>
        <v>0.993665284088368-0.0407398332275724i</v>
      </c>
    </row>
    <row r="119" spans="7:44">
      <c r="G119" s="688">
        <v>6166</v>
      </c>
      <c r="H119" s="676">
        <f t="shared" si="56"/>
        <v>6.1660000000000004</v>
      </c>
      <c r="I119" s="677">
        <f t="shared" si="34"/>
        <v>31.765949871248583</v>
      </c>
      <c r="J119" s="678">
        <f t="shared" si="35"/>
        <v>1.5393108763226169</v>
      </c>
      <c r="K119" s="678">
        <f t="shared" si="36"/>
        <v>1.0000066311835321</v>
      </c>
      <c r="L119" s="679">
        <f t="shared" si="37"/>
        <v>3.641743233246255E-3</v>
      </c>
      <c r="M119" s="678">
        <f t="shared" si="38"/>
        <v>1.0008271126494677</v>
      </c>
      <c r="N119" s="679">
        <f t="shared" si="39"/>
        <v>-4.0658159216598128E-2</v>
      </c>
      <c r="O119" s="677">
        <f t="shared" si="40"/>
        <v>116226.36168370197</v>
      </c>
      <c r="P119" s="680">
        <f t="shared" si="41"/>
        <v>1.5707877228948388</v>
      </c>
      <c r="Q119" s="689">
        <f t="shared" si="42"/>
        <v>14.369422948011993</v>
      </c>
      <c r="R119" s="690">
        <f t="shared" si="43"/>
        <v>1.5011478136077039</v>
      </c>
      <c r="S119" s="677">
        <f t="shared" si="44"/>
        <v>1.0053119414262037</v>
      </c>
      <c r="T119" s="680">
        <f t="shared" si="45"/>
        <v>0.10284486945072399</v>
      </c>
      <c r="U119" s="681">
        <f t="shared" si="57"/>
        <v>0.99256153114339185</v>
      </c>
      <c r="V119" s="682">
        <f t="shared" si="58"/>
        <v>-0.14631040587560265</v>
      </c>
      <c r="W119" s="683">
        <f t="shared" si="46"/>
        <v>0.71751253007543703</v>
      </c>
      <c r="X119" s="684">
        <f t="shared" si="47"/>
        <v>-108.58251971193575</v>
      </c>
      <c r="Y119" s="687">
        <f t="shared" si="48"/>
        <v>71.417480288064255</v>
      </c>
      <c r="AA119" s="170">
        <f t="shared" si="49"/>
        <v>1000000000</v>
      </c>
      <c r="AB119" s="170">
        <f t="shared" si="50"/>
        <v>38019556</v>
      </c>
      <c r="AD119" s="686">
        <f t="shared" si="51"/>
        <v>26.902126975626565</v>
      </c>
      <c r="AE119" s="687">
        <f t="shared" si="52"/>
        <v>-9.8826498632197293</v>
      </c>
      <c r="AG119" s="686">
        <f t="shared" si="53"/>
        <v>19.126076164448182</v>
      </c>
      <c r="AH119" s="687">
        <f t="shared" si="54"/>
        <v>-81.933932318521911</v>
      </c>
      <c r="AJ119" s="170">
        <f t="shared" si="55"/>
        <v>0</v>
      </c>
      <c r="AK119" s="170">
        <f t="shared" si="65"/>
        <v>0</v>
      </c>
      <c r="AM119" s="170" t="str">
        <f t="shared" si="59"/>
        <v>0.021916340747308+0.20821228470689i</v>
      </c>
      <c r="AN119" s="170" t="str">
        <f t="shared" si="60"/>
        <v>0.209746829617057i</v>
      </c>
      <c r="AO119" s="170" t="str">
        <f t="shared" si="61"/>
        <v>0.992683823097738-0.104489497110977i</v>
      </c>
      <c r="AP119" s="170" t="str">
        <f t="shared" si="62"/>
        <v>0.163013943208782-0.0347020474511483i</v>
      </c>
      <c r="AQ119" s="170" t="str">
        <f t="shared" si="63"/>
        <v>0.836986056791218+0.0347020474511483i</v>
      </c>
      <c r="AR119" s="170" t="str">
        <f t="shared" si="64"/>
        <v>0.993529737433478-0.0411924617056598i</v>
      </c>
    </row>
    <row r="120" spans="7:44">
      <c r="G120" s="688">
        <v>6237.8</v>
      </c>
      <c r="H120" s="676">
        <f t="shared" si="56"/>
        <v>6.2378</v>
      </c>
      <c r="I120" s="677">
        <f t="shared" si="34"/>
        <v>32.135484077315994</v>
      </c>
      <c r="J120" s="678">
        <f t="shared" si="35"/>
        <v>1.5396730532550862</v>
      </c>
      <c r="K120" s="678">
        <f t="shared" si="36"/>
        <v>1.0000067865158178</v>
      </c>
      <c r="L120" s="679">
        <f t="shared" si="37"/>
        <v>3.6841491384941288E-3</v>
      </c>
      <c r="M120" s="678">
        <f t="shared" si="38"/>
        <v>1.0008464792379972</v>
      </c>
      <c r="N120" s="679">
        <f t="shared" si="39"/>
        <v>-4.1131072513846241E-2</v>
      </c>
      <c r="O120" s="677">
        <f t="shared" si="40"/>
        <v>117579.75979727245</v>
      </c>
      <c r="P120" s="680">
        <f t="shared" si="41"/>
        <v>1.5707878219297589</v>
      </c>
      <c r="Q120" s="689">
        <f t="shared" si="42"/>
        <v>14.535941998628964</v>
      </c>
      <c r="R120" s="690">
        <f t="shared" si="43"/>
        <v>1.5019469549027016</v>
      </c>
      <c r="S120" s="677">
        <f t="shared" si="44"/>
        <v>1.0054360351267426</v>
      </c>
      <c r="T120" s="680">
        <f t="shared" si="45"/>
        <v>0.10403387353718702</v>
      </c>
      <c r="U120" s="681">
        <f t="shared" si="57"/>
        <v>0.99239834044885755</v>
      </c>
      <c r="V120" s="682">
        <f t="shared" si="58"/>
        <v>-0.14800208065319806</v>
      </c>
      <c r="W120" s="683">
        <f t="shared" si="46"/>
        <v>0.61424020853355166</v>
      </c>
      <c r="X120" s="684">
        <f t="shared" si="47"/>
        <v>-108.74720617029026</v>
      </c>
      <c r="Y120" s="687">
        <f t="shared" si="48"/>
        <v>71.252793829709745</v>
      </c>
      <c r="AA120" s="170">
        <f t="shared" si="49"/>
        <v>1000000000</v>
      </c>
      <c r="AB120" s="170">
        <f t="shared" si="50"/>
        <v>38910148.840000004</v>
      </c>
      <c r="AD120" s="686">
        <f t="shared" si="51"/>
        <v>26.900573428628665</v>
      </c>
      <c r="AE120" s="687">
        <f t="shared" si="52"/>
        <v>-9.904993030068356</v>
      </c>
      <c r="AG120" s="686">
        <f t="shared" si="53"/>
        <v>19.027213782894638</v>
      </c>
      <c r="AH120" s="687">
        <f t="shared" si="54"/>
        <v>-81.882423959676373</v>
      </c>
      <c r="AJ120" s="170">
        <f t="shared" si="55"/>
        <v>0</v>
      </c>
      <c r="AK120" s="170">
        <f t="shared" si="65"/>
        <v>0</v>
      </c>
      <c r="AM120" s="170" t="str">
        <f t="shared" si="59"/>
        <v>0.022427794666713+0.210600530293286i</v>
      </c>
      <c r="AN120" s="170" t="str">
        <f t="shared" si="60"/>
        <v>0.212189227016749i</v>
      </c>
      <c r="AO120" s="170" t="str">
        <f t="shared" si="61"/>
        <v>0.992512830430653-0.105697141094457i</v>
      </c>
      <c r="AP120" s="170" t="str">
        <f t="shared" si="62"/>
        <v>0.162928700888881-0.0351000883822143i</v>
      </c>
      <c r="AQ120" s="170" t="str">
        <f t="shared" si="63"/>
        <v>0.837071299111119+0.0351000883822143i</v>
      </c>
      <c r="AR120" s="170" t="str">
        <f t="shared" si="64"/>
        <v>0.993389586626769-0.0416548295534647i</v>
      </c>
    </row>
    <row r="121" spans="7:44">
      <c r="G121" s="688">
        <v>6309.6</v>
      </c>
      <c r="H121" s="676">
        <f t="shared" si="56"/>
        <v>6.3096000000000005</v>
      </c>
      <c r="I121" s="677">
        <f t="shared" si="34"/>
        <v>32.505022402819954</v>
      </c>
      <c r="J121" s="678">
        <f t="shared" si="35"/>
        <v>1.5400269953052548</v>
      </c>
      <c r="K121" s="678">
        <f t="shared" si="36"/>
        <v>1.0000069436463759</v>
      </c>
      <c r="L121" s="679">
        <f t="shared" si="37"/>
        <v>3.7265550304918255E-3</v>
      </c>
      <c r="M121" s="678">
        <f t="shared" si="38"/>
        <v>1.0008660696541347</v>
      </c>
      <c r="N121" s="679">
        <f t="shared" si="39"/>
        <v>-4.1603967403749498E-2</v>
      </c>
      <c r="O121" s="677">
        <f t="shared" si="40"/>
        <v>118933.15791084406</v>
      </c>
      <c r="P121" s="680">
        <f t="shared" si="41"/>
        <v>1.5707879187107461</v>
      </c>
      <c r="Q121" s="689">
        <f t="shared" si="42"/>
        <v>14.702470122006732</v>
      </c>
      <c r="R121" s="690">
        <f t="shared" si="43"/>
        <v>1.5027279936746225</v>
      </c>
      <c r="S121" s="677">
        <f t="shared" si="44"/>
        <v>1.0055615498910904</v>
      </c>
      <c r="T121" s="680">
        <f t="shared" si="45"/>
        <v>0.10522258247948447</v>
      </c>
      <c r="U121" s="681">
        <f t="shared" si="57"/>
        <v>0.99223333792288171</v>
      </c>
      <c r="V121" s="682">
        <f t="shared" si="58"/>
        <v>-0.14969334225972272</v>
      </c>
      <c r="W121" s="683">
        <f t="shared" si="46"/>
        <v>0.51210543089339233</v>
      </c>
      <c r="X121" s="684">
        <f t="shared" si="47"/>
        <v>-108.91241623629713</v>
      </c>
      <c r="Y121" s="687">
        <f t="shared" si="48"/>
        <v>71.087583763702867</v>
      </c>
      <c r="AA121" s="170">
        <f t="shared" si="49"/>
        <v>1000000000</v>
      </c>
      <c r="AB121" s="170">
        <f t="shared" si="50"/>
        <v>39811052.160000004</v>
      </c>
      <c r="AD121" s="686">
        <f t="shared" si="51"/>
        <v>26.899024030378357</v>
      </c>
      <c r="AE121" s="687">
        <f t="shared" si="52"/>
        <v>-9.9283563554331149</v>
      </c>
      <c r="AG121" s="686">
        <f t="shared" si="53"/>
        <v>18.929516987315171</v>
      </c>
      <c r="AH121" s="687">
        <f t="shared" si="54"/>
        <v>-81.830466395884315</v>
      </c>
      <c r="AJ121" s="170">
        <f t="shared" si="55"/>
        <v>0</v>
      </c>
      <c r="AK121" s="170">
        <f t="shared" si="65"/>
        <v>0</v>
      </c>
      <c r="AM121" s="170" t="str">
        <f t="shared" si="59"/>
        <v>0.022945080099641+0.2129875195839i</v>
      </c>
      <c r="AN121" s="170" t="str">
        <f t="shared" si="60"/>
        <v>0.214631624416442i</v>
      </c>
      <c r="AO121" s="170" t="str">
        <f t="shared" si="61"/>
        <v>0.99233987611559-0.106904470215076i</v>
      </c>
      <c r="AP121" s="170" t="str">
        <f t="shared" si="62"/>
        <v>0.16284248665006-0.03549791993065i</v>
      </c>
      <c r="AQ121" s="170" t="str">
        <f t="shared" si="63"/>
        <v>0.83715751334994+0.03549791993065i</v>
      </c>
      <c r="AR121" s="170" t="str">
        <f t="shared" si="64"/>
        <v>0.993247907075925-0.0421166078239909i</v>
      </c>
    </row>
    <row r="122" spans="7:44">
      <c r="G122" s="688">
        <v>6383.05</v>
      </c>
      <c r="H122" s="676">
        <f t="shared" si="56"/>
        <v>6.3830499999999999</v>
      </c>
      <c r="I122" s="677">
        <f t="shared" si="34"/>
        <v>32.883057022045193</v>
      </c>
      <c r="J122" s="678">
        <f t="shared" si="35"/>
        <v>1.5403808395847012</v>
      </c>
      <c r="K122" s="678">
        <f t="shared" si="36"/>
        <v>1.0000071062486073</v>
      </c>
      <c r="L122" s="679">
        <f t="shared" si="37"/>
        <v>3.769935417280202E-3</v>
      </c>
      <c r="M122" s="678">
        <f t="shared" si="38"/>
        <v>1.0008863418563685</v>
      </c>
      <c r="N122" s="679">
        <f t="shared" si="39"/>
        <v>-4.2087710389212586E-2</v>
      </c>
      <c r="O122" s="677">
        <f t="shared" si="40"/>
        <v>120317.65779165068</v>
      </c>
      <c r="P122" s="680">
        <f t="shared" si="41"/>
        <v>1.5707880154628913</v>
      </c>
      <c r="Q122" s="689">
        <f t="shared" si="42"/>
        <v>14.872834215298084</v>
      </c>
      <c r="R122" s="690">
        <f t="shared" si="43"/>
        <v>1.5035088828338137</v>
      </c>
      <c r="S122" s="677">
        <f t="shared" si="44"/>
        <v>1.005691418917037</v>
      </c>
      <c r="T122" s="680">
        <f t="shared" si="45"/>
        <v>0.1064382997665838</v>
      </c>
      <c r="U122" s="681">
        <f t="shared" si="57"/>
        <v>0.9920626715134232</v>
      </c>
      <c r="V122" s="682">
        <f t="shared" si="58"/>
        <v>-0.15142303771474197</v>
      </c>
      <c r="W122" s="683">
        <f t="shared" si="46"/>
        <v>0.40877287337487861</v>
      </c>
      <c r="X122" s="684">
        <f t="shared" si="47"/>
        <v>-109.0819445481153</v>
      </c>
      <c r="Y122" s="687">
        <f t="shared" si="48"/>
        <v>70.918055451884698</v>
      </c>
      <c r="AA122" s="170">
        <f t="shared" si="49"/>
        <v>1000000000</v>
      </c>
      <c r="AB122" s="170">
        <f t="shared" si="50"/>
        <v>40743327.302500002</v>
      </c>
      <c r="AD122" s="686">
        <f t="shared" si="51"/>
        <v>26.897442571553363</v>
      </c>
      <c r="AE122" s="687">
        <f t="shared" si="52"/>
        <v>-9.9532757154938754</v>
      </c>
      <c r="AG122" s="686">
        <f t="shared" si="53"/>
        <v>18.830754131492846</v>
      </c>
      <c r="AH122" s="687">
        <f t="shared" si="54"/>
        <v>-81.776866848584092</v>
      </c>
      <c r="AJ122" s="170">
        <f t="shared" si="55"/>
        <v>0</v>
      </c>
      <c r="AK122" s="170">
        <f t="shared" si="65"/>
        <v>0</v>
      </c>
      <c r="AM122" s="170" t="str">
        <f t="shared" si="59"/>
        <v>0.023480283863566+0.215428048305736i</v>
      </c>
      <c r="AN122" s="170" t="str">
        <f t="shared" si="60"/>
        <v>0.21713014933298i</v>
      </c>
      <c r="AO122" s="170" t="str">
        <f t="shared" si="61"/>
        <v>0.992160918083127-0.108139214824367i</v>
      </c>
      <c r="AP122" s="170" t="str">
        <f t="shared" si="62"/>
        <v>0.162753286022739-0.0359046747176227i</v>
      </c>
      <c r="AQ122" s="170" t="str">
        <f t="shared" si="63"/>
        <v>0.837246713977261+0.0359046747176227i</v>
      </c>
      <c r="AR122" s="170" t="str">
        <f t="shared" si="64"/>
        <v>0.993101393094724-0.042588381519348i</v>
      </c>
    </row>
    <row r="123" spans="7:44">
      <c r="G123" s="688">
        <v>6456.5</v>
      </c>
      <c r="H123" s="676">
        <f t="shared" si="56"/>
        <v>6.4565000000000001</v>
      </c>
      <c r="I123" s="677">
        <f t="shared" si="34"/>
        <v>33.261095664830457</v>
      </c>
      <c r="J123" s="678">
        <f t="shared" si="35"/>
        <v>1.5407266404667777</v>
      </c>
      <c r="K123" s="678">
        <f t="shared" si="36"/>
        <v>1.0000072707327092</v>
      </c>
      <c r="L123" s="679">
        <f t="shared" si="37"/>
        <v>3.8133157898795501E-3</v>
      </c>
      <c r="M123" s="678">
        <f t="shared" si="38"/>
        <v>1.0009068482637693</v>
      </c>
      <c r="N123" s="679">
        <f t="shared" si="39"/>
        <v>-4.2571433666180387E-2</v>
      </c>
      <c r="O123" s="677">
        <f t="shared" si="40"/>
        <v>121702.15767245842</v>
      </c>
      <c r="P123" s="680">
        <f t="shared" si="41"/>
        <v>1.570788110013706</v>
      </c>
      <c r="Q123" s="689">
        <f t="shared" si="42"/>
        <v>15.043207172441507</v>
      </c>
      <c r="R123" s="690">
        <f t="shared" si="43"/>
        <v>1.504272084413619</v>
      </c>
      <c r="S123" s="677">
        <f t="shared" si="44"/>
        <v>1.005822773938128</v>
      </c>
      <c r="T123" s="680">
        <f t="shared" si="45"/>
        <v>0.10765370131739793</v>
      </c>
      <c r="U123" s="681">
        <f t="shared" si="57"/>
        <v>0.99189011459789422</v>
      </c>
      <c r="V123" s="682">
        <f t="shared" si="58"/>
        <v>-0.15315229132130592</v>
      </c>
      <c r="W123" s="683">
        <f t="shared" si="46"/>
        <v>0.30657541789663711</v>
      </c>
      <c r="X123" s="684">
        <f t="shared" si="47"/>
        <v>-109.25198076992459</v>
      </c>
      <c r="Y123" s="687">
        <f t="shared" si="48"/>
        <v>70.748019230075414</v>
      </c>
      <c r="AA123" s="170">
        <f t="shared" si="49"/>
        <v>1000000000</v>
      </c>
      <c r="AB123" s="170">
        <f t="shared" si="50"/>
        <v>41686392.25</v>
      </c>
      <c r="AD123" s="686">
        <f t="shared" si="51"/>
        <v>26.895863979710946</v>
      </c>
      <c r="AE123" s="687">
        <f t="shared" si="52"/>
        <v>-9.9791902827208609</v>
      </c>
      <c r="AG123" s="686">
        <f t="shared" si="53"/>
        <v>18.733157134786197</v>
      </c>
      <c r="AH123" s="687">
        <f t="shared" si="54"/>
        <v>-81.72283063621218</v>
      </c>
      <c r="AJ123" s="170">
        <f t="shared" si="55"/>
        <v>0</v>
      </c>
      <c r="AK123" s="170">
        <f t="shared" si="65"/>
        <v>0</v>
      </c>
      <c r="AM123" s="170" t="str">
        <f t="shared" si="59"/>
        <v>0.024021583672431+0.217867232191374i</v>
      </c>
      <c r="AN123" s="170" t="str">
        <f t="shared" si="60"/>
        <v>0.219628674249518i</v>
      </c>
      <c r="AO123" s="170" t="str">
        <f t="shared" si="61"/>
        <v>0.991979908524409-0.109373622340134i</v>
      </c>
      <c r="AP123" s="170" t="str">
        <f t="shared" si="62"/>
        <v>0.162663069387928-0.036311205365229i</v>
      </c>
      <c r="AQ123" s="170" t="str">
        <f t="shared" si="63"/>
        <v>0.837336930612072+0.036311205365229i</v>
      </c>
      <c r="AR123" s="170" t="str">
        <f t="shared" si="64"/>
        <v>0.992953285995462-0.0430595252254127i</v>
      </c>
    </row>
    <row r="124" spans="7:44">
      <c r="G124" s="688">
        <v>6531.7</v>
      </c>
      <c r="H124" s="676">
        <f t="shared" si="56"/>
        <v>6.5316999999999998</v>
      </c>
      <c r="I124" s="677">
        <f t="shared" si="34"/>
        <v>33.648145381807794</v>
      </c>
      <c r="J124" s="678">
        <f t="shared" si="35"/>
        <v>1.5410726301833761</v>
      </c>
      <c r="K124" s="678">
        <f t="shared" si="36"/>
        <v>1.0000074410854247</v>
      </c>
      <c r="L124" s="679">
        <f t="shared" si="37"/>
        <v>3.8577297167307748E-3</v>
      </c>
      <c r="M124" s="678">
        <f t="shared" si="38"/>
        <v>1.0009280858781062</v>
      </c>
      <c r="N124" s="679">
        <f t="shared" si="39"/>
        <v>-4.3066661350647274E-2</v>
      </c>
      <c r="O124" s="677">
        <f t="shared" si="40"/>
        <v>123119.6442760911</v>
      </c>
      <c r="P124" s="680">
        <f t="shared" si="41"/>
        <v>1.5707882046141846</v>
      </c>
      <c r="Q124" s="689">
        <f t="shared" si="42"/>
        <v>15.217648262229353</v>
      </c>
      <c r="R124" s="690">
        <f t="shared" si="43"/>
        <v>1.5050357645533359</v>
      </c>
      <c r="S124" s="677">
        <f t="shared" si="44"/>
        <v>1.0059587975051121</v>
      </c>
      <c r="T124" s="680">
        <f t="shared" si="45"/>
        <v>0.10889772996996042</v>
      </c>
      <c r="U124" s="681">
        <f t="shared" si="57"/>
        <v>0.99171149075944987</v>
      </c>
      <c r="V124" s="682">
        <f t="shared" si="58"/>
        <v>-0.15492228291112245</v>
      </c>
      <c r="W124" s="683">
        <f t="shared" si="46"/>
        <v>0.20309130834171424</v>
      </c>
      <c r="X124" s="684">
        <f t="shared" si="47"/>
        <v>-109.42657465685767</v>
      </c>
      <c r="Y124" s="687">
        <f t="shared" si="48"/>
        <v>70.573425343142333</v>
      </c>
      <c r="AA124" s="170">
        <f t="shared" si="49"/>
        <v>1000000000</v>
      </c>
      <c r="AB124" s="170">
        <f t="shared" si="50"/>
        <v>42663104.890000001</v>
      </c>
      <c r="AD124" s="686">
        <f t="shared" si="51"/>
        <v>26.894250033679388</v>
      </c>
      <c r="AE124" s="687">
        <f t="shared" si="52"/>
        <v>-10.006717645441922</v>
      </c>
      <c r="AG124" s="686">
        <f t="shared" si="53"/>
        <v>18.634415637719762</v>
      </c>
      <c r="AH124" s="687">
        <f t="shared" si="54"/>
        <v>-81.667071064452173</v>
      </c>
      <c r="AJ124" s="170">
        <f t="shared" si="55"/>
        <v>0</v>
      </c>
      <c r="AK124" s="170">
        <f t="shared" si="65"/>
        <v>0</v>
      </c>
      <c r="AM124" s="170" t="str">
        <f t="shared" si="59"/>
        <v>0.024582092455758+0.220363122236939i</v>
      </c>
      <c r="AN124" s="170" t="str">
        <f t="shared" si="60"/>
        <v>0.222186728350589i</v>
      </c>
      <c r="AO124" s="170" t="str">
        <f t="shared" si="61"/>
        <v>0.991792461560654-0.110637087274492i</v>
      </c>
      <c r="AP124" s="170" t="str">
        <f t="shared" si="62"/>
        <v>0.162569651257374-0.0367271870394898i</v>
      </c>
      <c r="AQ124" s="170" t="str">
        <f t="shared" si="63"/>
        <v>0.837430348742626+0.0367271870394898i</v>
      </c>
      <c r="AR124" s="170" t="str">
        <f t="shared" si="64"/>
        <v>0.992800003218542-0.0435412347615071i</v>
      </c>
    </row>
    <row r="125" spans="7:44">
      <c r="G125" s="688">
        <v>6606.9</v>
      </c>
      <c r="H125" s="676">
        <f t="shared" si="56"/>
        <v>6.6068999999999996</v>
      </c>
      <c r="I125" s="677">
        <f t="shared" si="34"/>
        <v>34.035199035154022</v>
      </c>
      <c r="J125" s="678">
        <f t="shared" si="35"/>
        <v>1.5414107506403956</v>
      </c>
      <c r="K125" s="678">
        <f t="shared" si="36"/>
        <v>1.0000076134107512</v>
      </c>
      <c r="L125" s="679">
        <f t="shared" si="37"/>
        <v>3.9021436283624379E-3</v>
      </c>
      <c r="M125" s="678">
        <f t="shared" si="38"/>
        <v>1.0009495689600643</v>
      </c>
      <c r="N125" s="679">
        <f t="shared" si="39"/>
        <v>-4.3561867898711394E-2</v>
      </c>
      <c r="O125" s="677">
        <f t="shared" si="40"/>
        <v>124537.13087972488</v>
      </c>
      <c r="P125" s="680">
        <f t="shared" si="41"/>
        <v>1.5707882970611702</v>
      </c>
      <c r="Q125" s="689">
        <f t="shared" si="42"/>
        <v>15.392098025894054</v>
      </c>
      <c r="R125" s="690">
        <f t="shared" si="43"/>
        <v>1.5057821344429936</v>
      </c>
      <c r="S125" s="677">
        <f t="shared" si="44"/>
        <v>1.0060963774788934</v>
      </c>
      <c r="T125" s="680">
        <f t="shared" si="45"/>
        <v>0.1101414203141587</v>
      </c>
      <c r="U125" s="681">
        <f t="shared" si="57"/>
        <v>0.99153089133818806</v>
      </c>
      <c r="V125" s="682">
        <f t="shared" si="58"/>
        <v>-0.15669180123207954</v>
      </c>
      <c r="W125" s="683">
        <f t="shared" si="46"/>
        <v>0.1007417020159927</v>
      </c>
      <c r="X125" s="684">
        <f t="shared" si="47"/>
        <v>-109.60166163920985</v>
      </c>
      <c r="Y125" s="687">
        <f t="shared" si="48"/>
        <v>70.398338360790149</v>
      </c>
      <c r="AA125" s="170">
        <f t="shared" si="49"/>
        <v>1000000000</v>
      </c>
      <c r="AB125" s="170">
        <f t="shared" si="50"/>
        <v>43651127.609999992</v>
      </c>
      <c r="AD125" s="686">
        <f t="shared" si="51"/>
        <v>26.892637684925155</v>
      </c>
      <c r="AE125" s="687">
        <f t="shared" si="52"/>
        <v>-10.035217305407286</v>
      </c>
      <c r="AG125" s="686">
        <f t="shared" si="53"/>
        <v>18.536842222672568</v>
      </c>
      <c r="AH125" s="687">
        <f t="shared" si="54"/>
        <v>-81.610886523483458</v>
      </c>
      <c r="AJ125" s="170">
        <f t="shared" si="55"/>
        <v>6606.9</v>
      </c>
      <c r="AK125" s="170">
        <f t="shared" si="65"/>
        <v>70.398338360790149</v>
      </c>
      <c r="AM125" s="170" t="str">
        <f t="shared" si="59"/>
        <v>0.025148984020005+0.222857570306175i</v>
      </c>
      <c r="AN125" s="170" t="str">
        <f t="shared" si="60"/>
        <v>0.224744782451659i</v>
      </c>
      <c r="AO125" s="170" t="str">
        <f t="shared" si="61"/>
        <v>0.991602865593154-0.11190019072151i</v>
      </c>
      <c r="AP125" s="170" t="str">
        <f t="shared" si="62"/>
        <v>0.162475169329999-0.0371429283843625i</v>
      </c>
      <c r="AQ125" s="170" t="str">
        <f t="shared" si="63"/>
        <v>0.837524830670001+0.0371429283843625i</v>
      </c>
      <c r="AR125" s="170" t="str">
        <f t="shared" si="64"/>
        <v>0.992645057830756-0.0440222700795679i</v>
      </c>
    </row>
    <row r="126" spans="7:44">
      <c r="G126" s="688">
        <v>6683.85</v>
      </c>
      <c r="H126" s="676">
        <f t="shared" si="56"/>
        <v>6.6838500000000005</v>
      </c>
      <c r="I126" s="677">
        <f t="shared" si="34"/>
        <v>34.431263857479884</v>
      </c>
      <c r="J126" s="678">
        <f t="shared" si="35"/>
        <v>1.5417488702805981</v>
      </c>
      <c r="K126" s="678">
        <f t="shared" si="36"/>
        <v>1.0000077917883097</v>
      </c>
      <c r="L126" s="679">
        <f t="shared" si="37"/>
        <v>3.9475910924786466E-3</v>
      </c>
      <c r="M126" s="678">
        <f t="shared" si="38"/>
        <v>1.0009718060668809</v>
      </c>
      <c r="N126" s="679">
        <f t="shared" si="39"/>
        <v>-4.4068576403450514E-2</v>
      </c>
      <c r="O126" s="677">
        <f t="shared" si="40"/>
        <v>125987.60420618366</v>
      </c>
      <c r="P126" s="680">
        <f t="shared" si="41"/>
        <v>1.570788389506095</v>
      </c>
      <c r="Q126" s="689">
        <f t="shared" si="42"/>
        <v>15.570616133127361</v>
      </c>
      <c r="R126" s="690">
        <f t="shared" si="43"/>
        <v>1.5065285602353733</v>
      </c>
      <c r="S126" s="677">
        <f t="shared" si="44"/>
        <v>1.0062387696058566</v>
      </c>
      <c r="T126" s="680">
        <f t="shared" si="45"/>
        <v>0.11141369884308561</v>
      </c>
      <c r="U126" s="681">
        <f t="shared" si="57"/>
        <v>0.99134404731694425</v>
      </c>
      <c r="V126" s="682">
        <f t="shared" si="58"/>
        <v>-0.15850200326574426</v>
      </c>
      <c r="W126" s="683">
        <f t="shared" si="46"/>
        <v>-2.8430017083142115E-3</v>
      </c>
      <c r="X126" s="684">
        <f t="shared" si="47"/>
        <v>-109.7813141543993</v>
      </c>
      <c r="Y126" s="687">
        <f t="shared" si="48"/>
        <v>70.218685845600703</v>
      </c>
      <c r="AA126" s="170">
        <f t="shared" si="49"/>
        <v>6683.85</v>
      </c>
      <c r="AB126" s="170">
        <f t="shared" si="50"/>
        <v>44673850.822500005</v>
      </c>
      <c r="AD126" s="686">
        <f t="shared" si="51"/>
        <v>26.89098878770502</v>
      </c>
      <c r="AE126" s="687">
        <f t="shared" si="52"/>
        <v>-10.065351744595313</v>
      </c>
      <c r="AG126" s="686">
        <f t="shared" si="53"/>
        <v>18.438180261676695</v>
      </c>
      <c r="AH126" s="687">
        <f t="shared" si="54"/>
        <v>-81.552970726057879</v>
      </c>
      <c r="AJ126" s="170">
        <f t="shared" si="55"/>
        <v>0</v>
      </c>
      <c r="AK126" s="170">
        <f t="shared" si="65"/>
        <v>0</v>
      </c>
      <c r="AM126" s="170" t="str">
        <f t="shared" si="59"/>
        <v>0.0257356713169939+0.225408557636686i</v>
      </c>
      <c r="AN126" s="170" t="str">
        <f t="shared" si="60"/>
        <v>0.227362365737263i</v>
      </c>
      <c r="AO126" s="170" t="str">
        <f t="shared" si="61"/>
        <v>0.991406633660582-0.113192309701482i</v>
      </c>
      <c r="AP126" s="170" t="str">
        <f t="shared" si="62"/>
        <v>0.162377388113834-0.0375680929394477i</v>
      </c>
      <c r="AQ126" s="170" t="str">
        <f t="shared" si="63"/>
        <v>0.837622611886166+0.0375680929394477i</v>
      </c>
      <c r="AR126" s="170" t="str">
        <f t="shared" si="64"/>
        <v>0.992484789491547-0.044513794498272i</v>
      </c>
    </row>
    <row r="127" spans="7:44">
      <c r="G127" s="688">
        <v>6760.8</v>
      </c>
      <c r="H127" s="676">
        <f t="shared" si="56"/>
        <v>6.7608000000000006</v>
      </c>
      <c r="I127" s="677">
        <f t="shared" si="34"/>
        <v>34.82733252662571</v>
      </c>
      <c r="J127" s="678">
        <f t="shared" si="35"/>
        <v>1.5420792995270334</v>
      </c>
      <c r="K127" s="678">
        <f t="shared" si="36"/>
        <v>1.0000079722313555</v>
      </c>
      <c r="L127" s="679">
        <f t="shared" si="37"/>
        <v>3.993038540287497E-3</v>
      </c>
      <c r="M127" s="678">
        <f t="shared" si="38"/>
        <v>1.0009943001652637</v>
      </c>
      <c r="N127" s="679">
        <f t="shared" si="39"/>
        <v>-4.4575262265019691E-2</v>
      </c>
      <c r="O127" s="677">
        <f t="shared" si="40"/>
        <v>127438.07753264348</v>
      </c>
      <c r="P127" s="680">
        <f t="shared" si="41"/>
        <v>1.5707884798466425</v>
      </c>
      <c r="Q127" s="689">
        <f t="shared" si="42"/>
        <v>15.749142718881126</v>
      </c>
      <c r="R127" s="690">
        <f t="shared" si="43"/>
        <v>1.5072580640009192</v>
      </c>
      <c r="S127" s="677">
        <f t="shared" si="44"/>
        <v>1.0063827900616757</v>
      </c>
      <c r="T127" s="680">
        <f t="shared" si="45"/>
        <v>0.11268561528635322</v>
      </c>
      <c r="U127" s="681">
        <f t="shared" si="57"/>
        <v>0.99115514134482741</v>
      </c>
      <c r="V127" s="682">
        <f t="shared" si="58"/>
        <v>-0.16031169895534045</v>
      </c>
      <c r="W127" s="683">
        <f t="shared" si="46"/>
        <v>-0.10529507357609058</v>
      </c>
      <c r="X127" s="684">
        <f t="shared" si="47"/>
        <v>-109.96144442884815</v>
      </c>
      <c r="Y127" s="687">
        <f t="shared" si="48"/>
        <v>70.038555571151846</v>
      </c>
      <c r="AA127" s="170">
        <f t="shared" si="49"/>
        <v>6760.8</v>
      </c>
      <c r="AB127" s="170">
        <f t="shared" si="50"/>
        <v>45708416.640000001</v>
      </c>
      <c r="AD127" s="686">
        <f t="shared" si="51"/>
        <v>26.889340220399419</v>
      </c>
      <c r="AE127" s="687">
        <f t="shared" si="52"/>
        <v>-10.096434877950758</v>
      </c>
      <c r="AG127" s="686">
        <f t="shared" si="53"/>
        <v>18.340687359086271</v>
      </c>
      <c r="AH127" s="687">
        <f t="shared" si="54"/>
        <v>-81.494642016480555</v>
      </c>
      <c r="AJ127" s="170">
        <f t="shared" si="55"/>
        <v>0</v>
      </c>
      <c r="AK127" s="170">
        <f t="shared" si="65"/>
        <v>0</v>
      </c>
      <c r="AM127" s="170" t="str">
        <f t="shared" si="59"/>
        <v>0.026329034018241+0.22795800052674i</v>
      </c>
      <c r="AN127" s="170" t="str">
        <f t="shared" si="60"/>
        <v>0.229979949022867i</v>
      </c>
      <c r="AO127" s="170" t="str">
        <f t="shared" si="61"/>
        <v>0.99120815312501-0.114484041457123i</v>
      </c>
      <c r="AP127" s="170" t="str">
        <f t="shared" si="62"/>
        <v>0.162278494330293-0.03799300008779i</v>
      </c>
      <c r="AQ127" s="170" t="str">
        <f t="shared" si="63"/>
        <v>0.837721505669707+0.03799300008779i</v>
      </c>
      <c r="AR127" s="170" t="str">
        <f t="shared" si="64"/>
        <v>0.992322788265257-0.045004598218519i</v>
      </c>
    </row>
    <row r="128" spans="7:44">
      <c r="G128" s="688">
        <v>6839.55</v>
      </c>
      <c r="H128" s="676">
        <f t="shared" si="56"/>
        <v>6.83955</v>
      </c>
      <c r="I128" s="677">
        <f t="shared" si="34"/>
        <v>35.232669807443536</v>
      </c>
      <c r="J128" s="678">
        <f t="shared" si="35"/>
        <v>1.542409766322421</v>
      </c>
      <c r="K128" s="678">
        <f t="shared" si="36"/>
        <v>1.0000081590338159</v>
      </c>
      <c r="L128" s="679">
        <f t="shared" si="37"/>
        <v>4.0395490692108158E-3</v>
      </c>
      <c r="M128" s="678">
        <f t="shared" si="38"/>
        <v>1.0010175865024322</v>
      </c>
      <c r="N128" s="679">
        <f t="shared" si="39"/>
        <v>-4.5093776713721168E-2</v>
      </c>
      <c r="O128" s="677">
        <f t="shared" si="40"/>
        <v>128922.48005972331</v>
      </c>
      <c r="P128" s="680">
        <f t="shared" si="41"/>
        <v>1.5707885701957407</v>
      </c>
      <c r="Q128" s="689">
        <f t="shared" si="42"/>
        <v>15.931853846050899</v>
      </c>
      <c r="R128" s="690">
        <f t="shared" si="43"/>
        <v>1.5079877045485948</v>
      </c>
      <c r="S128" s="677">
        <f t="shared" si="44"/>
        <v>1.0065318645963597</v>
      </c>
      <c r="T128" s="680">
        <f t="shared" si="45"/>
        <v>0.11398690514062571</v>
      </c>
      <c r="U128" s="681">
        <f t="shared" si="57"/>
        <v>0.99095968521789846</v>
      </c>
      <c r="V128" s="682">
        <f t="shared" si="58"/>
        <v>-0.16216319678373975</v>
      </c>
      <c r="W128" s="683">
        <f t="shared" si="46"/>
        <v>-0.2089986826783603</v>
      </c>
      <c r="X128" s="684">
        <f t="shared" si="47"/>
        <v>-110.14626389481768</v>
      </c>
      <c r="Y128" s="687">
        <f t="shared" si="48"/>
        <v>69.853736105182321</v>
      </c>
      <c r="AA128" s="170">
        <f t="shared" si="49"/>
        <v>6839.55</v>
      </c>
      <c r="AB128" s="170">
        <f t="shared" si="50"/>
        <v>46779444.202500001</v>
      </c>
      <c r="AD128" s="686">
        <f t="shared" si="51"/>
        <v>26.887652782991452</v>
      </c>
      <c r="AE128" s="687">
        <f t="shared" si="52"/>
        <v>-10.129193147239789</v>
      </c>
      <c r="AG128" s="686">
        <f t="shared" si="53"/>
        <v>18.242097245923674</v>
      </c>
      <c r="AH128" s="687">
        <f t="shared" si="54"/>
        <v>-81.434537190228795</v>
      </c>
      <c r="AJ128" s="170">
        <f t="shared" si="55"/>
        <v>0</v>
      </c>
      <c r="AK128" s="170">
        <f t="shared" si="65"/>
        <v>0</v>
      </c>
      <c r="AM128" s="170" t="str">
        <f t="shared" si="59"/>
        <v>0.026943183761611+0.230565462227131i</v>
      </c>
      <c r="AN128" s="170" t="str">
        <f t="shared" si="60"/>
        <v>0.232658762326847i</v>
      </c>
      <c r="AO128" s="170" t="str">
        <f t="shared" si="61"/>
        <v>0.991002702503956-0.115805583645976i</v>
      </c>
      <c r="AP128" s="170" t="str">
        <f t="shared" si="62"/>
        <v>0.162176136039731-0.0384275770378552i</v>
      </c>
      <c r="AQ128" s="170" t="str">
        <f t="shared" si="63"/>
        <v>0.837823863960269+0.0384275770378552i</v>
      </c>
      <c r="AR128" s="170" t="str">
        <f t="shared" si="64"/>
        <v>0.99215520765922-0.045506128812824i</v>
      </c>
    </row>
    <row r="129" spans="7:44">
      <c r="G129" s="688">
        <v>6918.3</v>
      </c>
      <c r="H129" s="676">
        <f t="shared" si="56"/>
        <v>6.9183000000000003</v>
      </c>
      <c r="I129" s="677">
        <f t="shared" si="34"/>
        <v>35.638010848435748</v>
      </c>
      <c r="J129" s="678">
        <f t="shared" si="35"/>
        <v>1.5427327157993573</v>
      </c>
      <c r="K129" s="678">
        <f t="shared" si="36"/>
        <v>1.0000083479995221</v>
      </c>
      <c r="L129" s="679">
        <f t="shared" si="37"/>
        <v>4.0860595806571044E-3</v>
      </c>
      <c r="M129" s="678">
        <f t="shared" si="38"/>
        <v>1.0010411419578564</v>
      </c>
      <c r="N129" s="679">
        <f t="shared" si="39"/>
        <v>-4.561226689953532E-2</v>
      </c>
      <c r="O129" s="677">
        <f t="shared" si="40"/>
        <v>130406.88258680417</v>
      </c>
      <c r="P129" s="680">
        <f t="shared" si="41"/>
        <v>1.5707886584879778</v>
      </c>
      <c r="Q129" s="689">
        <f t="shared" si="42"/>
        <v>16.114573262608072</v>
      </c>
      <c r="R129" s="690">
        <f t="shared" si="43"/>
        <v>1.5087007990181687</v>
      </c>
      <c r="S129" s="677">
        <f t="shared" si="44"/>
        <v>1.0066826430406159</v>
      </c>
      <c r="T129" s="680">
        <f t="shared" si="45"/>
        <v>0.11528780738926883</v>
      </c>
      <c r="U129" s="681">
        <f t="shared" si="57"/>
        <v>0.99076207681786133</v>
      </c>
      <c r="V129" s="682">
        <f t="shared" si="58"/>
        <v>-0.16401415279061005</v>
      </c>
      <c r="W129" s="683">
        <f t="shared" si="46"/>
        <v>-0.31157129855468191</v>
      </c>
      <c r="X129" s="684">
        <f t="shared" si="47"/>
        <v>-110.33154591134726</v>
      </c>
      <c r="Y129" s="687">
        <f t="shared" si="48"/>
        <v>69.668454088652737</v>
      </c>
      <c r="AA129" s="170">
        <f t="shared" si="49"/>
        <v>6918.3</v>
      </c>
      <c r="AB129" s="170">
        <f t="shared" si="50"/>
        <v>47862874.890000001</v>
      </c>
      <c r="AD129" s="686">
        <f t="shared" si="51"/>
        <v>26.885964411324338</v>
      </c>
      <c r="AE129" s="687">
        <f t="shared" si="52"/>
        <v>-10.162877110956456</v>
      </c>
      <c r="AG129" s="686">
        <f t="shared" si="53"/>
        <v>18.144677473453836</v>
      </c>
      <c r="AH129" s="687">
        <f t="shared" si="54"/>
        <v>-81.37403130828325</v>
      </c>
      <c r="AJ129" s="170">
        <f t="shared" si="55"/>
        <v>0</v>
      </c>
      <c r="AK129" s="170">
        <f t="shared" si="65"/>
        <v>0</v>
      </c>
      <c r="AM129" s="170" t="str">
        <f t="shared" si="59"/>
        <v>0.027564316196139+0.233171269381367i</v>
      </c>
      <c r="AN129" s="170" t="str">
        <f t="shared" si="60"/>
        <v>0.235337575630828i</v>
      </c>
      <c r="AO129" s="170" t="str">
        <f t="shared" si="61"/>
        <v>0.990794898589169-0.117126710948102i</v>
      </c>
      <c r="AP129" s="170" t="str">
        <f t="shared" si="62"/>
        <v>0.16207261396731-0.0388618782302278i</v>
      </c>
      <c r="AQ129" s="170" t="str">
        <f t="shared" si="63"/>
        <v>0.83792738603269+0.0388618782302278i</v>
      </c>
      <c r="AR129" s="170" t="str">
        <f t="shared" si="64"/>
        <v>0.991985820895887-0.0460068889266075i</v>
      </c>
    </row>
    <row r="130" spans="7:44">
      <c r="G130" s="688">
        <v>6998.9</v>
      </c>
      <c r="H130" s="676">
        <f t="shared" si="56"/>
        <v>6.9988999999999999</v>
      </c>
      <c r="I130" s="677">
        <f t="shared" si="34"/>
        <v>36.05287794825324</v>
      </c>
      <c r="J130" s="678">
        <f t="shared" si="35"/>
        <v>1.5430557322793828</v>
      </c>
      <c r="K130" s="678">
        <f t="shared" si="36"/>
        <v>1.0000085436444934</v>
      </c>
      <c r="L130" s="679">
        <f t="shared" si="37"/>
        <v>4.1336627016836328E-3</v>
      </c>
      <c r="M130" s="678">
        <f t="shared" si="38"/>
        <v>1.0010655294354383</v>
      </c>
      <c r="N130" s="679">
        <f t="shared" si="39"/>
        <v>-4.614291207601813E-2</v>
      </c>
      <c r="O130" s="677">
        <f t="shared" si="40"/>
        <v>131926.15679230003</v>
      </c>
      <c r="P130" s="680">
        <f t="shared" si="41"/>
        <v>1.5707887467969317</v>
      </c>
      <c r="Q130" s="689">
        <f t="shared" si="42"/>
        <v>16.301593428178371</v>
      </c>
      <c r="R130" s="690">
        <f t="shared" si="43"/>
        <v>1.5094140917585279</v>
      </c>
      <c r="S130" s="677">
        <f t="shared" si="44"/>
        <v>1.0068387272049826</v>
      </c>
      <c r="T130" s="680">
        <f t="shared" si="45"/>
        <v>0.11661886473265558</v>
      </c>
      <c r="U130" s="681">
        <f t="shared" si="57"/>
        <v>0.9905576013754448</v>
      </c>
      <c r="V130" s="682">
        <f t="shared" si="58"/>
        <v>-0.16590802445559855</v>
      </c>
      <c r="W130" s="683">
        <f t="shared" si="46"/>
        <v>-0.41541006457613194</v>
      </c>
      <c r="X130" s="684">
        <f t="shared" si="47"/>
        <v>-110.52164088124776</v>
      </c>
      <c r="Y130" s="687">
        <f t="shared" si="48"/>
        <v>69.478359118752238</v>
      </c>
      <c r="AA130" s="170">
        <f t="shared" si="49"/>
        <v>6998.9</v>
      </c>
      <c r="AB130" s="170">
        <f t="shared" si="50"/>
        <v>48984601.209999993</v>
      </c>
      <c r="AD130" s="686">
        <f t="shared" si="51"/>
        <v>26.884234790550856</v>
      </c>
      <c r="AE130" s="687">
        <f t="shared" si="52"/>
        <v>-10.198277475213308</v>
      </c>
      <c r="AG130" s="686">
        <f t="shared" si="53"/>
        <v>18.046153920480307</v>
      </c>
      <c r="AH130" s="687">
        <f t="shared" si="54"/>
        <v>-81.311704206992374</v>
      </c>
      <c r="AJ130" s="170">
        <f t="shared" si="55"/>
        <v>0</v>
      </c>
      <c r="AK130" s="170">
        <f t="shared" si="65"/>
        <v>0</v>
      </c>
      <c r="AM130" s="170" t="str">
        <f t="shared" si="59"/>
        <v>0.028207266335929+0.235836559501941i</v>
      </c>
      <c r="AN130" s="170" t="str">
        <f t="shared" si="60"/>
        <v>0.238079319787029i</v>
      </c>
      <c r="AO130" s="170" t="str">
        <f t="shared" si="61"/>
        <v>0.990579776995775-0.118478439711444i</v>
      </c>
      <c r="AP130" s="170" t="str">
        <f t="shared" si="62"/>
        <v>0.161965455610679-0.0393060932503235i</v>
      </c>
      <c r="AQ130" s="170" t="str">
        <f t="shared" si="63"/>
        <v>0.838034544389321+0.0393060932503235i</v>
      </c>
      <c r="AR130" s="170" t="str">
        <f t="shared" si="64"/>
        <v>0.991810589271617-0.0465186068636066i</v>
      </c>
    </row>
    <row r="131" spans="7:44">
      <c r="G131" s="688">
        <v>7079.5</v>
      </c>
      <c r="H131" s="676">
        <f t="shared" si="56"/>
        <v>7.0795000000000003</v>
      </c>
      <c r="I131" s="677">
        <f t="shared" si="34"/>
        <v>36.467748724225771</v>
      </c>
      <c r="J131" s="678">
        <f t="shared" si="35"/>
        <v>1.5433713992786653</v>
      </c>
      <c r="K131" s="678">
        <f t="shared" si="36"/>
        <v>1.0000087415555403</v>
      </c>
      <c r="L131" s="679">
        <f t="shared" si="37"/>
        <v>4.1812658039758312E-3</v>
      </c>
      <c r="M131" s="678">
        <f t="shared" si="38"/>
        <v>1.0010901987835794</v>
      </c>
      <c r="N131" s="679">
        <f t="shared" si="39"/>
        <v>-4.6673531249079463E-2</v>
      </c>
      <c r="O131" s="677">
        <f t="shared" si="40"/>
        <v>133445.43099779688</v>
      </c>
      <c r="P131" s="680">
        <f t="shared" si="41"/>
        <v>1.5707888330950934</v>
      </c>
      <c r="Q131" s="689">
        <f t="shared" si="42"/>
        <v>16.488621699629398</v>
      </c>
      <c r="R131" s="690">
        <f t="shared" si="43"/>
        <v>1.5101112032750559</v>
      </c>
      <c r="S131" s="677">
        <f t="shared" si="44"/>
        <v>1.0069965946444372</v>
      </c>
      <c r="T131" s="680">
        <f t="shared" si="45"/>
        <v>0.11794950709168525</v>
      </c>
      <c r="U131" s="681">
        <f t="shared" si="57"/>
        <v>0.99035087930138876</v>
      </c>
      <c r="V131" s="682">
        <f t="shared" si="58"/>
        <v>-0.16780131626224115</v>
      </c>
      <c r="W131" s="683">
        <f t="shared" si="46"/>
        <v>-0.51811929803712442</v>
      </c>
      <c r="X131" s="684">
        <f t="shared" si="47"/>
        <v>-110.71218326844246</v>
      </c>
      <c r="Y131" s="687">
        <f t="shared" si="48"/>
        <v>69.287816731557541</v>
      </c>
      <c r="AA131" s="170">
        <f t="shared" si="49"/>
        <v>7079.5</v>
      </c>
      <c r="AB131" s="170">
        <f t="shared" si="50"/>
        <v>50119320.25</v>
      </c>
      <c r="AD131" s="686">
        <f t="shared" si="51"/>
        <v>26.882502971289107</v>
      </c>
      <c r="AE131" s="687">
        <f t="shared" si="52"/>
        <v>-10.234581063241947</v>
      </c>
      <c r="AG131" s="686">
        <f t="shared" si="53"/>
        <v>17.948802246985458</v>
      </c>
      <c r="AH131" s="687">
        <f t="shared" si="54"/>
        <v>-81.248987746095906</v>
      </c>
      <c r="AJ131" s="170">
        <f t="shared" si="55"/>
        <v>0</v>
      </c>
      <c r="AK131" s="170">
        <f t="shared" si="65"/>
        <v>0</v>
      </c>
      <c r="AM131" s="170" t="str">
        <f t="shared" si="59"/>
        <v>0.028857521593598+0.238500076802233i</v>
      </c>
      <c r="AN131" s="170" t="str">
        <f t="shared" si="60"/>
        <v>0.240821063943229i</v>
      </c>
      <c r="AO131" s="170" t="str">
        <f t="shared" si="61"/>
        <v>0.990362192148013-0.119829723866683i</v>
      </c>
      <c r="AP131" s="170" t="str">
        <f t="shared" si="62"/>
        <v>0.1618570797344-0.0397500128003722i</v>
      </c>
      <c r="AQ131" s="170" t="str">
        <f t="shared" si="63"/>
        <v>0.8381429202656+0.0397500128003722i</v>
      </c>
      <c r="AR131" s="170" t="str">
        <f t="shared" si="64"/>
        <v>0.991633475193789-0.0470295010303728i</v>
      </c>
    </row>
    <row r="132" spans="7:44">
      <c r="G132" s="688">
        <v>7161.95</v>
      </c>
      <c r="H132" s="676">
        <f t="shared" si="56"/>
        <v>7.16195</v>
      </c>
      <c r="I132" s="677">
        <f t="shared" si="34"/>
        <v>36.892145642767012</v>
      </c>
      <c r="J132" s="678">
        <f t="shared" si="35"/>
        <v>1.5436869657284493</v>
      </c>
      <c r="K132" s="678">
        <f t="shared" si="36"/>
        <v>1.0000089463539008</v>
      </c>
      <c r="L132" s="679">
        <f t="shared" si="37"/>
        <v>4.2299615136965549E-3</v>
      </c>
      <c r="M132" s="678">
        <f t="shared" si="38"/>
        <v>1.0011157259913395</v>
      </c>
      <c r="N132" s="679">
        <f t="shared" si="39"/>
        <v>-4.721630243127211E-2</v>
      </c>
      <c r="O132" s="677">
        <f t="shared" si="40"/>
        <v>134999.57688170872</v>
      </c>
      <c r="P132" s="680">
        <f t="shared" si="41"/>
        <v>1.5707889193642728</v>
      </c>
      <c r="Q132" s="689">
        <f t="shared" si="42"/>
        <v>16.679950906423251</v>
      </c>
      <c r="R132" s="690">
        <f t="shared" si="43"/>
        <v>1.5108081397027535</v>
      </c>
      <c r="S132" s="677">
        <f t="shared" si="44"/>
        <v>1.0071599298594824</v>
      </c>
      <c r="T132" s="680">
        <f t="shared" si="45"/>
        <v>0.11931025740049034</v>
      </c>
      <c r="U132" s="681">
        <f t="shared" si="57"/>
        <v>0.99013709204829969</v>
      </c>
      <c r="V132" s="682">
        <f t="shared" si="58"/>
        <v>-0.16973745809192015</v>
      </c>
      <c r="W132" s="683">
        <f t="shared" si="46"/>
        <v>-0.62204491268289841</v>
      </c>
      <c r="X132" s="684">
        <f t="shared" si="47"/>
        <v>-110.90754376573673</v>
      </c>
      <c r="Y132" s="687">
        <f t="shared" si="48"/>
        <v>69.092456234263267</v>
      </c>
      <c r="AA132" s="170">
        <f t="shared" si="49"/>
        <v>7161.95</v>
      </c>
      <c r="AB132" s="170">
        <f t="shared" si="50"/>
        <v>51293527.802499995</v>
      </c>
      <c r="AD132" s="686">
        <f t="shared" si="51"/>
        <v>26.880728538459422</v>
      </c>
      <c r="AE132" s="687">
        <f t="shared" si="52"/>
        <v>-10.272619739914949</v>
      </c>
      <c r="AG132" s="686">
        <f t="shared" si="53"/>
        <v>17.850401519644088</v>
      </c>
      <c r="AH132" s="687">
        <f t="shared" si="54"/>
        <v>-81.18444405570493</v>
      </c>
      <c r="AJ132" s="170">
        <f t="shared" si="55"/>
        <v>0</v>
      </c>
      <c r="AK132" s="170">
        <f t="shared" si="65"/>
        <v>0</v>
      </c>
      <c r="AM132" s="170" t="str">
        <f t="shared" si="59"/>
        <v>0.029530255520444+0.24122287422586i</v>
      </c>
      <c r="AN132" s="170" t="str">
        <f t="shared" si="60"/>
        <v>0.243625738951651i</v>
      </c>
      <c r="AO132" s="170" t="str">
        <f t="shared" si="61"/>
        <v>0.99013706541792-0.121211558546794i</v>
      </c>
      <c r="AP132" s="170" t="str">
        <f t="shared" si="62"/>
        <v>0.161744957413259-0.0402038123709767i</v>
      </c>
      <c r="AQ132" s="170" t="str">
        <f t="shared" si="63"/>
        <v>0.838255042586741+0.0402038123709767i</v>
      </c>
      <c r="AR132" s="170" t="str">
        <f t="shared" si="64"/>
        <v>0.991450353196103-0.0475512605949043i</v>
      </c>
    </row>
    <row r="133" spans="7:44">
      <c r="G133" s="688">
        <v>7244.4</v>
      </c>
      <c r="H133" s="676">
        <f t="shared" si="56"/>
        <v>7.2443999999999997</v>
      </c>
      <c r="I133" s="677">
        <f t="shared" si="34"/>
        <v>37.316546151545033</v>
      </c>
      <c r="J133" s="678">
        <f t="shared" si="35"/>
        <v>1.5439953543435476</v>
      </c>
      <c r="K133" s="678">
        <f t="shared" si="36"/>
        <v>1.0000091535235538</v>
      </c>
      <c r="L133" s="679">
        <f t="shared" si="37"/>
        <v>4.2786572033563872E-3</v>
      </c>
      <c r="M133" s="678">
        <f t="shared" si="38"/>
        <v>1.0011415481132584</v>
      </c>
      <c r="N133" s="679">
        <f t="shared" si="39"/>
        <v>-4.7759045774305404E-2</v>
      </c>
      <c r="O133" s="677">
        <f t="shared" si="40"/>
        <v>136553.72276562155</v>
      </c>
      <c r="P133" s="680">
        <f t="shared" si="41"/>
        <v>1.5707890036697576</v>
      </c>
      <c r="Q133" s="689">
        <f t="shared" si="42"/>
        <v>16.871288031249904</v>
      </c>
      <c r="R133" s="690">
        <f t="shared" si="43"/>
        <v>1.5114892685556298</v>
      </c>
      <c r="S133" s="677">
        <f t="shared" si="44"/>
        <v>1.0073251293667618</v>
      </c>
      <c r="T133" s="680">
        <f t="shared" si="45"/>
        <v>0.12067056390620981</v>
      </c>
      <c r="U133" s="681">
        <f t="shared" si="57"/>
        <v>0.98992096253037409</v>
      </c>
      <c r="V133" s="682">
        <f t="shared" si="58"/>
        <v>-0.17167298005759668</v>
      </c>
      <c r="W133" s="683">
        <f t="shared" si="46"/>
        <v>-0.72484367903328362</v>
      </c>
      <c r="X133" s="684">
        <f t="shared" si="47"/>
        <v>-111.10333606065622</v>
      </c>
      <c r="Y133" s="687">
        <f t="shared" si="48"/>
        <v>68.896663939343782</v>
      </c>
      <c r="AA133" s="170">
        <f t="shared" si="49"/>
        <v>7244.4</v>
      </c>
      <c r="AB133" s="170">
        <f t="shared" si="50"/>
        <v>52481331.359999992</v>
      </c>
      <c r="AD133" s="686">
        <f t="shared" si="51"/>
        <v>26.878950644406594</v>
      </c>
      <c r="AE133" s="687">
        <f t="shared" si="52"/>
        <v>-10.311538583355407</v>
      </c>
      <c r="AG133" s="686">
        <f t="shared" si="53"/>
        <v>17.753173015238662</v>
      </c>
      <c r="AH133" s="687">
        <f t="shared" si="54"/>
        <v>-81.119523027354276</v>
      </c>
      <c r="AJ133" s="170">
        <f t="shared" si="55"/>
        <v>0</v>
      </c>
      <c r="AK133" s="170">
        <f t="shared" si="65"/>
        <v>0</v>
      </c>
      <c r="AM133" s="170" t="str">
        <f t="shared" si="59"/>
        <v>0.030210623353236+0.243943774142898i</v>
      </c>
      <c r="AN133" s="170" t="str">
        <f t="shared" si="60"/>
        <v>0.246430413960072i</v>
      </c>
      <c r="AO133" s="170" t="str">
        <f t="shared" si="61"/>
        <v>0.989909363145505-0.122592917277373i</v>
      </c>
      <c r="AP133" s="170" t="str">
        <f t="shared" si="62"/>
        <v>0.161631562774461-0.040657295690483i</v>
      </c>
      <c r="AQ133" s="170" t="str">
        <f t="shared" si="63"/>
        <v>0.838368437225539+0.040657295690483i</v>
      </c>
      <c r="AR133" s="170" t="str">
        <f t="shared" si="64"/>
        <v>0.991265271771831-0.0480721404487848i</v>
      </c>
    </row>
    <row r="134" spans="7:44">
      <c r="G134" s="688">
        <v>7328.75</v>
      </c>
      <c r="H134" s="676">
        <f t="shared" si="56"/>
        <v>7.3287500000000003</v>
      </c>
      <c r="I134" s="677">
        <f t="shared" si="34"/>
        <v>37.750730248944102</v>
      </c>
      <c r="J134" s="678">
        <f t="shared" si="35"/>
        <v>1.5443036740764275</v>
      </c>
      <c r="K134" s="678">
        <f t="shared" si="36"/>
        <v>1.0000093679211677</v>
      </c>
      <c r="L134" s="679">
        <f t="shared" si="37"/>
        <v>4.3284750285997953E-3</v>
      </c>
      <c r="M134" s="678">
        <f t="shared" si="38"/>
        <v>1.0011682704498965</v>
      </c>
      <c r="N134" s="679">
        <f t="shared" si="39"/>
        <v>-4.8314267101048976E-2</v>
      </c>
      <c r="O134" s="677">
        <f t="shared" si="40"/>
        <v>138143.68280574444</v>
      </c>
      <c r="P134" s="680">
        <f t="shared" si="41"/>
        <v>1.5707890879550184</v>
      </c>
      <c r="Q134" s="689">
        <f t="shared" si="42"/>
        <v>17.067042296434515</v>
      </c>
      <c r="R134" s="690">
        <f t="shared" si="43"/>
        <v>1.5121702890910247</v>
      </c>
      <c r="S134" s="677">
        <f t="shared" si="44"/>
        <v>1.0074960640487243</v>
      </c>
      <c r="T134" s="680">
        <f t="shared" si="45"/>
        <v>0.1220617533990417</v>
      </c>
      <c r="U134" s="681">
        <f t="shared" si="57"/>
        <v>0.98969743326163895</v>
      </c>
      <c r="V134" s="682">
        <f t="shared" si="58"/>
        <v>-0.17365245638748678</v>
      </c>
      <c r="W134" s="683">
        <f t="shared" si="46"/>
        <v>-0.82887285139316558</v>
      </c>
      <c r="X134" s="684">
        <f t="shared" si="47"/>
        <v>-111.3040691204481</v>
      </c>
      <c r="Y134" s="687">
        <f t="shared" si="48"/>
        <v>68.695930879551895</v>
      </c>
      <c r="AA134" s="170">
        <f t="shared" si="49"/>
        <v>7328.75</v>
      </c>
      <c r="AB134" s="170">
        <f t="shared" si="50"/>
        <v>53710576.5625</v>
      </c>
      <c r="AD134" s="686">
        <f t="shared" si="51"/>
        <v>26.877127638497317</v>
      </c>
      <c r="AE134" s="687">
        <f t="shared" si="52"/>
        <v>-10.352233096593977</v>
      </c>
      <c r="AG134" s="686">
        <f t="shared" si="53"/>
        <v>17.654889929259504</v>
      </c>
      <c r="AH134" s="687">
        <f t="shared" si="54"/>
        <v>-81.052730294950919</v>
      </c>
      <c r="AJ134" s="170">
        <f t="shared" si="55"/>
        <v>0</v>
      </c>
      <c r="AK134" s="170">
        <f t="shared" si="65"/>
        <v>0</v>
      </c>
      <c r="AM134" s="170" t="str">
        <f t="shared" si="59"/>
        <v>0.030914563993903+0.246725389291158i</v>
      </c>
      <c r="AN134" s="170" t="str">
        <f t="shared" si="60"/>
        <v>0.249299720654558i</v>
      </c>
      <c r="AO134" s="170" t="str">
        <f t="shared" si="61"/>
        <v>0.989673749506655-0.124005610245909i</v>
      </c>
      <c r="AP134" s="170" t="str">
        <f t="shared" si="62"/>
        <v>0.161514239334349-0.041120898215193i</v>
      </c>
      <c r="AQ134" s="170" t="str">
        <f t="shared" si="63"/>
        <v>0.838485760665651+0.041120898215193i</v>
      </c>
      <c r="AR134" s="170" t="str">
        <f t="shared" si="64"/>
        <v>0.991073903184374-0.0486041039793273i</v>
      </c>
    </row>
    <row r="135" spans="7:44">
      <c r="G135" s="688">
        <v>7413.1</v>
      </c>
      <c r="H135" s="676">
        <f t="shared" si="56"/>
        <v>7.4131</v>
      </c>
      <c r="I135" s="677">
        <f t="shared" si="34"/>
        <v>38.184917853357945</v>
      </c>
      <c r="J135" s="678">
        <f t="shared" si="35"/>
        <v>1.5446049822415369</v>
      </c>
      <c r="K135" s="678">
        <f t="shared" si="36"/>
        <v>1.0000095848006194</v>
      </c>
      <c r="L135" s="679">
        <f t="shared" si="37"/>
        <v>4.3782928323581249E-3</v>
      </c>
      <c r="M135" s="678">
        <f t="shared" si="38"/>
        <v>1.0011953014008692</v>
      </c>
      <c r="N135" s="679">
        <f t="shared" si="39"/>
        <v>-4.8869458618448963E-2</v>
      </c>
      <c r="O135" s="677">
        <f t="shared" si="40"/>
        <v>139733.64284586825</v>
      </c>
      <c r="P135" s="680">
        <f t="shared" si="41"/>
        <v>1.5707891703221988</v>
      </c>
      <c r="Q135" s="689">
        <f t="shared" si="42"/>
        <v>17.262804297604738</v>
      </c>
      <c r="R135" s="690">
        <f t="shared" si="43"/>
        <v>1.5128358642415007</v>
      </c>
      <c r="S135" s="677">
        <f t="shared" si="44"/>
        <v>1.0076689479830914</v>
      </c>
      <c r="T135" s="680">
        <f t="shared" si="45"/>
        <v>0.12345246821499102</v>
      </c>
      <c r="U135" s="681">
        <f t="shared" si="57"/>
        <v>0.98947146201343805</v>
      </c>
      <c r="V135" s="682">
        <f t="shared" si="58"/>
        <v>-0.17563127002544895</v>
      </c>
      <c r="W135" s="683">
        <f t="shared" si="46"/>
        <v>-0.93177768137111039</v>
      </c>
      <c r="X135" s="684">
        <f t="shared" si="47"/>
        <v>-111.50521841931921</v>
      </c>
      <c r="Y135" s="687">
        <f t="shared" si="48"/>
        <v>68.494781580680794</v>
      </c>
      <c r="AA135" s="170">
        <f t="shared" si="49"/>
        <v>7413.1</v>
      </c>
      <c r="AB135" s="170">
        <f t="shared" si="50"/>
        <v>54954051.610000007</v>
      </c>
      <c r="AD135" s="686">
        <f t="shared" si="51"/>
        <v>26.87529990623635</v>
      </c>
      <c r="AE135" s="687">
        <f t="shared" si="52"/>
        <v>-10.393785258322414</v>
      </c>
      <c r="AG135" s="686">
        <f t="shared" si="53"/>
        <v>17.557779671030485</v>
      </c>
      <c r="AH135" s="687">
        <f t="shared" si="54"/>
        <v>-80.98557209203814</v>
      </c>
      <c r="AJ135" s="170">
        <f t="shared" si="55"/>
        <v>0</v>
      </c>
      <c r="AK135" s="170">
        <f t="shared" si="65"/>
        <v>0</v>
      </c>
      <c r="AM135" s="170" t="str">
        <f t="shared" si="59"/>
        <v>0.031626483032843+0.249504973170195i</v>
      </c>
      <c r="AN135" s="170" t="str">
        <f t="shared" si="60"/>
        <v>0.252169027349044i</v>
      </c>
      <c r="AO135" s="170" t="str">
        <f t="shared" si="61"/>
        <v>0.989435442540842-0.12541779363358i</v>
      </c>
      <c r="AP135" s="170" t="str">
        <f t="shared" si="62"/>
        <v>0.161395586161193-0.0415841621950325i</v>
      </c>
      <c r="AQ135" s="170" t="str">
        <f t="shared" si="63"/>
        <v>0.838604413838807+0.0415841621950325i</v>
      </c>
      <c r="AR135" s="170" t="str">
        <f t="shared" si="64"/>
        <v>0.990880495206696-0.0491351280157817i</v>
      </c>
    </row>
    <row r="136" spans="7:44">
      <c r="G136" s="688">
        <v>7499.45</v>
      </c>
      <c r="H136" s="676">
        <f t="shared" si="56"/>
        <v>7.4994499999999995</v>
      </c>
      <c r="I136" s="677">
        <f t="shared" si="34"/>
        <v>38.629403871710267</v>
      </c>
      <c r="J136" s="678">
        <f t="shared" si="35"/>
        <v>1.5449064185111288</v>
      </c>
      <c r="K136" s="678">
        <f t="shared" si="36"/>
        <v>1.0000098093932439</v>
      </c>
      <c r="L136" s="679">
        <f t="shared" si="37"/>
        <v>4.4292918300525589E-3</v>
      </c>
      <c r="M136" s="678">
        <f t="shared" si="38"/>
        <v>1.0012232929265921</v>
      </c>
      <c r="N136" s="679">
        <f t="shared" si="39"/>
        <v>-4.943778289879746E-2</v>
      </c>
      <c r="O136" s="677">
        <f t="shared" si="40"/>
        <v>141361.30199779206</v>
      </c>
      <c r="P136" s="680">
        <f t="shared" si="41"/>
        <v>1.5707892527230971</v>
      </c>
      <c r="Q136" s="689">
        <f t="shared" si="42"/>
        <v>17.463215700236407</v>
      </c>
      <c r="R136" s="690">
        <f t="shared" si="43"/>
        <v>1.5135017632994612</v>
      </c>
      <c r="S136" s="677">
        <f t="shared" si="44"/>
        <v>1.0078479492018726</v>
      </c>
      <c r="T136" s="680">
        <f t="shared" si="45"/>
        <v>0.12487566084063398</v>
      </c>
      <c r="U136" s="681">
        <f t="shared" si="57"/>
        <v>0.98923760838327401</v>
      </c>
      <c r="V136" s="682">
        <f t="shared" si="58"/>
        <v>-0.17765630900645848</v>
      </c>
      <c r="W136" s="683">
        <f t="shared" si="46"/>
        <v>-1.0359853839891926</v>
      </c>
      <c r="X136" s="684">
        <f t="shared" si="47"/>
        <v>-111.71155063439188</v>
      </c>
      <c r="Y136" s="687">
        <f t="shared" si="48"/>
        <v>68.288449365608116</v>
      </c>
      <c r="AA136" s="170">
        <f t="shared" si="49"/>
        <v>7499.45</v>
      </c>
      <c r="AB136" s="170">
        <f t="shared" si="50"/>
        <v>56241750.302499995</v>
      </c>
      <c r="AD136" s="686">
        <f t="shared" si="51"/>
        <v>26.873423408528311</v>
      </c>
      <c r="AE136" s="687">
        <f t="shared" si="52"/>
        <v>-10.437179704876312</v>
      </c>
      <c r="AG136" s="686">
        <f t="shared" si="53"/>
        <v>17.459554631828002</v>
      </c>
      <c r="AH136" s="687">
        <f t="shared" si="54"/>
        <v>-80.916457486369126</v>
      </c>
      <c r="AJ136" s="170">
        <f t="shared" si="55"/>
        <v>0</v>
      </c>
      <c r="AK136" s="170">
        <f t="shared" si="65"/>
        <v>0</v>
      </c>
      <c r="AM136" s="170" t="str">
        <f t="shared" si="59"/>
        <v>0.032363540473049+0.252348335033436i</v>
      </c>
      <c r="AN136" s="170" t="str">
        <f t="shared" si="60"/>
        <v>0.255106367397281i</v>
      </c>
      <c r="AO136" s="170" t="str">
        <f t="shared" si="61"/>
        <v>0.989188696495569-0.126862927034074i</v>
      </c>
      <c r="AP136" s="170" t="str">
        <f t="shared" si="62"/>
        <v>0.161272743254492-0.042058055838906i</v>
      </c>
      <c r="AQ136" s="170" t="str">
        <f t="shared" si="63"/>
        <v>0.838727256745508+0.042058055838906i</v>
      </c>
      <c r="AR136" s="170" t="str">
        <f t="shared" si="64"/>
        <v>0.990680394983104-0.0496777600055407i</v>
      </c>
    </row>
    <row r="137" spans="7:44">
      <c r="G137" s="688">
        <v>7585.8</v>
      </c>
      <c r="H137" s="676">
        <f t="shared" si="56"/>
        <v>7.5857999999999999</v>
      </c>
      <c r="I137" s="677">
        <f t="shared" si="34"/>
        <v>39.073893320221252</v>
      </c>
      <c r="J137" s="678">
        <f t="shared" si="35"/>
        <v>1.5452009967629097</v>
      </c>
      <c r="K137" s="678">
        <f t="shared" si="36"/>
        <v>1.0000100365867908</v>
      </c>
      <c r="L137" s="679">
        <f t="shared" si="37"/>
        <v>4.4802908047065831E-3</v>
      </c>
      <c r="M137" s="678">
        <f t="shared" si="38"/>
        <v>1.0012516078217746</v>
      </c>
      <c r="N137" s="679">
        <f t="shared" si="39"/>
        <v>-5.000607521883816E-2</v>
      </c>
      <c r="O137" s="677">
        <f t="shared" si="40"/>
        <v>142988.96114971678</v>
      </c>
      <c r="P137" s="680">
        <f t="shared" si="41"/>
        <v>1.5707893332480385</v>
      </c>
      <c r="Q137" s="689">
        <f t="shared" si="42"/>
        <v>17.663634670715542</v>
      </c>
      <c r="R137" s="690">
        <f t="shared" si="43"/>
        <v>1.5141525515033449</v>
      </c>
      <c r="S137" s="677">
        <f t="shared" si="44"/>
        <v>1.0080289910663389</v>
      </c>
      <c r="T137" s="680">
        <f t="shared" si="45"/>
        <v>0.12629834513664426</v>
      </c>
      <c r="U137" s="681">
        <f t="shared" si="57"/>
        <v>0.98900120596530838</v>
      </c>
      <c r="V137" s="682">
        <f t="shared" si="58"/>
        <v>-0.17968063864221154</v>
      </c>
      <c r="W137" s="683">
        <f t="shared" si="46"/>
        <v>-1.1390698347949504</v>
      </c>
      <c r="X137" s="684">
        <f t="shared" si="47"/>
        <v>-111.91828399716506</v>
      </c>
      <c r="Y137" s="687">
        <f t="shared" si="48"/>
        <v>68.081716002834938</v>
      </c>
      <c r="AA137" s="170">
        <f t="shared" si="49"/>
        <v>7585.8</v>
      </c>
      <c r="AB137" s="170">
        <f t="shared" si="50"/>
        <v>57544361.640000001</v>
      </c>
      <c r="AD137" s="686">
        <f t="shared" si="51"/>
        <v>26.871540906861689</v>
      </c>
      <c r="AE137" s="687">
        <f t="shared" si="52"/>
        <v>-10.481410706967623</v>
      </c>
      <c r="AG137" s="686">
        <f t="shared" si="53"/>
        <v>17.362504588530566</v>
      </c>
      <c r="AH137" s="687">
        <f t="shared" si="54"/>
        <v>-80.84698875784207</v>
      </c>
      <c r="AJ137" s="170">
        <f t="shared" si="55"/>
        <v>0</v>
      </c>
      <c r="AK137" s="170">
        <f t="shared" si="65"/>
        <v>0</v>
      </c>
      <c r="AM137" s="170" t="str">
        <f t="shared" si="59"/>
        <v>0.033108946642266+0.255189519645247i</v>
      </c>
      <c r="AN137" s="170" t="str">
        <f t="shared" si="60"/>
        <v>0.258043707445519i</v>
      </c>
      <c r="AO137" s="170" t="str">
        <f t="shared" si="61"/>
        <v>0.988939130395673-0.128307514141791i</v>
      </c>
      <c r="AP137" s="170" t="str">
        <f t="shared" si="62"/>
        <v>0.161148508892956-0.0425315866075412i</v>
      </c>
      <c r="AQ137" s="170" t="str">
        <f t="shared" si="63"/>
        <v>0.838851491107044+0.0425315866075412i</v>
      </c>
      <c r="AR137" s="170" t="str">
        <f t="shared" si="64"/>
        <v>0.990478169950693-0.050219387477683i</v>
      </c>
    </row>
    <row r="138" spans="7:44">
      <c r="G138" s="688">
        <v>7674.15</v>
      </c>
      <c r="H138" s="676">
        <f t="shared" si="56"/>
        <v>7.67415</v>
      </c>
      <c r="I138" s="677">
        <f t="shared" si="34"/>
        <v>39.528681263690054</v>
      </c>
      <c r="J138" s="678">
        <f t="shared" si="35"/>
        <v>1.5454955410289855</v>
      </c>
      <c r="K138" s="678">
        <f t="shared" si="36"/>
        <v>1.0000102717344728</v>
      </c>
      <c r="L138" s="679">
        <f t="shared" si="37"/>
        <v>4.5324709706312796E-3</v>
      </c>
      <c r="M138" s="678">
        <f t="shared" si="38"/>
        <v>1.0012809131960585</v>
      </c>
      <c r="N138" s="679">
        <f t="shared" si="39"/>
        <v>-5.0587496611638395E-2</v>
      </c>
      <c r="O138" s="677">
        <f t="shared" si="40"/>
        <v>144654.31941344152</v>
      </c>
      <c r="P138" s="680">
        <f t="shared" si="41"/>
        <v>1.5707894137624752</v>
      </c>
      <c r="Q138" s="689">
        <f t="shared" si="42"/>
        <v>17.86870322277019</v>
      </c>
      <c r="R138" s="690">
        <f t="shared" si="43"/>
        <v>1.5148033028369743</v>
      </c>
      <c r="S138" s="677">
        <f t="shared" si="44"/>
        <v>1.0082163370845172</v>
      </c>
      <c r="T138" s="680">
        <f t="shared" si="45"/>
        <v>0.12775344916272682</v>
      </c>
      <c r="U138" s="681">
        <f t="shared" si="57"/>
        <v>0.98875669562707758</v>
      </c>
      <c r="V138" s="682">
        <f t="shared" si="58"/>
        <v>-0.18175111291102289</v>
      </c>
      <c r="W138" s="683">
        <f t="shared" si="46"/>
        <v>-1.2434068576018689</v>
      </c>
      <c r="X138" s="684">
        <f t="shared" si="47"/>
        <v>-112.13020349422567</v>
      </c>
      <c r="Y138" s="687">
        <f t="shared" si="48"/>
        <v>67.869796505774332</v>
      </c>
      <c r="AA138" s="170">
        <f t="shared" si="49"/>
        <v>7674.15</v>
      </c>
      <c r="AB138" s="170">
        <f t="shared" si="50"/>
        <v>58892578.222499996</v>
      </c>
      <c r="AD138" s="686">
        <f t="shared" si="51"/>
        <v>26.869608082725037</v>
      </c>
      <c r="AE138" s="687">
        <f t="shared" si="52"/>
        <v>-10.527501334675257</v>
      </c>
      <c r="AG138" s="686">
        <f t="shared" si="53"/>
        <v>17.26439573828965</v>
      </c>
      <c r="AH138" s="687">
        <f t="shared" si="54"/>
        <v>-80.775558752537336</v>
      </c>
      <c r="AJ138" s="170">
        <f t="shared" si="55"/>
        <v>0</v>
      </c>
      <c r="AK138" s="170">
        <f t="shared" si="65"/>
        <v>0</v>
      </c>
      <c r="AM138" s="170" t="str">
        <f t="shared" si="59"/>
        <v>0.033880251889435+0.258094231455837i</v>
      </c>
      <c r="AN138" s="170" t="str">
        <f t="shared" si="60"/>
        <v>0.261049080847508i</v>
      </c>
      <c r="AO138" s="170" t="str">
        <f t="shared" si="61"/>
        <v>0.988680866517216-0.129784988246046i</v>
      </c>
      <c r="AP138" s="170" t="str">
        <f t="shared" si="62"/>
        <v>0.161019958018428-0.0430157052426395i</v>
      </c>
      <c r="AQ138" s="170" t="str">
        <f t="shared" si="63"/>
        <v>0.838980041981572+0.0430157052426395i</v>
      </c>
      <c r="AR138" s="170" t="str">
        <f t="shared" si="64"/>
        <v>0.990269068527326-0.0507725097513229i</v>
      </c>
    </row>
    <row r="139" spans="7:44">
      <c r="G139" s="688">
        <v>7762.5</v>
      </c>
      <c r="H139" s="676">
        <f t="shared" si="56"/>
        <v>7.7625000000000002</v>
      </c>
      <c r="I139" s="677">
        <f t="shared" si="34"/>
        <v>39.98347255850792</v>
      </c>
      <c r="J139" s="678">
        <f t="shared" si="35"/>
        <v>1.5457833847425702</v>
      </c>
      <c r="K139" s="678">
        <f t="shared" si="36"/>
        <v>1.0000105096049512</v>
      </c>
      <c r="L139" s="679">
        <f t="shared" si="37"/>
        <v>4.5846511118740703E-3</v>
      </c>
      <c r="M139" s="678">
        <f t="shared" si="38"/>
        <v>1.0013105570343126</v>
      </c>
      <c r="N139" s="679">
        <f t="shared" si="39"/>
        <v>-5.1168883774961191E-2</v>
      </c>
      <c r="O139" s="677">
        <f t="shared" si="40"/>
        <v>146319.67767716717</v>
      </c>
      <c r="P139" s="680">
        <f t="shared" si="41"/>
        <v>1.5707894924441388</v>
      </c>
      <c r="Q139" s="689">
        <f t="shared" si="42"/>
        <v>18.073779170100131</v>
      </c>
      <c r="R139" s="690">
        <f t="shared" si="43"/>
        <v>1.5154392868043631</v>
      </c>
      <c r="S139" s="677">
        <f t="shared" si="44"/>
        <v>1.0084058170312675</v>
      </c>
      <c r="T139" s="680">
        <f t="shared" si="45"/>
        <v>0.12920800943811281</v>
      </c>
      <c r="U139" s="681">
        <f t="shared" si="57"/>
        <v>0.98850952838803507</v>
      </c>
      <c r="V139" s="682">
        <f t="shared" si="58"/>
        <v>-0.18382082877439593</v>
      </c>
      <c r="W139" s="683">
        <f t="shared" si="46"/>
        <v>-1.3466229801444456</v>
      </c>
      <c r="X139" s="684">
        <f t="shared" si="47"/>
        <v>-112.34250851281733</v>
      </c>
      <c r="Y139" s="687">
        <f t="shared" si="48"/>
        <v>67.657491487182668</v>
      </c>
      <c r="AA139" s="170">
        <f t="shared" si="49"/>
        <v>7762.5</v>
      </c>
      <c r="AB139" s="170">
        <f t="shared" si="50"/>
        <v>60256406.25</v>
      </c>
      <c r="AD139" s="686">
        <f t="shared" si="51"/>
        <v>26.867667974584197</v>
      </c>
      <c r="AE139" s="687">
        <f t="shared" si="52"/>
        <v>-10.574406810513739</v>
      </c>
      <c r="AG139" s="686">
        <f t="shared" si="53"/>
        <v>17.167462826188601</v>
      </c>
      <c r="AH139" s="687">
        <f t="shared" si="54"/>
        <v>-80.703786327494441</v>
      </c>
      <c r="AJ139" s="170">
        <f t="shared" si="55"/>
        <v>0</v>
      </c>
      <c r="AK139" s="170">
        <f t="shared" si="65"/>
        <v>0</v>
      </c>
      <c r="AM139" s="170" t="str">
        <f t="shared" si="59"/>
        <v>0.034660283383764+0.260996612091584i</v>
      </c>
      <c r="AN139" s="170" t="str">
        <f t="shared" si="60"/>
        <v>0.264054454249498i</v>
      </c>
      <c r="AO139" s="170" t="str">
        <f t="shared" si="61"/>
        <v>0.98841965318629-0.131261877336159i</v>
      </c>
      <c r="AP139" s="170" t="str">
        <f t="shared" si="62"/>
        <v>0.160889952769373-0.0434994353485973i</v>
      </c>
      <c r="AQ139" s="170" t="str">
        <f t="shared" si="63"/>
        <v>0.839110047230627+0.0434994353485973i</v>
      </c>
      <c r="AR139" s="170" t="str">
        <f t="shared" si="64"/>
        <v>0.990057756302213-0.0513245592801353i</v>
      </c>
    </row>
    <row r="140" spans="7:44">
      <c r="G140" s="688">
        <v>7852.9</v>
      </c>
      <c r="H140" s="676">
        <f t="shared" si="56"/>
        <v>7.8529</v>
      </c>
      <c r="I140" s="677">
        <f t="shared" si="34"/>
        <v>40.448819803676471</v>
      </c>
      <c r="J140" s="678">
        <f t="shared" si="35"/>
        <v>1.5460712074784611</v>
      </c>
      <c r="K140" s="678">
        <f t="shared" si="36"/>
        <v>1.000010755813072</v>
      </c>
      <c r="L140" s="679">
        <f t="shared" si="37"/>
        <v>4.6380419719197243E-3</v>
      </c>
      <c r="M140" s="678">
        <f t="shared" si="38"/>
        <v>1.0013412390074428</v>
      </c>
      <c r="N140" s="679">
        <f t="shared" si="39"/>
        <v>-5.1763725126200734E-2</v>
      </c>
      <c r="O140" s="677">
        <f t="shared" si="40"/>
        <v>148023.67753048785</v>
      </c>
      <c r="P140" s="680">
        <f t="shared" si="41"/>
        <v>1.5707895711189352</v>
      </c>
      <c r="Q140" s="689">
        <f t="shared" si="42"/>
        <v>18.283620924429616</v>
      </c>
      <c r="R140" s="690">
        <f t="shared" si="43"/>
        <v>1.5160752600874867</v>
      </c>
      <c r="S140" s="677">
        <f t="shared" si="44"/>
        <v>1.0086019010325984</v>
      </c>
      <c r="T140" s="680">
        <f t="shared" si="45"/>
        <v>0.13069575120097249</v>
      </c>
      <c r="U140" s="681">
        <f t="shared" si="57"/>
        <v>0.98825388205515241</v>
      </c>
      <c r="V140" s="682">
        <f t="shared" si="58"/>
        <v>-0.18593777529273253</v>
      </c>
      <c r="W140" s="683">
        <f t="shared" si="46"/>
        <v>-1.451101350758329</v>
      </c>
      <c r="X140" s="684">
        <f t="shared" si="47"/>
        <v>-112.5601217167417</v>
      </c>
      <c r="Y140" s="687">
        <f t="shared" si="48"/>
        <v>67.439878283258295</v>
      </c>
      <c r="AA140" s="170">
        <f t="shared" si="49"/>
        <v>7852.9</v>
      </c>
      <c r="AB140" s="170">
        <f t="shared" si="50"/>
        <v>61668038.409999996</v>
      </c>
      <c r="AD140" s="686">
        <f t="shared" si="51"/>
        <v>26.8656748291539</v>
      </c>
      <c r="AE140" s="687">
        <f t="shared" si="52"/>
        <v>-10.62321405731446</v>
      </c>
      <c r="AG140" s="686">
        <f t="shared" si="53"/>
        <v>17.069470836431059</v>
      </c>
      <c r="AH140" s="687">
        <f t="shared" si="54"/>
        <v>-80.630008082429683</v>
      </c>
      <c r="AJ140" s="170">
        <f t="shared" si="55"/>
        <v>0</v>
      </c>
      <c r="AK140" s="170">
        <f t="shared" si="65"/>
        <v>0</v>
      </c>
      <c r="AM140" s="170" t="str">
        <f t="shared" si="59"/>
        <v>0.0354674390424981+0.263963896873724i</v>
      </c>
      <c r="AN140" s="170" t="str">
        <f t="shared" si="60"/>
        <v>0.267129561839083i</v>
      </c>
      <c r="AO140" s="170" t="str">
        <f t="shared" si="61"/>
        <v>0.988149327451576-0.132772422484126i</v>
      </c>
      <c r="AP140" s="170" t="str">
        <f t="shared" si="62"/>
        <v>0.16075542682625-0.0439939828122873i</v>
      </c>
      <c r="AQ140" s="170" t="str">
        <f t="shared" si="63"/>
        <v>0.83924457317375+0.0439939828122873i</v>
      </c>
      <c r="AR140" s="170" t="str">
        <f t="shared" si="64"/>
        <v>0.98983925987978-0.0518882966635075i</v>
      </c>
    </row>
    <row r="141" spans="7:44">
      <c r="G141" s="688">
        <v>7943.3</v>
      </c>
      <c r="H141" s="676">
        <f t="shared" si="56"/>
        <v>7.9432999999999998</v>
      </c>
      <c r="I141" s="677">
        <f t="shared" ref="I141:I204" si="66">SQRT(1+(G141/pole1)^2)</f>
        <v>40.914170323479475</v>
      </c>
      <c r="J141" s="678">
        <f t="shared" ref="J141:J204" si="67">ATAN(G141/pole1)</f>
        <v>1.5463524829476709</v>
      </c>
      <c r="K141" s="678">
        <f t="shared" ref="K141:K204" si="68">SQRT(1+(G141/Zero1)^2)</f>
        <v>1.0000110048718061</v>
      </c>
      <c r="L141" s="679">
        <f t="shared" ref="L141:L204" si="69">ATAN(G141/Zero1)</f>
        <v>4.6914328055229449E-3</v>
      </c>
      <c r="M141" s="678">
        <f t="shared" ref="M141:M204" si="70">SQRT(1+(G141/z_RHP)^2)</f>
        <v>1.0013722752695997</v>
      </c>
      <c r="N141" s="679">
        <f t="shared" ref="N141:N204" si="71">-ATAN(G141/z_RHP)</f>
        <v>-5.2358529815188196E-2</v>
      </c>
      <c r="O141" s="677">
        <f t="shared" ref="O141:O204" si="72">SQRT(1+(G141/Pole2)^2)</f>
        <v>149727.67738380941</v>
      </c>
      <c r="P141" s="680">
        <f t="shared" ref="P141:P204" si="73">ATAN(G141/Pole2)</f>
        <v>1.5707896480029893</v>
      </c>
      <c r="Q141" s="689">
        <f t="shared" ref="Q141:Q147" si="74">SQRT(1+(G141/Zero2)^2)</f>
        <v>18.493469905967682</v>
      </c>
      <c r="R141" s="690">
        <f t="shared" ref="R141:R147" si="75">ATAN(G141/Zero2)</f>
        <v>1.5166968005934565</v>
      </c>
      <c r="S141" s="677">
        <f t="shared" ref="S141:S204" si="76">SQRT(1+(G141/pole4)^2)</f>
        <v>1.0088002165779935</v>
      </c>
      <c r="T141" s="680">
        <f t="shared" ref="T141:T204" si="77">ATAN(G141/pole4)</f>
        <v>0.13218291131733773</v>
      </c>
      <c r="U141" s="681">
        <f t="shared" si="57"/>
        <v>0.98799546645515079</v>
      </c>
      <c r="V141" s="682">
        <f t="shared" si="58"/>
        <v>-0.1880539109611532</v>
      </c>
      <c r="W141" s="683">
        <f t="shared" ref="W141:W204" si="78">20*LOG10(((K141*Q141*M141*U141)/(I141*O141*S141))*Adc)</f>
        <v>-1.5544611251747416</v>
      </c>
      <c r="X141" s="684">
        <f t="shared" ref="X141:X204" si="79">((L141+R141+N141+V141)-(J141+P141+T141))*radconv</f>
        <v>-112.77810474128935</v>
      </c>
      <c r="Y141" s="687">
        <f t="shared" ref="Y141:Y204" si="80">IF(X141&gt;0,X141,X141+180)</f>
        <v>67.221895258710646</v>
      </c>
      <c r="AA141" s="170">
        <f t="shared" ref="AA141:AA204" si="81">IF(W141&lt;0,G141,1000000000)</f>
        <v>7943.3</v>
      </c>
      <c r="AB141" s="170">
        <f t="shared" ref="AB141:AB204" si="82">G141^2</f>
        <v>63096014.890000001</v>
      </c>
      <c r="AD141" s="686">
        <f t="shared" ref="AD141:AD204" si="83">20*LOG10((Q141/(O141*S141))*Aea)</f>
        <v>26.863673109502425</v>
      </c>
      <c r="AE141" s="687">
        <f t="shared" ref="AE141:AE204" si="84">(R141-(P141+T141))*radconv</f>
        <v>-10.672814812842356</v>
      </c>
      <c r="AG141" s="686">
        <f t="shared" ref="AG141:AG204" si="85">20*LOG10((K141*M141/(I141*U141))*Acs*Am)</f>
        <v>16.972655871123635</v>
      </c>
      <c r="AH141" s="687">
        <f t="shared" ref="AH141:AH204" si="86">(L141+N141-(J141+V141))*radconv</f>
        <v>-80.555899065817115</v>
      </c>
      <c r="AJ141" s="170">
        <f t="shared" ref="AJ141:AJ204" si="87">SUM((W142&lt;0)*(W141&gt;0))*G141</f>
        <v>0</v>
      </c>
      <c r="AK141" s="170">
        <f t="shared" si="65"/>
        <v>0</v>
      </c>
      <c r="AM141" s="170" t="str">
        <f t="shared" si="59"/>
        <v>0.03628371559046+0.266928685539547i</v>
      </c>
      <c r="AN141" s="170" t="str">
        <f t="shared" si="60"/>
        <v>0.270204669428668i</v>
      </c>
      <c r="AO141" s="170" t="str">
        <f t="shared" si="61"/>
        <v>0.987875916815028-0.134282341112682i</v>
      </c>
      <c r="AP141" s="170" t="str">
        <f t="shared" si="62"/>
        <v>0.160619380734923-0.0444881142565912i</v>
      </c>
      <c r="AQ141" s="170" t="str">
        <f t="shared" si="63"/>
        <v>0.839380619265077+0.0444881142565912i</v>
      </c>
      <c r="AR141" s="170" t="str">
        <f t="shared" si="64"/>
        <v>0.989618463678833-0.0524508885148236i</v>
      </c>
    </row>
    <row r="142" spans="7:44">
      <c r="G142" s="688">
        <v>8035.8</v>
      </c>
      <c r="H142" s="676">
        <f t="shared" ref="H142:H205" si="88">G142/1000</f>
        <v>8.0358000000000001</v>
      </c>
      <c r="I142" s="677">
        <f t="shared" si="66"/>
        <v>41.390334251448365</v>
      </c>
      <c r="J142" s="678">
        <f t="shared" si="67"/>
        <v>1.54663374560849</v>
      </c>
      <c r="K142" s="678">
        <f t="shared" si="68"/>
        <v>1.0000112626669067</v>
      </c>
      <c r="L142" s="679">
        <f t="shared" si="69"/>
        <v>4.7460638852271676E-3</v>
      </c>
      <c r="M142" s="678">
        <f t="shared" si="70"/>
        <v>1.0014043992023778</v>
      </c>
      <c r="N142" s="679">
        <f t="shared" si="71"/>
        <v>-5.296711348464303E-2</v>
      </c>
      <c r="O142" s="677">
        <f t="shared" si="72"/>
        <v>151471.26130452097</v>
      </c>
      <c r="P142" s="680">
        <f t="shared" si="73"/>
        <v>1.5707897248824849</v>
      </c>
      <c r="Q142" s="689">
        <f t="shared" si="74"/>
        <v>18.708200925218094</v>
      </c>
      <c r="R142" s="690">
        <f t="shared" si="75"/>
        <v>1.5173183460872226</v>
      </c>
      <c r="S142" s="677">
        <f t="shared" si="76"/>
        <v>1.0090054475430428</v>
      </c>
      <c r="T142" s="680">
        <f t="shared" si="77"/>
        <v>0.13370400972186028</v>
      </c>
      <c r="U142" s="681">
        <f t="shared" ref="U142:U205" si="89">IMABS(IMPRODUCT(AO142, AR142))</f>
        <v>0.98772818794188044</v>
      </c>
      <c r="V142" s="682">
        <f t="shared" ref="V142:V205" si="90">IMARGUMENT(IMPRODUCT(AO142, AR142))</f>
        <v>-0.19021835648427471</v>
      </c>
      <c r="W142" s="683">
        <f t="shared" si="78"/>
        <v>-1.659091573390483</v>
      </c>
      <c r="X142" s="684">
        <f t="shared" si="79"/>
        <v>-113.00151763395375</v>
      </c>
      <c r="Y142" s="687">
        <f t="shared" si="80"/>
        <v>66.998482366046247</v>
      </c>
      <c r="AA142" s="170">
        <f t="shared" si="81"/>
        <v>8035.8</v>
      </c>
      <c r="AB142" s="170">
        <f t="shared" si="82"/>
        <v>64574081.640000001</v>
      </c>
      <c r="AD142" s="686">
        <f t="shared" si="83"/>
        <v>26.861615557836984</v>
      </c>
      <c r="AE142" s="687">
        <f t="shared" si="84"/>
        <v>-10.724359803006942</v>
      </c>
      <c r="AG142" s="686">
        <f t="shared" si="85"/>
        <v>16.874783129228842</v>
      </c>
      <c r="AH142" s="687">
        <f t="shared" si="86"/>
        <v>-80.479739781111846</v>
      </c>
      <c r="AJ142" s="170">
        <f t="shared" si="87"/>
        <v>0</v>
      </c>
      <c r="AK142" s="170">
        <f t="shared" si="65"/>
        <v>0</v>
      </c>
      <c r="AM142" s="170" t="str">
        <f t="shared" ref="AM142:AM205" si="91">IMSUB(1,IMEXP(COMPLEX(0,-2*Pi*G142*Tsw)))</f>
        <v>0.037128387431297+0.26995973349621i</v>
      </c>
      <c r="AN142" s="170" t="str">
        <f t="shared" ref="AN142:AN205" si="92">COMPLEX(0, 2*Pi*G142*Tsw)</f>
        <v>0.273351212039693i</v>
      </c>
      <c r="AO142" s="170" t="str">
        <f t="shared" ref="AO142:AO205" si="93">IMDIV(AM142, AN142)</f>
        <v>0.987592963213236-0.135826679363345i</v>
      </c>
      <c r="AP142" s="170" t="str">
        <f t="shared" ref="AP142:AP205" si="94">IMDIV(IMEXP(COMPLEX(0,-2*Pi*G142*Tsw)),6)</f>
        <v>0.160478602094784-0.044993288916035i</v>
      </c>
      <c r="AQ142" s="170" t="str">
        <f t="shared" ref="AQ142:AQ205" si="95">IMSUB(1, AP142)</f>
        <v>0.839521397905216+0.044993288916035i</v>
      </c>
      <c r="AR142" s="170" t="str">
        <f t="shared" ref="AR142:AR205" si="96">IMDIV(0.833, AQ142)</f>
        <v>0.989390165745891-0.0530253519316664i</v>
      </c>
    </row>
    <row r="143" spans="7:44">
      <c r="G143" s="688">
        <v>8128.3</v>
      </c>
      <c r="H143" s="676">
        <f t="shared" si="88"/>
        <v>8.1282999999999994</v>
      </c>
      <c r="I143" s="677">
        <f t="shared" si="66"/>
        <v>41.866501379271448</v>
      </c>
      <c r="J143" s="678">
        <f t="shared" si="67"/>
        <v>1.5469086104293956</v>
      </c>
      <c r="K143" s="678">
        <f t="shared" si="68"/>
        <v>1.0000115234465943</v>
      </c>
      <c r="L143" s="679">
        <f t="shared" si="69"/>
        <v>4.8006949366014157E-3</v>
      </c>
      <c r="M143" s="678">
        <f t="shared" si="70"/>
        <v>1.0014368940055165</v>
      </c>
      <c r="N143" s="679">
        <f t="shared" si="71"/>
        <v>-5.3575657884611674E-2</v>
      </c>
      <c r="O143" s="677">
        <f t="shared" si="72"/>
        <v>153214.84522523341</v>
      </c>
      <c r="P143" s="680">
        <f t="shared" si="73"/>
        <v>1.5707898000122045</v>
      </c>
      <c r="Q143" s="689">
        <f t="shared" si="74"/>
        <v>18.922939007770129</v>
      </c>
      <c r="R143" s="690">
        <f t="shared" si="75"/>
        <v>1.5179257851772192</v>
      </c>
      <c r="S143" s="677">
        <f t="shared" si="76"/>
        <v>1.0092130121320584</v>
      </c>
      <c r="T143" s="680">
        <f t="shared" si="77"/>
        <v>0.13522448595530975</v>
      </c>
      <c r="U143" s="681">
        <f t="shared" si="89"/>
        <v>0.98745802350072842</v>
      </c>
      <c r="V143" s="682">
        <f t="shared" si="90"/>
        <v>-0.19238193512365492</v>
      </c>
      <c r="W143" s="683">
        <f t="shared" si="78"/>
        <v>-1.7626057196480847</v>
      </c>
      <c r="X143" s="684">
        <f t="shared" si="79"/>
        <v>-113.22528452962989</v>
      </c>
      <c r="Y143" s="687">
        <f t="shared" si="80"/>
        <v>66.774715470370111</v>
      </c>
      <c r="AA143" s="170">
        <f t="shared" si="81"/>
        <v>8128.3</v>
      </c>
      <c r="AB143" s="170">
        <f t="shared" si="82"/>
        <v>66069260.890000001</v>
      </c>
      <c r="AD143" s="686">
        <f t="shared" si="83"/>
        <v>26.859548129298275</v>
      </c>
      <c r="AE143" s="687">
        <f t="shared" si="84"/>
        <v>-10.776677282541103</v>
      </c>
      <c r="AG143" s="686">
        <f t="shared" si="85"/>
        <v>16.778088608585882</v>
      </c>
      <c r="AH143" s="687">
        <f t="shared" si="86"/>
        <v>-80.40326134760825</v>
      </c>
      <c r="AJ143" s="170">
        <f t="shared" si="87"/>
        <v>0</v>
      </c>
      <c r="AK143" s="170">
        <f t="shared" si="65"/>
        <v>0</v>
      </c>
      <c r="AM143" s="170" t="str">
        <f t="shared" si="91"/>
        <v>0.037982592396516+0.272988108656536i</v>
      </c>
      <c r="AN143" s="170" t="str">
        <f t="shared" si="92"/>
        <v>0.276497754650717i</v>
      </c>
      <c r="AO143" s="170" t="str">
        <f t="shared" si="93"/>
        <v>0.987306783020301-0.137370346621791i</v>
      </c>
      <c r="AP143" s="170" t="str">
        <f t="shared" si="94"/>
        <v>0.160336234600581-0.0454980181094227i</v>
      </c>
      <c r="AQ143" s="170" t="str">
        <f t="shared" si="95"/>
        <v>0.839663765399419+0.0454980181094227i</v>
      </c>
      <c r="AR143" s="170" t="str">
        <f t="shared" si="96"/>
        <v>0.989159476097938-0.0535985922117322i</v>
      </c>
    </row>
    <row r="144" spans="7:44">
      <c r="G144" s="688">
        <v>8222.9500000000007</v>
      </c>
      <c r="H144" s="676">
        <f t="shared" si="88"/>
        <v>8.2229500000000009</v>
      </c>
      <c r="I144" s="677">
        <f t="shared" si="66"/>
        <v>42.35373937517025</v>
      </c>
      <c r="J144" s="678">
        <f t="shared" si="67"/>
        <v>1.5471834664273885</v>
      </c>
      <c r="K144" s="678">
        <f t="shared" si="68"/>
        <v>1.0000117933770953</v>
      </c>
      <c r="L144" s="679">
        <f t="shared" si="69"/>
        <v>4.8565957611258932E-3</v>
      </c>
      <c r="M144" s="678">
        <f t="shared" si="70"/>
        <v>1.0014705279564942</v>
      </c>
      <c r="N144" s="679">
        <f t="shared" si="71"/>
        <v>-5.4198305714714852E-2</v>
      </c>
      <c r="O144" s="677">
        <f t="shared" si="72"/>
        <v>154998.95569113086</v>
      </c>
      <c r="P144" s="680">
        <f t="shared" si="73"/>
        <v>1.5707898751385254</v>
      </c>
      <c r="Q144" s="689">
        <f t="shared" si="74"/>
        <v>19.142675363317608</v>
      </c>
      <c r="R144" s="690">
        <f t="shared" si="75"/>
        <v>1.5185332358439674</v>
      </c>
      <c r="S144" s="677">
        <f t="shared" si="76"/>
        <v>1.0094278153093408</v>
      </c>
      <c r="T144" s="680">
        <f t="shared" si="77"/>
        <v>0.13677965202579781</v>
      </c>
      <c r="U144" s="681">
        <f t="shared" si="89"/>
        <v>0.9871785994560961</v>
      </c>
      <c r="V144" s="682">
        <f t="shared" si="90"/>
        <v>-0.194594895598172</v>
      </c>
      <c r="W144" s="683">
        <f t="shared" si="78"/>
        <v>-1.8673978130205728</v>
      </c>
      <c r="X144" s="684">
        <f t="shared" si="79"/>
        <v>-113.45460252267617</v>
      </c>
      <c r="Y144" s="687">
        <f t="shared" si="80"/>
        <v>66.545397477323831</v>
      </c>
      <c r="AA144" s="170">
        <f t="shared" si="81"/>
        <v>8222.9500000000007</v>
      </c>
      <c r="AB144" s="170">
        <f t="shared" si="82"/>
        <v>67616906.702500015</v>
      </c>
      <c r="AD144" s="686">
        <f t="shared" si="83"/>
        <v>26.857421990249843</v>
      </c>
      <c r="AE144" s="687">
        <f t="shared" si="84"/>
        <v>-10.830981679838105</v>
      </c>
      <c r="AG144" s="686">
        <f t="shared" si="85"/>
        <v>16.680339095903562</v>
      </c>
      <c r="AH144" s="687">
        <f t="shared" si="86"/>
        <v>-80.324688352229543</v>
      </c>
      <c r="AJ144" s="170">
        <f t="shared" si="87"/>
        <v>0</v>
      </c>
      <c r="AK144" s="170">
        <f t="shared" si="65"/>
        <v>0</v>
      </c>
      <c r="AM144" s="170" t="str">
        <f t="shared" si="91"/>
        <v>0.0388665111033371+0.276084075095482i</v>
      </c>
      <c r="AN144" s="170" t="str">
        <f t="shared" si="92"/>
        <v>0.279717433117025i</v>
      </c>
      <c r="AO144" s="170" t="str">
        <f t="shared" si="93"/>
        <v>0.987010612885101-0.138949191225692i</v>
      </c>
      <c r="AP144" s="170" t="str">
        <f t="shared" si="94"/>
        <v>0.160188914816111-0.0460140125159137i</v>
      </c>
      <c r="AQ144" s="170" t="str">
        <f t="shared" si="95"/>
        <v>0.839811085183889+0.0460140125159137i</v>
      </c>
      <c r="AR144" s="170" t="str">
        <f t="shared" si="96"/>
        <v>0.988920957362349-0.0541838779126816i</v>
      </c>
    </row>
    <row r="145" spans="7:44">
      <c r="G145" s="688">
        <v>8270.2750000000015</v>
      </c>
      <c r="H145" s="676">
        <f t="shared" si="88"/>
        <v>8.2702750000000016</v>
      </c>
      <c r="I145" s="677">
        <f t="shared" si="66"/>
        <v>42.597359552401073</v>
      </c>
      <c r="J145" s="678">
        <f t="shared" si="67"/>
        <v>1.547318536523635</v>
      </c>
      <c r="K145" s="678">
        <f t="shared" si="68"/>
        <v>1.0000119295141976</v>
      </c>
      <c r="L145" s="679">
        <f t="shared" si="69"/>
        <v>4.8845461620275945E-3</v>
      </c>
      <c r="M145" s="678">
        <f t="shared" si="70"/>
        <v>1.0014874905222941</v>
      </c>
      <c r="N145" s="679">
        <f t="shared" si="71"/>
        <v>-5.4509613886169858E-2</v>
      </c>
      <c r="O145" s="677">
        <f t="shared" si="72"/>
        <v>155891.01092407989</v>
      </c>
      <c r="P145" s="680">
        <f t="shared" si="73"/>
        <v>1.5707899120568429</v>
      </c>
      <c r="Q145" s="689">
        <f t="shared" si="74"/>
        <v>19.252546144584027</v>
      </c>
      <c r="R145" s="690">
        <f t="shared" si="75"/>
        <v>1.5188317613297548</v>
      </c>
      <c r="S145" s="677">
        <f t="shared" si="76"/>
        <v>1.0095361321088403</v>
      </c>
      <c r="T145" s="680">
        <f t="shared" si="77"/>
        <v>0.13755698594672311</v>
      </c>
      <c r="U145" s="681">
        <f t="shared" si="89"/>
        <v>0.98703775937039095</v>
      </c>
      <c r="V145" s="682">
        <f t="shared" si="90"/>
        <v>-0.19570102891527238</v>
      </c>
      <c r="W145" s="683">
        <f t="shared" si="78"/>
        <v>-1.9193744503074015</v>
      </c>
      <c r="X145" s="684">
        <f t="shared" si="79"/>
        <v>-113.56938926204671</v>
      </c>
      <c r="Y145" s="687">
        <f t="shared" si="80"/>
        <v>66.430610737953288</v>
      </c>
      <c r="AA145" s="170">
        <f t="shared" si="81"/>
        <v>8270.2750000000015</v>
      </c>
      <c r="AB145" s="170">
        <f t="shared" si="82"/>
        <v>68397448.575625017</v>
      </c>
      <c r="AD145" s="686">
        <f t="shared" si="83"/>
        <v>26.856354748089384</v>
      </c>
      <c r="AE145" s="687">
        <f t="shared" si="84"/>
        <v>-10.858417497661902</v>
      </c>
      <c r="AG145" s="686">
        <f t="shared" si="85"/>
        <v>16.631908297284927</v>
      </c>
      <c r="AH145" s="687">
        <f t="shared" si="86"/>
        <v>-80.28528573233416</v>
      </c>
      <c r="AJ145" s="170">
        <f t="shared" si="87"/>
        <v>0</v>
      </c>
      <c r="AK145" s="170">
        <f t="shared" si="65"/>
        <v>0</v>
      </c>
      <c r="AM145" s="170" t="str">
        <f t="shared" si="91"/>
        <v>0.03931220731513+0.277630987078661i</v>
      </c>
      <c r="AN145" s="170" t="str">
        <f t="shared" si="92"/>
        <v>0.281327272350179i</v>
      </c>
      <c r="AO145" s="170" t="str">
        <f t="shared" si="93"/>
        <v>0.986861262185356-0.13973834455053i</v>
      </c>
      <c r="AP145" s="170" t="str">
        <f t="shared" si="94"/>
        <v>0.160114632114145-0.0462718311797768i</v>
      </c>
      <c r="AQ145" s="170" t="str">
        <f t="shared" si="95"/>
        <v>0.839885367885855+0.0462718311797768i</v>
      </c>
      <c r="AR145" s="170" t="str">
        <f t="shared" si="96"/>
        <v>0.988800764966887-0.0544760318686729i</v>
      </c>
    </row>
    <row r="146" spans="7:44">
      <c r="G146" s="688">
        <v>8317.6</v>
      </c>
      <c r="H146" s="676">
        <f t="shared" si="88"/>
        <v>8.3176000000000005</v>
      </c>
      <c r="I146" s="677">
        <f t="shared" si="66"/>
        <v>42.840980497936542</v>
      </c>
      <c r="J146" s="678">
        <f t="shared" si="67"/>
        <v>1.5474520704340851</v>
      </c>
      <c r="K146" s="678">
        <f t="shared" si="68"/>
        <v>1.000012066432534</v>
      </c>
      <c r="L146" s="679">
        <f t="shared" si="69"/>
        <v>4.9124965552973764E-3</v>
      </c>
      <c r="M146" s="678">
        <f t="shared" si="70"/>
        <v>1.0015045501417352</v>
      </c>
      <c r="N146" s="679">
        <f t="shared" si="71"/>
        <v>-5.4820911482151562E-2</v>
      </c>
      <c r="O146" s="677">
        <f t="shared" si="72"/>
        <v>156783.06615702916</v>
      </c>
      <c r="P146" s="680">
        <f t="shared" si="73"/>
        <v>1.5707899485550489</v>
      </c>
      <c r="Q146" s="689">
        <f t="shared" si="74"/>
        <v>19.362418622116788</v>
      </c>
      <c r="R146" s="690">
        <f t="shared" si="75"/>
        <v>1.5191268988625042</v>
      </c>
      <c r="S146" s="677">
        <f t="shared" si="76"/>
        <v>1.0096450587874519</v>
      </c>
      <c r="T146" s="680">
        <f t="shared" si="77"/>
        <v>0.1383341526100986</v>
      </c>
      <c r="U146" s="681">
        <f t="shared" si="89"/>
        <v>0.98689616849684514</v>
      </c>
      <c r="V146" s="682">
        <f t="shared" si="90"/>
        <v>-0.19680692935115646</v>
      </c>
      <c r="W146" s="683">
        <f t="shared" si="78"/>
        <v>-1.9710759234143147</v>
      </c>
      <c r="X146" s="684">
        <f t="shared" si="79"/>
        <v>-113.68425854403914</v>
      </c>
      <c r="Y146" s="687">
        <f t="shared" si="80"/>
        <v>66.315741455960861</v>
      </c>
      <c r="AA146" s="170">
        <f t="shared" si="81"/>
        <v>8317.6</v>
      </c>
      <c r="AB146" s="170">
        <f t="shared" si="82"/>
        <v>69182469.760000005</v>
      </c>
      <c r="AD146" s="686">
        <f t="shared" si="83"/>
        <v>26.855284657140285</v>
      </c>
      <c r="AE146" s="687">
        <f t="shared" si="84"/>
        <v>-10.886037823673856</v>
      </c>
      <c r="AG146" s="686">
        <f t="shared" si="85"/>
        <v>16.58376908102208</v>
      </c>
      <c r="AH146" s="687">
        <f t="shared" si="86"/>
        <v>-80.245807833094105</v>
      </c>
      <c r="AJ146" s="170">
        <f t="shared" si="87"/>
        <v>0</v>
      </c>
      <c r="AK146" s="170">
        <f t="shared" si="65"/>
        <v>0</v>
      </c>
      <c r="AM146" s="170" t="str">
        <f t="shared" si="91"/>
        <v>0.039760393227919+0.279177179558428i</v>
      </c>
      <c r="AN146" s="170" t="str">
        <f t="shared" si="92"/>
        <v>0.282937111583333i</v>
      </c>
      <c r="AO146" s="170" t="str">
        <f t="shared" si="93"/>
        <v>0.986711068039593-0.140527317202814i</v>
      </c>
      <c r="AP146" s="170" t="str">
        <f t="shared" si="94"/>
        <v>0.160039934462014-0.0465295299264047i</v>
      </c>
      <c r="AQ146" s="170" t="str">
        <f t="shared" si="95"/>
        <v>0.839960065537986+0.0465295299264047i</v>
      </c>
      <c r="AR146" s="170" t="str">
        <f t="shared" si="96"/>
        <v>0.988679952052447-0.0547678577876156i</v>
      </c>
    </row>
    <row r="147" spans="7:44">
      <c r="G147" s="688">
        <v>8366.0499999999993</v>
      </c>
      <c r="H147" s="676">
        <f t="shared" si="88"/>
        <v>8.3660499999999995</v>
      </c>
      <c r="I147" s="677">
        <f t="shared" si="66"/>
        <v>43.090393531936826</v>
      </c>
      <c r="J147" s="678">
        <f t="shared" si="67"/>
        <v>1.547587214488924</v>
      </c>
      <c r="K147" s="678">
        <f t="shared" si="68"/>
        <v>1.0000122074149758</v>
      </c>
      <c r="L147" s="679">
        <f t="shared" si="69"/>
        <v>4.9411113715171701E-3</v>
      </c>
      <c r="M147" s="678">
        <f t="shared" si="70"/>
        <v>1.0015221158354746</v>
      </c>
      <c r="N147" s="679">
        <f t="shared" si="71"/>
        <v>-5.5139598161474755E-2</v>
      </c>
      <c r="O147" s="677">
        <f t="shared" si="72"/>
        <v>157696.32714036567</v>
      </c>
      <c r="P147" s="680">
        <f t="shared" si="73"/>
        <v>1.5707899854931164</v>
      </c>
      <c r="Q147" s="689">
        <f t="shared" si="74"/>
        <v>19.47490469245437</v>
      </c>
      <c r="R147" s="690">
        <f t="shared" si="75"/>
        <v>1.5194256024463617</v>
      </c>
      <c r="S147" s="677">
        <f t="shared" si="76"/>
        <v>1.0097572064405009</v>
      </c>
      <c r="T147" s="680">
        <f t="shared" si="77"/>
        <v>0.13912961972443277</v>
      </c>
      <c r="U147" s="681">
        <f t="shared" si="89"/>
        <v>0.98675043497133985</v>
      </c>
      <c r="V147" s="682">
        <f t="shared" si="90"/>
        <v>-0.19793887651884134</v>
      </c>
      <c r="W147" s="683">
        <f t="shared" si="78"/>
        <v>-2.0237247828825282</v>
      </c>
      <c r="X147" s="684">
        <f t="shared" si="79"/>
        <v>-113.80194198710129</v>
      </c>
      <c r="Y147" s="687">
        <f t="shared" si="80"/>
        <v>66.198058012898713</v>
      </c>
      <c r="AA147" s="170">
        <f t="shared" si="81"/>
        <v>8366.0499999999993</v>
      </c>
      <c r="AB147" s="170">
        <f t="shared" si="82"/>
        <v>69990792.602499992</v>
      </c>
      <c r="AD147" s="686">
        <f t="shared" si="83"/>
        <v>26.854186126544977</v>
      </c>
      <c r="AE147" s="687">
        <f t="shared" si="84"/>
        <v>-10.914502393814086</v>
      </c>
      <c r="AG147" s="686">
        <f t="shared" si="85"/>
        <v>16.534784207016692</v>
      </c>
      <c r="AH147" s="687">
        <f t="shared" si="86"/>
        <v>-80.205315115187588</v>
      </c>
      <c r="AJ147" s="170">
        <f t="shared" si="87"/>
        <v>0</v>
      </c>
      <c r="AK147" s="170">
        <f t="shared" si="65"/>
        <v>0</v>
      </c>
      <c r="AM147" s="170" t="str">
        <f t="shared" si="91"/>
        <v>0.040221811291075+0.280759378255857i</v>
      </c>
      <c r="AN147" s="170" t="str">
        <f t="shared" si="92"/>
        <v>0.284585219577972i</v>
      </c>
      <c r="AO147" s="170" t="str">
        <f t="shared" si="93"/>
        <v>0.98655642999384-0.141334856921671i</v>
      </c>
      <c r="AP147" s="170" t="str">
        <f t="shared" si="94"/>
        <v>0.159963031451487-0.0467932297093095i</v>
      </c>
      <c r="AQ147" s="170" t="str">
        <f t="shared" si="95"/>
        <v>0.840036968548513+0.0467932297093095i</v>
      </c>
      <c r="AR147" s="170" t="str">
        <f t="shared" si="96"/>
        <v>0.988555625558772-0.0550662794604502i</v>
      </c>
    </row>
    <row r="148" spans="7:44">
      <c r="G148" s="691">
        <v>8414.5</v>
      </c>
      <c r="H148" s="676">
        <f t="shared" si="88"/>
        <v>8.4145000000000003</v>
      </c>
      <c r="I148" s="677">
        <f t="shared" si="66"/>
        <v>43.339807343878334</v>
      </c>
      <c r="J148" s="678">
        <f t="shared" si="67"/>
        <v>1.5477208030803873</v>
      </c>
      <c r="K148" s="678">
        <f t="shared" si="68"/>
        <v>1.0000123492162349</v>
      </c>
      <c r="L148" s="679">
        <f t="shared" si="69"/>
        <v>4.969726179645262E-3</v>
      </c>
      <c r="M148" s="678">
        <f t="shared" si="70"/>
        <v>1.0015397832414272</v>
      </c>
      <c r="N148" s="679">
        <f t="shared" si="71"/>
        <v>-5.545827362974063E-2</v>
      </c>
      <c r="O148" s="677">
        <f t="shared" si="72"/>
        <v>158609.58812370239</v>
      </c>
      <c r="P148" s="680">
        <f t="shared" si="73"/>
        <v>1.5707900220058115</v>
      </c>
      <c r="Q148" s="689">
        <f t="shared" ref="Q148:Q157" si="97">SQRT(1+(G148/Zero2)^2)</f>
        <v>19.587392480459872</v>
      </c>
      <c r="R148" s="690">
        <f t="shared" ref="R148:R157" si="98">ATAN(G148/Zero2)</f>
        <v>1.5197208752264617</v>
      </c>
      <c r="S148" s="677">
        <f t="shared" si="76"/>
        <v>1.0098699928933805</v>
      </c>
      <c r="T148" s="680">
        <f t="shared" si="77"/>
        <v>0.13992490965980023</v>
      </c>
      <c r="U148" s="681">
        <f t="shared" si="89"/>
        <v>0.98660391655028978</v>
      </c>
      <c r="V148" s="682">
        <f t="shared" si="90"/>
        <v>-0.19907057706273898</v>
      </c>
      <c r="W148" s="683">
        <f t="shared" si="78"/>
        <v>-2.0760920941018024</v>
      </c>
      <c r="X148" s="684">
        <f t="shared" si="79"/>
        <v>-113.91970793088878</v>
      </c>
      <c r="Y148" s="687">
        <f t="shared" si="80"/>
        <v>66.080292069111223</v>
      </c>
      <c r="AA148" s="170">
        <f t="shared" si="81"/>
        <v>8414.5</v>
      </c>
      <c r="AB148" s="170">
        <f t="shared" si="82"/>
        <v>70803810.25</v>
      </c>
      <c r="AD148" s="686">
        <f t="shared" si="83"/>
        <v>26.853084509112083</v>
      </c>
      <c r="AE148" s="687">
        <f t="shared" si="84"/>
        <v>-10.943153358551122</v>
      </c>
      <c r="AG148" s="686">
        <f t="shared" si="85"/>
        <v>16.486098167181545</v>
      </c>
      <c r="AH148" s="687">
        <f t="shared" si="86"/>
        <v>-80.164746764413849</v>
      </c>
      <c r="AJ148" s="170">
        <f t="shared" si="87"/>
        <v>0</v>
      </c>
      <c r="AK148" s="170">
        <f t="shared" si="65"/>
        <v>0</v>
      </c>
      <c r="AM148" s="170" t="str">
        <f t="shared" si="91"/>
        <v>0.040685836360708+0.282340814338002i</v>
      </c>
      <c r="AN148" s="170" t="str">
        <f t="shared" si="92"/>
        <v>0.286233327572612i</v>
      </c>
      <c r="AO148" s="170" t="str">
        <f t="shared" si="93"/>
        <v>0.986400908421041-0.142142205122451i</v>
      </c>
      <c r="AP148" s="170" t="str">
        <f t="shared" si="94"/>
        <v>0.159885693939882-0.047056802389667i</v>
      </c>
      <c r="AQ148" s="170" t="str">
        <f t="shared" si="95"/>
        <v>0.840114306060118+0.047056802389667i</v>
      </c>
      <c r="AR148" s="170" t="str">
        <f t="shared" si="96"/>
        <v>0.988430651097492-0.0553643539802501i</v>
      </c>
    </row>
    <row r="149" spans="7:44">
      <c r="G149" s="691">
        <v>8462.9500000000007</v>
      </c>
      <c r="H149" s="676">
        <f t="shared" si="88"/>
        <v>8.4629500000000011</v>
      </c>
      <c r="I149" s="677">
        <f t="shared" si="66"/>
        <v>43.589221920407113</v>
      </c>
      <c r="J149" s="678">
        <f t="shared" si="67"/>
        <v>1.5478528629044339</v>
      </c>
      <c r="K149" s="678">
        <f t="shared" si="68"/>
        <v>1.0000124918363114</v>
      </c>
      <c r="L149" s="679">
        <f t="shared" si="69"/>
        <v>4.998340979634793E-3</v>
      </c>
      <c r="M149" s="678">
        <f t="shared" si="70"/>
        <v>1.0015575523542108</v>
      </c>
      <c r="N149" s="679">
        <f t="shared" si="71"/>
        <v>-5.5776937822818624E-2</v>
      </c>
      <c r="O149" s="677">
        <f t="shared" si="72"/>
        <v>159522.84910703936</v>
      </c>
      <c r="P149" s="680">
        <f t="shared" si="73"/>
        <v>1.5707900581004393</v>
      </c>
      <c r="Q149" s="689">
        <f t="shared" si="97"/>
        <v>19.699881956709255</v>
      </c>
      <c r="R149" s="690">
        <f t="shared" si="98"/>
        <v>1.5200127759221846</v>
      </c>
      <c r="S149" s="677">
        <f t="shared" si="76"/>
        <v>1.0099834179320832</v>
      </c>
      <c r="T149" s="680">
        <f t="shared" si="77"/>
        <v>0.14072002146970816</v>
      </c>
      <c r="U149" s="681">
        <f t="shared" si="89"/>
        <v>0.98645661425835329</v>
      </c>
      <c r="V149" s="682">
        <f t="shared" si="90"/>
        <v>-0.20020202970204243</v>
      </c>
      <c r="W149" s="683">
        <f t="shared" si="78"/>
        <v>-2.1281812344687481</v>
      </c>
      <c r="X149" s="684">
        <f t="shared" si="79"/>
        <v>-114.03755440972657</v>
      </c>
      <c r="Y149" s="687">
        <f t="shared" si="80"/>
        <v>65.962445590273433</v>
      </c>
      <c r="AA149" s="170">
        <f t="shared" si="81"/>
        <v>8462.9500000000007</v>
      </c>
      <c r="AB149" s="170">
        <f t="shared" si="82"/>
        <v>71621522.702500015</v>
      </c>
      <c r="AD149" s="686">
        <f t="shared" si="83"/>
        <v>26.851979756086124</v>
      </c>
      <c r="AE149" s="687">
        <f t="shared" si="84"/>
        <v>-10.971987299700775</v>
      </c>
      <c r="AG149" s="686">
        <f t="shared" si="85"/>
        <v>16.437707621101069</v>
      </c>
      <c r="AH149" s="687">
        <f t="shared" si="86"/>
        <v>-80.12410438005179</v>
      </c>
      <c r="AJ149" s="170">
        <f t="shared" si="87"/>
        <v>0</v>
      </c>
      <c r="AK149" s="170">
        <f t="shared" si="65"/>
        <v>0</v>
      </c>
      <c r="AM149" s="170" t="str">
        <f t="shared" si="91"/>
        <v>0.041152467176405+0.28392148350927i</v>
      </c>
      <c r="AN149" s="170" t="str">
        <f t="shared" si="92"/>
        <v>0.287881435567251i</v>
      </c>
      <c r="AO149" s="170" t="str">
        <f t="shared" si="93"/>
        <v>0.986244503574264-0.142949360716216i</v>
      </c>
      <c r="AP149" s="170" t="str">
        <f t="shared" si="94"/>
        <v>0.159807922137266-0.047320247251545i</v>
      </c>
      <c r="AQ149" s="170" t="str">
        <f t="shared" si="95"/>
        <v>0.840192077862734+0.047320247251545i</v>
      </c>
      <c r="AR149" s="170" t="str">
        <f t="shared" si="96"/>
        <v>0.988305029892502-0.0556620796680486i</v>
      </c>
    </row>
    <row r="150" spans="7:44">
      <c r="G150" s="691">
        <v>8511.4</v>
      </c>
      <c r="H150" s="676">
        <f t="shared" si="88"/>
        <v>8.5114000000000001</v>
      </c>
      <c r="I150" s="677">
        <f t="shared" si="66"/>
        <v>43.83863724847307</v>
      </c>
      <c r="J150" s="678">
        <f t="shared" si="67"/>
        <v>1.5479834200497034</v>
      </c>
      <c r="K150" s="678">
        <f t="shared" si="68"/>
        <v>1.0000126352752043</v>
      </c>
      <c r="L150" s="679">
        <f t="shared" si="69"/>
        <v>5.0269557714389072E-3</v>
      </c>
      <c r="M150" s="678">
        <f t="shared" si="70"/>
        <v>1.0015754231684122</v>
      </c>
      <c r="N150" s="679">
        <f t="shared" si="71"/>
        <v>-5.6095590676591853E-2</v>
      </c>
      <c r="O150" s="677">
        <f t="shared" si="72"/>
        <v>160436.11009037652</v>
      </c>
      <c r="P150" s="680">
        <f t="shared" si="73"/>
        <v>1.5707900937841397</v>
      </c>
      <c r="Q150" s="689">
        <f t="shared" si="97"/>
        <v>19.812373092446297</v>
      </c>
      <c r="R150" s="690">
        <f t="shared" si="98"/>
        <v>1.5203013619216474</v>
      </c>
      <c r="S150" s="677">
        <f t="shared" si="76"/>
        <v>1.0100974813414865</v>
      </c>
      <c r="T150" s="680">
        <f t="shared" si="77"/>
        <v>0.14151495420898857</v>
      </c>
      <c r="U150" s="681">
        <f t="shared" si="89"/>
        <v>0.98630852912486566</v>
      </c>
      <c r="V150" s="682">
        <f t="shared" si="90"/>
        <v>-0.20133323315836507</v>
      </c>
      <c r="W150" s="683">
        <f t="shared" si="78"/>
        <v>-2.1799955228652781</v>
      </c>
      <c r="X150" s="684">
        <f t="shared" si="79"/>
        <v>-114.15547949962462</v>
      </c>
      <c r="Y150" s="687">
        <f t="shared" si="80"/>
        <v>65.844520500375381</v>
      </c>
      <c r="AA150" s="170">
        <f t="shared" si="81"/>
        <v>8511.4</v>
      </c>
      <c r="AB150" s="170">
        <f t="shared" si="82"/>
        <v>72443929.959999993</v>
      </c>
      <c r="AD150" s="686">
        <f t="shared" si="83"/>
        <v>26.850871820213669</v>
      </c>
      <c r="AE150" s="687">
        <f t="shared" si="84"/>
        <v>-11.00100087542112</v>
      </c>
      <c r="AG150" s="686">
        <f t="shared" si="85"/>
        <v>16.38960928531581</v>
      </c>
      <c r="AH150" s="687">
        <f t="shared" si="86"/>
        <v>-80.083389526445572</v>
      </c>
      <c r="AJ150" s="170">
        <f t="shared" si="87"/>
        <v>0</v>
      </c>
      <c r="AK150" s="170">
        <f t="shared" si="65"/>
        <v>0</v>
      </c>
      <c r="AM150" s="170" t="str">
        <f t="shared" si="91"/>
        <v>0.041621702470675+0.285501381476154i</v>
      </c>
      <c r="AN150" s="170" t="str">
        <f t="shared" si="92"/>
        <v>0.28952954356189i</v>
      </c>
      <c r="AO150" s="170" t="str">
        <f t="shared" si="93"/>
        <v>0.986087215708006-0.143756322614372i</v>
      </c>
      <c r="AP150" s="170" t="str">
        <f t="shared" si="94"/>
        <v>0.159729716254887-0.047583563579359i</v>
      </c>
      <c r="AQ150" s="170" t="str">
        <f t="shared" si="95"/>
        <v>0.840270283745113+0.047583563579359i</v>
      </c>
      <c r="AR150" s="170" t="str">
        <f t="shared" si="96"/>
        <v>0.988178763172996-0.0559594548502181i</v>
      </c>
    </row>
    <row r="151" spans="7:44">
      <c r="G151" s="691">
        <v>8560.9500000000007</v>
      </c>
      <c r="H151" s="676">
        <f t="shared" si="88"/>
        <v>8.5609500000000001</v>
      </c>
      <c r="I151" s="677">
        <f t="shared" si="66"/>
        <v>44.09371602088045</v>
      </c>
      <c r="J151" s="678">
        <f t="shared" si="67"/>
        <v>1.5481154136694146</v>
      </c>
      <c r="K151" s="678">
        <f t="shared" si="68"/>
        <v>1.0000127828176208</v>
      </c>
      <c r="L151" s="679">
        <f t="shared" si="69"/>
        <v>5.0562202197637039E-3</v>
      </c>
      <c r="M151" s="678">
        <f t="shared" si="70"/>
        <v>1.0015938049038053</v>
      </c>
      <c r="N151" s="679">
        <f t="shared" si="71"/>
        <v>-5.6421466371680148E-2</v>
      </c>
      <c r="O151" s="677">
        <f t="shared" si="72"/>
        <v>161370.10558520351</v>
      </c>
      <c r="P151" s="680">
        <f t="shared" si="73"/>
        <v>1.5707901298602389</v>
      </c>
      <c r="Q151" s="689">
        <f t="shared" si="97"/>
        <v>19.927419893639751</v>
      </c>
      <c r="R151" s="690">
        <f t="shared" si="98"/>
        <v>1.5205931299410025</v>
      </c>
      <c r="S151" s="677">
        <f t="shared" si="76"/>
        <v>1.0102147944758717</v>
      </c>
      <c r="T151" s="680">
        <f t="shared" si="77"/>
        <v>0.14232774875803395</v>
      </c>
      <c r="U151" s="681">
        <f t="shared" si="89"/>
        <v>0.98615627326745958</v>
      </c>
      <c r="V151" s="682">
        <f t="shared" si="90"/>
        <v>-0.20248986018949536</v>
      </c>
      <c r="W151" s="683">
        <f t="shared" si="78"/>
        <v>-2.2327053091899165</v>
      </c>
      <c r="X151" s="684">
        <f t="shared" si="79"/>
        <v>-114.27616128521863</v>
      </c>
      <c r="Y151" s="687">
        <f t="shared" si="80"/>
        <v>65.723838714781365</v>
      </c>
      <c r="AA151" s="170">
        <f t="shared" si="81"/>
        <v>8560.9500000000007</v>
      </c>
      <c r="AB151" s="170">
        <f t="shared" si="82"/>
        <v>73289864.902500018</v>
      </c>
      <c r="AD151" s="686">
        <f t="shared" si="83"/>
        <v>26.849735390182161</v>
      </c>
      <c r="AE151" s="687">
        <f t="shared" si="84"/>
        <v>-11.030855563629057</v>
      </c>
      <c r="AG151" s="686">
        <f t="shared" si="85"/>
        <v>16.340717807199066</v>
      </c>
      <c r="AH151" s="687">
        <f t="shared" si="86"/>
        <v>-80.041676928971171</v>
      </c>
      <c r="AJ151" s="170">
        <f t="shared" si="87"/>
        <v>0</v>
      </c>
      <c r="AK151" s="170">
        <f t="shared" ref="AK151:AK214" si="99">IF(AJ151&gt;0,Y151,0)</f>
        <v>0</v>
      </c>
      <c r="AM151" s="170" t="str">
        <f t="shared" si="91"/>
        <v>0.042104283716764+0.287116347020203i</v>
      </c>
      <c r="AN151" s="170" t="str">
        <f t="shared" si="92"/>
        <v>0.291215069901093i</v>
      </c>
      <c r="AO151" s="170" t="str">
        <f t="shared" si="93"/>
        <v>0.985925443754397-0.144581404152828i</v>
      </c>
      <c r="AP151" s="170" t="str">
        <f t="shared" si="94"/>
        <v>0.159649286047206-0.0478527245033672i</v>
      </c>
      <c r="AQ151" s="170" t="str">
        <f t="shared" si="95"/>
        <v>0.840350713952794+0.0478527245033672i</v>
      </c>
      <c r="AR151" s="170" t="str">
        <f t="shared" si="96"/>
        <v>0.988048963338985-0.0562632173132824i</v>
      </c>
    </row>
    <row r="152" spans="7:44">
      <c r="G152" s="691">
        <v>8610.5</v>
      </c>
      <c r="H152" s="676">
        <f t="shared" si="88"/>
        <v>8.6105</v>
      </c>
      <c r="I152" s="677">
        <f t="shared" si="66"/>
        <v>44.34879555266545</v>
      </c>
      <c r="J152" s="678">
        <f t="shared" si="67"/>
        <v>1.5482458889245174</v>
      </c>
      <c r="K152" s="678">
        <f t="shared" si="68"/>
        <v>1.0000129312164561</v>
      </c>
      <c r="L152" s="679">
        <f t="shared" si="69"/>
        <v>5.0854846594280542E-3</v>
      </c>
      <c r="M152" s="678">
        <f t="shared" si="70"/>
        <v>1.0016122929995104</v>
      </c>
      <c r="N152" s="679">
        <f t="shared" si="71"/>
        <v>-5.6747330071126673E-2</v>
      </c>
      <c r="O152" s="677">
        <f t="shared" si="72"/>
        <v>162304.10108003067</v>
      </c>
      <c r="P152" s="680">
        <f t="shared" si="73"/>
        <v>1.5707901655211312</v>
      </c>
      <c r="Q152" s="689">
        <f t="shared" si="97"/>
        <v>20.042468371750918</v>
      </c>
      <c r="R152" s="690">
        <f t="shared" si="98"/>
        <v>1.5208815483506921</v>
      </c>
      <c r="S152" s="677">
        <f t="shared" si="76"/>
        <v>1.0103327748382449</v>
      </c>
      <c r="T152" s="680">
        <f t="shared" si="77"/>
        <v>0.14314035401765066</v>
      </c>
      <c r="U152" s="681">
        <f t="shared" si="89"/>
        <v>0.9860032008105496</v>
      </c>
      <c r="V152" s="682">
        <f t="shared" si="90"/>
        <v>-0.20364622389767301</v>
      </c>
      <c r="W152" s="683">
        <f t="shared" si="78"/>
        <v>-2.2851344612841409</v>
      </c>
      <c r="X152" s="684">
        <f t="shared" si="79"/>
        <v>-114.39692135005347</v>
      </c>
      <c r="Y152" s="687">
        <f t="shared" si="80"/>
        <v>65.603078649946525</v>
      </c>
      <c r="AA152" s="170">
        <f t="shared" si="81"/>
        <v>8610.5</v>
      </c>
      <c r="AB152" s="170">
        <f t="shared" si="82"/>
        <v>74140710.25</v>
      </c>
      <c r="AD152" s="686">
        <f t="shared" si="83"/>
        <v>26.848595535764264</v>
      </c>
      <c r="AE152" s="687">
        <f t="shared" si="84"/>
        <v>-11.060891301059074</v>
      </c>
      <c r="AG152" s="686">
        <f t="shared" si="85"/>
        <v>16.292125188949516</v>
      </c>
      <c r="AH152" s="687">
        <f t="shared" si="86"/>
        <v>-79.999891736103251</v>
      </c>
      <c r="AJ152" s="170">
        <f t="shared" si="87"/>
        <v>0</v>
      </c>
      <c r="AK152" s="170">
        <f t="shared" si="99"/>
        <v>0</v>
      </c>
      <c r="AM152" s="170" t="str">
        <f t="shared" si="91"/>
        <v>0.042589586343019+0.288730496867178i</v>
      </c>
      <c r="AN152" s="170" t="str">
        <f t="shared" si="92"/>
        <v>0.292900596240296i</v>
      </c>
      <c r="AO152" s="170" t="str">
        <f t="shared" si="93"/>
        <v>0.985762748773318-0.145406280798686i</v>
      </c>
      <c r="AP152" s="170" t="str">
        <f t="shared" si="94"/>
        <v>0.159568402276164-0.048121749477863i</v>
      </c>
      <c r="AQ152" s="170" t="str">
        <f t="shared" si="95"/>
        <v>0.840431597723836+0.048121749477863i</v>
      </c>
      <c r="AR152" s="170" t="str">
        <f t="shared" si="96"/>
        <v>0.98791849096373-0.0565666096508746i</v>
      </c>
    </row>
    <row r="153" spans="7:44">
      <c r="G153" s="691">
        <v>8660.0499999999993</v>
      </c>
      <c r="H153" s="676">
        <f t="shared" si="88"/>
        <v>8.66005</v>
      </c>
      <c r="I153" s="677">
        <f t="shared" si="66"/>
        <v>44.603875830799936</v>
      </c>
      <c r="J153" s="678">
        <f t="shared" si="67"/>
        <v>1.5483748718601644</v>
      </c>
      <c r="K153" s="678">
        <f t="shared" si="68"/>
        <v>1.0000130804717093</v>
      </c>
      <c r="L153" s="679">
        <f t="shared" si="69"/>
        <v>5.1147490903818383E-3</v>
      </c>
      <c r="M153" s="678">
        <f t="shared" si="70"/>
        <v>1.0016308874496378</v>
      </c>
      <c r="N153" s="679">
        <f t="shared" si="71"/>
        <v>-5.7073181706392508E-2</v>
      </c>
      <c r="O153" s="677">
        <f t="shared" si="72"/>
        <v>163238.09657485801</v>
      </c>
      <c r="P153" s="680">
        <f t="shared" si="73"/>
        <v>1.5707902007739432</v>
      </c>
      <c r="Q153" s="689">
        <f t="shared" si="97"/>
        <v>20.15751849806691</v>
      </c>
      <c r="R153" s="690">
        <f t="shared" si="98"/>
        <v>1.5211666744565511</v>
      </c>
      <c r="S153" s="677">
        <f t="shared" si="76"/>
        <v>1.0104514221948897</v>
      </c>
      <c r="T153" s="680">
        <f t="shared" si="77"/>
        <v>0.14395276898116099</v>
      </c>
      <c r="U153" s="681">
        <f t="shared" si="89"/>
        <v>0.9858493128702458</v>
      </c>
      <c r="V153" s="682">
        <f t="shared" si="90"/>
        <v>-0.20480232292339692</v>
      </c>
      <c r="W153" s="683">
        <f t="shared" si="78"/>
        <v>-2.3372863479645556</v>
      </c>
      <c r="X153" s="684">
        <f t="shared" si="79"/>
        <v>-114.51775776393622</v>
      </c>
      <c r="Y153" s="687">
        <f t="shared" si="80"/>
        <v>65.482242236063783</v>
      </c>
      <c r="AA153" s="170">
        <f t="shared" si="81"/>
        <v>8660.0499999999993</v>
      </c>
      <c r="AB153" s="170">
        <f t="shared" si="82"/>
        <v>74996466.002499983</v>
      </c>
      <c r="AD153" s="686">
        <f t="shared" si="83"/>
        <v>26.847452210969351</v>
      </c>
      <c r="AE153" s="687">
        <f t="shared" si="84"/>
        <v>-11.091104747058649</v>
      </c>
      <c r="AG153" s="686">
        <f t="shared" si="85"/>
        <v>16.243828094903613</v>
      </c>
      <c r="AH153" s="687">
        <f t="shared" si="86"/>
        <v>-79.958035514088706</v>
      </c>
      <c r="AJ153" s="170">
        <f t="shared" si="87"/>
        <v>0</v>
      </c>
      <c r="AK153" s="170">
        <f t="shared" si="99"/>
        <v>0</v>
      </c>
      <c r="AM153" s="170" t="str">
        <f t="shared" si="91"/>
        <v>0.043077608970696+0.290343826431283i</v>
      </c>
      <c r="AN153" s="170" t="str">
        <f t="shared" si="92"/>
        <v>0.294586122579499i</v>
      </c>
      <c r="AO153" s="170" t="str">
        <f t="shared" si="93"/>
        <v>0.985599131041649-0.146230951388658i</v>
      </c>
      <c r="AP153" s="170" t="str">
        <f t="shared" si="94"/>
        <v>0.159487065171551-0.0483906377385472i</v>
      </c>
      <c r="AQ153" s="170" t="str">
        <f t="shared" si="95"/>
        <v>0.840512934828449+0.0483906377385472i</v>
      </c>
      <c r="AR153" s="170" t="str">
        <f t="shared" si="96"/>
        <v>0.987787347379056-0.0568696300902215i</v>
      </c>
    </row>
    <row r="154" spans="7:44">
      <c r="G154" s="691">
        <v>8709.6</v>
      </c>
      <c r="H154" s="676">
        <f t="shared" si="88"/>
        <v>8.7096</v>
      </c>
      <c r="I154" s="677">
        <f t="shared" si="66"/>
        <v>44.858956842552089</v>
      </c>
      <c r="J154" s="678">
        <f t="shared" si="67"/>
        <v>1.5485023879293078</v>
      </c>
      <c r="K154" s="678">
        <f t="shared" si="68"/>
        <v>1.0000132305833807</v>
      </c>
      <c r="L154" s="679">
        <f t="shared" si="69"/>
        <v>5.1440135125749376E-3</v>
      </c>
      <c r="M154" s="678">
        <f t="shared" si="70"/>
        <v>1.001649588248265</v>
      </c>
      <c r="N154" s="679">
        <f t="shared" si="71"/>
        <v>-5.7399021208954105E-2</v>
      </c>
      <c r="O154" s="677">
        <f t="shared" si="72"/>
        <v>164172.0920696856</v>
      </c>
      <c r="P154" s="680">
        <f t="shared" si="73"/>
        <v>1.57079023562564</v>
      </c>
      <c r="Q154" s="689">
        <f t="shared" si="97"/>
        <v>20.27257024452625</v>
      </c>
      <c r="R154" s="690">
        <f t="shared" si="98"/>
        <v>1.5214485642656852</v>
      </c>
      <c r="S154" s="677">
        <f t="shared" si="76"/>
        <v>1.010570736310878</v>
      </c>
      <c r="T154" s="680">
        <f t="shared" si="77"/>
        <v>0.1447649926433634</v>
      </c>
      <c r="U154" s="681">
        <f t="shared" si="89"/>
        <v>0.98569461056768992</v>
      </c>
      <c r="V154" s="682">
        <f t="shared" si="90"/>
        <v>-0.20595815590986744</v>
      </c>
      <c r="W154" s="683">
        <f t="shared" si="78"/>
        <v>-2.38916427971628</v>
      </c>
      <c r="X154" s="684">
        <f t="shared" si="79"/>
        <v>-114.6386686373859</v>
      </c>
      <c r="Y154" s="687">
        <f t="shared" si="80"/>
        <v>65.361331362614095</v>
      </c>
      <c r="AA154" s="170">
        <f t="shared" si="81"/>
        <v>8709.6</v>
      </c>
      <c r="AB154" s="170">
        <f t="shared" si="82"/>
        <v>75857132.160000011</v>
      </c>
      <c r="AD154" s="686">
        <f t="shared" si="83"/>
        <v>26.846305371240927</v>
      </c>
      <c r="AE154" s="687">
        <f t="shared" si="84"/>
        <v>-11.121492635462232</v>
      </c>
      <c r="AG154" s="686">
        <f t="shared" si="85"/>
        <v>16.195823246234141</v>
      </c>
      <c r="AH154" s="687">
        <f t="shared" si="86"/>
        <v>-79.916109795089909</v>
      </c>
      <c r="AJ154" s="170">
        <f t="shared" si="87"/>
        <v>0</v>
      </c>
      <c r="AK154" s="170">
        <f t="shared" si="99"/>
        <v>0</v>
      </c>
      <c r="AM154" s="170" t="str">
        <f t="shared" si="91"/>
        <v>0.0435683502133239+0.291956331129052i</v>
      </c>
      <c r="AN154" s="170" t="str">
        <f t="shared" si="92"/>
        <v>0.296271648918702i</v>
      </c>
      <c r="AO154" s="170" t="str">
        <f t="shared" si="93"/>
        <v>0.985434590837836-0.147055414759848i</v>
      </c>
      <c r="AP154" s="170" t="str">
        <f t="shared" si="94"/>
        <v>0.159405274964446-0.0486593885215087i</v>
      </c>
      <c r="AQ154" s="170" t="str">
        <f t="shared" si="95"/>
        <v>0.840594725035554+0.0486593885215087i</v>
      </c>
      <c r="AR154" s="170" t="str">
        <f t="shared" si="96"/>
        <v>0.987655533922458-0.0571722768644763i</v>
      </c>
    </row>
    <row r="155" spans="7:44">
      <c r="G155" s="691">
        <v>8760.3250000000007</v>
      </c>
      <c r="H155" s="676">
        <f t="shared" si="88"/>
        <v>8.7603249999999999</v>
      </c>
      <c r="I155" s="677">
        <f t="shared" si="66"/>
        <v>45.120087444599307</v>
      </c>
      <c r="J155" s="678">
        <f t="shared" si="67"/>
        <v>1.5486314343546779</v>
      </c>
      <c r="K155" s="678">
        <f t="shared" si="68"/>
        <v>1.0000133851418342</v>
      </c>
      <c r="L155" s="679">
        <f t="shared" si="69"/>
        <v>5.1739718851984947E-3</v>
      </c>
      <c r="M155" s="678">
        <f t="shared" si="70"/>
        <v>1.0016688426618108</v>
      </c>
      <c r="N155" s="679">
        <f t="shared" si="71"/>
        <v>-5.7732574841546459E-2</v>
      </c>
      <c r="O155" s="677">
        <f t="shared" si="72"/>
        <v>165128.23579269546</v>
      </c>
      <c r="P155" s="680">
        <f t="shared" si="73"/>
        <v>1.5707902708954</v>
      </c>
      <c r="Q155" s="689">
        <f t="shared" si="97"/>
        <v>20.390351911056694</v>
      </c>
      <c r="R155" s="690">
        <f t="shared" si="98"/>
        <v>1.5217338434725451</v>
      </c>
      <c r="S155" s="677">
        <f t="shared" si="76"/>
        <v>1.0106935701896895</v>
      </c>
      <c r="T155" s="680">
        <f t="shared" si="77"/>
        <v>0.1455962776994211</v>
      </c>
      <c r="U155" s="681">
        <f t="shared" si="89"/>
        <v>0.98553539736191298</v>
      </c>
      <c r="V155" s="682">
        <f t="shared" si="90"/>
        <v>-0.20714112065949686</v>
      </c>
      <c r="W155" s="683">
        <f t="shared" si="78"/>
        <v>-2.4419920345491519</v>
      </c>
      <c r="X155" s="684">
        <f t="shared" si="79"/>
        <v>-114.76252191916214</v>
      </c>
      <c r="Y155" s="687">
        <f t="shared" si="80"/>
        <v>65.23747808083786</v>
      </c>
      <c r="AA155" s="170">
        <f t="shared" si="81"/>
        <v>8760.3250000000007</v>
      </c>
      <c r="AB155" s="170">
        <f t="shared" si="82"/>
        <v>76743294.105625018</v>
      </c>
      <c r="AD155" s="686">
        <f t="shared" si="83"/>
        <v>26.845127650008038</v>
      </c>
      <c r="AE155" s="687">
        <f t="shared" si="84"/>
        <v>-11.15277848705486</v>
      </c>
      <c r="AG155" s="686">
        <f t="shared" si="85"/>
        <v>16.146979396248948</v>
      </c>
      <c r="AH155" s="687">
        <f t="shared" si="86"/>
        <v>-79.873119450185627</v>
      </c>
      <c r="AJ155" s="170">
        <f t="shared" si="87"/>
        <v>0</v>
      </c>
      <c r="AK155" s="170">
        <f t="shared" si="99"/>
        <v>0</v>
      </c>
      <c r="AM155" s="170" t="str">
        <f t="shared" si="91"/>
        <v>0.044073543234709+0.293606214607519i</v>
      </c>
      <c r="AN155" s="170" t="str">
        <f t="shared" si="92"/>
        <v>0.297997144853234i</v>
      </c>
      <c r="AO155" s="170" t="str">
        <f t="shared" si="93"/>
        <v>0.985265193571309-0.147899213116339i</v>
      </c>
      <c r="AP155" s="170" t="str">
        <f t="shared" si="94"/>
        <v>0.159321076127549-0.0489343691012532i</v>
      </c>
      <c r="AQ155" s="170" t="str">
        <f t="shared" si="95"/>
        <v>0.840678923872451+0.0489343691012532i</v>
      </c>
      <c r="AR155" s="170" t="str">
        <f t="shared" si="96"/>
        <v>0.987519902232517-0.0574817115291583i</v>
      </c>
    </row>
    <row r="156" spans="7:44">
      <c r="G156" s="691">
        <v>8811.0499999999993</v>
      </c>
      <c r="H156" s="676">
        <f t="shared" si="88"/>
        <v>8.8110499999999998</v>
      </c>
      <c r="I156" s="677">
        <f t="shared" si="66"/>
        <v>45.381218789383261</v>
      </c>
      <c r="J156" s="678">
        <f t="shared" si="67"/>
        <v>1.5487589956714611</v>
      </c>
      <c r="K156" s="678">
        <f t="shared" si="68"/>
        <v>1.0000135405978039</v>
      </c>
      <c r="L156" s="679">
        <f t="shared" si="69"/>
        <v>5.2039302485346493E-3</v>
      </c>
      <c r="M156" s="678">
        <f t="shared" si="70"/>
        <v>1.0016882085147629</v>
      </c>
      <c r="N156" s="679">
        <f t="shared" si="71"/>
        <v>-5.8066115613918876E-2</v>
      </c>
      <c r="O156" s="677">
        <f t="shared" si="72"/>
        <v>166084.37951570554</v>
      </c>
      <c r="P156" s="680">
        <f t="shared" si="73"/>
        <v>1.5707903057590658</v>
      </c>
      <c r="Q156" s="689">
        <f t="shared" si="97"/>
        <v>20.508135217979021</v>
      </c>
      <c r="R156" s="690">
        <f t="shared" si="98"/>
        <v>1.5220158458436583</v>
      </c>
      <c r="S156" s="677">
        <f t="shared" si="76"/>
        <v>1.0108171023229495</v>
      </c>
      <c r="T156" s="680">
        <f t="shared" si="77"/>
        <v>0.14642736014668747</v>
      </c>
      <c r="U156" s="681">
        <f t="shared" si="89"/>
        <v>0.98537533310711356</v>
      </c>
      <c r="V156" s="682">
        <f t="shared" si="90"/>
        <v>-0.20832380373404832</v>
      </c>
      <c r="W156" s="683">
        <f t="shared" si="78"/>
        <v>-2.4945395269979591</v>
      </c>
      <c r="X156" s="684">
        <f t="shared" si="79"/>
        <v>-114.88644935234933</v>
      </c>
      <c r="Y156" s="687">
        <f t="shared" si="80"/>
        <v>65.113550647650669</v>
      </c>
      <c r="AA156" s="170">
        <f t="shared" si="81"/>
        <v>8811.0499999999993</v>
      </c>
      <c r="AB156" s="170">
        <f t="shared" si="82"/>
        <v>77634602.102499992</v>
      </c>
      <c r="AD156" s="686">
        <f t="shared" si="83"/>
        <v>26.843946155066497</v>
      </c>
      <c r="AE156" s="687">
        <f t="shared" si="84"/>
        <v>-11.184240455610013</v>
      </c>
      <c r="AG156" s="686">
        <f t="shared" si="85"/>
        <v>16.098435039384761</v>
      </c>
      <c r="AH156" s="687">
        <f t="shared" si="86"/>
        <v>-79.830059417316065</v>
      </c>
      <c r="AJ156" s="170">
        <f t="shared" si="87"/>
        <v>0</v>
      </c>
      <c r="AK156" s="170">
        <f t="shared" si="99"/>
        <v>0</v>
      </c>
      <c r="AM156" s="170" t="str">
        <f t="shared" si="91"/>
        <v>0.044581582369852+0.295255223921786i</v>
      </c>
      <c r="AN156" s="170" t="str">
        <f t="shared" si="92"/>
        <v>0.299722640787766i</v>
      </c>
      <c r="AO156" s="170" t="str">
        <f t="shared" si="93"/>
        <v>0.985094830159516-0.148742791844745i</v>
      </c>
      <c r="AP156" s="170" t="str">
        <f t="shared" si="94"/>
        <v>0.159236402938358-0.0492092039869643i</v>
      </c>
      <c r="AQ156" s="170" t="str">
        <f t="shared" si="95"/>
        <v>0.840763597061642+0.0492092039869643i</v>
      </c>
      <c r="AR156" s="170" t="str">
        <f t="shared" si="96"/>
        <v>0.987383571378712-0.0577907508688082i</v>
      </c>
    </row>
    <row r="157" spans="7:44">
      <c r="G157" s="691">
        <v>8861.7749999999996</v>
      </c>
      <c r="H157" s="676">
        <f t="shared" si="88"/>
        <v>8.8617749999999997</v>
      </c>
      <c r="I157" s="677">
        <f t="shared" si="66"/>
        <v>45.642350864155809</v>
      </c>
      <c r="J157" s="678">
        <f t="shared" si="67"/>
        <v>1.5488850973655779</v>
      </c>
      <c r="K157" s="678">
        <f t="shared" si="68"/>
        <v>1.0000136969512887</v>
      </c>
      <c r="L157" s="679">
        <f t="shared" si="69"/>
        <v>5.2338886025296329E-3</v>
      </c>
      <c r="M157" s="678">
        <f t="shared" si="70"/>
        <v>1.0017076858006582</v>
      </c>
      <c r="N157" s="679">
        <f t="shared" si="71"/>
        <v>-5.8399643452606967E-2</v>
      </c>
      <c r="O157" s="677">
        <f t="shared" si="72"/>
        <v>167040.52323871577</v>
      </c>
      <c r="P157" s="680">
        <f t="shared" si="73"/>
        <v>1.5707903402236107</v>
      </c>
      <c r="Q157" s="689">
        <f t="shared" si="97"/>
        <v>20.625920137191116</v>
      </c>
      <c r="R157" s="690">
        <f t="shared" si="98"/>
        <v>1.5222946274711822</v>
      </c>
      <c r="S157" s="677">
        <f t="shared" si="76"/>
        <v>1.0109413324546881</v>
      </c>
      <c r="T157" s="680">
        <f t="shared" si="77"/>
        <v>0.1472582389115934</v>
      </c>
      <c r="U157" s="681">
        <f t="shared" si="89"/>
        <v>0.98521441902233231</v>
      </c>
      <c r="V157" s="682">
        <f t="shared" si="90"/>
        <v>-0.20950620368676104</v>
      </c>
      <c r="W157" s="683">
        <f t="shared" si="78"/>
        <v>-2.5468101273313981</v>
      </c>
      <c r="X157" s="684">
        <f t="shared" si="79"/>
        <v>-115.01044903512837</v>
      </c>
      <c r="Y157" s="687">
        <f t="shared" si="80"/>
        <v>64.989550964871626</v>
      </c>
      <c r="AA157" s="170">
        <f t="shared" si="81"/>
        <v>8861.7749999999996</v>
      </c>
      <c r="AB157" s="170">
        <f t="shared" si="82"/>
        <v>78531056.15062499</v>
      </c>
      <c r="AD157" s="686">
        <f t="shared" si="83"/>
        <v>26.842760842978755</v>
      </c>
      <c r="AE157" s="687">
        <f t="shared" si="84"/>
        <v>-11.21587526617239</v>
      </c>
      <c r="AG157" s="686">
        <f t="shared" si="85"/>
        <v>16.050186834775001</v>
      </c>
      <c r="AH157" s="687">
        <f t="shared" si="86"/>
        <v>-79.786931235404097</v>
      </c>
      <c r="AJ157" s="170">
        <f t="shared" si="87"/>
        <v>0</v>
      </c>
      <c r="AK157" s="170">
        <f t="shared" si="99"/>
        <v>0</v>
      </c>
      <c r="AM157" s="170" t="str">
        <f t="shared" si="91"/>
        <v>0.045092466106149+0.296903354162198i</v>
      </c>
      <c r="AN157" s="170" t="str">
        <f t="shared" si="92"/>
        <v>0.301448136722298i</v>
      </c>
      <c r="AO157" s="170" t="str">
        <f t="shared" si="93"/>
        <v>0.984923500906271-0.149586149698744i</v>
      </c>
      <c r="AP157" s="170" t="str">
        <f t="shared" si="94"/>
        <v>0.159151255648975-0.0494838923603663i</v>
      </c>
      <c r="AQ157" s="170" t="str">
        <f t="shared" si="95"/>
        <v>0.840848744351025+0.0494838923603663i</v>
      </c>
      <c r="AR157" s="170" t="str">
        <f t="shared" si="96"/>
        <v>0.987246542814215-0.0580993930073207i</v>
      </c>
    </row>
    <row r="158" spans="7:44">
      <c r="G158" s="688">
        <v>8912.5</v>
      </c>
      <c r="H158" s="676">
        <f t="shared" si="88"/>
        <v>8.9124999999999996</v>
      </c>
      <c r="I158" s="677">
        <f t="shared" si="66"/>
        <v>45.903483656458853</v>
      </c>
      <c r="J158" s="678">
        <f t="shared" si="67"/>
        <v>1.5490097643432068</v>
      </c>
      <c r="K158" s="678">
        <f t="shared" si="68"/>
        <v>1.0000138542022885</v>
      </c>
      <c r="L158" s="679">
        <f t="shared" si="69"/>
        <v>5.2638469471296707E-3</v>
      </c>
      <c r="M158" s="678">
        <f t="shared" si="70"/>
        <v>1.0017272745129966</v>
      </c>
      <c r="N158" s="679">
        <f t="shared" si="71"/>
        <v>-5.8733158284163499E-2</v>
      </c>
      <c r="O158" s="677">
        <f t="shared" si="72"/>
        <v>167996.66696172627</v>
      </c>
      <c r="P158" s="680">
        <f t="shared" si="73"/>
        <v>1.5707903742958496</v>
      </c>
      <c r="Q158" s="689">
        <f t="shared" ref="Q158:Q214" si="100">SQRT(1+(G158/Zero2)^2)</f>
        <v>20.743706641228727</v>
      </c>
      <c r="R158" s="690">
        <f t="shared" ref="R158:R214" si="101">ATAN(G158/Zero2)</f>
        <v>1.5225702431752968</v>
      </c>
      <c r="S158" s="677">
        <f t="shared" si="76"/>
        <v>1.0110662603276146</v>
      </c>
      <c r="T158" s="680">
        <f t="shared" si="77"/>
        <v>0.14808891292222068</v>
      </c>
      <c r="U158" s="681">
        <f t="shared" si="89"/>
        <v>0.98505265633203898</v>
      </c>
      <c r="V158" s="682">
        <f t="shared" si="90"/>
        <v>-0.21068831907389265</v>
      </c>
      <c r="W158" s="683">
        <f t="shared" si="78"/>
        <v>-2.5988071474364016</v>
      </c>
      <c r="X158" s="684">
        <f t="shared" si="79"/>
        <v>-115.13451910560178</v>
      </c>
      <c r="Y158" s="687">
        <f t="shared" si="80"/>
        <v>64.865480894398218</v>
      </c>
      <c r="AA158" s="170">
        <f t="shared" si="81"/>
        <v>8912.5</v>
      </c>
      <c r="AB158" s="170">
        <f t="shared" si="82"/>
        <v>79432656.25</v>
      </c>
      <c r="AD158" s="686">
        <f t="shared" si="83"/>
        <v>26.8415716716822</v>
      </c>
      <c r="AE158" s="687">
        <f t="shared" si="84"/>
        <v>-11.247679716751064</v>
      </c>
      <c r="AG158" s="686">
        <f t="shared" si="85"/>
        <v>16.002231498493764</v>
      </c>
      <c r="AH158" s="687">
        <f t="shared" si="86"/>
        <v>-79.743736409983839</v>
      </c>
      <c r="AJ158" s="170">
        <f t="shared" si="87"/>
        <v>0</v>
      </c>
      <c r="AK158" s="170">
        <f t="shared" si="99"/>
        <v>0</v>
      </c>
      <c r="AM158" s="170" t="str">
        <f t="shared" si="91"/>
        <v>0.045606192922529+0.298550600421721i</v>
      </c>
      <c r="AN158" s="170" t="str">
        <f t="shared" si="92"/>
        <v>0.303173632656831i</v>
      </c>
      <c r="AO158" s="170" t="str">
        <f t="shared" si="93"/>
        <v>0.984751206117113-0.150429285432456i</v>
      </c>
      <c r="AP158" s="170" t="str">
        <f t="shared" si="94"/>
        <v>0.159065634512912-0.0497584334036202i</v>
      </c>
      <c r="AQ158" s="170" t="str">
        <f t="shared" si="95"/>
        <v>0.840934365487088+0.0497584334036202i</v>
      </c>
      <c r="AR158" s="170" t="str">
        <f t="shared" si="96"/>
        <v>0.987108817998276-0.0584076360751933i</v>
      </c>
    </row>
    <row r="159" spans="7:44">
      <c r="G159" s="688">
        <v>8964.4</v>
      </c>
      <c r="H159" s="676">
        <f t="shared" si="88"/>
        <v>8.9643999999999995</v>
      </c>
      <c r="I159" s="677">
        <f t="shared" si="66"/>
        <v>46.170666090121848</v>
      </c>
      <c r="J159" s="678">
        <f t="shared" si="67"/>
        <v>1.5491358595557656</v>
      </c>
      <c r="K159" s="678">
        <f t="shared" si="68"/>
        <v>1.0000140160248101</v>
      </c>
      <c r="L159" s="679">
        <f t="shared" si="69"/>
        <v>5.2944992406467172E-3</v>
      </c>
      <c r="M159" s="678">
        <f t="shared" si="70"/>
        <v>1.0017474323017859</v>
      </c>
      <c r="N159" s="679">
        <f t="shared" si="71"/>
        <v>-5.9074385154228359E-2</v>
      </c>
      <c r="O159" s="677">
        <f t="shared" si="72"/>
        <v>168974.95891291901</v>
      </c>
      <c r="P159" s="680">
        <f t="shared" si="73"/>
        <v>1.5707904087582454</v>
      </c>
      <c r="Q159" s="689">
        <f t="shared" si="100"/>
        <v>20.864223178332608</v>
      </c>
      <c r="R159" s="690">
        <f t="shared" si="101"/>
        <v>1.5228490223793676</v>
      </c>
      <c r="S159" s="677">
        <f t="shared" si="76"/>
        <v>1.0111948039473009</v>
      </c>
      <c r="T159" s="680">
        <f t="shared" si="77"/>
        <v>0.14893861572560554</v>
      </c>
      <c r="U159" s="681">
        <f t="shared" si="89"/>
        <v>0.98488626951513714</v>
      </c>
      <c r="V159" s="682">
        <f t="shared" si="90"/>
        <v>-0.21189752109185298</v>
      </c>
      <c r="W159" s="683">
        <f t="shared" si="78"/>
        <v>-2.6517288677549393</v>
      </c>
      <c r="X159" s="684">
        <f t="shared" si="79"/>
        <v>-115.26153410112639</v>
      </c>
      <c r="Y159" s="687">
        <f t="shared" si="80"/>
        <v>64.738465898873613</v>
      </c>
      <c r="AA159" s="170">
        <f t="shared" si="81"/>
        <v>8964.4</v>
      </c>
      <c r="AB159" s="170">
        <f t="shared" si="82"/>
        <v>80360467.359999999</v>
      </c>
      <c r="AD159" s="686">
        <f t="shared" si="83"/>
        <v>26.840350917464399</v>
      </c>
      <c r="AE159" s="687">
        <f t="shared" si="84"/>
        <v>-11.280393204003394</v>
      </c>
      <c r="AG159" s="686">
        <f t="shared" si="85"/>
        <v>15.953465075212225</v>
      </c>
      <c r="AH159" s="687">
        <f t="shared" si="86"/>
        <v>-79.699473573682099</v>
      </c>
      <c r="AJ159" s="170">
        <f t="shared" si="87"/>
        <v>0</v>
      </c>
      <c r="AK159" s="170">
        <f t="shared" si="99"/>
        <v>0</v>
      </c>
      <c r="AM159" s="170" t="str">
        <f t="shared" si="91"/>
        <v>0.046134760802314+0.300235083643369i</v>
      </c>
      <c r="AN159" s="170" t="str">
        <f t="shared" si="92"/>
        <v>0.304939098186692i</v>
      </c>
      <c r="AO159" s="170" t="str">
        <f t="shared" si="93"/>
        <v>0.98457392124757-0.15129172046698i</v>
      </c>
      <c r="AP159" s="170" t="str">
        <f t="shared" si="94"/>
        <v>0.158977539866281-0.0500391806072282i</v>
      </c>
      <c r="AQ159" s="170" t="str">
        <f t="shared" si="95"/>
        <v>0.841022460133719+0.0500391806072282i</v>
      </c>
      <c r="AR159" s="170" t="str">
        <f t="shared" si="96"/>
        <v>0.986967183806176-0.0587226043357181i</v>
      </c>
    </row>
    <row r="160" spans="7:44">
      <c r="G160" s="688">
        <v>9016.2999999999993</v>
      </c>
      <c r="H160" s="676">
        <f t="shared" si="88"/>
        <v>9.0162999999999993</v>
      </c>
      <c r="I160" s="677">
        <f t="shared" si="66"/>
        <v>46.437849249451034</v>
      </c>
      <c r="J160" s="678">
        <f t="shared" si="67"/>
        <v>1.5492605037764187</v>
      </c>
      <c r="K160" s="678">
        <f t="shared" si="68"/>
        <v>1.0000141787869077</v>
      </c>
      <c r="L160" s="679">
        <f t="shared" si="69"/>
        <v>5.3251515242146415E-3</v>
      </c>
      <c r="M160" s="678">
        <f t="shared" si="70"/>
        <v>1.0017677067251136</v>
      </c>
      <c r="N160" s="679">
        <f t="shared" si="71"/>
        <v>-5.9415598252080724E-2</v>
      </c>
      <c r="O160" s="677">
        <f t="shared" si="72"/>
        <v>169953.25086411199</v>
      </c>
      <c r="P160" s="680">
        <f t="shared" si="73"/>
        <v>1.5707904428238932</v>
      </c>
      <c r="Q160" s="689">
        <f t="shared" si="100"/>
        <v>20.984741318333878</v>
      </c>
      <c r="R160" s="690">
        <f t="shared" si="101"/>
        <v>1.5231245994730989</v>
      </c>
      <c r="S160" s="677">
        <f t="shared" si="76"/>
        <v>1.011324077458533</v>
      </c>
      <c r="T160" s="680">
        <f t="shared" si="77"/>
        <v>0.14978810191396416</v>
      </c>
      <c r="U160" s="681">
        <f t="shared" si="89"/>
        <v>0.98471899693365783</v>
      </c>
      <c r="V160" s="682">
        <f t="shared" si="90"/>
        <v>-0.21310642216002038</v>
      </c>
      <c r="W160" s="683">
        <f t="shared" si="78"/>
        <v>-2.7043710196290931</v>
      </c>
      <c r="X160" s="684">
        <f t="shared" si="79"/>
        <v>-115.38861896281539</v>
      </c>
      <c r="Y160" s="687">
        <f t="shared" si="80"/>
        <v>64.611381037184614</v>
      </c>
      <c r="AA160" s="170">
        <f t="shared" si="81"/>
        <v>9016.2999999999993</v>
      </c>
      <c r="AB160" s="170">
        <f t="shared" si="82"/>
        <v>81293665.689999983</v>
      </c>
      <c r="AD160" s="686">
        <f t="shared" si="83"/>
        <v>26.839126038301472</v>
      </c>
      <c r="AE160" s="687">
        <f t="shared" si="84"/>
        <v>-11.313277724805136</v>
      </c>
      <c r="AG160" s="686">
        <f t="shared" si="85"/>
        <v>15.904998467206152</v>
      </c>
      <c r="AH160" s="687">
        <f t="shared" si="86"/>
        <v>-79.655144056301367</v>
      </c>
      <c r="AJ160" s="170">
        <f t="shared" si="87"/>
        <v>0</v>
      </c>
      <c r="AK160" s="170">
        <f t="shared" si="99"/>
        <v>0</v>
      </c>
      <c r="AM160" s="170" t="str">
        <f t="shared" si="91"/>
        <v>0.04666630175388+0.301918631071975i</v>
      </c>
      <c r="AN160" s="170" t="str">
        <f t="shared" si="92"/>
        <v>0.306704563716553i</v>
      </c>
      <c r="AO160" s="170" t="str">
        <f t="shared" si="93"/>
        <v>0.984395626245063-0.152153920334252i</v>
      </c>
      <c r="AP160" s="170" t="str">
        <f t="shared" si="94"/>
        <v>0.158888949707687-0.0503197718453292i</v>
      </c>
      <c r="AQ160" s="170" t="str">
        <f t="shared" si="95"/>
        <v>0.841111050292313+0.0503197718453292i</v>
      </c>
      <c r="AR160" s="170" t="str">
        <f t="shared" si="96"/>
        <v>0.986824823842952-0.0590371508849244i</v>
      </c>
    </row>
    <row r="161" spans="7:44">
      <c r="G161" s="688">
        <v>9068.2000000000007</v>
      </c>
      <c r="H161" s="676">
        <f t="shared" si="88"/>
        <v>9.0682000000000009</v>
      </c>
      <c r="I161" s="677">
        <f t="shared" si="66"/>
        <v>46.705033121992564</v>
      </c>
      <c r="J161" s="678">
        <f t="shared" si="67"/>
        <v>1.5493837219031774</v>
      </c>
      <c r="K161" s="678">
        <f t="shared" si="68"/>
        <v>1.0000143424885806</v>
      </c>
      <c r="L161" s="679">
        <f t="shared" si="69"/>
        <v>5.3558037977758507E-3</v>
      </c>
      <c r="M161" s="678">
        <f t="shared" si="70"/>
        <v>1.0017880977758984</v>
      </c>
      <c r="N161" s="679">
        <f t="shared" si="71"/>
        <v>-5.9756797499106805E-2</v>
      </c>
      <c r="O161" s="677">
        <f t="shared" si="72"/>
        <v>170931.54281530518</v>
      </c>
      <c r="P161" s="680">
        <f t="shared" si="73"/>
        <v>1.5707904764996057</v>
      </c>
      <c r="Q161" s="689">
        <f t="shared" si="100"/>
        <v>21.105261033773303</v>
      </c>
      <c r="R161" s="690">
        <f t="shared" si="101"/>
        <v>1.5233970292703702</v>
      </c>
      <c r="S161" s="677">
        <f t="shared" si="76"/>
        <v>1.0114540805814489</v>
      </c>
      <c r="T161" s="680">
        <f t="shared" si="77"/>
        <v>0.15063737034456509</v>
      </c>
      <c r="U161" s="681">
        <f t="shared" si="89"/>
        <v>0.98455083991660652</v>
      </c>
      <c r="V161" s="682">
        <f t="shared" si="90"/>
        <v>-0.21431502074186418</v>
      </c>
      <c r="W161" s="683">
        <f t="shared" si="78"/>
        <v>-2.7567369692976751</v>
      </c>
      <c r="X161" s="684">
        <f t="shared" si="79"/>
        <v>-115.51577181899478</v>
      </c>
      <c r="Y161" s="687">
        <f t="shared" si="80"/>
        <v>64.484228181005221</v>
      </c>
      <c r="AA161" s="170">
        <f t="shared" si="81"/>
        <v>9068.2000000000007</v>
      </c>
      <c r="AB161" s="170">
        <f t="shared" si="82"/>
        <v>82232251.24000001</v>
      </c>
      <c r="AD161" s="686">
        <f t="shared" si="83"/>
        <v>26.837896993316512</v>
      </c>
      <c r="AE161" s="687">
        <f t="shared" si="84"/>
        <v>-11.346330073468978</v>
      </c>
      <c r="AG161" s="686">
        <f t="shared" si="85"/>
        <v>15.856828333796209</v>
      </c>
      <c r="AH161" s="687">
        <f t="shared" si="86"/>
        <v>-79.610749367928378</v>
      </c>
      <c r="AJ161" s="170">
        <f t="shared" si="87"/>
        <v>0</v>
      </c>
      <c r="AK161" s="170">
        <f t="shared" si="99"/>
        <v>0</v>
      </c>
      <c r="AM161" s="170" t="str">
        <f t="shared" si="91"/>
        <v>0.047200814120483+0.303601237460143i</v>
      </c>
      <c r="AN161" s="170" t="str">
        <f t="shared" si="92"/>
        <v>0.308470029246415i</v>
      </c>
      <c r="AO161" s="170" t="str">
        <f t="shared" si="93"/>
        <v>0.984216321442422-0.153015883701225i</v>
      </c>
      <c r="AP161" s="170" t="str">
        <f t="shared" si="94"/>
        <v>0.158799864313253-0.0506002062433572i</v>
      </c>
      <c r="AQ161" s="170" t="str">
        <f t="shared" si="95"/>
        <v>0.841200135686747+0.0506002062433572i</v>
      </c>
      <c r="AR161" s="170" t="str">
        <f t="shared" si="96"/>
        <v>0.986681739691173-0.0593512737419717i</v>
      </c>
    </row>
    <row r="162" spans="7:44">
      <c r="G162" s="688">
        <v>9120.1</v>
      </c>
      <c r="H162" s="676">
        <f t="shared" si="88"/>
        <v>9.1201000000000008</v>
      </c>
      <c r="I162" s="677">
        <f t="shared" si="66"/>
        <v>46.972217695575907</v>
      </c>
      <c r="J162" s="678">
        <f t="shared" si="67"/>
        <v>1.5495055382677352</v>
      </c>
      <c r="K162" s="678">
        <f t="shared" si="68"/>
        <v>1.0000145071298285</v>
      </c>
      <c r="L162" s="679">
        <f t="shared" si="69"/>
        <v>5.3864560612727477E-3</v>
      </c>
      <c r="M162" s="678">
        <f t="shared" si="70"/>
        <v>1.0018086054470188</v>
      </c>
      <c r="N162" s="679">
        <f t="shared" si="71"/>
        <v>-6.0097982816712033E-2</v>
      </c>
      <c r="O162" s="677">
        <f t="shared" si="72"/>
        <v>171909.8347664985</v>
      </c>
      <c r="P162" s="680">
        <f t="shared" si="73"/>
        <v>1.5707905097920394</v>
      </c>
      <c r="Q162" s="689">
        <f t="shared" si="100"/>
        <v>21.225782297814913</v>
      </c>
      <c r="R162" s="690">
        <f t="shared" si="101"/>
        <v>1.5236663653420091</v>
      </c>
      <c r="S162" s="677">
        <f t="shared" si="76"/>
        <v>1.0115848130347527</v>
      </c>
      <c r="T162" s="680">
        <f t="shared" si="77"/>
        <v>0.15148641987651904</v>
      </c>
      <c r="U162" s="681">
        <f t="shared" si="89"/>
        <v>0.98438179979883977</v>
      </c>
      <c r="V162" s="682">
        <f t="shared" si="90"/>
        <v>-0.21552331530422186</v>
      </c>
      <c r="W162" s="683">
        <f t="shared" si="78"/>
        <v>-2.8088300246909177</v>
      </c>
      <c r="X162" s="684">
        <f t="shared" si="79"/>
        <v>-115.64299083705529</v>
      </c>
      <c r="Y162" s="687">
        <f t="shared" si="80"/>
        <v>64.357009162944706</v>
      </c>
      <c r="AA162" s="170">
        <f t="shared" si="81"/>
        <v>9120.1</v>
      </c>
      <c r="AB162" s="170">
        <f t="shared" si="82"/>
        <v>83176224.010000005</v>
      </c>
      <c r="AD162" s="686">
        <f t="shared" si="83"/>
        <v>26.836663742948286</v>
      </c>
      <c r="AE162" s="687">
        <f t="shared" si="84"/>
        <v>-11.379547115625858</v>
      </c>
      <c r="AG162" s="686">
        <f t="shared" si="85"/>
        <v>15.808951391224319</v>
      </c>
      <c r="AH162" s="687">
        <f t="shared" si="86"/>
        <v>-79.566290986010358</v>
      </c>
      <c r="AJ162" s="170">
        <f t="shared" si="87"/>
        <v>0</v>
      </c>
      <c r="AK162" s="170">
        <f t="shared" si="99"/>
        <v>0</v>
      </c>
      <c r="AM162" s="170" t="str">
        <f t="shared" si="91"/>
        <v>0.04773829623612+0.305282897563412i</v>
      </c>
      <c r="AN162" s="170" t="str">
        <f t="shared" si="92"/>
        <v>0.310235494776276i</v>
      </c>
      <c r="AO162" s="170" t="str">
        <f t="shared" si="93"/>
        <v>0.984036007174371-0.153877609235352i</v>
      </c>
      <c r="AP162" s="170" t="str">
        <f t="shared" si="94"/>
        <v>0.158710283960647-0.0508804829272353i</v>
      </c>
      <c r="AQ162" s="170" t="str">
        <f t="shared" si="95"/>
        <v>0.841289716039353+0.0508804829272353i</v>
      </c>
      <c r="AR162" s="170" t="str">
        <f t="shared" si="96"/>
        <v>0.986537932939915-0.059664970933356i</v>
      </c>
    </row>
    <row r="163" spans="7:44">
      <c r="G163" s="688">
        <v>9173.2000000000007</v>
      </c>
      <c r="H163" s="676">
        <f t="shared" si="88"/>
        <v>9.1732000000000014</v>
      </c>
      <c r="I163" s="677">
        <f t="shared" si="66"/>
        <v>47.245580660299765</v>
      </c>
      <c r="J163" s="678">
        <f t="shared" si="67"/>
        <v>1.5496287452416924</v>
      </c>
      <c r="K163" s="678">
        <f t="shared" si="68"/>
        <v>1.0000146765502227</v>
      </c>
      <c r="L163" s="679">
        <f t="shared" si="69"/>
        <v>5.4178170371489455E-3</v>
      </c>
      <c r="M163" s="678">
        <f t="shared" si="70"/>
        <v>1.0018297079726199</v>
      </c>
      <c r="N163" s="679">
        <f t="shared" si="71"/>
        <v>-6.0447042313987585E-2</v>
      </c>
      <c r="O163" s="677">
        <f t="shared" si="72"/>
        <v>172910.74618477171</v>
      </c>
      <c r="P163" s="680">
        <f t="shared" si="73"/>
        <v>1.5707905434643514</v>
      </c>
      <c r="Q163" s="689">
        <f t="shared" si="100"/>
        <v>21.349091756050559</v>
      </c>
      <c r="R163" s="690">
        <f t="shared" si="101"/>
        <v>1.5239387815912304</v>
      </c>
      <c r="S163" s="677">
        <f t="shared" si="76"/>
        <v>1.0117193227288981</v>
      </c>
      <c r="T163" s="680">
        <f t="shared" si="77"/>
        <v>0.15235487287458321</v>
      </c>
      <c r="U163" s="681">
        <f t="shared" si="89"/>
        <v>0.98420793867273626</v>
      </c>
      <c r="V163" s="682">
        <f t="shared" si="90"/>
        <v>-0.21675923107288841</v>
      </c>
      <c r="W163" s="683">
        <f t="shared" si="78"/>
        <v>-2.861848502200127</v>
      </c>
      <c r="X163" s="684">
        <f t="shared" si="79"/>
        <v>-115.77321793805515</v>
      </c>
      <c r="Y163" s="687">
        <f t="shared" si="80"/>
        <v>64.226782061944846</v>
      </c>
      <c r="AA163" s="170">
        <f t="shared" si="81"/>
        <v>9173.2000000000007</v>
      </c>
      <c r="AB163" s="170">
        <f t="shared" si="82"/>
        <v>84147598.24000001</v>
      </c>
      <c r="AD163" s="686">
        <f t="shared" si="83"/>
        <v>26.835397585836485</v>
      </c>
      <c r="AE163" s="687">
        <f t="shared" si="84"/>
        <v>-11.413699435089635</v>
      </c>
      <c r="AG163" s="686">
        <f t="shared" si="85"/>
        <v>15.760267538630224</v>
      </c>
      <c r="AH163" s="687">
        <f t="shared" si="86"/>
        <v>-79.52074025262813</v>
      </c>
      <c r="AJ163" s="170">
        <f t="shared" si="87"/>
        <v>0</v>
      </c>
      <c r="AK163" s="170">
        <f t="shared" si="99"/>
        <v>0</v>
      </c>
      <c r="AM163" s="170" t="str">
        <f t="shared" si="91"/>
        <v>0.048291277476604+0.307002455157748i</v>
      </c>
      <c r="AN163" s="170" t="str">
        <f t="shared" si="92"/>
        <v>0.312041780318389i</v>
      </c>
      <c r="AO163" s="170" t="str">
        <f t="shared" si="93"/>
        <v>0.983850479395743-0.154759011525093i</v>
      </c>
      <c r="AP163" s="170" t="str">
        <f t="shared" si="94"/>
        <v>0.158618120420566-0.0511670758596247i</v>
      </c>
      <c r="AQ163" s="170" t="str">
        <f t="shared" si="95"/>
        <v>0.841381879579434+0.0511670758596247i</v>
      </c>
      <c r="AR163" s="170" t="str">
        <f t="shared" si="96"/>
        <v>0.986390054987258-0.0599854786460819i</v>
      </c>
    </row>
    <row r="164" spans="7:44">
      <c r="G164" s="688">
        <v>9226.2999999999993</v>
      </c>
      <c r="H164" s="676">
        <f t="shared" si="88"/>
        <v>9.2262999999999984</v>
      </c>
      <c r="I164" s="677">
        <f t="shared" si="66"/>
        <v>47.518944333958032</v>
      </c>
      <c r="J164" s="678">
        <f t="shared" si="67"/>
        <v>1.5497505346644815</v>
      </c>
      <c r="K164" s="678">
        <f t="shared" si="68"/>
        <v>1.0000148469541419</v>
      </c>
      <c r="L164" s="679">
        <f t="shared" si="69"/>
        <v>5.4491780023680787E-3</v>
      </c>
      <c r="M164" s="678">
        <f t="shared" si="70"/>
        <v>1.001850932558539</v>
      </c>
      <c r="N164" s="679">
        <f t="shared" si="71"/>
        <v>-6.0796087063878679E-2</v>
      </c>
      <c r="O164" s="677">
        <f t="shared" si="72"/>
        <v>173911.65760304502</v>
      </c>
      <c r="P164" s="680">
        <f t="shared" si="73"/>
        <v>1.5707905767490757</v>
      </c>
      <c r="Q164" s="689">
        <f t="shared" si="100"/>
        <v>21.472402780418683</v>
      </c>
      <c r="R164" s="690">
        <f t="shared" si="101"/>
        <v>1.5242080690136888</v>
      </c>
      <c r="S164" s="677">
        <f t="shared" si="76"/>
        <v>1.0118545952692855</v>
      </c>
      <c r="T164" s="680">
        <f t="shared" si="77"/>
        <v>0.15322309432430989</v>
      </c>
      <c r="U164" s="681">
        <f t="shared" si="89"/>
        <v>0.98403315598223129</v>
      </c>
      <c r="V164" s="682">
        <f t="shared" si="90"/>
        <v>-0.2179948253647857</v>
      </c>
      <c r="W164" s="683">
        <f t="shared" si="78"/>
        <v>-2.9145881443611938</v>
      </c>
      <c r="X164" s="684">
        <f t="shared" si="79"/>
        <v>-115.90351053536028</v>
      </c>
      <c r="Y164" s="687">
        <f t="shared" si="80"/>
        <v>64.096489464639717</v>
      </c>
      <c r="AA164" s="170">
        <f t="shared" si="81"/>
        <v>9226.2999999999993</v>
      </c>
      <c r="AB164" s="170">
        <f t="shared" si="82"/>
        <v>85124611.689999983</v>
      </c>
      <c r="AD164" s="686">
        <f t="shared" si="83"/>
        <v>26.834126946874331</v>
      </c>
      <c r="AE164" s="687">
        <f t="shared" si="84"/>
        <v>-11.448017734172319</v>
      </c>
      <c r="AG164" s="686">
        <f t="shared" si="85"/>
        <v>15.711883814299812</v>
      </c>
      <c r="AH164" s="687">
        <f t="shared" si="86"/>
        <v>-79.475125874456424</v>
      </c>
      <c r="AJ164" s="170">
        <f t="shared" si="87"/>
        <v>0</v>
      </c>
      <c r="AK164" s="170">
        <f t="shared" si="99"/>
        <v>0</v>
      </c>
      <c r="AM164" s="170" t="str">
        <f t="shared" si="91"/>
        <v>0.048847363825323+0.308721011105434i</v>
      </c>
      <c r="AN164" s="170" t="str">
        <f t="shared" si="92"/>
        <v>0.313848065860501i</v>
      </c>
      <c r="AO164" s="170" t="str">
        <f t="shared" si="93"/>
        <v>0.983663895646418-0.155640162036349i</v>
      </c>
      <c r="AP164" s="170" t="str">
        <f t="shared" si="94"/>
        <v>0.158525439362446-0.0514535018509057i</v>
      </c>
      <c r="AQ164" s="170" t="str">
        <f t="shared" si="95"/>
        <v>0.841474560637554+0.0514535018509057i</v>
      </c>
      <c r="AR164" s="170" t="str">
        <f t="shared" si="96"/>
        <v>0.986241424019783-0.0603055366258414i</v>
      </c>
    </row>
    <row r="165" spans="7:44">
      <c r="G165" s="688">
        <v>9279.4</v>
      </c>
      <c r="H165" s="676">
        <f t="shared" si="88"/>
        <v>9.279399999999999</v>
      </c>
      <c r="I165" s="677">
        <f t="shared" si="66"/>
        <v>47.792308704385761</v>
      </c>
      <c r="J165" s="678">
        <f t="shared" si="67"/>
        <v>1.5498709308569574</v>
      </c>
      <c r="K165" s="678">
        <f t="shared" si="68"/>
        <v>1.0000150183415852</v>
      </c>
      <c r="L165" s="679">
        <f t="shared" si="69"/>
        <v>5.4805389568684656E-3</v>
      </c>
      <c r="M165" s="678">
        <f t="shared" si="70"/>
        <v>1.0018722791970185</v>
      </c>
      <c r="N165" s="679">
        <f t="shared" si="71"/>
        <v>-6.1145116982275496E-2</v>
      </c>
      <c r="O165" s="677">
        <f t="shared" si="72"/>
        <v>174912.56902131857</v>
      </c>
      <c r="P165" s="680">
        <f t="shared" si="73"/>
        <v>1.5707906096528661</v>
      </c>
      <c r="Q165" s="689">
        <f t="shared" si="100"/>
        <v>21.595715344091541</v>
      </c>
      <c r="R165" s="690">
        <f t="shared" si="101"/>
        <v>1.5244742811672403</v>
      </c>
      <c r="S165" s="677">
        <f t="shared" si="76"/>
        <v>1.0119906303500057</v>
      </c>
      <c r="T165" s="680">
        <f t="shared" si="77"/>
        <v>0.15409108300987037</v>
      </c>
      <c r="U165" s="681">
        <f t="shared" si="89"/>
        <v>0.98385745317569839</v>
      </c>
      <c r="V165" s="682">
        <f t="shared" si="90"/>
        <v>-0.21923009654893649</v>
      </c>
      <c r="W165" s="683">
        <f t="shared" si="78"/>
        <v>-2.967052312979797</v>
      </c>
      <c r="X165" s="684">
        <f t="shared" si="79"/>
        <v>-116.03386678626953</v>
      </c>
      <c r="Y165" s="687">
        <f t="shared" si="80"/>
        <v>63.966133213730473</v>
      </c>
      <c r="AA165" s="170">
        <f t="shared" si="81"/>
        <v>9279.4</v>
      </c>
      <c r="AB165" s="170">
        <f t="shared" si="82"/>
        <v>86107264.359999999</v>
      </c>
      <c r="AD165" s="686">
        <f t="shared" si="83"/>
        <v>26.832851787689332</v>
      </c>
      <c r="AE165" s="687">
        <f t="shared" si="84"/>
        <v>-11.482498874954173</v>
      </c>
      <c r="AG165" s="686">
        <f t="shared" si="85"/>
        <v>15.663796878088355</v>
      </c>
      <c r="AH165" s="687">
        <f t="shared" si="86"/>
        <v>-79.429449333610137</v>
      </c>
      <c r="AJ165" s="170">
        <f t="shared" si="87"/>
        <v>0</v>
      </c>
      <c r="AK165" s="170">
        <f t="shared" si="99"/>
        <v>0</v>
      </c>
      <c r="AM165" s="170" t="str">
        <f t="shared" si="91"/>
        <v>0.049406553467953+0.310438559799398i</v>
      </c>
      <c r="AN165" s="170" t="str">
        <f t="shared" si="92"/>
        <v>0.315654351402614i</v>
      </c>
      <c r="AO165" s="170" t="str">
        <f t="shared" si="93"/>
        <v>0.983476256290973-0.156521059343596i</v>
      </c>
      <c r="AP165" s="170" t="str">
        <f t="shared" si="94"/>
        <v>0.158432241088675-0.0517397599665663i</v>
      </c>
      <c r="AQ165" s="170" t="str">
        <f t="shared" si="95"/>
        <v>0.841567758911325+0.0517397599665663i</v>
      </c>
      <c r="AR165" s="170" t="str">
        <f t="shared" si="96"/>
        <v>0.986092041760249-0.0606251427830573i</v>
      </c>
    </row>
    <row r="166" spans="7:44">
      <c r="G166" s="688">
        <v>9332.5</v>
      </c>
      <c r="H166" s="676">
        <f t="shared" si="88"/>
        <v>9.3324999999999996</v>
      </c>
      <c r="I166" s="677">
        <f t="shared" si="66"/>
        <v>48.065673759694739</v>
      </c>
      <c r="J166" s="678">
        <f t="shared" si="67"/>
        <v>1.5499899575868556</v>
      </c>
      <c r="K166" s="678">
        <f t="shared" si="68"/>
        <v>1.0000151907125527</v>
      </c>
      <c r="L166" s="679">
        <f t="shared" si="69"/>
        <v>5.5118999005884257E-3</v>
      </c>
      <c r="M166" s="678">
        <f t="shared" si="70"/>
        <v>1.001893747880257</v>
      </c>
      <c r="N166" s="679">
        <f t="shared" si="71"/>
        <v>-6.1494131985089816E-2</v>
      </c>
      <c r="O166" s="677">
        <f t="shared" si="72"/>
        <v>175913.48043959233</v>
      </c>
      <c r="P166" s="680">
        <f t="shared" si="73"/>
        <v>1.5707906421822251</v>
      </c>
      <c r="Q166" s="689">
        <f t="shared" si="100"/>
        <v>21.719029420850344</v>
      </c>
      <c r="R166" s="690">
        <f t="shared" si="101"/>
        <v>1.5247374703951664</v>
      </c>
      <c r="S166" s="677">
        <f t="shared" si="76"/>
        <v>1.0121274276635912</v>
      </c>
      <c r="T166" s="680">
        <f t="shared" si="77"/>
        <v>0.15495883771749064</v>
      </c>
      <c r="U166" s="681">
        <f t="shared" si="89"/>
        <v>0.98368083170776066</v>
      </c>
      <c r="V166" s="682">
        <f t="shared" si="90"/>
        <v>-0.22046504299810762</v>
      </c>
      <c r="W166" s="683">
        <f t="shared" si="78"/>
        <v>-3.0192443116330292</v>
      </c>
      <c r="X166" s="684">
        <f t="shared" si="79"/>
        <v>-116.1642848863052</v>
      </c>
      <c r="Y166" s="687">
        <f t="shared" si="80"/>
        <v>63.835715113694803</v>
      </c>
      <c r="AA166" s="170">
        <f t="shared" si="81"/>
        <v>9332.5</v>
      </c>
      <c r="AB166" s="170">
        <f t="shared" si="82"/>
        <v>87095556.25</v>
      </c>
      <c r="AD166" s="686">
        <f t="shared" si="83"/>
        <v>26.831572071168107</v>
      </c>
      <c r="AE166" s="687">
        <f t="shared" si="84"/>
        <v>-11.517139789214518</v>
      </c>
      <c r="AG166" s="686">
        <f t="shared" si="85"/>
        <v>15.616003446743909</v>
      </c>
      <c r="AH166" s="687">
        <f t="shared" si="86"/>
        <v>-79.383712080299418</v>
      </c>
      <c r="AJ166" s="170">
        <f t="shared" si="87"/>
        <v>0</v>
      </c>
      <c r="AK166" s="170">
        <f t="shared" si="99"/>
        <v>0</v>
      </c>
      <c r="AM166" s="170" t="str">
        <f t="shared" si="91"/>
        <v>0.049968844580045+0.312155095635849i</v>
      </c>
      <c r="AN166" s="170" t="str">
        <f t="shared" si="92"/>
        <v>0.317460636944726i</v>
      </c>
      <c r="AO166" s="170" t="str">
        <f t="shared" si="93"/>
        <v>0.983287561696032-0.157401702021864i</v>
      </c>
      <c r="AP166" s="170" t="str">
        <f t="shared" si="94"/>
        <v>0.158338525903326-0.0520258492726415i</v>
      </c>
      <c r="AQ166" s="170" t="str">
        <f t="shared" si="95"/>
        <v>0.841661474096674+0.0520258492726415i</v>
      </c>
      <c r="AR166" s="170" t="str">
        <f t="shared" si="96"/>
        <v>0.985941909938365-0.0609442950362985i</v>
      </c>
    </row>
    <row r="167" spans="7:44">
      <c r="G167" s="688">
        <v>9386.85</v>
      </c>
      <c r="H167" s="676">
        <f t="shared" si="88"/>
        <v>9.3868500000000008</v>
      </c>
      <c r="I167" s="677">
        <f t="shared" si="66"/>
        <v>48.345474659385758</v>
      </c>
      <c r="J167" s="678">
        <f t="shared" si="67"/>
        <v>1.5501103923080104</v>
      </c>
      <c r="K167" s="678">
        <f t="shared" si="68"/>
        <v>1.0000153681597419</v>
      </c>
      <c r="L167" s="679">
        <f t="shared" si="69"/>
        <v>5.5439990850507364E-3</v>
      </c>
      <c r="M167" s="678">
        <f t="shared" si="70"/>
        <v>1.001915848326687</v>
      </c>
      <c r="N167" s="679">
        <f t="shared" si="71"/>
        <v>-6.1851347437826172E-2</v>
      </c>
      <c r="O167" s="677">
        <f t="shared" si="72"/>
        <v>176937.95380274087</v>
      </c>
      <c r="P167" s="680">
        <f t="shared" si="73"/>
        <v>1.5707906750962164</v>
      </c>
      <c r="Q167" s="689">
        <f t="shared" si="100"/>
        <v>21.845247911545453</v>
      </c>
      <c r="R167" s="690">
        <f t="shared" si="101"/>
        <v>1.5250037781138153</v>
      </c>
      <c r="S167" s="677">
        <f t="shared" si="76"/>
        <v>1.0122682342894431</v>
      </c>
      <c r="T167" s="680">
        <f t="shared" si="77"/>
        <v>0.15584677622644841</v>
      </c>
      <c r="U167" s="681">
        <f t="shared" si="89"/>
        <v>0.98349910265419327</v>
      </c>
      <c r="V167" s="682">
        <f t="shared" si="90"/>
        <v>-0.22172872270536698</v>
      </c>
      <c r="W167" s="683">
        <f t="shared" si="78"/>
        <v>-3.0723864678524322</v>
      </c>
      <c r="X167" s="684">
        <f t="shared" si="79"/>
        <v>-116.29783529812511</v>
      </c>
      <c r="Y167" s="687">
        <f t="shared" si="80"/>
        <v>63.702164701874892</v>
      </c>
      <c r="AA167" s="170">
        <f t="shared" si="81"/>
        <v>9386.85</v>
      </c>
      <c r="AB167" s="170">
        <f t="shared" si="82"/>
        <v>88112952.922499999</v>
      </c>
      <c r="AD167" s="686">
        <f t="shared" si="83"/>
        <v>26.830257472513633</v>
      </c>
      <c r="AE167" s="687">
        <f t="shared" si="84"/>
        <v>-11.552758495788085</v>
      </c>
      <c r="AG167" s="686">
        <f t="shared" si="85"/>
        <v>15.56738551628067</v>
      </c>
      <c r="AH167" s="687">
        <f t="shared" si="86"/>
        <v>-79.336836757615714</v>
      </c>
      <c r="AJ167" s="170">
        <f t="shared" si="87"/>
        <v>0</v>
      </c>
      <c r="AK167" s="170">
        <f t="shared" si="99"/>
        <v>0</v>
      </c>
      <c r="AM167" s="170" t="str">
        <f t="shared" si="91"/>
        <v>0.050547582229385+0.313910984818203i</v>
      </c>
      <c r="AN167" s="170" t="str">
        <f t="shared" si="92"/>
        <v>0.319309443332934i</v>
      </c>
      <c r="AO167" s="170" t="str">
        <f t="shared" si="93"/>
        <v>0.983093332729586-0.158302810282628i</v>
      </c>
      <c r="AP167" s="170" t="str">
        <f t="shared" si="94"/>
        <v>0.158242069628436-0.0523184974697005i</v>
      </c>
      <c r="AQ167" s="170" t="str">
        <f t="shared" si="95"/>
        <v>0.841757930371564+0.0523184974697005i</v>
      </c>
      <c r="AR167" s="170" t="str">
        <f t="shared" si="96"/>
        <v>0.98578746951482-0.0612704880685919i</v>
      </c>
    </row>
    <row r="168" spans="7:44">
      <c r="G168" s="688">
        <v>9441.2000000000007</v>
      </c>
      <c r="H168" s="676">
        <f t="shared" si="88"/>
        <v>9.4412000000000003</v>
      </c>
      <c r="I168" s="677">
        <f t="shared" si="66"/>
        <v>48.62527625223472</v>
      </c>
      <c r="J168" s="678">
        <f t="shared" si="67"/>
        <v>1.5502294410098834</v>
      </c>
      <c r="K168" s="678">
        <f t="shared" si="68"/>
        <v>1.0000155466373042</v>
      </c>
      <c r="L168" s="679">
        <f t="shared" si="69"/>
        <v>5.5760982580883292E-3</v>
      </c>
      <c r="M168" s="678">
        <f t="shared" si="70"/>
        <v>1.0019380766148152</v>
      </c>
      <c r="N168" s="679">
        <f t="shared" si="71"/>
        <v>-6.2208547086282776E-2</v>
      </c>
      <c r="O168" s="677">
        <f t="shared" si="72"/>
        <v>177962.42716588962</v>
      </c>
      <c r="P168" s="680">
        <f t="shared" si="73"/>
        <v>1.5707907076312566</v>
      </c>
      <c r="Q168" s="689">
        <f t="shared" si="100"/>
        <v>21.971467933701192</v>
      </c>
      <c r="R168" s="690">
        <f t="shared" si="101"/>
        <v>1.525267026122197</v>
      </c>
      <c r="S168" s="677">
        <f t="shared" si="76"/>
        <v>1.0124098388004239</v>
      </c>
      <c r="T168" s="680">
        <f t="shared" si="77"/>
        <v>0.1567344670454095</v>
      </c>
      <c r="U168" s="681">
        <f t="shared" si="89"/>
        <v>0.98331641428233885</v>
      </c>
      <c r="V168" s="682">
        <f t="shared" si="90"/>
        <v>-0.22299205877130174</v>
      </c>
      <c r="W168" s="683">
        <f t="shared" si="78"/>
        <v>-3.1252503114524037</v>
      </c>
      <c r="X168" s="684">
        <f t="shared" si="79"/>
        <v>-116.43144679800952</v>
      </c>
      <c r="Y168" s="687">
        <f t="shared" si="80"/>
        <v>63.568553201990483</v>
      </c>
      <c r="AA168" s="170">
        <f t="shared" si="81"/>
        <v>9441.2000000000007</v>
      </c>
      <c r="AB168" s="170">
        <f t="shared" si="82"/>
        <v>89136257.440000013</v>
      </c>
      <c r="AD168" s="686">
        <f t="shared" si="83"/>
        <v>26.828938024618122</v>
      </c>
      <c r="AE168" s="687">
        <f t="shared" si="84"/>
        <v>-11.588538297542941</v>
      </c>
      <c r="AG168" s="686">
        <f t="shared" si="85"/>
        <v>15.519068288608972</v>
      </c>
      <c r="AH168" s="687">
        <f t="shared" si="86"/>
        <v>-79.289900806210397</v>
      </c>
      <c r="AJ168" s="170">
        <f t="shared" si="87"/>
        <v>0</v>
      </c>
      <c r="AK168" s="170">
        <f t="shared" si="99"/>
        <v>0</v>
      </c>
      <c r="AM168" s="170" t="str">
        <f t="shared" si="91"/>
        <v>0.051129565186926+0.315665801026414i</v>
      </c>
      <c r="AN168" s="170" t="str">
        <f t="shared" si="92"/>
        <v>0.321158249721141i</v>
      </c>
      <c r="AO168" s="170" t="str">
        <f t="shared" si="93"/>
        <v>0.982897999040984-0.159203648766057i</v>
      </c>
      <c r="AP168" s="170" t="str">
        <f t="shared" si="94"/>
        <v>0.158145072468846-0.0526109668377357i</v>
      </c>
      <c r="AQ168" s="170" t="str">
        <f t="shared" si="95"/>
        <v>0.841854927531154+0.0526109668377357i</v>
      </c>
      <c r="AR168" s="170" t="str">
        <f t="shared" si="96"/>
        <v>0.9856322475124-0.0615962011889024i</v>
      </c>
    </row>
    <row r="169" spans="7:44">
      <c r="G169" s="688">
        <v>9495.5499999999993</v>
      </c>
      <c r="H169" s="676">
        <f t="shared" si="88"/>
        <v>9.4955499999999997</v>
      </c>
      <c r="I169" s="677">
        <f t="shared" si="66"/>
        <v>48.90507852634429</v>
      </c>
      <c r="J169" s="678">
        <f t="shared" si="67"/>
        <v>1.5503471274787073</v>
      </c>
      <c r="K169" s="678">
        <f t="shared" si="68"/>
        <v>1.0000157261452391</v>
      </c>
      <c r="L169" s="679">
        <f t="shared" si="69"/>
        <v>5.6081974196350651E-3</v>
      </c>
      <c r="M169" s="678">
        <f t="shared" si="70"/>
        <v>1.0019604327361327</v>
      </c>
      <c r="N169" s="679">
        <f t="shared" si="71"/>
        <v>-6.2565730840363182E-2</v>
      </c>
      <c r="O169" s="677">
        <f t="shared" si="72"/>
        <v>178986.90052903851</v>
      </c>
      <c r="P169" s="680">
        <f t="shared" si="73"/>
        <v>1.5707907397938532</v>
      </c>
      <c r="Q169" s="689">
        <f t="shared" si="100"/>
        <v>22.097689461074868</v>
      </c>
      <c r="R169" s="690">
        <f t="shared" si="101"/>
        <v>1.5255272668145077</v>
      </c>
      <c r="S169" s="677">
        <f t="shared" si="76"/>
        <v>1.0125522408617831</v>
      </c>
      <c r="T169" s="680">
        <f t="shared" si="77"/>
        <v>0.15762190887959443</v>
      </c>
      <c r="U169" s="681">
        <f t="shared" si="89"/>
        <v>0.98313276817215978</v>
      </c>
      <c r="V169" s="682">
        <f t="shared" si="90"/>
        <v>-0.22425504946330965</v>
      </c>
      <c r="W169" s="683">
        <f t="shared" si="78"/>
        <v>-3.1778392039103656</v>
      </c>
      <c r="X169" s="684">
        <f t="shared" si="79"/>
        <v>-116.56511756860114</v>
      </c>
      <c r="Y169" s="687">
        <f t="shared" si="80"/>
        <v>63.434882431398862</v>
      </c>
      <c r="AA169" s="170">
        <f t="shared" si="81"/>
        <v>9495.5499999999993</v>
      </c>
      <c r="AB169" s="170">
        <f t="shared" si="82"/>
        <v>90165469.80249998</v>
      </c>
      <c r="AD169" s="686">
        <f t="shared" si="83"/>
        <v>26.827613691515943</v>
      </c>
      <c r="AE169" s="687">
        <f t="shared" si="84"/>
        <v>-11.624476118700239</v>
      </c>
      <c r="AG169" s="686">
        <f t="shared" si="85"/>
        <v>15.471048419966467</v>
      </c>
      <c r="AH169" s="687">
        <f t="shared" si="86"/>
        <v>-79.242905683046672</v>
      </c>
      <c r="AJ169" s="170">
        <f t="shared" si="87"/>
        <v>0</v>
      </c>
      <c r="AK169" s="170">
        <f t="shared" si="99"/>
        <v>0</v>
      </c>
      <c r="AM169" s="170" t="str">
        <f t="shared" si="91"/>
        <v>0.051714791463401+0.317419538262373i</v>
      </c>
      <c r="AN169" s="170" t="str">
        <f t="shared" si="92"/>
        <v>0.323007056109348i</v>
      </c>
      <c r="AO169" s="170" t="str">
        <f t="shared" si="93"/>
        <v>0.982701561030037-0.160104215945963i</v>
      </c>
      <c r="AP169" s="170" t="str">
        <f t="shared" si="94"/>
        <v>0.1580475347561-0.0529032563770622i</v>
      </c>
      <c r="AQ169" s="170" t="str">
        <f t="shared" si="95"/>
        <v>0.8419524652439+0.0529032563770622i</v>
      </c>
      <c r="AR169" s="170" t="str">
        <f t="shared" si="96"/>
        <v>0.985476245808192-0.0619214321920097i</v>
      </c>
    </row>
    <row r="170" spans="7:44">
      <c r="G170" s="688">
        <v>9549.9</v>
      </c>
      <c r="H170" s="676">
        <f t="shared" si="88"/>
        <v>9.5498999999999992</v>
      </c>
      <c r="I170" s="677">
        <f t="shared" si="66"/>
        <v>49.184881470087845</v>
      </c>
      <c r="J170" s="678">
        <f t="shared" si="67"/>
        <v>1.5504634749596076</v>
      </c>
      <c r="K170" s="678">
        <f t="shared" si="68"/>
        <v>1.0000159066835459</v>
      </c>
      <c r="L170" s="679">
        <f t="shared" si="69"/>
        <v>5.6402965696248017E-3</v>
      </c>
      <c r="M170" s="678">
        <f t="shared" si="70"/>
        <v>1.0019829166820828</v>
      </c>
      <c r="N170" s="679">
        <f t="shared" si="71"/>
        <v>-6.292289860999517E-2</v>
      </c>
      <c r="O170" s="677">
        <f t="shared" si="72"/>
        <v>180011.37389218761</v>
      </c>
      <c r="P170" s="680">
        <f t="shared" si="73"/>
        <v>1.5707907715903648</v>
      </c>
      <c r="Q170" s="689">
        <f t="shared" si="100"/>
        <v>22.22391246801967</v>
      </c>
      <c r="R170" s="690">
        <f t="shared" si="101"/>
        <v>1.5257845513962802</v>
      </c>
      <c r="S170" s="677">
        <f t="shared" si="76"/>
        <v>1.0126954401370734</v>
      </c>
      <c r="T170" s="680">
        <f t="shared" si="77"/>
        <v>0.15850910043651883</v>
      </c>
      <c r="U170" s="681">
        <f t="shared" si="89"/>
        <v>0.98294816591035483</v>
      </c>
      <c r="V170" s="682">
        <f t="shared" si="90"/>
        <v>-0.22551769305297073</v>
      </c>
      <c r="W170" s="683">
        <f t="shared" si="78"/>
        <v>-3.2301564484571226</v>
      </c>
      <c r="X170" s="684">
        <f t="shared" si="79"/>
        <v>-116.69884583000899</v>
      </c>
      <c r="Y170" s="687">
        <f t="shared" si="80"/>
        <v>63.301154169991008</v>
      </c>
      <c r="AA170" s="170">
        <f t="shared" si="81"/>
        <v>9549.9</v>
      </c>
      <c r="AB170" s="170">
        <f t="shared" si="82"/>
        <v>91200590.00999999</v>
      </c>
      <c r="AD170" s="686">
        <f t="shared" si="83"/>
        <v>26.826284438448738</v>
      </c>
      <c r="AE170" s="687">
        <f t="shared" si="84"/>
        <v>-11.660568951709454</v>
      </c>
      <c r="AG170" s="686">
        <f t="shared" si="85"/>
        <v>15.42332262354693</v>
      </c>
      <c r="AH170" s="687">
        <f t="shared" si="86"/>
        <v>-79.195852813846258</v>
      </c>
      <c r="AJ170" s="170">
        <f t="shared" si="87"/>
        <v>0</v>
      </c>
      <c r="AK170" s="170">
        <f t="shared" si="99"/>
        <v>0</v>
      </c>
      <c r="AM170" s="170" t="str">
        <f t="shared" si="91"/>
        <v>0.052303259058457+0.31917219053166i</v>
      </c>
      <c r="AN170" s="170" t="str">
        <f t="shared" si="92"/>
        <v>0.324855862497556i</v>
      </c>
      <c r="AO170" s="170" t="str">
        <f t="shared" si="93"/>
        <v>0.982504019098813-0.16100451029678i</v>
      </c>
      <c r="AP170" s="170" t="str">
        <f t="shared" si="94"/>
        <v>0.15794945682359-0.05319536508861i</v>
      </c>
      <c r="AQ170" s="170" t="str">
        <f t="shared" si="95"/>
        <v>0.84205054317641+0.05319536508861i</v>
      </c>
      <c r="AR170" s="170" t="str">
        <f t="shared" si="96"/>
        <v>0.98531946628671-0.0622461788817527i</v>
      </c>
    </row>
    <row r="171" spans="7:44">
      <c r="G171" s="688">
        <v>9605.5249999999996</v>
      </c>
      <c r="H171" s="676">
        <f t="shared" si="88"/>
        <v>9.6055250000000001</v>
      </c>
      <c r="I171" s="677">
        <f t="shared" si="66"/>
        <v>49.471249009859719</v>
      </c>
      <c r="J171" s="678">
        <f t="shared" si="67"/>
        <v>1.5505811890756096</v>
      </c>
      <c r="K171" s="678">
        <f t="shared" si="68"/>
        <v>1.0000160925240242</v>
      </c>
      <c r="L171" s="679">
        <f t="shared" si="69"/>
        <v>5.6731487235167849E-3</v>
      </c>
      <c r="M171" s="678">
        <f t="shared" si="70"/>
        <v>1.0020060604291019</v>
      </c>
      <c r="N171" s="679">
        <f t="shared" si="71"/>
        <v>-6.3288428555062656E-2</v>
      </c>
      <c r="O171" s="677">
        <f t="shared" si="72"/>
        <v>181059.88043910902</v>
      </c>
      <c r="P171" s="680">
        <f t="shared" si="73"/>
        <v>1.5707908037602101</v>
      </c>
      <c r="Q171" s="689">
        <f t="shared" si="100"/>
        <v>22.353098054150465</v>
      </c>
      <c r="R171" s="690">
        <f t="shared" si="101"/>
        <v>1.5260448629112837</v>
      </c>
      <c r="S171" s="677">
        <f t="shared" si="76"/>
        <v>1.012842823866241</v>
      </c>
      <c r="T171" s="680">
        <f t="shared" si="77"/>
        <v>0.15941684417546245</v>
      </c>
      <c r="U171" s="681">
        <f t="shared" si="89"/>
        <v>0.98275824465519535</v>
      </c>
      <c r="V171" s="682">
        <f t="shared" si="90"/>
        <v>-0.22680959586521443</v>
      </c>
      <c r="W171" s="683">
        <f t="shared" si="78"/>
        <v>-3.2834231122875051</v>
      </c>
      <c r="X171" s="684">
        <f t="shared" si="79"/>
        <v>-116.83576894140511</v>
      </c>
      <c r="Y171" s="687">
        <f t="shared" si="80"/>
        <v>63.164231058594893</v>
      </c>
      <c r="AA171" s="170">
        <f t="shared" si="81"/>
        <v>9605.5249999999996</v>
      </c>
      <c r="AB171" s="170">
        <f t="shared" si="82"/>
        <v>92266110.52562499</v>
      </c>
      <c r="AD171" s="686">
        <f t="shared" si="83"/>
        <v>26.824918872859076</v>
      </c>
      <c r="AE171" s="687">
        <f t="shared" si="84"/>
        <v>-11.697665928900737</v>
      </c>
      <c r="AG171" s="686">
        <f t="shared" si="85"/>
        <v>15.374778354298588</v>
      </c>
      <c r="AH171" s="687">
        <f t="shared" si="86"/>
        <v>-79.147637790516654</v>
      </c>
      <c r="AJ171" s="170">
        <f t="shared" si="87"/>
        <v>0</v>
      </c>
      <c r="AK171" s="170">
        <f t="shared" si="99"/>
        <v>0</v>
      </c>
      <c r="AM171" s="170" t="str">
        <f t="shared" si="91"/>
        <v>0.0529088857198931+0.320964828683245i</v>
      </c>
      <c r="AN171" s="170" t="str">
        <f t="shared" si="92"/>
        <v>0.32674804014878i</v>
      </c>
      <c r="AO171" s="170" t="str">
        <f t="shared" si="93"/>
        <v>0.982300700371755-0.161925640612264i</v>
      </c>
      <c r="AP171" s="170" t="str">
        <f t="shared" si="94"/>
        <v>0.157848519046684-0.0534941381138742i</v>
      </c>
      <c r="AQ171" s="170" t="str">
        <f t="shared" si="95"/>
        <v>0.842151480953316+0.0534941381138742i</v>
      </c>
      <c r="AR171" s="170" t="str">
        <f t="shared" si="96"/>
        <v>0.985158205437516-0.0625780400528825i</v>
      </c>
    </row>
    <row r="172" spans="7:44">
      <c r="G172" s="688">
        <v>9661.15</v>
      </c>
      <c r="H172" s="676">
        <f t="shared" si="88"/>
        <v>9.6611499999999992</v>
      </c>
      <c r="I172" s="677">
        <f t="shared" si="66"/>
        <v>49.757617227245049</v>
      </c>
      <c r="J172" s="678">
        <f t="shared" si="67"/>
        <v>1.5506975482416074</v>
      </c>
      <c r="K172" s="678">
        <f t="shared" si="68"/>
        <v>1.0000162794437837</v>
      </c>
      <c r="L172" s="679">
        <f t="shared" si="69"/>
        <v>5.7060008651629917E-3</v>
      </c>
      <c r="M172" s="678">
        <f t="shared" si="70"/>
        <v>1.0020293380501006</v>
      </c>
      <c r="N172" s="679">
        <f t="shared" si="71"/>
        <v>-6.3653941566094177E-2</v>
      </c>
      <c r="O172" s="677">
        <f t="shared" si="72"/>
        <v>182108.38698603064</v>
      </c>
      <c r="P172" s="680">
        <f t="shared" si="73"/>
        <v>1.5707908355596134</v>
      </c>
      <c r="Q172" s="689">
        <f t="shared" si="100"/>
        <v>22.48228513756656</v>
      </c>
      <c r="R172" s="690">
        <f t="shared" si="101"/>
        <v>1.5263021828539389</v>
      </c>
      <c r="S172" s="677">
        <f t="shared" si="76"/>
        <v>1.0129910419333208</v>
      </c>
      <c r="T172" s="680">
        <f t="shared" si="77"/>
        <v>0.16032432302484403</v>
      </c>
      <c r="U172" s="681">
        <f t="shared" si="89"/>
        <v>0.98256732524582224</v>
      </c>
      <c r="V172" s="682">
        <f t="shared" si="90"/>
        <v>-0.22810113144875171</v>
      </c>
      <c r="W172" s="683">
        <f t="shared" si="78"/>
        <v>-3.3364120535552089</v>
      </c>
      <c r="X172" s="684">
        <f t="shared" si="79"/>
        <v>-116.97274861587339</v>
      </c>
      <c r="Y172" s="687">
        <f t="shared" si="80"/>
        <v>63.027251384126615</v>
      </c>
      <c r="AA172" s="170">
        <f t="shared" si="81"/>
        <v>9661.15</v>
      </c>
      <c r="AB172" s="170">
        <f t="shared" si="82"/>
        <v>93337819.32249999</v>
      </c>
      <c r="AD172" s="686">
        <f t="shared" si="83"/>
        <v>26.823548083793387</v>
      </c>
      <c r="AE172" s="687">
        <f t="shared" si="84"/>
        <v>-11.734919112283174</v>
      </c>
      <c r="AG172" s="686">
        <f t="shared" si="85"/>
        <v>15.326535327216176</v>
      </c>
      <c r="AH172" s="687">
        <f t="shared" si="86"/>
        <v>-79.099365205378106</v>
      </c>
      <c r="AJ172" s="170">
        <f t="shared" si="87"/>
        <v>0</v>
      </c>
      <c r="AK172" s="170">
        <f t="shared" si="99"/>
        <v>0</v>
      </c>
      <c r="AM172" s="170" t="str">
        <f t="shared" si="91"/>
        <v>0.053517903284978+0.322756317673157i</v>
      </c>
      <c r="AN172" s="170" t="str">
        <f t="shared" si="92"/>
        <v>0.328640217800004i</v>
      </c>
      <c r="AO172" s="170" t="str">
        <f t="shared" si="93"/>
        <v>0.982096226182434-0.162846481916424i</v>
      </c>
      <c r="AP172" s="170" t="str">
        <f t="shared" si="94"/>
        <v>0.15774701611917-0.0537927196121928i</v>
      </c>
      <c r="AQ172" s="170" t="str">
        <f t="shared" si="95"/>
        <v>0.84225298388083+0.0537927196121928i</v>
      </c>
      <c r="AR172" s="170" t="str">
        <f t="shared" si="96"/>
        <v>0.984996133867111-0.0629093892954428i</v>
      </c>
    </row>
    <row r="173" spans="7:44">
      <c r="G173" s="688">
        <v>9716.7749999999996</v>
      </c>
      <c r="H173" s="676">
        <f t="shared" si="88"/>
        <v>9.7167750000000002</v>
      </c>
      <c r="I173" s="677">
        <f t="shared" si="66"/>
        <v>50.04398611061125</v>
      </c>
      <c r="J173" s="678">
        <f t="shared" si="67"/>
        <v>1.5508125757148916</v>
      </c>
      <c r="K173" s="678">
        <f t="shared" si="68"/>
        <v>1.0000164674428236</v>
      </c>
      <c r="L173" s="679">
        <f t="shared" si="69"/>
        <v>5.7388529944925144E-3</v>
      </c>
      <c r="M173" s="678">
        <f t="shared" si="70"/>
        <v>1.0020527495357496</v>
      </c>
      <c r="N173" s="679">
        <f t="shared" si="71"/>
        <v>-6.4019437546608368E-2</v>
      </c>
      <c r="O173" s="677">
        <f t="shared" si="72"/>
        <v>183156.89353295241</v>
      </c>
      <c r="P173" s="680">
        <f t="shared" si="73"/>
        <v>1.5707908669949364</v>
      </c>
      <c r="Q173" s="689">
        <f t="shared" si="100"/>
        <v>22.611473692604452</v>
      </c>
      <c r="R173" s="690">
        <f t="shared" si="101"/>
        <v>1.5265565624660868</v>
      </c>
      <c r="S173" s="677">
        <f t="shared" si="76"/>
        <v>1.0131400939721327</v>
      </c>
      <c r="T173" s="680">
        <f t="shared" si="77"/>
        <v>0.16123153560659956</v>
      </c>
      <c r="U173" s="681">
        <f t="shared" si="89"/>
        <v>0.98237540940488555</v>
      </c>
      <c r="V173" s="682">
        <f t="shared" si="90"/>
        <v>-0.2293922979643335</v>
      </c>
      <c r="W173" s="683">
        <f t="shared" si="78"/>
        <v>-3.3891266325144151</v>
      </c>
      <c r="X173" s="684">
        <f t="shared" si="79"/>
        <v>-117.10978306051936</v>
      </c>
      <c r="Y173" s="687">
        <f t="shared" si="80"/>
        <v>62.890216939480638</v>
      </c>
      <c r="AA173" s="170">
        <f t="shared" si="81"/>
        <v>9716.7749999999996</v>
      </c>
      <c r="AB173" s="170">
        <f t="shared" si="82"/>
        <v>94415716.40062499</v>
      </c>
      <c r="AD173" s="686">
        <f t="shared" si="83"/>
        <v>26.822172037661986</v>
      </c>
      <c r="AE173" s="687">
        <f t="shared" si="84"/>
        <v>-11.77232548732276</v>
      </c>
      <c r="AG173" s="686">
        <f t="shared" si="85"/>
        <v>15.278590195712651</v>
      </c>
      <c r="AH173" s="687">
        <f t="shared" si="86"/>
        <v>-79.051036490832544</v>
      </c>
      <c r="AJ173" s="170">
        <f t="shared" si="87"/>
        <v>0</v>
      </c>
      <c r="AK173" s="170">
        <f t="shared" si="99"/>
        <v>0</v>
      </c>
      <c r="AM173" s="170" t="str">
        <f t="shared" si="91"/>
        <v>0.054130309573226+0.324546651087266i</v>
      </c>
      <c r="AN173" s="170" t="str">
        <f t="shared" si="92"/>
        <v>0.330532395451229i</v>
      </c>
      <c r="AO173" s="170" t="str">
        <f t="shared" si="93"/>
        <v>0.981890596969197-0.163767032575822i</v>
      </c>
      <c r="AP173" s="170" t="str">
        <f t="shared" si="94"/>
        <v>0.157644948404462-0.0540911085145443i</v>
      </c>
      <c r="AQ173" s="170" t="str">
        <f t="shared" si="95"/>
        <v>0.842355051595538+0.0540911085145443i</v>
      </c>
      <c r="AR173" s="170" t="str">
        <f t="shared" si="96"/>
        <v>0.98483325361959-0.0632402242847203i</v>
      </c>
    </row>
    <row r="174" spans="7:44">
      <c r="G174" s="688">
        <v>9772.4</v>
      </c>
      <c r="H174" s="676">
        <f t="shared" si="88"/>
        <v>9.7723999999999993</v>
      </c>
      <c r="I174" s="677">
        <f t="shared" si="66"/>
        <v>50.330355648590469</v>
      </c>
      <c r="J174" s="678">
        <f t="shared" si="67"/>
        <v>1.5509262942235778</v>
      </c>
      <c r="K174" s="678">
        <f t="shared" si="68"/>
        <v>1.000016656521143</v>
      </c>
      <c r="L174" s="679">
        <f t="shared" si="69"/>
        <v>5.7717051114344504E-3</v>
      </c>
      <c r="M174" s="678">
        <f t="shared" si="70"/>
        <v>1.0020762948766664</v>
      </c>
      <c r="N174" s="679">
        <f t="shared" si="71"/>
        <v>-6.4384916400151079E-2</v>
      </c>
      <c r="O174" s="677">
        <f t="shared" si="72"/>
        <v>184205.40007987438</v>
      </c>
      <c r="P174" s="680">
        <f t="shared" si="73"/>
        <v>1.5707908980723968</v>
      </c>
      <c r="Q174" s="689">
        <f t="shared" si="100"/>
        <v>22.740663694183507</v>
      </c>
      <c r="R174" s="690">
        <f t="shared" si="101"/>
        <v>1.5268080518266884</v>
      </c>
      <c r="S174" s="677">
        <f t="shared" si="76"/>
        <v>1.0132899796146517</v>
      </c>
      <c r="T174" s="680">
        <f t="shared" si="77"/>
        <v>0.16213848054522678</v>
      </c>
      <c r="U174" s="681">
        <f t="shared" si="89"/>
        <v>0.98218249886225906</v>
      </c>
      <c r="V174" s="682">
        <f t="shared" si="90"/>
        <v>-0.23068309357736208</v>
      </c>
      <c r="W174" s="683">
        <f t="shared" si="78"/>
        <v>-3.4415701511722223</v>
      </c>
      <c r="X174" s="684">
        <f t="shared" si="79"/>
        <v>-117.24687051916372</v>
      </c>
      <c r="Y174" s="687">
        <f t="shared" si="80"/>
        <v>62.753129480836279</v>
      </c>
      <c r="AA174" s="170">
        <f t="shared" si="81"/>
        <v>9772.4</v>
      </c>
      <c r="AB174" s="170">
        <f t="shared" si="82"/>
        <v>95499801.75999999</v>
      </c>
      <c r="AD174" s="686">
        <f t="shared" si="83"/>
        <v>26.820790702032685</v>
      </c>
      <c r="AE174" s="687">
        <f t="shared" si="84"/>
        <v>-11.809882106252168</v>
      </c>
      <c r="AG174" s="686">
        <f t="shared" si="85"/>
        <v>15.230939670200797</v>
      </c>
      <c r="AH174" s="687">
        <f t="shared" si="86"/>
        <v>-79.002653048697383</v>
      </c>
      <c r="AJ174" s="170">
        <f t="shared" si="87"/>
        <v>0</v>
      </c>
      <c r="AK174" s="170">
        <f t="shared" si="99"/>
        <v>0</v>
      </c>
      <c r="AM174" s="170" t="str">
        <f t="shared" si="91"/>
        <v>0.054746102392017+0.326335822515576i</v>
      </c>
      <c r="AN174" s="170" t="str">
        <f t="shared" si="92"/>
        <v>0.332424573102453i</v>
      </c>
      <c r="AO174" s="170" t="str">
        <f t="shared" si="93"/>
        <v>0.981683813172859-0.164687290957712i</v>
      </c>
      <c r="AP174" s="170" t="str">
        <f t="shared" si="94"/>
        <v>0.157542316267997-0.054389303752596i</v>
      </c>
      <c r="AQ174" s="170" t="str">
        <f t="shared" si="95"/>
        <v>0.842457683732003+0.054389303752596i</v>
      </c>
      <c r="AR174" s="170" t="str">
        <f t="shared" si="96"/>
        <v>0.984669566746964-0.0635705427060648i</v>
      </c>
    </row>
    <row r="175" spans="7:44">
      <c r="G175" s="688">
        <v>9829.2999999999993</v>
      </c>
      <c r="H175" s="676">
        <f t="shared" si="88"/>
        <v>9.8292999999999999</v>
      </c>
      <c r="I175" s="677">
        <f t="shared" si="66"/>
        <v>50.62328982820641</v>
      </c>
      <c r="J175" s="678">
        <f t="shared" si="67"/>
        <v>1.5510412881566076</v>
      </c>
      <c r="K175" s="678">
        <f t="shared" si="68"/>
        <v>1.0000168510500631</v>
      </c>
      <c r="L175" s="679">
        <f t="shared" si="69"/>
        <v>5.8053102303010102E-3</v>
      </c>
      <c r="M175" s="678">
        <f t="shared" si="70"/>
        <v>1.0021005183913523</v>
      </c>
      <c r="N175" s="679">
        <f t="shared" si="71"/>
        <v>-6.4758754700937296E-2</v>
      </c>
      <c r="O175" s="677">
        <f t="shared" si="72"/>
        <v>185277.93981056864</v>
      </c>
      <c r="P175" s="680">
        <f t="shared" si="73"/>
        <v>1.5707909294982674</v>
      </c>
      <c r="Q175" s="689">
        <f t="shared" si="100"/>
        <v>22.872816375889737</v>
      </c>
      <c r="R175" s="690">
        <f t="shared" si="101"/>
        <v>1.5270623663040599</v>
      </c>
      <c r="S175" s="677">
        <f t="shared" si="76"/>
        <v>1.0134441629362489</v>
      </c>
      <c r="T175" s="680">
        <f t="shared" si="77"/>
        <v>0.16306593553781365</v>
      </c>
      <c r="U175" s="681">
        <f t="shared" si="89"/>
        <v>0.98198413919805461</v>
      </c>
      <c r="V175" s="682">
        <f t="shared" si="90"/>
        <v>-0.23200309030611055</v>
      </c>
      <c r="W175" s="683">
        <f t="shared" si="78"/>
        <v>-3.4949386777146869</v>
      </c>
      <c r="X175" s="684">
        <f t="shared" si="79"/>
        <v>-117.38715326436976</v>
      </c>
      <c r="Y175" s="687">
        <f t="shared" si="80"/>
        <v>62.612846735630242</v>
      </c>
      <c r="AA175" s="170">
        <f t="shared" si="81"/>
        <v>9829.2999999999993</v>
      </c>
      <c r="AB175" s="170">
        <f t="shared" si="82"/>
        <v>96615138.48999998</v>
      </c>
      <c r="AD175" s="686">
        <f t="shared" si="83"/>
        <v>26.819372198938538</v>
      </c>
      <c r="AE175" s="687">
        <f t="shared" si="84"/>
        <v>-11.848452017407096</v>
      </c>
      <c r="AG175" s="686">
        <f t="shared" si="85"/>
        <v>15.18249837177488</v>
      </c>
      <c r="AH175" s="687">
        <f t="shared" si="86"/>
        <v>-78.953105399518932</v>
      </c>
      <c r="AJ175" s="170">
        <f t="shared" si="87"/>
        <v>0</v>
      </c>
      <c r="AK175" s="170">
        <f t="shared" si="99"/>
        <v>0</v>
      </c>
      <c r="AM175" s="170" t="str">
        <f t="shared" si="91"/>
        <v>0.055379511569803+0.328164795244548i</v>
      </c>
      <c r="AN175" s="170" t="str">
        <f t="shared" si="92"/>
        <v>0.334360122016694i</v>
      </c>
      <c r="AO175" s="170" t="str">
        <f t="shared" si="93"/>
        <v>0.981471095491954-0.165628338797645i</v>
      </c>
      <c r="AP175" s="170" t="str">
        <f t="shared" si="94"/>
        <v>0.157436748071699-0.054694132540758i</v>
      </c>
      <c r="AQ175" s="170" t="str">
        <f t="shared" si="95"/>
        <v>0.842563251928301+0.054694132540758i</v>
      </c>
      <c r="AR175" s="170" t="str">
        <f t="shared" si="96"/>
        <v>0.984501295527677-0.0639078956041639i</v>
      </c>
    </row>
    <row r="176" spans="7:44">
      <c r="G176" s="688">
        <v>9886.2000000000007</v>
      </c>
      <c r="H176" s="676">
        <f t="shared" si="88"/>
        <v>9.8862000000000005</v>
      </c>
      <c r="I176" s="677">
        <f t="shared" si="66"/>
        <v>50.916224669542004</v>
      </c>
      <c r="J176" s="678">
        <f t="shared" si="67"/>
        <v>1.5511549589085945</v>
      </c>
      <c r="K176" s="678">
        <f t="shared" si="68"/>
        <v>1.0000170467083058</v>
      </c>
      <c r="L176" s="679">
        <f t="shared" si="69"/>
        <v>5.838915336055509E-3</v>
      </c>
      <c r="M176" s="678">
        <f t="shared" si="70"/>
        <v>1.0021248819478894</v>
      </c>
      <c r="N176" s="679">
        <f t="shared" si="71"/>
        <v>-6.5132574876528432E-2</v>
      </c>
      <c r="O176" s="677">
        <f t="shared" si="72"/>
        <v>186350.47954126314</v>
      </c>
      <c r="P176" s="680">
        <f t="shared" si="73"/>
        <v>1.5707909605623951</v>
      </c>
      <c r="Q176" s="689">
        <f t="shared" si="100"/>
        <v>23.004970519918857</v>
      </c>
      <c r="R176" s="690">
        <f t="shared" si="101"/>
        <v>1.5273137589322763</v>
      </c>
      <c r="S176" s="677">
        <f t="shared" si="76"/>
        <v>1.013599217729267</v>
      </c>
      <c r="T176" s="680">
        <f t="shared" si="77"/>
        <v>0.1639931075738725</v>
      </c>
      <c r="U176" s="681">
        <f t="shared" si="89"/>
        <v>0.98178474239434765</v>
      </c>
      <c r="V176" s="682">
        <f t="shared" si="90"/>
        <v>-0.23332269506590914</v>
      </c>
      <c r="W176" s="683">
        <f t="shared" si="78"/>
        <v>-3.5480303839311933</v>
      </c>
      <c r="X176" s="684">
        <f t="shared" si="79"/>
        <v>-117.52748787765789</v>
      </c>
      <c r="Y176" s="687">
        <f t="shared" si="80"/>
        <v>62.47251212234211</v>
      </c>
      <c r="AA176" s="170">
        <f t="shared" si="81"/>
        <v>9886.2000000000007</v>
      </c>
      <c r="AB176" s="170">
        <f t="shared" si="82"/>
        <v>97736950.440000013</v>
      </c>
      <c r="AD176" s="686">
        <f t="shared" si="83"/>
        <v>26.817948095978046</v>
      </c>
      <c r="AE176" s="687">
        <f t="shared" si="84"/>
        <v>-11.887173105245976</v>
      </c>
      <c r="AG176" s="686">
        <f t="shared" si="85"/>
        <v>15.134358553592484</v>
      </c>
      <c r="AH176" s="687">
        <f t="shared" si="86"/>
        <v>-78.903503358071731</v>
      </c>
      <c r="AJ176" s="170">
        <f t="shared" si="87"/>
        <v>0</v>
      </c>
      <c r="AK176" s="170">
        <f t="shared" si="99"/>
        <v>0</v>
      </c>
      <c r="AM176" s="170" t="str">
        <f t="shared" si="91"/>
        <v>0.056016459625072+0.329992538553854i</v>
      </c>
      <c r="AN176" s="170" t="str">
        <f t="shared" si="92"/>
        <v>0.336295670930935i</v>
      </c>
      <c r="AO176" s="170" t="str">
        <f t="shared" si="93"/>
        <v>0.981257170633114-0.166569077353886i</v>
      </c>
      <c r="AP176" s="170" t="str">
        <f t="shared" si="94"/>
        <v>0.157330590062488-0.0549987564256423i</v>
      </c>
      <c r="AQ176" s="170" t="str">
        <f t="shared" si="95"/>
        <v>0.842669409937512+0.0549987564256423i</v>
      </c>
      <c r="AR176" s="170" t="str">
        <f t="shared" si="96"/>
        <v>0.984332184650266-0.0642447031149676i</v>
      </c>
    </row>
    <row r="177" spans="7:44">
      <c r="G177" s="688">
        <v>9943.1</v>
      </c>
      <c r="H177" s="676">
        <f t="shared" si="88"/>
        <v>9.9431000000000012</v>
      </c>
      <c r="I177" s="677">
        <f t="shared" si="66"/>
        <v>51.209160161241414</v>
      </c>
      <c r="J177" s="678">
        <f t="shared" si="67"/>
        <v>1.5512673291838426</v>
      </c>
      <c r="K177" s="678">
        <f t="shared" si="68"/>
        <v>1.0000172434958705</v>
      </c>
      <c r="L177" s="679">
        <f t="shared" si="69"/>
        <v>5.8725204286220502E-3</v>
      </c>
      <c r="M177" s="678">
        <f t="shared" si="70"/>
        <v>1.0021493855360641</v>
      </c>
      <c r="N177" s="679">
        <f t="shared" si="71"/>
        <v>-6.5506376823773818E-2</v>
      </c>
      <c r="O177" s="677">
        <f t="shared" si="72"/>
        <v>187423.0192719578</v>
      </c>
      <c r="P177" s="680">
        <f t="shared" si="73"/>
        <v>1.5707909912709899</v>
      </c>
      <c r="Q177" s="689">
        <f t="shared" si="100"/>
        <v>23.137126101213465</v>
      </c>
      <c r="R177" s="690">
        <f t="shared" si="101"/>
        <v>1.5275622797466988</v>
      </c>
      <c r="S177" s="677">
        <f t="shared" si="76"/>
        <v>1.0137551435938286</v>
      </c>
      <c r="T177" s="680">
        <f t="shared" si="77"/>
        <v>0.16491999518952277</v>
      </c>
      <c r="U177" s="681">
        <f t="shared" si="89"/>
        <v>0.98158431032588667</v>
      </c>
      <c r="V177" s="682">
        <f t="shared" si="90"/>
        <v>-0.23464190590832287</v>
      </c>
      <c r="W177" s="683">
        <f t="shared" si="78"/>
        <v>-3.6008486235150543</v>
      </c>
      <c r="X177" s="684">
        <f t="shared" si="79"/>
        <v>-117.66787259201267</v>
      </c>
      <c r="Y177" s="687">
        <f t="shared" si="80"/>
        <v>62.332127407987329</v>
      </c>
      <c r="AA177" s="170">
        <f t="shared" si="81"/>
        <v>9943.1</v>
      </c>
      <c r="AB177" s="170">
        <f t="shared" si="82"/>
        <v>98865237.610000014</v>
      </c>
      <c r="AD177" s="686">
        <f t="shared" si="83"/>
        <v>26.816518361952916</v>
      </c>
      <c r="AE177" s="687">
        <f t="shared" si="84"/>
        <v>-11.92604241943541</v>
      </c>
      <c r="AG177" s="686">
        <f t="shared" si="85"/>
        <v>15.086516871449795</v>
      </c>
      <c r="AH177" s="687">
        <f t="shared" si="86"/>
        <v>-78.85384833094794</v>
      </c>
      <c r="AJ177" s="170">
        <f t="shared" si="87"/>
        <v>0</v>
      </c>
      <c r="AK177" s="170">
        <f t="shared" si="99"/>
        <v>0</v>
      </c>
      <c r="AM177" s="170" t="str">
        <f t="shared" si="91"/>
        <v>0.0566569441715959+0.331819045596132i</v>
      </c>
      <c r="AN177" s="170" t="str">
        <f t="shared" si="92"/>
        <v>0.338231219845176i</v>
      </c>
      <c r="AO177" s="170" t="str">
        <f t="shared" si="93"/>
        <v>0.981042039076171-0.1675095048811i</v>
      </c>
      <c r="AP177" s="170" t="str">
        <f t="shared" si="94"/>
        <v>0.157223842638067-0.055303174266022i</v>
      </c>
      <c r="AQ177" s="170" t="str">
        <f t="shared" si="95"/>
        <v>0.842776157361933+0.055303174266022i</v>
      </c>
      <c r="AR177" s="170" t="str">
        <f t="shared" si="96"/>
        <v>0.98416223633643-0.0645809627938698i</v>
      </c>
    </row>
    <row r="178" spans="7:44" s="327" customFormat="1">
      <c r="G178" s="762">
        <v>10000</v>
      </c>
      <c r="H178" s="763">
        <f t="shared" si="88"/>
        <v>10</v>
      </c>
      <c r="I178" s="764">
        <f t="shared" si="66"/>
        <v>51.502096292207149</v>
      </c>
      <c r="J178" s="765">
        <f t="shared" si="67"/>
        <v>1.5513784211702344</v>
      </c>
      <c r="K178" s="765">
        <f t="shared" si="68"/>
        <v>1.0000174414127563</v>
      </c>
      <c r="L178" s="766">
        <f t="shared" si="69"/>
        <v>5.9061255079247438E-3</v>
      </c>
      <c r="M178" s="765">
        <f t="shared" si="70"/>
        <v>1.0021740291456047</v>
      </c>
      <c r="N178" s="766">
        <f t="shared" si="71"/>
        <v>-6.5880160439553304E-2</v>
      </c>
      <c r="O178" s="764">
        <f t="shared" si="72"/>
        <v>188495.55900265259</v>
      </c>
      <c r="P178" s="767">
        <f t="shared" si="73"/>
        <v>1.5707910216301209</v>
      </c>
      <c r="Q178" s="768">
        <f t="shared" si="100"/>
        <v>23.269283095285147</v>
      </c>
      <c r="R178" s="769">
        <f t="shared" si="101"/>
        <v>1.5278079776474305</v>
      </c>
      <c r="S178" s="764">
        <f t="shared" si="76"/>
        <v>1.0139119401280567</v>
      </c>
      <c r="T178" s="767">
        <f t="shared" si="77"/>
        <v>0.16584659692373699</v>
      </c>
      <c r="U178" s="770">
        <f t="shared" si="89"/>
        <v>0.98138284487512428</v>
      </c>
      <c r="V178" s="771">
        <f t="shared" si="90"/>
        <v>-0.23596072089007925</v>
      </c>
      <c r="W178" s="772">
        <f t="shared" si="78"/>
        <v>-3.6533966920317158</v>
      </c>
      <c r="X178" s="773">
        <f t="shared" si="79"/>
        <v>-117.80830567632836</v>
      </c>
      <c r="Y178" s="774">
        <f t="shared" si="80"/>
        <v>62.191694323671641</v>
      </c>
      <c r="AA178" s="327">
        <f t="shared" si="81"/>
        <v>10000</v>
      </c>
      <c r="AB178" s="327">
        <f t="shared" si="82"/>
        <v>100000000</v>
      </c>
      <c r="AD178" s="775">
        <f t="shared" si="83"/>
        <v>26.81508296677276</v>
      </c>
      <c r="AE178" s="774">
        <f t="shared" si="84"/>
        <v>-11.965057074842893</v>
      </c>
      <c r="AG178" s="775">
        <f>20*LOG10((K178*M178/(I178*U178))*Acs*Am)</f>
        <v>15.038970038066779</v>
      </c>
      <c r="AH178" s="774">
        <f t="shared" si="86"/>
        <v>-78.804141694856938</v>
      </c>
      <c r="AJ178" s="327">
        <f t="shared" si="87"/>
        <v>0</v>
      </c>
      <c r="AK178" s="170">
        <f t="shared" si="99"/>
        <v>0</v>
      </c>
      <c r="AM178" s="327" t="str">
        <f t="shared" si="91"/>
        <v>0.0573009628098951+0.333644309528649i</v>
      </c>
      <c r="AN178" s="327" t="str">
        <f t="shared" si="92"/>
        <v>0.340166768759417i</v>
      </c>
      <c r="AO178" s="327" t="str">
        <f t="shared" si="93"/>
        <v>0.980825701303642-0.168449619634719i</v>
      </c>
      <c r="AP178" s="327" t="str">
        <f t="shared" si="94"/>
        <v>0.157116506198351-0.0556073849214415i</v>
      </c>
      <c r="AQ178" s="327" t="str">
        <f t="shared" si="95"/>
        <v>0.842883493801649+0.0556073849214415i</v>
      </c>
      <c r="AR178" s="327" t="str">
        <f t="shared" si="96"/>
        <v>0.983991452816276-0.0649166722074159i</v>
      </c>
    </row>
    <row r="179" spans="7:44">
      <c r="G179" s="688">
        <v>10058.25</v>
      </c>
      <c r="H179" s="676">
        <f t="shared" si="88"/>
        <v>10.058249999999999</v>
      </c>
      <c r="I179" s="677">
        <f t="shared" si="66"/>
        <v>51.801983228296614</v>
      </c>
      <c r="J179" s="678">
        <f t="shared" si="67"/>
        <v>1.5514908474039608</v>
      </c>
      <c r="K179" s="678">
        <f t="shared" si="68"/>
        <v>1.0000176451952152</v>
      </c>
      <c r="L179" s="679">
        <f t="shared" si="69"/>
        <v>5.9405278819684802E-3</v>
      </c>
      <c r="M179" s="678">
        <f t="shared" si="70"/>
        <v>1.0021994024785312</v>
      </c>
      <c r="N179" s="679">
        <f t="shared" si="71"/>
        <v>-6.6262793286999674E-2</v>
      </c>
      <c r="O179" s="677">
        <f t="shared" si="72"/>
        <v>189593.54563381223</v>
      </c>
      <c r="P179" s="680">
        <f t="shared" si="73"/>
        <v>1.5707910523537405</v>
      </c>
      <c r="Q179" s="689">
        <f t="shared" si="100"/>
        <v>23.404577062832438</v>
      </c>
      <c r="R179" s="690">
        <f t="shared" si="101"/>
        <v>1.528056630659981</v>
      </c>
      <c r="S179" s="677">
        <f t="shared" si="76"/>
        <v>1.0140733582700439</v>
      </c>
      <c r="T179" s="680">
        <f t="shared" si="77"/>
        <v>0.16679488539916199</v>
      </c>
      <c r="U179" s="681">
        <f t="shared" si="89"/>
        <v>0.98117553101187527</v>
      </c>
      <c r="V179" s="682">
        <f t="shared" si="90"/>
        <v>-0.23731041377451809</v>
      </c>
      <c r="W179" s="683">
        <f t="shared" si="78"/>
        <v>-3.7069150263083901</v>
      </c>
      <c r="X179" s="684">
        <f t="shared" si="79"/>
        <v>-117.95211898708689</v>
      </c>
      <c r="Y179" s="687">
        <f t="shared" si="80"/>
        <v>62.047881012913109</v>
      </c>
      <c r="AA179" s="170">
        <f t="shared" si="81"/>
        <v>10058.25</v>
      </c>
      <c r="AB179" s="170">
        <f t="shared" si="82"/>
        <v>101168393.0625</v>
      </c>
      <c r="AD179" s="686">
        <f t="shared" si="83"/>
        <v>26.813607621130743</v>
      </c>
      <c r="AE179" s="687">
        <f t="shared" si="84"/>
        <v>-12.00514499444283</v>
      </c>
      <c r="AG179" s="686">
        <f t="shared" si="85"/>
        <v>14.990597167713332</v>
      </c>
      <c r="AH179" s="687">
        <f t="shared" si="86"/>
        <v>-78.753203674004425</v>
      </c>
      <c r="AJ179" s="170">
        <f t="shared" si="87"/>
        <v>0</v>
      </c>
      <c r="AK179" s="170">
        <f t="shared" si="99"/>
        <v>0</v>
      </c>
      <c r="AM179" s="170" t="str">
        <f t="shared" si="91"/>
        <v>0.057963919669292+0.335511584531975i</v>
      </c>
      <c r="AN179" s="170" t="str">
        <f t="shared" si="92"/>
        <v>0.342148240187441i</v>
      </c>
      <c r="AO179" s="170" t="str">
        <f t="shared" si="93"/>
        <v>0.980602981760683-0.16941171358221i</v>
      </c>
      <c r="AP179" s="170" t="str">
        <f t="shared" si="94"/>
        <v>0.157006013388451-0.0559185974219958i</v>
      </c>
      <c r="AQ179" s="170" t="str">
        <f t="shared" si="95"/>
        <v>0.842993986611549+0.0559185974219958i</v>
      </c>
      <c r="AR179" s="170" t="str">
        <f t="shared" si="96"/>
        <v>0.983815754486319-0.0652597740746254i</v>
      </c>
    </row>
    <row r="180" spans="7:44">
      <c r="G180" s="688">
        <v>10116.5</v>
      </c>
      <c r="H180" s="676">
        <f t="shared" si="88"/>
        <v>10.1165</v>
      </c>
      <c r="I180" s="677">
        <f t="shared" si="66"/>
        <v>52.101870811608116</v>
      </c>
      <c r="J180" s="678">
        <f t="shared" si="67"/>
        <v>1.5516019794348201</v>
      </c>
      <c r="K180" s="678">
        <f t="shared" si="68"/>
        <v>1.0000178501612176</v>
      </c>
      <c r="L180" s="679">
        <f t="shared" si="69"/>
        <v>5.9749302419505514E-3</v>
      </c>
      <c r="M180" s="678">
        <f t="shared" si="70"/>
        <v>1.0022249225339213</v>
      </c>
      <c r="N180" s="679">
        <f t="shared" si="71"/>
        <v>-6.6645406704193819E-2</v>
      </c>
      <c r="O180" s="677">
        <f t="shared" si="72"/>
        <v>190691.53226497208</v>
      </c>
      <c r="P180" s="680">
        <f t="shared" si="73"/>
        <v>1.5707910827235521</v>
      </c>
      <c r="Q180" s="689">
        <f t="shared" si="100"/>
        <v>23.53987246081153</v>
      </c>
      <c r="R180" s="690">
        <f t="shared" si="101"/>
        <v>1.5283024254216053</v>
      </c>
      <c r="S180" s="677">
        <f t="shared" si="76"/>
        <v>1.014235688027803</v>
      </c>
      <c r="T180" s="680">
        <f t="shared" si="77"/>
        <v>0.16774287117719833</v>
      </c>
      <c r="U180" s="681">
        <f t="shared" si="89"/>
        <v>0.98096713816597059</v>
      </c>
      <c r="V180" s="682">
        <f t="shared" si="90"/>
        <v>-0.23865968768644363</v>
      </c>
      <c r="W180" s="683">
        <f t="shared" si="78"/>
        <v>-3.7601570259635513</v>
      </c>
      <c r="X180" s="684">
        <f t="shared" si="79"/>
        <v>-118.09597942982117</v>
      </c>
      <c r="Y180" s="687">
        <f t="shared" si="80"/>
        <v>61.90402057017883</v>
      </c>
      <c r="AA180" s="170">
        <f t="shared" si="81"/>
        <v>10116.5</v>
      </c>
      <c r="AB180" s="170">
        <f t="shared" si="82"/>
        <v>102343572.25</v>
      </c>
      <c r="AD180" s="686">
        <f t="shared" si="83"/>
        <v>26.812126282098721</v>
      </c>
      <c r="AE180" s="687">
        <f t="shared" si="84"/>
        <v>-12.045379316203228</v>
      </c>
      <c r="AG180" s="686">
        <f t="shared" si="85"/>
        <v>14.942526508426241</v>
      </c>
      <c r="AH180" s="687">
        <f t="shared" si="86"/>
        <v>-78.70221439368072</v>
      </c>
      <c r="AJ180" s="170">
        <f t="shared" si="87"/>
        <v>0</v>
      </c>
      <c r="AK180" s="170">
        <f t="shared" si="99"/>
        <v>0</v>
      </c>
      <c r="AM180" s="170" t="str">
        <f t="shared" si="91"/>
        <v>0.058630575176876+0.337377542240412i</v>
      </c>
      <c r="AN180" s="170" t="str">
        <f t="shared" si="92"/>
        <v>0.344129711615464i</v>
      </c>
      <c r="AO180" s="170" t="str">
        <f t="shared" si="93"/>
        <v>0.980378999118225-0.170373476040891i</v>
      </c>
      <c r="AP180" s="170" t="str">
        <f t="shared" si="94"/>
        <v>0.156894904137187-0.056229590373402i</v>
      </c>
      <c r="AQ180" s="170" t="str">
        <f t="shared" si="95"/>
        <v>0.843105095862813+0.056229590373402i</v>
      </c>
      <c r="AR180" s="170" t="str">
        <f t="shared" si="96"/>
        <v>0.983639185604478-0.0656022941305604i</v>
      </c>
    </row>
    <row r="181" spans="7:44">
      <c r="G181" s="688">
        <v>10174.75</v>
      </c>
      <c r="H181" s="676">
        <f t="shared" si="88"/>
        <v>10.17475</v>
      </c>
      <c r="I181" s="677">
        <f t="shared" si="66"/>
        <v>52.40175903102979</v>
      </c>
      <c r="J181" s="678">
        <f t="shared" si="67"/>
        <v>1.5517118394796905</v>
      </c>
      <c r="K181" s="678">
        <f t="shared" si="68"/>
        <v>1.000018056310763</v>
      </c>
      <c r="L181" s="679">
        <f t="shared" si="69"/>
        <v>6.0093325877895324E-3</v>
      </c>
      <c r="M181" s="678">
        <f t="shared" si="70"/>
        <v>1.0022505893005675</v>
      </c>
      <c r="N181" s="679">
        <f t="shared" si="71"/>
        <v>-6.7028000580600405E-2</v>
      </c>
      <c r="O181" s="677">
        <f t="shared" si="72"/>
        <v>191789.51889613201</v>
      </c>
      <c r="P181" s="680">
        <f t="shared" si="73"/>
        <v>1.5707911127456318</v>
      </c>
      <c r="Q181" s="689">
        <f t="shared" si="100"/>
        <v>23.675169264699154</v>
      </c>
      <c r="R181" s="690">
        <f t="shared" si="101"/>
        <v>1.5285454109045997</v>
      </c>
      <c r="S181" s="677">
        <f t="shared" si="76"/>
        <v>1.0143989289636883</v>
      </c>
      <c r="T181" s="680">
        <f t="shared" si="77"/>
        <v>0.16869055269970865</v>
      </c>
      <c r="U181" s="681">
        <f t="shared" si="89"/>
        <v>0.98075766838187461</v>
      </c>
      <c r="V181" s="682">
        <f t="shared" si="90"/>
        <v>-0.240008540557932</v>
      </c>
      <c r="W181" s="683">
        <f t="shared" si="78"/>
        <v>-3.8131260459929504</v>
      </c>
      <c r="X181" s="684">
        <f t="shared" si="79"/>
        <v>-118.23988525782021</v>
      </c>
      <c r="Y181" s="687">
        <f t="shared" si="80"/>
        <v>61.760114742179795</v>
      </c>
      <c r="AA181" s="170">
        <f t="shared" si="81"/>
        <v>10174.75</v>
      </c>
      <c r="AB181" s="170">
        <f t="shared" si="82"/>
        <v>103525537.5625</v>
      </c>
      <c r="AD181" s="686">
        <f t="shared" si="83"/>
        <v>26.810638920768181</v>
      </c>
      <c r="AE181" s="687">
        <f t="shared" si="84"/>
        <v>-12.08575714529168</v>
      </c>
      <c r="AG181" s="686">
        <f t="shared" si="85"/>
        <v>14.894754710413256</v>
      </c>
      <c r="AH181" s="687">
        <f t="shared" si="86"/>
        <v>-78.65117523897392</v>
      </c>
      <c r="AJ181" s="170">
        <f t="shared" si="87"/>
        <v>0</v>
      </c>
      <c r="AK181" s="170">
        <f t="shared" si="99"/>
        <v>0</v>
      </c>
      <c r="AM181" s="170" t="str">
        <f t="shared" si="91"/>
        <v>0.059300926715205+0.339242175327786i</v>
      </c>
      <c r="AN181" s="170" t="str">
        <f t="shared" si="92"/>
        <v>0.346111183043488i</v>
      </c>
      <c r="AO181" s="170" t="str">
        <f t="shared" si="93"/>
        <v>0.980153753902719-0.171334905141606i</v>
      </c>
      <c r="AP181" s="170" t="str">
        <f t="shared" si="94"/>
        <v>0.156783178880799-0.056540362554631i</v>
      </c>
      <c r="AQ181" s="170" t="str">
        <f t="shared" si="95"/>
        <v>0.843216821119201+0.056540362554631i</v>
      </c>
      <c r="AR181" s="170" t="str">
        <f t="shared" si="96"/>
        <v>0.983461748590329-0.065944229800947i</v>
      </c>
    </row>
    <row r="182" spans="7:44">
      <c r="G182" s="688">
        <v>10233</v>
      </c>
      <c r="H182" s="676">
        <f t="shared" si="88"/>
        <v>10.233000000000001</v>
      </c>
      <c r="I182" s="677">
        <f t="shared" si="66"/>
        <v>52.701647875702669</v>
      </c>
      <c r="J182" s="678">
        <f t="shared" si="67"/>
        <v>1.5518204492498904</v>
      </c>
      <c r="K182" s="678">
        <f t="shared" si="68"/>
        <v>1.000018263643851</v>
      </c>
      <c r="L182" s="679">
        <f t="shared" si="69"/>
        <v>6.0437349194040011E-3</v>
      </c>
      <c r="M182" s="678">
        <f t="shared" si="70"/>
        <v>1.0022764027671984</v>
      </c>
      <c r="N182" s="679">
        <f t="shared" si="71"/>
        <v>-6.7410574805718271E-2</v>
      </c>
      <c r="O182" s="677">
        <f t="shared" si="72"/>
        <v>192887.5055272922</v>
      </c>
      <c r="P182" s="680">
        <f t="shared" si="73"/>
        <v>1.570791142425918</v>
      </c>
      <c r="Q182" s="689">
        <f t="shared" si="100"/>
        <v>23.810467450529181</v>
      </c>
      <c r="R182" s="690">
        <f t="shared" si="101"/>
        <v>1.5287856349695044</v>
      </c>
      <c r="S182" s="677">
        <f t="shared" si="76"/>
        <v>1.0145630806378807</v>
      </c>
      <c r="T182" s="680">
        <f t="shared" si="77"/>
        <v>0.16963792841174158</v>
      </c>
      <c r="U182" s="681">
        <f t="shared" si="89"/>
        <v>0.98054712371231889</v>
      </c>
      <c r="V182" s="682">
        <f t="shared" si="90"/>
        <v>-0.24135697032682557</v>
      </c>
      <c r="W182" s="683">
        <f t="shared" si="78"/>
        <v>-3.8658253831985179</v>
      </c>
      <c r="X182" s="684">
        <f t="shared" si="79"/>
        <v>-118.38383475961255</v>
      </c>
      <c r="Y182" s="687">
        <f t="shared" si="80"/>
        <v>61.616165240387446</v>
      </c>
      <c r="AA182" s="170">
        <f t="shared" si="81"/>
        <v>10233</v>
      </c>
      <c r="AB182" s="170">
        <f t="shared" si="82"/>
        <v>104714289</v>
      </c>
      <c r="AD182" s="686">
        <f t="shared" si="83"/>
        <v>26.809145509294808</v>
      </c>
      <c r="AE182" s="687">
        <f t="shared" si="84"/>
        <v>-12.126275650749285</v>
      </c>
      <c r="AG182" s="686">
        <f t="shared" si="85"/>
        <v>14.84727848090786</v>
      </c>
      <c r="AH182" s="687">
        <f t="shared" si="86"/>
        <v>-78.600087565677299</v>
      </c>
      <c r="AJ182" s="170">
        <f t="shared" si="87"/>
        <v>0</v>
      </c>
      <c r="AK182" s="170">
        <f t="shared" si="99"/>
        <v>0</v>
      </c>
      <c r="AM182" s="170" t="str">
        <f t="shared" si="91"/>
        <v>0.059974971652326+0.341105476473122i</v>
      </c>
      <c r="AN182" s="170" t="str">
        <f t="shared" si="92"/>
        <v>0.348092654471512i</v>
      </c>
      <c r="AO182" s="170" t="str">
        <f t="shared" si="93"/>
        <v>0.979927246643575-0.172295999016073i</v>
      </c>
      <c r="AP182" s="170" t="str">
        <f t="shared" si="94"/>
        <v>0.156670838057946-0.0568509127455203i</v>
      </c>
      <c r="AQ182" s="170" t="str">
        <f t="shared" si="95"/>
        <v>0.843329161942054+0.0568509127455203i</v>
      </c>
      <c r="AR182" s="170" t="str">
        <f t="shared" si="96"/>
        <v>0.983283445872383-0.0662855785239007i</v>
      </c>
    </row>
    <row r="183" spans="7:44">
      <c r="G183" s="688">
        <v>10292.5</v>
      </c>
      <c r="H183" s="676">
        <f t="shared" si="88"/>
        <v>10.2925</v>
      </c>
      <c r="I183" s="677">
        <f t="shared" si="66"/>
        <v>53.007972737795377</v>
      </c>
      <c r="J183" s="678">
        <f t="shared" si="67"/>
        <v>1.5519301209564387</v>
      </c>
      <c r="K183" s="678">
        <f t="shared" si="68"/>
        <v>1.0000184766480575</v>
      </c>
      <c r="L183" s="679">
        <f t="shared" si="69"/>
        <v>6.0788754837076842E-3</v>
      </c>
      <c r="M183" s="678">
        <f t="shared" si="70"/>
        <v>1.0023029216149604</v>
      </c>
      <c r="N183" s="679">
        <f t="shared" si="71"/>
        <v>-6.7801338374926995E-2</v>
      </c>
      <c r="O183" s="677">
        <f t="shared" si="72"/>
        <v>194009.05410332722</v>
      </c>
      <c r="P183" s="680">
        <f t="shared" si="73"/>
        <v>1.5707911723962804</v>
      </c>
      <c r="Q183" s="689">
        <f t="shared" si="100"/>
        <v>23.948670433294467</v>
      </c>
      <c r="R183" s="690">
        <f t="shared" si="101"/>
        <v>1.5290282117527934</v>
      </c>
      <c r="S183" s="677">
        <f t="shared" si="76"/>
        <v>1.0147316946842102</v>
      </c>
      <c r="T183" s="680">
        <f t="shared" si="77"/>
        <v>0.17060531673660126</v>
      </c>
      <c r="U183" s="681">
        <f t="shared" si="89"/>
        <v>0.98033095332755471</v>
      </c>
      <c r="V183" s="682">
        <f t="shared" si="90"/>
        <v>-0.24273389739947765</v>
      </c>
      <c r="W183" s="683">
        <f t="shared" si="78"/>
        <v>-3.9193805503611197</v>
      </c>
      <c r="X183" s="684">
        <f t="shared" si="79"/>
        <v>-118.53091665238657</v>
      </c>
      <c r="Y183" s="687">
        <f t="shared" si="80"/>
        <v>61.469083347613434</v>
      </c>
      <c r="AA183" s="170">
        <f t="shared" si="81"/>
        <v>10292.5</v>
      </c>
      <c r="AB183" s="170">
        <f t="shared" si="82"/>
        <v>105935556.25</v>
      </c>
      <c r="AD183" s="686">
        <f t="shared" si="83"/>
        <v>26.80761377620518</v>
      </c>
      <c r="AE183" s="687">
        <f t="shared" si="84"/>
        <v>-12.167806010246395</v>
      </c>
      <c r="AG183" s="686">
        <f t="shared" si="85"/>
        <v>14.799085233187977</v>
      </c>
      <c r="AH183" s="687">
        <f t="shared" si="86"/>
        <v>-78.547854878853386</v>
      </c>
      <c r="AJ183" s="170">
        <f t="shared" si="87"/>
        <v>0</v>
      </c>
      <c r="AK183" s="170">
        <f t="shared" si="99"/>
        <v>0</v>
      </c>
      <c r="AM183" s="170" t="str">
        <f t="shared" si="91"/>
        <v>0.060667291456624+0.343007379892277i</v>
      </c>
      <c r="AN183" s="170" t="str">
        <f t="shared" si="92"/>
        <v>0.35011664674563i</v>
      </c>
      <c r="AO183" s="170" t="str">
        <f t="shared" si="93"/>
        <v>0.979694576309255-0.173277369186906i</v>
      </c>
      <c r="AP183" s="170" t="str">
        <f t="shared" si="94"/>
        <v>0.156555451423896-0.0571678966487128i</v>
      </c>
      <c r="AQ183" s="170" t="str">
        <f t="shared" si="95"/>
        <v>0.843444548576104+0.0571678966487128i</v>
      </c>
      <c r="AR183" s="170" t="str">
        <f t="shared" si="96"/>
        <v>0.983100425681162-0.0666336437001408i</v>
      </c>
    </row>
    <row r="184" spans="7:44">
      <c r="G184" s="688">
        <v>10352</v>
      </c>
      <c r="H184" s="676">
        <f t="shared" si="88"/>
        <v>10.352</v>
      </c>
      <c r="I184" s="677">
        <f t="shared" si="66"/>
        <v>53.31429823013525</v>
      </c>
      <c r="J184" s="678">
        <f t="shared" si="67"/>
        <v>1.5520385323929962</v>
      </c>
      <c r="K184" s="678">
        <f t="shared" si="68"/>
        <v>1.0000186908871456</v>
      </c>
      <c r="L184" s="679">
        <f t="shared" si="69"/>
        <v>6.114016032998079E-3</v>
      </c>
      <c r="M184" s="678">
        <f t="shared" si="70"/>
        <v>1.0023295935024246</v>
      </c>
      <c r="N184" s="679">
        <f t="shared" si="71"/>
        <v>-6.8192081207441191E-2</v>
      </c>
      <c r="O184" s="677">
        <f t="shared" si="72"/>
        <v>195130.6026793624</v>
      </c>
      <c r="P184" s="680">
        <f t="shared" si="73"/>
        <v>1.5707912020221224</v>
      </c>
      <c r="Q184" s="689">
        <f t="shared" si="100"/>
        <v>24.086874809111823</v>
      </c>
      <c r="R184" s="690">
        <f t="shared" si="101"/>
        <v>1.5292680048619964</v>
      </c>
      <c r="S184" s="677">
        <f t="shared" si="76"/>
        <v>1.0149012580411652</v>
      </c>
      <c r="T184" s="680">
        <f t="shared" si="77"/>
        <v>0.17157238271584255</v>
      </c>
      <c r="U184" s="681">
        <f t="shared" si="89"/>
        <v>0.98011366578556469</v>
      </c>
      <c r="V184" s="682">
        <f t="shared" si="90"/>
        <v>-0.244110378684884</v>
      </c>
      <c r="W184" s="683">
        <f t="shared" si="78"/>
        <v>-3.9726611095882216</v>
      </c>
      <c r="X184" s="684">
        <f t="shared" si="79"/>
        <v>-118.67804061201008</v>
      </c>
      <c r="Y184" s="687">
        <f t="shared" si="80"/>
        <v>61.321959387989921</v>
      </c>
      <c r="AA184" s="170">
        <f t="shared" si="81"/>
        <v>10352</v>
      </c>
      <c r="AB184" s="170">
        <f t="shared" si="82"/>
        <v>107163904</v>
      </c>
      <c r="AD184" s="686">
        <f t="shared" si="83"/>
        <v>26.80607567504299</v>
      </c>
      <c r="AE184" s="687">
        <f t="shared" si="84"/>
        <v>-12.209477373737281</v>
      </c>
      <c r="AG184" s="686">
        <f t="shared" si="85"/>
        <v>14.751193606916589</v>
      </c>
      <c r="AH184" s="687">
        <f t="shared" si="86"/>
        <v>-78.495574338340745</v>
      </c>
      <c r="AJ184" s="170">
        <f t="shared" si="87"/>
        <v>0</v>
      </c>
      <c r="AK184" s="170">
        <f t="shared" si="99"/>
        <v>0</v>
      </c>
      <c r="AM184" s="170" t="str">
        <f t="shared" si="91"/>
        <v>0.061363459278061+0.34490787816684i</v>
      </c>
      <c r="AN184" s="170" t="str">
        <f t="shared" si="92"/>
        <v>0.352140639019749i</v>
      </c>
      <c r="AO184" s="170" t="str">
        <f t="shared" si="93"/>
        <v>0.979460590311181-0.174258385652045i</v>
      </c>
      <c r="AP184" s="170" t="str">
        <f t="shared" si="94"/>
        <v>0.156439423453656-0.05748464636114i</v>
      </c>
      <c r="AQ184" s="170" t="str">
        <f t="shared" si="95"/>
        <v>0.843560576546344+0.05748464636114i</v>
      </c>
      <c r="AR184" s="170" t="str">
        <f t="shared" si="96"/>
        <v>0.982916507383092-0.0669810911040598i</v>
      </c>
    </row>
    <row r="185" spans="7:44">
      <c r="G185" s="688">
        <v>10411.5</v>
      </c>
      <c r="H185" s="676">
        <f t="shared" si="88"/>
        <v>10.4115</v>
      </c>
      <c r="I185" s="677">
        <f t="shared" si="66"/>
        <v>53.620624341920802</v>
      </c>
      <c r="J185" s="678">
        <f t="shared" si="67"/>
        <v>1.5521457051561589</v>
      </c>
      <c r="K185" s="678">
        <f t="shared" si="68"/>
        <v>1.0000189063611145</v>
      </c>
      <c r="L185" s="679">
        <f t="shared" si="69"/>
        <v>6.1491565671884059E-3</v>
      </c>
      <c r="M185" s="678">
        <f t="shared" si="70"/>
        <v>1.0023564184173741</v>
      </c>
      <c r="N185" s="679">
        <f t="shared" si="71"/>
        <v>-6.8582803185603794E-2</v>
      </c>
      <c r="O185" s="677">
        <f t="shared" si="72"/>
        <v>196252.15125539777</v>
      </c>
      <c r="P185" s="680">
        <f t="shared" si="73"/>
        <v>1.5707912313093511</v>
      </c>
      <c r="Q185" s="689">
        <f t="shared" si="100"/>
        <v>24.225080554139112</v>
      </c>
      <c r="R185" s="690">
        <f t="shared" si="101"/>
        <v>1.5295050619124528</v>
      </c>
      <c r="S185" s="677">
        <f t="shared" si="76"/>
        <v>1.015071770233011</v>
      </c>
      <c r="T185" s="680">
        <f t="shared" si="77"/>
        <v>0.17253912470262758</v>
      </c>
      <c r="U185" s="681">
        <f t="shared" si="89"/>
        <v>0.97989526330043553</v>
      </c>
      <c r="V185" s="682">
        <f t="shared" si="90"/>
        <v>-0.24548641200403523</v>
      </c>
      <c r="W185" s="683">
        <f t="shared" si="78"/>
        <v>-4.0256703949486603</v>
      </c>
      <c r="X185" s="684">
        <f t="shared" si="79"/>
        <v>-118.82520492211626</v>
      </c>
      <c r="Y185" s="687">
        <f t="shared" si="80"/>
        <v>61.174795077883743</v>
      </c>
      <c r="AA185" s="170">
        <f t="shared" si="81"/>
        <v>10411.5</v>
      </c>
      <c r="AB185" s="170">
        <f t="shared" si="82"/>
        <v>108399332.25</v>
      </c>
      <c r="AD185" s="686">
        <f t="shared" si="83"/>
        <v>26.804531179350008</v>
      </c>
      <c r="AE185" s="687">
        <f t="shared" si="84"/>
        <v>-12.251286919045548</v>
      </c>
      <c r="AG185" s="686">
        <f t="shared" si="85"/>
        <v>14.703600268776135</v>
      </c>
      <c r="AH185" s="687">
        <f t="shared" si="86"/>
        <v>-78.44324729964498</v>
      </c>
      <c r="AJ185" s="170">
        <f t="shared" si="87"/>
        <v>0</v>
      </c>
      <c r="AK185" s="170">
        <f t="shared" si="99"/>
        <v>0</v>
      </c>
      <c r="AM185" s="170" t="str">
        <f t="shared" si="91"/>
        <v>0.0620634722647549+0.346806963511335i</v>
      </c>
      <c r="AN185" s="170" t="str">
        <f t="shared" si="92"/>
        <v>0.354164631293867i</v>
      </c>
      <c r="AO185" s="170" t="str">
        <f t="shared" si="93"/>
        <v>0.979225289223116-0.175239046423181i</v>
      </c>
      <c r="AP185" s="170" t="str">
        <f t="shared" si="94"/>
        <v>0.156322754622541-0.0578011605852225i</v>
      </c>
      <c r="AQ185" s="170" t="str">
        <f t="shared" si="95"/>
        <v>0.843677245377459+0.0578011605852225i</v>
      </c>
      <c r="AR185" s="170" t="str">
        <f t="shared" si="96"/>
        <v>0.982731693594794-0.0673279180455399i</v>
      </c>
    </row>
    <row r="186" spans="7:44">
      <c r="G186" s="688">
        <v>10471</v>
      </c>
      <c r="H186" s="676">
        <f t="shared" si="88"/>
        <v>10.471</v>
      </c>
      <c r="I186" s="677">
        <f t="shared" si="66"/>
        <v>53.926951062595947</v>
      </c>
      <c r="J186" s="678">
        <f t="shared" si="67"/>
        <v>1.5522516603519299</v>
      </c>
      <c r="K186" s="678">
        <f t="shared" si="68"/>
        <v>1.0000191230699633</v>
      </c>
      <c r="L186" s="679">
        <f t="shared" si="69"/>
        <v>6.1842970861918879E-3</v>
      </c>
      <c r="M186" s="678">
        <f t="shared" si="70"/>
        <v>1.0023833963475237</v>
      </c>
      <c r="N186" s="679">
        <f t="shared" si="71"/>
        <v>-6.8973504191795779E-2</v>
      </c>
      <c r="O186" s="677">
        <f t="shared" si="72"/>
        <v>197373.69983143327</v>
      </c>
      <c r="P186" s="680">
        <f t="shared" si="73"/>
        <v>1.5707912602637384</v>
      </c>
      <c r="Q186" s="689">
        <f t="shared" si="100"/>
        <v>24.363287645074958</v>
      </c>
      <c r="R186" s="690">
        <f t="shared" si="101"/>
        <v>1.5297394294403059</v>
      </c>
      <c r="S186" s="677">
        <f t="shared" si="76"/>
        <v>1.0152432307816714</v>
      </c>
      <c r="T186" s="680">
        <f t="shared" si="77"/>
        <v>0.17350554105364427</v>
      </c>
      <c r="U186" s="681">
        <f t="shared" si="89"/>
        <v>0.97967574809500835</v>
      </c>
      <c r="V186" s="682">
        <f t="shared" si="90"/>
        <v>-0.24686199518429663</v>
      </c>
      <c r="W186" s="683">
        <f t="shared" si="78"/>
        <v>-4.0784116827600947</v>
      </c>
      <c r="X186" s="684">
        <f t="shared" si="79"/>
        <v>-118.97240790062429</v>
      </c>
      <c r="Y186" s="687">
        <f t="shared" si="80"/>
        <v>61.02759209937571</v>
      </c>
      <c r="AA186" s="170">
        <f t="shared" si="81"/>
        <v>10471</v>
      </c>
      <c r="AB186" s="170">
        <f t="shared" si="82"/>
        <v>109641841</v>
      </c>
      <c r="AD186" s="686">
        <f t="shared" si="83"/>
        <v>26.802980263681743</v>
      </c>
      <c r="AE186" s="687">
        <f t="shared" si="84"/>
        <v>-12.293231886022467</v>
      </c>
      <c r="AG186" s="686">
        <f t="shared" si="85"/>
        <v>14.656301942075778</v>
      </c>
      <c r="AH186" s="687">
        <f t="shared" si="86"/>
        <v>-78.39087508979965</v>
      </c>
      <c r="AJ186" s="170">
        <f t="shared" si="87"/>
        <v>0</v>
      </c>
      <c r="AK186" s="170">
        <f t="shared" si="99"/>
        <v>0</v>
      </c>
      <c r="AM186" s="170" t="str">
        <f t="shared" si="91"/>
        <v>0.062767327549074+0.348704628146078i</v>
      </c>
      <c r="AN186" s="170" t="str">
        <f t="shared" si="92"/>
        <v>0.356188623567986i</v>
      </c>
      <c r="AO186" s="170" t="str">
        <f t="shared" si="93"/>
        <v>0.978988673622027-0.176219349512979i</v>
      </c>
      <c r="AP186" s="170" t="str">
        <f t="shared" si="94"/>
        <v>0.156205445408488-0.0581174380243463i</v>
      </c>
      <c r="AQ186" s="170" t="str">
        <f t="shared" si="95"/>
        <v>0.843794554591512+0.0581174380243463i</v>
      </c>
      <c r="AR186" s="170" t="str">
        <f t="shared" si="96"/>
        <v>0.982545986942283-0.0676741218480989i</v>
      </c>
    </row>
    <row r="187" spans="7:44">
      <c r="G187" s="688">
        <v>10532</v>
      </c>
      <c r="H187" s="676">
        <f t="shared" si="88"/>
        <v>10.532</v>
      </c>
      <c r="I187" s="677">
        <f t="shared" si="66"/>
        <v>54.241000926949859</v>
      </c>
      <c r="J187" s="678">
        <f t="shared" si="67"/>
        <v>1.5523590442831261</v>
      </c>
      <c r="K187" s="678">
        <f t="shared" si="68"/>
        <v>1.000019346524029</v>
      </c>
      <c r="L187" s="679">
        <f t="shared" si="69"/>
        <v>6.2203234847756257E-3</v>
      </c>
      <c r="M187" s="678">
        <f t="shared" si="70"/>
        <v>1.002411213230739</v>
      </c>
      <c r="N187" s="679">
        <f t="shared" si="71"/>
        <v>-6.9374032908403216E-2</v>
      </c>
      <c r="O187" s="677">
        <f t="shared" si="72"/>
        <v>198523.52274131859</v>
      </c>
      <c r="P187" s="680">
        <f t="shared" si="73"/>
        <v>1.5707912896084404</v>
      </c>
      <c r="Q187" s="689">
        <f t="shared" si="100"/>
        <v>24.504980321779641</v>
      </c>
      <c r="R187" s="690">
        <f t="shared" si="101"/>
        <v>1.5299769609232883</v>
      </c>
      <c r="S187" s="677">
        <f t="shared" si="76"/>
        <v>1.015419997882645</v>
      </c>
      <c r="T187" s="680">
        <f t="shared" si="77"/>
        <v>0.1744959810722938</v>
      </c>
      <c r="U187" s="681">
        <f t="shared" si="89"/>
        <v>0.97944954607741919</v>
      </c>
      <c r="V187" s="682">
        <f t="shared" si="90"/>
        <v>-0.24827178736041913</v>
      </c>
      <c r="W187" s="683">
        <f t="shared" si="78"/>
        <v>-4.1322077361863734</v>
      </c>
      <c r="X187" s="684">
        <f t="shared" si="79"/>
        <v>-119.12336029575044</v>
      </c>
      <c r="Y187" s="687">
        <f t="shared" si="80"/>
        <v>60.876639704249556</v>
      </c>
      <c r="AA187" s="170">
        <f t="shared" si="81"/>
        <v>10532</v>
      </c>
      <c r="AB187" s="170">
        <f t="shared" si="82"/>
        <v>110923024</v>
      </c>
      <c r="AD187" s="686">
        <f t="shared" si="83"/>
        <v>26.801383558907755</v>
      </c>
      <c r="AE187" s="687">
        <f t="shared" si="84"/>
        <v>-12.336372048852432</v>
      </c>
      <c r="AG187" s="686">
        <f t="shared" si="85"/>
        <v>14.60811410973694</v>
      </c>
      <c r="AH187" s="687">
        <f t="shared" si="86"/>
        <v>-78.337137038546416</v>
      </c>
      <c r="AJ187" s="170">
        <f t="shared" si="87"/>
        <v>0</v>
      </c>
      <c r="AK187" s="170">
        <f t="shared" si="99"/>
        <v>0</v>
      </c>
      <c r="AM187" s="170" t="str">
        <f t="shared" si="91"/>
        <v>0.06349291288125+0.350648650042111i</v>
      </c>
      <c r="AN187" s="170" t="str">
        <f t="shared" si="92"/>
        <v>0.358263640857418i</v>
      </c>
      <c r="AO187" s="170" t="str">
        <f t="shared" si="93"/>
        <v>0.978744728889925-0.177223992725846i</v>
      </c>
      <c r="AP187" s="170" t="str">
        <f t="shared" si="94"/>
        <v>0.156084514519792-0.0584414416736852i</v>
      </c>
      <c r="AQ187" s="170" t="str">
        <f t="shared" si="95"/>
        <v>0.843915485480208+0.0584414416736852i</v>
      </c>
      <c r="AR187" s="170" t="str">
        <f t="shared" si="96"/>
        <v>0.982354674456614-0.0680284037891074i</v>
      </c>
    </row>
    <row r="188" spans="7:44">
      <c r="G188" s="688">
        <v>10593</v>
      </c>
      <c r="H188" s="676">
        <f t="shared" si="88"/>
        <v>10.593</v>
      </c>
      <c r="I188" s="677">
        <f t="shared" si="66"/>
        <v>54.555051409572378</v>
      </c>
      <c r="J188" s="678">
        <f t="shared" si="67"/>
        <v>1.552465191887292</v>
      </c>
      <c r="K188" s="678">
        <f t="shared" si="68"/>
        <v>1.0000195712760209</v>
      </c>
      <c r="L188" s="679">
        <f t="shared" si="69"/>
        <v>6.2563498672124299E-3</v>
      </c>
      <c r="M188" s="678">
        <f t="shared" si="70"/>
        <v>1.002439190915082</v>
      </c>
      <c r="N188" s="679">
        <f t="shared" si="71"/>
        <v>-6.9774539332059682E-2</v>
      </c>
      <c r="O188" s="677">
        <f t="shared" si="72"/>
        <v>199673.34565120412</v>
      </c>
      <c r="P188" s="680">
        <f t="shared" si="73"/>
        <v>1.5707913186151781</v>
      </c>
      <c r="Q188" s="689">
        <f t="shared" si="100"/>
        <v>24.646674365187781</v>
      </c>
      <c r="R188" s="690">
        <f t="shared" si="101"/>
        <v>1.5302117612763773</v>
      </c>
      <c r="S188" s="677">
        <f t="shared" si="76"/>
        <v>1.0155977607343103</v>
      </c>
      <c r="T188" s="680">
        <f t="shared" si="77"/>
        <v>0.17548607534306834</v>
      </c>
      <c r="U188" s="681">
        <f t="shared" si="89"/>
        <v>0.97922217928833144</v>
      </c>
      <c r="V188" s="682">
        <f t="shared" si="90"/>
        <v>-0.24968110181142053</v>
      </c>
      <c r="W188" s="683">
        <f t="shared" si="78"/>
        <v>-4.1857289027132714</v>
      </c>
      <c r="X188" s="684">
        <f t="shared" si="79"/>
        <v>-119.27434985951383</v>
      </c>
      <c r="Y188" s="687">
        <f t="shared" si="80"/>
        <v>60.725650140486167</v>
      </c>
      <c r="AA188" s="170">
        <f t="shared" si="81"/>
        <v>10593</v>
      </c>
      <c r="AB188" s="170">
        <f t="shared" si="82"/>
        <v>112211649</v>
      </c>
      <c r="AD188" s="686">
        <f t="shared" si="83"/>
        <v>26.799780055347235</v>
      </c>
      <c r="AE188" s="687">
        <f t="shared" si="84"/>
        <v>-12.379648864640814</v>
      </c>
      <c r="AG188" s="686">
        <f t="shared" si="85"/>
        <v>14.560229553126616</v>
      </c>
      <c r="AH188" s="687">
        <f t="shared" si="86"/>
        <v>-78.283354246238574</v>
      </c>
      <c r="AJ188" s="170">
        <f t="shared" si="87"/>
        <v>0</v>
      </c>
      <c r="AK188" s="170">
        <f t="shared" si="99"/>
        <v>0</v>
      </c>
      <c r="AM188" s="170" t="str">
        <f t="shared" si="91"/>
        <v>0.064222530527503+0.352591162151932i</v>
      </c>
      <c r="AN188" s="170" t="str">
        <f t="shared" si="92"/>
        <v>0.360338658146851i</v>
      </c>
      <c r="AO188" s="170" t="str">
        <f t="shared" si="93"/>
        <v>0.978499403769879-0.178228255768578i</v>
      </c>
      <c r="AP188" s="170" t="str">
        <f t="shared" si="94"/>
        <v>0.15596291157875-0.0587651936919887i</v>
      </c>
      <c r="AQ188" s="170" t="str">
        <f t="shared" si="95"/>
        <v>0.84403708842125+0.0587651936919887i</v>
      </c>
      <c r="AR188" s="170" t="str">
        <f t="shared" si="96"/>
        <v>0.982162429140603-0.068382025123327i</v>
      </c>
    </row>
    <row r="189" spans="7:44">
      <c r="G189" s="688">
        <v>10654</v>
      </c>
      <c r="H189" s="676">
        <f t="shared" si="88"/>
        <v>10.654</v>
      </c>
      <c r="I189" s="677">
        <f t="shared" si="66"/>
        <v>54.86910249984728</v>
      </c>
      <c r="J189" s="678">
        <f t="shared" si="67"/>
        <v>1.552570124390894</v>
      </c>
      <c r="K189" s="678">
        <f t="shared" si="68"/>
        <v>1.0000197973259377</v>
      </c>
      <c r="L189" s="679">
        <f t="shared" si="69"/>
        <v>6.2923762334087937E-3</v>
      </c>
      <c r="M189" s="678">
        <f t="shared" si="70"/>
        <v>1.0024673293870896</v>
      </c>
      <c r="N189" s="679">
        <f t="shared" si="71"/>
        <v>-7.0175023336150305E-2</v>
      </c>
      <c r="O189" s="677">
        <f t="shared" si="72"/>
        <v>200823.16856108975</v>
      </c>
      <c r="P189" s="680">
        <f t="shared" si="73"/>
        <v>1.570791347289757</v>
      </c>
      <c r="Q189" s="689">
        <f t="shared" si="100"/>
        <v>24.788369751862536</v>
      </c>
      <c r="R189" s="690">
        <f t="shared" si="101"/>
        <v>1.530443877308548</v>
      </c>
      <c r="S189" s="677">
        <f t="shared" si="76"/>
        <v>1.0157765188138923</v>
      </c>
      <c r="T189" s="680">
        <f t="shared" si="77"/>
        <v>0.17647582210684679</v>
      </c>
      <c r="U189" s="681">
        <f t="shared" si="89"/>
        <v>0.97899365015124939</v>
      </c>
      <c r="V189" s="682">
        <f t="shared" si="90"/>
        <v>-0.25108993621715781</v>
      </c>
      <c r="W189" s="683">
        <f t="shared" si="78"/>
        <v>-4.2389785322417337</v>
      </c>
      <c r="X189" s="684">
        <f t="shared" si="79"/>
        <v>-119.42537488550363</v>
      </c>
      <c r="Y189" s="687">
        <f t="shared" si="80"/>
        <v>60.574625114496371</v>
      </c>
      <c r="AA189" s="170">
        <f t="shared" si="81"/>
        <v>10654</v>
      </c>
      <c r="AB189" s="170">
        <f t="shared" si="82"/>
        <v>113507716</v>
      </c>
      <c r="AD189" s="686">
        <f t="shared" si="83"/>
        <v>26.798169728687622</v>
      </c>
      <c r="AE189" s="687">
        <f t="shared" si="84"/>
        <v>-12.423059550973303</v>
      </c>
      <c r="AG189" s="686">
        <f t="shared" si="85"/>
        <v>14.512644918477571</v>
      </c>
      <c r="AH189" s="687">
        <f t="shared" si="86"/>
        <v>-78.229528054748286</v>
      </c>
      <c r="AJ189" s="170">
        <f t="shared" si="87"/>
        <v>0</v>
      </c>
      <c r="AK189" s="170">
        <f t="shared" si="99"/>
        <v>0</v>
      </c>
      <c r="AM189" s="170" t="str">
        <f t="shared" si="91"/>
        <v>0.06495617734632+0.354532156111676i</v>
      </c>
      <c r="AN189" s="170" t="str">
        <f t="shared" si="92"/>
        <v>0.362413675436283i</v>
      </c>
      <c r="AO189" s="170" t="str">
        <f t="shared" si="93"/>
        <v>0.978252698894105-0.179232136502918i</v>
      </c>
      <c r="AP189" s="170" t="str">
        <f t="shared" si="94"/>
        <v>0.155840637108947-0.0590886926852793i</v>
      </c>
      <c r="AQ189" s="170" t="str">
        <f t="shared" si="95"/>
        <v>0.844159362891053+0.0590886926852793i</v>
      </c>
      <c r="AR189" s="170" t="str">
        <f t="shared" si="96"/>
        <v>0.981969253854125-0.0687349830115761i</v>
      </c>
    </row>
    <row r="190" spans="7:44">
      <c r="G190" s="688">
        <v>10715</v>
      </c>
      <c r="H190" s="676">
        <f t="shared" si="88"/>
        <v>10.715</v>
      </c>
      <c r="I190" s="677">
        <f t="shared" si="66"/>
        <v>55.183154187399978</v>
      </c>
      <c r="J190" s="678">
        <f t="shared" si="67"/>
        <v>1.5526738625373013</v>
      </c>
      <c r="K190" s="678">
        <f t="shared" si="68"/>
        <v>1.0000200246737785</v>
      </c>
      <c r="L190" s="679">
        <f t="shared" si="69"/>
        <v>6.3284025832712112E-3</v>
      </c>
      <c r="M190" s="678">
        <f t="shared" si="70"/>
        <v>1.0024956286332223</v>
      </c>
      <c r="N190" s="679">
        <f t="shared" si="71"/>
        <v>-7.0575484794103166E-2</v>
      </c>
      <c r="O190" s="677">
        <f t="shared" si="72"/>
        <v>201972.9914709756</v>
      </c>
      <c r="P190" s="680">
        <f t="shared" si="73"/>
        <v>1.5707913756378498</v>
      </c>
      <c r="Q190" s="689">
        <f t="shared" si="100"/>
        <v>24.930066458899674</v>
      </c>
      <c r="R190" s="690">
        <f t="shared" si="101"/>
        <v>1.5306733547657434</v>
      </c>
      <c r="S190" s="677">
        <f t="shared" si="76"/>
        <v>1.0159562715960588</v>
      </c>
      <c r="T190" s="680">
        <f t="shared" si="77"/>
        <v>0.17746521960846612</v>
      </c>
      <c r="U190" s="681">
        <f t="shared" si="89"/>
        <v>0.97876396109906683</v>
      </c>
      <c r="V190" s="682">
        <f t="shared" si="90"/>
        <v>-0.25249828826463677</v>
      </c>
      <c r="W190" s="683">
        <f t="shared" si="78"/>
        <v>-4.2919599165127833</v>
      </c>
      <c r="X190" s="684">
        <f t="shared" si="79"/>
        <v>-119.57643370116797</v>
      </c>
      <c r="Y190" s="687">
        <f t="shared" si="80"/>
        <v>60.423566298832029</v>
      </c>
      <c r="AA190" s="170">
        <f t="shared" si="81"/>
        <v>10715</v>
      </c>
      <c r="AB190" s="170">
        <f t="shared" si="82"/>
        <v>114811225</v>
      </c>
      <c r="AD190" s="686">
        <f t="shared" si="83"/>
        <v>26.796552555596737</v>
      </c>
      <c r="AE190" s="687">
        <f t="shared" si="84"/>
        <v>-12.466601386562013</v>
      </c>
      <c r="AG190" s="686">
        <f t="shared" si="85"/>
        <v>14.465356909082594</v>
      </c>
      <c r="AH190" s="687">
        <f t="shared" si="86"/>
        <v>-78.175659777861185</v>
      </c>
      <c r="AJ190" s="170">
        <f t="shared" si="87"/>
        <v>0</v>
      </c>
      <c r="AK190" s="170">
        <f t="shared" si="99"/>
        <v>0</v>
      </c>
      <c r="AM190" s="170" t="str">
        <f t="shared" si="91"/>
        <v>0.065693850178843+0.356471623564016i</v>
      </c>
      <c r="AN190" s="170" t="str">
        <f t="shared" si="92"/>
        <v>0.364488692725716i</v>
      </c>
      <c r="AO190" s="170" t="str">
        <f t="shared" si="93"/>
        <v>0.978004614898348-0.180235632791711i</v>
      </c>
      <c r="AP190" s="170" t="str">
        <f t="shared" si="94"/>
        <v>0.15571769163686-0.0594119372606693i</v>
      </c>
      <c r="AQ190" s="170" t="str">
        <f t="shared" si="95"/>
        <v>0.84428230836314+0.0594119372606693i</v>
      </c>
      <c r="AR190" s="170" t="str">
        <f t="shared" si="96"/>
        <v>0.981775151467057-0.0690872746298937i</v>
      </c>
    </row>
    <row r="191" spans="7:44">
      <c r="G191" s="688">
        <v>10777.5</v>
      </c>
      <c r="H191" s="676">
        <f t="shared" si="88"/>
        <v>10.7775</v>
      </c>
      <c r="I191" s="677">
        <f t="shared" si="66"/>
        <v>55.504929066321054</v>
      </c>
      <c r="J191" s="678">
        <f t="shared" si="67"/>
        <v>1.552778934046567</v>
      </c>
      <c r="K191" s="678">
        <f t="shared" si="68"/>
        <v>1.00002025895833</v>
      </c>
      <c r="L191" s="679">
        <f t="shared" si="69"/>
        <v>6.3653148099435597E-3</v>
      </c>
      <c r="M191" s="678">
        <f t="shared" si="70"/>
        <v>1.0025247905011456</v>
      </c>
      <c r="N191" s="679">
        <f t="shared" si="71"/>
        <v>-7.0985770148072891E-2</v>
      </c>
      <c r="O191" s="677">
        <f t="shared" si="72"/>
        <v>203151.08871471125</v>
      </c>
      <c r="P191" s="680">
        <f t="shared" si="73"/>
        <v>1.5707914043501963</v>
      </c>
      <c r="Q191" s="689">
        <f t="shared" si="100"/>
        <v>25.075248857249054</v>
      </c>
      <c r="R191" s="690">
        <f t="shared" si="101"/>
        <v>1.5309057851633285</v>
      </c>
      <c r="S191" s="677">
        <f t="shared" si="76"/>
        <v>1.0161414756697582</v>
      </c>
      <c r="T191" s="680">
        <f t="shared" si="77"/>
        <v>0.17847858247529746</v>
      </c>
      <c r="U191" s="681">
        <f t="shared" si="89"/>
        <v>0.97852742345976407</v>
      </c>
      <c r="V191" s="682">
        <f t="shared" si="90"/>
        <v>-0.2539407692126962</v>
      </c>
      <c r="W191" s="683">
        <f t="shared" si="78"/>
        <v>-4.3459692834077099</v>
      </c>
      <c r="X191" s="684">
        <f t="shared" si="79"/>
        <v>-119.73124040977123</v>
      </c>
      <c r="Y191" s="687">
        <f t="shared" si="80"/>
        <v>60.268759590228768</v>
      </c>
      <c r="AA191" s="170">
        <f t="shared" si="81"/>
        <v>10777.5</v>
      </c>
      <c r="AB191" s="170">
        <f t="shared" si="82"/>
        <v>116154506.25</v>
      </c>
      <c r="AD191" s="686">
        <f t="shared" si="83"/>
        <v>26.794888491520453</v>
      </c>
      <c r="AE191" s="687">
        <f t="shared" si="84"/>
        <v>-12.51134716628196</v>
      </c>
      <c r="AG191" s="686">
        <f t="shared" si="85"/>
        <v>14.417210347149325</v>
      </c>
      <c r="AH191" s="687">
        <f t="shared" si="86"/>
        <v>-78.120424565851962</v>
      </c>
      <c r="AJ191" s="170">
        <f t="shared" si="87"/>
        <v>0</v>
      </c>
      <c r="AK191" s="170">
        <f t="shared" si="99"/>
        <v>0</v>
      </c>
      <c r="AM191" s="170" t="str">
        <f t="shared" si="91"/>
        <v>0.066453834917252+0.358457190832174i</v>
      </c>
      <c r="AN191" s="170" t="str">
        <f t="shared" si="92"/>
        <v>0.366614735030462i</v>
      </c>
      <c r="AO191" s="170" t="str">
        <f t="shared" si="93"/>
        <v>0.977749000738854-0.181263404242959i</v>
      </c>
      <c r="AP191" s="170" t="str">
        <f t="shared" si="94"/>
        <v>0.155591027513791-0.0597428651386957i</v>
      </c>
      <c r="AQ191" s="170" t="str">
        <f t="shared" si="95"/>
        <v>0.844408972486209+0.0597428651386957i</v>
      </c>
      <c r="AR191" s="170" t="str">
        <f t="shared" si="96"/>
        <v>0.98157531750467-0.069447535173025i</v>
      </c>
    </row>
    <row r="192" spans="7:44">
      <c r="G192" s="688">
        <v>10840</v>
      </c>
      <c r="H192" s="676">
        <f t="shared" si="88"/>
        <v>10.84</v>
      </c>
      <c r="I192" s="677">
        <f t="shared" si="66"/>
        <v>55.826704550953913</v>
      </c>
      <c r="J192" s="678">
        <f t="shared" si="67"/>
        <v>1.5528827943288979</v>
      </c>
      <c r="K192" s="678">
        <f t="shared" si="68"/>
        <v>1.0000204946054212</v>
      </c>
      <c r="L192" s="679">
        <f t="shared" si="69"/>
        <v>6.4022270192700412E-3</v>
      </c>
      <c r="M192" s="678">
        <f t="shared" si="70"/>
        <v>1.0025541211183149</v>
      </c>
      <c r="N192" s="679">
        <f t="shared" si="71"/>
        <v>-7.1396031564570528E-2</v>
      </c>
      <c r="O192" s="677">
        <f t="shared" si="72"/>
        <v>204329.18595844708</v>
      </c>
      <c r="P192" s="680">
        <f t="shared" si="73"/>
        <v>1.5707914327314503</v>
      </c>
      <c r="Q192" s="689">
        <f t="shared" si="100"/>
        <v>25.22043259466454</v>
      </c>
      <c r="R192" s="690">
        <f t="shared" si="101"/>
        <v>1.5311355395593296</v>
      </c>
      <c r="S192" s="677">
        <f t="shared" si="76"/>
        <v>1.0163277228425793</v>
      </c>
      <c r="T192" s="680">
        <f t="shared" si="77"/>
        <v>0.17949157497436222</v>
      </c>
      <c r="U192" s="681">
        <f t="shared" si="89"/>
        <v>0.97828967335979211</v>
      </c>
      <c r="V192" s="682">
        <f t="shared" si="90"/>
        <v>-0.25538273889534729</v>
      </c>
      <c r="W192" s="683">
        <f t="shared" si="78"/>
        <v>-4.3997038651751774</v>
      </c>
      <c r="X192" s="684">
        <f t="shared" si="79"/>
        <v>-119.88607914042741</v>
      </c>
      <c r="Y192" s="687">
        <f t="shared" si="80"/>
        <v>60.113920859572588</v>
      </c>
      <c r="AA192" s="170">
        <f t="shared" si="81"/>
        <v>10840</v>
      </c>
      <c r="AB192" s="170">
        <f t="shared" si="82"/>
        <v>117505600</v>
      </c>
      <c r="AD192" s="686">
        <f t="shared" si="83"/>
        <v>26.793217193592163</v>
      </c>
      <c r="AE192" s="687">
        <f t="shared" si="84"/>
        <v>-12.556225030118693</v>
      </c>
      <c r="AG192" s="686">
        <f t="shared" si="85"/>
        <v>14.369368349281759</v>
      </c>
      <c r="AH192" s="687">
        <f t="shared" si="86"/>
        <v>-78.065147878479138</v>
      </c>
      <c r="AJ192" s="170">
        <f t="shared" si="87"/>
        <v>0</v>
      </c>
      <c r="AK192" s="170">
        <f t="shared" si="99"/>
        <v>0</v>
      </c>
      <c r="AM192" s="170" t="str">
        <f t="shared" si="91"/>
        <v>0.067218039334905+0.360441137854409i</v>
      </c>
      <c r="AN192" s="170" t="str">
        <f t="shared" si="92"/>
        <v>0.368740777335208i</v>
      </c>
      <c r="AO192" s="170" t="str">
        <f t="shared" si="93"/>
        <v>0.977491940162468-0.182290767570302i</v>
      </c>
      <c r="AP192" s="170" t="str">
        <f t="shared" si="94"/>
        <v>0.155463660110849-0.0600735229757348i</v>
      </c>
      <c r="AQ192" s="170" t="str">
        <f t="shared" si="95"/>
        <v>0.844536339889151+0.0600735229757348i</v>
      </c>
      <c r="AR192" s="170" t="str">
        <f t="shared" si="96"/>
        <v>0.981374516417363-0.0698070903231199i</v>
      </c>
    </row>
    <row r="193" spans="7:44">
      <c r="G193" s="688">
        <v>10902.5</v>
      </c>
      <c r="H193" s="676">
        <f t="shared" si="88"/>
        <v>10.9025</v>
      </c>
      <c r="I193" s="677">
        <f t="shared" si="66"/>
        <v>56.148480630884919</v>
      </c>
      <c r="J193" s="678">
        <f t="shared" si="67"/>
        <v>1.5529854642059555</v>
      </c>
      <c r="K193" s="678">
        <f t="shared" si="68"/>
        <v>1.0000207316150505</v>
      </c>
      <c r="L193" s="679">
        <f t="shared" si="69"/>
        <v>6.4391392111500792E-3</v>
      </c>
      <c r="M193" s="678">
        <f t="shared" si="70"/>
        <v>1.0025836204699197</v>
      </c>
      <c r="N193" s="679">
        <f t="shared" si="71"/>
        <v>-7.1806268907597184E-2</v>
      </c>
      <c r="O193" s="677">
        <f t="shared" si="72"/>
        <v>205507.28320218305</v>
      </c>
      <c r="P193" s="680">
        <f t="shared" si="73"/>
        <v>1.5707914607873059</v>
      </c>
      <c r="Q193" s="689">
        <f t="shared" si="100"/>
        <v>25.365617648153123</v>
      </c>
      <c r="R193" s="690">
        <f t="shared" si="101"/>
        <v>1.5313626638791289</v>
      </c>
      <c r="S193" s="677">
        <f t="shared" si="76"/>
        <v>1.0165150125411684</v>
      </c>
      <c r="T193" s="680">
        <f t="shared" si="77"/>
        <v>0.18050419523083977</v>
      </c>
      <c r="U193" s="681">
        <f t="shared" si="89"/>
        <v>0.97805071344621897</v>
      </c>
      <c r="V193" s="682">
        <f t="shared" si="90"/>
        <v>-0.25682419484820568</v>
      </c>
      <c r="W193" s="683">
        <f t="shared" si="78"/>
        <v>-4.4531670210229013</v>
      </c>
      <c r="X193" s="684">
        <f t="shared" si="79"/>
        <v>-120.04094819872095</v>
      </c>
      <c r="Y193" s="687">
        <f t="shared" si="80"/>
        <v>59.959051801279045</v>
      </c>
      <c r="AA193" s="170">
        <f t="shared" si="81"/>
        <v>10902.5</v>
      </c>
      <c r="AB193" s="170">
        <f t="shared" si="82"/>
        <v>118864506.25</v>
      </c>
      <c r="AD193" s="686">
        <f t="shared" si="83"/>
        <v>26.791538639712996</v>
      </c>
      <c r="AE193" s="687">
        <f t="shared" si="84"/>
        <v>-12.601232239648576</v>
      </c>
      <c r="AG193" s="686">
        <f t="shared" si="85"/>
        <v>14.321827547546615</v>
      </c>
      <c r="AH193" s="687">
        <f t="shared" si="86"/>
        <v>-78.009831042148448</v>
      </c>
      <c r="AJ193" s="170">
        <f t="shared" si="87"/>
        <v>0</v>
      </c>
      <c r="AK193" s="170">
        <f t="shared" si="99"/>
        <v>0</v>
      </c>
      <c r="AM193" s="170" t="str">
        <f t="shared" si="91"/>
        <v>0.067986459977558+0.362423455663173i</v>
      </c>
      <c r="AN193" s="170" t="str">
        <f t="shared" si="92"/>
        <v>0.370866819639955i</v>
      </c>
      <c r="AO193" s="170" t="str">
        <f t="shared" si="93"/>
        <v>0.977233433864537-0.183317720478636i</v>
      </c>
      <c r="AP193" s="170" t="str">
        <f t="shared" si="94"/>
        <v>0.15533559000374-0.0604039092771955i</v>
      </c>
      <c r="AQ193" s="170" t="str">
        <f t="shared" si="95"/>
        <v>0.84466440999626+0.0604039092771955i</v>
      </c>
      <c r="AR193" s="170" t="str">
        <f t="shared" si="96"/>
        <v>0.981172751324012-0.0701659370926903i</v>
      </c>
    </row>
    <row r="194" spans="7:44">
      <c r="G194" s="688">
        <v>10965</v>
      </c>
      <c r="H194" s="676">
        <f t="shared" si="88"/>
        <v>10.965</v>
      </c>
      <c r="I194" s="677">
        <f t="shared" si="66"/>
        <v>56.470257295937792</v>
      </c>
      <c r="J194" s="678">
        <f t="shared" si="67"/>
        <v>1.5530869640249225</v>
      </c>
      <c r="K194" s="678">
        <f t="shared" si="68"/>
        <v>1.0000209699872176</v>
      </c>
      <c r="L194" s="679">
        <f t="shared" si="69"/>
        <v>6.4760513854831012E-3</v>
      </c>
      <c r="M194" s="678">
        <f t="shared" si="70"/>
        <v>1.0026132885410659</v>
      </c>
      <c r="N194" s="679">
        <f t="shared" si="71"/>
        <v>-7.2216482041202401E-2</v>
      </c>
      <c r="O194" s="677">
        <f t="shared" si="72"/>
        <v>206685.38044591915</v>
      </c>
      <c r="P194" s="680">
        <f t="shared" si="73"/>
        <v>1.5707914885233274</v>
      </c>
      <c r="Q194" s="689">
        <f t="shared" si="100"/>
        <v>25.510803995245006</v>
      </c>
      <c r="R194" s="690">
        <f t="shared" si="101"/>
        <v>1.531587203003731</v>
      </c>
      <c r="S194" s="677">
        <f t="shared" si="76"/>
        <v>1.0167033441893858</v>
      </c>
      <c r="T194" s="680">
        <f t="shared" si="77"/>
        <v>0.18151644137434064</v>
      </c>
      <c r="U194" s="681">
        <f t="shared" si="89"/>
        <v>0.97781054637618114</v>
      </c>
      <c r="V194" s="682">
        <f t="shared" si="90"/>
        <v>-0.25826513461485517</v>
      </c>
      <c r="W194" s="683">
        <f t="shared" si="78"/>
        <v>-4.5063620517346639</v>
      </c>
      <c r="X194" s="684">
        <f t="shared" si="79"/>
        <v>-120.19584592359489</v>
      </c>
      <c r="Y194" s="687">
        <f t="shared" si="80"/>
        <v>59.804154076405112</v>
      </c>
      <c r="AA194" s="170">
        <f t="shared" si="81"/>
        <v>10965</v>
      </c>
      <c r="AB194" s="170">
        <f t="shared" si="82"/>
        <v>120231225</v>
      </c>
      <c r="AD194" s="686">
        <f t="shared" si="83"/>
        <v>26.789852808730238</v>
      </c>
      <c r="AE194" s="687">
        <f t="shared" si="84"/>
        <v>-12.646366116532857</v>
      </c>
      <c r="AG194" s="686">
        <f t="shared" si="85"/>
        <v>14.274584631359051</v>
      </c>
      <c r="AH194" s="687">
        <f t="shared" si="86"/>
        <v>-77.954475355626244</v>
      </c>
      <c r="AJ194" s="170">
        <f t="shared" si="87"/>
        <v>0</v>
      </c>
      <c r="AK194" s="170">
        <f t="shared" si="99"/>
        <v>0</v>
      </c>
      <c r="AM194" s="170" t="str">
        <f t="shared" si="91"/>
        <v>0.068759093371907+0.364404135298281i</v>
      </c>
      <c r="AN194" s="170" t="str">
        <f t="shared" si="92"/>
        <v>0.372992861944701i</v>
      </c>
      <c r="AO194" s="170" t="str">
        <f t="shared" si="93"/>
        <v>0.976973482544303-0.184344260674085i</v>
      </c>
      <c r="AP194" s="170" t="str">
        <f t="shared" si="94"/>
        <v>0.155206817771349-0.0607340225497135i</v>
      </c>
      <c r="AQ194" s="170" t="str">
        <f t="shared" si="95"/>
        <v>0.844793182228651+0.0607340225497135i</v>
      </c>
      <c r="AR194" s="170" t="str">
        <f t="shared" si="96"/>
        <v>0.980970025354097-0.0705240725111858i</v>
      </c>
    </row>
    <row r="195" spans="7:44">
      <c r="G195" s="688">
        <v>11028.75</v>
      </c>
      <c r="H195" s="676">
        <f t="shared" si="88"/>
        <v>11.02875</v>
      </c>
      <c r="I195" s="677">
        <f t="shared" si="66"/>
        <v>56.798470086771061</v>
      </c>
      <c r="J195" s="678">
        <f t="shared" si="67"/>
        <v>1.5531893090673676</v>
      </c>
      <c r="K195" s="678">
        <f t="shared" si="68"/>
        <v>1.000021214530513</v>
      </c>
      <c r="L195" s="679">
        <f t="shared" si="69"/>
        <v>6.513701785121547E-3</v>
      </c>
      <c r="M195" s="678">
        <f t="shared" si="70"/>
        <v>1.0026437237729744</v>
      </c>
      <c r="N195" s="679">
        <f t="shared" si="71"/>
        <v>-7.2634874355994514E-2</v>
      </c>
      <c r="O195" s="677">
        <f t="shared" si="72"/>
        <v>207887.03963453017</v>
      </c>
      <c r="P195" s="680">
        <f t="shared" si="73"/>
        <v>1.5707915164902151</v>
      </c>
      <c r="Q195" s="689">
        <f t="shared" si="100"/>
        <v>25.658895379175995</v>
      </c>
      <c r="R195" s="690">
        <f t="shared" si="101"/>
        <v>1.5318136151297523</v>
      </c>
      <c r="S195" s="677">
        <f t="shared" si="76"/>
        <v>1.016896515286684</v>
      </c>
      <c r="T195" s="680">
        <f t="shared" si="77"/>
        <v>0.18254854509443841</v>
      </c>
      <c r="U195" s="681">
        <f t="shared" si="89"/>
        <v>0.97756433511816998</v>
      </c>
      <c r="V195" s="682">
        <f t="shared" si="90"/>
        <v>-0.25973435886267465</v>
      </c>
      <c r="W195" s="683">
        <f t="shared" si="78"/>
        <v>-4.5603481241867074</v>
      </c>
      <c r="X195" s="684">
        <f t="shared" si="79"/>
        <v>-120.3538694464564</v>
      </c>
      <c r="Y195" s="687">
        <f t="shared" si="80"/>
        <v>59.6461305535436</v>
      </c>
      <c r="AA195" s="170">
        <f t="shared" si="81"/>
        <v>11028.75</v>
      </c>
      <c r="AB195" s="170">
        <f t="shared" si="82"/>
        <v>121633326.5625</v>
      </c>
      <c r="AD195" s="686">
        <f t="shared" si="83"/>
        <v>26.788125743272904</v>
      </c>
      <c r="AE195" s="687">
        <f t="shared" si="84"/>
        <v>-12.692530446899983</v>
      </c>
      <c r="AG195" s="686">
        <f t="shared" si="85"/>
        <v>14.226700363645847</v>
      </c>
      <c r="AH195" s="687">
        <f t="shared" si="86"/>
        <v>-77.897973850811582</v>
      </c>
      <c r="AJ195" s="170">
        <f t="shared" si="87"/>
        <v>0</v>
      </c>
      <c r="AK195" s="170">
        <f t="shared" si="99"/>
        <v>0</v>
      </c>
      <c r="AM195" s="170" t="str">
        <f t="shared" si="91"/>
        <v>0.069551515789043+0.366422731594989i</v>
      </c>
      <c r="AN195" s="170" t="str">
        <f t="shared" si="92"/>
        <v>0.375161425095542i</v>
      </c>
      <c r="AO195" s="170" t="str">
        <f t="shared" si="93"/>
        <v>0.976706844264899-0.185390904119021i</v>
      </c>
      <c r="AP195" s="170" t="str">
        <f t="shared" si="94"/>
        <v>0.155074747368493-0.0610704552658315i</v>
      </c>
      <c r="AQ195" s="170" t="str">
        <f t="shared" si="95"/>
        <v>0.844925252631507+0.0610704552658315i</v>
      </c>
      <c r="AR195" s="170" t="str">
        <f t="shared" si="96"/>
        <v>0.980762258226155-0.0708886347412062i</v>
      </c>
    </row>
    <row r="196" spans="7:44">
      <c r="G196" s="688">
        <v>11092.5</v>
      </c>
      <c r="H196" s="676">
        <f t="shared" si="88"/>
        <v>11.092499999999999</v>
      </c>
      <c r="I196" s="677">
        <f t="shared" si="66"/>
        <v>57.126683465704112</v>
      </c>
      <c r="J196" s="678">
        <f t="shared" si="67"/>
        <v>1.553290478092576</v>
      </c>
      <c r="K196" s="678">
        <f t="shared" si="68"/>
        <v>1.0000214604913904</v>
      </c>
      <c r="L196" s="679">
        <f t="shared" si="69"/>
        <v>6.5513521662927095E-3</v>
      </c>
      <c r="M196" s="678">
        <f t="shared" si="70"/>
        <v>1.0026743345091285</v>
      </c>
      <c r="N196" s="679">
        <f t="shared" si="71"/>
        <v>-7.3053241197744687E-2</v>
      </c>
      <c r="O196" s="677">
        <f t="shared" si="72"/>
        <v>209088.69882314137</v>
      </c>
      <c r="P196" s="680">
        <f t="shared" si="73"/>
        <v>1.5707915441356441</v>
      </c>
      <c r="Q196" s="689">
        <f t="shared" si="100"/>
        <v>25.806988063348879</v>
      </c>
      <c r="R196" s="690">
        <f t="shared" si="101"/>
        <v>1.532037428747745</v>
      </c>
      <c r="S196" s="677">
        <f t="shared" si="76"/>
        <v>1.0170907692087423</v>
      </c>
      <c r="T196" s="680">
        <f t="shared" si="77"/>
        <v>0.18358025567072073</v>
      </c>
      <c r="U196" s="681">
        <f t="shared" si="89"/>
        <v>0.9773168735504173</v>
      </c>
      <c r="V196" s="682">
        <f t="shared" si="90"/>
        <v>-0.26120304093339419</v>
      </c>
      <c r="W196" s="683">
        <f t="shared" si="78"/>
        <v>-4.6140619962395739</v>
      </c>
      <c r="X196" s="684">
        <f t="shared" si="79"/>
        <v>-120.51191940523782</v>
      </c>
      <c r="Y196" s="687">
        <f t="shared" si="80"/>
        <v>59.488080594762181</v>
      </c>
      <c r="AA196" s="170">
        <f t="shared" si="81"/>
        <v>11092.5</v>
      </c>
      <c r="AB196" s="170">
        <f t="shared" si="82"/>
        <v>123043556.25</v>
      </c>
      <c r="AD196" s="686">
        <f t="shared" si="83"/>
        <v>26.786391065138531</v>
      </c>
      <c r="AE196" s="687">
        <f t="shared" si="84"/>
        <v>-12.73882111691074</v>
      </c>
      <c r="AG196" s="686">
        <f t="shared" si="85"/>
        <v>14.179119235183428</v>
      </c>
      <c r="AH196" s="687">
        <f t="shared" si="86"/>
        <v>-77.841434571192423</v>
      </c>
      <c r="AJ196" s="170">
        <f t="shared" si="87"/>
        <v>0</v>
      </c>
      <c r="AK196" s="170">
        <f t="shared" si="99"/>
        <v>0</v>
      </c>
      <c r="AM196" s="170" t="str">
        <f t="shared" si="91"/>
        <v>0.070348313793046+0.368439604728601i</v>
      </c>
      <c r="AN196" s="170" t="str">
        <f t="shared" si="92"/>
        <v>0.377329988246384i</v>
      </c>
      <c r="AO196" s="170" t="str">
        <f t="shared" si="93"/>
        <v>0.976438704066167-0.186437113360603i</v>
      </c>
      <c r="AP196" s="170" t="str">
        <f t="shared" si="94"/>
        <v>0.154941947701159-0.0614066007881002i</v>
      </c>
      <c r="AQ196" s="170" t="str">
        <f t="shared" si="95"/>
        <v>0.845058052298841+0.0614066007881002i</v>
      </c>
      <c r="AR196" s="170" t="str">
        <f t="shared" si="96"/>
        <v>0.980553498012365-0.0712524506926151i</v>
      </c>
    </row>
    <row r="197" spans="7:44">
      <c r="G197" s="688">
        <v>11156.25</v>
      </c>
      <c r="H197" s="676">
        <f t="shared" si="88"/>
        <v>11.15625</v>
      </c>
      <c r="I197" s="677">
        <f t="shared" si="66"/>
        <v>57.454897422658313</v>
      </c>
      <c r="J197" s="678">
        <f t="shared" si="67"/>
        <v>1.5533904912526295</v>
      </c>
      <c r="K197" s="678">
        <f t="shared" si="68"/>
        <v>1.0000217078698486</v>
      </c>
      <c r="L197" s="679">
        <f t="shared" si="69"/>
        <v>6.5890025288898625E-3</v>
      </c>
      <c r="M197" s="678">
        <f t="shared" si="70"/>
        <v>1.0027051207334543</v>
      </c>
      <c r="N197" s="679">
        <f t="shared" si="71"/>
        <v>-7.3471582422338394E-2</v>
      </c>
      <c r="O197" s="677">
        <f t="shared" si="72"/>
        <v>210290.35801175269</v>
      </c>
      <c r="P197" s="680">
        <f t="shared" si="73"/>
        <v>1.5707915714651257</v>
      </c>
      <c r="Q197" s="689">
        <f t="shared" si="100"/>
        <v>25.955082025507178</v>
      </c>
      <c r="R197" s="690">
        <f t="shared" si="101"/>
        <v>1.5322586883146296</v>
      </c>
      <c r="S197" s="677">
        <f t="shared" si="76"/>
        <v>1.017286105335254</v>
      </c>
      <c r="T197" s="680">
        <f t="shared" si="77"/>
        <v>0.18461157113267493</v>
      </c>
      <c r="U197" s="681">
        <f t="shared" si="89"/>
        <v>0.97706816452450207</v>
      </c>
      <c r="V197" s="682">
        <f t="shared" si="90"/>
        <v>-0.26267117824605407</v>
      </c>
      <c r="W197" s="683">
        <f t="shared" si="78"/>
        <v>-4.6675069913393648</v>
      </c>
      <c r="X197" s="684">
        <f t="shared" si="79"/>
        <v>-120.66999413865908</v>
      </c>
      <c r="Y197" s="687">
        <f t="shared" si="80"/>
        <v>59.330005861340922</v>
      </c>
      <c r="AA197" s="170">
        <f t="shared" si="81"/>
        <v>11156.25</v>
      </c>
      <c r="AB197" s="170">
        <f t="shared" si="82"/>
        <v>124461914.0625</v>
      </c>
      <c r="AD197" s="686">
        <f t="shared" si="83"/>
        <v>26.78464875472805</v>
      </c>
      <c r="AE197" s="687">
        <f t="shared" si="84"/>
        <v>-12.78523546678491</v>
      </c>
      <c r="AG197" s="686">
        <f t="shared" si="85"/>
        <v>14.131837908866533</v>
      </c>
      <c r="AH197" s="687">
        <f t="shared" si="86"/>
        <v>-77.784858811025131</v>
      </c>
      <c r="AJ197" s="170">
        <f t="shared" si="87"/>
        <v>0</v>
      </c>
      <c r="AK197" s="170">
        <f t="shared" si="99"/>
        <v>0</v>
      </c>
      <c r="AM197" s="170" t="str">
        <f t="shared" si="91"/>
        <v>0.071149483636841+0.370454745214437i</v>
      </c>
      <c r="AN197" s="170" t="str">
        <f t="shared" si="92"/>
        <v>0.379498551397225i</v>
      </c>
      <c r="AO197" s="170" t="str">
        <f t="shared" si="93"/>
        <v>0.976169062702635-0.187482885968564i</v>
      </c>
      <c r="AP197" s="170" t="str">
        <f t="shared" si="94"/>
        <v>0.15480841939386-0.0617424575357395i</v>
      </c>
      <c r="AQ197" s="170" t="str">
        <f t="shared" si="95"/>
        <v>0.84519158060614+0.0617424575357395i</v>
      </c>
      <c r="AR197" s="170" t="str">
        <f t="shared" si="96"/>
        <v>0.980343748067119-0.0716155172677569i</v>
      </c>
    </row>
    <row r="198" spans="7:44">
      <c r="G198" s="688">
        <v>11220</v>
      </c>
      <c r="H198" s="676">
        <f t="shared" si="88"/>
        <v>11.22</v>
      </c>
      <c r="I198" s="677">
        <f t="shared" si="66"/>
        <v>57.783111947784015</v>
      </c>
      <c r="J198" s="678">
        <f t="shared" si="67"/>
        <v>1.5534893682418391</v>
      </c>
      <c r="K198" s="678">
        <f t="shared" si="68"/>
        <v>1.0000219566658868</v>
      </c>
      <c r="L198" s="679">
        <f t="shared" si="69"/>
        <v>6.6266528728062745E-3</v>
      </c>
      <c r="M198" s="678">
        <f t="shared" si="70"/>
        <v>1.0027360824297888</v>
      </c>
      <c r="N198" s="679">
        <f t="shared" si="71"/>
        <v>-7.3889897885714678E-2</v>
      </c>
      <c r="O198" s="677">
        <f t="shared" si="72"/>
        <v>211492.01720036418</v>
      </c>
      <c r="P198" s="680">
        <f t="shared" si="73"/>
        <v>1.5707915984840448</v>
      </c>
      <c r="Q198" s="689">
        <f t="shared" si="100"/>
        <v>26.103177243899285</v>
      </c>
      <c r="R198" s="690">
        <f t="shared" si="101"/>
        <v>1.5324774372794432</v>
      </c>
      <c r="S198" s="677">
        <f t="shared" si="76"/>
        <v>1.0174825230429354</v>
      </c>
      <c r="T198" s="680">
        <f t="shared" si="77"/>
        <v>0.18564248951465917</v>
      </c>
      <c r="U198" s="681">
        <f t="shared" si="89"/>
        <v>0.97681821090254506</v>
      </c>
      <c r="V198" s="682">
        <f t="shared" si="90"/>
        <v>-0.26413876822844945</v>
      </c>
      <c r="W198" s="683">
        <f t="shared" si="78"/>
        <v>-4.7206863752808212</v>
      </c>
      <c r="X198" s="684">
        <f t="shared" si="79"/>
        <v>-120.82809201773576</v>
      </c>
      <c r="Y198" s="687">
        <f t="shared" si="80"/>
        <v>59.171907982264244</v>
      </c>
      <c r="AA198" s="170">
        <f t="shared" si="81"/>
        <v>11220</v>
      </c>
      <c r="AB198" s="170">
        <f t="shared" si="82"/>
        <v>125888400</v>
      </c>
      <c r="AD198" s="686">
        <f t="shared" si="83"/>
        <v>26.782898793339914</v>
      </c>
      <c r="AE198" s="687">
        <f t="shared" si="84"/>
        <v>-12.831770894761588</v>
      </c>
      <c r="AG198" s="686">
        <f t="shared" si="85"/>
        <v>14.084853104207273</v>
      </c>
      <c r="AH198" s="687">
        <f t="shared" si="86"/>
        <v>-77.728247837839078</v>
      </c>
      <c r="AJ198" s="170">
        <f t="shared" si="87"/>
        <v>0</v>
      </c>
      <c r="AK198" s="170">
        <f t="shared" si="99"/>
        <v>0</v>
      </c>
      <c r="AM198" s="170" t="str">
        <f t="shared" si="91"/>
        <v>0.071955021552796+0.37246814357597i</v>
      </c>
      <c r="AN198" s="170" t="str">
        <f t="shared" si="92"/>
        <v>0.381667114548066i</v>
      </c>
      <c r="AO198" s="170" t="str">
        <f t="shared" si="93"/>
        <v>0.97589792093304-0.188528219514008i</v>
      </c>
      <c r="AP198" s="170" t="str">
        <f t="shared" si="94"/>
        <v>0.154674163074534-0.0620780239293283i</v>
      </c>
      <c r="AQ198" s="170" t="str">
        <f t="shared" si="95"/>
        <v>0.845325836925466+0.0620780239293283i</v>
      </c>
      <c r="AR198" s="170" t="str">
        <f t="shared" si="96"/>
        <v>0.980133011755797-0.0719778313874793i</v>
      </c>
    </row>
    <row r="199" spans="7:44">
      <c r="G199" s="688">
        <v>11285.5</v>
      </c>
      <c r="H199" s="676">
        <f t="shared" si="88"/>
        <v>11.285500000000001</v>
      </c>
      <c r="I199" s="677">
        <f t="shared" si="66"/>
        <v>58.120336865066839</v>
      </c>
      <c r="J199" s="678">
        <f t="shared" si="67"/>
        <v>1.5535897963485716</v>
      </c>
      <c r="K199" s="678">
        <f t="shared" si="68"/>
        <v>1.0000222137681041</v>
      </c>
      <c r="L199" s="679">
        <f t="shared" si="69"/>
        <v>6.6653367360061302E-3</v>
      </c>
      <c r="M199" s="678">
        <f t="shared" si="70"/>
        <v>1.0027680768013978</v>
      </c>
      <c r="N199" s="679">
        <f t="shared" si="71"/>
        <v>-7.4319669535630892E-2</v>
      </c>
      <c r="O199" s="677">
        <f t="shared" si="72"/>
        <v>212726.66311180044</v>
      </c>
      <c r="P199" s="680">
        <f t="shared" si="73"/>
        <v>1.5707916259267245</v>
      </c>
      <c r="Q199" s="689">
        <f t="shared" si="100"/>
        <v>26.255339107318488</v>
      </c>
      <c r="R199" s="690">
        <f t="shared" si="101"/>
        <v>1.5326996208241972</v>
      </c>
      <c r="S199" s="677">
        <f t="shared" si="76"/>
        <v>1.0176854584753743</v>
      </c>
      <c r="T199" s="680">
        <f t="shared" si="77"/>
        <v>0.18670129197612087</v>
      </c>
      <c r="U199" s="681">
        <f t="shared" si="89"/>
        <v>0.97656010251494163</v>
      </c>
      <c r="V199" s="682">
        <f t="shared" si="90"/>
        <v>-0.26564607222674419</v>
      </c>
      <c r="W199" s="683">
        <f t="shared" si="78"/>
        <v>-4.7750523102911133</v>
      </c>
      <c r="X199" s="684">
        <f t="shared" si="79"/>
        <v>-120.99055226706299</v>
      </c>
      <c r="Y199" s="687">
        <f t="shared" si="80"/>
        <v>59.009447732937005</v>
      </c>
      <c r="AA199" s="170">
        <f t="shared" si="81"/>
        <v>11285.5</v>
      </c>
      <c r="AB199" s="170">
        <f t="shared" si="82"/>
        <v>127362510.25</v>
      </c>
      <c r="AD199" s="686">
        <f t="shared" si="83"/>
        <v>26.781092806157613</v>
      </c>
      <c r="AE199" s="687">
        <f t="shared" si="84"/>
        <v>-12.879707200154247</v>
      </c>
      <c r="AG199" s="686">
        <f t="shared" si="85"/>
        <v>14.036883974178435</v>
      </c>
      <c r="AH199" s="687">
        <f t="shared" si="86"/>
        <v>-77.670047466485315</v>
      </c>
      <c r="AJ199" s="170">
        <f t="shared" si="87"/>
        <v>0</v>
      </c>
      <c r="AK199" s="170">
        <f t="shared" si="99"/>
        <v>0</v>
      </c>
      <c r="AM199" s="170" t="str">
        <f t="shared" si="91"/>
        <v>0.072787217872199+0.374534987229262i</v>
      </c>
      <c r="AN199" s="170" t="str">
        <f t="shared" si="92"/>
        <v>0.38389520688344i</v>
      </c>
      <c r="AO199" s="170" t="str">
        <f t="shared" si="93"/>
        <v>0.975617774105161-0.189601788631602i</v>
      </c>
      <c r="AP199" s="170" t="str">
        <f t="shared" si="94"/>
        <v>0.154535463687967-0.0624224978715437i</v>
      </c>
      <c r="AQ199" s="170" t="str">
        <f t="shared" si="95"/>
        <v>0.845464536312033+0.0624224978715437i</v>
      </c>
      <c r="AR199" s="170" t="str">
        <f t="shared" si="96"/>
        <v>0.979915466722142-0.0723493044457873i</v>
      </c>
    </row>
    <row r="200" spans="7:44">
      <c r="G200" s="688">
        <v>11351</v>
      </c>
      <c r="H200" s="676">
        <f t="shared" si="88"/>
        <v>11.351000000000001</v>
      </c>
      <c r="I200" s="677">
        <f t="shared" si="66"/>
        <v>58.457562361776901</v>
      </c>
      <c r="J200" s="678">
        <f t="shared" si="67"/>
        <v>1.5536890657723954</v>
      </c>
      <c r="K200" s="678">
        <f t="shared" si="68"/>
        <v>1.000022472366795</v>
      </c>
      <c r="L200" s="679">
        <f t="shared" si="69"/>
        <v>6.7040205792571299E-3</v>
      </c>
      <c r="M200" s="678">
        <f t="shared" si="70"/>
        <v>1.0028002563761131</v>
      </c>
      <c r="N200" s="679">
        <f t="shared" si="71"/>
        <v>-7.4749413682418428E-2</v>
      </c>
      <c r="O200" s="677">
        <f t="shared" si="72"/>
        <v>213961.30902323688</v>
      </c>
      <c r="P200" s="680">
        <f t="shared" si="73"/>
        <v>1.5707916530526926</v>
      </c>
      <c r="Q200" s="689">
        <f t="shared" si="100"/>
        <v>26.407502251909786</v>
      </c>
      <c r="R200" s="690">
        <f t="shared" si="101"/>
        <v>1.5329192438840753</v>
      </c>
      <c r="S200" s="677">
        <f t="shared" si="76"/>
        <v>1.017889534341311</v>
      </c>
      <c r="T200" s="680">
        <f t="shared" si="77"/>
        <v>0.18775967106676389</v>
      </c>
      <c r="U200" s="681">
        <f t="shared" si="89"/>
        <v>0.97630068642222512</v>
      </c>
      <c r="V200" s="682">
        <f t="shared" si="90"/>
        <v>-0.26715279295606476</v>
      </c>
      <c r="W200" s="683">
        <f t="shared" si="78"/>
        <v>-4.8291446597866656</v>
      </c>
      <c r="X200" s="684">
        <f t="shared" si="79"/>
        <v>-121.15303356469859</v>
      </c>
      <c r="Y200" s="687">
        <f t="shared" si="80"/>
        <v>58.846966435301411</v>
      </c>
      <c r="AA200" s="170">
        <f t="shared" si="81"/>
        <v>11351</v>
      </c>
      <c r="AB200" s="170">
        <f t="shared" si="82"/>
        <v>128845201</v>
      </c>
      <c r="AD200" s="686">
        <f t="shared" si="83"/>
        <v>26.779278704939173</v>
      </c>
      <c r="AE200" s="687">
        <f t="shared" si="84"/>
        <v>-12.92776593501663</v>
      </c>
      <c r="AG200" s="686">
        <f t="shared" si="85"/>
        <v>13.989221025829901</v>
      </c>
      <c r="AH200" s="687">
        <f t="shared" si="86"/>
        <v>-77.611812551671377</v>
      </c>
      <c r="AJ200" s="170">
        <f t="shared" si="87"/>
        <v>0</v>
      </c>
      <c r="AK200" s="170">
        <f t="shared" si="99"/>
        <v>0</v>
      </c>
      <c r="AM200" s="170" t="str">
        <f t="shared" si="91"/>
        <v>0.07362401724062+0.376599971543537i</v>
      </c>
      <c r="AN200" s="170" t="str">
        <f t="shared" si="92"/>
        <v>0.386123299218815i</v>
      </c>
      <c r="AO200" s="170" t="str">
        <f t="shared" si="93"/>
        <v>0.975336045002865-0.190674889056352i</v>
      </c>
      <c r="AP200" s="170" t="str">
        <f t="shared" si="94"/>
        <v>0.154395997126563-0.0627666619239228i</v>
      </c>
      <c r="AQ200" s="170" t="str">
        <f t="shared" si="95"/>
        <v>0.845604002873437+0.0627666619239228i</v>
      </c>
      <c r="AR200" s="170" t="str">
        <f t="shared" si="96"/>
        <v>0.979696887663735-0.0727199766403101i</v>
      </c>
    </row>
    <row r="201" spans="7:44">
      <c r="G201" s="688">
        <v>11416.5</v>
      </c>
      <c r="H201" s="676">
        <f t="shared" si="88"/>
        <v>11.416499999999999</v>
      </c>
      <c r="I201" s="677">
        <f t="shared" si="66"/>
        <v>58.794788427944034</v>
      </c>
      <c r="J201" s="678">
        <f t="shared" si="67"/>
        <v>1.5537871964487204</v>
      </c>
      <c r="K201" s="678">
        <f t="shared" si="68"/>
        <v>1.0000227324619584</v>
      </c>
      <c r="L201" s="679">
        <f t="shared" si="69"/>
        <v>6.7427044024435138E-3</v>
      </c>
      <c r="M201" s="678">
        <f t="shared" si="70"/>
        <v>1.0028326211361063</v>
      </c>
      <c r="N201" s="679">
        <f t="shared" si="71"/>
        <v>-7.5179130170002245E-2</v>
      </c>
      <c r="O201" s="677">
        <f t="shared" si="72"/>
        <v>215195.9549346735</v>
      </c>
      <c r="P201" s="680">
        <f t="shared" si="73"/>
        <v>1.5707916798674006</v>
      </c>
      <c r="Q201" s="689">
        <f t="shared" si="100"/>
        <v>26.559666655653267</v>
      </c>
      <c r="R201" s="690">
        <f t="shared" si="101"/>
        <v>1.5331363504459379</v>
      </c>
      <c r="S201" s="677">
        <f t="shared" si="76"/>
        <v>1.0180947499549502</v>
      </c>
      <c r="T201" s="680">
        <f t="shared" si="77"/>
        <v>0.18881762467077548</v>
      </c>
      <c r="U201" s="681">
        <f t="shared" si="89"/>
        <v>0.97603996576291685</v>
      </c>
      <c r="V201" s="682">
        <f t="shared" si="90"/>
        <v>-0.26865892765554505</v>
      </c>
      <c r="W201" s="683">
        <f t="shared" si="78"/>
        <v>-4.8829667843811482</v>
      </c>
      <c r="X201" s="684">
        <f t="shared" si="79"/>
        <v>-121.31553424455942</v>
      </c>
      <c r="Y201" s="687">
        <f t="shared" si="80"/>
        <v>58.684465755440584</v>
      </c>
      <c r="AA201" s="170">
        <f t="shared" si="81"/>
        <v>11416.5</v>
      </c>
      <c r="AB201" s="170">
        <f t="shared" si="82"/>
        <v>130336472.25</v>
      </c>
      <c r="AD201" s="686">
        <f t="shared" si="83"/>
        <v>26.777456472172979</v>
      </c>
      <c r="AE201" s="687">
        <f t="shared" si="84"/>
        <v>-12.97594445817248</v>
      </c>
      <c r="AG201" s="686">
        <f t="shared" si="85"/>
        <v>13.941860879394497</v>
      </c>
      <c r="AH201" s="687">
        <f t="shared" si="86"/>
        <v>-77.553544384862278</v>
      </c>
      <c r="AJ201" s="170">
        <f t="shared" si="87"/>
        <v>0</v>
      </c>
      <c r="AK201" s="170">
        <f t="shared" si="99"/>
        <v>0</v>
      </c>
      <c r="AM201" s="170" t="str">
        <f t="shared" si="91"/>
        <v>0.074465415503856+0.378663086267397i</v>
      </c>
      <c r="AN201" s="170" t="str">
        <f t="shared" si="92"/>
        <v>0.388351391554189i</v>
      </c>
      <c r="AO201" s="170" t="str">
        <f t="shared" si="93"/>
        <v>0.975052734462933-0.191747518158347i</v>
      </c>
      <c r="AP201" s="170" t="str">
        <f t="shared" si="94"/>
        <v>0.154255764082691-0.0631105143778995i</v>
      </c>
      <c r="AQ201" s="170" t="str">
        <f t="shared" si="95"/>
        <v>0.845744235917309+0.0631105143778995i</v>
      </c>
      <c r="AR201" s="170" t="str">
        <f t="shared" si="96"/>
        <v>0.979477278266244-0.073089844692588i</v>
      </c>
    </row>
    <row r="202" spans="7:44">
      <c r="G202" s="688">
        <v>11482</v>
      </c>
      <c r="H202" s="676">
        <f t="shared" si="88"/>
        <v>11.481999999999999</v>
      </c>
      <c r="I202" s="677">
        <f t="shared" si="66"/>
        <v>59.132015053825526</v>
      </c>
      <c r="J202" s="678">
        <f t="shared" si="67"/>
        <v>1.5538842078582835</v>
      </c>
      <c r="K202" s="678">
        <f t="shared" si="68"/>
        <v>1.0000229940535932</v>
      </c>
      <c r="L202" s="679">
        <f t="shared" si="69"/>
        <v>6.7813882054495222E-3</v>
      </c>
      <c r="M202" s="678">
        <f t="shared" si="70"/>
        <v>1.002865171063448</v>
      </c>
      <c r="N202" s="679">
        <f t="shared" si="71"/>
        <v>-7.5608818842368281E-2</v>
      </c>
      <c r="O202" s="677">
        <f t="shared" si="72"/>
        <v>216430.60084611023</v>
      </c>
      <c r="P202" s="680">
        <f t="shared" si="73"/>
        <v>1.5707917063761754</v>
      </c>
      <c r="Q202" s="689">
        <f t="shared" si="100"/>
        <v>26.711832297030583</v>
      </c>
      <c r="R202" s="690">
        <f t="shared" si="101"/>
        <v>1.5333509834953116</v>
      </c>
      <c r="S202" s="677">
        <f t="shared" si="76"/>
        <v>1.0183011046272203</v>
      </c>
      <c r="T202" s="680">
        <f t="shared" si="77"/>
        <v>0.18987515067785371</v>
      </c>
      <c r="U202" s="681">
        <f t="shared" si="89"/>
        <v>0.97577794368688342</v>
      </c>
      <c r="V202" s="682">
        <f t="shared" si="90"/>
        <v>-0.27016447357419809</v>
      </c>
      <c r="W202" s="683">
        <f t="shared" si="78"/>
        <v>-4.9365219861191445</v>
      </c>
      <c r="X202" s="684">
        <f t="shared" si="79"/>
        <v>-121.47805267276173</v>
      </c>
      <c r="Y202" s="687">
        <f t="shared" si="80"/>
        <v>58.521947327238266</v>
      </c>
      <c r="AA202" s="170">
        <f t="shared" si="81"/>
        <v>11482</v>
      </c>
      <c r="AB202" s="170">
        <f t="shared" si="82"/>
        <v>131836324</v>
      </c>
      <c r="AD202" s="686">
        <f t="shared" si="83"/>
        <v>26.775626091224499</v>
      </c>
      <c r="AE202" s="687">
        <f t="shared" si="84"/>
        <v>-13.024240186126342</v>
      </c>
      <c r="AG202" s="686">
        <f t="shared" si="85"/>
        <v>13.894800212648891</v>
      </c>
      <c r="AH202" s="687">
        <f t="shared" si="86"/>
        <v>-77.495244230909663</v>
      </c>
      <c r="AJ202" s="170">
        <f t="shared" si="87"/>
        <v>0</v>
      </c>
      <c r="AK202" s="170">
        <f t="shared" si="99"/>
        <v>0</v>
      </c>
      <c r="AM202" s="170" t="str">
        <f t="shared" si="91"/>
        <v>0.0753114084848761+0.38072432115873i</v>
      </c>
      <c r="AN202" s="170" t="str">
        <f t="shared" si="92"/>
        <v>0.390579483889563i</v>
      </c>
      <c r="AO202" s="170" t="str">
        <f t="shared" si="93"/>
        <v>0.974767843326816-0.192819673309237i</v>
      </c>
      <c r="AP202" s="170" t="str">
        <f t="shared" si="94"/>
        <v>0.154114765252521-0.063454053526455i</v>
      </c>
      <c r="AQ202" s="170" t="str">
        <f t="shared" si="95"/>
        <v>0.845885234747479+0.063454053526455i</v>
      </c>
      <c r="AR202" s="170" t="str">
        <f t="shared" si="96"/>
        <v>0.979256642227038-0.0734589053449562i</v>
      </c>
    </row>
    <row r="203" spans="7:44">
      <c r="G203" s="688">
        <v>11548.75</v>
      </c>
      <c r="H203" s="676">
        <f t="shared" si="88"/>
        <v>11.54875</v>
      </c>
      <c r="I203" s="677">
        <f t="shared" si="66"/>
        <v>59.475677868319664</v>
      </c>
      <c r="J203" s="678">
        <f t="shared" si="67"/>
        <v>1.5539819388298612</v>
      </c>
      <c r="K203" s="678">
        <f t="shared" si="68"/>
        <v>1.0000232621770155</v>
      </c>
      <c r="L203" s="679">
        <f t="shared" si="69"/>
        <v>6.8208102280893261E-3</v>
      </c>
      <c r="M203" s="678">
        <f t="shared" si="70"/>
        <v>1.0028985326556017</v>
      </c>
      <c r="N203" s="679">
        <f t="shared" si="71"/>
        <v>-7.6046678902251572E-2</v>
      </c>
      <c r="O203" s="677">
        <f t="shared" si="72"/>
        <v>217688.80870242187</v>
      </c>
      <c r="P203" s="680">
        <f t="shared" si="73"/>
        <v>1.5707917330814853</v>
      </c>
      <c r="Q203" s="689">
        <f t="shared" si="100"/>
        <v>26.866903114377198</v>
      </c>
      <c r="R203" s="690">
        <f t="shared" si="101"/>
        <v>1.5335672113187448</v>
      </c>
      <c r="S203" s="677">
        <f t="shared" si="76"/>
        <v>1.0185125685216201</v>
      </c>
      <c r="T203" s="680">
        <f t="shared" si="77"/>
        <v>0.19095241638463883</v>
      </c>
      <c r="U203" s="681">
        <f t="shared" si="89"/>
        <v>0.97550958555446399</v>
      </c>
      <c r="V203" s="682">
        <f t="shared" si="90"/>
        <v>-0.27169814270479409</v>
      </c>
      <c r="W203" s="683">
        <f t="shared" si="78"/>
        <v>-4.9908279805560962</v>
      </c>
      <c r="X203" s="684">
        <f t="shared" si="79"/>
        <v>-121.64368919825279</v>
      </c>
      <c r="Y203" s="687">
        <f t="shared" si="80"/>
        <v>58.356310801747213</v>
      </c>
      <c r="AA203" s="170">
        <f t="shared" si="81"/>
        <v>11548.75</v>
      </c>
      <c r="AB203" s="170">
        <f t="shared" si="82"/>
        <v>133373626.5625</v>
      </c>
      <c r="AD203" s="686">
        <f t="shared" si="83"/>
        <v>26.773752380086687</v>
      </c>
      <c r="AE203" s="687">
        <f t="shared" si="84"/>
        <v>-13.073575553001202</v>
      </c>
      <c r="AG203" s="686">
        <f t="shared" si="85"/>
        <v>13.847146167515961</v>
      </c>
      <c r="AH203" s="687">
        <f t="shared" si="86"/>
        <v>-77.435799852619752</v>
      </c>
      <c r="AJ203" s="170">
        <f t="shared" si="87"/>
        <v>0</v>
      </c>
      <c r="AK203" s="170">
        <f t="shared" si="99"/>
        <v>0</v>
      </c>
      <c r="AM203" s="170" t="str">
        <f t="shared" si="91"/>
        <v>0.076178269104341+0.382822948012458i</v>
      </c>
      <c r="AN203" s="170" t="str">
        <f t="shared" si="92"/>
        <v>0.392850097071032i</v>
      </c>
      <c r="AO203" s="170" t="str">
        <f t="shared" si="93"/>
        <v>0.974475890082926-0.193911799111932i</v>
      </c>
      <c r="AP203" s="170" t="str">
        <f t="shared" si="94"/>
        <v>0.15397028848261-0.063803824668743i</v>
      </c>
      <c r="AQ203" s="170" t="str">
        <f t="shared" si="95"/>
        <v>0.84602971151739+0.063803824668743i</v>
      </c>
      <c r="AR203" s="170" t="str">
        <f t="shared" si="96"/>
        <v>0.979030743199249-0.0738341751288602i</v>
      </c>
    </row>
    <row r="204" spans="7:44">
      <c r="G204" s="688">
        <v>11615.5</v>
      </c>
      <c r="H204" s="676">
        <f t="shared" si="88"/>
        <v>11.615500000000001</v>
      </c>
      <c r="I204" s="677">
        <f t="shared" si="66"/>
        <v>59.819341244359215</v>
      </c>
      <c r="J204" s="678">
        <f t="shared" si="67"/>
        <v>1.5540785468693703</v>
      </c>
      <c r="K204" s="678">
        <f t="shared" si="68"/>
        <v>1.0000235318545689</v>
      </c>
      <c r="L204" s="679">
        <f t="shared" si="69"/>
        <v>6.8602322295284275E-3</v>
      </c>
      <c r="M204" s="678">
        <f t="shared" si="70"/>
        <v>1.0029320865120848</v>
      </c>
      <c r="N204" s="679">
        <f t="shared" si="71"/>
        <v>-7.6484509748188462E-2</v>
      </c>
      <c r="O204" s="677">
        <f t="shared" si="72"/>
        <v>218947.01655873368</v>
      </c>
      <c r="P204" s="680">
        <f t="shared" si="73"/>
        <v>1.5707917594798644</v>
      </c>
      <c r="Q204" s="689">
        <f t="shared" si="100"/>
        <v>27.021975173454347</v>
      </c>
      <c r="R204" s="690">
        <f t="shared" si="101"/>
        <v>1.5337809574020493</v>
      </c>
      <c r="S204" s="677">
        <f t="shared" si="76"/>
        <v>1.0187252139097789</v>
      </c>
      <c r="T204" s="680">
        <f t="shared" si="77"/>
        <v>0.19202923361075774</v>
      </c>
      <c r="U204" s="681">
        <f t="shared" si="89"/>
        <v>0.97523988249938931</v>
      </c>
      <c r="V204" s="682">
        <f t="shared" si="90"/>
        <v>-0.27323119463049766</v>
      </c>
      <c r="W204" s="683">
        <f t="shared" si="78"/>
        <v>-5.0448635110909299</v>
      </c>
      <c r="X204" s="684">
        <f t="shared" si="79"/>
        <v>-121.80934082821909</v>
      </c>
      <c r="Y204" s="687">
        <f t="shared" si="80"/>
        <v>58.190659171780908</v>
      </c>
      <c r="AA204" s="170">
        <f t="shared" si="81"/>
        <v>11615.5</v>
      </c>
      <c r="AB204" s="170">
        <f t="shared" si="82"/>
        <v>134919840.25</v>
      </c>
      <c r="AD204" s="686">
        <f t="shared" si="83"/>
        <v>26.77187017457948</v>
      </c>
      <c r="AE204" s="687">
        <f t="shared" si="84"/>
        <v>-13.123027399476223</v>
      </c>
      <c r="AG204" s="686">
        <f t="shared" si="85"/>
        <v>13.799796352164421</v>
      </c>
      <c r="AH204" s="687">
        <f t="shared" si="86"/>
        <v>-77.376324825675866</v>
      </c>
      <c r="AJ204" s="170">
        <f t="shared" si="87"/>
        <v>0</v>
      </c>
      <c r="AK204" s="170">
        <f t="shared" si="99"/>
        <v>0</v>
      </c>
      <c r="AM204" s="170" t="str">
        <f t="shared" si="91"/>
        <v>0.077049892654881+0.384919601152803i</v>
      </c>
      <c r="AN204" s="170" t="str">
        <f t="shared" si="92"/>
        <v>0.395120710252501i</v>
      </c>
      <c r="AO204" s="170" t="str">
        <f t="shared" si="93"/>
        <v>0.974182297118319-0.195003427194799i</v>
      </c>
      <c r="AP204" s="170" t="str">
        <f t="shared" si="94"/>
        <v>0.153825017890853-0.0641532668588005i</v>
      </c>
      <c r="AQ204" s="170" t="str">
        <f t="shared" si="95"/>
        <v>0.846174982109147+0.0641532668588005i</v>
      </c>
      <c r="AR204" s="170" t="str">
        <f t="shared" si="96"/>
        <v>0.978803785760505-0.0742085996371354i</v>
      </c>
    </row>
    <row r="205" spans="7:44">
      <c r="G205" s="688">
        <v>11682.25</v>
      </c>
      <c r="H205" s="676">
        <f t="shared" si="88"/>
        <v>11.68225</v>
      </c>
      <c r="I205" s="677">
        <f t="shared" ref="I205:I268" si="102">SQRT(1+(G205/pole1)^2)</f>
        <v>60.163005172321192</v>
      </c>
      <c r="J205" s="678">
        <f t="shared" ref="J205:J268" si="103">ATAN(G205/pole1)</f>
        <v>1.5541740512182751</v>
      </c>
      <c r="K205" s="678">
        <f t="shared" ref="K205:K268" si="104">SQRT(1+(G205/Zero1)^2)</f>
        <v>1.0000238030862525</v>
      </c>
      <c r="L205" s="679">
        <f t="shared" ref="L205:L268" si="105">ATAN(G205/Zero1)</f>
        <v>6.8996542096443122E-3</v>
      </c>
      <c r="M205" s="678">
        <f t="shared" ref="M205:M268" si="106">SQRT(1+(G205/z_RHP)^2)</f>
        <v>1.0029658326136011</v>
      </c>
      <c r="N205" s="679">
        <f t="shared" ref="N205:N268" si="107">-ATAN(G205/z_RHP)</f>
        <v>-7.6922311215258735E-2</v>
      </c>
      <c r="O205" s="677">
        <f t="shared" ref="O205:O268" si="108">SQRT(1+(G205/Pole2)^2)</f>
        <v>220205.22441504561</v>
      </c>
      <c r="P205" s="680">
        <f t="shared" ref="P205:P268" si="109">ATAN(G205/Pole2)</f>
        <v>1.5707917855765734</v>
      </c>
      <c r="Q205" s="689">
        <f t="shared" si="100"/>
        <v>27.177048453006108</v>
      </c>
      <c r="R205" s="690">
        <f t="shared" si="101"/>
        <v>1.5339922642082373</v>
      </c>
      <c r="S205" s="677">
        <f t="shared" ref="S205:S268" si="110">SQRT(1+(G205/pole4)^2)</f>
        <v>1.0189390400519882</v>
      </c>
      <c r="T205" s="680">
        <f t="shared" ref="T205:T268" si="111">ATAN(G205/pole4)</f>
        <v>0.19310560014056441</v>
      </c>
      <c r="U205" s="681">
        <f t="shared" si="89"/>
        <v>0.97496883789103639</v>
      </c>
      <c r="V205" s="682">
        <f t="shared" si="90"/>
        <v>-0.27476362647164304</v>
      </c>
      <c r="W205" s="683">
        <f t="shared" ref="W205:W268" si="112">20*LOG10(((K205*Q205*M205*U205)/(I205*O205*S205))*Adc)</f>
        <v>-5.0986318931926009</v>
      </c>
      <c r="X205" s="684">
        <f t="shared" ref="X205:X268" si="113">((L205+R205+N205+V205)-(J205+P205+T205))*radconv</f>
        <v>-121.97500593108339</v>
      </c>
      <c r="Y205" s="687">
        <f t="shared" ref="Y205:Y268" si="114">IF(X205&gt;0,X205,X205+180)</f>
        <v>58.024994068916612</v>
      </c>
      <c r="AA205" s="170">
        <f t="shared" ref="AA205:AA268" si="115">IF(W205&lt;0,G205,1000000000)</f>
        <v>11682.25</v>
      </c>
      <c r="AB205" s="170">
        <f t="shared" ref="AB205:AB268" si="116">G205^2</f>
        <v>136474965.0625</v>
      </c>
      <c r="AD205" s="686">
        <f t="shared" ref="AD205:AD268" si="117">20*LOG10((Q205/(O205*S205))*Aea)</f>
        <v>26.769979459731452</v>
      </c>
      <c r="AE205" s="687">
        <f t="shared" ref="AE205:AE268" si="118">(R205-(P205+T205))*radconv</f>
        <v>-13.172593165954245</v>
      </c>
      <c r="AG205" s="686">
        <f t="shared" ref="AG205:AG268" si="119">20*LOG10((K205*M205/(I205*U205))*Acs*Am)</f>
        <v>13.752747426666856</v>
      </c>
      <c r="AH205" s="687">
        <f t="shared" ref="AH205:AH268" si="120">(L205+N205-(J205+V205))*radconv</f>
        <v>-77.316820408083245</v>
      </c>
      <c r="AJ205" s="170">
        <f t="shared" ref="AJ205:AJ268" si="121">SUM((W206&lt;0)*(W205&gt;0))*G205</f>
        <v>0</v>
      </c>
      <c r="AK205" s="170">
        <f t="shared" si="99"/>
        <v>0</v>
      </c>
      <c r="AM205" s="170" t="str">
        <f t="shared" si="91"/>
        <v>0.07792627464268+0.387014269770086i</v>
      </c>
      <c r="AN205" s="170" t="str">
        <f t="shared" si="92"/>
        <v>0.39739132343397i</v>
      </c>
      <c r="AO205" s="170" t="str">
        <f t="shared" si="93"/>
        <v>0.973887065338486-0.196094554781159i</v>
      </c>
      <c r="AP205" s="170" t="str">
        <f t="shared" si="94"/>
        <v>0.15367895422622-0.0645023782950143i</v>
      </c>
      <c r="AQ205" s="170" t="str">
        <f t="shared" si="95"/>
        <v>0.84632104577378+0.0645023782950143i</v>
      </c>
      <c r="AR205" s="170" t="str">
        <f t="shared" si="96"/>
        <v>0.97857577386055-0.0745821754889474i</v>
      </c>
    </row>
    <row r="206" spans="7:44">
      <c r="G206" s="688">
        <v>11749</v>
      </c>
      <c r="H206" s="676">
        <f t="shared" ref="H206:H269" si="122">G206/1000</f>
        <v>11.749000000000001</v>
      </c>
      <c r="I206" s="677">
        <f t="shared" si="102"/>
        <v>60.506669642801228</v>
      </c>
      <c r="J206" s="678">
        <f t="shared" si="103"/>
        <v>1.5542684706809722</v>
      </c>
      <c r="K206" s="678">
        <f t="shared" si="104"/>
        <v>1.0000240758720647</v>
      </c>
      <c r="L206" s="679">
        <f t="shared" si="105"/>
        <v>6.9390761683144654E-3</v>
      </c>
      <c r="M206" s="678">
        <f t="shared" si="106"/>
        <v>1.0029997709407461</v>
      </c>
      <c r="N206" s="679">
        <f t="shared" si="107"/>
        <v>-7.7360083138609329E-2</v>
      </c>
      <c r="O206" s="677">
        <f t="shared" si="108"/>
        <v>221463.43227135771</v>
      </c>
      <c r="P206" s="680">
        <f t="shared" si="109"/>
        <v>1.5707918113767541</v>
      </c>
      <c r="Q206" s="689">
        <f t="shared" si="100"/>
        <v>27.332122932258795</v>
      </c>
      <c r="R206" s="690">
        <f t="shared" si="101"/>
        <v>1.5342011732375136</v>
      </c>
      <c r="S206" s="677">
        <f t="shared" si="110"/>
        <v>1.0191540462050555</v>
      </c>
      <c r="T206" s="680">
        <f t="shared" si="111"/>
        <v>0.19418151376444448</v>
      </c>
      <c r="U206" s="681">
        <f t="shared" ref="U206:U269" si="123">IMABS(IMPRODUCT(AO206, AR206))</f>
        <v>0.97469645511059233</v>
      </c>
      <c r="V206" s="682">
        <f t="shared" ref="V206:V269" si="124">IMARGUMENT(IMPRODUCT(AO206, AR206))</f>
        <v>-0.2762954353593477</v>
      </c>
      <c r="W206" s="683">
        <f t="shared" si="112"/>
        <v>-5.1521363847410129</v>
      </c>
      <c r="X206" s="684">
        <f t="shared" si="113"/>
        <v>-122.1406829063513</v>
      </c>
      <c r="Y206" s="687">
        <f t="shared" si="114"/>
        <v>57.859317093648698</v>
      </c>
      <c r="AA206" s="170">
        <f t="shared" si="115"/>
        <v>11749</v>
      </c>
      <c r="AB206" s="170">
        <f t="shared" si="116"/>
        <v>138039001</v>
      </c>
      <c r="AD206" s="686">
        <f t="shared" si="117"/>
        <v>26.768080221401313</v>
      </c>
      <c r="AE206" s="687">
        <f t="shared" si="118"/>
        <v>-13.22227034834172</v>
      </c>
      <c r="AG206" s="686">
        <f t="shared" si="119"/>
        <v>13.705996107699001</v>
      </c>
      <c r="AH206" s="687">
        <f t="shared" si="120"/>
        <v>-77.257287832190926</v>
      </c>
      <c r="AJ206" s="170">
        <f t="shared" si="121"/>
        <v>0</v>
      </c>
      <c r="AK206" s="170">
        <f t="shared" si="99"/>
        <v>0</v>
      </c>
      <c r="AM206" s="170" t="str">
        <f t="shared" ref="AM206:AM269" si="125">IMSUB(1,IMEXP(COMPLEX(0,-2*Pi*G206*Tsw)))</f>
        <v>0.078807410549392+0.389106943064864i</v>
      </c>
      <c r="AN206" s="170" t="str">
        <f t="shared" ref="AN206:AN269" si="126">COMPLEX(0, 2*Pi*G206*Tsw)</f>
        <v>0.399661936615439i</v>
      </c>
      <c r="AO206" s="170" t="str">
        <f t="shared" ref="AO206:AO269" si="127">IMDIV(AM206, AN206)</f>
        <v>0.973590195653955-0.197185179096056i</v>
      </c>
      <c r="AP206" s="170" t="str">
        <f t="shared" ref="AP206:AP269" si="128">IMDIV(IMEXP(COMPLEX(0,-2*Pi*G206*Tsw)),6)</f>
        <v>0.153532098241768-0.0648511571774773i</v>
      </c>
      <c r="AQ206" s="170" t="str">
        <f t="shared" ref="AQ206:AQ269" si="129">IMSUB(1, AP206)</f>
        <v>0.846467901758232+0.0648511571774773i</v>
      </c>
      <c r="AR206" s="170" t="str">
        <f t="shared" ref="AR206:AR269" si="130">IMDIV(0.833, AQ206)</f>
        <v>0.978346711461147-0.0749548993260663i</v>
      </c>
    </row>
    <row r="207" spans="7:44">
      <c r="G207" s="688">
        <v>11817.5</v>
      </c>
      <c r="H207" s="676">
        <f t="shared" si="122"/>
        <v>11.817500000000001</v>
      </c>
      <c r="I207" s="677">
        <f t="shared" si="102"/>
        <v>60.85934459761976</v>
      </c>
      <c r="J207" s="678">
        <f t="shared" si="103"/>
        <v>1.5543642569100982</v>
      </c>
      <c r="K207" s="678">
        <f t="shared" si="104"/>
        <v>1.0000243574253436</v>
      </c>
      <c r="L207" s="679">
        <f t="shared" si="105"/>
        <v>6.9795316390566303E-3</v>
      </c>
      <c r="M207" s="678">
        <f t="shared" si="106"/>
        <v>1.0030347988674295</v>
      </c>
      <c r="N207" s="679">
        <f t="shared" si="107"/>
        <v>-7.7809301339965845E-2</v>
      </c>
      <c r="O207" s="677">
        <f t="shared" si="108"/>
        <v>222754.62685049465</v>
      </c>
      <c r="P207" s="680">
        <f t="shared" si="109"/>
        <v>1.5707918375503223</v>
      </c>
      <c r="Q207" s="689">
        <f t="shared" si="100"/>
        <v>27.491264260563643</v>
      </c>
      <c r="R207" s="690">
        <f t="shared" si="101"/>
        <v>1.5344131089229482</v>
      </c>
      <c r="S207" s="677">
        <f t="shared" si="110"/>
        <v>1.0193759152617803</v>
      </c>
      <c r="T207" s="680">
        <f t="shared" si="111"/>
        <v>0.19528516167817048</v>
      </c>
      <c r="U207" s="681">
        <f t="shared" si="123"/>
        <v>0.97441554351020698</v>
      </c>
      <c r="V207" s="682">
        <f t="shared" si="124"/>
        <v>-0.2778667533675877</v>
      </c>
      <c r="W207" s="683">
        <f t="shared" si="112"/>
        <v>-5.2067726141207054</v>
      </c>
      <c r="X207" s="684">
        <f t="shared" si="113"/>
        <v>-122.31071416949779</v>
      </c>
      <c r="Y207" s="687">
        <f t="shared" si="114"/>
        <v>57.689285830502214</v>
      </c>
      <c r="AA207" s="170">
        <f t="shared" si="115"/>
        <v>11817.5</v>
      </c>
      <c r="AB207" s="170">
        <f t="shared" si="116"/>
        <v>139653306.25</v>
      </c>
      <c r="AD207" s="686">
        <f t="shared" si="117"/>
        <v>26.766122314718931</v>
      </c>
      <c r="AE207" s="687">
        <f t="shared" si="118"/>
        <v>-13.273363195256399</v>
      </c>
      <c r="AG207" s="686">
        <f t="shared" si="119"/>
        <v>13.658325126144984</v>
      </c>
      <c r="AH207" s="687">
        <f t="shared" si="120"/>
        <v>-77.196166467926858</v>
      </c>
      <c r="AJ207" s="170">
        <f t="shared" si="121"/>
        <v>0</v>
      </c>
      <c r="AK207" s="170">
        <f t="shared" si="99"/>
        <v>0</v>
      </c>
      <c r="AM207" s="170" t="str">
        <f t="shared" si="125"/>
        <v>0.079716585137532+0.391252394662416i</v>
      </c>
      <c r="AN207" s="170" t="str">
        <f t="shared" si="126"/>
        <v>0.401992078981441i</v>
      </c>
      <c r="AO207" s="170" t="str">
        <f t="shared" si="127"/>
        <v>0.97328384094971-0.198303870413358i</v>
      </c>
      <c r="AP207" s="170" t="str">
        <f t="shared" si="128"/>
        <v>0.153380569143745-0.065208732443736i</v>
      </c>
      <c r="AQ207" s="170" t="str">
        <f t="shared" si="129"/>
        <v>0.846619430856255+0.065208732443736i</v>
      </c>
      <c r="AR207" s="170" t="str">
        <f t="shared" si="130"/>
        <v>0.978110555675685-0.0753365056374178i</v>
      </c>
    </row>
    <row r="208" spans="7:44">
      <c r="G208" s="688">
        <v>11886</v>
      </c>
      <c r="H208" s="676">
        <f t="shared" si="122"/>
        <v>11.885999999999999</v>
      </c>
      <c r="I208" s="677">
        <f t="shared" si="102"/>
        <v>61.212020104388579</v>
      </c>
      <c r="J208" s="678">
        <f t="shared" si="103"/>
        <v>1.5544589393876893</v>
      </c>
      <c r="K208" s="678">
        <f t="shared" si="104"/>
        <v>1.0000246406153064</v>
      </c>
      <c r="L208" s="679">
        <f t="shared" si="105"/>
        <v>7.0199870869524054E-3</v>
      </c>
      <c r="M208" s="678">
        <f t="shared" si="106"/>
        <v>1.0030700291893582</v>
      </c>
      <c r="N208" s="679">
        <f t="shared" si="107"/>
        <v>-7.8258488076633687E-2</v>
      </c>
      <c r="O208" s="677">
        <f t="shared" si="108"/>
        <v>224045.8214296317</v>
      </c>
      <c r="P208" s="680">
        <f t="shared" si="109"/>
        <v>1.5707918634222096</v>
      </c>
      <c r="Q208" s="689">
        <f t="shared" si="100"/>
        <v>27.650406809472351</v>
      </c>
      <c r="R208" s="690">
        <f t="shared" si="101"/>
        <v>1.5346226050163316</v>
      </c>
      <c r="S208" s="677">
        <f t="shared" si="110"/>
        <v>1.0195990254165839</v>
      </c>
      <c r="T208" s="680">
        <f t="shared" si="111"/>
        <v>0.19638832793139513</v>
      </c>
      <c r="U208" s="681">
        <f t="shared" si="123"/>
        <v>0.97413322990423368</v>
      </c>
      <c r="V208" s="682">
        <f t="shared" si="124"/>
        <v>-0.27943740924321531</v>
      </c>
      <c r="W208" s="683">
        <f t="shared" si="112"/>
        <v>-5.2611377058876974</v>
      </c>
      <c r="X208" s="684">
        <f t="shared" si="113"/>
        <v>-122.48075461737999</v>
      </c>
      <c r="Y208" s="687">
        <f t="shared" si="114"/>
        <v>57.519245382620014</v>
      </c>
      <c r="AA208" s="170">
        <f t="shared" si="115"/>
        <v>11886</v>
      </c>
      <c r="AB208" s="170">
        <f t="shared" si="116"/>
        <v>141276996</v>
      </c>
      <c r="AD208" s="686">
        <f t="shared" si="117"/>
        <v>26.764155404166523</v>
      </c>
      <c r="AE208" s="687">
        <f t="shared" si="118"/>
        <v>-13.324568206100542</v>
      </c>
      <c r="AG208" s="686">
        <f t="shared" si="119"/>
        <v>13.610960731870554</v>
      </c>
      <c r="AH208" s="687">
        <f t="shared" si="120"/>
        <v>-77.135017999277508</v>
      </c>
      <c r="AJ208" s="170">
        <f t="shared" si="121"/>
        <v>0</v>
      </c>
      <c r="AK208" s="170">
        <f t="shared" si="99"/>
        <v>0</v>
      </c>
      <c r="AM208" s="170" t="str">
        <f t="shared" si="125"/>
        <v>0.080630756460601+0.393395721931229i</v>
      </c>
      <c r="AN208" s="170" t="str">
        <f t="shared" si="126"/>
        <v>0.404322221347443i</v>
      </c>
      <c r="AO208" s="170" t="str">
        <f t="shared" si="127"/>
        <v>0.972975763291465-0.19942202580875i</v>
      </c>
      <c r="AP208" s="170" t="str">
        <f t="shared" si="128"/>
        <v>0.153228207256566-0.0655659536552048i</v>
      </c>
      <c r="AQ208" s="170" t="str">
        <f t="shared" si="129"/>
        <v>0.846771792743434+0.0655659536552048i</v>
      </c>
      <c r="AR208" s="170" t="str">
        <f t="shared" si="130"/>
        <v>0.977873302078384-0.075717207580815i</v>
      </c>
    </row>
    <row r="209" spans="7:44">
      <c r="G209" s="688">
        <v>11954.5</v>
      </c>
      <c r="H209" s="676">
        <f t="shared" si="122"/>
        <v>11.954499999999999</v>
      </c>
      <c r="I209" s="677">
        <f t="shared" si="102"/>
        <v>61.56469615362208</v>
      </c>
      <c r="J209" s="678">
        <f t="shared" si="103"/>
        <v>1.5545525370806998</v>
      </c>
      <c r="K209" s="678">
        <f t="shared" si="104"/>
        <v>1.0000249254419522</v>
      </c>
      <c r="L209" s="679">
        <f t="shared" si="105"/>
        <v>7.0604425118693864E-3</v>
      </c>
      <c r="M209" s="678">
        <f t="shared" si="106"/>
        <v>1.0031054618852069</v>
      </c>
      <c r="N209" s="679">
        <f t="shared" si="107"/>
        <v>-7.870764317067401E-2</v>
      </c>
      <c r="O209" s="677">
        <f t="shared" si="108"/>
        <v>225337.01600876893</v>
      </c>
      <c r="P209" s="680">
        <f t="shared" si="109"/>
        <v>1.570791888997602</v>
      </c>
      <c r="Q209" s="689">
        <f t="shared" si="100"/>
        <v>27.809550558029883</v>
      </c>
      <c r="R209" s="690">
        <f t="shared" si="101"/>
        <v>1.5348297033817575</v>
      </c>
      <c r="S209" s="677">
        <f t="shared" si="110"/>
        <v>1.0198233758549085</v>
      </c>
      <c r="T209" s="680">
        <f t="shared" si="111"/>
        <v>0.19749101015607351</v>
      </c>
      <c r="U209" s="681">
        <f t="shared" si="123"/>
        <v>0.97384951798484365</v>
      </c>
      <c r="V209" s="682">
        <f t="shared" si="124"/>
        <v>-0.28100739992136975</v>
      </c>
      <c r="W209" s="683">
        <f t="shared" si="112"/>
        <v>-5.3152350003054805</v>
      </c>
      <c r="X209" s="684">
        <f t="shared" si="113"/>
        <v>-122.65080261691551</v>
      </c>
      <c r="Y209" s="687">
        <f t="shared" si="114"/>
        <v>57.349197383084487</v>
      </c>
      <c r="AA209" s="170">
        <f t="shared" si="115"/>
        <v>11954.5</v>
      </c>
      <c r="AB209" s="170">
        <f t="shared" si="116"/>
        <v>142910070.25</v>
      </c>
      <c r="AD209" s="686">
        <f t="shared" si="117"/>
        <v>26.762179477016726</v>
      </c>
      <c r="AE209" s="687">
        <f t="shared" si="118"/>
        <v>-13.375882846856438</v>
      </c>
      <c r="AG209" s="686">
        <f t="shared" si="119"/>
        <v>13.563899554054286</v>
      </c>
      <c r="AH209" s="687">
        <f t="shared" si="120"/>
        <v>-77.073843678385302</v>
      </c>
      <c r="AJ209" s="170">
        <f t="shared" si="121"/>
        <v>0</v>
      </c>
      <c r="AK209" s="170">
        <f t="shared" si="99"/>
        <v>0</v>
      </c>
      <c r="AM209" s="170" t="str">
        <f t="shared" si="125"/>
        <v>0.081549919555049+0.395536913233976i</v>
      </c>
      <c r="AN209" s="170" t="str">
        <f t="shared" si="126"/>
        <v>0.406652363713445i</v>
      </c>
      <c r="AO209" s="170" t="str">
        <f t="shared" si="127"/>
        <v>0.972665963679725-0.200539642288947i</v>
      </c>
      <c r="AP209" s="170" t="str">
        <f t="shared" si="128"/>
        <v>0.153075013407492-0.0659228188723293i</v>
      </c>
      <c r="AQ209" s="170" t="str">
        <f t="shared" si="129"/>
        <v>0.846924986592508+0.0659228188723293i</v>
      </c>
      <c r="AR209" s="170" t="str">
        <f t="shared" si="130"/>
        <v>0.977634954989326-0.0760970016014276i</v>
      </c>
    </row>
    <row r="210" spans="7:44">
      <c r="G210" s="688">
        <v>12023</v>
      </c>
      <c r="H210" s="676">
        <f t="shared" si="122"/>
        <v>12.023</v>
      </c>
      <c r="I210" s="677">
        <f t="shared" si="102"/>
        <v>61.91737273605078</v>
      </c>
      <c r="J210" s="678">
        <f t="shared" si="103"/>
        <v>1.5546450685240241</v>
      </c>
      <c r="K210" s="678">
        <f t="shared" si="104"/>
        <v>1.000025211905279</v>
      </c>
      <c r="L210" s="679">
        <f t="shared" si="105"/>
        <v>7.1008979136751712E-3</v>
      </c>
      <c r="M210" s="678">
        <f t="shared" si="106"/>
        <v>1.0031410969335313</v>
      </c>
      <c r="N210" s="679">
        <f t="shared" si="107"/>
        <v>-7.9156766444224105E-2</v>
      </c>
      <c r="O210" s="677">
        <f t="shared" si="108"/>
        <v>226628.21058790627</v>
      </c>
      <c r="P210" s="680">
        <f t="shared" si="109"/>
        <v>1.5707919142815674</v>
      </c>
      <c r="Q210" s="689">
        <f t="shared" si="100"/>
        <v>27.968695485757998</v>
      </c>
      <c r="R210" s="690">
        <f t="shared" si="101"/>
        <v>1.5350344449313085</v>
      </c>
      <c r="S210" s="677">
        <f t="shared" si="110"/>
        <v>1.0200489657583871</v>
      </c>
      <c r="T210" s="680">
        <f t="shared" si="111"/>
        <v>0.1985932059909464</v>
      </c>
      <c r="U210" s="681">
        <f t="shared" si="123"/>
        <v>0.97356441145678896</v>
      </c>
      <c r="V210" s="682">
        <f t="shared" si="124"/>
        <v>-0.28257672234929637</v>
      </c>
      <c r="W210" s="683">
        <f t="shared" si="112"/>
        <v>-5.369067779405194</v>
      </c>
      <c r="X210" s="684">
        <f t="shared" si="113"/>
        <v>-122.8208565658929</v>
      </c>
      <c r="Y210" s="687">
        <f t="shared" si="114"/>
        <v>57.179143434107104</v>
      </c>
      <c r="AA210" s="170">
        <f t="shared" si="115"/>
        <v>12023</v>
      </c>
      <c r="AB210" s="170">
        <f t="shared" si="116"/>
        <v>144552529</v>
      </c>
      <c r="AD210" s="686">
        <f t="shared" si="117"/>
        <v>26.760194521350741</v>
      </c>
      <c r="AE210" s="687">
        <f t="shared" si="118"/>
        <v>-13.427304638434565</v>
      </c>
      <c r="AG210" s="686">
        <f t="shared" si="119"/>
        <v>13.517138279130929</v>
      </c>
      <c r="AH210" s="687">
        <f t="shared" si="120"/>
        <v>-77.012644731948228</v>
      </c>
      <c r="AJ210" s="170">
        <f t="shared" si="121"/>
        <v>0</v>
      </c>
      <c r="AK210" s="170">
        <f t="shared" si="99"/>
        <v>0</v>
      </c>
      <c r="AM210" s="170" t="str">
        <f t="shared" si="125"/>
        <v>0.082474069430224+0.39767595694493i</v>
      </c>
      <c r="AN210" s="170" t="str">
        <f t="shared" si="126"/>
        <v>0.408982506079447i</v>
      </c>
      <c r="AO210" s="170" t="str">
        <f t="shared" si="127"/>
        <v>0.972354443120556-0.201656716862611i</v>
      </c>
      <c r="AP210" s="170" t="str">
        <f t="shared" si="128"/>
        <v>0.152920988428296-0.0662793261574883i</v>
      </c>
      <c r="AQ210" s="170" t="str">
        <f t="shared" si="129"/>
        <v>0.847079011571704+0.0662793261574883i</v>
      </c>
      <c r="AR210" s="170" t="str">
        <f t="shared" si="130"/>
        <v>0.977395518741232-0.0764758841696717i</v>
      </c>
    </row>
    <row r="211" spans="7:44">
      <c r="G211" s="688">
        <v>12093</v>
      </c>
      <c r="H211" s="676">
        <f t="shared" si="122"/>
        <v>12.093</v>
      </c>
      <c r="I211" s="677">
        <f t="shared" si="102"/>
        <v>62.277772704760508</v>
      </c>
      <c r="J211" s="678">
        <f t="shared" si="103"/>
        <v>1.5547385435238996</v>
      </c>
      <c r="K211" s="678">
        <f t="shared" si="104"/>
        <v>1.0000255063323571</v>
      </c>
      <c r="L211" s="679">
        <f t="shared" si="105"/>
        <v>7.1422391761783869E-3</v>
      </c>
      <c r="M211" s="678">
        <f t="shared" si="106"/>
        <v>1.0031777213365456</v>
      </c>
      <c r="N211" s="679">
        <f t="shared" si="107"/>
        <v>-7.9615691475656669E-2</v>
      </c>
      <c r="O211" s="677">
        <f t="shared" si="108"/>
        <v>227947.67950089352</v>
      </c>
      <c r="P211" s="680">
        <f t="shared" si="109"/>
        <v>1.5707919398232801</v>
      </c>
      <c r="Q211" s="689">
        <f t="shared" si="100"/>
        <v>28.131326536270475</v>
      </c>
      <c r="R211" s="690">
        <f t="shared" si="101"/>
        <v>1.5352412766842358</v>
      </c>
      <c r="S211" s="677">
        <f t="shared" si="110"/>
        <v>1.0202807752058567</v>
      </c>
      <c r="T211" s="680">
        <f t="shared" si="111"/>
        <v>0.19971903256824181</v>
      </c>
      <c r="U211" s="681">
        <f t="shared" si="123"/>
        <v>0.97327162483704921</v>
      </c>
      <c r="V211" s="682">
        <f t="shared" si="124"/>
        <v>-0.28417971597756775</v>
      </c>
      <c r="W211" s="683">
        <f t="shared" si="112"/>
        <v>-5.4238094671245038</v>
      </c>
      <c r="X211" s="684">
        <f t="shared" si="113"/>
        <v>-122.99463883437645</v>
      </c>
      <c r="Y211" s="687">
        <f t="shared" si="114"/>
        <v>57.005361165623555</v>
      </c>
      <c r="AA211" s="170">
        <f t="shared" si="115"/>
        <v>12093</v>
      </c>
      <c r="AB211" s="170">
        <f t="shared" si="116"/>
        <v>146240649</v>
      </c>
      <c r="AD211" s="686">
        <f t="shared" si="117"/>
        <v>26.758156760680386</v>
      </c>
      <c r="AE211" s="687">
        <f t="shared" si="118"/>
        <v>-13.479960626757739</v>
      </c>
      <c r="AG211" s="686">
        <f t="shared" si="119"/>
        <v>13.469659470660677</v>
      </c>
      <c r="AH211" s="687">
        <f t="shared" si="120"/>
        <v>-76.950081472926087</v>
      </c>
      <c r="AJ211" s="170">
        <f t="shared" si="121"/>
        <v>0</v>
      </c>
      <c r="AK211" s="170">
        <f t="shared" si="99"/>
        <v>0</v>
      </c>
      <c r="AM211" s="170" t="str">
        <f t="shared" si="125"/>
        <v>0.083423602717951+0.399859610295237i</v>
      </c>
      <c r="AN211" s="170" t="str">
        <f t="shared" si="126"/>
        <v>0.411363673460763i</v>
      </c>
      <c r="AO211" s="170" t="str">
        <f t="shared" si="127"/>
        <v>0.972034324108535-0.202797689976162i</v>
      </c>
      <c r="AP211" s="170" t="str">
        <f t="shared" si="128"/>
        <v>0.152762732880342-0.0666432683825395i</v>
      </c>
      <c r="AQ211" s="170" t="str">
        <f t="shared" si="129"/>
        <v>0.847237267119658+0.0666432683825395i</v>
      </c>
      <c r="AR211" s="170" t="str">
        <f t="shared" si="130"/>
        <v>0.977149718689958-0.0768621181808574i</v>
      </c>
    </row>
    <row r="212" spans="7:44">
      <c r="G212" s="688">
        <v>12163</v>
      </c>
      <c r="H212" s="676">
        <f t="shared" si="122"/>
        <v>12.163</v>
      </c>
      <c r="I212" s="677">
        <f t="shared" si="102"/>
        <v>62.638173211365171</v>
      </c>
      <c r="J212" s="678">
        <f t="shared" si="103"/>
        <v>1.5548309428726017</v>
      </c>
      <c r="K212" s="678">
        <f t="shared" si="104"/>
        <v>1.0000258024685782</v>
      </c>
      <c r="L212" s="679">
        <f t="shared" si="105"/>
        <v>7.1835804142676004E-3</v>
      </c>
      <c r="M212" s="678">
        <f t="shared" si="106"/>
        <v>1.0032145570055584</v>
      </c>
      <c r="N212" s="679">
        <f t="shared" si="107"/>
        <v>-8.0074582902445041E-2</v>
      </c>
      <c r="O212" s="677">
        <f t="shared" si="108"/>
        <v>229267.14841388087</v>
      </c>
      <c r="P212" s="680">
        <f t="shared" si="109"/>
        <v>1.5707919650709998</v>
      </c>
      <c r="Q212" s="689">
        <f t="shared" si="100"/>
        <v>28.293958776388934</v>
      </c>
      <c r="R212" s="690">
        <f t="shared" si="101"/>
        <v>1.5354457307289731</v>
      </c>
      <c r="S212" s="677">
        <f t="shared" si="110"/>
        <v>1.0205138772559448</v>
      </c>
      <c r="T212" s="680">
        <f t="shared" si="111"/>
        <v>0.20084434625693007</v>
      </c>
      <c r="U212" s="681">
        <f t="shared" si="123"/>
        <v>0.97297738972409298</v>
      </c>
      <c r="V212" s="682">
        <f t="shared" si="124"/>
        <v>-0.28578200536190335</v>
      </c>
      <c r="W212" s="683">
        <f t="shared" si="112"/>
        <v>-5.4782816774651053</v>
      </c>
      <c r="X212" s="684">
        <f t="shared" si="113"/>
        <v>-123.16842402782392</v>
      </c>
      <c r="Y212" s="687">
        <f t="shared" si="114"/>
        <v>56.831575972176083</v>
      </c>
      <c r="AA212" s="170">
        <f t="shared" si="115"/>
        <v>12163</v>
      </c>
      <c r="AB212" s="170">
        <f t="shared" si="116"/>
        <v>147938569</v>
      </c>
      <c r="AD212" s="686">
        <f t="shared" si="117"/>
        <v>26.756109549063165</v>
      </c>
      <c r="AE212" s="687">
        <f t="shared" si="118"/>
        <v>-13.532723444528118</v>
      </c>
      <c r="AG212" s="686">
        <f t="shared" si="119"/>
        <v>13.422487024347866</v>
      </c>
      <c r="AH212" s="687">
        <f t="shared" si="120"/>
        <v>-76.887495009831284</v>
      </c>
      <c r="AJ212" s="170">
        <f t="shared" si="121"/>
        <v>0</v>
      </c>
      <c r="AK212" s="170">
        <f t="shared" si="99"/>
        <v>0</v>
      </c>
      <c r="AM212" s="170" t="str">
        <f t="shared" si="125"/>
        <v>0.084378332952988+0.40204099645938i</v>
      </c>
      <c r="AN212" s="170" t="str">
        <f t="shared" si="126"/>
        <v>0.413744840842079i</v>
      </c>
      <c r="AO212" s="170" t="str">
        <f t="shared" si="127"/>
        <v>0.971712410095849-0.203938090880495i</v>
      </c>
      <c r="AP212" s="170" t="str">
        <f t="shared" si="128"/>
        <v>0.152603611174502-0.06700683274323i</v>
      </c>
      <c r="AQ212" s="170" t="str">
        <f t="shared" si="129"/>
        <v>0.847396388825498+0.06700683274323i</v>
      </c>
      <c r="AR212" s="170" t="str">
        <f t="shared" si="130"/>
        <v>0.97690279044483-0.0772473930133908i</v>
      </c>
    </row>
    <row r="213" spans="7:44">
      <c r="G213" s="688">
        <v>12233</v>
      </c>
      <c r="H213" s="676">
        <f t="shared" si="122"/>
        <v>12.233000000000001</v>
      </c>
      <c r="I213" s="677">
        <f t="shared" si="102"/>
        <v>62.99857424663324</v>
      </c>
      <c r="J213" s="678">
        <f t="shared" si="103"/>
        <v>1.5549222850292324</v>
      </c>
      <c r="K213" s="678">
        <f t="shared" si="104"/>
        <v>1.0000261003139399</v>
      </c>
      <c r="L213" s="679">
        <f t="shared" si="105"/>
        <v>7.2249216278015204E-3</v>
      </c>
      <c r="M213" s="678">
        <f t="shared" si="106"/>
        <v>1.0032516039172996</v>
      </c>
      <c r="N213" s="679">
        <f t="shared" si="107"/>
        <v>-8.0533440535033501E-2</v>
      </c>
      <c r="O213" s="677">
        <f t="shared" si="108"/>
        <v>230586.61732686841</v>
      </c>
      <c r="P213" s="680">
        <f t="shared" si="109"/>
        <v>1.5707919900297729</v>
      </c>
      <c r="Q213" s="689">
        <f t="shared" si="100"/>
        <v>28.45659218571722</v>
      </c>
      <c r="R213" s="690">
        <f t="shared" si="101"/>
        <v>1.5356478478150852</v>
      </c>
      <c r="S213" s="677">
        <f t="shared" si="110"/>
        <v>1.0207482710230997</v>
      </c>
      <c r="T213" s="680">
        <f t="shared" si="111"/>
        <v>0.2019691445593283</v>
      </c>
      <c r="U213" s="681">
        <f t="shared" si="123"/>
        <v>0.97268171011132021</v>
      </c>
      <c r="V213" s="682">
        <f t="shared" si="124"/>
        <v>-0.28738358728397545</v>
      </c>
      <c r="W213" s="683">
        <f t="shared" si="112"/>
        <v>-5.5324877328604511</v>
      </c>
      <c r="X213" s="684">
        <f t="shared" si="113"/>
        <v>-123.34221053101903</v>
      </c>
      <c r="Y213" s="687">
        <f t="shared" si="114"/>
        <v>56.657789468980965</v>
      </c>
      <c r="AA213" s="170">
        <f t="shared" si="115"/>
        <v>12233</v>
      </c>
      <c r="AB213" s="170">
        <f t="shared" si="116"/>
        <v>149646289</v>
      </c>
      <c r="AD213" s="686">
        <f t="shared" si="117"/>
        <v>26.754052876233587</v>
      </c>
      <c r="AE213" s="687">
        <f t="shared" si="118"/>
        <v>-13.585590614150078</v>
      </c>
      <c r="AG213" s="686">
        <f t="shared" si="119"/>
        <v>13.375617581119386</v>
      </c>
      <c r="AH213" s="687">
        <f t="shared" si="120"/>
        <v>-76.824886573836352</v>
      </c>
      <c r="AJ213" s="170">
        <f t="shared" si="121"/>
        <v>0</v>
      </c>
      <c r="AK213" s="170">
        <f t="shared" si="99"/>
        <v>0</v>
      </c>
      <c r="AM213" s="170" t="str">
        <f t="shared" si="125"/>
        <v>0.085338254722058+0.404220103068996i</v>
      </c>
      <c r="AN213" s="170" t="str">
        <f t="shared" si="126"/>
        <v>0.416126008223395i</v>
      </c>
      <c r="AO213" s="170" t="str">
        <f t="shared" si="127"/>
        <v>0.97138870217406-0.205077916389798i</v>
      </c>
      <c r="AP213" s="170" t="str">
        <f t="shared" si="128"/>
        <v>0.15244362421299-0.067370017178166i</v>
      </c>
      <c r="AQ213" s="170" t="str">
        <f t="shared" si="129"/>
        <v>0.84755637578701+0.067370017178166i</v>
      </c>
      <c r="AR213" s="170" t="str">
        <f t="shared" si="130"/>
        <v>0.976654738669283-0.0776317049826802i</v>
      </c>
    </row>
    <row r="214" spans="7:44">
      <c r="G214" s="688">
        <v>12303</v>
      </c>
      <c r="H214" s="676">
        <f t="shared" si="122"/>
        <v>12.303000000000001</v>
      </c>
      <c r="I214" s="677">
        <f t="shared" si="102"/>
        <v>63.358975801543245</v>
      </c>
      <c r="J214" s="678">
        <f t="shared" si="103"/>
        <v>1.5550125880329659</v>
      </c>
      <c r="K214" s="678">
        <f t="shared" si="104"/>
        <v>1.0000263998684413</v>
      </c>
      <c r="L214" s="679">
        <f t="shared" si="105"/>
        <v>7.266262816638858E-3</v>
      </c>
      <c r="M214" s="678">
        <f t="shared" si="106"/>
        <v>1.0032888620483682</v>
      </c>
      <c r="N214" s="679">
        <f t="shared" si="107"/>
        <v>-8.099226418395114E-2</v>
      </c>
      <c r="O214" s="677">
        <f t="shared" si="108"/>
        <v>231906.08623985606</v>
      </c>
      <c r="P214" s="680">
        <f t="shared" si="109"/>
        <v>1.5707920147045318</v>
      </c>
      <c r="Q214" s="689">
        <f t="shared" si="100"/>
        <v>28.61922674432267</v>
      </c>
      <c r="R214" s="690">
        <f t="shared" si="101"/>
        <v>1.5358476677666397</v>
      </c>
      <c r="S214" s="677">
        <f t="shared" si="110"/>
        <v>1.020983955617679</v>
      </c>
      <c r="T214" s="680">
        <f t="shared" si="111"/>
        <v>0.20309342498525729</v>
      </c>
      <c r="U214" s="681">
        <f t="shared" si="123"/>
        <v>0.97238459000529964</v>
      </c>
      <c r="V214" s="682">
        <f t="shared" si="124"/>
        <v>-0.28898445853880617</v>
      </c>
      <c r="W214" s="683">
        <f t="shared" si="112"/>
        <v>-5.5864308978482944</v>
      </c>
      <c r="X214" s="684">
        <f t="shared" si="113"/>
        <v>-123.5159967589057</v>
      </c>
      <c r="Y214" s="687">
        <f t="shared" si="114"/>
        <v>56.4840032410943</v>
      </c>
      <c r="AA214" s="170">
        <f t="shared" si="115"/>
        <v>12303</v>
      </c>
      <c r="AB214" s="170">
        <f t="shared" si="116"/>
        <v>151363809</v>
      </c>
      <c r="AD214" s="686">
        <f t="shared" si="117"/>
        <v>26.751986732701138</v>
      </c>
      <c r="AE214" s="687">
        <f t="shared" si="118"/>
        <v>-13.638559711478463</v>
      </c>
      <c r="AG214" s="686">
        <f t="shared" si="119"/>
        <v>13.3290478388453</v>
      </c>
      <c r="AH214" s="687">
        <f t="shared" si="120"/>
        <v>-76.762257371293799</v>
      </c>
      <c r="AJ214" s="170">
        <f t="shared" si="121"/>
        <v>0</v>
      </c>
      <c r="AK214" s="170">
        <f t="shared" si="99"/>
        <v>0</v>
      </c>
      <c r="AM214" s="170" t="str">
        <f t="shared" si="125"/>
        <v>0.086303362582448+0.406396917768649i</v>
      </c>
      <c r="AN214" s="170" t="str">
        <f t="shared" si="126"/>
        <v>0.418507175604711i</v>
      </c>
      <c r="AO214" s="170" t="str">
        <f t="shared" si="127"/>
        <v>0.971063201440779-0.206217163320429i</v>
      </c>
      <c r="AP214" s="170" t="str">
        <f t="shared" si="128"/>
        <v>0.152282772902925-0.0677328196281082i</v>
      </c>
      <c r="AQ214" s="170" t="str">
        <f t="shared" si="129"/>
        <v>0.847717227097075+0.0677328196281082i</v>
      </c>
      <c r="AR214" s="170" t="str">
        <f t="shared" si="130"/>
        <v>0.976405568039775-0.0780150504318409i</v>
      </c>
    </row>
    <row r="215" spans="7:44">
      <c r="G215" s="688">
        <v>12374.5</v>
      </c>
      <c r="H215" s="676">
        <f t="shared" si="122"/>
        <v>12.374499999999999</v>
      </c>
      <c r="I215" s="677">
        <f t="shared" si="102"/>
        <v>63.72710077421285</v>
      </c>
      <c r="J215" s="678">
        <f t="shared" si="103"/>
        <v>1.5551037716379168</v>
      </c>
      <c r="K215" s="678">
        <f t="shared" si="104"/>
        <v>1.0000267076064349</v>
      </c>
      <c r="L215" s="679">
        <f t="shared" si="105"/>
        <v>7.3084898624511596E-3</v>
      </c>
      <c r="M215" s="678">
        <f t="shared" si="106"/>
        <v>1.0033271366005072</v>
      </c>
      <c r="N215" s="679">
        <f t="shared" si="107"/>
        <v>-8.1460884487484689E-2</v>
      </c>
      <c r="O215" s="677">
        <f t="shared" si="108"/>
        <v>233253.8294866936</v>
      </c>
      <c r="P215" s="680">
        <f t="shared" si="109"/>
        <v>1.5707920396198385</v>
      </c>
      <c r="Q215" s="689">
        <f t="shared" ref="Q215:Q278" si="131">SQRT(1+(G215/Zero2)^2)</f>
        <v>28.78534749541183</v>
      </c>
      <c r="R215" s="690">
        <f t="shared" ref="R215:R278" si="132">ATAN(G215/Zero2)</f>
        <v>1.5360494385427823</v>
      </c>
      <c r="S215" s="677">
        <f t="shared" si="110"/>
        <v>1.021226022281833</v>
      </c>
      <c r="T215" s="680">
        <f t="shared" si="111"/>
        <v>0.20424125991191558</v>
      </c>
      <c r="U215" s="681">
        <f t="shared" si="123"/>
        <v>0.97207962009374027</v>
      </c>
      <c r="V215" s="682">
        <f t="shared" si="124"/>
        <v>-0.2906188971860052</v>
      </c>
      <c r="W215" s="683">
        <f t="shared" si="112"/>
        <v>-5.6412619221423057</v>
      </c>
      <c r="X215" s="684">
        <f t="shared" si="113"/>
        <v>-123.69350507578595</v>
      </c>
      <c r="Y215" s="687">
        <f t="shared" si="114"/>
        <v>56.30649492421405</v>
      </c>
      <c r="AA215" s="170">
        <f t="shared" si="115"/>
        <v>12374.5</v>
      </c>
      <c r="AB215" s="170">
        <f t="shared" si="116"/>
        <v>153128250.25</v>
      </c>
      <c r="AD215" s="686">
        <f t="shared" si="117"/>
        <v>26.749866528288464</v>
      </c>
      <c r="AE215" s="687">
        <f t="shared" si="118"/>
        <v>-13.692766622055512</v>
      </c>
      <c r="AG215" s="686">
        <f t="shared" si="119"/>
        <v>13.281786201320102</v>
      </c>
      <c r="AH215" s="687">
        <f t="shared" si="120"/>
        <v>-76.698265904667849</v>
      </c>
      <c r="AJ215" s="170">
        <f t="shared" si="121"/>
        <v>0</v>
      </c>
      <c r="AK215" s="170">
        <f t="shared" ref="AK215:AK278" si="133">IF(AJ215&gt;0,Y215,0)</f>
        <v>0</v>
      </c>
      <c r="AM215" s="170" t="str">
        <f t="shared" si="125"/>
        <v>0.087294499613575+0.408617999559939i</v>
      </c>
      <c r="AN215" s="170" t="str">
        <f t="shared" si="126"/>
        <v>0.420939368001341i</v>
      </c>
      <c r="AO215" s="170" t="str">
        <f t="shared" si="127"/>
        <v>0.970728875990134-0.207380222068697i</v>
      </c>
      <c r="AP215" s="170" t="str">
        <f t="shared" si="128"/>
        <v>0.152117583397737-0.0681029999266565i</v>
      </c>
      <c r="AQ215" s="170" t="str">
        <f t="shared" si="129"/>
        <v>0.847882416602263+0.0681029999266565i</v>
      </c>
      <c r="AR215" s="170" t="str">
        <f t="shared" si="130"/>
        <v>0.976149907841377-0.0784056088443592i</v>
      </c>
    </row>
    <row r="216" spans="7:44">
      <c r="G216" s="688">
        <v>12446</v>
      </c>
      <c r="H216" s="676">
        <f t="shared" si="122"/>
        <v>12.446</v>
      </c>
      <c r="I216" s="677">
        <f t="shared" si="102"/>
        <v>64.095226270651878</v>
      </c>
      <c r="J216" s="678">
        <f t="shared" si="103"/>
        <v>1.5551939078330057</v>
      </c>
      <c r="K216" s="678">
        <f t="shared" si="104"/>
        <v>1.0000270171275982</v>
      </c>
      <c r="L216" s="679">
        <f t="shared" si="105"/>
        <v>7.3507168821991351E-3</v>
      </c>
      <c r="M216" s="678">
        <f t="shared" si="106"/>
        <v>1.003365631471453</v>
      </c>
      <c r="N216" s="679">
        <f t="shared" si="107"/>
        <v>-8.1929468935980132E-2</v>
      </c>
      <c r="O216" s="677">
        <f t="shared" si="108"/>
        <v>234601.5727335313</v>
      </c>
      <c r="P216" s="680">
        <f t="shared" si="109"/>
        <v>1.5707920642488773</v>
      </c>
      <c r="Q216" s="689">
        <f t="shared" si="131"/>
        <v>28.951469404945669</v>
      </c>
      <c r="R216" s="690">
        <f t="shared" si="132"/>
        <v>1.5362488938281478</v>
      </c>
      <c r="S216" s="677">
        <f t="shared" si="110"/>
        <v>1.0214694337980816</v>
      </c>
      <c r="T216" s="680">
        <f t="shared" si="111"/>
        <v>0.20538854930188161</v>
      </c>
      <c r="U216" s="681">
        <f t="shared" si="123"/>
        <v>0.97177315578323709</v>
      </c>
      <c r="V216" s="682">
        <f t="shared" si="124"/>
        <v>-0.2922525876659362</v>
      </c>
      <c r="W216" s="683">
        <f t="shared" si="112"/>
        <v>-5.6958253743817462</v>
      </c>
      <c r="X216" s="684">
        <f t="shared" si="113"/>
        <v>-123.87100985532292</v>
      </c>
      <c r="Y216" s="687">
        <f t="shared" si="114"/>
        <v>56.128990144677076</v>
      </c>
      <c r="AA216" s="170">
        <f t="shared" si="115"/>
        <v>12446</v>
      </c>
      <c r="AB216" s="170">
        <f t="shared" si="116"/>
        <v>154902916</v>
      </c>
      <c r="AD216" s="686">
        <f t="shared" si="117"/>
        <v>26.747736425290057</v>
      </c>
      <c r="AE216" s="687">
        <f t="shared" si="118"/>
        <v>-13.747074927129718</v>
      </c>
      <c r="AG216" s="686">
        <f t="shared" si="119"/>
        <v>13.234830458684108</v>
      </c>
      <c r="AH216" s="687">
        <f t="shared" si="120"/>
        <v>-76.634255239855193</v>
      </c>
      <c r="AJ216" s="170">
        <f t="shared" si="121"/>
        <v>0</v>
      </c>
      <c r="AK216" s="170">
        <f t="shared" si="133"/>
        <v>0</v>
      </c>
      <c r="AM216" s="170" t="str">
        <f t="shared" si="125"/>
        <v>0.088291035806058+0.410836664148186i</v>
      </c>
      <c r="AN216" s="170" t="str">
        <f t="shared" si="126"/>
        <v>0.423371560397971i</v>
      </c>
      <c r="AO216" s="170" t="str">
        <f t="shared" si="127"/>
        <v>0.970392682404075-0.208542670469089i</v>
      </c>
      <c r="AP216" s="170" t="str">
        <f t="shared" si="128"/>
        <v>0.151951494032324-0.068472777358031i</v>
      </c>
      <c r="AQ216" s="170" t="str">
        <f t="shared" si="129"/>
        <v>0.848048505967676+0.068472777358031i</v>
      </c>
      <c r="AR216" s="170" t="str">
        <f t="shared" si="130"/>
        <v>0.975893090227702-0.0787951512468666i</v>
      </c>
    </row>
    <row r="217" spans="7:44">
      <c r="G217" s="688">
        <v>12517.5</v>
      </c>
      <c r="H217" s="676">
        <f t="shared" si="122"/>
        <v>12.5175</v>
      </c>
      <c r="I217" s="677">
        <f t="shared" si="102"/>
        <v>64.463352281887197</v>
      </c>
      <c r="J217" s="678">
        <f t="shared" si="103"/>
        <v>1.5552830145608494</v>
      </c>
      <c r="K217" s="678">
        <f t="shared" si="104"/>
        <v>1.0000273284319297</v>
      </c>
      <c r="L217" s="679">
        <f t="shared" si="105"/>
        <v>7.3929438757322176E-3</v>
      </c>
      <c r="M217" s="678">
        <f t="shared" si="106"/>
        <v>1.003404346635848</v>
      </c>
      <c r="N217" s="679">
        <f t="shared" si="107"/>
        <v>-8.2398017327800513E-2</v>
      </c>
      <c r="O217" s="677">
        <f t="shared" si="108"/>
        <v>235949.31598036914</v>
      </c>
      <c r="P217" s="680">
        <f t="shared" si="109"/>
        <v>1.5707920885965536</v>
      </c>
      <c r="Q217" s="689">
        <f t="shared" si="131"/>
        <v>29.117592453096684</v>
      </c>
      <c r="R217" s="690">
        <f t="shared" si="132"/>
        <v>1.5364460732380671</v>
      </c>
      <c r="S217" s="677">
        <f t="shared" si="110"/>
        <v>1.0217141892052388</v>
      </c>
      <c r="T217" s="680">
        <f t="shared" si="111"/>
        <v>0.20653529052585051</v>
      </c>
      <c r="U217" s="681">
        <f t="shared" si="123"/>
        <v>0.97146520138508774</v>
      </c>
      <c r="V217" s="682">
        <f t="shared" si="124"/>
        <v>-0.29388552660650819</v>
      </c>
      <c r="W217" s="683">
        <f t="shared" si="112"/>
        <v>-5.7501245548487159</v>
      </c>
      <c r="X217" s="684">
        <f t="shared" si="113"/>
        <v>-124.04850950064363</v>
      </c>
      <c r="Y217" s="687">
        <f t="shared" si="114"/>
        <v>55.951490499356368</v>
      </c>
      <c r="AA217" s="170">
        <f t="shared" si="115"/>
        <v>12517.5</v>
      </c>
      <c r="AB217" s="170">
        <f t="shared" si="116"/>
        <v>156687806.25</v>
      </c>
      <c r="AD217" s="686">
        <f t="shared" si="117"/>
        <v>26.745596415941236</v>
      </c>
      <c r="AE217" s="687">
        <f t="shared" si="118"/>
        <v>-13.80148220654281</v>
      </c>
      <c r="AG217" s="686">
        <f t="shared" si="119"/>
        <v>13.188177267680869</v>
      </c>
      <c r="AH217" s="687">
        <f t="shared" si="120"/>
        <v>-76.570226586554327</v>
      </c>
      <c r="AJ217" s="170">
        <f t="shared" si="121"/>
        <v>0</v>
      </c>
      <c r="AK217" s="170">
        <f t="shared" si="133"/>
        <v>0</v>
      </c>
      <c r="AM217" s="170" t="str">
        <f t="shared" si="125"/>
        <v>0.089292965264829+0.413052898408755i</v>
      </c>
      <c r="AN217" s="170" t="str">
        <f t="shared" si="126"/>
        <v>0.425803752794601i</v>
      </c>
      <c r="AO217" s="170" t="str">
        <f t="shared" si="127"/>
        <v>0.970054621871788-0.209704505135966i</v>
      </c>
      <c r="AP217" s="170" t="str">
        <f t="shared" si="128"/>
        <v>0.151784505789195-0.0688421497347925i</v>
      </c>
      <c r="AQ217" s="170" t="str">
        <f t="shared" si="129"/>
        <v>0.848215494210805+0.0688421497347925i</v>
      </c>
      <c r="AR217" s="170" t="str">
        <f t="shared" si="130"/>
        <v>0.975635120223152-0.0791836738321031i</v>
      </c>
    </row>
    <row r="218" spans="7:44">
      <c r="G218" s="688">
        <v>12589</v>
      </c>
      <c r="H218" s="676">
        <f t="shared" si="122"/>
        <v>12.589</v>
      </c>
      <c r="I218" s="677">
        <f t="shared" si="102"/>
        <v>64.831478799149451</v>
      </c>
      <c r="J218" s="678">
        <f t="shared" si="103"/>
        <v>1.5553711093566025</v>
      </c>
      <c r="K218" s="678">
        <f t="shared" si="104"/>
        <v>1.0000276415194278</v>
      </c>
      <c r="L218" s="679">
        <f t="shared" si="105"/>
        <v>7.4351708428998372E-3</v>
      </c>
      <c r="M218" s="678">
        <f t="shared" si="106"/>
        <v>1.0034432820681942</v>
      </c>
      <c r="N218" s="679">
        <f t="shared" si="107"/>
        <v>-8.2866529461403271E-2</v>
      </c>
      <c r="O218" s="677">
        <f t="shared" si="108"/>
        <v>237297.05922720709</v>
      </c>
      <c r="P218" s="680">
        <f t="shared" si="109"/>
        <v>1.5707921126676618</v>
      </c>
      <c r="Q218" s="689">
        <f t="shared" si="131"/>
        <v>29.283716620487148</v>
      </c>
      <c r="R218" s="690">
        <f t="shared" si="132"/>
        <v>1.5366410154896508</v>
      </c>
      <c r="S218" s="677">
        <f t="shared" si="110"/>
        <v>1.0219602875377352</v>
      </c>
      <c r="T218" s="680">
        <f t="shared" si="111"/>
        <v>0.20768148096279604</v>
      </c>
      <c r="U218" s="681">
        <f t="shared" si="123"/>
        <v>0.97115576122429093</v>
      </c>
      <c r="V218" s="682">
        <f t="shared" si="124"/>
        <v>-0.29551771065032423</v>
      </c>
      <c r="W218" s="683">
        <f t="shared" si="112"/>
        <v>-5.8041627063601533</v>
      </c>
      <c r="X218" s="684">
        <f t="shared" si="113"/>
        <v>-124.22600244430883</v>
      </c>
      <c r="Y218" s="687">
        <f t="shared" si="114"/>
        <v>55.773997555691167</v>
      </c>
      <c r="AA218" s="170">
        <f t="shared" si="115"/>
        <v>12589</v>
      </c>
      <c r="AB218" s="170">
        <f t="shared" si="116"/>
        <v>158482921</v>
      </c>
      <c r="AD218" s="686">
        <f t="shared" si="117"/>
        <v>26.743446493219576</v>
      </c>
      <c r="AE218" s="687">
        <f t="shared" si="118"/>
        <v>-13.855986092068704</v>
      </c>
      <c r="AG218" s="686">
        <f t="shared" si="119"/>
        <v>13.141823341589834</v>
      </c>
      <c r="AH218" s="687">
        <f t="shared" si="120"/>
        <v>-76.506181130281377</v>
      </c>
      <c r="AJ218" s="170">
        <f t="shared" si="121"/>
        <v>0</v>
      </c>
      <c r="AK218" s="170">
        <f t="shared" si="133"/>
        <v>0</v>
      </c>
      <c r="AM218" s="170" t="str">
        <f t="shared" si="125"/>
        <v>0.090300282062918+0.415266689231383i</v>
      </c>
      <c r="AN218" s="170" t="str">
        <f t="shared" si="126"/>
        <v>0.42823594519123i</v>
      </c>
      <c r="AO218" s="170" t="str">
        <f t="shared" si="127"/>
        <v>0.969714695589004-0.21086572268611i</v>
      </c>
      <c r="AP218" s="170" t="str">
        <f t="shared" si="128"/>
        <v>0.15161661965618-0.0692111148718972i</v>
      </c>
      <c r="AQ218" s="170" t="str">
        <f t="shared" si="129"/>
        <v>0.84838338034382+0.0692111148718972i</v>
      </c>
      <c r="AR218" s="170" t="str">
        <f t="shared" si="130"/>
        <v>0.975376002865465-0.079571172823135i</v>
      </c>
    </row>
    <row r="219" spans="7:44">
      <c r="G219" s="688">
        <v>12662.25</v>
      </c>
      <c r="H219" s="676">
        <f t="shared" si="122"/>
        <v>12.66225</v>
      </c>
      <c r="I219" s="677">
        <f t="shared" si="102"/>
        <v>65.208615921791633</v>
      </c>
      <c r="J219" s="678">
        <f t="shared" si="103"/>
        <v>1.5554603288482369</v>
      </c>
      <c r="K219" s="678">
        <f t="shared" si="104"/>
        <v>1.0000279641190717</v>
      </c>
      <c r="L219" s="679">
        <f t="shared" si="105"/>
        <v>7.4784313097371619E-3</v>
      </c>
      <c r="M219" s="678">
        <f t="shared" si="106"/>
        <v>1.0034833988595491</v>
      </c>
      <c r="N219" s="679">
        <f t="shared" si="107"/>
        <v>-8.3346470864355288E-2</v>
      </c>
      <c r="O219" s="677">
        <f t="shared" si="108"/>
        <v>238677.78919686988</v>
      </c>
      <c r="P219" s="680">
        <f t="shared" si="109"/>
        <v>1.5707921370460165</v>
      </c>
      <c r="Q219" s="689">
        <f t="shared" si="131"/>
        <v>29.45390790486903</v>
      </c>
      <c r="R219" s="690">
        <f t="shared" si="132"/>
        <v>1.5368384486528621</v>
      </c>
      <c r="S219" s="677">
        <f t="shared" si="110"/>
        <v>1.0222138008727055</v>
      </c>
      <c r="T219" s="680">
        <f t="shared" si="111"/>
        <v>0.2088551511071586</v>
      </c>
      <c r="U219" s="681">
        <f t="shared" si="123"/>
        <v>0.97083721113428489</v>
      </c>
      <c r="V219" s="682">
        <f t="shared" si="124"/>
        <v>-0.29718905692246766</v>
      </c>
      <c r="W219" s="683">
        <f t="shared" si="112"/>
        <v>-5.8592561108124155</v>
      </c>
      <c r="X219" s="684">
        <f t="shared" si="113"/>
        <v>-124.40783106257089</v>
      </c>
      <c r="Y219" s="687">
        <f t="shared" si="114"/>
        <v>55.592168937429108</v>
      </c>
      <c r="AA219" s="170">
        <f t="shared" si="115"/>
        <v>12662.25</v>
      </c>
      <c r="AB219" s="170">
        <f t="shared" si="116"/>
        <v>160332575.0625</v>
      </c>
      <c r="AD219" s="686">
        <f t="shared" si="117"/>
        <v>26.741233663131556</v>
      </c>
      <c r="AE219" s="687">
        <f t="shared" si="118"/>
        <v>-13.911921747734013</v>
      </c>
      <c r="AG219" s="686">
        <f t="shared" si="119"/>
        <v>13.094641842330772</v>
      </c>
      <c r="AH219" s="687">
        <f t="shared" si="120"/>
        <v>-76.440551917661779</v>
      </c>
      <c r="AJ219" s="170">
        <f t="shared" si="121"/>
        <v>0</v>
      </c>
      <c r="AK219" s="170">
        <f t="shared" si="133"/>
        <v>0</v>
      </c>
      <c r="AM219" s="170" t="str">
        <f t="shared" si="125"/>
        <v>0.091337833977839+0.417532116177805i</v>
      </c>
      <c r="AN219" s="170" t="str">
        <f t="shared" si="126"/>
        <v>0.430727666772393i</v>
      </c>
      <c r="AO219" s="170" t="str">
        <f t="shared" si="127"/>
        <v>0.969364515882002-0.21205471815235i</v>
      </c>
      <c r="AP219" s="170" t="str">
        <f t="shared" si="128"/>
        <v>0.151443694337027-0.0695886860296342i</v>
      </c>
      <c r="AQ219" s="170" t="str">
        <f t="shared" si="129"/>
        <v>0.848556305662973+0.0695886860296342i</v>
      </c>
      <c r="AR219" s="170" t="str">
        <f t="shared" si="130"/>
        <v>0.97510935893525-0.0799670906581585i</v>
      </c>
    </row>
    <row r="220" spans="7:44">
      <c r="G220" s="688">
        <v>12735.5</v>
      </c>
      <c r="H220" s="676">
        <f t="shared" si="122"/>
        <v>12.7355</v>
      </c>
      <c r="I220" s="677">
        <f t="shared" si="102"/>
        <v>65.585753557532485</v>
      </c>
      <c r="J220" s="678">
        <f t="shared" si="103"/>
        <v>1.5555485222632157</v>
      </c>
      <c r="K220" s="678">
        <f t="shared" si="104"/>
        <v>1.0000282885902345</v>
      </c>
      <c r="L220" s="679">
        <f t="shared" si="105"/>
        <v>7.5216917485826928E-3</v>
      </c>
      <c r="M220" s="678">
        <f t="shared" si="106"/>
        <v>1.0035237467785216</v>
      </c>
      <c r="N220" s="679">
        <f t="shared" si="107"/>
        <v>-8.3826373784561842E-2</v>
      </c>
      <c r="O220" s="677">
        <f t="shared" si="108"/>
        <v>240058.51916653285</v>
      </c>
      <c r="P220" s="680">
        <f t="shared" si="109"/>
        <v>1.5707921611439399</v>
      </c>
      <c r="Q220" s="689">
        <f t="shared" si="131"/>
        <v>29.624100324168079</v>
      </c>
      <c r="R220" s="690">
        <f t="shared" si="132"/>
        <v>1.5370336132903986</v>
      </c>
      <c r="S220" s="677">
        <f t="shared" si="110"/>
        <v>1.022468721609443</v>
      </c>
      <c r="T220" s="680">
        <f t="shared" si="111"/>
        <v>0.21002823763057357</v>
      </c>
      <c r="U220" s="681">
        <f t="shared" si="123"/>
        <v>0.9705171108950581</v>
      </c>
      <c r="V220" s="682">
        <f t="shared" si="124"/>
        <v>-0.29885960380631676</v>
      </c>
      <c r="W220" s="683">
        <f t="shared" si="112"/>
        <v>-5.9140822633056844</v>
      </c>
      <c r="X220" s="684">
        <f t="shared" si="113"/>
        <v>-124.5896494079628</v>
      </c>
      <c r="Y220" s="687">
        <f t="shared" si="114"/>
        <v>55.410350592037204</v>
      </c>
      <c r="AA220" s="170">
        <f t="shared" si="115"/>
        <v>12735.5</v>
      </c>
      <c r="AB220" s="170">
        <f t="shared" si="116"/>
        <v>162192960.25</v>
      </c>
      <c r="AD220" s="686">
        <f t="shared" si="117"/>
        <v>26.739010415829853</v>
      </c>
      <c r="AE220" s="687">
        <f t="shared" si="118"/>
        <v>-13.967953925261661</v>
      </c>
      <c r="AG220" s="686">
        <f t="shared" si="119"/>
        <v>13.047767629412823</v>
      </c>
      <c r="AH220" s="687">
        <f t="shared" si="120"/>
        <v>-76.374907513460741</v>
      </c>
      <c r="AJ220" s="170">
        <f t="shared" si="121"/>
        <v>0</v>
      </c>
      <c r="AK220" s="170">
        <f t="shared" si="133"/>
        <v>0</v>
      </c>
      <c r="AM220" s="170" t="str">
        <f t="shared" si="125"/>
        <v>0.0923810274792221+0.419794950803755i</v>
      </c>
      <c r="AN220" s="170" t="str">
        <f t="shared" si="126"/>
        <v>0.433219388353556i</v>
      </c>
      <c r="AO220" s="170" t="str">
        <f t="shared" si="127"/>
        <v>0.969012380538137-0.213243058742857i</v>
      </c>
      <c r="AP220" s="170" t="str">
        <f t="shared" si="128"/>
        <v>0.151269828753463-0.0699658251339592i</v>
      </c>
      <c r="AQ220" s="170" t="str">
        <f t="shared" si="129"/>
        <v>0.848730171246537+0.0699658251339592i</v>
      </c>
      <c r="AR220" s="170" t="str">
        <f t="shared" si="130"/>
        <v>0.974841521546506-0.0803619262523347i</v>
      </c>
    </row>
    <row r="221" spans="7:44">
      <c r="G221" s="688">
        <v>12808.75</v>
      </c>
      <c r="H221" s="676">
        <f t="shared" si="122"/>
        <v>12.80875</v>
      </c>
      <c r="I221" s="677">
        <f t="shared" si="102"/>
        <v>65.962891697571195</v>
      </c>
      <c r="J221" s="678">
        <f t="shared" si="103"/>
        <v>1.5556357071997158</v>
      </c>
      <c r="K221" s="678">
        <f t="shared" si="104"/>
        <v>1.0000286149329147</v>
      </c>
      <c r="L221" s="679">
        <f t="shared" si="105"/>
        <v>7.5649521592745387E-3</v>
      </c>
      <c r="M221" s="678">
        <f t="shared" si="106"/>
        <v>1.0035643257972351</v>
      </c>
      <c r="N221" s="679">
        <f t="shared" si="107"/>
        <v>-8.4306238005628018E-2</v>
      </c>
      <c r="O221" s="677">
        <f t="shared" si="108"/>
        <v>241439.24913619593</v>
      </c>
      <c r="P221" s="680">
        <f t="shared" si="109"/>
        <v>1.5707921849662438</v>
      </c>
      <c r="Q221" s="689">
        <f t="shared" si="131"/>
        <v>29.794293858935504</v>
      </c>
      <c r="R221" s="690">
        <f t="shared" si="132"/>
        <v>1.5372265482626679</v>
      </c>
      <c r="S221" s="677">
        <f t="shared" si="110"/>
        <v>1.0227250486955362</v>
      </c>
      <c r="T221" s="680">
        <f t="shared" si="111"/>
        <v>0.21120073774202305</v>
      </c>
      <c r="U221" s="681">
        <f t="shared" si="123"/>
        <v>0.97019546520072308</v>
      </c>
      <c r="V221" s="682">
        <f t="shared" si="124"/>
        <v>-0.30052934774008072</v>
      </c>
      <c r="W221" s="683">
        <f t="shared" si="112"/>
        <v>-5.9686444714534037</v>
      </c>
      <c r="X221" s="684">
        <f t="shared" si="113"/>
        <v>-124.77145588614574</v>
      </c>
      <c r="Y221" s="687">
        <f t="shared" si="114"/>
        <v>55.228544113854255</v>
      </c>
      <c r="AA221" s="170">
        <f t="shared" si="115"/>
        <v>12808.75</v>
      </c>
      <c r="AB221" s="170">
        <f t="shared" si="116"/>
        <v>164064076.5625</v>
      </c>
      <c r="AD221" s="686">
        <f t="shared" si="117"/>
        <v>26.73677674603827</v>
      </c>
      <c r="AE221" s="687">
        <f t="shared" si="118"/>
        <v>-14.024080238476435</v>
      </c>
      <c r="AG221" s="686">
        <f t="shared" si="119"/>
        <v>13.001197345140355</v>
      </c>
      <c r="AH221" s="687">
        <f t="shared" si="120"/>
        <v>-76.309249117665814</v>
      </c>
      <c r="AJ221" s="170">
        <f t="shared" si="121"/>
        <v>0</v>
      </c>
      <c r="AK221" s="170">
        <f t="shared" si="133"/>
        <v>0</v>
      </c>
      <c r="AM221" s="170" t="str">
        <f t="shared" si="125"/>
        <v>0.093429856090218+0.422055179060035i</v>
      </c>
      <c r="AN221" s="170" t="str">
        <f t="shared" si="126"/>
        <v>0.435711109934719i</v>
      </c>
      <c r="AO221" s="170" t="str">
        <f t="shared" si="127"/>
        <v>0.96865829086449-0.21443074082783i</v>
      </c>
      <c r="AP221" s="170" t="str">
        <f t="shared" si="128"/>
        <v>0.151095023984964-0.0703425298433392i</v>
      </c>
      <c r="AQ221" s="170" t="str">
        <f t="shared" si="129"/>
        <v>0.848904976015036+0.0703425298433392i</v>
      </c>
      <c r="AR221" s="170" t="str">
        <f t="shared" si="130"/>
        <v>0.9745724961581-0.0807556756438243i</v>
      </c>
    </row>
    <row r="222" spans="7:44">
      <c r="G222" s="688">
        <v>12882</v>
      </c>
      <c r="H222" s="676">
        <f t="shared" si="122"/>
        <v>12.882</v>
      </c>
      <c r="I222" s="677">
        <f t="shared" si="102"/>
        <v>66.340030333307084</v>
      </c>
      <c r="J222" s="678">
        <f t="shared" si="103"/>
        <v>1.5557219008557981</v>
      </c>
      <c r="K222" s="678">
        <f t="shared" si="104"/>
        <v>1.0000289431471103</v>
      </c>
      <c r="L222" s="679">
        <f t="shared" si="105"/>
        <v>7.6082125416508028E-3</v>
      </c>
      <c r="M222" s="678">
        <f t="shared" si="106"/>
        <v>1.0036051358876565</v>
      </c>
      <c r="N222" s="679">
        <f t="shared" si="107"/>
        <v>-8.4786063311265175E-2</v>
      </c>
      <c r="O222" s="677">
        <f t="shared" si="108"/>
        <v>242819.97910585915</v>
      </c>
      <c r="P222" s="680">
        <f t="shared" si="109"/>
        <v>1.5707922085176294</v>
      </c>
      <c r="Q222" s="689">
        <f t="shared" si="131"/>
        <v>29.964488490164257</v>
      </c>
      <c r="R222" s="690">
        <f t="shared" si="132"/>
        <v>1.537417291547861</v>
      </c>
      <c r="S222" s="677">
        <f t="shared" si="110"/>
        <v>1.022982781073825</v>
      </c>
      <c r="T222" s="680">
        <f t="shared" si="111"/>
        <v>0.2123726486597281</v>
      </c>
      <c r="U222" s="681">
        <f t="shared" si="123"/>
        <v>0.96987227875976822</v>
      </c>
      <c r="V222" s="682">
        <f t="shared" si="124"/>
        <v>-0.30219828517832609</v>
      </c>
      <c r="W222" s="683">
        <f t="shared" si="112"/>
        <v>-6.022945985144613</v>
      </c>
      <c r="X222" s="684">
        <f t="shared" si="113"/>
        <v>-124.95324893186969</v>
      </c>
      <c r="Y222" s="687">
        <f t="shared" si="114"/>
        <v>55.046751068130305</v>
      </c>
      <c r="AA222" s="170">
        <f t="shared" si="115"/>
        <v>12882</v>
      </c>
      <c r="AB222" s="170">
        <f t="shared" si="116"/>
        <v>165945924</v>
      </c>
      <c r="AD222" s="686">
        <f t="shared" si="117"/>
        <v>26.73453264920073</v>
      </c>
      <c r="AE222" s="687">
        <f t="shared" si="118"/>
        <v>-14.080298352273445</v>
      </c>
      <c r="AG222" s="686">
        <f t="shared" si="119"/>
        <v>12.954927688623116</v>
      </c>
      <c r="AH222" s="687">
        <f t="shared" si="120"/>
        <v>-76.243577906408561</v>
      </c>
      <c r="AJ222" s="170">
        <f t="shared" si="121"/>
        <v>0</v>
      </c>
      <c r="AK222" s="170">
        <f t="shared" si="133"/>
        <v>0</v>
      </c>
      <c r="AM222" s="170" t="str">
        <f t="shared" si="125"/>
        <v>0.094484313298994+0.424312786913623i</v>
      </c>
      <c r="AN222" s="170" t="str">
        <f t="shared" si="126"/>
        <v>0.438202831515881i</v>
      </c>
      <c r="AO222" s="170" t="str">
        <f t="shared" si="127"/>
        <v>0.96830224817533-0.215617760780192i</v>
      </c>
      <c r="AP222" s="170" t="str">
        <f t="shared" si="128"/>
        <v>0.150919281116834-0.0707187978189372i</v>
      </c>
      <c r="AQ222" s="170" t="str">
        <f t="shared" si="129"/>
        <v>0.849080718883166+0.0707187978189372i</v>
      </c>
      <c r="AR222" s="170" t="str">
        <f t="shared" si="130"/>
        <v>0.974302288242618-0.0811483349043502i</v>
      </c>
    </row>
    <row r="223" spans="7:44">
      <c r="G223" s="688">
        <v>12957.25</v>
      </c>
      <c r="H223" s="676">
        <f t="shared" si="122"/>
        <v>12.95725</v>
      </c>
      <c r="I223" s="677">
        <f t="shared" si="102"/>
        <v>66.727466777028994</v>
      </c>
      <c r="J223" s="678">
        <f t="shared" si="103"/>
        <v>1.555809433334389</v>
      </c>
      <c r="K223" s="678">
        <f t="shared" si="104"/>
        <v>1.0000292822716461</v>
      </c>
      <c r="L223" s="679">
        <f t="shared" si="105"/>
        <v>7.6526540652209979E-3</v>
      </c>
      <c r="M223" s="678">
        <f t="shared" si="106"/>
        <v>1.0036473008386653</v>
      </c>
      <c r="N223" s="679">
        <f t="shared" si="107"/>
        <v>-8.5278948898233051E-2</v>
      </c>
      <c r="O223" s="677">
        <f t="shared" si="108"/>
        <v>244238.4081873222</v>
      </c>
      <c r="P223" s="680">
        <f t="shared" si="109"/>
        <v>1.5707922324347694</v>
      </c>
      <c r="Q223" s="689">
        <f t="shared" si="131"/>
        <v>30.139331196039176</v>
      </c>
      <c r="R223" s="690">
        <f t="shared" si="132"/>
        <v>1.5376109995756941</v>
      </c>
      <c r="S223" s="677">
        <f t="shared" si="110"/>
        <v>1.0232490127684095</v>
      </c>
      <c r="T223" s="680">
        <f t="shared" si="111"/>
        <v>0.21357594068768199</v>
      </c>
      <c r="U223" s="681">
        <f t="shared" si="123"/>
        <v>0.96953866865522376</v>
      </c>
      <c r="V223" s="682">
        <f t="shared" si="124"/>
        <v>-0.30391194733937504</v>
      </c>
      <c r="W223" s="683">
        <f t="shared" si="112"/>
        <v>-6.0784620208127293</v>
      </c>
      <c r="X223" s="684">
        <f t="shared" si="113"/>
        <v>-125.13999000781847</v>
      </c>
      <c r="Y223" s="687">
        <f t="shared" si="114"/>
        <v>54.860009992181531</v>
      </c>
      <c r="AA223" s="170">
        <f t="shared" si="115"/>
        <v>12957.25</v>
      </c>
      <c r="AB223" s="170">
        <f t="shared" si="116"/>
        <v>167890327.5625</v>
      </c>
      <c r="AD223" s="686">
        <f t="shared" si="117"/>
        <v>26.732216418066251</v>
      </c>
      <c r="AE223" s="687">
        <f t="shared" si="118"/>
        <v>-14.138144624961582</v>
      </c>
      <c r="AG223" s="686">
        <f t="shared" si="119"/>
        <v>12.907704339121162</v>
      </c>
      <c r="AH223" s="687">
        <f t="shared" si="120"/>
        <v>-76.176101490766044</v>
      </c>
      <c r="AJ223" s="170">
        <f t="shared" si="121"/>
        <v>0</v>
      </c>
      <c r="AK223" s="170">
        <f t="shared" si="133"/>
        <v>0</v>
      </c>
      <c r="AM223" s="170" t="str">
        <f t="shared" si="125"/>
        <v>0.09557341548724+0.426629292508828i</v>
      </c>
      <c r="AN223" s="170" t="str">
        <f t="shared" si="126"/>
        <v>0.440762586450796i</v>
      </c>
      <c r="AO223" s="170" t="str">
        <f t="shared" si="127"/>
        <v>0.96793445184226-0.216836497527698i</v>
      </c>
      <c r="AP223" s="170" t="str">
        <f t="shared" si="128"/>
        <v>0.15073776408546-0.0711048820848047i</v>
      </c>
      <c r="AQ223" s="170" t="str">
        <f t="shared" si="129"/>
        <v>0.84926223591454+0.0711048820848047i</v>
      </c>
      <c r="AR223" s="170" t="str">
        <f t="shared" si="130"/>
        <v>0.974023477002503-0.0815505759602194i</v>
      </c>
    </row>
    <row r="224" spans="7:44">
      <c r="G224" s="688">
        <v>13032.5</v>
      </c>
      <c r="H224" s="676">
        <f t="shared" si="122"/>
        <v>13.032500000000001</v>
      </c>
      <c r="I224" s="677">
        <f t="shared" si="102"/>
        <v>67.114903726109645</v>
      </c>
      <c r="J224" s="678">
        <f t="shared" si="103"/>
        <v>1.5558959552089997</v>
      </c>
      <c r="K224" s="678">
        <f t="shared" si="104"/>
        <v>1.0000296233712871</v>
      </c>
      <c r="L224" s="679">
        <f t="shared" si="105"/>
        <v>7.6970955585618887E-3</v>
      </c>
      <c r="M224" s="678">
        <f t="shared" si="106"/>
        <v>1.0036897095914168</v>
      </c>
      <c r="N224" s="679">
        <f t="shared" si="107"/>
        <v>-8.5771792953278664E-2</v>
      </c>
      <c r="O224" s="677">
        <f t="shared" si="108"/>
        <v>245656.8372687854</v>
      </c>
      <c r="P224" s="680">
        <f t="shared" si="109"/>
        <v>1.5707922560757133</v>
      </c>
      <c r="Q224" s="689">
        <f t="shared" si="131"/>
        <v>30.314175019780677</v>
      </c>
      <c r="R224" s="690">
        <f t="shared" si="132"/>
        <v>1.5378024731013908</v>
      </c>
      <c r="S224" s="677">
        <f t="shared" si="110"/>
        <v>1.0235167252652073</v>
      </c>
      <c r="T224" s="680">
        <f t="shared" si="111"/>
        <v>0.21477860498666684</v>
      </c>
      <c r="U224" s="681">
        <f t="shared" si="123"/>
        <v>0.96920344263892311</v>
      </c>
      <c r="V224" s="682">
        <f t="shared" si="124"/>
        <v>-0.30562475083061902</v>
      </c>
      <c r="W224" s="683">
        <f t="shared" si="112"/>
        <v>-6.1337097034709007</v>
      </c>
      <c r="X224" s="684">
        <f t="shared" si="113"/>
        <v>-125.32671364989297</v>
      </c>
      <c r="Y224" s="687">
        <f t="shared" si="114"/>
        <v>54.673286350107034</v>
      </c>
      <c r="AA224" s="170">
        <f t="shared" si="115"/>
        <v>13032.5</v>
      </c>
      <c r="AB224" s="170">
        <f t="shared" si="116"/>
        <v>169846056.25</v>
      </c>
      <c r="AD224" s="686">
        <f t="shared" si="117"/>
        <v>26.729889175208715</v>
      </c>
      <c r="AE224" s="687">
        <f t="shared" si="118"/>
        <v>-14.196082943146074</v>
      </c>
      <c r="AG224" s="686">
        <f t="shared" si="119"/>
        <v>12.860791374360046</v>
      </c>
      <c r="AH224" s="687">
        <f t="shared" si="120"/>
        <v>-76.108613992064662</v>
      </c>
      <c r="AJ224" s="170">
        <f t="shared" si="121"/>
        <v>0</v>
      </c>
      <c r="AK224" s="170">
        <f t="shared" si="133"/>
        <v>0</v>
      </c>
      <c r="AM224" s="170" t="str">
        <f t="shared" si="125"/>
        <v>0.096668443787554+0.428943002683107i</v>
      </c>
      <c r="AN224" s="170" t="str">
        <f t="shared" si="126"/>
        <v>0.443322341385711i</v>
      </c>
      <c r="AO224" s="170" t="str">
        <f t="shared" si="127"/>
        <v>0.967564597223641-0.218054527740229i</v>
      </c>
      <c r="AP224" s="170" t="str">
        <f t="shared" si="128"/>
        <v>0.150555259368741-0.0714905004471845i</v>
      </c>
      <c r="AQ224" s="170" t="str">
        <f t="shared" si="129"/>
        <v>0.849444740631259+0.0714905004471845i</v>
      </c>
      <c r="AR224" s="170" t="str">
        <f t="shared" si="130"/>
        <v>0.973743429531068-0.0819516582474819i</v>
      </c>
    </row>
    <row r="225" spans="7:44">
      <c r="G225" s="688">
        <v>13107.75</v>
      </c>
      <c r="H225" s="676">
        <f t="shared" si="122"/>
        <v>13.107749999999999</v>
      </c>
      <c r="I225" s="677">
        <f t="shared" si="102"/>
        <v>67.502341171847348</v>
      </c>
      <c r="J225" s="678">
        <f t="shared" si="103"/>
        <v>1.5559814838797563</v>
      </c>
      <c r="K225" s="678">
        <f t="shared" si="104"/>
        <v>1.0000299664460317</v>
      </c>
      <c r="L225" s="679">
        <f t="shared" si="105"/>
        <v>7.7415370214979603E-3</v>
      </c>
      <c r="M225" s="678">
        <f t="shared" si="106"/>
        <v>1.0037323621150085</v>
      </c>
      <c r="N225" s="679">
        <f t="shared" si="107"/>
        <v>-8.6264595242262584E-2</v>
      </c>
      <c r="O225" s="677">
        <f t="shared" si="108"/>
        <v>247075.26635024871</v>
      </c>
      <c r="P225" s="680">
        <f t="shared" si="109"/>
        <v>1.5707922794452174</v>
      </c>
      <c r="Q225" s="689">
        <f t="shared" si="131"/>
        <v>30.489019942157029</v>
      </c>
      <c r="R225" s="690">
        <f t="shared" si="132"/>
        <v>1.5379917505532863</v>
      </c>
      <c r="S225" s="677">
        <f t="shared" si="110"/>
        <v>1.023785917402561</v>
      </c>
      <c r="T225" s="680">
        <f t="shared" si="111"/>
        <v>0.2159806385714218</v>
      </c>
      <c r="U225" s="681">
        <f t="shared" si="123"/>
        <v>0.96886660586191953</v>
      </c>
      <c r="V225" s="682">
        <f t="shared" si="124"/>
        <v>-0.30733669186238</v>
      </c>
      <c r="W225" s="683">
        <f t="shared" si="112"/>
        <v>-6.1886923748173022</v>
      </c>
      <c r="X225" s="684">
        <f t="shared" si="113"/>
        <v>-125.51341825195753</v>
      </c>
      <c r="Y225" s="687">
        <f t="shared" si="114"/>
        <v>54.486581748042468</v>
      </c>
      <c r="AA225" s="170">
        <f t="shared" si="115"/>
        <v>13107.75</v>
      </c>
      <c r="AB225" s="170">
        <f t="shared" si="116"/>
        <v>171813110.0625</v>
      </c>
      <c r="AD225" s="686">
        <f t="shared" si="117"/>
        <v>26.727550917917526</v>
      </c>
      <c r="AE225" s="687">
        <f t="shared" si="118"/>
        <v>-14.254110934275172</v>
      </c>
      <c r="AG225" s="686">
        <f t="shared" si="119"/>
        <v>12.81418539447354</v>
      </c>
      <c r="AH225" s="687">
        <f t="shared" si="120"/>
        <v>-76.041116610985611</v>
      </c>
      <c r="AJ225" s="170">
        <f t="shared" si="121"/>
        <v>0</v>
      </c>
      <c r="AK225" s="170">
        <f t="shared" si="133"/>
        <v>0</v>
      </c>
      <c r="AM225" s="170" t="str">
        <f t="shared" si="125"/>
        <v>0.097769391024936+0.431253902276241i</v>
      </c>
      <c r="AN225" s="170" t="str">
        <f t="shared" si="126"/>
        <v>0.445882096320625i</v>
      </c>
      <c r="AO225" s="170" t="str">
        <f t="shared" si="127"/>
        <v>0.967192685768066-0.219271847494482i</v>
      </c>
      <c r="AP225" s="170" t="str">
        <f t="shared" si="128"/>
        <v>0.150371768162511-0.0718756503793735i</v>
      </c>
      <c r="AQ225" s="170" t="str">
        <f t="shared" si="129"/>
        <v>0.849628231837489+0.0718756503793735i</v>
      </c>
      <c r="AR225" s="170" t="str">
        <f t="shared" si="130"/>
        <v>0.973462151805155-0.0823515776181069i</v>
      </c>
    </row>
    <row r="226" spans="7:44">
      <c r="G226" s="688">
        <v>13183</v>
      </c>
      <c r="H226" s="676">
        <f t="shared" si="122"/>
        <v>13.183</v>
      </c>
      <c r="I226" s="677">
        <f t="shared" si="102"/>
        <v>67.88977910573908</v>
      </c>
      <c r="J226" s="678">
        <f t="shared" si="103"/>
        <v>1.5560660363496439</v>
      </c>
      <c r="K226" s="678">
        <f t="shared" si="104"/>
        <v>1.0000303114958777</v>
      </c>
      <c r="L226" s="679">
        <f t="shared" si="105"/>
        <v>7.7859784538536949E-3</v>
      </c>
      <c r="M226" s="678">
        <f t="shared" si="106"/>
        <v>1.0037752583783655</v>
      </c>
      <c r="N226" s="679">
        <f t="shared" si="107"/>
        <v>-8.675735553116623E-2</v>
      </c>
      <c r="O226" s="677">
        <f t="shared" si="108"/>
        <v>248493.69543171214</v>
      </c>
      <c r="P226" s="680">
        <f t="shared" si="109"/>
        <v>1.5707923025479302</v>
      </c>
      <c r="Q226" s="689">
        <f t="shared" si="131"/>
        <v>30.663865944375047</v>
      </c>
      <c r="R226" s="690">
        <f t="shared" si="132"/>
        <v>1.5381788694838767</v>
      </c>
      <c r="S226" s="677">
        <f t="shared" si="110"/>
        <v>1.0240565880136188</v>
      </c>
      <c r="T226" s="680">
        <f t="shared" si="111"/>
        <v>0.21718203846710654</v>
      </c>
      <c r="U226" s="681">
        <f t="shared" si="123"/>
        <v>0.96852816349048088</v>
      </c>
      <c r="V226" s="682">
        <f t="shared" si="124"/>
        <v>-0.3090477666633713</v>
      </c>
      <c r="W226" s="683">
        <f t="shared" si="112"/>
        <v>-6.2434133179344578</v>
      </c>
      <c r="X226" s="684">
        <f t="shared" si="113"/>
        <v>-125.70010223695547</v>
      </c>
      <c r="Y226" s="687">
        <f t="shared" si="114"/>
        <v>54.299897763044527</v>
      </c>
      <c r="AA226" s="170">
        <f t="shared" si="115"/>
        <v>13183</v>
      </c>
      <c r="AB226" s="170">
        <f t="shared" si="116"/>
        <v>173791489</v>
      </c>
      <c r="AD226" s="686">
        <f t="shared" si="117"/>
        <v>26.725201644188928</v>
      </c>
      <c r="AE226" s="687">
        <f t="shared" si="118"/>
        <v>-14.312226276569884</v>
      </c>
      <c r="AG226" s="686">
        <f t="shared" si="119"/>
        <v>12.767883057290403</v>
      </c>
      <c r="AH226" s="687">
        <f t="shared" si="120"/>
        <v>-75.973610524408798</v>
      </c>
      <c r="AJ226" s="170">
        <f t="shared" si="121"/>
        <v>0</v>
      </c>
      <c r="AK226" s="170">
        <f t="shared" si="133"/>
        <v>0</v>
      </c>
      <c r="AM226" s="170" t="str">
        <f t="shared" si="125"/>
        <v>0.098876249985606+0.433561976146428i</v>
      </c>
      <c r="AN226" s="170" t="str">
        <f t="shared" si="126"/>
        <v>0.44844185125554i</v>
      </c>
      <c r="AO226" s="170" t="str">
        <f t="shared" si="127"/>
        <v>0.966818718932117-0.220488452870253i</v>
      </c>
      <c r="AP226" s="170" t="str">
        <f t="shared" si="128"/>
        <v>0.150187291669066-0.072260329357738i</v>
      </c>
      <c r="AQ226" s="170" t="str">
        <f t="shared" si="129"/>
        <v>0.849812708330934+0.072260329357738i</v>
      </c>
      <c r="AR226" s="170" t="str">
        <f t="shared" si="130"/>
        <v>0.973179649815799-0.0827503299615906i</v>
      </c>
    </row>
    <row r="227" spans="7:44">
      <c r="G227" s="688">
        <v>13259.75</v>
      </c>
      <c r="H227" s="676">
        <f t="shared" si="122"/>
        <v>13.25975</v>
      </c>
      <c r="I227" s="677">
        <f t="shared" si="102"/>
        <v>68.284940549155181</v>
      </c>
      <c r="J227" s="678">
        <f t="shared" si="103"/>
        <v>1.556151285896334</v>
      </c>
      <c r="K227" s="678">
        <f t="shared" si="104"/>
        <v>1.0000306654583417</v>
      </c>
      <c r="L227" s="679">
        <f t="shared" si="105"/>
        <v>7.8313057302546781E-3</v>
      </c>
      <c r="M227" s="678">
        <f t="shared" si="106"/>
        <v>1.0038192607604264</v>
      </c>
      <c r="N227" s="679">
        <f t="shared" si="107"/>
        <v>-8.7259894777522093E-2</v>
      </c>
      <c r="O227" s="677">
        <f t="shared" si="108"/>
        <v>249940.3988470255</v>
      </c>
      <c r="P227" s="680">
        <f t="shared" si="109"/>
        <v>1.5707923258410508</v>
      </c>
      <c r="Q227" s="689">
        <f t="shared" si="131"/>
        <v>30.842198342263174</v>
      </c>
      <c r="R227" s="690">
        <f t="shared" si="132"/>
        <v>1.5383675329223205</v>
      </c>
      <c r="S227" s="677">
        <f t="shared" si="110"/>
        <v>1.024334175811082</v>
      </c>
      <c r="T227" s="680">
        <f t="shared" si="111"/>
        <v>0.21840673069714031</v>
      </c>
      <c r="U227" s="681">
        <f t="shared" si="123"/>
        <v>0.96818132621101882</v>
      </c>
      <c r="V227" s="682">
        <f t="shared" si="124"/>
        <v>-0.31079205307283675</v>
      </c>
      <c r="W227" s="683">
        <f t="shared" si="112"/>
        <v>-6.2989587826685582</v>
      </c>
      <c r="X227" s="684">
        <f t="shared" si="113"/>
        <v>-125.89048465395908</v>
      </c>
      <c r="Y227" s="687">
        <f t="shared" si="114"/>
        <v>54.109515346040922</v>
      </c>
      <c r="AA227" s="170">
        <f t="shared" si="115"/>
        <v>13259.75</v>
      </c>
      <c r="AB227" s="170">
        <f t="shared" si="116"/>
        <v>175820970.0625</v>
      </c>
      <c r="AD227" s="686">
        <f t="shared" si="117"/>
        <v>26.722794191698476</v>
      </c>
      <c r="AE227" s="687">
        <f t="shared" si="118"/>
        <v>-14.371587688447349</v>
      </c>
      <c r="AG227" s="686">
        <f t="shared" si="119"/>
        <v>12.720967125085089</v>
      </c>
      <c r="AH227" s="687">
        <f t="shared" si="120"/>
        <v>-75.904751030257728</v>
      </c>
      <c r="AJ227" s="170">
        <f t="shared" si="121"/>
        <v>0</v>
      </c>
      <c r="AK227" s="170">
        <f t="shared" si="133"/>
        <v>0</v>
      </c>
      <c r="AM227" s="170" t="str">
        <f t="shared" si="125"/>
        <v>0.100011254719669+0.435913131677329i</v>
      </c>
      <c r="AN227" s="170" t="str">
        <f t="shared" si="126"/>
        <v>0.451052631205768i</v>
      </c>
      <c r="AO227" s="170" t="str">
        <f t="shared" si="127"/>
        <v>0.966435181881175-0.221728569573612i</v>
      </c>
      <c r="AP227" s="170" t="str">
        <f t="shared" si="128"/>
        <v>0.149998124213389-0.0726521886128882i</v>
      </c>
      <c r="AQ227" s="170" t="str">
        <f t="shared" si="129"/>
        <v>0.850001875786611+0.0726521886128882i</v>
      </c>
      <c r="AR227" s="170" t="str">
        <f t="shared" si="130"/>
        <v>0.972890261671868-0.0831558244800524i</v>
      </c>
    </row>
    <row r="228" spans="7:44">
      <c r="G228" s="688">
        <v>13336.5</v>
      </c>
      <c r="H228" s="676">
        <f t="shared" si="122"/>
        <v>13.336499999999999</v>
      </c>
      <c r="I228" s="677">
        <f t="shared" si="102"/>
        <v>68.680102483120478</v>
      </c>
      <c r="J228" s="678">
        <f t="shared" si="103"/>
        <v>1.5562355544498778</v>
      </c>
      <c r="K228" s="678">
        <f t="shared" si="104"/>
        <v>1.0000310214754293</v>
      </c>
      <c r="L228" s="679">
        <f t="shared" si="105"/>
        <v>7.8766329744752173E-3</v>
      </c>
      <c r="M228" s="678">
        <f t="shared" si="106"/>
        <v>1.0038635166304579</v>
      </c>
      <c r="N228" s="679">
        <f t="shared" si="107"/>
        <v>-8.7762389841338703E-2</v>
      </c>
      <c r="O228" s="677">
        <f t="shared" si="108"/>
        <v>251387.10226233897</v>
      </c>
      <c r="P228" s="680">
        <f t="shared" si="109"/>
        <v>1.5707923488660729</v>
      </c>
      <c r="Q228" s="689">
        <f t="shared" si="131"/>
        <v>31.020531825323083</v>
      </c>
      <c r="R228" s="690">
        <f t="shared" si="132"/>
        <v>1.5385540271583584</v>
      </c>
      <c r="S228" s="677">
        <f t="shared" si="110"/>
        <v>1.0246132991439207</v>
      </c>
      <c r="T228" s="680">
        <f t="shared" si="111"/>
        <v>0.21963075750526631</v>
      </c>
      <c r="U228" s="681">
        <f t="shared" si="123"/>
        <v>0.96783282959190164</v>
      </c>
      <c r="V228" s="682">
        <f t="shared" si="124"/>
        <v>-0.31253543050732874</v>
      </c>
      <c r="W228" s="683">
        <f t="shared" si="112"/>
        <v>-6.3542386989313036</v>
      </c>
      <c r="X228" s="684">
        <f t="shared" si="113"/>
        <v>-126.08084239905169</v>
      </c>
      <c r="Y228" s="687">
        <f t="shared" si="114"/>
        <v>53.91915760094831</v>
      </c>
      <c r="AA228" s="170">
        <f t="shared" si="115"/>
        <v>13336.5</v>
      </c>
      <c r="AB228" s="170">
        <f t="shared" si="116"/>
        <v>177862232.25</v>
      </c>
      <c r="AD228" s="686">
        <f t="shared" si="117"/>
        <v>26.720375277142399</v>
      </c>
      <c r="AE228" s="687">
        <f t="shared" si="118"/>
        <v>-14.431035245239871</v>
      </c>
      <c r="AG228" s="686">
        <f t="shared" si="119"/>
        <v>12.674360216503748</v>
      </c>
      <c r="AH228" s="687">
        <f t="shared" si="120"/>
        <v>-75.835884880140085</v>
      </c>
      <c r="AJ228" s="170">
        <f t="shared" si="121"/>
        <v>0</v>
      </c>
      <c r="AK228" s="170">
        <f t="shared" si="133"/>
        <v>0</v>
      </c>
      <c r="AM228" s="170" t="str">
        <f t="shared" si="125"/>
        <v>0.101152393928288+0.438261315951058i</v>
      </c>
      <c r="AN228" s="170" t="str">
        <f t="shared" si="126"/>
        <v>0.453663411155997i</v>
      </c>
      <c r="AO228" s="170" t="str">
        <f t="shared" si="127"/>
        <v>0.9660495097771-0.222967934906934i</v>
      </c>
      <c r="AP228" s="170" t="str">
        <f t="shared" si="128"/>
        <v>0.149807934345285-0.0730435526585097i</v>
      </c>
      <c r="AQ228" s="170" t="str">
        <f t="shared" si="129"/>
        <v>0.850192065654715+0.0730435526585097i</v>
      </c>
      <c r="AR228" s="170" t="str">
        <f t="shared" si="130"/>
        <v>0.972599612602861-0.0835600964637269i</v>
      </c>
    </row>
    <row r="229" spans="7:44">
      <c r="G229" s="688">
        <v>13413.25</v>
      </c>
      <c r="H229" s="676">
        <f t="shared" si="122"/>
        <v>13.41325</v>
      </c>
      <c r="I229" s="677">
        <f t="shared" si="102"/>
        <v>69.075264899216023</v>
      </c>
      <c r="J229" s="678">
        <f t="shared" si="103"/>
        <v>1.5563188588451218</v>
      </c>
      <c r="K229" s="678">
        <f t="shared" si="104"/>
        <v>1.0000313795471383</v>
      </c>
      <c r="L229" s="679">
        <f t="shared" si="105"/>
        <v>7.9219601863290967E-3</v>
      </c>
      <c r="M229" s="678">
        <f t="shared" si="106"/>
        <v>1.0039080259549358</v>
      </c>
      <c r="N229" s="679">
        <f t="shared" si="107"/>
        <v>-8.8264840474714806E-2</v>
      </c>
      <c r="O229" s="677">
        <f t="shared" si="108"/>
        <v>252833.80567765259</v>
      </c>
      <c r="P229" s="680">
        <f t="shared" si="109"/>
        <v>1.5707923716275989</v>
      </c>
      <c r="Q229" s="689">
        <f t="shared" si="131"/>
        <v>31.198866374946167</v>
      </c>
      <c r="R229" s="690">
        <f t="shared" si="132"/>
        <v>1.5387383893767701</v>
      </c>
      <c r="S229" s="677">
        <f t="shared" si="110"/>
        <v>1.0248939567575555</v>
      </c>
      <c r="T229" s="680">
        <f t="shared" si="111"/>
        <v>0.22085411576888331</v>
      </c>
      <c r="U229" s="681">
        <f t="shared" si="123"/>
        <v>0.96748267916214203</v>
      </c>
      <c r="V229" s="682">
        <f t="shared" si="124"/>
        <v>-0.31427789502489401</v>
      </c>
      <c r="W229" s="683">
        <f t="shared" si="112"/>
        <v>-6.409256370146986</v>
      </c>
      <c r="X229" s="684">
        <f t="shared" si="113"/>
        <v>-126.27117388756956</v>
      </c>
      <c r="Y229" s="687">
        <f t="shared" si="114"/>
        <v>53.72882611243044</v>
      </c>
      <c r="AA229" s="170">
        <f t="shared" si="115"/>
        <v>13413.25</v>
      </c>
      <c r="AB229" s="170">
        <f t="shared" si="116"/>
        <v>179915275.5625</v>
      </c>
      <c r="AD229" s="686">
        <f t="shared" si="117"/>
        <v>26.717944900529105</v>
      </c>
      <c r="AE229" s="687">
        <f t="shared" si="118"/>
        <v>-14.490566637768318</v>
      </c>
      <c r="AG229" s="686">
        <f t="shared" si="119"/>
        <v>12.628058962619868</v>
      </c>
      <c r="AH229" s="687">
        <f t="shared" si="120"/>
        <v>-75.767013250285771</v>
      </c>
      <c r="AJ229" s="170">
        <f t="shared" si="121"/>
        <v>0</v>
      </c>
      <c r="AK229" s="170">
        <f t="shared" si="133"/>
        <v>0</v>
      </c>
      <c r="AM229" s="170" t="str">
        <f t="shared" si="125"/>
        <v>0.102299659833265+0.440606512961994i</v>
      </c>
      <c r="AN229" s="170" t="str">
        <f t="shared" si="126"/>
        <v>0.456274191106225i</v>
      </c>
      <c r="AO229" s="170" t="str">
        <f t="shared" si="127"/>
        <v>0.965661704190971-0.224206544720932i</v>
      </c>
      <c r="AP229" s="170" t="str">
        <f t="shared" si="128"/>
        <v>0.149616723361123-0.073434418826999i</v>
      </c>
      <c r="AQ229" s="170" t="str">
        <f t="shared" si="129"/>
        <v>0.850383276638877+0.073434418826999i</v>
      </c>
      <c r="AR229" s="170" t="str">
        <f t="shared" si="130"/>
        <v>0.972307709009118-0.083963141672195i</v>
      </c>
    </row>
    <row r="230" spans="7:44">
      <c r="G230" s="688">
        <v>13490</v>
      </c>
      <c r="H230" s="676">
        <f t="shared" si="122"/>
        <v>13.49</v>
      </c>
      <c r="I230" s="677">
        <f t="shared" si="102"/>
        <v>69.47042778921444</v>
      </c>
      <c r="J230" s="678">
        <f t="shared" si="103"/>
        <v>1.5564012155339255</v>
      </c>
      <c r="K230" s="678">
        <f t="shared" si="104"/>
        <v>1.0000317396734661</v>
      </c>
      <c r="L230" s="679">
        <f t="shared" si="105"/>
        <v>7.9672873656300956E-3</v>
      </c>
      <c r="M230" s="678">
        <f t="shared" si="106"/>
        <v>1.00395278870015</v>
      </c>
      <c r="N230" s="679">
        <f t="shared" si="107"/>
        <v>-8.8767246429882679E-2</v>
      </c>
      <c r="O230" s="677">
        <f t="shared" si="108"/>
        <v>254280.50909296636</v>
      </c>
      <c r="P230" s="680">
        <f t="shared" si="109"/>
        <v>1.5707923941301258</v>
      </c>
      <c r="Q230" s="689">
        <f t="shared" si="131"/>
        <v>31.377201972946764</v>
      </c>
      <c r="R230" s="690">
        <f t="shared" si="132"/>
        <v>1.5389206559175479</v>
      </c>
      <c r="S230" s="677">
        <f t="shared" si="110"/>
        <v>1.0251761473918872</v>
      </c>
      <c r="T230" s="680">
        <f t="shared" si="111"/>
        <v>0.22207680237680458</v>
      </c>
      <c r="U230" s="681">
        <f t="shared" si="123"/>
        <v>0.96713088046632989</v>
      </c>
      <c r="V230" s="682">
        <f t="shared" si="124"/>
        <v>-0.3160194427036635</v>
      </c>
      <c r="W230" s="683">
        <f t="shared" si="112"/>
        <v>-6.4640150419091471</v>
      </c>
      <c r="X230" s="684">
        <f t="shared" si="113"/>
        <v>-126.46147756311446</v>
      </c>
      <c r="Y230" s="687">
        <f t="shared" si="114"/>
        <v>53.538522436885543</v>
      </c>
      <c r="AA230" s="170">
        <f t="shared" si="115"/>
        <v>13490</v>
      </c>
      <c r="AB230" s="170">
        <f t="shared" si="116"/>
        <v>181980100</v>
      </c>
      <c r="AD230" s="686">
        <f t="shared" si="117"/>
        <v>26.715503062541863</v>
      </c>
      <c r="AE230" s="687">
        <f t="shared" si="118"/>
        <v>-14.550179605904296</v>
      </c>
      <c r="AG230" s="686">
        <f t="shared" si="119"/>
        <v>12.582060051440111</v>
      </c>
      <c r="AH230" s="687">
        <f t="shared" si="120"/>
        <v>-75.698137293838073</v>
      </c>
      <c r="AJ230" s="170">
        <f t="shared" si="121"/>
        <v>0</v>
      </c>
      <c r="AK230" s="170">
        <f t="shared" si="133"/>
        <v>0</v>
      </c>
      <c r="AM230" s="170" t="str">
        <f t="shared" si="125"/>
        <v>0.103453044614643+0.442948706724884i</v>
      </c>
      <c r="AN230" s="170" t="str">
        <f t="shared" si="126"/>
        <v>0.458884971056454i</v>
      </c>
      <c r="AO230" s="170" t="str">
        <f t="shared" si="127"/>
        <v>0.965271766702489-0.225444394869746i</v>
      </c>
      <c r="AP230" s="170" t="str">
        <f t="shared" si="128"/>
        <v>0.149424492564226-0.0738247844541473i</v>
      </c>
      <c r="AQ230" s="170" t="str">
        <f t="shared" si="129"/>
        <v>0.850575507435774+0.0738247844541473i</v>
      </c>
      <c r="AR230" s="170" t="str">
        <f t="shared" si="130"/>
        <v>0.972014557305133-0.0843649559057675i</v>
      </c>
    </row>
    <row r="231" spans="7:44">
      <c r="G231" s="688">
        <v>13568.5</v>
      </c>
      <c r="H231" s="676">
        <f t="shared" si="122"/>
        <v>13.5685</v>
      </c>
      <c r="I231" s="677">
        <f t="shared" si="102"/>
        <v>69.874601389829039</v>
      </c>
      <c r="J231" s="678">
        <f t="shared" si="103"/>
        <v>1.5564844864544327</v>
      </c>
      <c r="K231" s="678">
        <f t="shared" si="104"/>
        <v>1.0000321101365666</v>
      </c>
      <c r="L231" s="679">
        <f t="shared" si="105"/>
        <v>8.0136480298085514E-3</v>
      </c>
      <c r="M231" s="678">
        <f t="shared" si="106"/>
        <v>1.0039988342130439</v>
      </c>
      <c r="N231" s="679">
        <f t="shared" si="107"/>
        <v>-8.9281061419411126E-2</v>
      </c>
      <c r="O231" s="677">
        <f t="shared" si="108"/>
        <v>255760.19923110498</v>
      </c>
      <c r="P231" s="680">
        <f t="shared" si="109"/>
        <v>1.5707924168823966</v>
      </c>
      <c r="Q231" s="689">
        <f t="shared" si="131"/>
        <v>31.559604920922876</v>
      </c>
      <c r="R231" s="690">
        <f t="shared" si="132"/>
        <v>1.5391049474918639</v>
      </c>
      <c r="S231" s="677">
        <f t="shared" si="110"/>
        <v>1.0254663568726787</v>
      </c>
      <c r="T231" s="680">
        <f t="shared" si="111"/>
        <v>0.22332666979936888</v>
      </c>
      <c r="U231" s="681">
        <f t="shared" si="123"/>
        <v>0.96676936102879696</v>
      </c>
      <c r="V231" s="682">
        <f t="shared" si="124"/>
        <v>-0.31779974743705491</v>
      </c>
      <c r="W231" s="683">
        <f t="shared" si="112"/>
        <v>-6.5197576813899181</v>
      </c>
      <c r="X231" s="684">
        <f t="shared" si="113"/>
        <v>-126.65609004553106</v>
      </c>
      <c r="Y231" s="687">
        <f t="shared" si="114"/>
        <v>53.343909954468941</v>
      </c>
      <c r="AA231" s="170">
        <f t="shared" si="115"/>
        <v>13568.5</v>
      </c>
      <c r="AB231" s="170">
        <f t="shared" si="116"/>
        <v>184104192.25</v>
      </c>
      <c r="AD231" s="686">
        <f t="shared" si="117"/>
        <v>26.712993692510125</v>
      </c>
      <c r="AE231" s="687">
        <f t="shared" si="118"/>
        <v>-14.61123390843886</v>
      </c>
      <c r="AG231" s="686">
        <f t="shared" si="119"/>
        <v>12.535321673310968</v>
      </c>
      <c r="AH231" s="687">
        <f t="shared" si="120"/>
        <v>-75.627687578546002</v>
      </c>
      <c r="AJ231" s="170">
        <f t="shared" si="121"/>
        <v>0</v>
      </c>
      <c r="AK231" s="170">
        <f t="shared" si="133"/>
        <v>0</v>
      </c>
      <c r="AM231" s="170" t="str">
        <f t="shared" si="125"/>
        <v>0.1046390496217+0.445341182171229i</v>
      </c>
      <c r="AN231" s="170" t="str">
        <f t="shared" si="126"/>
        <v>0.461555280191215i</v>
      </c>
      <c r="AO231" s="170" t="str">
        <f t="shared" si="127"/>
        <v>0.964870734415022-0.226709679452372i</v>
      </c>
      <c r="AP231" s="170" t="str">
        <f t="shared" si="128"/>
        <v>0.14922682506305-0.0742235303618715i</v>
      </c>
      <c r="AQ231" s="170" t="str">
        <f t="shared" si="129"/>
        <v>0.85077317493695+0.0742235303618715i</v>
      </c>
      <c r="AR231" s="170" t="str">
        <f t="shared" si="130"/>
        <v>0.971713436938355-0.0847746542960496i</v>
      </c>
    </row>
    <row r="232" spans="7:44">
      <c r="G232" s="688">
        <v>13647</v>
      </c>
      <c r="H232" s="676">
        <f t="shared" si="122"/>
        <v>13.647</v>
      </c>
      <c r="I232" s="677">
        <f t="shared" si="102"/>
        <v>70.278775469384456</v>
      </c>
      <c r="J232" s="678">
        <f t="shared" si="103"/>
        <v>1.5565667995913823</v>
      </c>
      <c r="K232" s="678">
        <f t="shared" si="104"/>
        <v>1.0000324827490457</v>
      </c>
      <c r="L232" s="679">
        <f t="shared" si="105"/>
        <v>8.0600086595386516E-3</v>
      </c>
      <c r="M232" s="678">
        <f t="shared" si="106"/>
        <v>1.0040451447631444</v>
      </c>
      <c r="N232" s="679">
        <f t="shared" si="107"/>
        <v>-8.9794829146190511E-2</v>
      </c>
      <c r="O232" s="677">
        <f t="shared" si="108"/>
        <v>257239.88936924376</v>
      </c>
      <c r="P232" s="680">
        <f t="shared" si="109"/>
        <v>1.5707924393729169</v>
      </c>
      <c r="Q232" s="689">
        <f t="shared" si="131"/>
        <v>31.742008928451114</v>
      </c>
      <c r="R232" s="690">
        <f t="shared" si="132"/>
        <v>1.5392871210260441</v>
      </c>
      <c r="S232" s="677">
        <f t="shared" si="110"/>
        <v>1.0257581673968728</v>
      </c>
      <c r="T232" s="680">
        <f t="shared" si="111"/>
        <v>0.22457582804091461</v>
      </c>
      <c r="U232" s="681">
        <f t="shared" si="123"/>
        <v>0.96640612908485291</v>
      </c>
      <c r="V232" s="682">
        <f t="shared" si="124"/>
        <v>-0.31957908481018438</v>
      </c>
      <c r="W232" s="683">
        <f t="shared" si="112"/>
        <v>-6.5752360641306993</v>
      </c>
      <c r="X232" s="684">
        <f t="shared" si="113"/>
        <v>-126.85067022603361</v>
      </c>
      <c r="Y232" s="687">
        <f t="shared" si="114"/>
        <v>53.149329773966386</v>
      </c>
      <c r="AA232" s="170">
        <f t="shared" si="115"/>
        <v>13647</v>
      </c>
      <c r="AB232" s="170">
        <f t="shared" si="116"/>
        <v>186240609</v>
      </c>
      <c r="AD232" s="686">
        <f t="shared" si="117"/>
        <v>26.710472335996251</v>
      </c>
      <c r="AE232" s="687">
        <f t="shared" si="118"/>
        <v>-14.672368917657652</v>
      </c>
      <c r="AG232" s="686">
        <f t="shared" si="119"/>
        <v>12.488892750986437</v>
      </c>
      <c r="AH232" s="687">
        <f t="shared" si="120"/>
        <v>-75.557235705976368</v>
      </c>
      <c r="AJ232" s="170">
        <f t="shared" si="121"/>
        <v>0</v>
      </c>
      <c r="AK232" s="170">
        <f t="shared" si="133"/>
        <v>0</v>
      </c>
      <c r="AM232" s="170" t="str">
        <f t="shared" si="125"/>
        <v>0.105831439041772+0.447730482091505i</v>
      </c>
      <c r="AN232" s="170" t="str">
        <f t="shared" si="126"/>
        <v>0.464225589325977i</v>
      </c>
      <c r="AO232" s="170" t="str">
        <f t="shared" si="127"/>
        <v>0.964467475266881-0.227974160570148i</v>
      </c>
      <c r="AP232" s="170" t="str">
        <f t="shared" si="128"/>
        <v>0.149028093493038-0.0746217470152508i</v>
      </c>
      <c r="AQ232" s="170" t="str">
        <f t="shared" si="129"/>
        <v>0.850971906506962+0.0746217470152508i</v>
      </c>
      <c r="AR232" s="170" t="str">
        <f t="shared" si="130"/>
        <v>0.971411024513104-0.0851830561793634i</v>
      </c>
    </row>
    <row r="233" spans="7:44">
      <c r="G233" s="688">
        <v>13725.5</v>
      </c>
      <c r="H233" s="676">
        <f t="shared" si="122"/>
        <v>13.7255</v>
      </c>
      <c r="I233" s="677">
        <f t="shared" si="102"/>
        <v>70.682950019664787</v>
      </c>
      <c r="J233" s="678">
        <f t="shared" si="103"/>
        <v>1.5566481713738529</v>
      </c>
      <c r="K233" s="678">
        <f t="shared" si="104"/>
        <v>1.000032857510901</v>
      </c>
      <c r="L233" s="679">
        <f t="shared" si="105"/>
        <v>8.1063692546211458E-3</v>
      </c>
      <c r="M233" s="678">
        <f t="shared" si="106"/>
        <v>1.00409172031378</v>
      </c>
      <c r="N233" s="679">
        <f t="shared" si="107"/>
        <v>-9.0308549345553768E-2</v>
      </c>
      <c r="O233" s="677">
        <f t="shared" si="108"/>
        <v>258719.57950738264</v>
      </c>
      <c r="P233" s="680">
        <f t="shared" si="109"/>
        <v>1.5707924616061779</v>
      </c>
      <c r="Q233" s="689">
        <f t="shared" si="131"/>
        <v>31.924413977369841</v>
      </c>
      <c r="R233" s="690">
        <f t="shared" si="132"/>
        <v>1.5394672128131364</v>
      </c>
      <c r="S233" s="677">
        <f t="shared" si="110"/>
        <v>1.0260515775984527</v>
      </c>
      <c r="T233" s="680">
        <f t="shared" si="111"/>
        <v>0.22582427380982384</v>
      </c>
      <c r="U233" s="681">
        <f t="shared" si="123"/>
        <v>0.96604119061616633</v>
      </c>
      <c r="V233" s="682">
        <f t="shared" si="124"/>
        <v>-0.32135745069222671</v>
      </c>
      <c r="W233" s="683">
        <f t="shared" si="112"/>
        <v>-6.6304534835429667</v>
      </c>
      <c r="X233" s="684">
        <f t="shared" si="113"/>
        <v>-127.04521652633038</v>
      </c>
      <c r="Y233" s="687">
        <f t="shared" si="114"/>
        <v>52.954783473669622</v>
      </c>
      <c r="AA233" s="170">
        <f t="shared" si="115"/>
        <v>13725.5</v>
      </c>
      <c r="AB233" s="170">
        <f t="shared" si="116"/>
        <v>188389350.25</v>
      </c>
      <c r="AD233" s="686">
        <f t="shared" si="117"/>
        <v>26.707938995790549</v>
      </c>
      <c r="AE233" s="687">
        <f t="shared" si="118"/>
        <v>-14.73358236578372</v>
      </c>
      <c r="AG233" s="686">
        <f t="shared" si="119"/>
        <v>12.442769917241129</v>
      </c>
      <c r="AH233" s="687">
        <f t="shared" si="120"/>
        <v>-75.486782838972005</v>
      </c>
      <c r="AJ233" s="170">
        <f t="shared" si="121"/>
        <v>0</v>
      </c>
      <c r="AK233" s="170">
        <f t="shared" si="133"/>
        <v>0</v>
      </c>
      <c r="AM233" s="170" t="str">
        <f t="shared" si="125"/>
        <v>0.10703020437247+0.450116589448697i</v>
      </c>
      <c r="AN233" s="170" t="str">
        <f t="shared" si="126"/>
        <v>0.466895898460738i</v>
      </c>
      <c r="AO233" s="170" t="str">
        <f t="shared" si="127"/>
        <v>0.964061990976235-0.229237833798342i</v>
      </c>
      <c r="AP233" s="170" t="str">
        <f t="shared" si="128"/>
        <v>0.148828299271255-0.0750194315747828i</v>
      </c>
      <c r="AQ233" s="170" t="str">
        <f t="shared" si="129"/>
        <v>0.851171700728745+0.0750194315747828i</v>
      </c>
      <c r="AR233" s="170" t="str">
        <f t="shared" si="130"/>
        <v>0.971107326936717-0.0855901571945189i</v>
      </c>
    </row>
    <row r="234" spans="7:44">
      <c r="G234" s="688">
        <v>13804</v>
      </c>
      <c r="H234" s="676">
        <f t="shared" si="122"/>
        <v>13.804</v>
      </c>
      <c r="I234" s="677">
        <f t="shared" si="102"/>
        <v>71.087125032640898</v>
      </c>
      <c r="J234" s="678">
        <f t="shared" si="103"/>
        <v>1.5567286178573336</v>
      </c>
      <c r="K234" s="678">
        <f t="shared" si="104"/>
        <v>1.0000332344221299</v>
      </c>
      <c r="L234" s="679">
        <f t="shared" si="105"/>
        <v>8.1527298148567854E-3</v>
      </c>
      <c r="M234" s="678">
        <f t="shared" si="106"/>
        <v>1.0041385608280753</v>
      </c>
      <c r="N234" s="679">
        <f t="shared" si="107"/>
        <v>-9.0822221752983115E-2</v>
      </c>
      <c r="O234" s="677">
        <f t="shared" si="108"/>
        <v>260199.26964552162</v>
      </c>
      <c r="P234" s="680">
        <f t="shared" si="109"/>
        <v>1.5707924835865688</v>
      </c>
      <c r="Q234" s="689">
        <f t="shared" si="131"/>
        <v>32.106820049930043</v>
      </c>
      <c r="R234" s="690">
        <f t="shared" si="132"/>
        <v>1.5396452583219795</v>
      </c>
      <c r="S234" s="677">
        <f t="shared" si="110"/>
        <v>1.026346586105479</v>
      </c>
      <c r="T234" s="680">
        <f t="shared" si="111"/>
        <v>0.22707200382711623</v>
      </c>
      <c r="U234" s="681">
        <f t="shared" si="123"/>
        <v>0.96567455162044558</v>
      </c>
      <c r="V234" s="682">
        <f t="shared" si="124"/>
        <v>-0.32313484097452122</v>
      </c>
      <c r="W234" s="683">
        <f t="shared" si="112"/>
        <v>-6.6854131753263326</v>
      </c>
      <c r="X234" s="684">
        <f t="shared" si="113"/>
        <v>-127.2397273959447</v>
      </c>
      <c r="Y234" s="687">
        <f t="shared" si="114"/>
        <v>52.760272604055302</v>
      </c>
      <c r="AA234" s="170">
        <f t="shared" si="115"/>
        <v>13804</v>
      </c>
      <c r="AB234" s="170">
        <f t="shared" si="116"/>
        <v>190550416</v>
      </c>
      <c r="AD234" s="686">
        <f t="shared" si="117"/>
        <v>26.705393675335749</v>
      </c>
      <c r="AE234" s="687">
        <f t="shared" si="118"/>
        <v>-14.794872032982061</v>
      </c>
      <c r="AG234" s="686">
        <f t="shared" si="119"/>
        <v>12.396949861675388</v>
      </c>
      <c r="AH234" s="687">
        <f t="shared" si="120"/>
        <v>-75.416330117709236</v>
      </c>
      <c r="AJ234" s="170">
        <f t="shared" si="121"/>
        <v>0</v>
      </c>
      <c r="AK234" s="170">
        <f t="shared" si="133"/>
        <v>0</v>
      </c>
      <c r="AM234" s="170" t="str">
        <f t="shared" si="125"/>
        <v>0.108235337065942+0.452499487228556i</v>
      </c>
      <c r="AN234" s="170" t="str">
        <f t="shared" si="126"/>
        <v>0.4695662075955i</v>
      </c>
      <c r="AO234" s="170" t="str">
        <f t="shared" si="127"/>
        <v>0.963654283270644-0.230500694716046i</v>
      </c>
      <c r="AP234" s="170" t="str">
        <f t="shared" si="128"/>
        <v>0.148627443822343-0.0754165812047593i</v>
      </c>
      <c r="AQ234" s="170" t="str">
        <f t="shared" si="129"/>
        <v>0.851372556177657+0.0754165812047593i</v>
      </c>
      <c r="AR234" s="170" t="str">
        <f t="shared" si="130"/>
        <v>0.970802351130685-0.0859959530249889i</v>
      </c>
    </row>
    <row r="235" spans="7:44">
      <c r="G235" s="688">
        <v>13884.25</v>
      </c>
      <c r="H235" s="676">
        <f t="shared" si="122"/>
        <v>13.88425</v>
      </c>
      <c r="I235" s="677">
        <f t="shared" si="102"/>
        <v>71.500310786718885</v>
      </c>
      <c r="J235" s="678">
        <f t="shared" si="103"/>
        <v>1.5568099176029029</v>
      </c>
      <c r="K235" s="678">
        <f t="shared" si="104"/>
        <v>1.0000336219576178</v>
      </c>
      <c r="L235" s="679">
        <f t="shared" si="105"/>
        <v>8.200123854538206E-3</v>
      </c>
      <c r="M235" s="678">
        <f t="shared" si="106"/>
        <v>1.0041867194087943</v>
      </c>
      <c r="N235" s="679">
        <f t="shared" si="107"/>
        <v>-9.1347295778868423E-2</v>
      </c>
      <c r="O235" s="677">
        <f t="shared" si="108"/>
        <v>261711.94650648552</v>
      </c>
      <c r="P235" s="680">
        <f t="shared" si="109"/>
        <v>1.5707925058000458</v>
      </c>
      <c r="Q235" s="689">
        <f t="shared" si="131"/>
        <v>32.29329353996642</v>
      </c>
      <c r="R235" s="690">
        <f t="shared" si="132"/>
        <v>1.5398251938825203</v>
      </c>
      <c r="S235" s="677">
        <f t="shared" si="110"/>
        <v>1.0266498219495357</v>
      </c>
      <c r="T235" s="680">
        <f t="shared" si="111"/>
        <v>0.22834680621653594</v>
      </c>
      <c r="U235" s="681">
        <f t="shared" si="123"/>
        <v>0.96529798759194951</v>
      </c>
      <c r="V235" s="682">
        <f t="shared" si="124"/>
        <v>-0.32495084188595624</v>
      </c>
      <c r="W235" s="683">
        <f t="shared" si="112"/>
        <v>-6.7413349837197725</v>
      </c>
      <c r="X235" s="684">
        <f t="shared" si="113"/>
        <v>-127.4385362846151</v>
      </c>
      <c r="Y235" s="687">
        <f t="shared" si="114"/>
        <v>52.561463715384903</v>
      </c>
      <c r="AA235" s="170">
        <f t="shared" si="115"/>
        <v>13884.25</v>
      </c>
      <c r="AB235" s="170">
        <f t="shared" si="116"/>
        <v>192772398.0625</v>
      </c>
      <c r="AD235" s="686">
        <f t="shared" si="117"/>
        <v>26.702779232476338</v>
      </c>
      <c r="AE235" s="687">
        <f t="shared" si="118"/>
        <v>-14.857604554215856</v>
      </c>
      <c r="AG235" s="686">
        <f t="shared" si="119"/>
        <v>12.350417928869115</v>
      </c>
      <c r="AH235" s="687">
        <f t="shared" si="120"/>
        <v>-75.34430810927374</v>
      </c>
      <c r="AJ235" s="170">
        <f t="shared" si="121"/>
        <v>0</v>
      </c>
      <c r="AK235" s="170">
        <f t="shared" si="133"/>
        <v>0</v>
      </c>
      <c r="AM235" s="170" t="str">
        <f t="shared" si="125"/>
        <v>0.109473908692217+0.454932171537783i</v>
      </c>
      <c r="AN235" s="170" t="str">
        <f t="shared" si="126"/>
        <v>0.472296045914794i</v>
      </c>
      <c r="AO235" s="170" t="str">
        <f t="shared" si="127"/>
        <v>0.963235190031331-0.231790864308796i</v>
      </c>
      <c r="AP235" s="170" t="str">
        <f t="shared" si="128"/>
        <v>0.148421015217964-0.0758220285896305i</v>
      </c>
      <c r="AQ235" s="170" t="str">
        <f t="shared" si="129"/>
        <v>0.851578984782036+0.0758220285896305i</v>
      </c>
      <c r="AR235" s="170" t="str">
        <f t="shared" si="130"/>
        <v>0.970489262432631-0.0864094416572886i</v>
      </c>
    </row>
    <row r="236" spans="7:44">
      <c r="G236" s="688">
        <v>13964.5</v>
      </c>
      <c r="H236" s="676">
        <f t="shared" si="122"/>
        <v>13.964499999999999</v>
      </c>
      <c r="I236" s="677">
        <f t="shared" si="102"/>
        <v>71.913497007958142</v>
      </c>
      <c r="J236" s="678">
        <f t="shared" si="103"/>
        <v>1.5568902831172877</v>
      </c>
      <c r="K236" s="678">
        <f t="shared" si="104"/>
        <v>1.0000340117393747</v>
      </c>
      <c r="L236" s="679">
        <f t="shared" si="105"/>
        <v>8.2475178573806762E-3</v>
      </c>
      <c r="M236" s="678">
        <f t="shared" si="106"/>
        <v>1.004235154819938</v>
      </c>
      <c r="N236" s="679">
        <f t="shared" si="107"/>
        <v>-9.1872319299649827E-2</v>
      </c>
      <c r="O236" s="677">
        <f t="shared" si="108"/>
        <v>263224.6233674495</v>
      </c>
      <c r="P236" s="680">
        <f t="shared" si="109"/>
        <v>1.5707925277582138</v>
      </c>
      <c r="Q236" s="689">
        <f t="shared" si="131"/>
        <v>32.479768063550971</v>
      </c>
      <c r="R236" s="690">
        <f t="shared" si="132"/>
        <v>1.5400030633380797</v>
      </c>
      <c r="S236" s="677">
        <f t="shared" si="110"/>
        <v>1.0269547252370348</v>
      </c>
      <c r="T236" s="680">
        <f t="shared" si="111"/>
        <v>0.22962085369668983</v>
      </c>
      <c r="U236" s="681">
        <f t="shared" si="123"/>
        <v>0.96491965909780686</v>
      </c>
      <c r="V236" s="682">
        <f t="shared" si="124"/>
        <v>-0.32676581460228321</v>
      </c>
      <c r="W236" s="683">
        <f t="shared" si="112"/>
        <v>-6.796994104938876</v>
      </c>
      <c r="X236" s="684">
        <f t="shared" si="113"/>
        <v>-127.63730495427518</v>
      </c>
      <c r="Y236" s="687">
        <f t="shared" si="114"/>
        <v>52.36269504572482</v>
      </c>
      <c r="AA236" s="170">
        <f t="shared" si="115"/>
        <v>13964.5</v>
      </c>
      <c r="AB236" s="170">
        <f t="shared" si="116"/>
        <v>195007260.25</v>
      </c>
      <c r="AD236" s="686">
        <f t="shared" si="117"/>
        <v>26.700152278541008</v>
      </c>
      <c r="AE236" s="687">
        <f t="shared" si="118"/>
        <v>-14.920412186802219</v>
      </c>
      <c r="AG236" s="686">
        <f t="shared" si="119"/>
        <v>12.304195604184754</v>
      </c>
      <c r="AH236" s="687">
        <f t="shared" si="120"/>
        <v>-75.272288592955945</v>
      </c>
      <c r="AJ236" s="170">
        <f t="shared" si="121"/>
        <v>0</v>
      </c>
      <c r="AK236" s="170">
        <f t="shared" si="133"/>
        <v>0</v>
      </c>
      <c r="AM236" s="170" t="str">
        <f t="shared" si="125"/>
        <v>0.110719116530165+0.457361465686725i</v>
      </c>
      <c r="AN236" s="170" t="str">
        <f t="shared" si="126"/>
        <v>0.475025884234088i</v>
      </c>
      <c r="AO236" s="170" t="str">
        <f t="shared" si="127"/>
        <v>0.96281377682009-0.233080175638605i</v>
      </c>
      <c r="AP236" s="170" t="str">
        <f t="shared" si="128"/>
        <v>0.148213480578306-0.0762269109477875i</v>
      </c>
      <c r="AQ236" s="170" t="str">
        <f t="shared" si="129"/>
        <v>0.851786519421694+0.0762269109477875i</v>
      </c>
      <c r="AR236" s="170" t="str">
        <f t="shared" si="130"/>
        <v>0.970174852550697-0.0868215572833604i</v>
      </c>
    </row>
    <row r="237" spans="7:44">
      <c r="G237" s="688">
        <v>14044.75</v>
      </c>
      <c r="H237" s="676">
        <f t="shared" si="122"/>
        <v>14.044750000000001</v>
      </c>
      <c r="I237" s="677">
        <f t="shared" si="102"/>
        <v>72.326683688352318</v>
      </c>
      <c r="J237" s="678">
        <f t="shared" si="103"/>
        <v>1.5569697304106223</v>
      </c>
      <c r="K237" s="678">
        <f t="shared" si="104"/>
        <v>1.0000344037673974</v>
      </c>
      <c r="L237" s="679">
        <f t="shared" si="105"/>
        <v>8.2949118231713265E-3</v>
      </c>
      <c r="M237" s="678">
        <f t="shared" si="106"/>
        <v>1.0042838670214524</v>
      </c>
      <c r="N237" s="679">
        <f t="shared" si="107"/>
        <v>-9.2397292033210593E-2</v>
      </c>
      <c r="O237" s="677">
        <f t="shared" si="108"/>
        <v>264737.30022841366</v>
      </c>
      <c r="P237" s="680">
        <f t="shared" si="109"/>
        <v>1.5707925494654491</v>
      </c>
      <c r="Q237" s="689">
        <f t="shared" si="131"/>
        <v>32.666243602983741</v>
      </c>
      <c r="R237" s="690">
        <f t="shared" si="132"/>
        <v>1.5401789020604408</v>
      </c>
      <c r="S237" s="677">
        <f t="shared" si="110"/>
        <v>1.0272612944832256</v>
      </c>
      <c r="T237" s="680">
        <f t="shared" si="111"/>
        <v>0.23089414280556467</v>
      </c>
      <c r="U237" s="681">
        <f t="shared" si="123"/>
        <v>0.96453957259622192</v>
      </c>
      <c r="V237" s="682">
        <f t="shared" si="124"/>
        <v>-0.32857975480601398</v>
      </c>
      <c r="W237" s="683">
        <f t="shared" si="112"/>
        <v>-6.8523938173223575</v>
      </c>
      <c r="X237" s="684">
        <f t="shared" si="113"/>
        <v>-127.83603183395041</v>
      </c>
      <c r="Y237" s="687">
        <f t="shared" si="114"/>
        <v>52.163968166049585</v>
      </c>
      <c r="AA237" s="170">
        <f t="shared" si="115"/>
        <v>14044.75</v>
      </c>
      <c r="AB237" s="170">
        <f t="shared" si="116"/>
        <v>197255002.5625</v>
      </c>
      <c r="AD237" s="686">
        <f t="shared" si="117"/>
        <v>26.697512819196405</v>
      </c>
      <c r="AE237" s="687">
        <f t="shared" si="118"/>
        <v>-14.983292705979281</v>
      </c>
      <c r="AG237" s="686">
        <f t="shared" si="119"/>
        <v>12.258279526745252</v>
      </c>
      <c r="AH237" s="687">
        <f t="shared" si="120"/>
        <v>-75.200272717290872</v>
      </c>
      <c r="AJ237" s="170">
        <f t="shared" si="121"/>
        <v>0</v>
      </c>
      <c r="AK237" s="170">
        <f t="shared" si="133"/>
        <v>0</v>
      </c>
      <c r="AM237" s="170" t="str">
        <f t="shared" si="125"/>
        <v>0.111970951300481+0.459787351572254i</v>
      </c>
      <c r="AN237" s="170" t="str">
        <f t="shared" si="126"/>
        <v>0.477755722553383i</v>
      </c>
      <c r="AO237" s="170" t="str">
        <f t="shared" si="127"/>
        <v>0.962390045513016-0.234368623994807i</v>
      </c>
      <c r="AP237" s="170" t="str">
        <f t="shared" si="128"/>
        <v>0.14800484144992-0.0766312252620423i</v>
      </c>
      <c r="AQ237" s="170" t="str">
        <f t="shared" si="129"/>
        <v>0.85199515855008+0.0766312252620423i</v>
      </c>
      <c r="AR237" s="170" t="str">
        <f t="shared" si="130"/>
        <v>0.969859128923351-0.0872322954363418i</v>
      </c>
    </row>
    <row r="238" spans="7:44">
      <c r="G238" s="688">
        <v>14125</v>
      </c>
      <c r="H238" s="676">
        <f t="shared" si="122"/>
        <v>14.125</v>
      </c>
      <c r="I238" s="677">
        <f t="shared" si="102"/>
        <v>72.739870820076973</v>
      </c>
      <c r="J238" s="678">
        <f t="shared" si="103"/>
        <v>1.5570482751293158</v>
      </c>
      <c r="K238" s="678">
        <f t="shared" si="104"/>
        <v>1.0000347980416839</v>
      </c>
      <c r="L238" s="679">
        <f t="shared" si="105"/>
        <v>8.3423057516972855E-3</v>
      </c>
      <c r="M238" s="678">
        <f t="shared" si="106"/>
        <v>1.0043328559730631</v>
      </c>
      <c r="N238" s="679">
        <f t="shared" si="107"/>
        <v>-9.2922213697600606E-2</v>
      </c>
      <c r="O238" s="677">
        <f t="shared" si="108"/>
        <v>266249.97708937799</v>
      </c>
      <c r="P238" s="680">
        <f t="shared" si="109"/>
        <v>1.5707925709260289</v>
      </c>
      <c r="Q238" s="689">
        <f t="shared" si="131"/>
        <v>32.852720140966518</v>
      </c>
      <c r="R238" s="690">
        <f t="shared" si="132"/>
        <v>1.5403527446187952</v>
      </c>
      <c r="S238" s="677">
        <f t="shared" si="110"/>
        <v>1.0275695281970214</v>
      </c>
      <c r="T238" s="680">
        <f t="shared" si="111"/>
        <v>0.23216667009510342</v>
      </c>
      <c r="U238" s="681">
        <f t="shared" si="123"/>
        <v>0.96415773456181364</v>
      </c>
      <c r="V238" s="682">
        <f t="shared" si="124"/>
        <v>-0.33039265820405633</v>
      </c>
      <c r="W238" s="683">
        <f t="shared" si="112"/>
        <v>-6.9075373417251811</v>
      </c>
      <c r="X238" s="684">
        <f t="shared" si="113"/>
        <v>-128.03471538001281</v>
      </c>
      <c r="Y238" s="687">
        <f t="shared" si="114"/>
        <v>51.965284619987187</v>
      </c>
      <c r="AA238" s="170">
        <f t="shared" si="115"/>
        <v>14125</v>
      </c>
      <c r="AB238" s="170">
        <f t="shared" si="116"/>
        <v>199515625</v>
      </c>
      <c r="AD238" s="686">
        <f t="shared" si="117"/>
        <v>26.694860860739414</v>
      </c>
      <c r="AE238" s="687">
        <f t="shared" si="118"/>
        <v>-15.046243933764194</v>
      </c>
      <c r="AG238" s="686">
        <f t="shared" si="119"/>
        <v>12.212666392282699</v>
      </c>
      <c r="AH238" s="687">
        <f t="shared" si="120"/>
        <v>-75.128261608585461</v>
      </c>
      <c r="AJ238" s="170">
        <f t="shared" si="121"/>
        <v>0</v>
      </c>
      <c r="AK238" s="170">
        <f t="shared" si="133"/>
        <v>0</v>
      </c>
      <c r="AM238" s="170" t="str">
        <f t="shared" si="125"/>
        <v>0.113229403674476+0.462209811116634i</v>
      </c>
      <c r="AN238" s="170" t="str">
        <f t="shared" si="126"/>
        <v>0.480485560872677i</v>
      </c>
      <c r="AO238" s="170" t="str">
        <f t="shared" si="127"/>
        <v>0.961963997996423-0.235656204671009i</v>
      </c>
      <c r="AP238" s="170" t="str">
        <f t="shared" si="128"/>
        <v>0.147795099387587-0.077034968519439i</v>
      </c>
      <c r="AQ238" s="170" t="str">
        <f t="shared" si="129"/>
        <v>0.852204900612413+0.077034968519439i</v>
      </c>
      <c r="AR238" s="170" t="str">
        <f t="shared" si="130"/>
        <v>0.969542099003042-0.0876416516981975i</v>
      </c>
    </row>
    <row r="239" spans="7:44">
      <c r="G239" s="688">
        <v>14207.25</v>
      </c>
      <c r="H239" s="676">
        <f t="shared" si="122"/>
        <v>14.20725</v>
      </c>
      <c r="I239" s="677">
        <f t="shared" si="102"/>
        <v>73.163355910753623</v>
      </c>
      <c r="J239" s="678">
        <f t="shared" si="103"/>
        <v>1.5571278567517219</v>
      </c>
      <c r="K239" s="678">
        <f t="shared" si="104"/>
        <v>1.0000352044730514</v>
      </c>
      <c r="L239" s="679">
        <f t="shared" si="105"/>
        <v>8.3908807984284083E-3</v>
      </c>
      <c r="M239" s="678">
        <f t="shared" si="106"/>
        <v>1.0043833529725932</v>
      </c>
      <c r="N239" s="679">
        <f t="shared" si="107"/>
        <v>-9.3460164232860105E-2</v>
      </c>
      <c r="O239" s="677">
        <f t="shared" si="108"/>
        <v>267800.35306214209</v>
      </c>
      <c r="P239" s="680">
        <f t="shared" si="109"/>
        <v>1.5707925926698718</v>
      </c>
      <c r="Q239" s="689">
        <f t="shared" si="131"/>
        <v>33.04384508780479</v>
      </c>
      <c r="R239" s="690">
        <f t="shared" si="132"/>
        <v>1.5405288836442701</v>
      </c>
      <c r="S239" s="677">
        <f t="shared" si="110"/>
        <v>1.0278871693887446</v>
      </c>
      <c r="T239" s="680">
        <f t="shared" si="111"/>
        <v>0.23347011733222497</v>
      </c>
      <c r="U239" s="681">
        <f t="shared" si="123"/>
        <v>0.9637645695515582</v>
      </c>
      <c r="V239" s="682">
        <f t="shared" si="124"/>
        <v>-0.33224966264224737</v>
      </c>
      <c r="W239" s="683">
        <f t="shared" si="112"/>
        <v>-6.9637926257947678</v>
      </c>
      <c r="X239" s="684">
        <f t="shared" si="113"/>
        <v>-128.23830398683955</v>
      </c>
      <c r="Y239" s="687">
        <f t="shared" si="114"/>
        <v>51.761696013160446</v>
      </c>
      <c r="AA239" s="170">
        <f t="shared" si="115"/>
        <v>14207.25</v>
      </c>
      <c r="AB239" s="170">
        <f t="shared" si="116"/>
        <v>201845952.5625</v>
      </c>
      <c r="AD239" s="686">
        <f t="shared" si="117"/>
        <v>26.692129846841326</v>
      </c>
      <c r="AE239" s="687">
        <f t="shared" si="118"/>
        <v>-15.110835182406218</v>
      </c>
      <c r="AG239" s="686">
        <f t="shared" si="119"/>
        <v>12.166227444852023</v>
      </c>
      <c r="AH239" s="687">
        <f t="shared" si="120"/>
        <v>-75.054461932836233</v>
      </c>
      <c r="AJ239" s="170">
        <f t="shared" si="121"/>
        <v>0</v>
      </c>
      <c r="AK239" s="170">
        <f t="shared" si="133"/>
        <v>0</v>
      </c>
      <c r="AM239" s="170" t="str">
        <f t="shared" si="125"/>
        <v>0.114526076580722+0.464689069103707i</v>
      </c>
      <c r="AN239" s="170" t="str">
        <f t="shared" si="126"/>
        <v>0.483283432545723i</v>
      </c>
      <c r="AO239" s="170" t="str">
        <f t="shared" si="127"/>
        <v>0.96152493094152-0.23697496927931i</v>
      </c>
      <c r="AP239" s="170" t="str">
        <f t="shared" si="128"/>
        <v>0.147578987236546-0.0774481781839512i</v>
      </c>
      <c r="AQ239" s="170" t="str">
        <f t="shared" si="129"/>
        <v>0.852421012763454+0.0774481781839512i</v>
      </c>
      <c r="AR239" s="170" t="str">
        <f t="shared" si="130"/>
        <v>0.969215820305435-0.0880597714342712i</v>
      </c>
    </row>
    <row r="240" spans="7:44">
      <c r="G240" s="688">
        <v>14289.5</v>
      </c>
      <c r="H240" s="676">
        <f t="shared" si="122"/>
        <v>14.2895</v>
      </c>
      <c r="I240" s="677">
        <f t="shared" si="102"/>
        <v>73.586841459457759</v>
      </c>
      <c r="J240" s="678">
        <f t="shared" si="103"/>
        <v>1.5572065224046909</v>
      </c>
      <c r="K240" s="678">
        <f t="shared" si="104"/>
        <v>1.0000356132640353</v>
      </c>
      <c r="L240" s="679">
        <f t="shared" si="105"/>
        <v>8.4394558055614771E-3</v>
      </c>
      <c r="M240" s="678">
        <f t="shared" si="106"/>
        <v>1.0044341406021291</v>
      </c>
      <c r="N240" s="679">
        <f t="shared" si="107"/>
        <v>-9.3998060522526516E-2</v>
      </c>
      <c r="O240" s="677">
        <f t="shared" si="108"/>
        <v>269350.72903490631</v>
      </c>
      <c r="P240" s="680">
        <f t="shared" si="109"/>
        <v>1.570792614163401</v>
      </c>
      <c r="Q240" s="689">
        <f t="shared" si="131"/>
        <v>33.23497104803581</v>
      </c>
      <c r="R240" s="690">
        <f t="shared" si="132"/>
        <v>1.5407029968126185</v>
      </c>
      <c r="S240" s="677">
        <f t="shared" si="110"/>
        <v>1.0282065558540396</v>
      </c>
      <c r="T240" s="680">
        <f t="shared" si="111"/>
        <v>0.23477275701525677</v>
      </c>
      <c r="U240" s="681">
        <f t="shared" si="123"/>
        <v>0.96336957844067861</v>
      </c>
      <c r="V240" s="682">
        <f t="shared" si="124"/>
        <v>-0.33410556889891413</v>
      </c>
      <c r="W240" s="683">
        <f t="shared" si="112"/>
        <v>-7.019785464801064</v>
      </c>
      <c r="X240" s="684">
        <f t="shared" si="113"/>
        <v>-128.44184387482241</v>
      </c>
      <c r="Y240" s="687">
        <f t="shared" si="114"/>
        <v>51.55815612517759</v>
      </c>
      <c r="AA240" s="170">
        <f t="shared" si="115"/>
        <v>14289.5</v>
      </c>
      <c r="AB240" s="170">
        <f t="shared" si="116"/>
        <v>204189810.25</v>
      </c>
      <c r="AD240" s="686">
        <f t="shared" si="117"/>
        <v>26.689385718402377</v>
      </c>
      <c r="AE240" s="687">
        <f t="shared" si="118"/>
        <v>-15.175496220328581</v>
      </c>
      <c r="AG240" s="686">
        <f t="shared" si="119"/>
        <v>12.12009987683458</v>
      </c>
      <c r="AH240" s="687">
        <f t="shared" si="120"/>
        <v>-74.980669591295836</v>
      </c>
      <c r="AJ240" s="170">
        <f t="shared" si="121"/>
        <v>0</v>
      </c>
      <c r="AK240" s="170">
        <f t="shared" si="133"/>
        <v>0</v>
      </c>
      <c r="AM240" s="170" t="str">
        <f t="shared" si="125"/>
        <v>0.115829681048379+0.467164689467204i</v>
      </c>
      <c r="AN240" s="170" t="str">
        <f t="shared" si="126"/>
        <v>0.486081304218769i</v>
      </c>
      <c r="AO240" s="170" t="str">
        <f t="shared" si="127"/>
        <v>0.96108343483408-0.238292812422689i</v>
      </c>
      <c r="AP240" s="170" t="str">
        <f t="shared" si="128"/>
        <v>0.14736171982527-0.0778607815778673i</v>
      </c>
      <c r="AQ240" s="170" t="str">
        <f t="shared" si="129"/>
        <v>0.85263828017473+0.0778607815778673i</v>
      </c>
      <c r="AR240" s="170" t="str">
        <f t="shared" si="130"/>
        <v>0.968888185287938-0.0884764303012772i</v>
      </c>
    </row>
    <row r="241" spans="7:44">
      <c r="G241" s="688">
        <v>14371.75</v>
      </c>
      <c r="H241" s="676">
        <f t="shared" si="122"/>
        <v>14.37175</v>
      </c>
      <c r="I241" s="677">
        <f t="shared" si="102"/>
        <v>74.010327458326955</v>
      </c>
      <c r="J241" s="678">
        <f t="shared" si="103"/>
        <v>1.5572842878107314</v>
      </c>
      <c r="K241" s="678">
        <f t="shared" si="104"/>
        <v>1.0000360244146327</v>
      </c>
      <c r="L241" s="679">
        <f t="shared" si="105"/>
        <v>8.4880307728673124E-3</v>
      </c>
      <c r="M241" s="678">
        <f t="shared" si="106"/>
        <v>1.0044852188175875</v>
      </c>
      <c r="N241" s="679">
        <f t="shared" si="107"/>
        <v>-9.4535902263590016E-2</v>
      </c>
      <c r="O241" s="677">
        <f t="shared" si="108"/>
        <v>270901.1050076707</v>
      </c>
      <c r="P241" s="680">
        <f t="shared" si="109"/>
        <v>1.5707926354109136</v>
      </c>
      <c r="Q241" s="689">
        <f t="shared" si="131"/>
        <v>33.426098004276234</v>
      </c>
      <c r="R241" s="690">
        <f t="shared" si="132"/>
        <v>1.5408751188641141</v>
      </c>
      <c r="S241" s="677">
        <f t="shared" si="110"/>
        <v>1.0285276859670383</v>
      </c>
      <c r="T241" s="680">
        <f t="shared" si="111"/>
        <v>0.23607458547774934</v>
      </c>
      <c r="U241" s="681">
        <f t="shared" si="123"/>
        <v>0.96297276825188327</v>
      </c>
      <c r="V241" s="682">
        <f t="shared" si="124"/>
        <v>-0.33596037243200866</v>
      </c>
      <c r="W241" s="683">
        <f t="shared" si="112"/>
        <v>-7.0755191469371272</v>
      </c>
      <c r="X241" s="684">
        <f t="shared" si="113"/>
        <v>-128.64533346690953</v>
      </c>
      <c r="Y241" s="687">
        <f t="shared" si="114"/>
        <v>51.354666533090466</v>
      </c>
      <c r="AA241" s="170">
        <f t="shared" si="115"/>
        <v>14371.75</v>
      </c>
      <c r="AB241" s="170">
        <f t="shared" si="116"/>
        <v>206547198.0625</v>
      </c>
      <c r="AD241" s="686">
        <f t="shared" si="117"/>
        <v>26.686628484141465</v>
      </c>
      <c r="AE241" s="687">
        <f t="shared" si="118"/>
        <v>-15.240224847234341</v>
      </c>
      <c r="AG241" s="686">
        <f t="shared" si="119"/>
        <v>12.074280307510747</v>
      </c>
      <c r="AH241" s="687">
        <f t="shared" si="120"/>
        <v>-74.906885727689797</v>
      </c>
      <c r="AJ241" s="170">
        <f t="shared" si="121"/>
        <v>0</v>
      </c>
      <c r="AK241" s="170">
        <f t="shared" si="133"/>
        <v>0</v>
      </c>
      <c r="AM241" s="170" t="str">
        <f t="shared" si="125"/>
        <v>0.117140206872728+0.46963665282777i</v>
      </c>
      <c r="AN241" s="170" t="str">
        <f t="shared" si="126"/>
        <v>0.488879175891816i</v>
      </c>
      <c r="AO241" s="170" t="str">
        <f t="shared" si="127"/>
        <v>0.960639511738368-0.239609729048165i</v>
      </c>
      <c r="AP241" s="170" t="str">
        <f t="shared" si="128"/>
        <v>0.147143298854545-0.078272775471295i</v>
      </c>
      <c r="AQ241" s="170" t="str">
        <f t="shared" si="129"/>
        <v>0.852856701145455+0.078272775471295i</v>
      </c>
      <c r="AR241" s="170" t="str">
        <f t="shared" si="130"/>
        <v>0.968559202017447-0.088891623702255i</v>
      </c>
    </row>
    <row r="242" spans="7:44">
      <c r="G242" s="688">
        <v>14454</v>
      </c>
      <c r="H242" s="676">
        <f t="shared" si="122"/>
        <v>14.454000000000001</v>
      </c>
      <c r="I242" s="677">
        <f t="shared" si="102"/>
        <v>74.433813899677631</v>
      </c>
      <c r="J242" s="678">
        <f t="shared" si="103"/>
        <v>1.5573611683345872</v>
      </c>
      <c r="K242" s="678">
        <f t="shared" si="104"/>
        <v>1.0000364379248405</v>
      </c>
      <c r="L242" s="679">
        <f t="shared" si="105"/>
        <v>8.5366057001167363E-3</v>
      </c>
      <c r="M242" s="678">
        <f t="shared" si="106"/>
        <v>1.0045365875746417</v>
      </c>
      <c r="N242" s="679">
        <f t="shared" si="107"/>
        <v>-9.5073689153228405E-2</v>
      </c>
      <c r="O242" s="677">
        <f t="shared" si="108"/>
        <v>272451.48098043521</v>
      </c>
      <c r="P242" s="680">
        <f t="shared" si="109"/>
        <v>1.5707926564166097</v>
      </c>
      <c r="Q242" s="689">
        <f t="shared" si="131"/>
        <v>33.617225939537974</v>
      </c>
      <c r="R242" s="690">
        <f t="shared" si="132"/>
        <v>1.5410452837494568</v>
      </c>
      <c r="S242" s="677">
        <f t="shared" si="110"/>
        <v>1.0288505580950316</v>
      </c>
      <c r="T242" s="680">
        <f t="shared" si="111"/>
        <v>0.23737559906881692</v>
      </c>
      <c r="U242" s="681">
        <f t="shared" si="123"/>
        <v>0.96257414602474278</v>
      </c>
      <c r="V242" s="682">
        <f t="shared" si="124"/>
        <v>-0.33781406872659997</v>
      </c>
      <c r="W242" s="683">
        <f t="shared" si="112"/>
        <v>-7.1309969025491382</v>
      </c>
      <c r="X242" s="684">
        <f t="shared" si="113"/>
        <v>-128.84877121324061</v>
      </c>
      <c r="Y242" s="687">
        <f t="shared" si="114"/>
        <v>51.15122878675939</v>
      </c>
      <c r="AA242" s="170">
        <f t="shared" si="115"/>
        <v>14454</v>
      </c>
      <c r="AB242" s="170">
        <f t="shared" si="116"/>
        <v>208918116</v>
      </c>
      <c r="AD242" s="686">
        <f t="shared" si="117"/>
        <v>26.683858153393256</v>
      </c>
      <c r="AE242" s="687">
        <f t="shared" si="118"/>
        <v>-15.305018908951977</v>
      </c>
      <c r="AG242" s="686">
        <f t="shared" si="119"/>
        <v>12.028765413134806</v>
      </c>
      <c r="AH242" s="687">
        <f t="shared" si="120"/>
        <v>-74.833111463702252</v>
      </c>
      <c r="AJ242" s="170">
        <f t="shared" si="121"/>
        <v>0</v>
      </c>
      <c r="AK242" s="170">
        <f t="shared" si="133"/>
        <v>0</v>
      </c>
      <c r="AM242" s="170" t="str">
        <f t="shared" si="125"/>
        <v>0.118457643794866+0.472104939834673i</v>
      </c>
      <c r="AN242" s="170" t="str">
        <f t="shared" si="126"/>
        <v>0.491677047564862i</v>
      </c>
      <c r="AO242" s="170" t="str">
        <f t="shared" si="127"/>
        <v>0.960193163729883-0.24092571410757i</v>
      </c>
      <c r="AP242" s="170" t="str">
        <f t="shared" si="128"/>
        <v>0.146923726034189-0.0786841566391122i</v>
      </c>
      <c r="AQ242" s="170" t="str">
        <f t="shared" si="129"/>
        <v>0.853076273965811+0.0786841566391122i</v>
      </c>
      <c r="AR242" s="170" t="str">
        <f t="shared" si="130"/>
        <v>0.968228878574624-0.0893053470941227i</v>
      </c>
    </row>
    <row r="243" spans="7:44">
      <c r="G243" s="688">
        <v>14622.5</v>
      </c>
      <c r="H243" s="676">
        <f t="shared" si="122"/>
        <v>14.6225</v>
      </c>
      <c r="I243" s="677">
        <f t="shared" si="102"/>
        <v>75.301383217975996</v>
      </c>
      <c r="J243" s="678">
        <f t="shared" si="103"/>
        <v>1.5575159678887993</v>
      </c>
      <c r="K243" s="678">
        <f t="shared" si="104"/>
        <v>1.0000372924236673</v>
      </c>
      <c r="L243" s="679">
        <f t="shared" si="105"/>
        <v>8.6361177350554475E-3</v>
      </c>
      <c r="M243" s="678">
        <f t="shared" si="106"/>
        <v>1.0046427303698584</v>
      </c>
      <c r="N243" s="679">
        <f t="shared" si="107"/>
        <v>-9.6175244139027546E-2</v>
      </c>
      <c r="O243" s="677">
        <f t="shared" si="108"/>
        <v>275627.63114956405</v>
      </c>
      <c r="P243" s="680">
        <f t="shared" si="109"/>
        <v>1.570792698711617</v>
      </c>
      <c r="Q243" s="689">
        <f t="shared" si="131"/>
        <v>34.008779773325934</v>
      </c>
      <c r="R243" s="690">
        <f t="shared" si="132"/>
        <v>1.5413879162713113</v>
      </c>
      <c r="S243" s="677">
        <f t="shared" si="110"/>
        <v>1.0295174373222646</v>
      </c>
      <c r="T243" s="680">
        <f t="shared" si="111"/>
        <v>0.24003833747530867</v>
      </c>
      <c r="U243" s="681">
        <f t="shared" si="123"/>
        <v>0.96175188687519253</v>
      </c>
      <c r="V243" s="682">
        <f t="shared" si="124"/>
        <v>-0.34160813415334579</v>
      </c>
      <c r="W243" s="683">
        <f t="shared" si="112"/>
        <v>-7.2438645366141827</v>
      </c>
      <c r="X243" s="684">
        <f t="shared" si="113"/>
        <v>-129.26537204150631</v>
      </c>
      <c r="Y243" s="687">
        <f t="shared" si="114"/>
        <v>50.734627958493689</v>
      </c>
      <c r="AA243" s="170">
        <f t="shared" si="115"/>
        <v>14622.5</v>
      </c>
      <c r="AB243" s="170">
        <f t="shared" si="116"/>
        <v>213817506.25</v>
      </c>
      <c r="AD243" s="686">
        <f t="shared" si="117"/>
        <v>26.678141909835915</v>
      </c>
      <c r="AE243" s="687">
        <f t="shared" si="118"/>
        <v>-15.437953607642477</v>
      </c>
      <c r="AG243" s="686">
        <f t="shared" si="119"/>
        <v>11.936459849247843</v>
      </c>
      <c r="AH243" s="687">
        <f t="shared" si="120"/>
        <v>-74.682009720482583</v>
      </c>
      <c r="AJ243" s="170">
        <f t="shared" si="121"/>
        <v>0</v>
      </c>
      <c r="AK243" s="170">
        <f t="shared" si="133"/>
        <v>0</v>
      </c>
      <c r="AM243" s="170" t="str">
        <f t="shared" si="125"/>
        <v>0.121178125719128+0.477149990344184i</v>
      </c>
      <c r="AN243" s="170" t="str">
        <f t="shared" si="126"/>
        <v>0.497408857618458i</v>
      </c>
      <c r="AO243" s="170" t="str">
        <f t="shared" si="127"/>
        <v>0.959271197197269-0.243618753190919i</v>
      </c>
      <c r="AP243" s="170" t="str">
        <f t="shared" si="128"/>
        <v>0.146470312380145-0.0795249983906973i</v>
      </c>
      <c r="AQ243" s="170" t="str">
        <f t="shared" si="129"/>
        <v>0.853529687619855+0.0795249983906973i</v>
      </c>
      <c r="AR243" s="170" t="str">
        <f t="shared" si="130"/>
        <v>0.967548016411221-0.0901483048147871i</v>
      </c>
    </row>
    <row r="244" spans="7:44">
      <c r="G244" s="688">
        <v>14706.75</v>
      </c>
      <c r="H244" s="676">
        <f t="shared" si="122"/>
        <v>14.70675</v>
      </c>
      <c r="I244" s="677">
        <f t="shared" si="102"/>
        <v>75.735168542162953</v>
      </c>
      <c r="J244" s="678">
        <f t="shared" si="103"/>
        <v>1.5575920377081243</v>
      </c>
      <c r="K244" s="678">
        <f t="shared" si="104"/>
        <v>1.0000377233867064</v>
      </c>
      <c r="L244" s="679">
        <f t="shared" si="105"/>
        <v>8.6858736885061637E-3</v>
      </c>
      <c r="M244" s="678">
        <f t="shared" si="106"/>
        <v>1.0046962588412418</v>
      </c>
      <c r="N244" s="679">
        <f t="shared" si="107"/>
        <v>-9.6725934016125031E-2</v>
      </c>
      <c r="O244" s="677">
        <f t="shared" si="108"/>
        <v>277215.70623412868</v>
      </c>
      <c r="P244" s="680">
        <f t="shared" si="109"/>
        <v>1.5707927194956797</v>
      </c>
      <c r="Q244" s="689">
        <f t="shared" si="131"/>
        <v>34.204558161710118</v>
      </c>
      <c r="R244" s="690">
        <f t="shared" si="132"/>
        <v>1.5415562908294038</v>
      </c>
      <c r="S244" s="677">
        <f t="shared" si="110"/>
        <v>1.0298536115691976</v>
      </c>
      <c r="T244" s="680">
        <f t="shared" si="111"/>
        <v>0.24136840877633262</v>
      </c>
      <c r="U244" s="681">
        <f t="shared" si="123"/>
        <v>0.96133793557623004</v>
      </c>
      <c r="V244" s="682">
        <f t="shared" si="124"/>
        <v>-0.34350340523898831</v>
      </c>
      <c r="W244" s="683">
        <f t="shared" si="112"/>
        <v>-7.2999088800519685</v>
      </c>
      <c r="X244" s="684">
        <f t="shared" si="113"/>
        <v>-129.47358446650338</v>
      </c>
      <c r="Y244" s="687">
        <f t="shared" si="114"/>
        <v>50.526415533496618</v>
      </c>
      <c r="AA244" s="170">
        <f t="shared" si="115"/>
        <v>14706.75</v>
      </c>
      <c r="AB244" s="170">
        <f t="shared" si="116"/>
        <v>216288495.5625</v>
      </c>
      <c r="AD244" s="686">
        <f t="shared" si="117"/>
        <v>26.67526322086092</v>
      </c>
      <c r="AE244" s="687">
        <f t="shared" si="118"/>
        <v>-15.504515119001667</v>
      </c>
      <c r="AG244" s="686">
        <f t="shared" si="119"/>
        <v>11.890772858156627</v>
      </c>
      <c r="AH244" s="687">
        <f t="shared" si="120"/>
        <v>-74.606478565391299</v>
      </c>
      <c r="AJ244" s="170">
        <f t="shared" si="121"/>
        <v>0</v>
      </c>
      <c r="AK244" s="170">
        <f t="shared" si="133"/>
        <v>0</v>
      </c>
      <c r="AM244" s="170" t="str">
        <f t="shared" si="125"/>
        <v>0.122549199463493+0.479666647410306i</v>
      </c>
      <c r="AN244" s="170" t="str">
        <f t="shared" si="126"/>
        <v>0.500274762645256i</v>
      </c>
      <c r="AO244" s="170" t="str">
        <f t="shared" si="127"/>
        <v>0.958806406451562-0.244963785131797i</v>
      </c>
      <c r="AP244" s="170" t="str">
        <f t="shared" si="128"/>
        <v>0.146241800089418-0.079944441235051i</v>
      </c>
      <c r="AQ244" s="170" t="str">
        <f t="shared" si="129"/>
        <v>0.853758199910582+0.079944441235051i</v>
      </c>
      <c r="AR244" s="170" t="str">
        <f t="shared" si="130"/>
        <v>0.967205510654023-0.0905674512019872i</v>
      </c>
    </row>
    <row r="245" spans="7:44">
      <c r="G245" s="688">
        <v>14791</v>
      </c>
      <c r="H245" s="676">
        <f t="shared" si="122"/>
        <v>14.791</v>
      </c>
      <c r="I245" s="677">
        <f t="shared" si="102"/>
        <v>76.168954299608629</v>
      </c>
      <c r="J245" s="678">
        <f t="shared" si="103"/>
        <v>1.5576672410855219</v>
      </c>
      <c r="K245" s="678">
        <f t="shared" si="104"/>
        <v>1.0000381568254917</v>
      </c>
      <c r="L245" s="679">
        <f t="shared" si="105"/>
        <v>8.7356295989493831E-3</v>
      </c>
      <c r="M245" s="678">
        <f t="shared" si="106"/>
        <v>1.0047500919636321</v>
      </c>
      <c r="N245" s="679">
        <f t="shared" si="107"/>
        <v>-9.727656504978538E-2</v>
      </c>
      <c r="O245" s="677">
        <f t="shared" si="108"/>
        <v>278803.78131869342</v>
      </c>
      <c r="P245" s="680">
        <f t="shared" si="109"/>
        <v>1.5707927400429693</v>
      </c>
      <c r="Q245" s="689">
        <f t="shared" si="131"/>
        <v>34.400337508755783</v>
      </c>
      <c r="R245" s="690">
        <f t="shared" si="132"/>
        <v>1.5417227488841696</v>
      </c>
      <c r="S245" s="677">
        <f t="shared" si="110"/>
        <v>1.0301916065285786</v>
      </c>
      <c r="T245" s="680">
        <f t="shared" si="111"/>
        <v>0.24269760966292497</v>
      </c>
      <c r="U245" s="681">
        <f t="shared" si="123"/>
        <v>0.96092211330316601</v>
      </c>
      <c r="V245" s="682">
        <f t="shared" si="124"/>
        <v>-0.34539749558476285</v>
      </c>
      <c r="W245" s="683">
        <f t="shared" si="112"/>
        <v>-7.3556979050197544</v>
      </c>
      <c r="X245" s="684">
        <f t="shared" si="113"/>
        <v>-129.68173615051973</v>
      </c>
      <c r="Y245" s="687">
        <f t="shared" si="114"/>
        <v>50.318263849480275</v>
      </c>
      <c r="AA245" s="170">
        <f t="shared" si="115"/>
        <v>14791</v>
      </c>
      <c r="AB245" s="170">
        <f t="shared" si="116"/>
        <v>218773681</v>
      </c>
      <c r="AD245" s="686">
        <f t="shared" si="117"/>
        <v>26.672370836921413</v>
      </c>
      <c r="AE245" s="687">
        <f t="shared" si="118"/>
        <v>-15.571136553273524</v>
      </c>
      <c r="AG245" s="686">
        <f t="shared" si="119"/>
        <v>11.845391925382964</v>
      </c>
      <c r="AH245" s="687">
        <f t="shared" si="120"/>
        <v>-74.530962049229089</v>
      </c>
      <c r="AJ245" s="170">
        <f t="shared" si="121"/>
        <v>0</v>
      </c>
      <c r="AK245" s="170">
        <f t="shared" si="133"/>
        <v>0</v>
      </c>
      <c r="AM245" s="170" t="str">
        <f t="shared" si="125"/>
        <v>0.123927480067529+0.482179364779508i</v>
      </c>
      <c r="AN245" s="170" t="str">
        <f t="shared" si="126"/>
        <v>0.503140667672054i</v>
      </c>
      <c r="AO245" s="170" t="str">
        <f t="shared" si="127"/>
        <v>0.958339080421524-0.246307818131498i</v>
      </c>
      <c r="AP245" s="170" t="str">
        <f t="shared" si="128"/>
        <v>0.146012086655412-0.0803632274632513i</v>
      </c>
      <c r="AQ245" s="170" t="str">
        <f t="shared" si="129"/>
        <v>0.853987913344588+0.0803632274632513i</v>
      </c>
      <c r="AR245" s="170" t="str">
        <f t="shared" si="130"/>
        <v>0.966861633428794-0.0909850363905285i</v>
      </c>
    </row>
    <row r="246" spans="7:44">
      <c r="G246" s="688">
        <v>14877.25</v>
      </c>
      <c r="H246" s="676">
        <f t="shared" si="122"/>
        <v>14.87725</v>
      </c>
      <c r="I246" s="677">
        <f t="shared" si="102"/>
        <v>76.613038082925399</v>
      </c>
      <c r="J246" s="678">
        <f t="shared" si="103"/>
        <v>1.5577433475331512</v>
      </c>
      <c r="K246" s="678">
        <f t="shared" si="104"/>
        <v>1.0000386031182225</v>
      </c>
      <c r="L246" s="679">
        <f t="shared" si="105"/>
        <v>8.7865666137937407E-3</v>
      </c>
      <c r="M246" s="678">
        <f t="shared" si="106"/>
        <v>1.0048055185574742</v>
      </c>
      <c r="N246" s="679">
        <f t="shared" si="107"/>
        <v>-9.7840206149249723E-2</v>
      </c>
      <c r="O246" s="677">
        <f t="shared" si="108"/>
        <v>280429.55551505799</v>
      </c>
      <c r="P246" s="680">
        <f t="shared" si="109"/>
        <v>1.570792760836957</v>
      </c>
      <c r="Q246" s="689">
        <f t="shared" si="131"/>
        <v>34.60076541281768</v>
      </c>
      <c r="R246" s="690">
        <f t="shared" si="132"/>
        <v>1.5418912071354711</v>
      </c>
      <c r="S246" s="677">
        <f t="shared" si="110"/>
        <v>1.0305395092946235</v>
      </c>
      <c r="T246" s="680">
        <f t="shared" si="111"/>
        <v>0.24405745861895201</v>
      </c>
      <c r="U246" s="681">
        <f t="shared" si="123"/>
        <v>0.96049448974481944</v>
      </c>
      <c r="V246" s="682">
        <f t="shared" si="124"/>
        <v>-0.34733532147226409</v>
      </c>
      <c r="W246" s="683">
        <f t="shared" si="112"/>
        <v>-7.4125501330489429</v>
      </c>
      <c r="X246" s="684">
        <f t="shared" si="113"/>
        <v>-129.89476460451851</v>
      </c>
      <c r="Y246" s="687">
        <f t="shared" si="114"/>
        <v>50.105235395481486</v>
      </c>
      <c r="AA246" s="170">
        <f t="shared" si="115"/>
        <v>14877.25</v>
      </c>
      <c r="AB246" s="170">
        <f t="shared" si="116"/>
        <v>221332567.5625</v>
      </c>
      <c r="AD246" s="686">
        <f t="shared" si="117"/>
        <v>26.669395618260285</v>
      </c>
      <c r="AE246" s="687">
        <f t="shared" si="118"/>
        <v>-15.63939940389114</v>
      </c>
      <c r="AG246" s="686">
        <f t="shared" si="119"/>
        <v>11.799247317389739</v>
      </c>
      <c r="AH246" s="687">
        <f t="shared" si="120"/>
        <v>-74.453669162786511</v>
      </c>
      <c r="AJ246" s="170">
        <f t="shared" si="121"/>
        <v>0</v>
      </c>
      <c r="AK246" s="170">
        <f t="shared" si="133"/>
        <v>0</v>
      </c>
      <c r="AM246" s="170" t="str">
        <f t="shared" si="125"/>
        <v>0.125345933193543+0.48474762858515i</v>
      </c>
      <c r="AN246" s="170" t="str">
        <f t="shared" si="126"/>
        <v>0.506074606052604i</v>
      </c>
      <c r="AO246" s="170" t="str">
        <f t="shared" si="127"/>
        <v>0.957858036715564-0.247682716529179i</v>
      </c>
      <c r="AP246" s="170" t="str">
        <f t="shared" si="128"/>
        <v>0.145775677801076-0.0807912714308583i</v>
      </c>
      <c r="AQ246" s="170" t="str">
        <f t="shared" si="129"/>
        <v>0.854224322198924+0.0807912714308583i</v>
      </c>
      <c r="AR246" s="170" t="str">
        <f t="shared" si="130"/>
        <v>0.966508181394718-0.0914109125600641i</v>
      </c>
    </row>
    <row r="247" spans="7:44">
      <c r="G247" s="688">
        <v>14963.5</v>
      </c>
      <c r="H247" s="676">
        <f t="shared" si="122"/>
        <v>14.9635</v>
      </c>
      <c r="I247" s="677">
        <f t="shared" si="102"/>
        <v>77.057122304884757</v>
      </c>
      <c r="J247" s="678">
        <f t="shared" si="103"/>
        <v>1.5578185767703439</v>
      </c>
      <c r="K247" s="678">
        <f t="shared" si="104"/>
        <v>1.0000390520056304</v>
      </c>
      <c r="L247" s="679">
        <f t="shared" si="105"/>
        <v>8.8375035830420747E-3</v>
      </c>
      <c r="M247" s="678">
        <f t="shared" si="106"/>
        <v>1.0048612643340025</v>
      </c>
      <c r="N247" s="679">
        <f t="shared" si="107"/>
        <v>-9.8403784890529991E-2</v>
      </c>
      <c r="O247" s="677">
        <f t="shared" si="108"/>
        <v>282055.32971142273</v>
      </c>
      <c r="P247" s="680">
        <f t="shared" si="109"/>
        <v>1.5707927813912306</v>
      </c>
      <c r="Q247" s="689">
        <f t="shared" si="131"/>
        <v>34.801194287476356</v>
      </c>
      <c r="R247" s="690">
        <f t="shared" si="132"/>
        <v>1.5420577250041516</v>
      </c>
      <c r="S247" s="677">
        <f t="shared" si="110"/>
        <v>1.0308893164348876</v>
      </c>
      <c r="T247" s="680">
        <f t="shared" si="111"/>
        <v>0.24541638722334005</v>
      </c>
      <c r="U247" s="681">
        <f t="shared" si="123"/>
        <v>0.96006492157722567</v>
      </c>
      <c r="V247" s="682">
        <f t="shared" si="124"/>
        <v>-0.3492718999526932</v>
      </c>
      <c r="W247" s="683">
        <f t="shared" si="112"/>
        <v>-7.4691414539686738</v>
      </c>
      <c r="X247" s="684">
        <f t="shared" si="113"/>
        <v>-130.10772618638825</v>
      </c>
      <c r="Y247" s="687">
        <f t="shared" si="114"/>
        <v>49.892273813611752</v>
      </c>
      <c r="AA247" s="170">
        <f t="shared" si="115"/>
        <v>14963.5</v>
      </c>
      <c r="AB247" s="170">
        <f t="shared" si="116"/>
        <v>223906332.25</v>
      </c>
      <c r="AD247" s="686">
        <f t="shared" si="117"/>
        <v>26.666406075129437</v>
      </c>
      <c r="AE247" s="687">
        <f t="shared" si="118"/>
        <v>-15.707720684244482</v>
      </c>
      <c r="AG247" s="686">
        <f t="shared" si="119"/>
        <v>11.753416570761818</v>
      </c>
      <c r="AH247" s="687">
        <f t="shared" si="120"/>
        <v>-74.376393916800424</v>
      </c>
      <c r="AJ247" s="170">
        <f t="shared" si="121"/>
        <v>0</v>
      </c>
      <c r="AK247" s="170">
        <f t="shared" si="133"/>
        <v>0</v>
      </c>
      <c r="AM247" s="170" t="str">
        <f t="shared" si="125"/>
        <v>0.126771915331484+0.487311719688902i</v>
      </c>
      <c r="AN247" s="170" t="str">
        <f t="shared" si="126"/>
        <v>0.509008544433154i</v>
      </c>
      <c r="AO247" s="170" t="str">
        <f t="shared" si="127"/>
        <v>0.957374340801265-0.249056556550855i</v>
      </c>
      <c r="AP247" s="170" t="str">
        <f t="shared" si="128"/>
        <v>0.145538014111419-0.0812186199481503i</v>
      </c>
      <c r="AQ247" s="170" t="str">
        <f t="shared" si="129"/>
        <v>0.854461985888581+0.0812186199481503i</v>
      </c>
      <c r="AR247" s="170" t="str">
        <f t="shared" si="130"/>
        <v>0.966153310583536-0.0918351428616552i</v>
      </c>
    </row>
    <row r="248" spans="7:44">
      <c r="G248" s="688">
        <v>15049.75</v>
      </c>
      <c r="H248" s="676">
        <f t="shared" si="122"/>
        <v>15.04975</v>
      </c>
      <c r="I248" s="677">
        <f t="shared" si="102"/>
        <v>77.501206957946394</v>
      </c>
      <c r="J248" s="678">
        <f t="shared" si="103"/>
        <v>1.5578929438755811</v>
      </c>
      <c r="K248" s="678">
        <f t="shared" si="104"/>
        <v>1.0000395034877123</v>
      </c>
      <c r="L248" s="679">
        <f t="shared" si="105"/>
        <v>8.8884405064301262E-3</v>
      </c>
      <c r="M248" s="678">
        <f t="shared" si="106"/>
        <v>1.0049173292400988</v>
      </c>
      <c r="N248" s="679">
        <f t="shared" si="107"/>
        <v>-9.8967300926024807E-2</v>
      </c>
      <c r="O248" s="677">
        <f t="shared" si="108"/>
        <v>283681.10390778753</v>
      </c>
      <c r="P248" s="680">
        <f t="shared" si="109"/>
        <v>1.5707928017099113</v>
      </c>
      <c r="Q248" s="689">
        <f t="shared" si="131"/>
        <v>35.001624116058096</v>
      </c>
      <c r="R248" s="690">
        <f t="shared" si="132"/>
        <v>1.5422223358145397</v>
      </c>
      <c r="S248" s="677">
        <f t="shared" si="110"/>
        <v>1.0312410260114231</v>
      </c>
      <c r="T248" s="680">
        <f t="shared" si="111"/>
        <v>0.24677439139619847</v>
      </c>
      <c r="U248" s="681">
        <f t="shared" si="123"/>
        <v>0.95963341704658212</v>
      </c>
      <c r="V248" s="682">
        <f t="shared" si="124"/>
        <v>-0.35120722604550664</v>
      </c>
      <c r="W248" s="683">
        <f t="shared" si="112"/>
        <v>-7.5254751563870883</v>
      </c>
      <c r="X248" s="684">
        <f t="shared" si="113"/>
        <v>-130.32061931192936</v>
      </c>
      <c r="Y248" s="687">
        <f t="shared" si="114"/>
        <v>49.679380688070637</v>
      </c>
      <c r="AA248" s="170">
        <f t="shared" si="115"/>
        <v>15049.75</v>
      </c>
      <c r="AB248" s="170">
        <f t="shared" si="116"/>
        <v>226494975.0625</v>
      </c>
      <c r="AD248" s="686">
        <f t="shared" si="117"/>
        <v>26.663402222810355</v>
      </c>
      <c r="AE248" s="687">
        <f t="shared" si="118"/>
        <v>-15.776098251465731</v>
      </c>
      <c r="AG248" s="686">
        <f t="shared" si="119"/>
        <v>11.707896282652948</v>
      </c>
      <c r="AH248" s="687">
        <f t="shared" si="120"/>
        <v>-74.299137440667366</v>
      </c>
      <c r="AJ248" s="170">
        <f t="shared" si="121"/>
        <v>0</v>
      </c>
      <c r="AK248" s="170">
        <f t="shared" si="133"/>
        <v>0</v>
      </c>
      <c r="AM248" s="170" t="str">
        <f t="shared" si="125"/>
        <v>0.128205414206514+0.4898716160191i</v>
      </c>
      <c r="AN248" s="170" t="str">
        <f t="shared" si="126"/>
        <v>0.511942482813704i</v>
      </c>
      <c r="AO248" s="170" t="str">
        <f t="shared" si="127"/>
        <v>0.956887995164418-0.250429332416173i</v>
      </c>
      <c r="AP248" s="170" t="str">
        <f t="shared" si="128"/>
        <v>0.145299097632248-0.0816452693365167i</v>
      </c>
      <c r="AQ248" s="170" t="str">
        <f t="shared" si="129"/>
        <v>0.854700902367752+0.0816452693365167i</v>
      </c>
      <c r="AR248" s="170" t="str">
        <f t="shared" si="130"/>
        <v>0.965797030412884-0.0922577225015494i</v>
      </c>
    </row>
    <row r="249" spans="7:44">
      <c r="G249" s="688">
        <v>15136</v>
      </c>
      <c r="H249" s="676">
        <f t="shared" si="122"/>
        <v>15.135999999999999</v>
      </c>
      <c r="I249" s="677">
        <f t="shared" si="102"/>
        <v>77.945292034741826</v>
      </c>
      <c r="J249" s="678">
        <f t="shared" si="103"/>
        <v>1.5579664635837511</v>
      </c>
      <c r="K249" s="678">
        <f t="shared" si="104"/>
        <v>1.0000399575644645</v>
      </c>
      <c r="L249" s="679">
        <f t="shared" si="105"/>
        <v>8.9393773836936412E-3</v>
      </c>
      <c r="M249" s="678">
        <f t="shared" si="106"/>
        <v>1.0049737132223528</v>
      </c>
      <c r="N249" s="679">
        <f t="shared" si="107"/>
        <v>-9.9530753908369435E-2</v>
      </c>
      <c r="O249" s="677">
        <f t="shared" si="108"/>
        <v>285306.87810415257</v>
      </c>
      <c r="P249" s="680">
        <f t="shared" si="109"/>
        <v>1.5707928217970268</v>
      </c>
      <c r="Q249" s="689">
        <f t="shared" si="131"/>
        <v>35.202054882268854</v>
      </c>
      <c r="R249" s="690">
        <f t="shared" si="132"/>
        <v>1.5423850721324255</v>
      </c>
      <c r="S249" s="677">
        <f t="shared" si="110"/>
        <v>1.0315946360783932</v>
      </c>
      <c r="T249" s="680">
        <f t="shared" si="111"/>
        <v>0.24813146707682376</v>
      </c>
      <c r="U249" s="681">
        <f t="shared" si="123"/>
        <v>0.95919998441636511</v>
      </c>
      <c r="V249" s="682">
        <f t="shared" si="124"/>
        <v>-0.35314129480335138</v>
      </c>
      <c r="W249" s="683">
        <f t="shared" si="112"/>
        <v>-7.5815544707557105</v>
      </c>
      <c r="X249" s="684">
        <f t="shared" si="113"/>
        <v>-130.53344242372626</v>
      </c>
      <c r="Y249" s="687">
        <f t="shared" si="114"/>
        <v>49.466557576273743</v>
      </c>
      <c r="AA249" s="170">
        <f t="shared" si="115"/>
        <v>15136</v>
      </c>
      <c r="AB249" s="170">
        <f t="shared" si="116"/>
        <v>229098496</v>
      </c>
      <c r="AD249" s="686">
        <f t="shared" si="117"/>
        <v>26.660384077170033</v>
      </c>
      <c r="AE249" s="687">
        <f t="shared" si="118"/>
        <v>-15.844530007242192</v>
      </c>
      <c r="AG249" s="686">
        <f t="shared" si="119"/>
        <v>11.662683107508172</v>
      </c>
      <c r="AH249" s="687">
        <f t="shared" si="120"/>
        <v>-74.221900842209308</v>
      </c>
      <c r="AJ249" s="170">
        <f t="shared" si="121"/>
        <v>0</v>
      </c>
      <c r="AK249" s="170">
        <f t="shared" si="133"/>
        <v>0</v>
      </c>
      <c r="AM249" s="170" t="str">
        <f t="shared" si="125"/>
        <v>0.129646417479091+0.492427295540184i</v>
      </c>
      <c r="AN249" s="170" t="str">
        <f t="shared" si="126"/>
        <v>0.514876421194254i</v>
      </c>
      <c r="AO249" s="170" t="str">
        <f t="shared" si="127"/>
        <v>0.956399002304282-0.251801038350866i</v>
      </c>
      <c r="AP249" s="170" t="str">
        <f t="shared" si="128"/>
        <v>0.145058930420151-0.082071215923364i</v>
      </c>
      <c r="AQ249" s="170" t="str">
        <f t="shared" si="129"/>
        <v>0.854941069579849+0.082071215923364i</v>
      </c>
      <c r="AR249" s="170" t="str">
        <f t="shared" si="130"/>
        <v>0.965439350312941-0.0926786467509212i</v>
      </c>
    </row>
    <row r="250" spans="7:44">
      <c r="G250" s="688">
        <v>15224</v>
      </c>
      <c r="H250" s="676">
        <f t="shared" si="122"/>
        <v>15.224</v>
      </c>
      <c r="I250" s="677">
        <f t="shared" si="102"/>
        <v>78.398387962631062</v>
      </c>
      <c r="J250" s="678">
        <f t="shared" si="103"/>
        <v>1.5580406165752514</v>
      </c>
      <c r="K250" s="678">
        <f t="shared" si="104"/>
        <v>1.0000404235285372</v>
      </c>
      <c r="L250" s="679">
        <f t="shared" si="105"/>
        <v>8.991347715002658E-3</v>
      </c>
      <c r="M250" s="678">
        <f t="shared" si="106"/>
        <v>1.0050315700245613</v>
      </c>
      <c r="N250" s="679">
        <f t="shared" si="107"/>
        <v>-0.10010557392474666</v>
      </c>
      <c r="O250" s="677">
        <f t="shared" si="108"/>
        <v>286965.6390233424</v>
      </c>
      <c r="P250" s="680">
        <f t="shared" si="109"/>
        <v>1.57079284205713</v>
      </c>
      <c r="Q250" s="689">
        <f t="shared" si="131"/>
        <v>35.406553309514457</v>
      </c>
      <c r="R250" s="690">
        <f t="shared" si="132"/>
        <v>1.5425492114405259</v>
      </c>
      <c r="S250" s="677">
        <f t="shared" si="110"/>
        <v>1.0319573775378186</v>
      </c>
      <c r="T250" s="680">
        <f t="shared" si="111"/>
        <v>0.24951511649114305</v>
      </c>
      <c r="U250" s="681">
        <f t="shared" si="123"/>
        <v>0.95875577891504804</v>
      </c>
      <c r="V250" s="682">
        <f t="shared" si="124"/>
        <v>-0.35511330457673934</v>
      </c>
      <c r="W250" s="683">
        <f t="shared" si="112"/>
        <v>-7.6385127363156116</v>
      </c>
      <c r="X250" s="684">
        <f t="shared" si="113"/>
        <v>-130.75050993785163</v>
      </c>
      <c r="Y250" s="687">
        <f t="shared" si="114"/>
        <v>49.249490062148368</v>
      </c>
      <c r="AA250" s="170">
        <f t="shared" si="115"/>
        <v>15224</v>
      </c>
      <c r="AB250" s="170">
        <f t="shared" si="116"/>
        <v>231770176</v>
      </c>
      <c r="AD250" s="686">
        <f t="shared" si="117"/>
        <v>26.65728997957104</v>
      </c>
      <c r="AE250" s="687">
        <f t="shared" si="118"/>
        <v>-15.914403950300331</v>
      </c>
      <c r="AG250" s="686">
        <f t="shared" si="119"/>
        <v>11.616865673687457</v>
      </c>
      <c r="AH250" s="687">
        <f t="shared" si="120"/>
        <v>-74.143118738670992</v>
      </c>
      <c r="AJ250" s="170">
        <f t="shared" si="121"/>
        <v>0</v>
      </c>
      <c r="AK250" s="170">
        <f t="shared" si="133"/>
        <v>0</v>
      </c>
      <c r="AM250" s="170" t="str">
        <f t="shared" si="125"/>
        <v>0.13112437996517+0.495030460587113i</v>
      </c>
      <c r="AN250" s="170" t="str">
        <f t="shared" si="126"/>
        <v>0.517869888759337i</v>
      </c>
      <c r="AO250" s="170" t="str">
        <f t="shared" si="127"/>
        <v>0.955897362121322-0.25319946730115i</v>
      </c>
      <c r="AP250" s="170" t="str">
        <f t="shared" si="128"/>
        <v>0.144812603339138-0.0825050767645188i</v>
      </c>
      <c r="AQ250" s="170" t="str">
        <f t="shared" si="129"/>
        <v>0.855187396660862+0.0825050767645188i</v>
      </c>
      <c r="AR250" s="170" t="str">
        <f t="shared" si="130"/>
        <v>0.965072979909016-0.0931064005405733i</v>
      </c>
    </row>
    <row r="251" spans="7:44">
      <c r="G251" s="688">
        <v>15312</v>
      </c>
      <c r="H251" s="676">
        <f t="shared" si="122"/>
        <v>15.311999999999999</v>
      </c>
      <c r="I251" s="677">
        <f t="shared" si="102"/>
        <v>78.851484316652659</v>
      </c>
      <c r="J251" s="678">
        <f t="shared" si="103"/>
        <v>1.5581139173713963</v>
      </c>
      <c r="K251" s="678">
        <f t="shared" si="104"/>
        <v>1.0000408921936319</v>
      </c>
      <c r="L251" s="679">
        <f t="shared" si="105"/>
        <v>9.0433179977406769E-3</v>
      </c>
      <c r="M251" s="678">
        <f t="shared" si="106"/>
        <v>1.0050897588690471</v>
      </c>
      <c r="N251" s="679">
        <f t="shared" si="107"/>
        <v>-0.10068032757355094</v>
      </c>
      <c r="O251" s="677">
        <f t="shared" si="108"/>
        <v>288624.39994253241</v>
      </c>
      <c r="P251" s="680">
        <f t="shared" si="109"/>
        <v>1.5707928620843585</v>
      </c>
      <c r="Q251" s="689">
        <f t="shared" si="131"/>
        <v>35.611052679717417</v>
      </c>
      <c r="R251" s="690">
        <f t="shared" si="132"/>
        <v>1.5427114655862673</v>
      </c>
      <c r="S251" s="677">
        <f t="shared" si="110"/>
        <v>1.0323220932742467</v>
      </c>
      <c r="T251" s="680">
        <f t="shared" si="111"/>
        <v>0.25089779087415071</v>
      </c>
      <c r="U251" s="681">
        <f t="shared" si="123"/>
        <v>0.95830958371091612</v>
      </c>
      <c r="V251" s="682">
        <f t="shared" si="124"/>
        <v>-0.35708399517617617</v>
      </c>
      <c r="W251" s="683">
        <f t="shared" si="112"/>
        <v>-7.6952128007769991</v>
      </c>
      <c r="X251" s="684">
        <f t="shared" si="113"/>
        <v>-130.9675013752061</v>
      </c>
      <c r="Y251" s="687">
        <f t="shared" si="114"/>
        <v>49.032498624793902</v>
      </c>
      <c r="AA251" s="170">
        <f t="shared" si="115"/>
        <v>15312</v>
      </c>
      <c r="AB251" s="170">
        <f t="shared" si="116"/>
        <v>234457344</v>
      </c>
      <c r="AD251" s="686">
        <f t="shared" si="117"/>
        <v>26.654181037906941</v>
      </c>
      <c r="AE251" s="687">
        <f t="shared" si="118"/>
        <v>-15.984330026683619</v>
      </c>
      <c r="AG251" s="686">
        <f t="shared" si="119"/>
        <v>11.571361082409993</v>
      </c>
      <c r="AH251" s="687">
        <f t="shared" si="120"/>
        <v>-74.064359591236453</v>
      </c>
      <c r="AJ251" s="170">
        <f t="shared" si="121"/>
        <v>0</v>
      </c>
      <c r="AK251" s="170">
        <f t="shared" si="133"/>
        <v>0</v>
      </c>
      <c r="AM251" s="170" t="str">
        <f t="shared" si="125"/>
        <v>0.132610128307851+0.49762918974461i</v>
      </c>
      <c r="AN251" s="170" t="str">
        <f t="shared" si="126"/>
        <v>0.52086335632442i</v>
      </c>
      <c r="AO251" s="170" t="str">
        <f t="shared" si="127"/>
        <v>0.955392971500689-0.254596770338466i</v>
      </c>
      <c r="AP251" s="170" t="str">
        <f t="shared" si="128"/>
        <v>0.144564978615358-0.0829381982907683i</v>
      </c>
      <c r="AQ251" s="170" t="str">
        <f t="shared" si="129"/>
        <v>0.855435021384642+0.0829381982907683i</v>
      </c>
      <c r="AR251" s="170" t="str">
        <f t="shared" si="130"/>
        <v>0.964705172061096-0.093532421343966i</v>
      </c>
    </row>
    <row r="252" spans="7:44">
      <c r="G252" s="688">
        <v>15400</v>
      </c>
      <c r="H252" s="676">
        <f t="shared" si="122"/>
        <v>15.4</v>
      </c>
      <c r="I252" s="677">
        <f t="shared" si="102"/>
        <v>79.304581089502648</v>
      </c>
      <c r="J252" s="678">
        <f t="shared" si="103"/>
        <v>1.5581863805781249</v>
      </c>
      <c r="K252" s="678">
        <f t="shared" si="104"/>
        <v>1.0000413635597445</v>
      </c>
      <c r="L252" s="679">
        <f t="shared" si="105"/>
        <v>9.0952882316270266E-3</v>
      </c>
      <c r="M252" s="678">
        <f t="shared" si="106"/>
        <v>1.0051482796981435</v>
      </c>
      <c r="N252" s="679">
        <f t="shared" si="107"/>
        <v>-0.10125501448661138</v>
      </c>
      <c r="O252" s="677">
        <f t="shared" si="108"/>
        <v>290283.16086172243</v>
      </c>
      <c r="P252" s="680">
        <f t="shared" si="109"/>
        <v>1.5707928818827046</v>
      </c>
      <c r="Q252" s="689">
        <f t="shared" si="131"/>
        <v>35.815552976725485</v>
      </c>
      <c r="R252" s="690">
        <f t="shared" si="132"/>
        <v>1.5428718668528356</v>
      </c>
      <c r="S252" s="677">
        <f t="shared" si="110"/>
        <v>1.0326887811959051</v>
      </c>
      <c r="T252" s="680">
        <f t="shared" si="111"/>
        <v>0.25227948597495459</v>
      </c>
      <c r="U252" s="681">
        <f t="shared" si="123"/>
        <v>0.95786140763379324</v>
      </c>
      <c r="V252" s="682">
        <f t="shared" si="124"/>
        <v>-0.35905336145413047</v>
      </c>
      <c r="W252" s="683">
        <f t="shared" si="112"/>
        <v>-7.7516579164855521</v>
      </c>
      <c r="X252" s="684">
        <f t="shared" si="113"/>
        <v>-131.18441516361813</v>
      </c>
      <c r="Y252" s="687">
        <f t="shared" si="114"/>
        <v>48.815584836381873</v>
      </c>
      <c r="AA252" s="170">
        <f t="shared" si="115"/>
        <v>15400</v>
      </c>
      <c r="AB252" s="170">
        <f t="shared" si="116"/>
        <v>237160000</v>
      </c>
      <c r="AD252" s="686">
        <f t="shared" si="117"/>
        <v>26.651057270806426</v>
      </c>
      <c r="AE252" s="687">
        <f t="shared" si="118"/>
        <v>-16.054306143372294</v>
      </c>
      <c r="AG252" s="686">
        <f t="shared" si="119"/>
        <v>11.526165956425888</v>
      </c>
      <c r="AH252" s="687">
        <f t="shared" si="120"/>
        <v>-73.985624510617612</v>
      </c>
      <c r="AJ252" s="170">
        <f t="shared" si="121"/>
        <v>0</v>
      </c>
      <c r="AK252" s="170">
        <f t="shared" si="133"/>
        <v>0</v>
      </c>
      <c r="AM252" s="170" t="str">
        <f t="shared" si="125"/>
        <v>0.13410364919358+0.500223459725876i</v>
      </c>
      <c r="AN252" s="170" t="str">
        <f t="shared" si="126"/>
        <v>0.523856823889503i</v>
      </c>
      <c r="AO252" s="170" t="str">
        <f t="shared" si="127"/>
        <v>0.954885833140141-0.255992941349689i</v>
      </c>
      <c r="AP252" s="170" t="str">
        <f t="shared" si="128"/>
        <v>0.144316058467737-0.0833705766209793i</v>
      </c>
      <c r="AQ252" s="170" t="str">
        <f t="shared" si="129"/>
        <v>0.855683941532263+0.0833705766209793i</v>
      </c>
      <c r="AR252" s="170" t="str">
        <f t="shared" si="130"/>
        <v>0.964335936822129-0.0939567043471995i</v>
      </c>
    </row>
    <row r="253" spans="7:44">
      <c r="G253" s="688">
        <v>15488</v>
      </c>
      <c r="H253" s="676">
        <f t="shared" si="122"/>
        <v>15.488</v>
      </c>
      <c r="I253" s="677">
        <f t="shared" si="102"/>
        <v>79.757678274043016</v>
      </c>
      <c r="J253" s="678">
        <f t="shared" si="103"/>
        <v>1.5582580204695111</v>
      </c>
      <c r="K253" s="678">
        <f t="shared" si="104"/>
        <v>1.0000418376268718</v>
      </c>
      <c r="L253" s="679">
        <f t="shared" si="105"/>
        <v>9.1472584163810444E-3</v>
      </c>
      <c r="M253" s="678">
        <f t="shared" si="106"/>
        <v>1.0052071324538681</v>
      </c>
      <c r="N253" s="679">
        <f t="shared" si="107"/>
        <v>-0.10182963429601886</v>
      </c>
      <c r="O253" s="677">
        <f t="shared" si="108"/>
        <v>291941.92178091273</v>
      </c>
      <c r="P253" s="680">
        <f t="shared" si="109"/>
        <v>1.5707929014560693</v>
      </c>
      <c r="Q253" s="689">
        <f t="shared" si="131"/>
        <v>36.020054184753107</v>
      </c>
      <c r="R253" s="690">
        <f t="shared" si="132"/>
        <v>1.5430304467906613</v>
      </c>
      <c r="S253" s="677">
        <f t="shared" si="110"/>
        <v>1.0330574392026888</v>
      </c>
      <c r="T253" s="680">
        <f t="shared" si="111"/>
        <v>0.25366019756363806</v>
      </c>
      <c r="U253" s="681">
        <f t="shared" si="123"/>
        <v>0.95741125953051254</v>
      </c>
      <c r="V253" s="682">
        <f t="shared" si="124"/>
        <v>-0.36102139829920993</v>
      </c>
      <c r="W253" s="683">
        <f t="shared" si="112"/>
        <v>-7.807851278315904</v>
      </c>
      <c r="X253" s="684">
        <f t="shared" si="113"/>
        <v>-131.40124975716788</v>
      </c>
      <c r="Y253" s="687">
        <f t="shared" si="114"/>
        <v>48.598750242832125</v>
      </c>
      <c r="AA253" s="170">
        <f t="shared" si="115"/>
        <v>15488</v>
      </c>
      <c r="AB253" s="170">
        <f t="shared" si="116"/>
        <v>239878144</v>
      </c>
      <c r="AD253" s="686">
        <f t="shared" si="117"/>
        <v>26.647918697461776</v>
      </c>
      <c r="AE253" s="687">
        <f t="shared" si="118"/>
        <v>-16.124330250527006</v>
      </c>
      <c r="AG253" s="686">
        <f t="shared" si="119"/>
        <v>11.481276975106766</v>
      </c>
      <c r="AH253" s="687">
        <f t="shared" si="120"/>
        <v>-73.906914586456324</v>
      </c>
      <c r="AJ253" s="170">
        <f t="shared" si="121"/>
        <v>0</v>
      </c>
      <c r="AK253" s="170">
        <f t="shared" si="133"/>
        <v>0</v>
      </c>
      <c r="AM253" s="170" t="str">
        <f t="shared" si="125"/>
        <v>0.135604929239153+0.502813247284069i</v>
      </c>
      <c r="AN253" s="170" t="str">
        <f t="shared" si="126"/>
        <v>0.526850291454586i</v>
      </c>
      <c r="AO253" s="170" t="str">
        <f t="shared" si="127"/>
        <v>0.954375949751963-0.257387974228428i</v>
      </c>
      <c r="AP253" s="170" t="str">
        <f t="shared" si="128"/>
        <v>0.144065845126808-0.0838022078806782i</v>
      </c>
      <c r="AQ253" s="170" t="str">
        <f t="shared" si="129"/>
        <v>0.855934154873192+0.0838022078806782i</v>
      </c>
      <c r="AR253" s="170" t="str">
        <f t="shared" si="130"/>
        <v>0.963965284256408-0.0943792448064894i</v>
      </c>
    </row>
    <row r="254" spans="7:44">
      <c r="G254" s="688">
        <v>15578.25</v>
      </c>
      <c r="H254" s="676">
        <f t="shared" si="122"/>
        <v>15.578250000000001</v>
      </c>
      <c r="I254" s="677">
        <f t="shared" si="102"/>
        <v>80.222360750085997</v>
      </c>
      <c r="J254" s="678">
        <f t="shared" si="103"/>
        <v>1.5583306515148054</v>
      </c>
      <c r="K254" s="678">
        <f t="shared" si="104"/>
        <v>1.0000423266205167</v>
      </c>
      <c r="L254" s="679">
        <f t="shared" si="105"/>
        <v>9.2005573329412508E-3</v>
      </c>
      <c r="M254" s="678">
        <f t="shared" si="106"/>
        <v>1.0052678346717456</v>
      </c>
      <c r="N254" s="679">
        <f t="shared" si="107"/>
        <v>-0.10241887600490623</v>
      </c>
      <c r="O254" s="677">
        <f t="shared" si="108"/>
        <v>293643.09420087776</v>
      </c>
      <c r="P254" s="680">
        <f t="shared" si="109"/>
        <v>1.5707929213002001</v>
      </c>
      <c r="Q254" s="689">
        <f t="shared" si="131"/>
        <v>36.229785046946439</v>
      </c>
      <c r="R254" s="690">
        <f t="shared" si="132"/>
        <v>1.543191221852477</v>
      </c>
      <c r="S254" s="677">
        <f t="shared" si="110"/>
        <v>1.0334375672020857</v>
      </c>
      <c r="T254" s="680">
        <f t="shared" si="111"/>
        <v>0.25507518547492525</v>
      </c>
      <c r="U254" s="681">
        <f t="shared" si="123"/>
        <v>0.95694756294105809</v>
      </c>
      <c r="V254" s="682">
        <f t="shared" si="124"/>
        <v>-0.36303836809778223</v>
      </c>
      <c r="W254" s="683">
        <f t="shared" si="112"/>
        <v>-7.8652231982630756</v>
      </c>
      <c r="X254" s="684">
        <f t="shared" si="113"/>
        <v>-131.62354456657397</v>
      </c>
      <c r="Y254" s="687">
        <f t="shared" si="114"/>
        <v>48.376455433426031</v>
      </c>
      <c r="AA254" s="170">
        <f t="shared" si="115"/>
        <v>15578.25</v>
      </c>
      <c r="AB254" s="170">
        <f t="shared" si="116"/>
        <v>242681873.0625</v>
      </c>
      <c r="AD254" s="686">
        <f t="shared" si="117"/>
        <v>26.644684518247782</v>
      </c>
      <c r="AE254" s="687">
        <f t="shared" si="118"/>
        <v>-16.196192490479856</v>
      </c>
      <c r="AG254" s="686">
        <f t="shared" si="119"/>
        <v>11.43555483009794</v>
      </c>
      <c r="AH254" s="687">
        <f t="shared" si="120"/>
        <v>-73.826219441918369</v>
      </c>
      <c r="AJ254" s="170">
        <f t="shared" si="121"/>
        <v>0</v>
      </c>
      <c r="AK254" s="170">
        <f t="shared" si="133"/>
        <v>0</v>
      </c>
      <c r="AM254" s="170" t="str">
        <f t="shared" si="125"/>
        <v>0.137152639470728+0.505464570892628i</v>
      </c>
      <c r="AN254" s="170" t="str">
        <f t="shared" si="126"/>
        <v>0.529920296542639i</v>
      </c>
      <c r="AO254" s="170" t="str">
        <f t="shared" si="127"/>
        <v>0.953850181226181-0.258817487017488i</v>
      </c>
      <c r="AP254" s="170" t="str">
        <f t="shared" si="128"/>
        <v>0.143807893421545-0.0842440951487713i</v>
      </c>
      <c r="AQ254" s="170" t="str">
        <f t="shared" si="129"/>
        <v>0.856192106578455+0.0842440951487713i</v>
      </c>
      <c r="AR254" s="170" t="str">
        <f t="shared" si="130"/>
        <v>0.963583693184789-0.0948107740176012i</v>
      </c>
    </row>
    <row r="255" spans="7:44">
      <c r="G255" s="688">
        <v>15668.5</v>
      </c>
      <c r="H255" s="676">
        <f t="shared" si="122"/>
        <v>15.6685</v>
      </c>
      <c r="I255" s="677">
        <f t="shared" si="102"/>
        <v>80.687043644449091</v>
      </c>
      <c r="J255" s="678">
        <f t="shared" si="103"/>
        <v>1.5584024459849153</v>
      </c>
      <c r="K255" s="678">
        <f t="shared" si="104"/>
        <v>1.0000428184550536</v>
      </c>
      <c r="L255" s="679">
        <f t="shared" si="105"/>
        <v>9.2538561972266113E-3</v>
      </c>
      <c r="M255" s="678">
        <f t="shared" si="106"/>
        <v>1.0053288858822169</v>
      </c>
      <c r="N255" s="679">
        <f t="shared" si="107"/>
        <v>-0.10300804635186667</v>
      </c>
      <c r="O255" s="677">
        <f t="shared" si="108"/>
        <v>295344.26662084291</v>
      </c>
      <c r="P255" s="680">
        <f t="shared" si="109"/>
        <v>1.5707929409157277</v>
      </c>
      <c r="Q255" s="689">
        <f t="shared" si="131"/>
        <v>36.439516834849627</v>
      </c>
      <c r="R255" s="690">
        <f t="shared" si="132"/>
        <v>1.5433501462000152</v>
      </c>
      <c r="S255" s="677">
        <f t="shared" si="110"/>
        <v>1.0338197628166303</v>
      </c>
      <c r="T255" s="680">
        <f t="shared" si="111"/>
        <v>0.25648912999406986</v>
      </c>
      <c r="U255" s="681">
        <f t="shared" si="123"/>
        <v>0.95648181109498254</v>
      </c>
      <c r="V255" s="682">
        <f t="shared" si="124"/>
        <v>-0.36505392883918292</v>
      </c>
      <c r="W255" s="683">
        <f t="shared" si="112"/>
        <v>-7.9223369526966092</v>
      </c>
      <c r="X255" s="684">
        <f t="shared" si="113"/>
        <v>-131.84575286803454</v>
      </c>
      <c r="Y255" s="687">
        <f t="shared" si="114"/>
        <v>48.154247131965462</v>
      </c>
      <c r="AA255" s="170">
        <f t="shared" si="115"/>
        <v>15668.5</v>
      </c>
      <c r="AB255" s="170">
        <f t="shared" si="116"/>
        <v>245501892.25</v>
      </c>
      <c r="AD255" s="686">
        <f t="shared" si="117"/>
        <v>26.641434808610601</v>
      </c>
      <c r="AE255" s="687">
        <f t="shared" si="118"/>
        <v>-16.268100973485801</v>
      </c>
      <c r="AG255" s="686">
        <f t="shared" si="119"/>
        <v>11.390147787725676</v>
      </c>
      <c r="AH255" s="687">
        <f t="shared" si="120"/>
        <v>-73.745553012440055</v>
      </c>
      <c r="AJ255" s="170">
        <f t="shared" si="121"/>
        <v>0</v>
      </c>
      <c r="AK255" s="170">
        <f t="shared" si="133"/>
        <v>0</v>
      </c>
      <c r="AM255" s="170" t="str">
        <f t="shared" si="125"/>
        <v>0.138708481972961+0.508111130536105i</v>
      </c>
      <c r="AN255" s="170" t="str">
        <f t="shared" si="126"/>
        <v>0.532990301630693i</v>
      </c>
      <c r="AO255" s="170" t="str">
        <f t="shared" si="127"/>
        <v>0.953321531332803-0.260245789742478i</v>
      </c>
      <c r="AP255" s="170" t="str">
        <f t="shared" si="128"/>
        <v>0.14354858633784-0.0846851884226842i</v>
      </c>
      <c r="AQ255" s="170" t="str">
        <f t="shared" si="129"/>
        <v>0.85645141366216+0.0846851884226842i</v>
      </c>
      <c r="AR255" s="170" t="str">
        <f t="shared" si="130"/>
        <v>0.9632006328588-0.0952404605577219i</v>
      </c>
    </row>
    <row r="256" spans="7:44">
      <c r="G256" s="688">
        <v>15758.75</v>
      </c>
      <c r="H256" s="676">
        <f t="shared" si="122"/>
        <v>15.758749999999999</v>
      </c>
      <c r="I256" s="677">
        <f t="shared" si="102"/>
        <v>81.151726949946237</v>
      </c>
      <c r="J256" s="678">
        <f t="shared" si="103"/>
        <v>1.5584734182500459</v>
      </c>
      <c r="K256" s="678">
        <f t="shared" si="104"/>
        <v>1.0000433131304785</v>
      </c>
      <c r="L256" s="679">
        <f t="shared" si="105"/>
        <v>9.3071550089343924E-3</v>
      </c>
      <c r="M256" s="678">
        <f t="shared" si="106"/>
        <v>1.0053902860217054</v>
      </c>
      <c r="N256" s="679">
        <f t="shared" si="107"/>
        <v>-0.10359714494091013</v>
      </c>
      <c r="O256" s="677">
        <f t="shared" si="108"/>
        <v>297045.4390408083</v>
      </c>
      <c r="P256" s="680">
        <f t="shared" si="109"/>
        <v>1.5707929603065802</v>
      </c>
      <c r="Q256" s="689">
        <f t="shared" si="131"/>
        <v>36.64924953257006</v>
      </c>
      <c r="R256" s="690">
        <f t="shared" si="132"/>
        <v>1.5435072515984318</v>
      </c>
      <c r="S256" s="677">
        <f t="shared" si="110"/>
        <v>1.0342040237540282</v>
      </c>
      <c r="T256" s="680">
        <f t="shared" si="111"/>
        <v>0.25790202662736483</v>
      </c>
      <c r="U256" s="681">
        <f t="shared" si="123"/>
        <v>0.95601401358809002</v>
      </c>
      <c r="V256" s="682">
        <f t="shared" si="124"/>
        <v>-0.36706807512856449</v>
      </c>
      <c r="W256" s="683">
        <f t="shared" si="112"/>
        <v>-7.9791958079892611</v>
      </c>
      <c r="X256" s="684">
        <f t="shared" si="113"/>
        <v>-132.06787307587376</v>
      </c>
      <c r="Y256" s="687">
        <f t="shared" si="114"/>
        <v>47.932126924126237</v>
      </c>
      <c r="AA256" s="170">
        <f t="shared" si="115"/>
        <v>15758.75</v>
      </c>
      <c r="AB256" s="170">
        <f t="shared" si="116"/>
        <v>248338201.5625</v>
      </c>
      <c r="AD256" s="686">
        <f t="shared" si="117"/>
        <v>26.638169590994568</v>
      </c>
      <c r="AE256" s="687">
        <f t="shared" si="118"/>
        <v>-16.340053622290075</v>
      </c>
      <c r="AG256" s="686">
        <f t="shared" si="119"/>
        <v>11.345052443318867</v>
      </c>
      <c r="AH256" s="687">
        <f t="shared" si="120"/>
        <v>-73.66491640780427</v>
      </c>
      <c r="AJ256" s="170">
        <f t="shared" si="121"/>
        <v>0</v>
      </c>
      <c r="AK256" s="170">
        <f t="shared" si="133"/>
        <v>0</v>
      </c>
      <c r="AM256" s="170" t="str">
        <f t="shared" si="125"/>
        <v>0.140272442082154+0.510752901270876i</v>
      </c>
      <c r="AN256" s="170" t="str">
        <f t="shared" si="126"/>
        <v>0.536060306718747i</v>
      </c>
      <c r="AO256" s="170" t="str">
        <f t="shared" si="127"/>
        <v>0.952790003045032-0.261672875838856i</v>
      </c>
      <c r="AP256" s="170" t="str">
        <f t="shared" si="128"/>
        <v>0.143287926319641-0.085125483545146i</v>
      </c>
      <c r="AQ256" s="170" t="str">
        <f t="shared" si="129"/>
        <v>0.856712073680359+0.085125483545146i</v>
      </c>
      <c r="AR256" s="170" t="str">
        <f t="shared" si="130"/>
        <v>0.96281611416807-0.0956682995390992i</v>
      </c>
    </row>
    <row r="257" spans="7:44">
      <c r="G257" s="688">
        <v>15849</v>
      </c>
      <c r="H257" s="676">
        <f t="shared" si="122"/>
        <v>15.849</v>
      </c>
      <c r="I257" s="677">
        <f t="shared" si="102"/>
        <v>81.616410659555072</v>
      </c>
      <c r="J257" s="678">
        <f t="shared" si="103"/>
        <v>1.5585435823531686</v>
      </c>
      <c r="K257" s="678">
        <f t="shared" si="104"/>
        <v>1.0000438106467868</v>
      </c>
      <c r="L257" s="679">
        <f t="shared" si="105"/>
        <v>9.3604537677618466E-3</v>
      </c>
      <c r="M257" s="678">
        <f t="shared" si="106"/>
        <v>1.0054520350262868</v>
      </c>
      <c r="N257" s="679">
        <f t="shared" si="107"/>
        <v>-0.10418617137634219</v>
      </c>
      <c r="O257" s="677">
        <f t="shared" si="108"/>
        <v>298746.61146077368</v>
      </c>
      <c r="P257" s="680">
        <f t="shared" si="109"/>
        <v>1.5707929794765954</v>
      </c>
      <c r="Q257" s="689">
        <f t="shared" si="131"/>
        <v>36.858983124576767</v>
      </c>
      <c r="R257" s="690">
        <f t="shared" si="132"/>
        <v>1.543662569090251</v>
      </c>
      <c r="S257" s="677">
        <f t="shared" si="110"/>
        <v>1.0345903477130118</v>
      </c>
      <c r="T257" s="680">
        <f t="shared" si="111"/>
        <v>0.25931387090449604</v>
      </c>
      <c r="U257" s="681">
        <f t="shared" si="123"/>
        <v>0.95554418003307562</v>
      </c>
      <c r="V257" s="682">
        <f t="shared" si="124"/>
        <v>-0.3690808016112353</v>
      </c>
      <c r="W257" s="683">
        <f t="shared" si="112"/>
        <v>-8.0358029725338902</v>
      </c>
      <c r="X257" s="684">
        <f t="shared" si="113"/>
        <v>-132.28990363072322</v>
      </c>
      <c r="Y257" s="687">
        <f t="shared" si="114"/>
        <v>47.710096369276783</v>
      </c>
      <c r="AA257" s="170">
        <f t="shared" si="115"/>
        <v>15849</v>
      </c>
      <c r="AB257" s="170">
        <f t="shared" si="116"/>
        <v>251190801</v>
      </c>
      <c r="AD257" s="686">
        <f t="shared" si="117"/>
        <v>26.634888888398486</v>
      </c>
      <c r="AE257" s="687">
        <f t="shared" si="118"/>
        <v>-16.412048402376819</v>
      </c>
      <c r="AG257" s="686">
        <f t="shared" si="119"/>
        <v>11.300265449335063</v>
      </c>
      <c r="AH257" s="687">
        <f t="shared" si="120"/>
        <v>-73.584310716760953</v>
      </c>
      <c r="AJ257" s="170">
        <f t="shared" si="121"/>
        <v>0</v>
      </c>
      <c r="AK257" s="170">
        <f t="shared" si="133"/>
        <v>0</v>
      </c>
      <c r="AM257" s="170" t="str">
        <f t="shared" si="125"/>
        <v>0.141844505058101+0.513389858198451i</v>
      </c>
      <c r="AN257" s="170" t="str">
        <f t="shared" si="126"/>
        <v>0.5391303118068i</v>
      </c>
      <c r="AO257" s="170" t="str">
        <f t="shared" si="127"/>
        <v>0.952255599352067-0.263098738749699i</v>
      </c>
      <c r="AP257" s="170" t="str">
        <f t="shared" si="128"/>
        <v>0.14302591582365-0.0855649763664085i</v>
      </c>
      <c r="AQ257" s="170" t="str">
        <f t="shared" si="129"/>
        <v>0.85697408417635+0.0855649763664085i</v>
      </c>
      <c r="AR257" s="170" t="str">
        <f t="shared" si="130"/>
        <v>0.962430148012274-0.0960942861511819i</v>
      </c>
    </row>
    <row r="258" spans="7:44">
      <c r="G258" s="688">
        <v>15941.25</v>
      </c>
      <c r="H258" s="676">
        <f t="shared" si="122"/>
        <v>15.94125</v>
      </c>
      <c r="I258" s="677">
        <f t="shared" si="102"/>
        <v>82.091392479599136</v>
      </c>
      <c r="J258" s="678">
        <f t="shared" si="103"/>
        <v>1.5586144804024913</v>
      </c>
      <c r="K258" s="678">
        <f t="shared" si="104"/>
        <v>1.0000443221243978</v>
      </c>
      <c r="L258" s="679">
        <f t="shared" si="105"/>
        <v>9.4149336075527081E-3</v>
      </c>
      <c r="M258" s="678">
        <f t="shared" si="106"/>
        <v>1.0055155129103244</v>
      </c>
      <c r="N258" s="679">
        <f t="shared" si="107"/>
        <v>-0.10478817604773889</v>
      </c>
      <c r="O258" s="677">
        <f t="shared" si="108"/>
        <v>300485.48299253901</v>
      </c>
      <c r="P258" s="680">
        <f t="shared" si="109"/>
        <v>1.5707929988471034</v>
      </c>
      <c r="Q258" s="689">
        <f t="shared" si="131"/>
        <v>37.073365460848514</v>
      </c>
      <c r="R258" s="690">
        <f t="shared" si="132"/>
        <v>1.5438195123275158</v>
      </c>
      <c r="S258" s="677">
        <f t="shared" si="110"/>
        <v>1.0349873625675889</v>
      </c>
      <c r="T258" s="680">
        <f t="shared" si="111"/>
        <v>0.26075591036389512</v>
      </c>
      <c r="U258" s="681">
        <f t="shared" si="123"/>
        <v>0.9550618404509289</v>
      </c>
      <c r="V258" s="682">
        <f t="shared" si="124"/>
        <v>-0.37113665856692679</v>
      </c>
      <c r="W258" s="683">
        <f t="shared" si="112"/>
        <v>-8.0934077514892486</v>
      </c>
      <c r="X258" s="684">
        <f t="shared" si="113"/>
        <v>-132.51676027850255</v>
      </c>
      <c r="Y258" s="687">
        <f t="shared" si="114"/>
        <v>47.483239721497455</v>
      </c>
      <c r="AA258" s="170">
        <f t="shared" si="115"/>
        <v>15941.25</v>
      </c>
      <c r="AB258" s="170">
        <f t="shared" si="116"/>
        <v>254123451.5625</v>
      </c>
      <c r="AD258" s="686">
        <f t="shared" si="117"/>
        <v>26.631519504241457</v>
      </c>
      <c r="AE258" s="687">
        <f t="shared" si="118"/>
        <v>-16.485680102105825</v>
      </c>
      <c r="AG258" s="686">
        <f t="shared" si="119"/>
        <v>11.254801195049605</v>
      </c>
      <c r="AH258" s="687">
        <f t="shared" si="120"/>
        <v>-73.501951810854621</v>
      </c>
      <c r="AJ258" s="170">
        <f t="shared" si="121"/>
        <v>0</v>
      </c>
      <c r="AK258" s="170">
        <f t="shared" si="133"/>
        <v>0</v>
      </c>
      <c r="AM258" s="170" t="str">
        <f t="shared" si="125"/>
        <v>0.143459764772218+0.516080250964843i</v>
      </c>
      <c r="AN258" s="170" t="str">
        <f t="shared" si="126"/>
        <v>0.542268350248606i</v>
      </c>
      <c r="AO258" s="170" t="str">
        <f t="shared" si="127"/>
        <v>0.951706384354247-0.264554928766261i</v>
      </c>
      <c r="AP258" s="170" t="str">
        <f t="shared" si="128"/>
        <v>0.142756705871297-0.0860133751608072i</v>
      </c>
      <c r="AQ258" s="170" t="str">
        <f t="shared" si="129"/>
        <v>0.857243294128703+0.0860133751608072i</v>
      </c>
      <c r="AR258" s="170" t="str">
        <f t="shared" si="130"/>
        <v>0.962034144011921-0.0965277935833931i</v>
      </c>
    </row>
    <row r="259" spans="7:44">
      <c r="G259" s="688">
        <v>16033.5</v>
      </c>
      <c r="H259" s="676">
        <f t="shared" si="122"/>
        <v>16.0335</v>
      </c>
      <c r="I259" s="677">
        <f t="shared" si="102"/>
        <v>82.56637470753077</v>
      </c>
      <c r="J259" s="678">
        <f t="shared" si="103"/>
        <v>1.5586845627372055</v>
      </c>
      <c r="K259" s="678">
        <f t="shared" si="104"/>
        <v>1.0000448365701899</v>
      </c>
      <c r="L259" s="679">
        <f t="shared" si="105"/>
        <v>9.4694133914539312E-3</v>
      </c>
      <c r="M259" s="678">
        <f t="shared" si="106"/>
        <v>1.0055793551567771</v>
      </c>
      <c r="N259" s="679">
        <f t="shared" si="107"/>
        <v>-0.10539010449708293</v>
      </c>
      <c r="O259" s="677">
        <f t="shared" si="108"/>
        <v>302224.35452430445</v>
      </c>
      <c r="P259" s="680">
        <f t="shared" si="109"/>
        <v>1.570793017994712</v>
      </c>
      <c r="Q259" s="689">
        <f t="shared" si="131"/>
        <v>37.287748699780714</v>
      </c>
      <c r="R259" s="690">
        <f t="shared" si="132"/>
        <v>1.5439746509007743</v>
      </c>
      <c r="S259" s="677">
        <f t="shared" si="110"/>
        <v>1.0353865280022723</v>
      </c>
      <c r="T259" s="680">
        <f t="shared" si="111"/>
        <v>0.26219684093868179</v>
      </c>
      <c r="U259" s="681">
        <f t="shared" si="123"/>
        <v>0.95457739394179397</v>
      </c>
      <c r="V259" s="682">
        <f t="shared" si="124"/>
        <v>-0.37319102090614248</v>
      </c>
      <c r="W259" s="683">
        <f t="shared" si="112"/>
        <v>-8.1507561597341542</v>
      </c>
      <c r="X259" s="684">
        <f t="shared" si="113"/>
        <v>-132.74352004251321</v>
      </c>
      <c r="Y259" s="687">
        <f t="shared" si="114"/>
        <v>47.256479957486789</v>
      </c>
      <c r="AA259" s="170">
        <f t="shared" si="115"/>
        <v>16033.5</v>
      </c>
      <c r="AB259" s="170">
        <f t="shared" si="116"/>
        <v>257073122.25</v>
      </c>
      <c r="AD259" s="686">
        <f t="shared" si="117"/>
        <v>26.628133991480723</v>
      </c>
      <c r="AE259" s="687">
        <f t="shared" si="118"/>
        <v>-16.559351654286395</v>
      </c>
      <c r="AG259" s="686">
        <f t="shared" si="119"/>
        <v>11.20965221358307</v>
      </c>
      <c r="AH259" s="687">
        <f t="shared" si="120"/>
        <v>-73.419627439160365</v>
      </c>
      <c r="AJ259" s="170">
        <f t="shared" si="121"/>
        <v>0</v>
      </c>
      <c r="AK259" s="170">
        <f t="shared" si="133"/>
        <v>0</v>
      </c>
      <c r="AM259" s="170" t="str">
        <f t="shared" si="125"/>
        <v>0.145083459075447+0.518765561745956i</v>
      </c>
      <c r="AN259" s="170" t="str">
        <f t="shared" si="126"/>
        <v>0.545406388690412i</v>
      </c>
      <c r="AO259" s="170" t="str">
        <f t="shared" si="127"/>
        <v>0.951154171463917-0.266009826954558i</v>
      </c>
      <c r="AP259" s="170" t="str">
        <f t="shared" si="128"/>
        <v>0.142486090154092-0.0864609269576593i</v>
      </c>
      <c r="AQ259" s="170" t="str">
        <f t="shared" si="129"/>
        <v>0.857513909845908+0.0864609269576593i</v>
      </c>
      <c r="AR259" s="170" t="str">
        <f t="shared" si="130"/>
        <v>0.961636650740076-0.0969593557198233i</v>
      </c>
    </row>
    <row r="260" spans="7:44">
      <c r="G260" s="688">
        <v>16125.75</v>
      </c>
      <c r="H260" s="676">
        <f t="shared" si="122"/>
        <v>16.12575</v>
      </c>
      <c r="I260" s="677">
        <f t="shared" si="102"/>
        <v>83.041357336350828</v>
      </c>
      <c r="J260" s="678">
        <f t="shared" si="103"/>
        <v>1.5587538433538684</v>
      </c>
      <c r="K260" s="678">
        <f t="shared" si="104"/>
        <v>1.0000453539841594</v>
      </c>
      <c r="L260" s="679">
        <f t="shared" si="105"/>
        <v>9.5238931191422051E-3</v>
      </c>
      <c r="M260" s="678">
        <f t="shared" si="106"/>
        <v>1.0056435616962516</v>
      </c>
      <c r="N260" s="679">
        <f t="shared" si="107"/>
        <v>-0.10599195630275381</v>
      </c>
      <c r="O260" s="677">
        <f t="shared" si="108"/>
        <v>303963.22605606995</v>
      </c>
      <c r="P260" s="680">
        <f t="shared" si="109"/>
        <v>1.5707930369232468</v>
      </c>
      <c r="Q260" s="689">
        <f t="shared" si="131"/>
        <v>37.502132825893021</v>
      </c>
      <c r="R260" s="690">
        <f t="shared" si="132"/>
        <v>1.5441280157520396</v>
      </c>
      <c r="S260" s="677">
        <f t="shared" si="110"/>
        <v>1.0357878415307304</v>
      </c>
      <c r="T260" s="680">
        <f t="shared" si="111"/>
        <v>0.26363665793077945</v>
      </c>
      <c r="U260" s="681">
        <f t="shared" si="123"/>
        <v>0.9540908508232383</v>
      </c>
      <c r="V260" s="682">
        <f t="shared" si="124"/>
        <v>-0.37524388304054929</v>
      </c>
      <c r="W260" s="683">
        <f t="shared" si="112"/>
        <v>-8.2078514443606529</v>
      </c>
      <c r="X260" s="684">
        <f t="shared" si="113"/>
        <v>-132.97018133856497</v>
      </c>
      <c r="Y260" s="687">
        <f t="shared" si="114"/>
        <v>47.02981866143503</v>
      </c>
      <c r="AA260" s="170">
        <f t="shared" si="115"/>
        <v>16125.75</v>
      </c>
      <c r="AB260" s="170">
        <f t="shared" si="116"/>
        <v>260039813.0625</v>
      </c>
      <c r="AD260" s="686">
        <f t="shared" si="117"/>
        <v>26.624732376372627</v>
      </c>
      <c r="AE260" s="687">
        <f t="shared" si="118"/>
        <v>-16.633061017111043</v>
      </c>
      <c r="AG260" s="686">
        <f t="shared" si="119"/>
        <v>11.164815106613055</v>
      </c>
      <c r="AH260" s="687">
        <f t="shared" si="120"/>
        <v>-73.337338699671164</v>
      </c>
      <c r="AJ260" s="170">
        <f t="shared" si="121"/>
        <v>0</v>
      </c>
      <c r="AK260" s="170">
        <f t="shared" si="133"/>
        <v>0</v>
      </c>
      <c r="AM260" s="170" t="str">
        <f t="shared" si="125"/>
        <v>0.146715571978822+0.52144576409879i</v>
      </c>
      <c r="AN260" s="170" t="str">
        <f t="shared" si="126"/>
        <v>0.548544427132217i</v>
      </c>
      <c r="AO260" s="170" t="str">
        <f t="shared" si="127"/>
        <v>0.950598963925131-0.26746342633695i</v>
      </c>
      <c r="AP260" s="170" t="str">
        <f t="shared" si="128"/>
        <v>0.142214071336863-0.0869076273497983i</v>
      </c>
      <c r="AQ260" s="170" t="str">
        <f t="shared" si="129"/>
        <v>0.857785928663137+0.0869076273497983i</v>
      </c>
      <c r="AR260" s="170" t="str">
        <f t="shared" si="130"/>
        <v>0.961237679865646-0.0973889676723235i</v>
      </c>
    </row>
    <row r="261" spans="7:44">
      <c r="G261" s="688">
        <v>16218</v>
      </c>
      <c r="H261" s="676">
        <f t="shared" si="122"/>
        <v>16.218</v>
      </c>
      <c r="I261" s="677">
        <f t="shared" si="102"/>
        <v>83.516340359219413</v>
      </c>
      <c r="J261" s="678">
        <f t="shared" si="103"/>
        <v>1.5588223359306581</v>
      </c>
      <c r="K261" s="678">
        <f t="shared" si="104"/>
        <v>1.000045874366301</v>
      </c>
      <c r="L261" s="679">
        <f t="shared" si="105"/>
        <v>9.5783727902942258E-3</v>
      </c>
      <c r="M261" s="678">
        <f t="shared" si="106"/>
        <v>1.0057081324589761</v>
      </c>
      <c r="N261" s="679">
        <f t="shared" si="107"/>
        <v>-0.10659373104346048</v>
      </c>
      <c r="O261" s="677">
        <f t="shared" si="108"/>
        <v>305702.09758783563</v>
      </c>
      <c r="P261" s="680">
        <f t="shared" si="109"/>
        <v>1.5707930556364456</v>
      </c>
      <c r="Q261" s="689">
        <f t="shared" si="131"/>
        <v>37.716517824057007</v>
      </c>
      <c r="R261" s="690">
        <f t="shared" si="132"/>
        <v>1.5442796371201499</v>
      </c>
      <c r="S261" s="677">
        <f t="shared" si="110"/>
        <v>1.036191300657114</v>
      </c>
      <c r="T261" s="680">
        <f t="shared" si="111"/>
        <v>0.26507535666783838</v>
      </c>
      <c r="U261" s="681">
        <f t="shared" si="123"/>
        <v>0.95360222142911533</v>
      </c>
      <c r="V261" s="682">
        <f t="shared" si="124"/>
        <v>-0.37729523942578153</v>
      </c>
      <c r="W261" s="683">
        <f t="shared" si="112"/>
        <v>-8.2646967947443297</v>
      </c>
      <c r="X261" s="684">
        <f t="shared" si="113"/>
        <v>-133.19674260852153</v>
      </c>
      <c r="Y261" s="687">
        <f t="shared" si="114"/>
        <v>46.803257391478468</v>
      </c>
      <c r="AA261" s="170">
        <f t="shared" si="115"/>
        <v>16218</v>
      </c>
      <c r="AB261" s="170">
        <f t="shared" si="116"/>
        <v>263023524</v>
      </c>
      <c r="AD261" s="686">
        <f t="shared" si="117"/>
        <v>26.621314685712171</v>
      </c>
      <c r="AE261" s="687">
        <f t="shared" si="118"/>
        <v>-16.706806190530177</v>
      </c>
      <c r="AG261" s="686">
        <f t="shared" si="119"/>
        <v>11.120286532693129</v>
      </c>
      <c r="AH261" s="687">
        <f t="shared" si="120"/>
        <v>-73.25508666963799</v>
      </c>
      <c r="AJ261" s="170">
        <f t="shared" si="121"/>
        <v>0</v>
      </c>
      <c r="AK261" s="170">
        <f t="shared" si="133"/>
        <v>0</v>
      </c>
      <c r="AM261" s="170" t="str">
        <f t="shared" si="125"/>
        <v>0.148356087410474+0.52412083163065i</v>
      </c>
      <c r="AN261" s="170" t="str">
        <f t="shared" si="126"/>
        <v>0.551682465574023i</v>
      </c>
      <c r="AO261" s="170" t="str">
        <f t="shared" si="127"/>
        <v>0.950040764999309-0.26891571994428i</v>
      </c>
      <c r="AP261" s="170" t="str">
        <f t="shared" si="128"/>
        <v>0.141940652098254-0.0873534719384417i</v>
      </c>
      <c r="AQ261" s="170" t="str">
        <f t="shared" si="129"/>
        <v>0.858059347901746+0.0873534719384417i</v>
      </c>
      <c r="AR261" s="170" t="str">
        <f t="shared" si="130"/>
        <v>0.960837243065741-0.0978166246365092i</v>
      </c>
    </row>
    <row r="262" spans="7:44">
      <c r="G262" s="688">
        <v>16312.5</v>
      </c>
      <c r="H262" s="676">
        <f t="shared" si="122"/>
        <v>16.3125</v>
      </c>
      <c r="I262" s="677">
        <f t="shared" si="102"/>
        <v>84.002908735460238</v>
      </c>
      <c r="J262" s="678">
        <f t="shared" si="103"/>
        <v>1.5588916959257544</v>
      </c>
      <c r="K262" s="678">
        <f t="shared" si="104"/>
        <v>1.0000464105183318</v>
      </c>
      <c r="L262" s="679">
        <f t="shared" si="105"/>
        <v>9.6341811749539388E-3</v>
      </c>
      <c r="M262" s="678">
        <f t="shared" si="106"/>
        <v>1.0057746557018479</v>
      </c>
      <c r="N262" s="679">
        <f t="shared" si="107"/>
        <v>-0.10721010286949827</v>
      </c>
      <c r="O262" s="677">
        <f t="shared" si="108"/>
        <v>307483.38062037609</v>
      </c>
      <c r="P262" s="680">
        <f t="shared" si="109"/>
        <v>1.570793074586605</v>
      </c>
      <c r="Q262" s="689">
        <f t="shared" si="131"/>
        <v>37.936132613376266</v>
      </c>
      <c r="R262" s="690">
        <f t="shared" si="132"/>
        <v>1.5444331796732091</v>
      </c>
      <c r="S262" s="677">
        <f t="shared" si="110"/>
        <v>1.0366068223647176</v>
      </c>
      <c r="T262" s="680">
        <f t="shared" si="111"/>
        <v>0.26654798126160939</v>
      </c>
      <c r="U262" s="681">
        <f t="shared" si="123"/>
        <v>0.95309952184032842</v>
      </c>
      <c r="V262" s="682">
        <f t="shared" si="124"/>
        <v>-0.37939506185883792</v>
      </c>
      <c r="W262" s="683">
        <f t="shared" si="112"/>
        <v>-8.3226727391495992</v>
      </c>
      <c r="X262" s="684">
        <f t="shared" si="113"/>
        <v>-133.42872444578245</v>
      </c>
      <c r="Y262" s="687">
        <f t="shared" si="114"/>
        <v>46.57127555421755</v>
      </c>
      <c r="AA262" s="170">
        <f t="shared" si="115"/>
        <v>16312.5</v>
      </c>
      <c r="AB262" s="170">
        <f t="shared" si="116"/>
        <v>266097656.25</v>
      </c>
      <c r="AD262" s="686">
        <f t="shared" si="117"/>
        <v>26.617796996838479</v>
      </c>
      <c r="AE262" s="687">
        <f t="shared" si="118"/>
        <v>-16.78238511014499</v>
      </c>
      <c r="AG262" s="686">
        <f t="shared" si="119"/>
        <v>11.074988374205329</v>
      </c>
      <c r="AH262" s="687">
        <f t="shared" si="120"/>
        <v>-73.170867660727097</v>
      </c>
      <c r="AJ262" s="170">
        <f t="shared" si="121"/>
        <v>0</v>
      </c>
      <c r="AK262" s="170">
        <f t="shared" si="133"/>
        <v>0</v>
      </c>
      <c r="AM262" s="170" t="str">
        <f t="shared" si="125"/>
        <v>0.150045310963597+0.526855792969035i</v>
      </c>
      <c r="AN262" s="170" t="str">
        <f t="shared" si="126"/>
        <v>0.554897041538799i</v>
      </c>
      <c r="AO262" s="170" t="str">
        <f t="shared" si="127"/>
        <v>0.949465853175208-0.270402074135235i</v>
      </c>
      <c r="AP262" s="170" t="str">
        <f t="shared" si="128"/>
        <v>0.1416591148394-0.0878092988281725i</v>
      </c>
      <c r="AQ262" s="170" t="str">
        <f t="shared" si="129"/>
        <v>0.8583408851606+0.0878092988281725i</v>
      </c>
      <c r="AR262" s="170" t="str">
        <f t="shared" si="130"/>
        <v>0.960425531735835-0.0982526802304413i</v>
      </c>
    </row>
    <row r="263" spans="7:44">
      <c r="G263" s="688">
        <v>16407</v>
      </c>
      <c r="H263" s="676">
        <f t="shared" si="122"/>
        <v>16.407</v>
      </c>
      <c r="I263" s="677">
        <f t="shared" si="102"/>
        <v>84.489477511168388</v>
      </c>
      <c r="J263" s="678">
        <f t="shared" si="103"/>
        <v>1.5589602570428107</v>
      </c>
      <c r="K263" s="678">
        <f t="shared" si="104"/>
        <v>1.0000469497850795</v>
      </c>
      <c r="L263" s="679">
        <f t="shared" si="105"/>
        <v>9.6899894995990856E-3</v>
      </c>
      <c r="M263" s="678">
        <f t="shared" si="106"/>
        <v>1.005841561002194</v>
      </c>
      <c r="N263" s="679">
        <f t="shared" si="107"/>
        <v>-0.10782639293156004</v>
      </c>
      <c r="O263" s="677">
        <f t="shared" si="108"/>
        <v>309264.66365291673</v>
      </c>
      <c r="P263" s="680">
        <f t="shared" si="109"/>
        <v>1.5707930933184684</v>
      </c>
      <c r="Q263" s="689">
        <f t="shared" si="131"/>
        <v>38.155748286756435</v>
      </c>
      <c r="R263" s="690">
        <f t="shared" si="132"/>
        <v>1.5445849547188761</v>
      </c>
      <c r="S263" s="677">
        <f t="shared" si="110"/>
        <v>1.037024590277583</v>
      </c>
      <c r="T263" s="680">
        <f t="shared" si="111"/>
        <v>0.2680194225433486</v>
      </c>
      <c r="U263" s="681">
        <f t="shared" si="123"/>
        <v>0.95259465496816109</v>
      </c>
      <c r="V263" s="682">
        <f t="shared" si="124"/>
        <v>-0.38149329255923237</v>
      </c>
      <c r="W263" s="683">
        <f t="shared" si="112"/>
        <v>-8.380393004017181</v>
      </c>
      <c r="X263" s="684">
        <f t="shared" si="113"/>
        <v>-133.66059808926852</v>
      </c>
      <c r="Y263" s="687">
        <f t="shared" si="114"/>
        <v>46.339401910731482</v>
      </c>
      <c r="AA263" s="170">
        <f t="shared" si="115"/>
        <v>16407</v>
      </c>
      <c r="AB263" s="170">
        <f t="shared" si="116"/>
        <v>269189649</v>
      </c>
      <c r="AD263" s="686">
        <f t="shared" si="117"/>
        <v>26.61426249726485</v>
      </c>
      <c r="AE263" s="687">
        <f t="shared" si="118"/>
        <v>-16.857997489180953</v>
      </c>
      <c r="AG263" s="686">
        <f t="shared" si="119"/>
        <v>11.030007061733922</v>
      </c>
      <c r="AH263" s="687">
        <f t="shared" si="120"/>
        <v>-73.086689397747676</v>
      </c>
      <c r="AJ263" s="170">
        <f t="shared" si="121"/>
        <v>0</v>
      </c>
      <c r="AK263" s="170">
        <f t="shared" si="133"/>
        <v>0</v>
      </c>
      <c r="AM263" s="170" t="str">
        <f t="shared" si="125"/>
        <v>0.151743317514774+0.529585310048493i</v>
      </c>
      <c r="AN263" s="170" t="str">
        <f t="shared" si="126"/>
        <v>0.558111617503576i</v>
      </c>
      <c r="AO263" s="170" t="str">
        <f t="shared" si="127"/>
        <v>0.948887809247403-0.27188704330062i</v>
      </c>
      <c r="AP263" s="170" t="str">
        <f t="shared" si="128"/>
        <v>0.141376113747538-0.0882642183414155i</v>
      </c>
      <c r="AQ263" s="170" t="str">
        <f t="shared" si="129"/>
        <v>0.858623886252462+0.0882642183414155i</v>
      </c>
      <c r="AR263" s="170" t="str">
        <f t="shared" si="130"/>
        <v>0.960012306929478-0.0986866743704296i</v>
      </c>
    </row>
    <row r="264" spans="7:44">
      <c r="G264" s="688">
        <v>16501.5</v>
      </c>
      <c r="H264" s="676">
        <f t="shared" si="122"/>
        <v>16.5015</v>
      </c>
      <c r="I264" s="677">
        <f t="shared" si="102"/>
        <v>84.976046679481868</v>
      </c>
      <c r="J264" s="678">
        <f t="shared" si="103"/>
        <v>1.5590280330042001</v>
      </c>
      <c r="K264" s="678">
        <f t="shared" si="104"/>
        <v>1.0000474921665392</v>
      </c>
      <c r="L264" s="679">
        <f t="shared" si="105"/>
        <v>9.7457977638821247E-3</v>
      </c>
      <c r="M264" s="678">
        <f t="shared" si="106"/>
        <v>1.0059088482837797</v>
      </c>
      <c r="N264" s="679">
        <f t="shared" si="107"/>
        <v>-0.1084426007778572</v>
      </c>
      <c r="O264" s="677">
        <f t="shared" si="108"/>
        <v>311045.94668545749</v>
      </c>
      <c r="P264" s="680">
        <f t="shared" si="109"/>
        <v>1.5707931118357863</v>
      </c>
      <c r="Q264" s="689">
        <f t="shared" si="131"/>
        <v>38.375364829019524</v>
      </c>
      <c r="R264" s="690">
        <f t="shared" si="132"/>
        <v>1.5447349925956488</v>
      </c>
      <c r="S264" s="677">
        <f t="shared" si="110"/>
        <v>1.037444601682141</v>
      </c>
      <c r="T264" s="680">
        <f t="shared" si="111"/>
        <v>0.2694896755746895</v>
      </c>
      <c r="U264" s="681">
        <f t="shared" si="123"/>
        <v>0.95208763197088753</v>
      </c>
      <c r="V264" s="682">
        <f t="shared" si="124"/>
        <v>-0.38358992571067119</v>
      </c>
      <c r="W264" s="683">
        <f t="shared" si="112"/>
        <v>-8.4378608379111135</v>
      </c>
      <c r="X264" s="684">
        <f t="shared" si="113"/>
        <v>-133.89236194509851</v>
      </c>
      <c r="Y264" s="687">
        <f t="shared" si="114"/>
        <v>46.107638054901486</v>
      </c>
      <c r="AA264" s="170">
        <f t="shared" si="115"/>
        <v>16501.5</v>
      </c>
      <c r="AB264" s="170">
        <f t="shared" si="116"/>
        <v>272299502.25</v>
      </c>
      <c r="AD264" s="686">
        <f t="shared" si="117"/>
        <v>26.610711217454561</v>
      </c>
      <c r="AE264" s="687">
        <f t="shared" si="118"/>
        <v>-16.933641306637519</v>
      </c>
      <c r="AG264" s="686">
        <f t="shared" si="119"/>
        <v>10.985339180633691</v>
      </c>
      <c r="AH264" s="687">
        <f t="shared" si="120"/>
        <v>-73.00255297431724</v>
      </c>
      <c r="AJ264" s="170">
        <f t="shared" si="121"/>
        <v>0</v>
      </c>
      <c r="AK264" s="170">
        <f t="shared" si="133"/>
        <v>0</v>
      </c>
      <c r="AM264" s="170" t="str">
        <f t="shared" si="125"/>
        <v>0.153450089517672+0.532309354663584i</v>
      </c>
      <c r="AN264" s="170" t="str">
        <f t="shared" si="126"/>
        <v>0.561326193468352i</v>
      </c>
      <c r="AO264" s="170" t="str">
        <f t="shared" si="127"/>
        <v>0.948306636778381-0.27337061997682i</v>
      </c>
      <c r="AP264" s="170" t="str">
        <f t="shared" si="128"/>
        <v>0.141091651747055-0.088718225777264i</v>
      </c>
      <c r="AQ264" s="170" t="str">
        <f t="shared" si="129"/>
        <v>0.858908348252945+0.088718225777264i</v>
      </c>
      <c r="AR264" s="170" t="str">
        <f t="shared" si="130"/>
        <v>0.959597581221473-0.0991186021643505i</v>
      </c>
    </row>
    <row r="265" spans="7:44">
      <c r="G265" s="688">
        <v>16596</v>
      </c>
      <c r="H265" s="676">
        <f t="shared" si="122"/>
        <v>16.596</v>
      </c>
      <c r="I265" s="677">
        <f t="shared" si="102"/>
        <v>85.462616233694959</v>
      </c>
      <c r="J265" s="678">
        <f t="shared" si="103"/>
        <v>1.5590950372198196</v>
      </c>
      <c r="K265" s="678">
        <f t="shared" si="104"/>
        <v>1.0000480376627059</v>
      </c>
      <c r="L265" s="679">
        <f t="shared" si="105"/>
        <v>9.8016059674555182E-3</v>
      </c>
      <c r="M265" s="678">
        <f t="shared" si="106"/>
        <v>1.0059765174699558</v>
      </c>
      <c r="N265" s="679">
        <f t="shared" si="107"/>
        <v>-0.10905872595697134</v>
      </c>
      <c r="O265" s="677">
        <f t="shared" si="108"/>
        <v>312827.22971799836</v>
      </c>
      <c r="P265" s="680">
        <f t="shared" si="109"/>
        <v>1.5707931301422238</v>
      </c>
      <c r="Q265" s="689">
        <f t="shared" si="131"/>
        <v>38.59498222533297</v>
      </c>
      <c r="R265" s="690">
        <f t="shared" si="132"/>
        <v>1.5448833229518</v>
      </c>
      <c r="S265" s="677">
        <f t="shared" si="110"/>
        <v>1.0378668538546552</v>
      </c>
      <c r="T265" s="680">
        <f t="shared" si="111"/>
        <v>0.27095873544578636</v>
      </c>
      <c r="U265" s="681">
        <f t="shared" si="123"/>
        <v>0.95157846402236135</v>
      </c>
      <c r="V265" s="682">
        <f t="shared" si="124"/>
        <v>-0.38568495554539278</v>
      </c>
      <c r="W265" s="683">
        <f t="shared" si="112"/>
        <v>-8.4950794314383167</v>
      </c>
      <c r="X265" s="684">
        <f t="shared" si="113"/>
        <v>-134.12401444546569</v>
      </c>
      <c r="Y265" s="687">
        <f t="shared" si="114"/>
        <v>45.87598555453431</v>
      </c>
      <c r="AA265" s="170">
        <f t="shared" si="115"/>
        <v>16596</v>
      </c>
      <c r="AB265" s="170">
        <f t="shared" si="116"/>
        <v>275427216</v>
      </c>
      <c r="AD265" s="686">
        <f t="shared" si="117"/>
        <v>26.607143188399217</v>
      </c>
      <c r="AE265" s="687">
        <f t="shared" si="118"/>
        <v>-17.009314582690347</v>
      </c>
      <c r="AG265" s="686">
        <f t="shared" si="119"/>
        <v>10.940981373379939</v>
      </c>
      <c r="AH265" s="687">
        <f t="shared" si="120"/>
        <v>-72.918459463390221</v>
      </c>
      <c r="AJ265" s="170">
        <f t="shared" si="121"/>
        <v>0</v>
      </c>
      <c r="AK265" s="170">
        <f t="shared" si="133"/>
        <v>0</v>
      </c>
      <c r="AM265" s="170" t="str">
        <f t="shared" si="125"/>
        <v>0.15516560933538+0.535027898665425i</v>
      </c>
      <c r="AN265" s="170" t="str">
        <f t="shared" si="126"/>
        <v>0.564540769433129i</v>
      </c>
      <c r="AO265" s="170" t="str">
        <f t="shared" si="127"/>
        <v>0.947722339349665-0.274852796709768i</v>
      </c>
      <c r="AP265" s="170" t="str">
        <f t="shared" si="128"/>
        <v>0.140805731777437-0.0891713164442375i</v>
      </c>
      <c r="AQ265" s="170" t="str">
        <f t="shared" si="129"/>
        <v>0.859194268222563+0.0891713164442375i</v>
      </c>
      <c r="AR265" s="170" t="str">
        <f t="shared" si="130"/>
        <v>0.959181367192609-0.0995484588116371i</v>
      </c>
    </row>
    <row r="266" spans="7:44">
      <c r="G266" s="688">
        <v>16692.5</v>
      </c>
      <c r="H266" s="676">
        <f t="shared" si="122"/>
        <v>16.692499999999999</v>
      </c>
      <c r="I266" s="677">
        <f t="shared" si="102"/>
        <v>85.959483947677683</v>
      </c>
      <c r="J266" s="678">
        <f t="shared" si="103"/>
        <v>1.5591626767146576</v>
      </c>
      <c r="K266" s="678">
        <f t="shared" si="104"/>
        <v>1.0000485979180438</v>
      </c>
      <c r="L266" s="679">
        <f t="shared" si="105"/>
        <v>9.8585952340187553E-3</v>
      </c>
      <c r="M266" s="678">
        <f t="shared" si="106"/>
        <v>1.0060460128422057</v>
      </c>
      <c r="N266" s="679">
        <f t="shared" si="107"/>
        <v>-0.10968780504361617</v>
      </c>
      <c r="O266" s="677">
        <f t="shared" si="108"/>
        <v>314646.21186233911</v>
      </c>
      <c r="P266" s="680">
        <f t="shared" si="109"/>
        <v>1.5707931486221989</v>
      </c>
      <c r="Q266" s="689">
        <f t="shared" si="131"/>
        <v>38.819248475160137</v>
      </c>
      <c r="R266" s="690">
        <f t="shared" si="132"/>
        <v>1.5450330605760425</v>
      </c>
      <c r="S266" s="677">
        <f t="shared" si="110"/>
        <v>1.0383003521451852</v>
      </c>
      <c r="T266" s="680">
        <f t="shared" si="111"/>
        <v>0.27245765015280782</v>
      </c>
      <c r="U266" s="681">
        <f t="shared" si="123"/>
        <v>0.95105631813534774</v>
      </c>
      <c r="V266" s="682">
        <f t="shared" si="124"/>
        <v>-0.38782266411773131</v>
      </c>
      <c r="W266" s="683">
        <f t="shared" si="112"/>
        <v>-8.553255048582395</v>
      </c>
      <c r="X266" s="684">
        <f t="shared" si="113"/>
        <v>-134.36045312601908</v>
      </c>
      <c r="Y266" s="687">
        <f t="shared" si="114"/>
        <v>45.639546873980919</v>
      </c>
      <c r="AA266" s="170">
        <f t="shared" si="115"/>
        <v>16692.5</v>
      </c>
      <c r="AB266" s="170">
        <f t="shared" si="116"/>
        <v>278639556.25</v>
      </c>
      <c r="AD266" s="686">
        <f t="shared" si="117"/>
        <v>26.603482393527415</v>
      </c>
      <c r="AE266" s="687">
        <f t="shared" si="118"/>
        <v>-17.086617794262263</v>
      </c>
      <c r="AG266" s="686">
        <f t="shared" si="119"/>
        <v>10.896001332466556</v>
      </c>
      <c r="AH266" s="687">
        <f t="shared" si="120"/>
        <v>-72.832631574043887</v>
      </c>
      <c r="AJ266" s="170">
        <f t="shared" si="121"/>
        <v>0</v>
      </c>
      <c r="AK266" s="170">
        <f t="shared" si="133"/>
        <v>0</v>
      </c>
      <c r="AM266" s="170" t="str">
        <f t="shared" si="125"/>
        <v>0.156926445509573+0.537798272327903i</v>
      </c>
      <c r="AN266" s="170" t="str">
        <f t="shared" si="126"/>
        <v>0.567823378751657i</v>
      </c>
      <c r="AO266" s="170" t="str">
        <f t="shared" si="127"/>
        <v>0.947122454715121-0.27636488982643i</v>
      </c>
      <c r="AP266" s="170" t="str">
        <f t="shared" si="128"/>
        <v>0.140512259081738-0.0896330453879838i</v>
      </c>
      <c r="AQ266" s="170" t="str">
        <f t="shared" si="129"/>
        <v>0.859487740918262+0.0896330453879838i</v>
      </c>
      <c r="AR266" s="170" t="str">
        <f t="shared" si="130"/>
        <v>0.95875482157882-0.0999852706993936i</v>
      </c>
    </row>
    <row r="267" spans="7:44">
      <c r="G267" s="688">
        <v>16789</v>
      </c>
      <c r="H267" s="676">
        <f t="shared" si="122"/>
        <v>16.789000000000001</v>
      </c>
      <c r="I267" s="677">
        <f t="shared" si="102"/>
        <v>86.456352050413443</v>
      </c>
      <c r="J267" s="678">
        <f t="shared" si="103"/>
        <v>1.5592295387560506</v>
      </c>
      <c r="K267" s="678">
        <f t="shared" si="104"/>
        <v>1.0000491614213125</v>
      </c>
      <c r="L267" s="679">
        <f t="shared" si="105"/>
        <v>9.9155844365429614E-3</v>
      </c>
      <c r="M267" s="678">
        <f t="shared" si="106"/>
        <v>1.0061159062925125</v>
      </c>
      <c r="N267" s="679">
        <f t="shared" si="107"/>
        <v>-0.11031679697667937</v>
      </c>
      <c r="O267" s="677">
        <f t="shared" si="108"/>
        <v>316465.19400668005</v>
      </c>
      <c r="P267" s="680">
        <f t="shared" si="109"/>
        <v>1.570793166889735</v>
      </c>
      <c r="Q267" s="689">
        <f t="shared" si="131"/>
        <v>39.04351558536856</v>
      </c>
      <c r="R267" s="690">
        <f t="shared" si="132"/>
        <v>1.5451810780088728</v>
      </c>
      <c r="S267" s="677">
        <f t="shared" si="110"/>
        <v>1.0387361812819911</v>
      </c>
      <c r="T267" s="680">
        <f t="shared" si="111"/>
        <v>0.27395531040401638</v>
      </c>
      <c r="U267" s="681">
        <f t="shared" si="123"/>
        <v>0.95053195914207911</v>
      </c>
      <c r="V267" s="682">
        <f t="shared" si="124"/>
        <v>-0.38995868878849937</v>
      </c>
      <c r="W267" s="683">
        <f t="shared" si="112"/>
        <v>-8.6111773093188919</v>
      </c>
      <c r="X267" s="684">
        <f t="shared" si="113"/>
        <v>-134.59677246396714</v>
      </c>
      <c r="Y267" s="687">
        <f t="shared" si="114"/>
        <v>45.403227536032858</v>
      </c>
      <c r="AA267" s="170">
        <f t="shared" si="115"/>
        <v>16789</v>
      </c>
      <c r="AB267" s="170">
        <f t="shared" si="116"/>
        <v>281870521</v>
      </c>
      <c r="AD267" s="686">
        <f t="shared" si="117"/>
        <v>26.599804199884471</v>
      </c>
      <c r="AE267" s="687">
        <f t="shared" si="118"/>
        <v>-17.16394767834657</v>
      </c>
      <c r="AG267" s="686">
        <f t="shared" si="119"/>
        <v>10.851337729274926</v>
      </c>
      <c r="AH267" s="687">
        <f t="shared" si="120"/>
        <v>-72.746850630486335</v>
      </c>
      <c r="AJ267" s="170">
        <f t="shared" si="121"/>
        <v>0</v>
      </c>
      <c r="AK267" s="170">
        <f t="shared" si="133"/>
        <v>0</v>
      </c>
      <c r="AM267" s="170" t="str">
        <f t="shared" si="125"/>
        <v>0.158696366234877+0.540562850937428i</v>
      </c>
      <c r="AN267" s="170" t="str">
        <f t="shared" si="126"/>
        <v>0.571105988070186i</v>
      </c>
      <c r="AO267" s="170" t="str">
        <f t="shared" si="127"/>
        <v>0.946519319056755-0.277875507436238i</v>
      </c>
      <c r="AP267" s="170" t="str">
        <f t="shared" si="128"/>
        <v>0.140217272294187-0.0900938084895713i</v>
      </c>
      <c r="AQ267" s="170" t="str">
        <f t="shared" si="129"/>
        <v>0.859782727705813+0.0900938084895713i</v>
      </c>
      <c r="AR267" s="170" t="str">
        <f t="shared" si="130"/>
        <v>0.958326750511209-0.100419913018458i</v>
      </c>
    </row>
    <row r="268" spans="7:44">
      <c r="G268" s="688">
        <v>16885.5</v>
      </c>
      <c r="H268" s="676">
        <f t="shared" si="122"/>
        <v>16.8855</v>
      </c>
      <c r="I268" s="677">
        <f t="shared" si="102"/>
        <v>86.953220535238003</v>
      </c>
      <c r="J268" s="678">
        <f t="shared" si="103"/>
        <v>1.5592956366709796</v>
      </c>
      <c r="K268" s="678">
        <f t="shared" si="104"/>
        <v>1.0000497281725063</v>
      </c>
      <c r="L268" s="679">
        <f t="shared" si="105"/>
        <v>9.9725735746580713E-3</v>
      </c>
      <c r="M268" s="678">
        <f t="shared" si="106"/>
        <v>1.0061861977379205</v>
      </c>
      <c r="N268" s="679">
        <f t="shared" si="107"/>
        <v>-0.11094570127667785</v>
      </c>
      <c r="O268" s="677">
        <f t="shared" si="108"/>
        <v>318284.17615102092</v>
      </c>
      <c r="P268" s="680">
        <f t="shared" si="109"/>
        <v>1.5707931849484746</v>
      </c>
      <c r="Q268" s="689">
        <f t="shared" si="131"/>
        <v>39.267783541216723</v>
      </c>
      <c r="R268" s="690">
        <f t="shared" si="132"/>
        <v>1.5453274047170553</v>
      </c>
      <c r="S268" s="677">
        <f t="shared" si="110"/>
        <v>1.0391743383324061</v>
      </c>
      <c r="T268" s="680">
        <f t="shared" si="111"/>
        <v>0.27545171106354538</v>
      </c>
      <c r="U268" s="681">
        <f t="shared" si="123"/>
        <v>0.95000539898739844</v>
      </c>
      <c r="V268" s="682">
        <f t="shared" si="124"/>
        <v>-0.39209302357275017</v>
      </c>
      <c r="W268" s="683">
        <f t="shared" si="112"/>
        <v>-8.6688494324681216</v>
      </c>
      <c r="X268" s="684">
        <f t="shared" si="113"/>
        <v>-134.83297087015035</v>
      </c>
      <c r="Y268" s="687">
        <f t="shared" si="114"/>
        <v>45.167029129849652</v>
      </c>
      <c r="AA268" s="170">
        <f t="shared" si="115"/>
        <v>16885.5</v>
      </c>
      <c r="AB268" s="170">
        <f t="shared" si="116"/>
        <v>285120110.25</v>
      </c>
      <c r="AD268" s="686">
        <f t="shared" si="117"/>
        <v>26.59610864208183</v>
      </c>
      <c r="AE268" s="687">
        <f t="shared" si="118"/>
        <v>-17.24130225256723</v>
      </c>
      <c r="AG268" s="686">
        <f t="shared" si="119"/>
        <v>10.806987164677697</v>
      </c>
      <c r="AH268" s="687">
        <f t="shared" si="120"/>
        <v>-72.661117711758337</v>
      </c>
      <c r="AJ268" s="170">
        <f t="shared" si="121"/>
        <v>0</v>
      </c>
      <c r="AK268" s="170">
        <f t="shared" si="133"/>
        <v>0</v>
      </c>
      <c r="AM268" s="170" t="str">
        <f t="shared" si="125"/>
        <v>0.160475352439485+0.543321604704242i</v>
      </c>
      <c r="AN268" s="170" t="str">
        <f t="shared" si="126"/>
        <v>0.574388597388714i</v>
      </c>
      <c r="AO268" s="170" t="str">
        <f t="shared" si="127"/>
        <v>0.94591293624959-0.279384641632926i</v>
      </c>
      <c r="AP268" s="170" t="str">
        <f t="shared" si="128"/>
        <v>0.139920774593419-0.0905536007840403i</v>
      </c>
      <c r="AQ268" s="170" t="str">
        <f t="shared" si="129"/>
        <v>0.860079225406581+0.0905536007840403i</v>
      </c>
      <c r="AR268" s="170" t="str">
        <f t="shared" si="130"/>
        <v>0.957897167400778-0.100852380951265i</v>
      </c>
    </row>
    <row r="269" spans="7:44">
      <c r="G269" s="688">
        <v>16982</v>
      </c>
      <c r="H269" s="676">
        <f t="shared" si="122"/>
        <v>16.981999999999999</v>
      </c>
      <c r="I269" s="677">
        <f t="shared" ref="I269:I332" si="134">SQRT(1+(G269/pole1)^2)</f>
        <v>87.450089395638557</v>
      </c>
      <c r="J269" s="678">
        <f t="shared" ref="J269:J332" si="135">ATAN(G269/pole1)</f>
        <v>1.5593609834835707</v>
      </c>
      <c r="K269" s="678">
        <f t="shared" ref="K269:K332" si="136">SQRT(1+(G269/Zero1)^2)</f>
        <v>1.0000502981716195</v>
      </c>
      <c r="L269" s="679">
        <f t="shared" ref="L269:L332" si="137">ATAN(G269/Zero1)</f>
        <v>1.0029562647994017E-2</v>
      </c>
      <c r="M269" s="678">
        <f t="shared" ref="M269:M332" si="138">SQRT(1+(G269/z_RHP)^2)</f>
        <v>1.0062568870950244</v>
      </c>
      <c r="N269" s="679">
        <f t="shared" ref="N269:N332" si="139">-ATAN(G269/z_RHP)</f>
        <v>-0.11157451746453945</v>
      </c>
      <c r="O269" s="677">
        <f t="shared" ref="O269:O332" si="140">SQRT(1+(G269/Pole2)^2)</f>
        <v>320103.15829536202</v>
      </c>
      <c r="P269" s="680">
        <f t="shared" ref="P269:P332" si="141">ATAN(G269/Pole2)</f>
        <v>1.5707932028019771</v>
      </c>
      <c r="Q269" s="689">
        <f t="shared" si="131"/>
        <v>39.492052328297966</v>
      </c>
      <c r="R269" s="690">
        <f t="shared" si="132"/>
        <v>1.5454720694983013</v>
      </c>
      <c r="S269" s="677">
        <f t="shared" ref="S269:S332" si="142">SQRT(1+(G269/pole4)^2)</f>
        <v>1.0396148203530562</v>
      </c>
      <c r="T269" s="680">
        <f t="shared" ref="T269:T332" si="143">ATAN(G269/pole4)</f>
        <v>0.27694684702672745</v>
      </c>
      <c r="U269" s="681">
        <f t="shared" si="123"/>
        <v>0.94947664963047307</v>
      </c>
      <c r="V269" s="682">
        <f t="shared" si="124"/>
        <v>-0.39422566253839658</v>
      </c>
      <c r="W269" s="683">
        <f t="shared" ref="W269:W332" si="144">20*LOG10(((K269*Q269*M269*U269)/(I269*O269*S269))*Adc)</f>
        <v>-8.7262745793796892</v>
      </c>
      <c r="X269" s="684">
        <f t="shared" ref="X269:X332" si="145">((L269+R269+N269+V269)-(J269+P269+T269))*radconv</f>
        <v>-135.06904678122572</v>
      </c>
      <c r="Y269" s="687">
        <f t="shared" ref="Y269:Y332" si="146">IF(X269&gt;0,X269,X269+180)</f>
        <v>44.930953218774278</v>
      </c>
      <c r="AA269" s="170">
        <f t="shared" ref="AA269:AA332" si="147">IF(W269&lt;0,G269,1000000000)</f>
        <v>16982</v>
      </c>
      <c r="AB269" s="170">
        <f t="shared" ref="AB269:AB332" si="148">G269^2</f>
        <v>288388324</v>
      </c>
      <c r="AD269" s="686">
        <f t="shared" ref="AD269:AD332" si="149">20*LOG10((Q269/(O269*S269))*Aea)</f>
        <v>26.592395755242912</v>
      </c>
      <c r="AE269" s="687">
        <f t="shared" ref="AE269:AE332" si="150">(R269-(P269+T269))*radconv</f>
        <v>-17.318679574664969</v>
      </c>
      <c r="AG269" s="686">
        <f t="shared" ref="AG269:AG332" si="151">20*LOG10((K269*M269/(I269*U269))*Acs*Am)</f>
        <v>10.762946296198177</v>
      </c>
      <c r="AH269" s="687">
        <f t="shared" ref="AH269:AH332" si="152">(L269+N269-(J269+V269))*radconv</f>
        <v>-72.575433876543315</v>
      </c>
      <c r="AJ269" s="170">
        <f t="shared" ref="AJ269:AJ332" si="153">SUM((W270&lt;0)*(W269&gt;0))*G269</f>
        <v>0</v>
      </c>
      <c r="AK269" s="170">
        <f t="shared" si="133"/>
        <v>0</v>
      </c>
      <c r="AM269" s="170" t="str">
        <f t="shared" si="125"/>
        <v>0.162263384953906+0.546074503901356i</v>
      </c>
      <c r="AN269" s="170" t="str">
        <f t="shared" si="126"/>
        <v>0.577671206707242i</v>
      </c>
      <c r="AO269" s="170" t="str">
        <f t="shared" si="127"/>
        <v>0.945303310189218-0.280892284520837i</v>
      </c>
      <c r="AP269" s="170" t="str">
        <f t="shared" si="128"/>
        <v>0.139622769174349-0.0910124173168927i</v>
      </c>
      <c r="AQ269" s="170" t="str">
        <f t="shared" si="129"/>
        <v>0.860377230825651+0.0910124173168927i</v>
      </c>
      <c r="AR269" s="170" t="str">
        <f t="shared" si="130"/>
        <v>0.957466085661726-0.101282669778921i</v>
      </c>
    </row>
    <row r="270" spans="7:44">
      <c r="G270" s="688">
        <v>17081</v>
      </c>
      <c r="H270" s="676">
        <f t="shared" ref="H270:H333" si="154">G270/1000</f>
        <v>17.081</v>
      </c>
      <c r="I270" s="677">
        <f t="shared" si="134"/>
        <v>87.959830889934267</v>
      </c>
      <c r="J270" s="678">
        <f t="shared" si="135"/>
        <v>1.5594272560175255</v>
      </c>
      <c r="K270" s="678">
        <f t="shared" si="136"/>
        <v>1.0000508863127677</v>
      </c>
      <c r="L270" s="679">
        <f t="shared" si="137"/>
        <v>1.0088028054487478E-2</v>
      </c>
      <c r="M270" s="678">
        <f t="shared" si="138"/>
        <v>1.006329821202844</v>
      </c>
      <c r="N270" s="679">
        <f t="shared" si="139"/>
        <v>-0.11221953215975046</v>
      </c>
      <c r="O270" s="677">
        <f t="shared" si="140"/>
        <v>321969.26432945294</v>
      </c>
      <c r="P270" s="680">
        <f t="shared" si="141"/>
        <v>1.5707932209083701</v>
      </c>
      <c r="Q270" s="689">
        <f t="shared" si="131"/>
        <v>39.722132036639714</v>
      </c>
      <c r="R270" s="690">
        <f t="shared" si="132"/>
        <v>1.5456187845035894</v>
      </c>
      <c r="S270" s="677">
        <f t="shared" si="142"/>
        <v>1.0400691268276925</v>
      </c>
      <c r="T270" s="680">
        <f t="shared" si="143"/>
        <v>0.27847939749763678</v>
      </c>
      <c r="U270" s="681">
        <f t="shared" ref="U270:U333" si="155">IMABS(IMPRODUCT(AO270, AR270))</f>
        <v>0.94893193964383737</v>
      </c>
      <c r="V270" s="682">
        <f t="shared" ref="V270:V333" si="156">IMARGUMENT(IMPRODUCT(AO270, AR270))</f>
        <v>-0.39641178276874289</v>
      </c>
      <c r="W270" s="683">
        <f t="shared" si="144"/>
        <v>-8.7849340221426715</v>
      </c>
      <c r="X270" s="684">
        <f t="shared" si="145"/>
        <v>-135.31110974012205</v>
      </c>
      <c r="Y270" s="687">
        <f t="shared" si="146"/>
        <v>44.688890259877951</v>
      </c>
      <c r="AA270" s="170">
        <f t="shared" si="147"/>
        <v>17081</v>
      </c>
      <c r="AB270" s="170">
        <f t="shared" si="148"/>
        <v>291760561</v>
      </c>
      <c r="AD270" s="686">
        <f t="shared" si="149"/>
        <v>26.588568708706202</v>
      </c>
      <c r="AE270" s="687">
        <f t="shared" si="150"/>
        <v>-17.398083135455241</v>
      </c>
      <c r="AG270" s="686">
        <f t="shared" si="151"/>
        <v>10.718082862365442</v>
      </c>
      <c r="AH270" s="687">
        <f t="shared" si="152"/>
        <v>-72.48758234894909</v>
      </c>
      <c r="AJ270" s="170">
        <f t="shared" si="153"/>
        <v>0</v>
      </c>
      <c r="AK270" s="170">
        <f t="shared" si="133"/>
        <v>0</v>
      </c>
      <c r="AM270" s="170" t="str">
        <f t="shared" ref="AM270:AM333" si="157">IMSUB(1,IMEXP(COMPLEX(0,-2*Pi*G270*Tsw)))</f>
        <v>0.164107120244584+0.548892606594584i</v>
      </c>
      <c r="AN270" s="170" t="str">
        <f t="shared" ref="AN270:AN333" si="158">COMPLEX(0, 2*Pi*G270*Tsw)</f>
        <v>0.581038857717961i</v>
      </c>
      <c r="AO270" s="170" t="str">
        <f t="shared" ref="AO270:AO333" si="159">IMDIV(AM270, AN270)</f>
        <v>0.944674524437777-0.28243742748827i</v>
      </c>
      <c r="AP270" s="170" t="str">
        <f t="shared" ref="AP270:AP333" si="160">IMDIV(IMEXP(COMPLEX(0,-2*Pi*G270*Tsw)),6)</f>
        <v>0.139315479959236-0.0914821010990973i</v>
      </c>
      <c r="AQ270" s="170" t="str">
        <f t="shared" ref="AQ270:AQ333" si="161">IMSUB(1, AP270)</f>
        <v>0.860684520040764+0.0914821010990973i</v>
      </c>
      <c r="AR270" s="170" t="str">
        <f t="shared" ref="AR270:AR333" si="162">IMDIV(0.833, AQ270)</f>
        <v>0.957022292696442-0.101721836626502i</v>
      </c>
    </row>
    <row r="271" spans="7:44">
      <c r="G271" s="688">
        <v>17180</v>
      </c>
      <c r="H271" s="676">
        <f t="shared" si="154"/>
        <v>17.18</v>
      </c>
      <c r="I271" s="677">
        <f t="shared" si="134"/>
        <v>88.469572766102033</v>
      </c>
      <c r="J271" s="678">
        <f t="shared" si="135"/>
        <v>1.5594927648567516</v>
      </c>
      <c r="K271" s="678">
        <f t="shared" si="136"/>
        <v>1.0000514778722895</v>
      </c>
      <c r="L271" s="679">
        <f t="shared" si="137"/>
        <v>1.0146493392012805E-2</v>
      </c>
      <c r="M271" s="678">
        <f t="shared" si="138"/>
        <v>1.0064031739273196</v>
      </c>
      <c r="N271" s="679">
        <f t="shared" si="139"/>
        <v>-0.11286445309813313</v>
      </c>
      <c r="O271" s="677">
        <f t="shared" si="140"/>
        <v>323835.37036354397</v>
      </c>
      <c r="P271" s="680">
        <f t="shared" si="141"/>
        <v>1.5707932388060866</v>
      </c>
      <c r="Q271" s="689">
        <f t="shared" si="131"/>
        <v>39.952212590163938</v>
      </c>
      <c r="R271" s="690">
        <f t="shared" si="132"/>
        <v>1.5457638096796702</v>
      </c>
      <c r="S271" s="677">
        <f t="shared" si="142"/>
        <v>1.040525873987594</v>
      </c>
      <c r="T271" s="680">
        <f t="shared" si="143"/>
        <v>0.28001060611169931</v>
      </c>
      <c r="U271" s="681">
        <f t="shared" si="155"/>
        <v>0.94838495109875121</v>
      </c>
      <c r="V271" s="682">
        <f t="shared" si="156"/>
        <v>-0.39859610569825771</v>
      </c>
      <c r="W271" s="683">
        <f t="shared" si="144"/>
        <v>-8.8433400869149583</v>
      </c>
      <c r="X271" s="684">
        <f t="shared" si="145"/>
        <v>-135.55304052225358</v>
      </c>
      <c r="Y271" s="687">
        <f t="shared" si="146"/>
        <v>44.446959477746418</v>
      </c>
      <c r="AA271" s="170">
        <f t="shared" si="147"/>
        <v>17180</v>
      </c>
      <c r="AB271" s="170">
        <f t="shared" si="148"/>
        <v>295152400</v>
      </c>
      <c r="AD271" s="686">
        <f t="shared" si="149"/>
        <v>26.584723500108357</v>
      </c>
      <c r="AE271" s="687">
        <f t="shared" si="150"/>
        <v>-17.477506621636902</v>
      </c>
      <c r="AG271" s="686">
        <f t="shared" si="151"/>
        <v>10.673538429468977</v>
      </c>
      <c r="AH271" s="687">
        <f t="shared" si="152"/>
        <v>-72.399784674703298</v>
      </c>
      <c r="AJ271" s="170">
        <f t="shared" si="153"/>
        <v>0</v>
      </c>
      <c r="AK271" s="170">
        <f t="shared" si="133"/>
        <v>0</v>
      </c>
      <c r="AM271" s="170" t="str">
        <f t="shared" si="157"/>
        <v>0.165960335448747+0.551704484262393i</v>
      </c>
      <c r="AN271" s="170" t="str">
        <f t="shared" si="158"/>
        <v>0.584406508728679i</v>
      </c>
      <c r="AO271" s="170" t="str">
        <f t="shared" si="159"/>
        <v>0.944042333584843-0.283980984075242i</v>
      </c>
      <c r="AP271" s="170" t="str">
        <f t="shared" si="160"/>
        <v>0.139006610758542-0.0919507473770655i</v>
      </c>
      <c r="AQ271" s="170" t="str">
        <f t="shared" si="161"/>
        <v>0.860993389241458+0.0919507473770655i</v>
      </c>
      <c r="AR271" s="170" t="str">
        <f t="shared" si="162"/>
        <v>0.956576951056567-0.102158700255315i</v>
      </c>
    </row>
    <row r="272" spans="7:44">
      <c r="G272" s="688">
        <v>17279</v>
      </c>
      <c r="H272" s="676">
        <f t="shared" si="154"/>
        <v>17.279</v>
      </c>
      <c r="I272" s="677">
        <f t="shared" si="134"/>
        <v>88.979315017578855</v>
      </c>
      <c r="J272" s="678">
        <f t="shared" si="135"/>
        <v>1.5595575231257819</v>
      </c>
      <c r="K272" s="678">
        <f t="shared" si="136"/>
        <v>1.0000520728501789</v>
      </c>
      <c r="L272" s="679">
        <f t="shared" si="137"/>
        <v>1.0204958660170439E-2</v>
      </c>
      <c r="M272" s="678">
        <f t="shared" si="138"/>
        <v>1.0064769451769242</v>
      </c>
      <c r="N272" s="679">
        <f t="shared" si="139"/>
        <v>-0.11350927976377062</v>
      </c>
      <c r="O272" s="677">
        <f t="shared" si="140"/>
        <v>325701.47639763518</v>
      </c>
      <c r="P272" s="680">
        <f t="shared" si="141"/>
        <v>1.570793256498713</v>
      </c>
      <c r="Q272" s="689">
        <f t="shared" si="131"/>
        <v>40.182293974352326</v>
      </c>
      <c r="R272" s="690">
        <f t="shared" si="132"/>
        <v>1.54590717404797</v>
      </c>
      <c r="S272" s="677">
        <f t="shared" si="142"/>
        <v>1.040985058620103</v>
      </c>
      <c r="T272" s="680">
        <f t="shared" si="143"/>
        <v>0.28154046745979155</v>
      </c>
      <c r="U272" s="681">
        <f t="shared" si="155"/>
        <v>0.9478356969508781</v>
      </c>
      <c r="V272" s="682">
        <f t="shared" si="156"/>
        <v>-0.40077862509525158</v>
      </c>
      <c r="W272" s="683">
        <f t="shared" si="144"/>
        <v>-8.9014960070826437</v>
      </c>
      <c r="X272" s="684">
        <f t="shared" si="145"/>
        <v>-135.79483752049464</v>
      </c>
      <c r="Y272" s="687">
        <f t="shared" si="146"/>
        <v>44.205162479505361</v>
      </c>
      <c r="AA272" s="170">
        <f t="shared" si="147"/>
        <v>17279</v>
      </c>
      <c r="AB272" s="170">
        <f t="shared" si="148"/>
        <v>298563841</v>
      </c>
      <c r="AD272" s="686">
        <f t="shared" si="149"/>
        <v>26.580860168960243</v>
      </c>
      <c r="AE272" s="687">
        <f t="shared" si="150"/>
        <v>-17.556948060690239</v>
      </c>
      <c r="AG272" s="686">
        <f t="shared" si="151"/>
        <v>10.629309565997396</v>
      </c>
      <c r="AH272" s="687">
        <f t="shared" si="152"/>
        <v>-72.312041933298843</v>
      </c>
      <c r="AJ272" s="170">
        <f t="shared" si="153"/>
        <v>0</v>
      </c>
      <c r="AK272" s="170">
        <f t="shared" si="133"/>
        <v>0</v>
      </c>
      <c r="AM272" s="170" t="str">
        <f t="shared" si="157"/>
        <v>0.167823009548967+0.554510105015103i</v>
      </c>
      <c r="AN272" s="170" t="str">
        <f t="shared" si="158"/>
        <v>0.587774159739397i</v>
      </c>
      <c r="AO272" s="170" t="str">
        <f t="shared" si="159"/>
        <v>0.943406741903995-0.285522945791586i</v>
      </c>
      <c r="AP272" s="170" t="str">
        <f t="shared" si="160"/>
        <v>0.138696165075172-0.0924183508358505i</v>
      </c>
      <c r="AQ272" s="170" t="str">
        <f t="shared" si="161"/>
        <v>0.861303834924828+0.0924183508358505i</v>
      </c>
      <c r="AR272" s="170" t="str">
        <f t="shared" si="162"/>
        <v>0.956130075231154-0.102593255892252i</v>
      </c>
    </row>
    <row r="273" spans="7:44">
      <c r="G273" s="688">
        <v>17378</v>
      </c>
      <c r="H273" s="676">
        <f t="shared" si="154"/>
        <v>17.378</v>
      </c>
      <c r="I273" s="677">
        <f t="shared" si="134"/>
        <v>89.489057637951319</v>
      </c>
      <c r="J273" s="678">
        <f t="shared" si="135"/>
        <v>1.5596215436501377</v>
      </c>
      <c r="K273" s="678">
        <f t="shared" si="136"/>
        <v>1.0000526712464297</v>
      </c>
      <c r="L273" s="679">
        <f t="shared" si="137"/>
        <v>1.0263423858560806E-2</v>
      </c>
      <c r="M273" s="678">
        <f t="shared" si="138"/>
        <v>1.0065511348596352</v>
      </c>
      <c r="N273" s="679">
        <f t="shared" si="139"/>
        <v>-0.11415401164121053</v>
      </c>
      <c r="O273" s="677">
        <f t="shared" si="140"/>
        <v>327567.58243172639</v>
      </c>
      <c r="P273" s="680">
        <f t="shared" si="141"/>
        <v>1.5707932739897545</v>
      </c>
      <c r="Q273" s="689">
        <f t="shared" si="131"/>
        <v>40.412376175017101</v>
      </c>
      <c r="R273" s="690">
        <f t="shared" si="132"/>
        <v>1.5460489059692732</v>
      </c>
      <c r="S273" s="677">
        <f t="shared" si="142"/>
        <v>1.0414466775010993</v>
      </c>
      <c r="T273" s="680">
        <f t="shared" si="143"/>
        <v>0.28306897616753024</v>
      </c>
      <c r="U273" s="681">
        <f t="shared" si="155"/>
        <v>0.94728419016886112</v>
      </c>
      <c r="V273" s="682">
        <f t="shared" si="156"/>
        <v>-0.4029593347866085</v>
      </c>
      <c r="W273" s="683">
        <f t="shared" si="144"/>
        <v>-8.9594049579796362</v>
      </c>
      <c r="X273" s="684">
        <f t="shared" si="145"/>
        <v>-136.03649915380765</v>
      </c>
      <c r="Y273" s="687">
        <f t="shared" si="146"/>
        <v>43.963500846192346</v>
      </c>
      <c r="AA273" s="170">
        <f t="shared" si="147"/>
        <v>17378</v>
      </c>
      <c r="AB273" s="170">
        <f t="shared" si="148"/>
        <v>301994884</v>
      </c>
      <c r="AD273" s="686">
        <f t="shared" si="149"/>
        <v>26.57697875527829</v>
      </c>
      <c r="AE273" s="687">
        <f t="shared" si="150"/>
        <v>-17.636405519933358</v>
      </c>
      <c r="AG273" s="686">
        <f t="shared" si="151"/>
        <v>10.585392897674669</v>
      </c>
      <c r="AH273" s="687">
        <f t="shared" si="152"/>
        <v>-72.224355183767116</v>
      </c>
      <c r="AJ273" s="170">
        <f t="shared" si="153"/>
        <v>0</v>
      </c>
      <c r="AK273" s="170">
        <f t="shared" si="133"/>
        <v>0</v>
      </c>
      <c r="AM273" s="170" t="str">
        <f t="shared" si="157"/>
        <v>0.169695121420539+0.557309437033993i</v>
      </c>
      <c r="AN273" s="170" t="str">
        <f t="shared" si="158"/>
        <v>0.591141810750115i</v>
      </c>
      <c r="AO273" s="170" t="str">
        <f t="shared" si="159"/>
        <v>0.942767753691468-0.28706330415913i</v>
      </c>
      <c r="AP273" s="170" t="str">
        <f t="shared" si="160"/>
        <v>0.13838414642991-0.0928849061723322i</v>
      </c>
      <c r="AQ273" s="170" t="str">
        <f t="shared" si="161"/>
        <v>0.86161585357009+0.0928849061723322i</v>
      </c>
      <c r="AR273" s="170" t="str">
        <f t="shared" si="162"/>
        <v>0.955681679709133-0.103025498872368i</v>
      </c>
    </row>
    <row r="274" spans="7:44">
      <c r="G274" s="688">
        <v>17479.25</v>
      </c>
      <c r="H274" s="676">
        <f t="shared" si="154"/>
        <v>17.47925</v>
      </c>
      <c r="I274" s="677">
        <f t="shared" si="134"/>
        <v>90.010385692912877</v>
      </c>
      <c r="J274" s="678">
        <f t="shared" si="135"/>
        <v>1.5596862691629017</v>
      </c>
      <c r="K274" s="678">
        <f t="shared" si="136"/>
        <v>1.0000532867783685</v>
      </c>
      <c r="L274" s="679">
        <f t="shared" si="137"/>
        <v>1.0323217738879915E-2</v>
      </c>
      <c r="M274" s="678">
        <f t="shared" si="138"/>
        <v>1.0066274433810136</v>
      </c>
      <c r="N274" s="679">
        <f t="shared" si="139"/>
        <v>-0.11481329793506351</v>
      </c>
      <c r="O274" s="677">
        <f t="shared" si="140"/>
        <v>329476.09996659262</v>
      </c>
      <c r="P274" s="680">
        <f t="shared" si="141"/>
        <v>1.5707932916733807</v>
      </c>
      <c r="Q274" s="689">
        <f t="shared" si="131"/>
        <v>40.647688346678109</v>
      </c>
      <c r="R274" s="690">
        <f t="shared" si="132"/>
        <v>1.5461921994348453</v>
      </c>
      <c r="S274" s="677">
        <f t="shared" si="142"/>
        <v>1.0419213022111711</v>
      </c>
      <c r="T274" s="680">
        <f t="shared" si="143"/>
        <v>0.28463081904245585</v>
      </c>
      <c r="U274" s="681">
        <f t="shared" si="155"/>
        <v>0.94671783266009768</v>
      </c>
      <c r="V274" s="682">
        <f t="shared" si="156"/>
        <v>-0.40518772782219403</v>
      </c>
      <c r="W274" s="683">
        <f t="shared" si="144"/>
        <v>-9.0183778187682027</v>
      </c>
      <c r="X274" s="684">
        <f t="shared" si="145"/>
        <v>-136.28351146136299</v>
      </c>
      <c r="Y274" s="687">
        <f t="shared" si="146"/>
        <v>43.716488538637009</v>
      </c>
      <c r="AA274" s="170">
        <f t="shared" si="147"/>
        <v>17479.25</v>
      </c>
      <c r="AB274" s="170">
        <f t="shared" si="148"/>
        <v>305524180.5625</v>
      </c>
      <c r="AD274" s="686">
        <f t="shared" si="149"/>
        <v>26.572990466214513</v>
      </c>
      <c r="AE274" s="687">
        <f t="shared" si="150"/>
        <v>-17.717683427410108</v>
      </c>
      <c r="AG274" s="686">
        <f t="shared" si="151"/>
        <v>10.540797584048105</v>
      </c>
      <c r="AH274" s="687">
        <f t="shared" si="152"/>
        <v>-72.13473455148312</v>
      </c>
      <c r="AJ274" s="170">
        <f t="shared" si="153"/>
        <v>0</v>
      </c>
      <c r="AK274" s="170">
        <f t="shared" si="133"/>
        <v>0</v>
      </c>
      <c r="AM274" s="170" t="str">
        <f t="shared" si="157"/>
        <v>0.171619521112157+0.560165852402257i</v>
      </c>
      <c r="AN274" s="170" t="str">
        <f t="shared" si="158"/>
        <v>0.594585999283804i</v>
      </c>
      <c r="AO274" s="170" t="str">
        <f t="shared" si="159"/>
        <v>0.942110734321012-0.288637003425707i</v>
      </c>
      <c r="AP274" s="170" t="str">
        <f t="shared" si="160"/>
        <v>0.138063413147974-0.0933609754003762i</v>
      </c>
      <c r="AQ274" s="170" t="str">
        <f t="shared" si="161"/>
        <v>0.861936586852026+0.0933609754003762i</v>
      </c>
      <c r="AR274" s="170" t="str">
        <f t="shared" si="162"/>
        <v>0.955221536581923-0.103465168713211i</v>
      </c>
    </row>
    <row r="275" spans="7:44">
      <c r="G275" s="688">
        <v>17580.5</v>
      </c>
      <c r="H275" s="676">
        <f t="shared" si="154"/>
        <v>17.580500000000001</v>
      </c>
      <c r="I275" s="677">
        <f t="shared" si="134"/>
        <v>90.531714120620279</v>
      </c>
      <c r="J275" s="678">
        <f t="shared" si="135"/>
        <v>1.5597502492299815</v>
      </c>
      <c r="K275" s="678">
        <f t="shared" si="136"/>
        <v>1.0000539058858013</v>
      </c>
      <c r="L275" s="679">
        <f t="shared" si="137"/>
        <v>1.0383011545379123E-2</v>
      </c>
      <c r="M275" s="678">
        <f t="shared" si="138"/>
        <v>1.006704189375041</v>
      </c>
      <c r="N275" s="679">
        <f t="shared" si="139"/>
        <v>-0.11547248399415048</v>
      </c>
      <c r="O275" s="677">
        <f t="shared" si="140"/>
        <v>331384.61750145885</v>
      </c>
      <c r="P275" s="680">
        <f t="shared" si="141"/>
        <v>1.5707933091533188</v>
      </c>
      <c r="Q275" s="689">
        <f t="shared" si="131"/>
        <v>40.88300134335109</v>
      </c>
      <c r="R275" s="690">
        <f t="shared" si="132"/>
        <v>1.5463338433759304</v>
      </c>
      <c r="S275" s="677">
        <f t="shared" si="142"/>
        <v>1.0423984662171606</v>
      </c>
      <c r="T275" s="680">
        <f t="shared" si="143"/>
        <v>0.28619123583543704</v>
      </c>
      <c r="U275" s="681">
        <f t="shared" si="155"/>
        <v>0.94614914643755144</v>
      </c>
      <c r="V275" s="682">
        <f t="shared" si="156"/>
        <v>-0.40741421508501169</v>
      </c>
      <c r="W275" s="683">
        <f t="shared" si="144"/>
        <v>-9.0770988947224431</v>
      </c>
      <c r="X275" s="684">
        <f t="shared" si="145"/>
        <v>-136.53037891713498</v>
      </c>
      <c r="Y275" s="687">
        <f t="shared" si="146"/>
        <v>43.469621082865018</v>
      </c>
      <c r="AA275" s="170">
        <f t="shared" si="147"/>
        <v>17580.5</v>
      </c>
      <c r="AB275" s="170">
        <f t="shared" si="148"/>
        <v>309073980.25</v>
      </c>
      <c r="AD275" s="686">
        <f t="shared" si="149"/>
        <v>26.56898334956459</v>
      </c>
      <c r="AE275" s="687">
        <f t="shared" si="150"/>
        <v>-17.798974125531068</v>
      </c>
      <c r="AG275" s="686">
        <f t="shared" si="151"/>
        <v>10.496521856211476</v>
      </c>
      <c r="AH275" s="687">
        <f t="shared" si="152"/>
        <v>-72.045174662244449</v>
      </c>
      <c r="AJ275" s="170">
        <f t="shared" si="153"/>
        <v>0</v>
      </c>
      <c r="AK275" s="170">
        <f t="shared" si="133"/>
        <v>0</v>
      </c>
      <c r="AM275" s="170" t="str">
        <f t="shared" si="157"/>
        <v>0.173553747403362+0.56301562284627i</v>
      </c>
      <c r="AN275" s="170" t="str">
        <f t="shared" si="158"/>
        <v>0.598030187817494i</v>
      </c>
      <c r="AO275" s="170" t="str">
        <f t="shared" si="159"/>
        <v>0.941450171438654-0.290209007737126i</v>
      </c>
      <c r="AP275" s="170" t="str">
        <f t="shared" si="160"/>
        <v>0.13774104209944-0.093835937141045i</v>
      </c>
      <c r="AQ275" s="170" t="str">
        <f t="shared" si="161"/>
        <v>0.86225895790056+0.093835937141045i</v>
      </c>
      <c r="AR275" s="170" t="str">
        <f t="shared" si="162"/>
        <v>0.954759834546146-0.103902410057187i</v>
      </c>
    </row>
    <row r="276" spans="7:44">
      <c r="G276" s="688">
        <v>17681.75</v>
      </c>
      <c r="H276" s="676">
        <f t="shared" si="154"/>
        <v>17.681750000000001</v>
      </c>
      <c r="I276" s="677">
        <f t="shared" si="134"/>
        <v>91.053042914671011</v>
      </c>
      <c r="J276" s="678">
        <f t="shared" si="135"/>
        <v>1.5598134966551096</v>
      </c>
      <c r="K276" s="678">
        <f t="shared" si="136"/>
        <v>1.0000545285687219</v>
      </c>
      <c r="L276" s="679">
        <f t="shared" si="137"/>
        <v>1.0442805277631008E-2</v>
      </c>
      <c r="M276" s="678">
        <f t="shared" si="138"/>
        <v>1.0067813727416735</v>
      </c>
      <c r="N276" s="679">
        <f t="shared" si="139"/>
        <v>-0.1161315692685924</v>
      </c>
      <c r="O276" s="677">
        <f t="shared" si="140"/>
        <v>333293.1350363252</v>
      </c>
      <c r="P276" s="680">
        <f t="shared" si="141"/>
        <v>1.5707933264330682</v>
      </c>
      <c r="Q276" s="689">
        <f t="shared" si="131"/>
        <v>41.118315150871815</v>
      </c>
      <c r="R276" s="690">
        <f t="shared" si="132"/>
        <v>1.5464738661067223</v>
      </c>
      <c r="S276" s="677">
        <f t="shared" si="142"/>
        <v>1.0428781660335391</v>
      </c>
      <c r="T276" s="680">
        <f t="shared" si="143"/>
        <v>0.28775022091027902</v>
      </c>
      <c r="U276" s="681">
        <f t="shared" si="155"/>
        <v>0.94557814541171825</v>
      </c>
      <c r="V276" s="682">
        <f t="shared" si="156"/>
        <v>-0.40963879016149951</v>
      </c>
      <c r="W276" s="683">
        <f t="shared" si="144"/>
        <v>-9.1355714027093171</v>
      </c>
      <c r="X276" s="684">
        <f t="shared" si="145"/>
        <v>-136.77709991075869</v>
      </c>
      <c r="Y276" s="687">
        <f t="shared" si="146"/>
        <v>43.222900089241307</v>
      </c>
      <c r="AA276" s="170">
        <f t="shared" si="147"/>
        <v>17681.75</v>
      </c>
      <c r="AB276" s="170">
        <f t="shared" si="148"/>
        <v>312644283.0625</v>
      </c>
      <c r="AD276" s="686">
        <f t="shared" si="149"/>
        <v>26.564957449685359</v>
      </c>
      <c r="AE276" s="687">
        <f t="shared" si="150"/>
        <v>-17.880275669282732</v>
      </c>
      <c r="AG276" s="686">
        <f t="shared" si="151"/>
        <v>10.452562281970925</v>
      </c>
      <c r="AH276" s="687">
        <f t="shared" si="152"/>
        <v>-71.955676585639722</v>
      </c>
      <c r="AJ276" s="170">
        <f t="shared" si="153"/>
        <v>0</v>
      </c>
      <c r="AK276" s="170">
        <f t="shared" si="133"/>
        <v>0</v>
      </c>
      <c r="AM276" s="170" t="str">
        <f t="shared" si="157"/>
        <v>0.175497777349543+0.565858714560849i</v>
      </c>
      <c r="AN276" s="170" t="str">
        <f t="shared" si="158"/>
        <v>0.601474376351183i</v>
      </c>
      <c r="AO276" s="170" t="str">
        <f t="shared" si="159"/>
        <v>0.940786069713568-0.291779308063283i</v>
      </c>
      <c r="AP276" s="170" t="str">
        <f t="shared" si="160"/>
        <v>0.137417037108409-0.0943097857601415i</v>
      </c>
      <c r="AQ276" s="170" t="str">
        <f t="shared" si="161"/>
        <v>0.862582962891591+0.0943097857601415i</v>
      </c>
      <c r="AR276" s="170" t="str">
        <f t="shared" si="162"/>
        <v>0.954296589094887-0.104337218263009i</v>
      </c>
    </row>
    <row r="277" spans="7:44">
      <c r="G277" s="688">
        <v>17783</v>
      </c>
      <c r="H277" s="676">
        <f t="shared" si="154"/>
        <v>17.783000000000001</v>
      </c>
      <c r="I277" s="677">
        <f t="shared" si="134"/>
        <v>91.57437206880833</v>
      </c>
      <c r="J277" s="678">
        <f t="shared" si="135"/>
        <v>1.5598760239504776</v>
      </c>
      <c r="K277" s="678">
        <f t="shared" si="136"/>
        <v>1.0000551548271235</v>
      </c>
      <c r="L277" s="679">
        <f t="shared" si="137"/>
        <v>1.0502598935208149E-2</v>
      </c>
      <c r="M277" s="678">
        <f t="shared" si="138"/>
        <v>1.0068589933803267</v>
      </c>
      <c r="N277" s="679">
        <f t="shared" si="139"/>
        <v>-0.11679055320902851</v>
      </c>
      <c r="O277" s="677">
        <f t="shared" si="140"/>
        <v>335201.65257119166</v>
      </c>
      <c r="P277" s="680">
        <f t="shared" si="141"/>
        <v>1.5707933435160484</v>
      </c>
      <c r="Q277" s="689">
        <f t="shared" si="131"/>
        <v>41.353629755398444</v>
      </c>
      <c r="R277" s="690">
        <f t="shared" si="132"/>
        <v>1.546612295297207</v>
      </c>
      <c r="S277" s="677">
        <f t="shared" si="142"/>
        <v>1.043360398162682</v>
      </c>
      <c r="T277" s="680">
        <f t="shared" si="143"/>
        <v>0.28930776866896257</v>
      </c>
      <c r="U277" s="681">
        <f t="shared" si="155"/>
        <v>0.94500484350410741</v>
      </c>
      <c r="V277" s="682">
        <f t="shared" si="156"/>
        <v>-0.41186144670215413</v>
      </c>
      <c r="W277" s="683">
        <f t="shared" si="144"/>
        <v>-9.1937985016866666</v>
      </c>
      <c r="X277" s="684">
        <f t="shared" si="145"/>
        <v>-137.02367285795822</v>
      </c>
      <c r="Y277" s="687">
        <f t="shared" si="146"/>
        <v>42.976327142041782</v>
      </c>
      <c r="AA277" s="170">
        <f t="shared" si="147"/>
        <v>17783</v>
      </c>
      <c r="AB277" s="170">
        <f t="shared" si="148"/>
        <v>316235089</v>
      </c>
      <c r="AD277" s="686">
        <f t="shared" si="149"/>
        <v>26.560912811426746</v>
      </c>
      <c r="AE277" s="687">
        <f t="shared" si="150"/>
        <v>-17.961586152744751</v>
      </c>
      <c r="AG277" s="686">
        <f t="shared" si="151"/>
        <v>10.408915486241519</v>
      </c>
      <c r="AH277" s="687">
        <f t="shared" si="152"/>
        <v>-71.866241370912888</v>
      </c>
      <c r="AJ277" s="170">
        <f t="shared" si="153"/>
        <v>0</v>
      </c>
      <c r="AK277" s="170">
        <f t="shared" si="133"/>
        <v>0</v>
      </c>
      <c r="AM277" s="170" t="str">
        <f t="shared" si="157"/>
        <v>0.177451587889795+0.568695093820037i</v>
      </c>
      <c r="AN277" s="170" t="str">
        <f t="shared" si="158"/>
        <v>0.604918564884872i</v>
      </c>
      <c r="AO277" s="170" t="str">
        <f t="shared" si="159"/>
        <v>0.940118433839555-0.293347895387485i</v>
      </c>
      <c r="AP277" s="170" t="str">
        <f t="shared" si="160"/>
        <v>0.137091402018368-0.0947825156366728i</v>
      </c>
      <c r="AQ277" s="170" t="str">
        <f t="shared" si="161"/>
        <v>0.862908597981632+0.0947825156366728i</v>
      </c>
      <c r="AR277" s="170" t="str">
        <f t="shared" si="162"/>
        <v>0.953831815717102-0.104769588806307i</v>
      </c>
    </row>
    <row r="278" spans="7:44">
      <c r="G278" s="688">
        <v>17886.5</v>
      </c>
      <c r="H278" s="676">
        <f t="shared" si="154"/>
        <v>17.886500000000002</v>
      </c>
      <c r="I278" s="677">
        <f t="shared" si="134"/>
        <v>92.107286681071798</v>
      </c>
      <c r="J278" s="678">
        <f t="shared" si="135"/>
        <v>1.5599392091609787</v>
      </c>
      <c r="K278" s="678">
        <f t="shared" si="136"/>
        <v>1.0000557986979177</v>
      </c>
      <c r="L278" s="679">
        <f t="shared" si="137"/>
        <v>1.0563721263104064E-2</v>
      </c>
      <c r="M278" s="678">
        <f t="shared" si="138"/>
        <v>1.0069387907724889</v>
      </c>
      <c r="N278" s="679">
        <f t="shared" si="139"/>
        <v>-0.1174640759287342</v>
      </c>
      <c r="O278" s="677">
        <f t="shared" si="140"/>
        <v>337152.58160683303</v>
      </c>
      <c r="P278" s="680">
        <f t="shared" si="141"/>
        <v>1.5707933607787528</v>
      </c>
      <c r="Q278" s="689">
        <f t="shared" si="131"/>
        <v>41.594174383043828</v>
      </c>
      <c r="R278" s="690">
        <f t="shared" si="132"/>
        <v>1.5467521817957912</v>
      </c>
      <c r="S278" s="677">
        <f t="shared" si="142"/>
        <v>1.0438559602554127</v>
      </c>
      <c r="T278" s="680">
        <f t="shared" si="143"/>
        <v>0.29089843722961917</v>
      </c>
      <c r="U278" s="681">
        <f t="shared" si="155"/>
        <v>0.94441643791441166</v>
      </c>
      <c r="V278" s="682">
        <f t="shared" si="156"/>
        <v>-0.41413150610534005</v>
      </c>
      <c r="W278" s="683">
        <f t="shared" si="144"/>
        <v>-9.253069116268108</v>
      </c>
      <c r="X278" s="684">
        <f t="shared" si="145"/>
        <v>-137.27557056323494</v>
      </c>
      <c r="Y278" s="687">
        <f t="shared" si="146"/>
        <v>42.724429436765064</v>
      </c>
      <c r="AA278" s="170">
        <f t="shared" si="147"/>
        <v>17886.5</v>
      </c>
      <c r="AB278" s="170">
        <f t="shared" si="148"/>
        <v>319926882.25</v>
      </c>
      <c r="AD278" s="686">
        <f t="shared" si="149"/>
        <v>26.556758971900138</v>
      </c>
      <c r="AE278" s="687">
        <f t="shared" si="150"/>
        <v>-18.044710831069871</v>
      </c>
      <c r="AG278" s="686">
        <f t="shared" si="151"/>
        <v>10.364618587579528</v>
      </c>
      <c r="AH278" s="687">
        <f t="shared" si="152"/>
        <v>-71.774884751474175</v>
      </c>
      <c r="AJ278" s="170">
        <f t="shared" si="153"/>
        <v>0</v>
      </c>
      <c r="AK278" s="170">
        <f t="shared" si="133"/>
        <v>0</v>
      </c>
      <c r="AM278" s="170" t="str">
        <f t="shared" si="157"/>
        <v>0.179458901337558+0.571587530834808i</v>
      </c>
      <c r="AN278" s="170" t="str">
        <f t="shared" si="158"/>
        <v>0.608439290941532i</v>
      </c>
      <c r="AO278" s="170" t="str">
        <f t="shared" si="159"/>
        <v>0.939432313699371-0.294949560308397i</v>
      </c>
      <c r="AP278" s="170" t="str">
        <f t="shared" si="160"/>
        <v>0.136756849777074-0.095264588472468i</v>
      </c>
      <c r="AQ278" s="170" t="str">
        <f t="shared" si="161"/>
        <v>0.863243150222926+0.095264588472468i</v>
      </c>
      <c r="AR278" s="170" t="str">
        <f t="shared" si="162"/>
        <v>0.953355150929644-0.105209043475139i</v>
      </c>
    </row>
    <row r="279" spans="7:44">
      <c r="G279" s="688">
        <v>17990</v>
      </c>
      <c r="H279" s="676">
        <f t="shared" si="154"/>
        <v>17.989999999999998</v>
      </c>
      <c r="I279" s="677">
        <f t="shared" si="134"/>
        <v>92.640201656830996</v>
      </c>
      <c r="J279" s="678">
        <f t="shared" si="135"/>
        <v>1.5600016674228574</v>
      </c>
      <c r="K279" s="678">
        <f t="shared" si="136"/>
        <v>1.0000564463048545</v>
      </c>
      <c r="L279" s="679">
        <f t="shared" si="137"/>
        <v>1.062484351206631E-2</v>
      </c>
      <c r="M279" s="678">
        <f t="shared" si="138"/>
        <v>1.0070190448726564</v>
      </c>
      <c r="N279" s="679">
        <f t="shared" si="139"/>
        <v>-0.11813749160147465</v>
      </c>
      <c r="O279" s="677">
        <f t="shared" si="140"/>
        <v>339103.51064247452</v>
      </c>
      <c r="P279" s="680">
        <f t="shared" si="141"/>
        <v>1.5707933778428256</v>
      </c>
      <c r="Q279" s="689">
        <f t="shared" ref="Q279:Q342" si="163">SQRT(1+(G279/Zero2)^2)</f>
        <v>41.834719815253742</v>
      </c>
      <c r="R279" s="690">
        <f t="shared" ref="R279:R342" si="164">ATAN(G279/Zero2)</f>
        <v>1.5468904596304545</v>
      </c>
      <c r="S279" s="677">
        <f t="shared" si="142"/>
        <v>1.0443541610296563</v>
      </c>
      <c r="T279" s="680">
        <f t="shared" si="143"/>
        <v>0.29248759217665732</v>
      </c>
      <c r="U279" s="681">
        <f t="shared" si="155"/>
        <v>0.94382565749456493</v>
      </c>
      <c r="V279" s="682">
        <f t="shared" si="156"/>
        <v>-0.41639954754457059</v>
      </c>
      <c r="W279" s="683">
        <f t="shared" si="144"/>
        <v>-9.3120897892485761</v>
      </c>
      <c r="X279" s="684">
        <f t="shared" si="145"/>
        <v>-137.52731030238934</v>
      </c>
      <c r="Y279" s="687">
        <f t="shared" si="146"/>
        <v>42.472689697610662</v>
      </c>
      <c r="AA279" s="170">
        <f t="shared" si="147"/>
        <v>17990</v>
      </c>
      <c r="AB279" s="170">
        <f t="shared" si="148"/>
        <v>323640100</v>
      </c>
      <c r="AD279" s="686">
        <f t="shared" si="149"/>
        <v>26.5525856482131</v>
      </c>
      <c r="AE279" s="687">
        <f t="shared" si="150"/>
        <v>-18.127840943995437</v>
      </c>
      <c r="AG279" s="686">
        <f t="shared" si="151"/>
        <v>10.320641568329121</v>
      </c>
      <c r="AH279" s="687">
        <f t="shared" si="152"/>
        <v>-71.683595972948666</v>
      </c>
      <c r="AJ279" s="170">
        <f t="shared" si="153"/>
        <v>0</v>
      </c>
      <c r="AK279" s="170">
        <f t="shared" ref="AK279:AK342" si="165">IF(AJ279&gt;0,Y279,0)</f>
        <v>0</v>
      </c>
      <c r="AM279" s="170" t="str">
        <f t="shared" si="157"/>
        <v>0.181476385801822+0.57447288273682i</v>
      </c>
      <c r="AN279" s="170" t="str">
        <f t="shared" si="158"/>
        <v>0.611960016998192i</v>
      </c>
      <c r="AO279" s="170" t="str">
        <f t="shared" si="159"/>
        <v>0.938742510588755-0.296549416238019i</v>
      </c>
      <c r="AP279" s="170" t="str">
        <f t="shared" si="160"/>
        <v>0.136420602366363-0.0957454804561367i</v>
      </c>
      <c r="AQ279" s="170" t="str">
        <f t="shared" si="161"/>
        <v>0.863579397633637+0.0957454804561367i</v>
      </c>
      <c r="AR279" s="170" t="str">
        <f t="shared" si="162"/>
        <v>0.952876922265483-0.105645941748807i</v>
      </c>
    </row>
    <row r="280" spans="7:44">
      <c r="G280" s="688">
        <v>18093.5</v>
      </c>
      <c r="H280" s="676">
        <f t="shared" si="154"/>
        <v>18.093499999999999</v>
      </c>
      <c r="I280" s="677">
        <f t="shared" si="134"/>
        <v>93.173116989848751</v>
      </c>
      <c r="J280" s="678">
        <f t="shared" si="135"/>
        <v>1.560063411209244</v>
      </c>
      <c r="K280" s="678">
        <f t="shared" si="136"/>
        <v>1.0000570976479268</v>
      </c>
      <c r="L280" s="679">
        <f t="shared" si="137"/>
        <v>1.0685965681638342E-2</v>
      </c>
      <c r="M280" s="678">
        <f t="shared" si="138"/>
        <v>1.0070997555716454</v>
      </c>
      <c r="N280" s="679">
        <f t="shared" si="139"/>
        <v>-0.11881079964214161</v>
      </c>
      <c r="O280" s="677">
        <f t="shared" si="140"/>
        <v>341054.43967811606</v>
      </c>
      <c r="P280" s="680">
        <f t="shared" si="141"/>
        <v>1.5707933947116757</v>
      </c>
      <c r="Q280" s="689">
        <f t="shared" si="163"/>
        <v>42.075266038229024</v>
      </c>
      <c r="R280" s="690">
        <f t="shared" si="164"/>
        <v>1.547027156386279</v>
      </c>
      <c r="S280" s="677">
        <f t="shared" si="142"/>
        <v>1.0448549967109373</v>
      </c>
      <c r="T280" s="680">
        <f t="shared" si="143"/>
        <v>0.29407522765442451</v>
      </c>
      <c r="U280" s="681">
        <f t="shared" si="155"/>
        <v>0.94323251714542689</v>
      </c>
      <c r="V280" s="682">
        <f t="shared" si="156"/>
        <v>-0.41866556444494396</v>
      </c>
      <c r="W280" s="683">
        <f t="shared" si="144"/>
        <v>-9.370863715723841</v>
      </c>
      <c r="X280" s="684">
        <f t="shared" si="145"/>
        <v>-137.77889046404925</v>
      </c>
      <c r="Y280" s="687">
        <f t="shared" si="146"/>
        <v>42.221109535950745</v>
      </c>
      <c r="AA280" s="170">
        <f t="shared" si="147"/>
        <v>18093.5</v>
      </c>
      <c r="AB280" s="170">
        <f t="shared" si="148"/>
        <v>327374742.25</v>
      </c>
      <c r="AD280" s="686">
        <f t="shared" si="149"/>
        <v>26.548392889780963</v>
      </c>
      <c r="AE280" s="687">
        <f t="shared" si="150"/>
        <v>-18.210974575703762</v>
      </c>
      <c r="AG280" s="686">
        <f t="shared" si="151"/>
        <v>10.276981000088156</v>
      </c>
      <c r="AH280" s="687">
        <f t="shared" si="152"/>
        <v>-71.592376093210092</v>
      </c>
      <c r="AJ280" s="170">
        <f t="shared" si="153"/>
        <v>0</v>
      </c>
      <c r="AK280" s="170">
        <f t="shared" si="165"/>
        <v>0</v>
      </c>
      <c r="AM280" s="170" t="str">
        <f t="shared" si="157"/>
        <v>0.18350401627486+0.577351113760696i</v>
      </c>
      <c r="AN280" s="170" t="str">
        <f t="shared" si="158"/>
        <v>0.615480743054852i</v>
      </c>
      <c r="AO280" s="170" t="str">
        <f t="shared" si="159"/>
        <v>0.938049029600983-0.298147453588984i</v>
      </c>
      <c r="AP280" s="170" t="str">
        <f t="shared" si="160"/>
        <v>0.13608266395419-0.0962251856267827i</v>
      </c>
      <c r="AQ280" s="170" t="str">
        <f t="shared" si="161"/>
        <v>0.86391733604581+0.0962251856267827i</v>
      </c>
      <c r="AR280" s="170" t="str">
        <f t="shared" si="162"/>
        <v>0.952397146249436-0.106080279170843i</v>
      </c>
    </row>
    <row r="281" spans="7:44">
      <c r="G281" s="688">
        <v>18197</v>
      </c>
      <c r="H281" s="676">
        <f t="shared" si="154"/>
        <v>18.196999999999999</v>
      </c>
      <c r="I281" s="677">
        <f t="shared" si="134"/>
        <v>93.706032674029785</v>
      </c>
      <c r="J281" s="678">
        <f t="shared" si="135"/>
        <v>1.5601244527095464</v>
      </c>
      <c r="K281" s="678">
        <f t="shared" si="136"/>
        <v>1.000057752727127</v>
      </c>
      <c r="L281" s="679">
        <f t="shared" si="137"/>
        <v>1.0747087771363623E-2</v>
      </c>
      <c r="M281" s="678">
        <f t="shared" si="138"/>
        <v>1.0071809227596877</v>
      </c>
      <c r="N281" s="679">
        <f t="shared" si="139"/>
        <v>-0.11948399946620425</v>
      </c>
      <c r="O281" s="677">
        <f t="shared" si="140"/>
        <v>343005.36871375772</v>
      </c>
      <c r="P281" s="680">
        <f t="shared" si="141"/>
        <v>1.5707934113886342</v>
      </c>
      <c r="Q281" s="689">
        <f t="shared" si="163"/>
        <v>42.315813038484265</v>
      </c>
      <c r="R281" s="690">
        <f t="shared" si="164"/>
        <v>1.5471622990213494</v>
      </c>
      <c r="S281" s="677">
        <f t="shared" si="142"/>
        <v>1.0453584635120703</v>
      </c>
      <c r="T281" s="680">
        <f t="shared" si="143"/>
        <v>0.29566133784909998</v>
      </c>
      <c r="U281" s="681">
        <f t="shared" si="155"/>
        <v>0.94263703177638847</v>
      </c>
      <c r="V281" s="682">
        <f t="shared" si="156"/>
        <v>-0.42092955030138962</v>
      </c>
      <c r="W281" s="683">
        <f t="shared" si="144"/>
        <v>-9.4293940331351891</v>
      </c>
      <c r="X281" s="684">
        <f t="shared" si="145"/>
        <v>-138.03030946293723</v>
      </c>
      <c r="Y281" s="687">
        <f t="shared" si="146"/>
        <v>41.969690537062775</v>
      </c>
      <c r="AA281" s="170">
        <f t="shared" si="147"/>
        <v>18197</v>
      </c>
      <c r="AB281" s="170">
        <f t="shared" si="148"/>
        <v>331130809</v>
      </c>
      <c r="AD281" s="686">
        <f t="shared" si="149"/>
        <v>26.544180746498899</v>
      </c>
      <c r="AE281" s="687">
        <f t="shared" si="150"/>
        <v>-18.294109848693861</v>
      </c>
      <c r="AG281" s="686">
        <f t="shared" si="151"/>
        <v>10.233633511330853</v>
      </c>
      <c r="AH281" s="687">
        <f t="shared" si="152"/>
        <v>-71.501226149908234</v>
      </c>
      <c r="AJ281" s="170">
        <f t="shared" si="153"/>
        <v>0</v>
      </c>
      <c r="AK281" s="170">
        <f t="shared" si="165"/>
        <v>0</v>
      </c>
      <c r="AM281" s="170" t="str">
        <f t="shared" si="157"/>
        <v>0.18554176762318+0.580222188229324i</v>
      </c>
      <c r="AN281" s="170" t="str">
        <f t="shared" si="158"/>
        <v>0.619001469111512i</v>
      </c>
      <c r="AO281" s="170" t="str">
        <f t="shared" si="159"/>
        <v>0.937351875856046-0.299743662788876i</v>
      </c>
      <c r="AP281" s="170" t="str">
        <f t="shared" si="160"/>
        <v>0.13574303872947-0.0967036980382207i</v>
      </c>
      <c r="AQ281" s="170" t="str">
        <f t="shared" si="161"/>
        <v>0.86425696127053+0.0967036980382207i</v>
      </c>
      <c r="AR281" s="170" t="str">
        <f t="shared" si="162"/>
        <v>0.951915839397477-0.10651205141069i</v>
      </c>
    </row>
    <row r="282" spans="7:44">
      <c r="G282" s="688">
        <v>18303</v>
      </c>
      <c r="H282" s="676">
        <f t="shared" si="154"/>
        <v>18.303000000000001</v>
      </c>
      <c r="I282" s="677">
        <f t="shared" si="134"/>
        <v>94.251821075497219</v>
      </c>
      <c r="J282" s="678">
        <f t="shared" si="135"/>
        <v>1.5601862531526856</v>
      </c>
      <c r="K282" s="678">
        <f t="shared" si="136"/>
        <v>1.0000584275020736</v>
      </c>
      <c r="L282" s="679">
        <f t="shared" si="137"/>
        <v>1.0809686156827709E-2</v>
      </c>
      <c r="M282" s="678">
        <f t="shared" si="138"/>
        <v>1.0072645235541975</v>
      </c>
      <c r="N282" s="679">
        <f t="shared" si="139"/>
        <v>-0.12017334737636907</v>
      </c>
      <c r="O282" s="677">
        <f t="shared" si="140"/>
        <v>345003.42163914931</v>
      </c>
      <c r="P282" s="680">
        <f t="shared" si="141"/>
        <v>1.570793428272919</v>
      </c>
      <c r="Q282" s="689">
        <f t="shared" si="163"/>
        <v>42.562171144654251</v>
      </c>
      <c r="R282" s="690">
        <f t="shared" si="164"/>
        <v>1.5472991226157184</v>
      </c>
      <c r="S282" s="677">
        <f t="shared" si="142"/>
        <v>1.045876814594543</v>
      </c>
      <c r="T282" s="680">
        <f t="shared" si="143"/>
        <v>0.29728417286161934</v>
      </c>
      <c r="U282" s="681">
        <f t="shared" si="155"/>
        <v>0.94202474762071875</v>
      </c>
      <c r="V282" s="682">
        <f t="shared" si="156"/>
        <v>-0.42324610985797079</v>
      </c>
      <c r="W282" s="683">
        <f t="shared" si="144"/>
        <v>-9.4890888387795869</v>
      </c>
      <c r="X282" s="684">
        <f t="shared" si="145"/>
        <v>-138.28763270592168</v>
      </c>
      <c r="Y282" s="687">
        <f t="shared" si="146"/>
        <v>41.712367294078319</v>
      </c>
      <c r="AA282" s="170">
        <f t="shared" si="147"/>
        <v>18303</v>
      </c>
      <c r="AB282" s="170">
        <f t="shared" si="148"/>
        <v>334999809</v>
      </c>
      <c r="AD282" s="686">
        <f t="shared" si="149"/>
        <v>26.539846820394839</v>
      </c>
      <c r="AE282" s="687">
        <f t="shared" si="150"/>
        <v>-18.379252998757678</v>
      </c>
      <c r="AG282" s="686">
        <f t="shared" si="151"/>
        <v>10.189560031680568</v>
      </c>
      <c r="AH282" s="687">
        <f t="shared" si="152"/>
        <v>-71.407948071359954</v>
      </c>
      <c r="AJ282" s="170">
        <f t="shared" si="153"/>
        <v>0</v>
      </c>
      <c r="AK282" s="170">
        <f t="shared" si="165"/>
        <v>0</v>
      </c>
      <c r="AM282" s="170" t="str">
        <f t="shared" si="157"/>
        <v>0.187639204151621+0.583155157199684i</v>
      </c>
      <c r="AN282" s="170" t="str">
        <f t="shared" si="158"/>
        <v>0.622607236860361i</v>
      </c>
      <c r="AO282" s="170" t="str">
        <f t="shared" si="159"/>
        <v>0.936634081126935-0.301376522858672i</v>
      </c>
      <c r="AP282" s="170" t="str">
        <f t="shared" si="160"/>
        <v>0.13539346597473-0.0971925261999473i</v>
      </c>
      <c r="AQ282" s="170" t="str">
        <f t="shared" si="161"/>
        <v>0.86460653402527+0.0971925261999473i</v>
      </c>
      <c r="AR282" s="170" t="str">
        <f t="shared" si="162"/>
        <v>0.951421337275183-0.106951589666803i</v>
      </c>
    </row>
    <row r="283" spans="7:44">
      <c r="G283" s="688">
        <v>18409</v>
      </c>
      <c r="H283" s="676">
        <f t="shared" si="154"/>
        <v>18.408999999999999</v>
      </c>
      <c r="I283" s="677">
        <f t="shared" si="134"/>
        <v>94.797609832795118</v>
      </c>
      <c r="J283" s="678">
        <f t="shared" si="135"/>
        <v>1.5602473419750111</v>
      </c>
      <c r="K283" s="678">
        <f t="shared" si="136"/>
        <v>1.0000591061958017</v>
      </c>
      <c r="L283" s="679">
        <f t="shared" si="137"/>
        <v>1.0872284457571851E-2</v>
      </c>
      <c r="M283" s="678">
        <f t="shared" si="138"/>
        <v>1.0073486029217738</v>
      </c>
      <c r="N283" s="679">
        <f t="shared" si="139"/>
        <v>-0.12086258053977467</v>
      </c>
      <c r="O283" s="677">
        <f t="shared" si="140"/>
        <v>347001.47456454096</v>
      </c>
      <c r="P283" s="680">
        <f t="shared" si="141"/>
        <v>1.5707934449627625</v>
      </c>
      <c r="Q283" s="689">
        <f t="shared" si="163"/>
        <v>42.80853003844679</v>
      </c>
      <c r="R283" s="690">
        <f t="shared" si="164"/>
        <v>1.5474343713998502</v>
      </c>
      <c r="S283" s="677">
        <f t="shared" si="142"/>
        <v>1.0463979173582518</v>
      </c>
      <c r="T283" s="680">
        <f t="shared" si="143"/>
        <v>0.29890539580711706</v>
      </c>
      <c r="U283" s="681">
        <f t="shared" si="155"/>
        <v>0.94141003546908797</v>
      </c>
      <c r="V283" s="682">
        <f t="shared" si="156"/>
        <v>-0.42556052548078621</v>
      </c>
      <c r="W283" s="683">
        <f t="shared" si="144"/>
        <v>-9.5485346061281309</v>
      </c>
      <c r="X283" s="684">
        <f t="shared" si="145"/>
        <v>-138.54478362223225</v>
      </c>
      <c r="Y283" s="687">
        <f t="shared" si="146"/>
        <v>41.455216377767755</v>
      </c>
      <c r="AA283" s="170">
        <f t="shared" si="147"/>
        <v>18409</v>
      </c>
      <c r="AB283" s="170">
        <f t="shared" si="148"/>
        <v>338891281</v>
      </c>
      <c r="AD283" s="686">
        <f t="shared" si="149"/>
        <v>26.535492669082259</v>
      </c>
      <c r="AE283" s="687">
        <f t="shared" si="150"/>
        <v>-18.464394003024321</v>
      </c>
      <c r="AG283" s="686">
        <f t="shared" si="151"/>
        <v>10.145807957944164</v>
      </c>
      <c r="AH283" s="687">
        <f t="shared" si="152"/>
        <v>-71.314745488647915</v>
      </c>
      <c r="AJ283" s="170">
        <f t="shared" si="153"/>
        <v>0</v>
      </c>
      <c r="AK283" s="170">
        <f t="shared" si="165"/>
        <v>0</v>
      </c>
      <c r="AM283" s="170" t="str">
        <f t="shared" si="157"/>
        <v>0.189747202627108+0.586080544250876i</v>
      </c>
      <c r="AN283" s="170" t="str">
        <f t="shared" si="158"/>
        <v>0.626213004609211i</v>
      </c>
      <c r="AO283" s="170" t="str">
        <f t="shared" si="159"/>
        <v>0.935912445025986-0.303007445119285i</v>
      </c>
      <c r="AP283" s="170" t="str">
        <f t="shared" si="160"/>
        <v>0.135042132895482-0.0976800907084793i</v>
      </c>
      <c r="AQ283" s="170" t="str">
        <f t="shared" si="161"/>
        <v>0.864957867104518+0.0976800907084793i</v>
      </c>
      <c r="AR283" s="170" t="str">
        <f t="shared" si="162"/>
        <v>0.95092526450273-0.10738842853069i</v>
      </c>
    </row>
    <row r="284" spans="7:44">
      <c r="G284" s="688">
        <v>18515</v>
      </c>
      <c r="H284" s="676">
        <f t="shared" si="154"/>
        <v>18.515000000000001</v>
      </c>
      <c r="I284" s="677">
        <f t="shared" si="134"/>
        <v>95.34339893981263</v>
      </c>
      <c r="J284" s="678">
        <f t="shared" si="135"/>
        <v>1.56030773139699</v>
      </c>
      <c r="K284" s="678">
        <f t="shared" si="136"/>
        <v>1.0000597888083034</v>
      </c>
      <c r="L284" s="679">
        <f t="shared" si="137"/>
        <v>1.093488267310563E-2</v>
      </c>
      <c r="M284" s="678">
        <f t="shared" si="138"/>
        <v>1.0074331607425926</v>
      </c>
      <c r="N284" s="679">
        <f t="shared" si="139"/>
        <v>-0.12155169833040341</v>
      </c>
      <c r="O284" s="677">
        <f t="shared" si="140"/>
        <v>348999.52748993272</v>
      </c>
      <c r="P284" s="680">
        <f t="shared" si="141"/>
        <v>1.5707934614615044</v>
      </c>
      <c r="Q284" s="689">
        <f t="shared" si="163"/>
        <v>43.054889706341612</v>
      </c>
      <c r="R284" s="690">
        <f t="shared" si="164"/>
        <v>1.547568072401901</v>
      </c>
      <c r="S284" s="677">
        <f t="shared" si="142"/>
        <v>1.0469217676942688</v>
      </c>
      <c r="T284" s="680">
        <f t="shared" si="143"/>
        <v>0.30052500057685744</v>
      </c>
      <c r="U284" s="681">
        <f t="shared" si="155"/>
        <v>0.94079291135970833</v>
      </c>
      <c r="V284" s="682">
        <f t="shared" si="156"/>
        <v>-0.42787279040936449</v>
      </c>
      <c r="W284" s="683">
        <f t="shared" si="144"/>
        <v>-9.607734525939172</v>
      </c>
      <c r="X284" s="684">
        <f t="shared" si="145"/>
        <v>-138.80176059045093</v>
      </c>
      <c r="Y284" s="687">
        <f t="shared" si="146"/>
        <v>41.198239409549075</v>
      </c>
      <c r="AA284" s="170">
        <f t="shared" si="147"/>
        <v>18515</v>
      </c>
      <c r="AB284" s="170">
        <f t="shared" si="148"/>
        <v>342805225</v>
      </c>
      <c r="AD284" s="686">
        <f t="shared" si="149"/>
        <v>26.531118347637165</v>
      </c>
      <c r="AE284" s="687">
        <f t="shared" si="150"/>
        <v>-18.549530963081082</v>
      </c>
      <c r="AG284" s="686">
        <f t="shared" si="151"/>
        <v>10.102373845513721</v>
      </c>
      <c r="AH284" s="687">
        <f t="shared" si="152"/>
        <v>-71.221619453459752</v>
      </c>
      <c r="AJ284" s="170">
        <f t="shared" si="153"/>
        <v>0</v>
      </c>
      <c r="AK284" s="170">
        <f t="shared" si="165"/>
        <v>0</v>
      </c>
      <c r="AM284" s="170" t="str">
        <f t="shared" si="157"/>
        <v>0.191865735642399+0.588998311348342i</v>
      </c>
      <c r="AN284" s="170" t="str">
        <f t="shared" si="158"/>
        <v>0.629818772358061i</v>
      </c>
      <c r="AO284" s="170" t="str">
        <f t="shared" si="159"/>
        <v>0.935186973140089-0.304636419337023i</v>
      </c>
      <c r="AP284" s="170" t="str">
        <f t="shared" si="160"/>
        <v>0.1346890440596-0.0981663852247237i</v>
      </c>
      <c r="AQ284" s="170" t="str">
        <f t="shared" si="161"/>
        <v>0.8653109559404+0.0981663852247237i</v>
      </c>
      <c r="AR284" s="170" t="str">
        <f t="shared" si="162"/>
        <v>0.950427638786153-0.107822563757915i</v>
      </c>
    </row>
    <row r="285" spans="7:44">
      <c r="G285" s="688">
        <v>18621</v>
      </c>
      <c r="H285" s="676">
        <f t="shared" si="154"/>
        <v>18.620999999999999</v>
      </c>
      <c r="I285" s="677">
        <f t="shared" si="134"/>
        <v>95.889188390578099</v>
      </c>
      <c r="J285" s="678">
        <f t="shared" si="135"/>
        <v>1.5603674333608797</v>
      </c>
      <c r="K285" s="678">
        <f t="shared" si="136"/>
        <v>1.0000604753395705</v>
      </c>
      <c r="L285" s="679">
        <f t="shared" si="137"/>
        <v>1.0997480802938636E-2</v>
      </c>
      <c r="M285" s="678">
        <f t="shared" si="138"/>
        <v>1.007518196896189</v>
      </c>
      <c r="N285" s="679">
        <f t="shared" si="139"/>
        <v>-0.12224070012288563</v>
      </c>
      <c r="O285" s="677">
        <f t="shared" si="140"/>
        <v>350997.58041532454</v>
      </c>
      <c r="P285" s="680">
        <f t="shared" si="141"/>
        <v>1.5707934777724082</v>
      </c>
      <c r="Q285" s="689">
        <f t="shared" si="163"/>
        <v>43.301250135126111</v>
      </c>
      <c r="R285" s="690">
        <f t="shared" si="164"/>
        <v>1.5477002520351497</v>
      </c>
      <c r="S285" s="677">
        <f t="shared" si="142"/>
        <v>1.0474483614802426</v>
      </c>
      <c r="T285" s="680">
        <f t="shared" si="143"/>
        <v>0.30214298110825044</v>
      </c>
      <c r="U285" s="681">
        <f t="shared" si="155"/>
        <v>0.94017339133633426</v>
      </c>
      <c r="V285" s="682">
        <f t="shared" si="156"/>
        <v>-0.43018289795984438</v>
      </c>
      <c r="W285" s="683">
        <f t="shared" si="144"/>
        <v>-9.6666917311369218</v>
      </c>
      <c r="X285" s="684">
        <f t="shared" si="145"/>
        <v>-139.05856201551538</v>
      </c>
      <c r="Y285" s="687">
        <f t="shared" si="146"/>
        <v>40.941437984484622</v>
      </c>
      <c r="AA285" s="170">
        <f t="shared" si="147"/>
        <v>18621</v>
      </c>
      <c r="AB285" s="170">
        <f t="shared" si="148"/>
        <v>346741641</v>
      </c>
      <c r="AD285" s="686">
        <f t="shared" si="149"/>
        <v>26.526723911605661</v>
      </c>
      <c r="AE285" s="687">
        <f t="shared" si="150"/>
        <v>-18.634662018384713</v>
      </c>
      <c r="AG285" s="686">
        <f t="shared" si="151"/>
        <v>10.059254306858223</v>
      </c>
      <c r="AH285" s="687">
        <f t="shared" si="152"/>
        <v>-71.128570997190494</v>
      </c>
      <c r="AJ285" s="170">
        <f t="shared" si="153"/>
        <v>0</v>
      </c>
      <c r="AK285" s="170">
        <f t="shared" si="165"/>
        <v>0</v>
      </c>
      <c r="AM285" s="170" t="str">
        <f t="shared" si="157"/>
        <v>0.193994775653288+0.591908420556597i</v>
      </c>
      <c r="AN285" s="170" t="str">
        <f t="shared" si="158"/>
        <v>0.633424540106911i</v>
      </c>
      <c r="AO285" s="170" t="str">
        <f t="shared" si="159"/>
        <v>0.934457671085325-0.306263435294984i</v>
      </c>
      <c r="AP285" s="170" t="str">
        <f t="shared" si="160"/>
        <v>0.134334204057785-0.0986514034260995i</v>
      </c>
      <c r="AQ285" s="170" t="str">
        <f t="shared" si="161"/>
        <v>0.865665795942215+0.0986514034260995i</v>
      </c>
      <c r="AR285" s="170" t="str">
        <f t="shared" si="162"/>
        <v>0.949928477817029-0.10825399124043i</v>
      </c>
    </row>
    <row r="286" spans="7:44">
      <c r="G286" s="688">
        <v>18729.5</v>
      </c>
      <c r="H286" s="676">
        <f t="shared" si="154"/>
        <v>18.729500000000002</v>
      </c>
      <c r="I286" s="677">
        <f t="shared" si="134"/>
        <v>96.447850583963444</v>
      </c>
      <c r="J286" s="678">
        <f t="shared" si="135"/>
        <v>1.5604278436017112</v>
      </c>
      <c r="K286" s="678">
        <f t="shared" si="136"/>
        <v>1.0000611821210954</v>
      </c>
      <c r="L286" s="679">
        <f t="shared" si="137"/>
        <v>1.1061555214489906E-2</v>
      </c>
      <c r="M286" s="678">
        <f t="shared" si="138"/>
        <v>1.0076057338809954</v>
      </c>
      <c r="N286" s="679">
        <f t="shared" si="139"/>
        <v>-0.12294583117145126</v>
      </c>
      <c r="O286" s="677">
        <f t="shared" si="140"/>
        <v>353042.75723046629</v>
      </c>
      <c r="P286" s="680">
        <f t="shared" si="141"/>
        <v>1.5707934942767965</v>
      </c>
      <c r="Q286" s="689">
        <f t="shared" si="163"/>
        <v>43.553421725924046</v>
      </c>
      <c r="R286" s="690">
        <f t="shared" si="164"/>
        <v>1.5478340004414946</v>
      </c>
      <c r="S286" s="677">
        <f t="shared" si="142"/>
        <v>1.0479902118831246</v>
      </c>
      <c r="T286" s="680">
        <f t="shared" si="143"/>
        <v>0.30379743312684765</v>
      </c>
      <c r="U286" s="681">
        <f t="shared" si="155"/>
        <v>0.93953679540143642</v>
      </c>
      <c r="V286" s="682">
        <f t="shared" si="156"/>
        <v>-0.432545247982287</v>
      </c>
      <c r="W286" s="683">
        <f t="shared" si="144"/>
        <v>-9.7267912785420201</v>
      </c>
      <c r="X286" s="684">
        <f t="shared" si="145"/>
        <v>-139.32123663790705</v>
      </c>
      <c r="Y286" s="687">
        <f t="shared" si="146"/>
        <v>40.678763362092951</v>
      </c>
      <c r="AA286" s="170">
        <f t="shared" si="147"/>
        <v>18729.5</v>
      </c>
      <c r="AB286" s="170">
        <f t="shared" si="148"/>
        <v>350794170.25</v>
      </c>
      <c r="AD286" s="686">
        <f t="shared" si="149"/>
        <v>26.522205059891505</v>
      </c>
      <c r="AE286" s="687">
        <f t="shared" si="150"/>
        <v>-18.72179286298843</v>
      </c>
      <c r="AG286" s="686">
        <f t="shared" si="151"/>
        <v>10.01544011067338</v>
      </c>
      <c r="AH286" s="687">
        <f t="shared" si="152"/>
        <v>-71.033409402631932</v>
      </c>
      <c r="AJ286" s="170">
        <f t="shared" si="153"/>
        <v>0</v>
      </c>
      <c r="AK286" s="170">
        <f t="shared" si="165"/>
        <v>0</v>
      </c>
      <c r="AM286" s="170" t="str">
        <f t="shared" si="157"/>
        <v>0.196184881605573+0.594879193988623i</v>
      </c>
      <c r="AN286" s="170" t="str">
        <f t="shared" si="158"/>
        <v>0.637115349547951i</v>
      </c>
      <c r="AO286" s="170" t="str">
        <f t="shared" si="159"/>
        <v>0.933707207667661-0.307926785541694i</v>
      </c>
      <c r="AP286" s="170" t="str">
        <f t="shared" si="160"/>
        <v>0.133969186399071-0.0991465323314372i</v>
      </c>
      <c r="AQ286" s="170" t="str">
        <f t="shared" si="161"/>
        <v>0.866030813600929+0.0991465323314372i</v>
      </c>
      <c r="AR286" s="170" t="str">
        <f t="shared" si="162"/>
        <v>0.949415972640834-0.108692785463398i</v>
      </c>
    </row>
    <row r="287" spans="7:44">
      <c r="G287" s="688">
        <v>18838</v>
      </c>
      <c r="H287" s="676">
        <f t="shared" si="154"/>
        <v>18.838000000000001</v>
      </c>
      <c r="I287" s="677">
        <f t="shared" si="134"/>
        <v>97.00651312527124</v>
      </c>
      <c r="J287" s="678">
        <f t="shared" si="135"/>
        <v>1.5604875580350737</v>
      </c>
      <c r="K287" s="678">
        <f t="shared" si="136"/>
        <v>1.0000618930083958</v>
      </c>
      <c r="L287" s="679">
        <f t="shared" si="137"/>
        <v>1.1125629535210501E-2</v>
      </c>
      <c r="M287" s="678">
        <f t="shared" si="138"/>
        <v>1.0076937717700567</v>
      </c>
      <c r="N287" s="679">
        <f t="shared" si="139"/>
        <v>-0.12365083936194343</v>
      </c>
      <c r="O287" s="677">
        <f t="shared" si="140"/>
        <v>355087.93404560816</v>
      </c>
      <c r="P287" s="680">
        <f t="shared" si="141"/>
        <v>1.5707935105910662</v>
      </c>
      <c r="Q287" s="689">
        <f t="shared" si="163"/>
        <v>43.805594086863216</v>
      </c>
      <c r="R287" s="690">
        <f t="shared" si="164"/>
        <v>1.547966208971447</v>
      </c>
      <c r="S287" s="677">
        <f t="shared" si="142"/>
        <v>1.0485349278874925</v>
      </c>
      <c r="T287" s="680">
        <f t="shared" si="143"/>
        <v>0.3054501706831263</v>
      </c>
      <c r="U287" s="681">
        <f t="shared" si="155"/>
        <v>0.93889772323407172</v>
      </c>
      <c r="V287" s="682">
        <f t="shared" si="156"/>
        <v>-0.43490532373820068</v>
      </c>
      <c r="W287" s="683">
        <f t="shared" si="144"/>
        <v>-9.7866429898554053</v>
      </c>
      <c r="X287" s="684">
        <f t="shared" si="145"/>
        <v>-139.58372403961906</v>
      </c>
      <c r="Y287" s="687">
        <f t="shared" si="146"/>
        <v>40.416275960380943</v>
      </c>
      <c r="AA287" s="170">
        <f t="shared" si="147"/>
        <v>18838</v>
      </c>
      <c r="AB287" s="170">
        <f t="shared" si="148"/>
        <v>354870244</v>
      </c>
      <c r="AD287" s="686">
        <f t="shared" si="149"/>
        <v>26.517665252818944</v>
      </c>
      <c r="AE287" s="687">
        <f t="shared" si="150"/>
        <v>-18.808913693662412</v>
      </c>
      <c r="AG287" s="686">
        <f t="shared" si="151"/>
        <v>9.9719484971599357</v>
      </c>
      <c r="AH287" s="687">
        <f t="shared" si="152"/>
        <v>-70.938331213070882</v>
      </c>
      <c r="AJ287" s="170">
        <f t="shared" si="153"/>
        <v>0</v>
      </c>
      <c r="AK287" s="170">
        <f t="shared" si="165"/>
        <v>0</v>
      </c>
      <c r="AM287" s="170" t="str">
        <f t="shared" si="157"/>
        <v>0.198385937174719+0.597841863941249i</v>
      </c>
      <c r="AN287" s="170" t="str">
        <f t="shared" si="158"/>
        <v>0.64080615898899i</v>
      </c>
      <c r="AO287" s="170" t="str">
        <f t="shared" si="159"/>
        <v>0.932952743282733-0.309588062461378i</v>
      </c>
      <c r="AP287" s="170" t="str">
        <f t="shared" si="160"/>
        <v>0.133602343804214-0.0996403106568748i</v>
      </c>
      <c r="AQ287" s="170" t="str">
        <f t="shared" si="161"/>
        <v>0.866397656195786+0.0996403106568748i</v>
      </c>
      <c r="AR287" s="170" t="str">
        <f t="shared" si="162"/>
        <v>0.94890189639814-0.109128734437207i</v>
      </c>
    </row>
    <row r="288" spans="7:44">
      <c r="G288" s="688">
        <v>18946.5</v>
      </c>
      <c r="H288" s="676">
        <f t="shared" si="154"/>
        <v>18.9465</v>
      </c>
      <c r="I288" s="677">
        <f t="shared" si="134"/>
        <v>97.565176008524816</v>
      </c>
      <c r="J288" s="678">
        <f t="shared" si="135"/>
        <v>1.5605465886132184</v>
      </c>
      <c r="K288" s="678">
        <f t="shared" si="136"/>
        <v>1.0000626080014632</v>
      </c>
      <c r="L288" s="679">
        <f t="shared" si="137"/>
        <v>1.11897037645745E-2</v>
      </c>
      <c r="M288" s="678">
        <f t="shared" si="138"/>
        <v>1.0077823104320986</v>
      </c>
      <c r="N288" s="679">
        <f t="shared" si="139"/>
        <v>-0.12435572402582266</v>
      </c>
      <c r="O288" s="677">
        <f t="shared" si="140"/>
        <v>357133.11086075002</v>
      </c>
      <c r="P288" s="680">
        <f t="shared" si="141"/>
        <v>1.5707935267184836</v>
      </c>
      <c r="Q288" s="689">
        <f t="shared" si="163"/>
        <v>44.057767204719497</v>
      </c>
      <c r="R288" s="690">
        <f t="shared" si="164"/>
        <v>1.5480969040616828</v>
      </c>
      <c r="S288" s="677">
        <f t="shared" si="142"/>
        <v>1.04908250502962</v>
      </c>
      <c r="T288" s="680">
        <f t="shared" si="143"/>
        <v>0.30710118742570519</v>
      </c>
      <c r="U288" s="681">
        <f t="shared" si="155"/>
        <v>0.93825619205194355</v>
      </c>
      <c r="V288" s="682">
        <f t="shared" si="156"/>
        <v>-0.43726311830851516</v>
      </c>
      <c r="W288" s="683">
        <f t="shared" si="144"/>
        <v>-9.8462500451714039</v>
      </c>
      <c r="X288" s="684">
        <f t="shared" si="145"/>
        <v>-139.84602259232676</v>
      </c>
      <c r="Y288" s="687">
        <f t="shared" si="146"/>
        <v>40.153977407673239</v>
      </c>
      <c r="AA288" s="170">
        <f t="shared" si="147"/>
        <v>18946.5</v>
      </c>
      <c r="AB288" s="170">
        <f t="shared" si="148"/>
        <v>358969862.25</v>
      </c>
      <c r="AD288" s="686">
        <f t="shared" si="149"/>
        <v>26.513104551401248</v>
      </c>
      <c r="AE288" s="687">
        <f t="shared" si="150"/>
        <v>-18.896022631976518</v>
      </c>
      <c r="AG288" s="686">
        <f t="shared" si="151"/>
        <v>9.9287760108628138</v>
      </c>
      <c r="AH288" s="687">
        <f t="shared" si="152"/>
        <v>-70.843337471480012</v>
      </c>
      <c r="AJ288" s="170">
        <f t="shared" si="153"/>
        <v>0</v>
      </c>
      <c r="AK288" s="170">
        <f t="shared" si="165"/>
        <v>0</v>
      </c>
      <c r="AM288" s="170" t="str">
        <f t="shared" si="157"/>
        <v>0.200597912377818+0.600796390056812i</v>
      </c>
      <c r="AN288" s="170" t="str">
        <f t="shared" si="158"/>
        <v>0.64449696843003i</v>
      </c>
      <c r="AO288" s="170" t="str">
        <f t="shared" si="159"/>
        <v>0.932194284048114-0.311247255152289i</v>
      </c>
      <c r="AP288" s="170" t="str">
        <f t="shared" si="160"/>
        <v>0.133233681270364-0.100132731676135i</v>
      </c>
      <c r="AQ288" s="170" t="str">
        <f t="shared" si="161"/>
        <v>0.866766318729636+0.100132731676135i</v>
      </c>
      <c r="AR288" s="170" t="str">
        <f t="shared" si="162"/>
        <v>0.948386268007343-0.109561834196435i</v>
      </c>
    </row>
    <row r="289" spans="7:44">
      <c r="G289" s="688">
        <v>19055</v>
      </c>
      <c r="H289" s="676">
        <f t="shared" si="154"/>
        <v>19.055</v>
      </c>
      <c r="I289" s="677">
        <f t="shared" si="134"/>
        <v>98.123839227883622</v>
      </c>
      <c r="J289" s="678">
        <f t="shared" si="135"/>
        <v>1.5606049470162178</v>
      </c>
      <c r="K289" s="678">
        <f t="shared" si="136"/>
        <v>1.0000633271002886</v>
      </c>
      <c r="L289" s="679">
        <f t="shared" si="137"/>
        <v>1.1253777902055983E-2</v>
      </c>
      <c r="M289" s="678">
        <f t="shared" si="138"/>
        <v>1.0078713497351468</v>
      </c>
      <c r="N289" s="679">
        <f t="shared" si="139"/>
        <v>-0.12506048449527468</v>
      </c>
      <c r="O289" s="677">
        <f t="shared" si="140"/>
        <v>359178.28767589212</v>
      </c>
      <c r="P289" s="680">
        <f t="shared" si="141"/>
        <v>1.5707935426622408</v>
      </c>
      <c r="Q289" s="689">
        <f t="shared" si="163"/>
        <v>44.309941066569785</v>
      </c>
      <c r="R289" s="690">
        <f t="shared" si="164"/>
        <v>1.548226111547268</v>
      </c>
      <c r="S289" s="677">
        <f t="shared" si="142"/>
        <v>1.049632938831675</v>
      </c>
      <c r="T289" s="680">
        <f t="shared" si="143"/>
        <v>0.30875047705394731</v>
      </c>
      <c r="U289" s="681">
        <f t="shared" si="155"/>
        <v>0.93761221907465053</v>
      </c>
      <c r="V289" s="682">
        <f t="shared" si="156"/>
        <v>-0.43961862485792658</v>
      </c>
      <c r="W289" s="683">
        <f t="shared" si="144"/>
        <v>-9.9056155667050234</v>
      </c>
      <c r="X289" s="684">
        <f t="shared" si="145"/>
        <v>-140.10813069432504</v>
      </c>
      <c r="Y289" s="687">
        <f t="shared" si="146"/>
        <v>39.891869305674959</v>
      </c>
      <c r="AA289" s="170">
        <f t="shared" si="147"/>
        <v>19055</v>
      </c>
      <c r="AB289" s="170">
        <f t="shared" si="148"/>
        <v>363093025</v>
      </c>
      <c r="AD289" s="686">
        <f t="shared" si="149"/>
        <v>26.508523017110619</v>
      </c>
      <c r="AE289" s="687">
        <f t="shared" si="150"/>
        <v>-18.983117836873479</v>
      </c>
      <c r="AG289" s="686">
        <f t="shared" si="151"/>
        <v>9.8859192534771356</v>
      </c>
      <c r="AH289" s="687">
        <f t="shared" si="152"/>
        <v>-70.748429200479492</v>
      </c>
      <c r="AJ289" s="170">
        <f t="shared" si="153"/>
        <v>0</v>
      </c>
      <c r="AK289" s="170">
        <f t="shared" si="165"/>
        <v>0</v>
      </c>
      <c r="AM289" s="170" t="str">
        <f t="shared" si="157"/>
        <v>0.202820777083212+0.603742732088583i</v>
      </c>
      <c r="AN289" s="170" t="str">
        <f t="shared" si="158"/>
        <v>0.64818777787107i</v>
      </c>
      <c r="AO289" s="170" t="str">
        <f t="shared" si="159"/>
        <v>0.931431836113196-0.312904352731493i</v>
      </c>
      <c r="AP289" s="170" t="str">
        <f t="shared" si="160"/>
        <v>0.132863203819465-0.100623788681431i</v>
      </c>
      <c r="AQ289" s="170" t="str">
        <f t="shared" si="161"/>
        <v>0.867136796180535+0.100623788681431i</v>
      </c>
      <c r="AR289" s="170" t="str">
        <f t="shared" si="162"/>
        <v>0.947869106365856-0.109992080922786i</v>
      </c>
    </row>
    <row r="290" spans="7:44">
      <c r="G290" s="688">
        <v>19165.75</v>
      </c>
      <c r="H290" s="676">
        <f t="shared" si="154"/>
        <v>19.165749999999999</v>
      </c>
      <c r="I290" s="677">
        <f t="shared" si="134"/>
        <v>98.694087969915984</v>
      </c>
      <c r="J290" s="678">
        <f t="shared" si="135"/>
        <v>1.5606638342413</v>
      </c>
      <c r="K290" s="678">
        <f t="shared" si="136"/>
        <v>1.0000640653456467</v>
      </c>
      <c r="L290" s="679">
        <f t="shared" si="137"/>
        <v>1.131918067058427E-2</v>
      </c>
      <c r="M290" s="678">
        <f t="shared" si="138"/>
        <v>1.007962751659164</v>
      </c>
      <c r="N290" s="679">
        <f t="shared" si="139"/>
        <v>-0.12577973103611867</v>
      </c>
      <c r="O290" s="677">
        <f t="shared" si="140"/>
        <v>361265.87599180901</v>
      </c>
      <c r="P290" s="680">
        <f t="shared" si="141"/>
        <v>1.5707935587504549</v>
      </c>
      <c r="Q290" s="689">
        <f t="shared" si="163"/>
        <v>44.56734509448367</v>
      </c>
      <c r="R290" s="690">
        <f t="shared" si="164"/>
        <v>1.548356490471102</v>
      </c>
      <c r="S290" s="677">
        <f t="shared" si="142"/>
        <v>1.0501977286284132</v>
      </c>
      <c r="T290" s="680">
        <f t="shared" si="143"/>
        <v>0.31043218084162688</v>
      </c>
      <c r="U290" s="681">
        <f t="shared" si="155"/>
        <v>0.93695239142692366</v>
      </c>
      <c r="V290" s="682">
        <f t="shared" si="156"/>
        <v>-0.44202061162255918</v>
      </c>
      <c r="W290" s="683">
        <f t="shared" si="144"/>
        <v>-9.9659662548491266</v>
      </c>
      <c r="X290" s="684">
        <f t="shared" si="145"/>
        <v>-140.37547616590811</v>
      </c>
      <c r="Y290" s="687">
        <f t="shared" si="146"/>
        <v>39.624523834091889</v>
      </c>
      <c r="AA290" s="170">
        <f t="shared" si="147"/>
        <v>19165.75</v>
      </c>
      <c r="AB290" s="170">
        <f t="shared" si="148"/>
        <v>367325973.0625</v>
      </c>
      <c r="AD290" s="686">
        <f t="shared" si="149"/>
        <v>26.503825052965748</v>
      </c>
      <c r="AE290" s="687">
        <f t="shared" si="150"/>
        <v>-19.072003126113863</v>
      </c>
      <c r="AG290" s="686">
        <f t="shared" si="151"/>
        <v>9.8424959086796342</v>
      </c>
      <c r="AH290" s="687">
        <f t="shared" si="152"/>
        <v>-70.651641974388227</v>
      </c>
      <c r="AJ290" s="170">
        <f t="shared" si="153"/>
        <v>0</v>
      </c>
      <c r="AK290" s="170">
        <f t="shared" si="165"/>
        <v>0</v>
      </c>
      <c r="AM290" s="170" t="str">
        <f t="shared" si="157"/>
        <v>0.20510093718874+0.606741691283681i</v>
      </c>
      <c r="AN290" s="170" t="str">
        <f t="shared" si="158"/>
        <v>0.65195512483508i</v>
      </c>
      <c r="AO290" s="170" t="str">
        <f t="shared" si="159"/>
        <v>0.930649469834544-0.314593642071029i</v>
      </c>
      <c r="AP290" s="170" t="str">
        <f t="shared" si="160"/>
        <v>0.13248317713521-0.101123615213947i</v>
      </c>
      <c r="AQ290" s="170" t="str">
        <f t="shared" si="161"/>
        <v>0.86751682286479+0.101123615213947i</v>
      </c>
      <c r="AR290" s="170" t="str">
        <f t="shared" si="162"/>
        <v>0.947339658501325-0.110428303611273i</v>
      </c>
    </row>
    <row r="291" spans="7:44">
      <c r="G291" s="688">
        <v>19276.5</v>
      </c>
      <c r="H291" s="676">
        <f t="shared" si="154"/>
        <v>19.276499999999999</v>
      </c>
      <c r="I291" s="677">
        <f t="shared" si="134"/>
        <v>99.264337050258177</v>
      </c>
      <c r="J291" s="678">
        <f t="shared" si="135"/>
        <v>1.5607220448814774</v>
      </c>
      <c r="K291" s="678">
        <f t="shared" si="136"/>
        <v>1.0000648078687948</v>
      </c>
      <c r="L291" s="679">
        <f t="shared" si="137"/>
        <v>1.1384583342272471E-2</v>
      </c>
      <c r="M291" s="678">
        <f t="shared" si="138"/>
        <v>1.0080546749233072</v>
      </c>
      <c r="N291" s="679">
        <f t="shared" si="139"/>
        <v>-0.12649884677450379</v>
      </c>
      <c r="O291" s="677">
        <f t="shared" si="140"/>
        <v>363353.46430772613</v>
      </c>
      <c r="P291" s="680">
        <f t="shared" si="141"/>
        <v>1.5707935746538046</v>
      </c>
      <c r="Q291" s="689">
        <f t="shared" si="163"/>
        <v>44.824749871282066</v>
      </c>
      <c r="R291" s="690">
        <f t="shared" si="164"/>
        <v>1.5484853720030154</v>
      </c>
      <c r="S291" s="677">
        <f t="shared" si="142"/>
        <v>1.0507654853205983</v>
      </c>
      <c r="T291" s="680">
        <f t="shared" si="143"/>
        <v>0.31211207203692554</v>
      </c>
      <c r="U291" s="681">
        <f t="shared" si="155"/>
        <v>0.93629005591729286</v>
      </c>
      <c r="V291" s="682">
        <f t="shared" si="156"/>
        <v>-0.44442020036263641</v>
      </c>
      <c r="W291" s="683">
        <f t="shared" si="144"/>
        <v>-10.026071682707006</v>
      </c>
      <c r="X291" s="684">
        <f t="shared" si="145"/>
        <v>-140.64261991621694</v>
      </c>
      <c r="Y291" s="687">
        <f t="shared" si="146"/>
        <v>39.357380083783056</v>
      </c>
      <c r="AA291" s="170">
        <f t="shared" si="147"/>
        <v>19276.5</v>
      </c>
      <c r="AB291" s="170">
        <f t="shared" si="148"/>
        <v>371583452.25</v>
      </c>
      <c r="AD291" s="686">
        <f t="shared" si="149"/>
        <v>26.499105513781895</v>
      </c>
      <c r="AE291" s="687">
        <f t="shared" si="150"/>
        <v>-19.160870345106215</v>
      </c>
      <c r="AG291" s="686">
        <f t="shared" si="151"/>
        <v>9.799394544922114</v>
      </c>
      <c r="AH291" s="687">
        <f t="shared" si="152"/>
        <v>-70.554945890643396</v>
      </c>
      <c r="AJ291" s="170">
        <f t="shared" si="153"/>
        <v>0</v>
      </c>
      <c r="AK291" s="170">
        <f t="shared" si="165"/>
        <v>0</v>
      </c>
      <c r="AM291" s="170" t="str">
        <f t="shared" si="157"/>
        <v>0.207392379206336+0.609732039062904i</v>
      </c>
      <c r="AN291" s="170" t="str">
        <f t="shared" si="158"/>
        <v>0.655722471799091i</v>
      </c>
      <c r="AO291" s="170" t="str">
        <f t="shared" si="159"/>
        <v>0.929862960758377-0.316280725651079i</v>
      </c>
      <c r="AP291" s="170" t="str">
        <f t="shared" si="160"/>
        <v>0.132101270132277-0.101622006510484i</v>
      </c>
      <c r="AQ291" s="170" t="str">
        <f t="shared" si="161"/>
        <v>0.867898729867723+0.101622006510484i</v>
      </c>
      <c r="AR291" s="170" t="str">
        <f t="shared" si="162"/>
        <v>0.946808652850392-0.110861546137773i</v>
      </c>
    </row>
    <row r="292" spans="7:44">
      <c r="G292" s="688">
        <v>19387.25</v>
      </c>
      <c r="H292" s="676">
        <f t="shared" si="154"/>
        <v>19.387250000000002</v>
      </c>
      <c r="I292" s="677">
        <f t="shared" si="134"/>
        <v>99.83458646311297</v>
      </c>
      <c r="J292" s="678">
        <f t="shared" si="135"/>
        <v>1.560779590530194</v>
      </c>
      <c r="K292" s="678">
        <f t="shared" si="136"/>
        <v>1.0000655546697232</v>
      </c>
      <c r="L292" s="679">
        <f t="shared" si="137"/>
        <v>1.1449985916561285E-2</v>
      </c>
      <c r="M292" s="678">
        <f t="shared" si="138"/>
        <v>1.0081471193849683</v>
      </c>
      <c r="N292" s="679">
        <f t="shared" si="139"/>
        <v>-0.12721783100256309</v>
      </c>
      <c r="O292" s="677">
        <f t="shared" si="140"/>
        <v>365441.05262364325</v>
      </c>
      <c r="P292" s="680">
        <f t="shared" si="141"/>
        <v>1.5707935903754582</v>
      </c>
      <c r="Q292" s="689">
        <f t="shared" si="163"/>
        <v>45.082155384137295</v>
      </c>
      <c r="R292" s="690">
        <f t="shared" si="164"/>
        <v>1.5486127817876583</v>
      </c>
      <c r="S292" s="677">
        <f t="shared" si="142"/>
        <v>1.0513362041015619</v>
      </c>
      <c r="T292" s="680">
        <f t="shared" si="143"/>
        <v>0.31379014410270872</v>
      </c>
      <c r="U292" s="681">
        <f t="shared" si="155"/>
        <v>0.93562523085829041</v>
      </c>
      <c r="V292" s="682">
        <f t="shared" si="156"/>
        <v>-0.44681738407815652</v>
      </c>
      <c r="W292" s="683">
        <f t="shared" si="144"/>
        <v>-10.085934992627404</v>
      </c>
      <c r="X292" s="684">
        <f t="shared" si="145"/>
        <v>-140.90956032421167</v>
      </c>
      <c r="Y292" s="687">
        <f t="shared" si="146"/>
        <v>39.090439675788332</v>
      </c>
      <c r="AA292" s="170">
        <f t="shared" si="147"/>
        <v>19387.25</v>
      </c>
      <c r="AB292" s="170">
        <f t="shared" si="148"/>
        <v>375865462.5625</v>
      </c>
      <c r="AD292" s="686">
        <f t="shared" si="149"/>
        <v>26.494364466329856</v>
      </c>
      <c r="AE292" s="687">
        <f t="shared" si="150"/>
        <v>-19.249717650151599</v>
      </c>
      <c r="AG292" s="686">
        <f t="shared" si="151"/>
        <v>9.756611724040047</v>
      </c>
      <c r="AH292" s="687">
        <f t="shared" si="152"/>
        <v>-70.458341974045254</v>
      </c>
      <c r="AJ292" s="170">
        <f t="shared" si="153"/>
        <v>0</v>
      </c>
      <c r="AK292" s="170">
        <f t="shared" si="165"/>
        <v>0</v>
      </c>
      <c r="AM292" s="170" t="str">
        <f t="shared" si="157"/>
        <v>0.209695070613821+0.612713732984586i</v>
      </c>
      <c r="AN292" s="170" t="str">
        <f t="shared" si="158"/>
        <v>0.659489818763101i</v>
      </c>
      <c r="AO292" s="170" t="str">
        <f t="shared" si="159"/>
        <v>0.929072315526803-0.317965591958815i</v>
      </c>
      <c r="AP292" s="170" t="str">
        <f t="shared" si="160"/>
        <v>0.13171748823103-0.102118955497431i</v>
      </c>
      <c r="AQ292" s="170" t="str">
        <f t="shared" si="161"/>
        <v>0.86828251176897+0.102118955497431i</v>
      </c>
      <c r="AR292" s="170" t="str">
        <f t="shared" si="162"/>
        <v>0.946276109434824-0.111291804911267i</v>
      </c>
    </row>
    <row r="293" spans="7:44">
      <c r="G293" s="688">
        <v>19498</v>
      </c>
      <c r="H293" s="676">
        <f t="shared" si="154"/>
        <v>19.498000000000001</v>
      </c>
      <c r="I293" s="677">
        <f t="shared" si="134"/>
        <v>100.40483620281485</v>
      </c>
      <c r="J293" s="678">
        <f t="shared" si="135"/>
        <v>1.5608364825175318</v>
      </c>
      <c r="K293" s="678">
        <f t="shared" si="136"/>
        <v>1.0000663057484225</v>
      </c>
      <c r="L293" s="679">
        <f t="shared" si="137"/>
        <v>1.1515388392891408E-2</v>
      </c>
      <c r="M293" s="678">
        <f t="shared" si="138"/>
        <v>1.0082400849007835</v>
      </c>
      <c r="N293" s="679">
        <f t="shared" si="139"/>
        <v>-0.12793668301323244</v>
      </c>
      <c r="O293" s="677">
        <f t="shared" si="140"/>
        <v>367528.64093956049</v>
      </c>
      <c r="P293" s="680">
        <f t="shared" si="141"/>
        <v>1.5707936059185115</v>
      </c>
      <c r="Q293" s="689">
        <f t="shared" si="163"/>
        <v>45.339561620512953</v>
      </c>
      <c r="R293" s="690">
        <f t="shared" si="164"/>
        <v>1.5487387448875052</v>
      </c>
      <c r="S293" s="677">
        <f t="shared" si="142"/>
        <v>1.0519098801500177</v>
      </c>
      <c r="T293" s="680">
        <f t="shared" si="143"/>
        <v>0.31546639055697206</v>
      </c>
      <c r="U293" s="681">
        <f t="shared" si="155"/>
        <v>0.93495793455995069</v>
      </c>
      <c r="V293" s="682">
        <f t="shared" si="156"/>
        <v>-0.44921215585961055</v>
      </c>
      <c r="W293" s="683">
        <f t="shared" si="144"/>
        <v>-10.145559269674735</v>
      </c>
      <c r="X293" s="684">
        <f t="shared" si="145"/>
        <v>-141.17629579550456</v>
      </c>
      <c r="Y293" s="687">
        <f t="shared" si="146"/>
        <v>38.823704204495442</v>
      </c>
      <c r="AA293" s="170">
        <f t="shared" si="147"/>
        <v>19498</v>
      </c>
      <c r="AB293" s="170">
        <f t="shared" si="148"/>
        <v>380172004</v>
      </c>
      <c r="AD293" s="686">
        <f t="shared" si="149"/>
        <v>26.489601977822666</v>
      </c>
      <c r="AE293" s="687">
        <f t="shared" si="150"/>
        <v>-19.338543234061905</v>
      </c>
      <c r="AG293" s="686">
        <f t="shared" si="151"/>
        <v>9.7141440644673409</v>
      </c>
      <c r="AH293" s="687">
        <f t="shared" si="152"/>
        <v>-70.361831229165631</v>
      </c>
      <c r="AJ293" s="170">
        <f t="shared" si="153"/>
        <v>0</v>
      </c>
      <c r="AK293" s="170">
        <f t="shared" si="165"/>
        <v>0</v>
      </c>
      <c r="AM293" s="170" t="str">
        <f t="shared" si="157"/>
        <v>0.21200897872936+0.615686730729885i</v>
      </c>
      <c r="AN293" s="170" t="str">
        <f t="shared" si="158"/>
        <v>0.663257165727112i</v>
      </c>
      <c r="AO293" s="170" t="str">
        <f t="shared" si="159"/>
        <v>0.928277540816198-0.319648229502262i</v>
      </c>
      <c r="AP293" s="170" t="str">
        <f t="shared" si="160"/>
        <v>0.13133183687844-0.102614455121648i</v>
      </c>
      <c r="AQ293" s="170" t="str">
        <f t="shared" si="161"/>
        <v>0.86866816312156+0.102614455121648i</v>
      </c>
      <c r="AR293" s="170" t="str">
        <f t="shared" si="162"/>
        <v>0.945742048248133-0.111719076497377i</v>
      </c>
    </row>
    <row r="294" spans="7:44">
      <c r="G294" s="688">
        <v>19611.75</v>
      </c>
      <c r="H294" s="676">
        <f t="shared" si="154"/>
        <v>19.611750000000001</v>
      </c>
      <c r="I294" s="677">
        <f t="shared" si="134"/>
        <v>100.99053322249343</v>
      </c>
      <c r="J294" s="678">
        <f t="shared" si="135"/>
        <v>1.5608942467667755</v>
      </c>
      <c r="K294" s="678">
        <f t="shared" si="136"/>
        <v>1.0000670816255133</v>
      </c>
      <c r="L294" s="679">
        <f t="shared" si="137"/>
        <v>1.1582562391300155E-2</v>
      </c>
      <c r="M294" s="678">
        <f t="shared" si="138"/>
        <v>1.0083361109352802</v>
      </c>
      <c r="N294" s="679">
        <f t="shared" si="139"/>
        <v>-0.12867486893312158</v>
      </c>
      <c r="O294" s="677">
        <f t="shared" si="140"/>
        <v>369672.77792317758</v>
      </c>
      <c r="P294" s="680">
        <f t="shared" si="141"/>
        <v>1.5707936216998513</v>
      </c>
      <c r="Q294" s="689">
        <f t="shared" si="163"/>
        <v>45.603941226631434</v>
      </c>
      <c r="R294" s="690">
        <f t="shared" si="164"/>
        <v>1.5488666398104063</v>
      </c>
      <c r="S294" s="677">
        <f t="shared" si="142"/>
        <v>1.0525021693887584</v>
      </c>
      <c r="T294" s="680">
        <f t="shared" si="143"/>
        <v>0.31718613602569806</v>
      </c>
      <c r="U294" s="681">
        <f t="shared" si="155"/>
        <v>0.93427000918686687</v>
      </c>
      <c r="V294" s="682">
        <f t="shared" si="156"/>
        <v>-0.45166927932259326</v>
      </c>
      <c r="W294" s="683">
        <f t="shared" si="144"/>
        <v>-10.206552999680099</v>
      </c>
      <c r="X294" s="684">
        <f t="shared" si="145"/>
        <v>-141.45004162087659</v>
      </c>
      <c r="Y294" s="687">
        <f t="shared" si="146"/>
        <v>38.54995837912341</v>
      </c>
      <c r="AA294" s="170">
        <f t="shared" si="147"/>
        <v>19611.75</v>
      </c>
      <c r="AB294" s="170">
        <f t="shared" si="148"/>
        <v>384620738.0625</v>
      </c>
      <c r="AD294" s="686">
        <f t="shared" si="149"/>
        <v>26.484688233793499</v>
      </c>
      <c r="AE294" s="687">
        <f t="shared" si="150"/>
        <v>-19.429750456261644</v>
      </c>
      <c r="AG294" s="686">
        <f t="shared" si="151"/>
        <v>9.6708506284880933</v>
      </c>
      <c r="AH294" s="687">
        <f t="shared" si="152"/>
        <v>-70.262804223673186</v>
      </c>
      <c r="AJ294" s="170">
        <f t="shared" si="153"/>
        <v>0</v>
      </c>
      <c r="AK294" s="170">
        <f t="shared" si="165"/>
        <v>0</v>
      </c>
      <c r="AM294" s="170" t="str">
        <f t="shared" si="157"/>
        <v>0.21439720815534+0.618731164114008i</v>
      </c>
      <c r="AN294" s="170" t="str">
        <f t="shared" si="158"/>
        <v>0.66712656272175i</v>
      </c>
      <c r="AO294" s="170" t="str">
        <f t="shared" si="159"/>
        <v>0.92745694548528-0.321374114202019i</v>
      </c>
      <c r="AP294" s="170" t="str">
        <f t="shared" si="160"/>
        <v>0.130933798640777-0.103121860685668i</v>
      </c>
      <c r="AQ294" s="170" t="str">
        <f t="shared" si="161"/>
        <v>0.869066201359223+0.103121860685668i</v>
      </c>
      <c r="AR294" s="170" t="str">
        <f t="shared" si="162"/>
        <v>0.945191961364459-0.112154808930086i</v>
      </c>
    </row>
    <row r="295" spans="7:44">
      <c r="G295" s="688">
        <v>19725.5</v>
      </c>
      <c r="H295" s="676">
        <f t="shared" si="154"/>
        <v>19.7255</v>
      </c>
      <c r="I295" s="677">
        <f t="shared" si="134"/>
        <v>101.57623057526193</v>
      </c>
      <c r="J295" s="678">
        <f t="shared" si="135"/>
        <v>1.5609513448688686</v>
      </c>
      <c r="K295" s="678">
        <f t="shared" si="136"/>
        <v>1.0000678620152457</v>
      </c>
      <c r="L295" s="679">
        <f t="shared" si="137"/>
        <v>1.1649736285175332E-2</v>
      </c>
      <c r="M295" s="678">
        <f t="shared" si="138"/>
        <v>1.0084326863259125</v>
      </c>
      <c r="N295" s="679">
        <f t="shared" si="139"/>
        <v>-0.12941291386622208</v>
      </c>
      <c r="O295" s="677">
        <f t="shared" si="140"/>
        <v>371816.91490679479</v>
      </c>
      <c r="P295" s="680">
        <f t="shared" si="141"/>
        <v>1.57079363729918</v>
      </c>
      <c r="Q295" s="689">
        <f t="shared" si="163"/>
        <v>45.868321570099546</v>
      </c>
      <c r="R295" s="690">
        <f t="shared" si="164"/>
        <v>1.5489930603886826</v>
      </c>
      <c r="S295" s="677">
        <f t="shared" si="142"/>
        <v>1.0530975679216212</v>
      </c>
      <c r="T295" s="680">
        <f t="shared" si="143"/>
        <v>0.31890394195649713</v>
      </c>
      <c r="U295" s="681">
        <f t="shared" si="155"/>
        <v>0.93357951602021505</v>
      </c>
      <c r="V295" s="682">
        <f t="shared" si="156"/>
        <v>-0.45412384393007188</v>
      </c>
      <c r="W295" s="683">
        <f t="shared" si="144"/>
        <v>-10.267300988605903</v>
      </c>
      <c r="X295" s="684">
        <f t="shared" si="145"/>
        <v>-141.72356793120733</v>
      </c>
      <c r="Y295" s="687">
        <f t="shared" si="146"/>
        <v>38.276432068792673</v>
      </c>
      <c r="AA295" s="170">
        <f t="shared" si="147"/>
        <v>19725.5</v>
      </c>
      <c r="AB295" s="170">
        <f t="shared" si="148"/>
        <v>389095350.25</v>
      </c>
      <c r="AD295" s="686">
        <f t="shared" si="149"/>
        <v>26.479752016489385</v>
      </c>
      <c r="AE295" s="687">
        <f t="shared" si="150"/>
        <v>-19.520931014420032</v>
      </c>
      <c r="AG295" s="686">
        <f t="shared" si="151"/>
        <v>9.6278826060734808</v>
      </c>
      <c r="AH295" s="687">
        <f t="shared" si="152"/>
        <v>-70.163877590422743</v>
      </c>
      <c r="AJ295" s="170">
        <f t="shared" si="153"/>
        <v>0</v>
      </c>
      <c r="AK295" s="170">
        <f t="shared" si="165"/>
        <v>0</v>
      </c>
      <c r="AM295" s="170" t="str">
        <f t="shared" si="157"/>
        <v>0.216797199794769+0.621766333722473i</v>
      </c>
      <c r="AN295" s="170" t="str">
        <f t="shared" si="158"/>
        <v>0.670995959716389i</v>
      </c>
      <c r="AO295" s="170" t="str">
        <f t="shared" si="159"/>
        <v>0.926632008313844-0.323097623250076i</v>
      </c>
      <c r="AP295" s="170" t="str">
        <f t="shared" si="160"/>
        <v>0.130533800034205-0.103627722287079i</v>
      </c>
      <c r="AQ295" s="170" t="str">
        <f t="shared" si="161"/>
        <v>0.869466199965795+0.103627722287079i</v>
      </c>
      <c r="AR295" s="170" t="str">
        <f t="shared" si="162"/>
        <v>0.944640316025712-0.112587383309601i</v>
      </c>
    </row>
    <row r="296" spans="7:44">
      <c r="G296" s="688">
        <v>19839.25</v>
      </c>
      <c r="H296" s="676">
        <f t="shared" si="154"/>
        <v>19.83925</v>
      </c>
      <c r="I296" s="677">
        <f t="shared" si="134"/>
        <v>102.16192825539149</v>
      </c>
      <c r="J296" s="678">
        <f t="shared" si="135"/>
        <v>1.5610077882805655</v>
      </c>
      <c r="K296" s="678">
        <f t="shared" si="136"/>
        <v>1.0000686469176094</v>
      </c>
      <c r="L296" s="679">
        <f t="shared" si="137"/>
        <v>1.1716910073910961E-2</v>
      </c>
      <c r="M296" s="678">
        <f t="shared" si="138"/>
        <v>1.0085298109148637</v>
      </c>
      <c r="N296" s="679">
        <f t="shared" si="139"/>
        <v>-0.13015081704911066</v>
      </c>
      <c r="O296" s="677">
        <f t="shared" si="140"/>
        <v>373961.05189041205</v>
      </c>
      <c r="P296" s="680">
        <f t="shared" si="141"/>
        <v>1.5707936527196287</v>
      </c>
      <c r="Q296" s="689">
        <f t="shared" si="163"/>
        <v>46.132702638240303</v>
      </c>
      <c r="R296" s="690">
        <f t="shared" si="164"/>
        <v>1.5491180319661428</v>
      </c>
      <c r="S296" s="677">
        <f t="shared" si="142"/>
        <v>1.0536960704778198</v>
      </c>
      <c r="T296" s="680">
        <f t="shared" si="143"/>
        <v>0.32061980150783925</v>
      </c>
      <c r="U296" s="681">
        <f t="shared" si="155"/>
        <v>0.93288647488298859</v>
      </c>
      <c r="V296" s="682">
        <f t="shared" si="156"/>
        <v>-0.45657584249290706</v>
      </c>
      <c r="W296" s="683">
        <f t="shared" si="144"/>
        <v>-10.327806398875218</v>
      </c>
      <c r="X296" s="684">
        <f t="shared" si="145"/>
        <v>-141.99687308340228</v>
      </c>
      <c r="Y296" s="687">
        <f t="shared" si="146"/>
        <v>38.003126916597722</v>
      </c>
      <c r="AA296" s="170">
        <f t="shared" si="147"/>
        <v>19839.25</v>
      </c>
      <c r="AB296" s="170">
        <f t="shared" si="148"/>
        <v>393595840.5625</v>
      </c>
      <c r="AD296" s="686">
        <f t="shared" si="149"/>
        <v>26.474793400106194</v>
      </c>
      <c r="AE296" s="687">
        <f t="shared" si="150"/>
        <v>-19.612083064632362</v>
      </c>
      <c r="AG296" s="686">
        <f t="shared" si="151"/>
        <v>9.5852365114523348</v>
      </c>
      <c r="AH296" s="687">
        <f t="shared" si="152"/>
        <v>-70.065052354039096</v>
      </c>
      <c r="AJ296" s="170">
        <f t="shared" si="153"/>
        <v>0</v>
      </c>
      <c r="AK296" s="170">
        <f t="shared" si="165"/>
        <v>0</v>
      </c>
      <c r="AM296" s="170" t="str">
        <f t="shared" si="157"/>
        <v>0.219208917714459+0.624792194112069i</v>
      </c>
      <c r="AN296" s="170" t="str">
        <f t="shared" si="158"/>
        <v>0.674865356711027i</v>
      </c>
      <c r="AO296" s="170" t="str">
        <f t="shared" si="159"/>
        <v>0.925802736648106-0.324818744264455i</v>
      </c>
      <c r="AP296" s="170" t="str">
        <f t="shared" si="160"/>
        <v>0.13013184704759-0.104132032352012i</v>
      </c>
      <c r="AQ296" s="170" t="str">
        <f t="shared" si="161"/>
        <v>0.86986815295241+0.104132032352012i</v>
      </c>
      <c r="AR296" s="170" t="str">
        <f t="shared" si="162"/>
        <v>0.9440871337926-0.113016796425455i</v>
      </c>
    </row>
    <row r="297" spans="7:44">
      <c r="G297" s="688">
        <v>19953</v>
      </c>
      <c r="H297" s="676">
        <f t="shared" si="154"/>
        <v>19.952999999999999</v>
      </c>
      <c r="I297" s="677">
        <f t="shared" si="134"/>
        <v>102.74762625728388</v>
      </c>
      <c r="J297" s="678">
        <f t="shared" si="135"/>
        <v>1.5610635881974082</v>
      </c>
      <c r="K297" s="678">
        <f t="shared" si="136"/>
        <v>1.0000694363325937</v>
      </c>
      <c r="L297" s="679">
        <f t="shared" si="137"/>
        <v>1.178408375690107E-2</v>
      </c>
      <c r="M297" s="678">
        <f t="shared" si="138"/>
        <v>1.0086274845434806</v>
      </c>
      <c r="N297" s="679">
        <f t="shared" si="139"/>
        <v>-0.13088857771927473</v>
      </c>
      <c r="O297" s="677">
        <f t="shared" si="140"/>
        <v>376105.18887402944</v>
      </c>
      <c r="P297" s="680">
        <f t="shared" si="141"/>
        <v>1.5707936679642567</v>
      </c>
      <c r="Q297" s="689">
        <f t="shared" si="163"/>
        <v>46.397084418665678</v>
      </c>
      <c r="R297" s="690">
        <f t="shared" si="164"/>
        <v>1.5492415793091183</v>
      </c>
      <c r="S297" s="677">
        <f t="shared" si="142"/>
        <v>1.0542976717710879</v>
      </c>
      <c r="T297" s="680">
        <f t="shared" si="143"/>
        <v>0.32233370789953281</v>
      </c>
      <c r="U297" s="681">
        <f t="shared" si="155"/>
        <v>0.93219090559037321</v>
      </c>
      <c r="V297" s="682">
        <f t="shared" si="156"/>
        <v>-0.45902526792202009</v>
      </c>
      <c r="W297" s="683">
        <f t="shared" si="144"/>
        <v>-10.388072334799517</v>
      </c>
      <c r="X297" s="684">
        <f t="shared" si="145"/>
        <v>-142.2699554617831</v>
      </c>
      <c r="Y297" s="687">
        <f t="shared" si="146"/>
        <v>37.730044538216902</v>
      </c>
      <c r="AA297" s="170">
        <f t="shared" si="147"/>
        <v>19953</v>
      </c>
      <c r="AB297" s="170">
        <f t="shared" si="148"/>
        <v>398122209</v>
      </c>
      <c r="AD297" s="686">
        <f t="shared" si="149"/>
        <v>26.46981245927546</v>
      </c>
      <c r="AE297" s="687">
        <f t="shared" si="150"/>
        <v>-19.703204799591312</v>
      </c>
      <c r="AG297" s="686">
        <f t="shared" si="151"/>
        <v>9.5429089163136283</v>
      </c>
      <c r="AH297" s="687">
        <f t="shared" si="152"/>
        <v>-69.966329518499819</v>
      </c>
      <c r="AJ297" s="170">
        <f t="shared" si="153"/>
        <v>0</v>
      </c>
      <c r="AK297" s="170">
        <f t="shared" si="165"/>
        <v>0</v>
      </c>
      <c r="AM297" s="170" t="str">
        <f t="shared" si="157"/>
        <v>0.221632325805651+0.627808699978966i</v>
      </c>
      <c r="AN297" s="170" t="str">
        <f t="shared" si="158"/>
        <v>0.678734753705665i</v>
      </c>
      <c r="AO297" s="170" t="str">
        <f t="shared" si="159"/>
        <v>0.924969137872107-0.326537464886854i</v>
      </c>
      <c r="AP297" s="170" t="str">
        <f t="shared" si="160"/>
        <v>0.129727945699058-0.104634783329828i</v>
      </c>
      <c r="AQ297" s="170" t="str">
        <f t="shared" si="161"/>
        <v>0.870272054300942+0.104634783329828i</v>
      </c>
      <c r="AR297" s="170" t="str">
        <f t="shared" si="162"/>
        <v>0.94353243618842-0.113443045237783i</v>
      </c>
    </row>
    <row r="298" spans="7:44">
      <c r="G298" s="688">
        <v>20069</v>
      </c>
      <c r="H298" s="676">
        <f t="shared" si="154"/>
        <v>20.068999999999999</v>
      </c>
      <c r="I298" s="677">
        <f t="shared" si="134"/>
        <v>103.34490982007992</v>
      </c>
      <c r="J298" s="678">
        <f t="shared" si="135"/>
        <v>1.5611198404769666</v>
      </c>
      <c r="K298" s="678">
        <f t="shared" si="136"/>
        <v>1.000070246009763</v>
      </c>
      <c r="L298" s="679">
        <f t="shared" si="137"/>
        <v>1.1852586040572285E-2</v>
      </c>
      <c r="M298" s="678">
        <f t="shared" si="138"/>
        <v>1.0087276554498608</v>
      </c>
      <c r="N298" s="679">
        <f t="shared" si="139"/>
        <v>-0.13164078389912606</v>
      </c>
      <c r="O298" s="677">
        <f t="shared" si="140"/>
        <v>378291.73735842173</v>
      </c>
      <c r="P298" s="680">
        <f t="shared" si="141"/>
        <v>1.5707936833324541</v>
      </c>
      <c r="Q298" s="689">
        <f t="shared" si="163"/>
        <v>46.6666964498217</v>
      </c>
      <c r="R298" s="690">
        <f t="shared" si="164"/>
        <v>1.5493661287647469</v>
      </c>
      <c r="S298" s="677">
        <f t="shared" si="142"/>
        <v>1.0549143586580207</v>
      </c>
      <c r="T298" s="680">
        <f t="shared" si="143"/>
        <v>0.32407949727886304</v>
      </c>
      <c r="U298" s="681">
        <f t="shared" si="155"/>
        <v>0.93147899465523365</v>
      </c>
      <c r="V298" s="682">
        <f t="shared" si="156"/>
        <v>-0.46152048629675407</v>
      </c>
      <c r="W298" s="683">
        <f t="shared" si="144"/>
        <v>-10.449286876659718</v>
      </c>
      <c r="X298" s="684">
        <f t="shared" si="145"/>
        <v>-142.54820839557033</v>
      </c>
      <c r="Y298" s="687">
        <f t="shared" si="146"/>
        <v>37.451791604429673</v>
      </c>
      <c r="AA298" s="170">
        <f t="shared" si="147"/>
        <v>20069</v>
      </c>
      <c r="AB298" s="170">
        <f t="shared" si="148"/>
        <v>402764761</v>
      </c>
      <c r="AD298" s="686">
        <f t="shared" si="149"/>
        <v>26.464710080959044</v>
      </c>
      <c r="AE298" s="687">
        <f t="shared" si="150"/>
        <v>-19.796095885436522</v>
      </c>
      <c r="AG298" s="686">
        <f t="shared" si="151"/>
        <v>9.5000685883340843</v>
      </c>
      <c r="AH298" s="687">
        <f t="shared" si="152"/>
        <v>-69.865760402443613</v>
      </c>
      <c r="AJ298" s="170">
        <f t="shared" si="153"/>
        <v>0</v>
      </c>
      <c r="AK298" s="170">
        <f t="shared" si="165"/>
        <v>0</v>
      </c>
      <c r="AM298" s="170" t="str">
        <f t="shared" si="157"/>
        <v>0.22411567113647+0.630875192271808i</v>
      </c>
      <c r="AN298" s="170" t="str">
        <f t="shared" si="158"/>
        <v>0.682680688223275i</v>
      </c>
      <c r="AO298" s="170" t="str">
        <f t="shared" si="159"/>
        <v>0.924114601679601-0.32828769731241i</v>
      </c>
      <c r="AP298" s="170" t="str">
        <f t="shared" si="160"/>
        <v>0.129314054810588-0.105145865378635i</v>
      </c>
      <c r="AQ298" s="170" t="str">
        <f t="shared" si="161"/>
        <v>0.870685945189412+0.105145865378635i</v>
      </c>
      <c r="AR298" s="170" t="str">
        <f t="shared" si="162"/>
        <v>0.942965228186395-0.113874463562234i</v>
      </c>
    </row>
    <row r="299" spans="7:44">
      <c r="G299" s="688">
        <v>20185</v>
      </c>
      <c r="H299" s="676">
        <f t="shared" si="154"/>
        <v>20.184999999999999</v>
      </c>
      <c r="I299" s="677">
        <f t="shared" si="134"/>
        <v>103.94219370613396</v>
      </c>
      <c r="J299" s="678">
        <f t="shared" si="135"/>
        <v>1.5611754462708221</v>
      </c>
      <c r="K299" s="678">
        <f t="shared" si="136"/>
        <v>1.0000710603798173</v>
      </c>
      <c r="L299" s="679">
        <f t="shared" si="137"/>
        <v>1.1921088213000461E-2</v>
      </c>
      <c r="M299" s="678">
        <f t="shared" si="138"/>
        <v>1.0088283969950758</v>
      </c>
      <c r="N299" s="679">
        <f t="shared" si="139"/>
        <v>-0.13239284027389991</v>
      </c>
      <c r="O299" s="677">
        <f t="shared" si="140"/>
        <v>380478.28584281413</v>
      </c>
      <c r="P299" s="680">
        <f t="shared" si="141"/>
        <v>1.5707936985240143</v>
      </c>
      <c r="Q299" s="689">
        <f t="shared" si="163"/>
        <v>46.936309196581277</v>
      </c>
      <c r="R299" s="690">
        <f t="shared" si="164"/>
        <v>1.549489247341935</v>
      </c>
      <c r="S299" s="677">
        <f t="shared" si="142"/>
        <v>1.055534256929868</v>
      </c>
      <c r="T299" s="680">
        <f t="shared" si="143"/>
        <v>0.32582324141957403</v>
      </c>
      <c r="U299" s="681">
        <f t="shared" si="155"/>
        <v>0.93076449615188184</v>
      </c>
      <c r="V299" s="682">
        <f t="shared" si="156"/>
        <v>-0.46401301416322915</v>
      </c>
      <c r="W299" s="683">
        <f t="shared" si="144"/>
        <v>-10.510258718411938</v>
      </c>
      <c r="X299" s="684">
        <f t="shared" si="145"/>
        <v>-142.82622634649613</v>
      </c>
      <c r="Y299" s="687">
        <f t="shared" si="146"/>
        <v>37.173773653503872</v>
      </c>
      <c r="AA299" s="170">
        <f t="shared" si="147"/>
        <v>20185</v>
      </c>
      <c r="AB299" s="170">
        <f t="shared" si="148"/>
        <v>407434225</v>
      </c>
      <c r="AD299" s="686">
        <f t="shared" si="149"/>
        <v>26.459584644384115</v>
      </c>
      <c r="AE299" s="687">
        <f t="shared" si="150"/>
        <v>-19.888951760915788</v>
      </c>
      <c r="AG299" s="686">
        <f t="shared" si="151"/>
        <v>9.4575524602807892</v>
      </c>
      <c r="AH299" s="687">
        <f t="shared" si="152"/>
        <v>-69.765299823428279</v>
      </c>
      <c r="AJ299" s="170">
        <f t="shared" si="153"/>
        <v>0</v>
      </c>
      <c r="AK299" s="170">
        <f t="shared" si="165"/>
        <v>0</v>
      </c>
      <c r="AM299" s="170" t="str">
        <f t="shared" si="157"/>
        <v>0.226611097280361+0.633931861598795i</v>
      </c>
      <c r="AN299" s="170" t="str">
        <f t="shared" si="158"/>
        <v>0.686626622740884i</v>
      </c>
      <c r="AO299" s="170" t="str">
        <f t="shared" si="159"/>
        <v>0.92325558113121-0.33003540756368i</v>
      </c>
      <c r="AP299" s="170" t="str">
        <f t="shared" si="160"/>
        <v>0.128898150453273-0.105655310266466i</v>
      </c>
      <c r="AQ299" s="170" t="str">
        <f t="shared" si="161"/>
        <v>0.871101849546727+0.105655310266466i</v>
      </c>
      <c r="AR299" s="170" t="str">
        <f t="shared" si="162"/>
        <v>0.942396489355775-0.114302585316198i</v>
      </c>
    </row>
    <row r="300" spans="7:44">
      <c r="G300" s="688">
        <v>20301</v>
      </c>
      <c r="H300" s="676">
        <f t="shared" si="154"/>
        <v>20.300999999999998</v>
      </c>
      <c r="I300" s="677">
        <f t="shared" si="134"/>
        <v>104.5394779099052</v>
      </c>
      <c r="J300" s="678">
        <f t="shared" si="135"/>
        <v>1.5612304166596769</v>
      </c>
      <c r="K300" s="678">
        <f t="shared" si="136"/>
        <v>1.0000718794427448</v>
      </c>
      <c r="L300" s="679">
        <f t="shared" si="137"/>
        <v>1.1989590273542971E-2</v>
      </c>
      <c r="M300" s="678">
        <f t="shared" si="138"/>
        <v>1.0089297090081903</v>
      </c>
      <c r="N300" s="679">
        <f t="shared" si="139"/>
        <v>-0.13314474603788901</v>
      </c>
      <c r="O300" s="677">
        <f t="shared" si="140"/>
        <v>382664.8343272066</v>
      </c>
      <c r="P300" s="680">
        <f t="shared" si="141"/>
        <v>1.5707937135419654</v>
      </c>
      <c r="Q300" s="689">
        <f t="shared" si="163"/>
        <v>47.205922646683057</v>
      </c>
      <c r="R300" s="690">
        <f t="shared" si="164"/>
        <v>1.5496109595540162</v>
      </c>
      <c r="S300" s="677">
        <f t="shared" si="142"/>
        <v>1.0561573609319836</v>
      </c>
      <c r="T300" s="680">
        <f t="shared" si="143"/>
        <v>0.32756493332810327</v>
      </c>
      <c r="U300" s="681">
        <f t="shared" si="155"/>
        <v>0.93004743106171728</v>
      </c>
      <c r="V300" s="682">
        <f t="shared" si="156"/>
        <v>-0.4665028443236619</v>
      </c>
      <c r="W300" s="683">
        <f t="shared" si="144"/>
        <v>-10.570990973979344</v>
      </c>
      <c r="X300" s="684">
        <f t="shared" si="145"/>
        <v>-143.10400768586999</v>
      </c>
      <c r="Y300" s="687">
        <f t="shared" si="146"/>
        <v>36.895992314130012</v>
      </c>
      <c r="AA300" s="170">
        <f t="shared" si="147"/>
        <v>20301</v>
      </c>
      <c r="AB300" s="170">
        <f t="shared" si="148"/>
        <v>412130601</v>
      </c>
      <c r="AD300" s="686">
        <f t="shared" si="149"/>
        <v>26.454436230014377</v>
      </c>
      <c r="AE300" s="687">
        <f t="shared" si="150"/>
        <v>-19.981770620990417</v>
      </c>
      <c r="AG300" s="686">
        <f t="shared" si="151"/>
        <v>9.4153570727009956</v>
      </c>
      <c r="AH300" s="687">
        <f t="shared" si="152"/>
        <v>-69.664948782607112</v>
      </c>
      <c r="AJ300" s="170">
        <f t="shared" si="153"/>
        <v>0</v>
      </c>
      <c r="AK300" s="170">
        <f t="shared" si="165"/>
        <v>0</v>
      </c>
      <c r="AM300" s="170" t="str">
        <f t="shared" si="157"/>
        <v>0.229118565382593+0.636978660366427i</v>
      </c>
      <c r="AN300" s="170" t="str">
        <f t="shared" si="158"/>
        <v>0.690572557258493i</v>
      </c>
      <c r="AO300" s="170" t="str">
        <f t="shared" si="159"/>
        <v>0.922392084178919-0.331780582611293i</v>
      </c>
      <c r="AP300" s="170" t="str">
        <f t="shared" si="160"/>
        <v>0.128480239102901-0.106163110061071i</v>
      </c>
      <c r="AQ300" s="170" t="str">
        <f t="shared" si="161"/>
        <v>0.871519760897099+0.106163110061071i</v>
      </c>
      <c r="AR300" s="170" t="str">
        <f t="shared" si="162"/>
        <v>0.941826242392858-0.114727407817622i</v>
      </c>
    </row>
    <row r="301" spans="7:44">
      <c r="G301" s="688">
        <v>20417</v>
      </c>
      <c r="H301" s="676">
        <f t="shared" si="154"/>
        <v>20.417000000000002</v>
      </c>
      <c r="I301" s="677">
        <f t="shared" si="134"/>
        <v>105.13676242597876</v>
      </c>
      <c r="J301" s="678">
        <f t="shared" si="135"/>
        <v>1.5612847624724502</v>
      </c>
      <c r="K301" s="678">
        <f t="shared" si="136"/>
        <v>1.0000727031985344</v>
      </c>
      <c r="L301" s="679">
        <f t="shared" si="137"/>
        <v>1.2058092221557194E-2</v>
      </c>
      <c r="M301" s="678">
        <f t="shared" si="138"/>
        <v>1.0090315913173711</v>
      </c>
      <c r="N301" s="679">
        <f t="shared" si="139"/>
        <v>-0.13389650038638998</v>
      </c>
      <c r="O301" s="677">
        <f t="shared" si="140"/>
        <v>384851.38281159924</v>
      </c>
      <c r="P301" s="680">
        <f t="shared" si="141"/>
        <v>1.5707937283892661</v>
      </c>
      <c r="Q301" s="689">
        <f t="shared" si="163"/>
        <v>47.475536788144211</v>
      </c>
      <c r="R301" s="690">
        <f t="shared" si="164"/>
        <v>1.5497312893576454</v>
      </c>
      <c r="S301" s="677">
        <f t="shared" si="142"/>
        <v>1.0567836649938507</v>
      </c>
      <c r="T301" s="680">
        <f t="shared" si="143"/>
        <v>0.32930456607714326</v>
      </c>
      <c r="U301" s="681">
        <f t="shared" si="155"/>
        <v>0.92932782035235151</v>
      </c>
      <c r="V301" s="682">
        <f t="shared" si="156"/>
        <v>-0.46898996968766959</v>
      </c>
      <c r="W301" s="683">
        <f t="shared" si="144"/>
        <v>-10.631486700000023</v>
      </c>
      <c r="X301" s="684">
        <f t="shared" si="145"/>
        <v>-143.38155081247373</v>
      </c>
      <c r="Y301" s="687">
        <f t="shared" si="146"/>
        <v>36.618449187526267</v>
      </c>
      <c r="AA301" s="170">
        <f t="shared" si="147"/>
        <v>20417</v>
      </c>
      <c r="AB301" s="170">
        <f t="shared" si="148"/>
        <v>416853889</v>
      </c>
      <c r="AD301" s="686">
        <f t="shared" si="149"/>
        <v>26.44926491872905</v>
      </c>
      <c r="AE301" s="687">
        <f t="shared" si="150"/>
        <v>-20.074550696309245</v>
      </c>
      <c r="AG301" s="686">
        <f t="shared" si="151"/>
        <v>9.3734790228373619</v>
      </c>
      <c r="AH301" s="687">
        <f t="shared" si="152"/>
        <v>-69.564708260611184</v>
      </c>
      <c r="AJ301" s="170">
        <f t="shared" si="153"/>
        <v>0</v>
      </c>
      <c r="AK301" s="170">
        <f t="shared" si="165"/>
        <v>0</v>
      </c>
      <c r="AM301" s="170" t="str">
        <f t="shared" si="157"/>
        <v>0.231638036400937+0.640015541134894i</v>
      </c>
      <c r="AN301" s="170" t="str">
        <f t="shared" si="158"/>
        <v>0.694518491776102i</v>
      </c>
      <c r="AO301" s="170" t="str">
        <f t="shared" si="159"/>
        <v>0.921524118815286-0.333523209452013i</v>
      </c>
      <c r="AP301" s="170" t="str">
        <f t="shared" si="160"/>
        <v>0.12806032726651-0.106669256855816i</v>
      </c>
      <c r="AQ301" s="170" t="str">
        <f t="shared" si="161"/>
        <v>0.87193967273349+0.106669256855816i</v>
      </c>
      <c r="AR301" s="170" t="str">
        <f t="shared" si="162"/>
        <v>0.941254509947183-0.115148928564625i</v>
      </c>
    </row>
    <row r="302" spans="7:44">
      <c r="G302" s="688">
        <v>20536</v>
      </c>
      <c r="H302" s="676">
        <f t="shared" si="154"/>
        <v>20.536000000000001</v>
      </c>
      <c r="I302" s="677">
        <f t="shared" si="134"/>
        <v>105.7494942743748</v>
      </c>
      <c r="J302" s="678">
        <f t="shared" si="135"/>
        <v>1.5613398758577577</v>
      </c>
      <c r="K302" s="678">
        <f t="shared" si="136"/>
        <v>1.0000735531348228</v>
      </c>
      <c r="L302" s="679">
        <f t="shared" si="137"/>
        <v>1.212836565407048E-2</v>
      </c>
      <c r="M302" s="678">
        <f t="shared" si="138"/>
        <v>1.0091367009431553</v>
      </c>
      <c r="N302" s="679">
        <f t="shared" si="139"/>
        <v>-0.13466753847536136</v>
      </c>
      <c r="O302" s="677">
        <f t="shared" si="140"/>
        <v>387094.47996369173</v>
      </c>
      <c r="P302" s="680">
        <f t="shared" si="141"/>
        <v>1.5707937434462524</v>
      </c>
      <c r="Q302" s="689">
        <f t="shared" si="163"/>
        <v>47.752124415262884</v>
      </c>
      <c r="R302" s="690">
        <f t="shared" si="164"/>
        <v>1.5498533191783417</v>
      </c>
      <c r="S302" s="677">
        <f t="shared" si="142"/>
        <v>1.0574294858850359</v>
      </c>
      <c r="T302" s="680">
        <f t="shared" si="143"/>
        <v>0.33108704240845149</v>
      </c>
      <c r="U302" s="681">
        <f t="shared" si="155"/>
        <v>0.928586975758106</v>
      </c>
      <c r="V302" s="682">
        <f t="shared" si="156"/>
        <v>-0.47153859931267122</v>
      </c>
      <c r="W302" s="683">
        <f t="shared" si="144"/>
        <v>-10.693304330872277</v>
      </c>
      <c r="X302" s="684">
        <f t="shared" si="145"/>
        <v>-143.66602259534022</v>
      </c>
      <c r="Y302" s="687">
        <f t="shared" si="146"/>
        <v>36.333977404659777</v>
      </c>
      <c r="AA302" s="170">
        <f t="shared" si="147"/>
        <v>20536</v>
      </c>
      <c r="AB302" s="170">
        <f t="shared" si="148"/>
        <v>421727296</v>
      </c>
      <c r="AD302" s="686">
        <f t="shared" si="149"/>
        <v>26.443936159012154</v>
      </c>
      <c r="AE302" s="687">
        <f t="shared" si="150"/>
        <v>-20.169688136285018</v>
      </c>
      <c r="AG302" s="686">
        <f t="shared" si="151"/>
        <v>9.3308441663851536</v>
      </c>
      <c r="AH302" s="687">
        <f t="shared" si="152"/>
        <v>-69.46199116105899</v>
      </c>
      <c r="AJ302" s="170">
        <f t="shared" si="153"/>
        <v>0</v>
      </c>
      <c r="AK302" s="170">
        <f t="shared" si="165"/>
        <v>0</v>
      </c>
      <c r="AM302" s="170" t="str">
        <f t="shared" si="157"/>
        <v>0.234235097596312+0.643120606299216i</v>
      </c>
      <c r="AN302" s="170" t="str">
        <f t="shared" si="158"/>
        <v>0.698566476324339i</v>
      </c>
      <c r="AO302" s="170" t="str">
        <f t="shared" si="159"/>
        <v>0.920629071241919-0.335308242715556i</v>
      </c>
      <c r="AP302" s="170" t="str">
        <f t="shared" si="160"/>
        <v>0.127627483733948-0.107186767716536i</v>
      </c>
      <c r="AQ302" s="170" t="str">
        <f t="shared" si="161"/>
        <v>0.872372516266052+0.107186767716536i</v>
      </c>
      <c r="AR302" s="170" t="str">
        <f t="shared" si="162"/>
        <v>0.940666471399241-0.115577917333029i</v>
      </c>
    </row>
    <row r="303" spans="7:44">
      <c r="G303" s="688">
        <v>20655</v>
      </c>
      <c r="H303" s="676">
        <f t="shared" si="154"/>
        <v>20.655000000000001</v>
      </c>
      <c r="I303" s="677">
        <f t="shared" si="134"/>
        <v>106.36222644028248</v>
      </c>
      <c r="J303" s="678">
        <f t="shared" si="135"/>
        <v>1.5613943542481734</v>
      </c>
      <c r="K303" s="678">
        <f t="shared" si="136"/>
        <v>1.0000744080098214</v>
      </c>
      <c r="L303" s="679">
        <f t="shared" si="137"/>
        <v>1.2198638966789738E-2</v>
      </c>
      <c r="M303" s="678">
        <f t="shared" si="138"/>
        <v>1.0092424103752702</v>
      </c>
      <c r="N303" s="679">
        <f t="shared" si="139"/>
        <v>-0.13543841550336855</v>
      </c>
      <c r="O303" s="677">
        <f t="shared" si="140"/>
        <v>389337.57711578428</v>
      </c>
      <c r="P303" s="680">
        <f t="shared" si="141"/>
        <v>1.5707937583297424</v>
      </c>
      <c r="Q303" s="689">
        <f t="shared" si="163"/>
        <v>48.028712745281616</v>
      </c>
      <c r="R303" s="690">
        <f t="shared" si="164"/>
        <v>1.5499739435072115</v>
      </c>
      <c r="S303" s="677">
        <f t="shared" si="142"/>
        <v>1.0580786623567746</v>
      </c>
      <c r="T303" s="680">
        <f t="shared" si="143"/>
        <v>0.33286733713959071</v>
      </c>
      <c r="U303" s="681">
        <f t="shared" si="155"/>
        <v>0.92784349682478573</v>
      </c>
      <c r="V303" s="682">
        <f t="shared" si="156"/>
        <v>-0.47408436765811557</v>
      </c>
      <c r="W303" s="683">
        <f t="shared" si="144"/>
        <v>-10.754879377064935</v>
      </c>
      <c r="X303" s="684">
        <f t="shared" si="145"/>
        <v>-143.95024035751359</v>
      </c>
      <c r="Y303" s="687">
        <f t="shared" si="146"/>
        <v>36.049759642486407</v>
      </c>
      <c r="AA303" s="170">
        <f t="shared" si="147"/>
        <v>20655</v>
      </c>
      <c r="AB303" s="170">
        <f t="shared" si="148"/>
        <v>426629025</v>
      </c>
      <c r="AD303" s="686">
        <f t="shared" si="149"/>
        <v>26.438583476462473</v>
      </c>
      <c r="AE303" s="687">
        <f t="shared" si="150"/>
        <v>-20.264781098587651</v>
      </c>
      <c r="AG303" s="686">
        <f t="shared" si="151"/>
        <v>9.2885361968521156</v>
      </c>
      <c r="AH303" s="687">
        <f t="shared" si="152"/>
        <v>-69.359392396972481</v>
      </c>
      <c r="AJ303" s="170">
        <f t="shared" si="153"/>
        <v>0</v>
      </c>
      <c r="AK303" s="170">
        <f t="shared" si="165"/>
        <v>0</v>
      </c>
      <c r="AM303" s="170" t="str">
        <f t="shared" si="157"/>
        <v>0.236844706735242+0.646215133188616i</v>
      </c>
      <c r="AN303" s="170" t="str">
        <f t="shared" si="158"/>
        <v>0.702614460872576i</v>
      </c>
      <c r="AO303" s="170" t="str">
        <f t="shared" si="159"/>
        <v>0.919729338314618-0.337090566626119i</v>
      </c>
      <c r="AP303" s="170" t="str">
        <f t="shared" si="160"/>
        <v>0.12719254887746-0.107702522198103i</v>
      </c>
      <c r="AQ303" s="170" t="str">
        <f t="shared" si="161"/>
        <v>0.87280745112254+0.107702522198103i</v>
      </c>
      <c r="AR303" s="170" t="str">
        <f t="shared" si="162"/>
        <v>0.940076917670837-0.116003426601307i</v>
      </c>
    </row>
    <row r="304" spans="7:44">
      <c r="G304" s="688">
        <v>20774</v>
      </c>
      <c r="H304" s="676">
        <f t="shared" si="154"/>
        <v>20.774000000000001</v>
      </c>
      <c r="I304" s="677">
        <f t="shared" si="134"/>
        <v>106.97495891824586</v>
      </c>
      <c r="J304" s="678">
        <f t="shared" si="135"/>
        <v>1.5614482085547656</v>
      </c>
      <c r="K304" s="678">
        <f t="shared" si="136"/>
        <v>1.0000752678235174</v>
      </c>
      <c r="L304" s="679">
        <f t="shared" si="137"/>
        <v>1.2268912159021209E-2</v>
      </c>
      <c r="M304" s="678">
        <f t="shared" si="138"/>
        <v>1.0093487194252622</v>
      </c>
      <c r="N304" s="679">
        <f t="shared" si="139"/>
        <v>-0.13620913060497053</v>
      </c>
      <c r="O304" s="677">
        <f t="shared" si="140"/>
        <v>391580.67426787695</v>
      </c>
      <c r="P304" s="680">
        <f t="shared" si="141"/>
        <v>1.5707937730427179</v>
      </c>
      <c r="Q304" s="689">
        <f t="shared" si="163"/>
        <v>48.305301766126334</v>
      </c>
      <c r="R304" s="690">
        <f t="shared" si="164"/>
        <v>1.55009318648363</v>
      </c>
      <c r="S304" s="677">
        <f t="shared" si="142"/>
        <v>1.0587311882364969</v>
      </c>
      <c r="T304" s="680">
        <f t="shared" si="143"/>
        <v>0.3346454430089042</v>
      </c>
      <c r="U304" s="681">
        <f t="shared" si="155"/>
        <v>0.92709740613525271</v>
      </c>
      <c r="V304" s="682">
        <f t="shared" si="156"/>
        <v>-0.47662726741998301</v>
      </c>
      <c r="W304" s="683">
        <f t="shared" si="144"/>
        <v>-10.816214959123672</v>
      </c>
      <c r="X304" s="684">
        <f t="shared" si="145"/>
        <v>-144.23420245714041</v>
      </c>
      <c r="Y304" s="687">
        <f t="shared" si="146"/>
        <v>35.765797542859588</v>
      </c>
      <c r="AA304" s="170">
        <f t="shared" si="147"/>
        <v>20774</v>
      </c>
      <c r="AB304" s="170">
        <f t="shared" si="148"/>
        <v>431559076</v>
      </c>
      <c r="AD304" s="686">
        <f t="shared" si="149"/>
        <v>26.433206959676049</v>
      </c>
      <c r="AE304" s="687">
        <f t="shared" si="150"/>
        <v>-20.359827784241407</v>
      </c>
      <c r="AG304" s="686">
        <f t="shared" si="151"/>
        <v>9.2465516182675405</v>
      </c>
      <c r="AH304" s="687">
        <f t="shared" si="152"/>
        <v>-69.256912962452887</v>
      </c>
      <c r="AJ304" s="170">
        <f t="shared" si="153"/>
        <v>0</v>
      </c>
      <c r="AK304" s="170">
        <f t="shared" si="165"/>
        <v>0</v>
      </c>
      <c r="AM304" s="170" t="str">
        <f t="shared" si="157"/>
        <v>0.239466821056261+0.649299071095694i</v>
      </c>
      <c r="AN304" s="170" t="str">
        <f t="shared" si="158"/>
        <v>0.706662445420813i</v>
      </c>
      <c r="AO304" s="170" t="str">
        <f t="shared" si="159"/>
        <v>0.918824928794738-0.338870167231909i</v>
      </c>
      <c r="AP304" s="170" t="str">
        <f t="shared" si="160"/>
        <v>0.126755529823956-0.108216511849282i</v>
      </c>
      <c r="AQ304" s="170" t="str">
        <f t="shared" si="161"/>
        <v>0.873244470176044+0.108216511849282i</v>
      </c>
      <c r="AR304" s="170" t="str">
        <f t="shared" si="162"/>
        <v>0.939485873051097-0.11642545425197i</v>
      </c>
    </row>
    <row r="305" spans="7:44">
      <c r="G305" s="688">
        <v>20893</v>
      </c>
      <c r="H305" s="676">
        <f t="shared" si="154"/>
        <v>20.893000000000001</v>
      </c>
      <c r="I305" s="677">
        <f t="shared" si="134"/>
        <v>107.58769170293331</v>
      </c>
      <c r="J305" s="678">
        <f t="shared" si="135"/>
        <v>1.5615014494400548</v>
      </c>
      <c r="K305" s="678">
        <f t="shared" si="136"/>
        <v>1.000076132575898</v>
      </c>
      <c r="L305" s="679">
        <f t="shared" si="137"/>
        <v>1.2339185230071143E-2</v>
      </c>
      <c r="M305" s="678">
        <f t="shared" si="138"/>
        <v>1.0094556279036879</v>
      </c>
      <c r="N305" s="679">
        <f t="shared" si="139"/>
        <v>-0.13697968291585932</v>
      </c>
      <c r="O305" s="677">
        <f t="shared" si="140"/>
        <v>393823.77141996968</v>
      </c>
      <c r="P305" s="680">
        <f t="shared" si="141"/>
        <v>1.5707937875880926</v>
      </c>
      <c r="Q305" s="689">
        <f t="shared" si="163"/>
        <v>48.581891465997899</v>
      </c>
      <c r="R305" s="690">
        <f t="shared" si="164"/>
        <v>1.5502110716974034</v>
      </c>
      <c r="S305" s="677">
        <f t="shared" si="142"/>
        <v>1.0593870573350335</v>
      </c>
      <c r="T305" s="680">
        <f t="shared" si="143"/>
        <v>0.33642135282794372</v>
      </c>
      <c r="U305" s="681">
        <f t="shared" si="155"/>
        <v>0.92634872625123577</v>
      </c>
      <c r="V305" s="682">
        <f t="shared" si="156"/>
        <v>-0.47916729141214959</v>
      </c>
      <c r="W305" s="683">
        <f t="shared" si="144"/>
        <v>-10.877314139768997</v>
      </c>
      <c r="X305" s="684">
        <f t="shared" si="145"/>
        <v>-144.51790728062488</v>
      </c>
      <c r="Y305" s="687">
        <f t="shared" si="146"/>
        <v>35.482092719375117</v>
      </c>
      <c r="AA305" s="170">
        <f t="shared" si="147"/>
        <v>20893</v>
      </c>
      <c r="AB305" s="170">
        <f t="shared" si="148"/>
        <v>436517449</v>
      </c>
      <c r="AD305" s="686">
        <f t="shared" si="149"/>
        <v>26.427806697652802</v>
      </c>
      <c r="AE305" s="687">
        <f t="shared" si="150"/>
        <v>-20.454826429949136</v>
      </c>
      <c r="AG305" s="686">
        <f t="shared" si="151"/>
        <v>9.2048869919550516</v>
      </c>
      <c r="AH305" s="687">
        <f t="shared" si="152"/>
        <v>-69.154553830670807</v>
      </c>
      <c r="AJ305" s="170">
        <f t="shared" si="153"/>
        <v>0</v>
      </c>
      <c r="AK305" s="170">
        <f t="shared" si="165"/>
        <v>0</v>
      </c>
      <c r="AM305" s="170" t="str">
        <f t="shared" si="157"/>
        <v>0.242101397592995+0.65237236948656i</v>
      </c>
      <c r="AN305" s="170" t="str">
        <f t="shared" si="158"/>
        <v>0.710710429969051i</v>
      </c>
      <c r="AO305" s="170" t="str">
        <f t="shared" si="159"/>
        <v>0.917915851488163-0.340647030610677i</v>
      </c>
      <c r="AP305" s="170" t="str">
        <f t="shared" si="160"/>
        <v>0.126316433734501-0.10872872824776i</v>
      </c>
      <c r="AQ305" s="170" t="str">
        <f t="shared" si="161"/>
        <v>0.873683566265499+0.10872872824776i</v>
      </c>
      <c r="AR305" s="170" t="str">
        <f t="shared" si="162"/>
        <v>0.938893361770579-0.116843998361939i</v>
      </c>
    </row>
    <row r="306" spans="7:44">
      <c r="G306" s="688">
        <v>21014.75</v>
      </c>
      <c r="H306" s="676">
        <f t="shared" si="154"/>
        <v>21.014749999999999</v>
      </c>
      <c r="I306" s="677">
        <f t="shared" si="134"/>
        <v>108.21458459086799</v>
      </c>
      <c r="J306" s="678">
        <f t="shared" si="135"/>
        <v>1.5615552966999655</v>
      </c>
      <c r="K306" s="678">
        <f t="shared" si="136"/>
        <v>1.0000770224232365</v>
      </c>
      <c r="L306" s="679">
        <f t="shared" si="137"/>
        <v>1.2411082132507315E-2</v>
      </c>
      <c r="M306" s="678">
        <f t="shared" si="138"/>
        <v>1.009565627124587</v>
      </c>
      <c r="N306" s="679">
        <f t="shared" si="139"/>
        <v>-0.13776787273054997</v>
      </c>
      <c r="O306" s="677">
        <f t="shared" si="140"/>
        <v>396118.7048507873</v>
      </c>
      <c r="P306" s="680">
        <f t="shared" si="141"/>
        <v>1.5707938022991135</v>
      </c>
      <c r="Q306" s="689">
        <f t="shared" si="163"/>
        <v>48.864873635368696</v>
      </c>
      <c r="R306" s="690">
        <f t="shared" si="164"/>
        <v>1.5503303000006217</v>
      </c>
      <c r="S306" s="677">
        <f t="shared" si="142"/>
        <v>1.0600615366009487</v>
      </c>
      <c r="T306" s="680">
        <f t="shared" si="143"/>
        <v>0.33823602239940187</v>
      </c>
      <c r="U306" s="681">
        <f t="shared" si="155"/>
        <v>0.92558008880998166</v>
      </c>
      <c r="V306" s="682">
        <f t="shared" si="156"/>
        <v>-0.48176302984379105</v>
      </c>
      <c r="W306" s="683">
        <f t="shared" si="144"/>
        <v>-10.939583752007358</v>
      </c>
      <c r="X306" s="684">
        <f t="shared" si="145"/>
        <v>-144.80790039126956</v>
      </c>
      <c r="Y306" s="687">
        <f t="shared" si="146"/>
        <v>35.192099608730445</v>
      </c>
      <c r="AA306" s="170">
        <f t="shared" si="147"/>
        <v>21014.75</v>
      </c>
      <c r="AB306" s="170">
        <f t="shared" si="148"/>
        <v>441619717.5625</v>
      </c>
      <c r="AD306" s="686">
        <f t="shared" si="149"/>
        <v>26.422257158207362</v>
      </c>
      <c r="AE306" s="687">
        <f t="shared" si="150"/>
        <v>-20.55196890202199</v>
      </c>
      <c r="AG306" s="686">
        <f t="shared" si="151"/>
        <v>9.1625871286550336</v>
      </c>
      <c r="AH306" s="687">
        <f t="shared" si="152"/>
        <v>-69.049954755196865</v>
      </c>
      <c r="AJ306" s="170">
        <f t="shared" si="153"/>
        <v>0</v>
      </c>
      <c r="AK306" s="170">
        <f t="shared" si="165"/>
        <v>0</v>
      </c>
      <c r="AM306" s="170" t="str">
        <f t="shared" si="157"/>
        <v>0.244809709708923+0.655505625795903i</v>
      </c>
      <c r="AN306" s="170" t="str">
        <f t="shared" si="158"/>
        <v>0.714851960378696i</v>
      </c>
      <c r="AO306" s="170" t="str">
        <f t="shared" si="159"/>
        <v>0.916980944486249-0.342462108629084i</v>
      </c>
      <c r="AP306" s="170" t="str">
        <f t="shared" si="160"/>
        <v>0.125865048381846-0.10925093763265i</v>
      </c>
      <c r="AQ306" s="170" t="str">
        <f t="shared" si="161"/>
        <v>0.874134951618154+0.10925093763265i</v>
      </c>
      <c r="AR306" s="170" t="str">
        <f t="shared" si="162"/>
        <v>0.938285665316879-0.117268607682813i</v>
      </c>
    </row>
    <row r="307" spans="7:44">
      <c r="G307" s="688">
        <v>21136.5</v>
      </c>
      <c r="H307" s="676">
        <f t="shared" si="154"/>
        <v>21.136500000000002</v>
      </c>
      <c r="I307" s="677">
        <f t="shared" si="134"/>
        <v>108.84147778895938</v>
      </c>
      <c r="J307" s="678">
        <f t="shared" si="135"/>
        <v>1.5616085236729538</v>
      </c>
      <c r="K307" s="678">
        <f t="shared" si="136"/>
        <v>1.0000779174401282</v>
      </c>
      <c r="L307" s="679">
        <f t="shared" si="137"/>
        <v>1.2482978906627277E-2</v>
      </c>
      <c r="M307" s="678">
        <f t="shared" si="138"/>
        <v>1.0096762533943662</v>
      </c>
      <c r="N307" s="679">
        <f t="shared" si="139"/>
        <v>-0.13855589031696447</v>
      </c>
      <c r="O307" s="677">
        <f t="shared" si="140"/>
        <v>398413.63828160497</v>
      </c>
      <c r="P307" s="680">
        <f t="shared" si="141"/>
        <v>1.5707938168406583</v>
      </c>
      <c r="Q307" s="689">
        <f t="shared" si="163"/>
        <v>49.147856491373553</v>
      </c>
      <c r="R307" s="690">
        <f t="shared" si="164"/>
        <v>1.5504481553233116</v>
      </c>
      <c r="S307" s="677">
        <f t="shared" si="142"/>
        <v>1.0607395022306816</v>
      </c>
      <c r="T307" s="680">
        <f t="shared" si="143"/>
        <v>0.3400483782611482</v>
      </c>
      <c r="U307" s="681">
        <f t="shared" si="155"/>
        <v>0.9248087888277422</v>
      </c>
      <c r="V307" s="682">
        <f t="shared" si="156"/>
        <v>-0.48435574321482</v>
      </c>
      <c r="W307" s="683">
        <f t="shared" si="144"/>
        <v>-11.001612216701865</v>
      </c>
      <c r="X307" s="684">
        <f t="shared" si="145"/>
        <v>-145.09762086876188</v>
      </c>
      <c r="Y307" s="687">
        <f t="shared" si="146"/>
        <v>34.902379131238121</v>
      </c>
      <c r="AA307" s="170">
        <f t="shared" si="147"/>
        <v>21136.5</v>
      </c>
      <c r="AB307" s="170">
        <f t="shared" si="148"/>
        <v>446751632.25</v>
      </c>
      <c r="AD307" s="686">
        <f t="shared" si="149"/>
        <v>26.416682953087445</v>
      </c>
      <c r="AE307" s="687">
        <f t="shared" si="150"/>
        <v>-20.649057464572646</v>
      </c>
      <c r="AG307" s="686">
        <f t="shared" si="151"/>
        <v>9.1206150722379338</v>
      </c>
      <c r="AH307" s="687">
        <f t="shared" si="152"/>
        <v>-68.945483602504851</v>
      </c>
      <c r="AJ307" s="170">
        <f t="shared" si="153"/>
        <v>0</v>
      </c>
      <c r="AK307" s="170">
        <f t="shared" si="165"/>
        <v>0</v>
      </c>
      <c r="AM307" s="170" t="str">
        <f t="shared" si="157"/>
        <v>0.247530975037219+0.658627638709128i</v>
      </c>
      <c r="AN307" s="170" t="str">
        <f t="shared" si="158"/>
        <v>0.718993490788342i</v>
      </c>
      <c r="AO307" s="170" t="str">
        <f t="shared" si="159"/>
        <v>0.916041170257292-0.344274292060437i</v>
      </c>
      <c r="AP307" s="170" t="str">
        <f t="shared" si="160"/>
        <v>0.125411504160464-0.109771273118188i</v>
      </c>
      <c r="AQ307" s="170" t="str">
        <f t="shared" si="161"/>
        <v>0.874588495839536+0.109771273118188i</v>
      </c>
      <c r="AR307" s="170" t="str">
        <f t="shared" si="162"/>
        <v>0.93767648475037-0.117689567143495i</v>
      </c>
    </row>
    <row r="308" spans="7:44">
      <c r="G308" s="688">
        <v>21258.25</v>
      </c>
      <c r="H308" s="676">
        <f t="shared" si="154"/>
        <v>21.25825</v>
      </c>
      <c r="I308" s="677">
        <f t="shared" si="134"/>
        <v>109.46837129187894</v>
      </c>
      <c r="J308" s="678">
        <f t="shared" si="135"/>
        <v>1.5616611410153234</v>
      </c>
      <c r="K308" s="678">
        <f t="shared" si="136"/>
        <v>1.0000788176265596</v>
      </c>
      <c r="L308" s="679">
        <f t="shared" si="137"/>
        <v>1.2554875551688082E-2</v>
      </c>
      <c r="M308" s="678">
        <f t="shared" si="138"/>
        <v>1.0097875065069377</v>
      </c>
      <c r="N308" s="679">
        <f t="shared" si="139"/>
        <v>-0.13934373475319597</v>
      </c>
      <c r="O308" s="677">
        <f t="shared" si="140"/>
        <v>400708.57171242282</v>
      </c>
      <c r="P308" s="680">
        <f t="shared" si="141"/>
        <v>1.5707938312156389</v>
      </c>
      <c r="Q308" s="689">
        <f t="shared" si="163"/>
        <v>49.430840022219904</v>
      </c>
      <c r="R308" s="690">
        <f t="shared" si="164"/>
        <v>1.5505646612424422</v>
      </c>
      <c r="S308" s="677">
        <f t="shared" si="142"/>
        <v>1.0614209475436553</v>
      </c>
      <c r="T308" s="680">
        <f t="shared" si="143"/>
        <v>0.34185841295230851</v>
      </c>
      <c r="U308" s="681">
        <f t="shared" si="155"/>
        <v>0.92403485038868394</v>
      </c>
      <c r="V308" s="682">
        <f t="shared" si="156"/>
        <v>-0.4869454242105255</v>
      </c>
      <c r="W308" s="683">
        <f t="shared" si="144"/>
        <v>-11.063402634446923</v>
      </c>
      <c r="X308" s="684">
        <f t="shared" si="145"/>
        <v>-145.38706707361158</v>
      </c>
      <c r="Y308" s="687">
        <f t="shared" si="146"/>
        <v>34.612932926388424</v>
      </c>
      <c r="AA308" s="170">
        <f t="shared" si="147"/>
        <v>21258.25</v>
      </c>
      <c r="AB308" s="170">
        <f t="shared" si="148"/>
        <v>451913193.0625</v>
      </c>
      <c r="AD308" s="686">
        <f t="shared" si="149"/>
        <v>26.411084178833484</v>
      </c>
      <c r="AE308" s="687">
        <f t="shared" si="150"/>
        <v>-20.746090339430523</v>
      </c>
      <c r="AG308" s="686">
        <f t="shared" si="151"/>
        <v>9.0789673179506227</v>
      </c>
      <c r="AH308" s="687">
        <f t="shared" si="152"/>
        <v>-68.841141349479216</v>
      </c>
      <c r="AJ308" s="170">
        <f t="shared" si="153"/>
        <v>0</v>
      </c>
      <c r="AK308" s="170">
        <f t="shared" si="165"/>
        <v>0</v>
      </c>
      <c r="AM308" s="170" t="str">
        <f t="shared" si="157"/>
        <v>0.250265146902061+0.661738354676689i</v>
      </c>
      <c r="AN308" s="170" t="str">
        <f t="shared" si="158"/>
        <v>0.723135021197988i</v>
      </c>
      <c r="AO308" s="170" t="str">
        <f t="shared" si="159"/>
        <v>0.915096538375937-0.346083566091789i</v>
      </c>
      <c r="AP308" s="170" t="str">
        <f t="shared" si="160"/>
        <v>0.124955808849656-0.110289725779448i</v>
      </c>
      <c r="AQ308" s="170" t="str">
        <f t="shared" si="161"/>
        <v>0.875044191150344+0.110289725779448i</v>
      </c>
      <c r="AR308" s="170" t="str">
        <f t="shared" si="162"/>
        <v>0.937065845819426-0.11810687530746i</v>
      </c>
    </row>
    <row r="309" spans="7:44">
      <c r="G309" s="688">
        <v>21380</v>
      </c>
      <c r="H309" s="676">
        <f t="shared" si="154"/>
        <v>21.38</v>
      </c>
      <c r="I309" s="677">
        <f t="shared" si="134"/>
        <v>110.0952650944195</v>
      </c>
      <c r="J309" s="678">
        <f t="shared" si="135"/>
        <v>1.5617131591406792</v>
      </c>
      <c r="K309" s="678">
        <f t="shared" si="136"/>
        <v>1.0000797229825167</v>
      </c>
      <c r="L309" s="679">
        <f t="shared" si="137"/>
        <v>1.2626772066946795E-2</v>
      </c>
      <c r="M309" s="678">
        <f t="shared" si="138"/>
        <v>1.0098993862551382</v>
      </c>
      <c r="N309" s="679">
        <f t="shared" si="139"/>
        <v>-0.14013140511860256</v>
      </c>
      <c r="O309" s="677">
        <f t="shared" si="140"/>
        <v>403003.50514324068</v>
      </c>
      <c r="P309" s="680">
        <f t="shared" si="141"/>
        <v>1.5707938454269004</v>
      </c>
      <c r="Q309" s="689">
        <f t="shared" si="163"/>
        <v>49.713824216383642</v>
      </c>
      <c r="R309" s="690">
        <f t="shared" si="164"/>
        <v>1.5506798407983062</v>
      </c>
      <c r="S309" s="677">
        <f t="shared" si="142"/>
        <v>1.0621058658421931</v>
      </c>
      <c r="T309" s="680">
        <f t="shared" si="143"/>
        <v>0.34366611909194411</v>
      </c>
      <c r="U309" s="681">
        <f t="shared" si="155"/>
        <v>0.92325829754749789</v>
      </c>
      <c r="V309" s="682">
        <f t="shared" si="156"/>
        <v>-0.48953206564402957</v>
      </c>
      <c r="W309" s="683">
        <f t="shared" si="144"/>
        <v>-11.124958048104233</v>
      </c>
      <c r="X309" s="684">
        <f t="shared" si="145"/>
        <v>-145.67623739514491</v>
      </c>
      <c r="Y309" s="687">
        <f t="shared" si="146"/>
        <v>34.323762604855091</v>
      </c>
      <c r="AA309" s="170">
        <f t="shared" si="147"/>
        <v>21380</v>
      </c>
      <c r="AB309" s="170">
        <f t="shared" si="148"/>
        <v>457104400</v>
      </c>
      <c r="AD309" s="686">
        <f t="shared" si="149"/>
        <v>26.405460932371668</v>
      </c>
      <c r="AE309" s="687">
        <f t="shared" si="150"/>
        <v>-20.843065783750443</v>
      </c>
      <c r="AG309" s="686">
        <f t="shared" si="151"/>
        <v>9.0376404183197661</v>
      </c>
      <c r="AH309" s="687">
        <f t="shared" si="152"/>
        <v>-68.736928951847062</v>
      </c>
      <c r="AJ309" s="170">
        <f t="shared" si="153"/>
        <v>0</v>
      </c>
      <c r="AK309" s="170">
        <f t="shared" si="165"/>
        <v>0</v>
      </c>
      <c r="AM309" s="170" t="str">
        <f t="shared" si="157"/>
        <v>0.253012178406249+0.664837720342809i</v>
      </c>
      <c r="AN309" s="170" t="str">
        <f t="shared" si="158"/>
        <v>0.727276551607634i</v>
      </c>
      <c r="AO309" s="170" t="str">
        <f t="shared" si="159"/>
        <v>0.914147058465167-0.347889915943212i</v>
      </c>
      <c r="AP309" s="170" t="str">
        <f t="shared" si="160"/>
        <v>0.124497970265625-0.110806286723801i</v>
      </c>
      <c r="AQ309" s="170" t="str">
        <f t="shared" si="161"/>
        <v>0.875502029734375+0.110806286723801i</v>
      </c>
      <c r="AR309" s="170" t="str">
        <f t="shared" si="162"/>
        <v>0.936453774201044-0.118520530945186i</v>
      </c>
    </row>
    <row r="310" spans="7:44">
      <c r="G310" s="688">
        <v>21504.5</v>
      </c>
      <c r="H310" s="676">
        <f t="shared" si="154"/>
        <v>21.5045</v>
      </c>
      <c r="I310" s="677">
        <f t="shared" si="134"/>
        <v>110.73631902045558</v>
      </c>
      <c r="J310" s="678">
        <f t="shared" si="135"/>
        <v>1.5617657431446361</v>
      </c>
      <c r="K310" s="678">
        <f t="shared" si="136"/>
        <v>1.0000806541339702</v>
      </c>
      <c r="L310" s="679">
        <f t="shared" si="137"/>
        <v>1.2700292393128289E-2</v>
      </c>
      <c r="M310" s="678">
        <f t="shared" si="138"/>
        <v>1.0100144408707916</v>
      </c>
      <c r="N310" s="679">
        <f t="shared" si="139"/>
        <v>-0.14093668583561952</v>
      </c>
      <c r="O310" s="677">
        <f t="shared" si="140"/>
        <v>405350.27485278354</v>
      </c>
      <c r="P310" s="680">
        <f t="shared" si="141"/>
        <v>1.5707938597927456</v>
      </c>
      <c r="Q310" s="689">
        <f t="shared" si="163"/>
        <v>50.003200924888461</v>
      </c>
      <c r="R310" s="690">
        <f t="shared" si="164"/>
        <v>1.5507962737656174</v>
      </c>
      <c r="S310" s="677">
        <f t="shared" si="142"/>
        <v>1.0628098391178782</v>
      </c>
      <c r="T310" s="680">
        <f t="shared" si="143"/>
        <v>0.34551224073077347</v>
      </c>
      <c r="U310" s="681">
        <f t="shared" si="155"/>
        <v>0.92246152588163588</v>
      </c>
      <c r="V310" s="682">
        <f t="shared" si="156"/>
        <v>-0.4921739815681172</v>
      </c>
      <c r="W310" s="683">
        <f t="shared" si="144"/>
        <v>-11.187663915587216</v>
      </c>
      <c r="X310" s="684">
        <f t="shared" si="145"/>
        <v>-145.97165233511933</v>
      </c>
      <c r="Y310" s="687">
        <f t="shared" si="146"/>
        <v>34.02834766488067</v>
      </c>
      <c r="AA310" s="170">
        <f t="shared" si="147"/>
        <v>21504.5</v>
      </c>
      <c r="AB310" s="170">
        <f t="shared" si="148"/>
        <v>462443520.25</v>
      </c>
      <c r="AD310" s="686">
        <f t="shared" si="149"/>
        <v>26.399685465917983</v>
      </c>
      <c r="AE310" s="687">
        <f t="shared" si="150"/>
        <v>-20.942170467715563</v>
      </c>
      <c r="AG310" s="686">
        <f t="shared" si="151"/>
        <v>8.9957083308989887</v>
      </c>
      <c r="AH310" s="687">
        <f t="shared" si="152"/>
        <v>-68.63049794295317</v>
      </c>
      <c r="AJ310" s="170">
        <f t="shared" si="153"/>
        <v>0</v>
      </c>
      <c r="AK310" s="170">
        <f t="shared" si="165"/>
        <v>0</v>
      </c>
      <c r="AM310" s="170" t="str">
        <f t="shared" si="157"/>
        <v>0.25583450737156+0.667995299071088i</v>
      </c>
      <c r="AN310" s="170" t="str">
        <f t="shared" si="158"/>
        <v>0.731511627878689i</v>
      </c>
      <c r="AO310" s="170" t="str">
        <f t="shared" si="159"/>
        <v>0.91317112895144-0.349734026940152i</v>
      </c>
      <c r="AP310" s="170" t="str">
        <f t="shared" si="160"/>
        <v>0.12402758210474-0.111332549845181i</v>
      </c>
      <c r="AQ310" s="170" t="str">
        <f t="shared" si="161"/>
        <v>0.87597241789526+0.111332549845181i</v>
      </c>
      <c r="AR310" s="170" t="str">
        <f t="shared" si="162"/>
        <v>0.935826422639513-0.118939751659405i</v>
      </c>
    </row>
    <row r="311" spans="7:44">
      <c r="G311" s="688">
        <v>21629</v>
      </c>
      <c r="H311" s="676">
        <f t="shared" si="154"/>
        <v>21.629000000000001</v>
      </c>
      <c r="I311" s="677">
        <f t="shared" si="134"/>
        <v>111.37737324916144</v>
      </c>
      <c r="J311" s="678">
        <f t="shared" si="135"/>
        <v>1.5618177218337217</v>
      </c>
      <c r="K311" s="678">
        <f t="shared" si="136"/>
        <v>1.000081590691088</v>
      </c>
      <c r="L311" s="679">
        <f t="shared" si="137"/>
        <v>1.2773812582006439E-2</v>
      </c>
      <c r="M311" s="678">
        <f t="shared" si="138"/>
        <v>1.0101301503081617</v>
      </c>
      <c r="N311" s="679">
        <f t="shared" si="139"/>
        <v>-0.14174178258636025</v>
      </c>
      <c r="O311" s="677">
        <f t="shared" si="140"/>
        <v>407697.04456232639</v>
      </c>
      <c r="P311" s="680">
        <f t="shared" si="141"/>
        <v>1.5707938739932064</v>
      </c>
      <c r="Q311" s="689">
        <f t="shared" si="163"/>
        <v>50.292578303467657</v>
      </c>
      <c r="R311" s="690">
        <f t="shared" si="164"/>
        <v>1.5509113668522092</v>
      </c>
      <c r="S311" s="677">
        <f t="shared" si="142"/>
        <v>1.063517429822453</v>
      </c>
      <c r="T311" s="680">
        <f t="shared" si="143"/>
        <v>0.34735591208370237</v>
      </c>
      <c r="U311" s="681">
        <f t="shared" si="155"/>
        <v>0.92166207114977994</v>
      </c>
      <c r="V311" s="682">
        <f t="shared" si="156"/>
        <v>-0.4948127042758772</v>
      </c>
      <c r="W311" s="683">
        <f t="shared" si="144"/>
        <v>-11.250130299388442</v>
      </c>
      <c r="X311" s="684">
        <f t="shared" si="145"/>
        <v>-146.26677547165679</v>
      </c>
      <c r="Y311" s="687">
        <f t="shared" si="146"/>
        <v>33.733224528343214</v>
      </c>
      <c r="AA311" s="170">
        <f t="shared" si="147"/>
        <v>21629</v>
      </c>
      <c r="AB311" s="170">
        <f t="shared" si="148"/>
        <v>467813641</v>
      </c>
      <c r="AD311" s="686">
        <f t="shared" si="149"/>
        <v>26.39388461542541</v>
      </c>
      <c r="AE311" s="687">
        <f t="shared" si="150"/>
        <v>-21.041211520674366</v>
      </c>
      <c r="AG311" s="686">
        <f t="shared" si="151"/>
        <v>8.9541046427241682</v>
      </c>
      <c r="AH311" s="687">
        <f t="shared" si="152"/>
        <v>-68.524204677266368</v>
      </c>
      <c r="AJ311" s="170">
        <f t="shared" si="153"/>
        <v>0</v>
      </c>
      <c r="AK311" s="170">
        <f t="shared" si="165"/>
        <v>0</v>
      </c>
      <c r="AM311" s="170" t="str">
        <f t="shared" si="157"/>
        <v>0.258670183573216+0.671140896739747i</v>
      </c>
      <c r="AN311" s="170" t="str">
        <f t="shared" si="158"/>
        <v>0.735746704149744i</v>
      </c>
      <c r="AO311" s="170" t="str">
        <f t="shared" si="159"/>
        <v>0.912190150434098-0.351575049013838i</v>
      </c>
      <c r="AP311" s="170" t="str">
        <f t="shared" si="160"/>
        <v>0.123554969404464-0.111856816123291i</v>
      </c>
      <c r="AQ311" s="170" t="str">
        <f t="shared" si="161"/>
        <v>0.876445030595536+0.111856816123291i</v>
      </c>
      <c r="AR311" s="170" t="str">
        <f t="shared" si="162"/>
        <v>0.935197627009216-0.119355151038084i</v>
      </c>
    </row>
    <row r="312" spans="7:44">
      <c r="G312" s="688">
        <v>21753.5</v>
      </c>
      <c r="H312" s="676">
        <f t="shared" si="154"/>
        <v>21.753499999999999</v>
      </c>
      <c r="I312" s="677">
        <f t="shared" si="134"/>
        <v>112.01842777534077</v>
      </c>
      <c r="J312" s="678">
        <f t="shared" si="135"/>
        <v>1.5618691055998672</v>
      </c>
      <c r="K312" s="678">
        <f t="shared" si="136"/>
        <v>1.0000825326538547</v>
      </c>
      <c r="L312" s="679">
        <f t="shared" si="137"/>
        <v>1.2847332632786852E-2</v>
      </c>
      <c r="M312" s="678">
        <f t="shared" si="138"/>
        <v>1.0102465143422472</v>
      </c>
      <c r="N312" s="679">
        <f t="shared" si="139"/>
        <v>-0.14254669439052065</v>
      </c>
      <c r="O312" s="677">
        <f t="shared" si="140"/>
        <v>410043.81427186943</v>
      </c>
      <c r="P312" s="680">
        <f t="shared" si="141"/>
        <v>1.5707938880311225</v>
      </c>
      <c r="Q312" s="689">
        <f t="shared" si="163"/>
        <v>50.581956340620813</v>
      </c>
      <c r="R312" s="690">
        <f t="shared" si="164"/>
        <v>1.5510251430512725</v>
      </c>
      <c r="S312" s="677">
        <f t="shared" si="142"/>
        <v>1.0642286307403843</v>
      </c>
      <c r="T312" s="680">
        <f t="shared" si="143"/>
        <v>0.34919712551701465</v>
      </c>
      <c r="U312" s="681">
        <f t="shared" si="155"/>
        <v>0.92085995896794959</v>
      </c>
      <c r="V312" s="682">
        <f t="shared" si="156"/>
        <v>-0.49744822649469572</v>
      </c>
      <c r="W312" s="683">
        <f t="shared" si="144"/>
        <v>-11.312360274466286</v>
      </c>
      <c r="X312" s="684">
        <f t="shared" si="145"/>
        <v>-146.56160517272951</v>
      </c>
      <c r="Y312" s="687">
        <f t="shared" si="146"/>
        <v>33.438394827270486</v>
      </c>
      <c r="AA312" s="170">
        <f t="shared" si="147"/>
        <v>21753.5</v>
      </c>
      <c r="AB312" s="170">
        <f t="shared" si="148"/>
        <v>473214762.25</v>
      </c>
      <c r="AD312" s="686">
        <f t="shared" si="149"/>
        <v>26.388058485702473</v>
      </c>
      <c r="AE312" s="687">
        <f t="shared" si="150"/>
        <v>-21.140187187997036</v>
      </c>
      <c r="AG312" s="686">
        <f t="shared" si="151"/>
        <v>8.9128258449181335</v>
      </c>
      <c r="AH312" s="687">
        <f t="shared" si="152"/>
        <v>-68.418050110768789</v>
      </c>
      <c r="AJ312" s="170">
        <f t="shared" si="153"/>
        <v>0</v>
      </c>
      <c r="AK312" s="170">
        <f t="shared" si="165"/>
        <v>0</v>
      </c>
      <c r="AM312" s="170" t="str">
        <f t="shared" si="157"/>
        <v>0.26151915615097+0.674274456929836i</v>
      </c>
      <c r="AN312" s="170" t="str">
        <f t="shared" si="158"/>
        <v>0.739981780420798i</v>
      </c>
      <c r="AO312" s="170" t="str">
        <f t="shared" si="159"/>
        <v>0.911204133359072-0.353412966468248i</v>
      </c>
      <c r="AP312" s="170" t="str">
        <f t="shared" si="160"/>
        <v>0.123080140641505-0.112379076154973i</v>
      </c>
      <c r="AQ312" s="170" t="str">
        <f t="shared" si="161"/>
        <v>0.876919859358495+0.112379076154973i</v>
      </c>
      <c r="AR312" s="170" t="str">
        <f t="shared" si="162"/>
        <v>0.934567414523731-0.119766728427783i</v>
      </c>
    </row>
    <row r="313" spans="7:44">
      <c r="G313" s="688">
        <v>21878</v>
      </c>
      <c r="H313" s="676">
        <f t="shared" si="154"/>
        <v>21.878</v>
      </c>
      <c r="I313" s="677">
        <f t="shared" si="134"/>
        <v>112.6594825939155</v>
      </c>
      <c r="J313" s="678">
        <f t="shared" si="135"/>
        <v>1.561919904598488</v>
      </c>
      <c r="K313" s="678">
        <f t="shared" si="136"/>
        <v>1.0000834800222553</v>
      </c>
      <c r="L313" s="679">
        <f t="shared" si="137"/>
        <v>1.2920852544675133E-2</v>
      </c>
      <c r="M313" s="678">
        <f t="shared" si="138"/>
        <v>1.0103635327468774</v>
      </c>
      <c r="N313" s="679">
        <f t="shared" si="139"/>
        <v>-0.14335142026920544</v>
      </c>
      <c r="O313" s="677">
        <f t="shared" si="140"/>
        <v>412390.58398141246</v>
      </c>
      <c r="P313" s="680">
        <f t="shared" si="141"/>
        <v>1.5707939019092692</v>
      </c>
      <c r="Q313" s="689">
        <f t="shared" si="163"/>
        <v>50.871335025109197</v>
      </c>
      <c r="R313" s="690">
        <f t="shared" si="164"/>
        <v>1.5511376248329549</v>
      </c>
      <c r="S313" s="677">
        <f t="shared" si="142"/>
        <v>1.0649434346386484</v>
      </c>
      <c r="T313" s="680">
        <f t="shared" si="143"/>
        <v>0.35103587348399401</v>
      </c>
      <c r="U313" s="681">
        <f t="shared" si="155"/>
        <v>0.92005521491315256</v>
      </c>
      <c r="V313" s="682">
        <f t="shared" si="156"/>
        <v>-0.50008054109010314</v>
      </c>
      <c r="W313" s="683">
        <f t="shared" si="144"/>
        <v>-11.374356858262706</v>
      </c>
      <c r="X313" s="684">
        <f t="shared" si="145"/>
        <v>-146.85613983570317</v>
      </c>
      <c r="Y313" s="687">
        <f t="shared" si="146"/>
        <v>33.143860164296825</v>
      </c>
      <c r="AA313" s="170">
        <f t="shared" si="147"/>
        <v>21878</v>
      </c>
      <c r="AB313" s="170">
        <f t="shared" si="148"/>
        <v>478646884</v>
      </c>
      <c r="AD313" s="686">
        <f t="shared" si="149"/>
        <v>26.382207181922329</v>
      </c>
      <c r="AE313" s="687">
        <f t="shared" si="150"/>
        <v>-21.239095750002942</v>
      </c>
      <c r="AG313" s="686">
        <f t="shared" si="151"/>
        <v>8.8718684857605208</v>
      </c>
      <c r="AH313" s="687">
        <f t="shared" si="152"/>
        <v>-68.312035178056803</v>
      </c>
      <c r="AJ313" s="170">
        <f t="shared" si="153"/>
        <v>0</v>
      </c>
      <c r="AK313" s="170">
        <f t="shared" si="165"/>
        <v>0</v>
      </c>
      <c r="AM313" s="170" t="str">
        <f t="shared" si="157"/>
        <v>0.264381374006095+0.677395923438309i</v>
      </c>
      <c r="AN313" s="170" t="str">
        <f t="shared" si="158"/>
        <v>0.744216856691853i</v>
      </c>
      <c r="AO313" s="170" t="str">
        <f t="shared" si="159"/>
        <v>0.910213088224617-0.355247763644198i</v>
      </c>
      <c r="AP313" s="170" t="str">
        <f t="shared" si="160"/>
        <v>0.122603104332318-0.112899320573052i</v>
      </c>
      <c r="AQ313" s="170" t="str">
        <f t="shared" si="161"/>
        <v>0.877396895667682+0.112899320573052i</v>
      </c>
      <c r="AR313" s="170" t="str">
        <f t="shared" si="162"/>
        <v>0.933935812311004-0.120174483394445i</v>
      </c>
    </row>
    <row r="314" spans="7:44">
      <c r="G314" s="688">
        <v>22005.25</v>
      </c>
      <c r="H314" s="676">
        <f t="shared" si="154"/>
        <v>22.00525</v>
      </c>
      <c r="I314" s="677">
        <f t="shared" si="134"/>
        <v>113.3146975548691</v>
      </c>
      <c r="J314" s="678">
        <f t="shared" si="135"/>
        <v>1.561971231709437</v>
      </c>
      <c r="K314" s="678">
        <f t="shared" si="136"/>
        <v>1.0000844539025029</v>
      </c>
      <c r="L314" s="679">
        <f t="shared" si="137"/>
        <v>1.2995996246005347E-2</v>
      </c>
      <c r="M314" s="678">
        <f t="shared" si="138"/>
        <v>1.0104838118698518</v>
      </c>
      <c r="N314" s="679">
        <f t="shared" si="139"/>
        <v>-0.1441737280689529</v>
      </c>
      <c r="O314" s="677">
        <f t="shared" si="140"/>
        <v>414789.18996968045</v>
      </c>
      <c r="P314" s="680">
        <f t="shared" si="141"/>
        <v>1.5707939159316817</v>
      </c>
      <c r="Q314" s="689">
        <f t="shared" si="163"/>
        <v>51.167106265758633</v>
      </c>
      <c r="R314" s="690">
        <f t="shared" si="164"/>
        <v>1.551251276390653</v>
      </c>
      <c r="S314" s="677">
        <f t="shared" si="142"/>
        <v>1.0656777430657058</v>
      </c>
      <c r="T314" s="680">
        <f t="shared" si="143"/>
        <v>0.35291268084591515</v>
      </c>
      <c r="U314" s="681">
        <f t="shared" si="155"/>
        <v>0.91923000225436224</v>
      </c>
      <c r="V314" s="682">
        <f t="shared" si="156"/>
        <v>-0.50276767721526106</v>
      </c>
      <c r="W314" s="683">
        <f t="shared" si="144"/>
        <v>-11.437484745747579</v>
      </c>
      <c r="X314" s="684">
        <f t="shared" si="145"/>
        <v>-147.15687376090153</v>
      </c>
      <c r="Y314" s="687">
        <f t="shared" si="146"/>
        <v>32.843126239098467</v>
      </c>
      <c r="AA314" s="170">
        <f t="shared" si="147"/>
        <v>22005.25</v>
      </c>
      <c r="AB314" s="170">
        <f t="shared" si="148"/>
        <v>484231027.5625</v>
      </c>
      <c r="AD314" s="686">
        <f t="shared" si="149"/>
        <v>26.376200728048818</v>
      </c>
      <c r="AE314" s="687">
        <f t="shared" si="150"/>
        <v>-21.340117939749408</v>
      </c>
      <c r="AG314" s="686">
        <f t="shared" si="151"/>
        <v>8.8303350784024595</v>
      </c>
      <c r="AH314" s="687">
        <f t="shared" si="152"/>
        <v>-68.203823795259467</v>
      </c>
      <c r="AJ314" s="170">
        <f t="shared" si="153"/>
        <v>0</v>
      </c>
      <c r="AK314" s="170">
        <f t="shared" si="165"/>
        <v>0</v>
      </c>
      <c r="AM314" s="170" t="str">
        <f t="shared" si="157"/>
        <v>0.267320447457154+0.6805737823966i</v>
      </c>
      <c r="AN314" s="170" t="str">
        <f t="shared" si="158"/>
        <v>0.748545478824317i</v>
      </c>
      <c r="AO314" s="170" t="str">
        <f t="shared" si="159"/>
        <v>0.909194967639809-0.357119847784017i</v>
      </c>
      <c r="AP314" s="170" t="str">
        <f t="shared" si="160"/>
        <v>0.122113258757141-0.113428963732767i</v>
      </c>
      <c r="AQ314" s="170" t="str">
        <f t="shared" si="161"/>
        <v>0.877886741242859+0.113428963732767i</v>
      </c>
      <c r="AR314" s="170" t="str">
        <f t="shared" si="162"/>
        <v>0.933288851082166-0.12058729477076i</v>
      </c>
    </row>
    <row r="315" spans="7:44">
      <c r="G315" s="688">
        <v>22132.5</v>
      </c>
      <c r="H315" s="676">
        <f t="shared" si="154"/>
        <v>22.1325</v>
      </c>
      <c r="I315" s="677">
        <f t="shared" si="134"/>
        <v>113.96991281091466</v>
      </c>
      <c r="J315" s="678">
        <f t="shared" si="135"/>
        <v>1.5620219686593906</v>
      </c>
      <c r="K315" s="678">
        <f t="shared" si="136"/>
        <v>1.0000854334297919</v>
      </c>
      <c r="L315" s="679">
        <f t="shared" si="137"/>
        <v>1.3071139800561829E-2</v>
      </c>
      <c r="M315" s="678">
        <f t="shared" si="138"/>
        <v>1.0106047741090807</v>
      </c>
      <c r="N315" s="679">
        <f t="shared" si="139"/>
        <v>-0.14499583957564544</v>
      </c>
      <c r="O315" s="677">
        <f t="shared" si="140"/>
        <v>417187.79595794855</v>
      </c>
      <c r="P315" s="680">
        <f t="shared" si="141"/>
        <v>1.5707939297928517</v>
      </c>
      <c r="Q315" s="689">
        <f t="shared" si="163"/>
        <v>51.462878159720191</v>
      </c>
      <c r="R315" s="690">
        <f t="shared" si="164"/>
        <v>1.5513636215737101</v>
      </c>
      <c r="S315" s="677">
        <f t="shared" si="142"/>
        <v>1.0664158000651143</v>
      </c>
      <c r="T315" s="680">
        <f t="shared" si="143"/>
        <v>0.35478689695824156</v>
      </c>
      <c r="U315" s="681">
        <f t="shared" si="155"/>
        <v>0.91840209406827367</v>
      </c>
      <c r="V315" s="682">
        <f t="shared" si="156"/>
        <v>-0.5054514478184684</v>
      </c>
      <c r="W315" s="683">
        <f t="shared" si="144"/>
        <v>-11.500375013491817</v>
      </c>
      <c r="X315" s="684">
        <f t="shared" si="145"/>
        <v>-147.45729617665697</v>
      </c>
      <c r="Y315" s="687">
        <f t="shared" si="146"/>
        <v>32.542703823343032</v>
      </c>
      <c r="AA315" s="170">
        <f t="shared" si="147"/>
        <v>22132.5</v>
      </c>
      <c r="AB315" s="170">
        <f t="shared" si="148"/>
        <v>489847556.25</v>
      </c>
      <c r="AD315" s="686">
        <f t="shared" si="149"/>
        <v>26.370168199004365</v>
      </c>
      <c r="AE315" s="687">
        <f t="shared" si="150"/>
        <v>-21.441066502345219</v>
      </c>
      <c r="AG315" s="686">
        <f t="shared" si="151"/>
        <v>8.7891303523720783</v>
      </c>
      <c r="AH315" s="687">
        <f t="shared" si="152"/>
        <v>-68.09576019057755</v>
      </c>
      <c r="AJ315" s="170">
        <f t="shared" si="153"/>
        <v>0</v>
      </c>
      <c r="AK315" s="170">
        <f t="shared" si="165"/>
        <v>0</v>
      </c>
      <c r="AM315" s="170" t="str">
        <f t="shared" si="157"/>
        <v>0.270273249081253+0.683738889484553i</v>
      </c>
      <c r="AN315" s="170" t="str">
        <f t="shared" si="158"/>
        <v>0.75287410095678i</v>
      </c>
      <c r="AO315" s="170" t="str">
        <f t="shared" si="159"/>
        <v>0.908171616762527-0.358988639319349i</v>
      </c>
      <c r="AP315" s="170" t="str">
        <f t="shared" si="160"/>
        <v>0.121621125153124-0.113956481580759i</v>
      </c>
      <c r="AQ315" s="170" t="str">
        <f t="shared" si="161"/>
        <v>0.878378874846876+0.113956481580759i</v>
      </c>
      <c r="AR315" s="170" t="str">
        <f t="shared" si="162"/>
        <v>0.932640495078153-0.120996112773512i</v>
      </c>
    </row>
    <row r="316" spans="7:44">
      <c r="G316" s="688">
        <v>22259.75</v>
      </c>
      <c r="H316" s="676">
        <f t="shared" si="154"/>
        <v>22.25975</v>
      </c>
      <c r="I316" s="677">
        <f t="shared" si="134"/>
        <v>114.62512835699187</v>
      </c>
      <c r="J316" s="678">
        <f t="shared" si="135"/>
        <v>1.5620721255684487</v>
      </c>
      <c r="K316" s="678">
        <f t="shared" si="136"/>
        <v>1.0000864186041063</v>
      </c>
      <c r="L316" s="679">
        <f t="shared" si="137"/>
        <v>1.3146283207496405E-2</v>
      </c>
      <c r="M316" s="678">
        <f t="shared" si="138"/>
        <v>1.0107264192193011</v>
      </c>
      <c r="N316" s="679">
        <f t="shared" si="139"/>
        <v>-0.14581775374868294</v>
      </c>
      <c r="O316" s="677">
        <f t="shared" si="140"/>
        <v>419586.40194621665</v>
      </c>
      <c r="P316" s="680">
        <f t="shared" si="141"/>
        <v>1.5707939434955442</v>
      </c>
      <c r="Q316" s="689">
        <f t="shared" si="163"/>
        <v>51.758650695793904</v>
      </c>
      <c r="R316" s="690">
        <f t="shared" si="164"/>
        <v>1.5514746827749275</v>
      </c>
      <c r="S316" s="677">
        <f t="shared" si="142"/>
        <v>1.0671575978592209</v>
      </c>
      <c r="T316" s="680">
        <f t="shared" si="143"/>
        <v>0.35665851404400972</v>
      </c>
      <c r="U316" s="681">
        <f t="shared" si="155"/>
        <v>0.91757151752738186</v>
      </c>
      <c r="V316" s="682">
        <f t="shared" si="156"/>
        <v>-0.50813184572643533</v>
      </c>
      <c r="W316" s="683">
        <f t="shared" si="144"/>
        <v>-11.56303070553326</v>
      </c>
      <c r="X316" s="684">
        <f t="shared" si="145"/>
        <v>-147.75740546379407</v>
      </c>
      <c r="Y316" s="687">
        <f t="shared" si="146"/>
        <v>32.242594536205928</v>
      </c>
      <c r="AA316" s="170">
        <f t="shared" si="147"/>
        <v>22259.75</v>
      </c>
      <c r="AB316" s="170">
        <f t="shared" si="148"/>
        <v>495496470.0625</v>
      </c>
      <c r="AD316" s="686">
        <f t="shared" si="149"/>
        <v>26.36410970818007</v>
      </c>
      <c r="AE316" s="687">
        <f t="shared" si="150"/>
        <v>-21.541939709348618</v>
      </c>
      <c r="AG316" s="686">
        <f t="shared" si="151"/>
        <v>8.7482507989832836</v>
      </c>
      <c r="AH316" s="687">
        <f t="shared" si="152"/>
        <v>-67.987845295275932</v>
      </c>
      <c r="AJ316" s="170">
        <f t="shared" si="153"/>
        <v>0</v>
      </c>
      <c r="AK316" s="170">
        <f t="shared" si="165"/>
        <v>0</v>
      </c>
      <c r="AM316" s="170" t="str">
        <f t="shared" si="157"/>
        <v>0.273239723551928+0.686891185397747i</v>
      </c>
      <c r="AN316" s="170" t="str">
        <f t="shared" si="158"/>
        <v>0.757202723089244i</v>
      </c>
      <c r="AO316" s="170" t="str">
        <f t="shared" si="159"/>
        <v>0.907143046970778-0.360854121650754i</v>
      </c>
      <c r="AP316" s="170" t="str">
        <f t="shared" si="160"/>
        <v>0.121126712741345-0.114481864232958i</v>
      </c>
      <c r="AQ316" s="170" t="str">
        <f t="shared" si="161"/>
        <v>0.878873287258655+0.114481864232958i</v>
      </c>
      <c r="AR316" s="170" t="str">
        <f t="shared" si="162"/>
        <v>0.931990772975349-0.121400937637933i</v>
      </c>
    </row>
    <row r="317" spans="7:44">
      <c r="G317" s="688">
        <v>22387</v>
      </c>
      <c r="H317" s="676">
        <f t="shared" si="154"/>
        <v>22.387</v>
      </c>
      <c r="I317" s="677">
        <f t="shared" si="134"/>
        <v>115.28034418815534</v>
      </c>
      <c r="J317" s="678">
        <f t="shared" si="135"/>
        <v>1.5621217123266462</v>
      </c>
      <c r="K317" s="678">
        <f t="shared" si="136"/>
        <v>1.0000874094254288</v>
      </c>
      <c r="L317" s="679">
        <f t="shared" si="137"/>
        <v>1.3221426465960917E-2</v>
      </c>
      <c r="M317" s="678">
        <f t="shared" si="138"/>
        <v>1.0108487469539835</v>
      </c>
      <c r="N317" s="679">
        <f t="shared" si="139"/>
        <v>-0.1466394695490314</v>
      </c>
      <c r="O317" s="677">
        <f t="shared" si="140"/>
        <v>421985.00793448492</v>
      </c>
      <c r="P317" s="680">
        <f t="shared" si="141"/>
        <v>1.5707939570424618</v>
      </c>
      <c r="Q317" s="689">
        <f t="shared" si="163"/>
        <v>52.054423863034366</v>
      </c>
      <c r="R317" s="690">
        <f t="shared" si="164"/>
        <v>1.5515844818782907</v>
      </c>
      <c r="S317" s="677">
        <f t="shared" si="142"/>
        <v>1.0679031286526195</v>
      </c>
      <c r="T317" s="680">
        <f t="shared" si="143"/>
        <v>0.35852752442064345</v>
      </c>
      <c r="U317" s="681">
        <f t="shared" si="155"/>
        <v>0.91673829975441545</v>
      </c>
      <c r="V317" s="682">
        <f t="shared" si="156"/>
        <v>-0.51080886391461466</v>
      </c>
      <c r="W317" s="683">
        <f t="shared" si="144"/>
        <v>-11.625454808725298</v>
      </c>
      <c r="X317" s="684">
        <f t="shared" si="145"/>
        <v>-148.05720003312533</v>
      </c>
      <c r="Y317" s="687">
        <f t="shared" si="146"/>
        <v>31.942799966874674</v>
      </c>
      <c r="AA317" s="170">
        <f t="shared" si="147"/>
        <v>22387</v>
      </c>
      <c r="AB317" s="170">
        <f t="shared" si="148"/>
        <v>501177769</v>
      </c>
      <c r="AD317" s="686">
        <f t="shared" si="149"/>
        <v>26.358025369307164</v>
      </c>
      <c r="AE317" s="687">
        <f t="shared" si="150"/>
        <v>-21.642735866875231</v>
      </c>
      <c r="AG317" s="686">
        <f t="shared" si="151"/>
        <v>8.7076929664840481</v>
      </c>
      <c r="AH317" s="687">
        <f t="shared" si="152"/>
        <v>-67.880080019005121</v>
      </c>
      <c r="AJ317" s="170">
        <f t="shared" si="153"/>
        <v>0</v>
      </c>
      <c r="AK317" s="170">
        <f t="shared" si="165"/>
        <v>0</v>
      </c>
      <c r="AM317" s="170" t="str">
        <f t="shared" si="157"/>
        <v>0.276219815286521+0.690030611071801i</v>
      </c>
      <c r="AN317" s="170" t="str">
        <f t="shared" si="158"/>
        <v>0.761531345221707i</v>
      </c>
      <c r="AO317" s="170" t="str">
        <f t="shared" si="159"/>
        <v>0.906109269699083-0.362716278219781i</v>
      </c>
      <c r="AP317" s="170" t="str">
        <f t="shared" si="160"/>
        <v>0.12063003078558-0.1150051018453i</v>
      </c>
      <c r="AQ317" s="170" t="str">
        <f t="shared" si="161"/>
        <v>0.87936996921442+0.1150051018453i</v>
      </c>
      <c r="AR317" s="170" t="str">
        <f t="shared" si="162"/>
        <v>0.931339713348784-0.12180176983066i</v>
      </c>
    </row>
    <row r="318" spans="7:44">
      <c r="G318" s="688">
        <v>22517.5</v>
      </c>
      <c r="H318" s="676">
        <f t="shared" si="154"/>
        <v>22.517499999999998</v>
      </c>
      <c r="I318" s="677">
        <f t="shared" si="134"/>
        <v>115.95229470290199</v>
      </c>
      <c r="J318" s="678">
        <f t="shared" si="135"/>
        <v>1.5621719834887169</v>
      </c>
      <c r="K318" s="678">
        <f t="shared" si="136"/>
        <v>1.0000884314177727</v>
      </c>
      <c r="L318" s="679">
        <f t="shared" si="137"/>
        <v>1.3298488748819835E-2</v>
      </c>
      <c r="M318" s="678">
        <f t="shared" si="138"/>
        <v>1.0109749077118162</v>
      </c>
      <c r="N318" s="679">
        <f t="shared" si="139"/>
        <v>-0.14748196507309644</v>
      </c>
      <c r="O318" s="677">
        <f t="shared" si="140"/>
        <v>424444.87497942802</v>
      </c>
      <c r="P318" s="680">
        <f t="shared" si="141"/>
        <v>1.5707939707763441</v>
      </c>
      <c r="Q318" s="689">
        <f t="shared" si="163"/>
        <v>52.357751802666755</v>
      </c>
      <c r="R318" s="690">
        <f t="shared" si="164"/>
        <v>1.5516957968218332</v>
      </c>
      <c r="S318" s="677">
        <f t="shared" si="142"/>
        <v>1.0686715695532136</v>
      </c>
      <c r="T318" s="680">
        <f t="shared" si="143"/>
        <v>0.36044155446494081</v>
      </c>
      <c r="U318" s="681">
        <f t="shared" si="155"/>
        <v>0.91588108644629296</v>
      </c>
      <c r="V318" s="682">
        <f t="shared" si="156"/>
        <v>-0.51355073638127247</v>
      </c>
      <c r="W318" s="683">
        <f t="shared" si="144"/>
        <v>-11.689235773811353</v>
      </c>
      <c r="X318" s="684">
        <f t="shared" si="145"/>
        <v>-148.36432292724811</v>
      </c>
      <c r="Y318" s="687">
        <f t="shared" si="146"/>
        <v>31.635677072751889</v>
      </c>
      <c r="AA318" s="170">
        <f t="shared" si="147"/>
        <v>22517.5</v>
      </c>
      <c r="AB318" s="170">
        <f t="shared" si="148"/>
        <v>507037806.25</v>
      </c>
      <c r="AD318" s="686">
        <f t="shared" si="149"/>
        <v>26.351758907492663</v>
      </c>
      <c r="AE318" s="687">
        <f t="shared" si="150"/>
        <v>-21.746024620824503</v>
      </c>
      <c r="AG318" s="686">
        <f t="shared" si="151"/>
        <v>8.6664298698923865</v>
      </c>
      <c r="AH318" s="687">
        <f t="shared" si="152"/>
        <v>-67.769718718214406</v>
      </c>
      <c r="AJ318" s="170">
        <f t="shared" si="153"/>
        <v>0</v>
      </c>
      <c r="AK318" s="170">
        <f t="shared" si="165"/>
        <v>0</v>
      </c>
      <c r="AM318" s="170" t="str">
        <f t="shared" si="157"/>
        <v>0.279290104281295+0.693236789425615i</v>
      </c>
      <c r="AN318" s="170" t="str">
        <f t="shared" si="158"/>
        <v>0.765970521554018i</v>
      </c>
      <c r="AO318" s="170" t="str">
        <f t="shared" si="159"/>
        <v>0.905043692829276-0.364622523220169i</v>
      </c>
      <c r="AP318" s="170" t="str">
        <f t="shared" si="160"/>
        <v>0.120118315953118-0.115539464904269i</v>
      </c>
      <c r="AQ318" s="170" t="str">
        <f t="shared" si="161"/>
        <v>0.879881684046882+0.115539464904269i</v>
      </c>
      <c r="AR318" s="170" t="str">
        <f t="shared" si="162"/>
        <v>0.930670666102067-0.122208693183575i</v>
      </c>
    </row>
    <row r="319" spans="7:44">
      <c r="G319" s="688">
        <v>22648</v>
      </c>
      <c r="H319" s="676">
        <f t="shared" si="154"/>
        <v>22.648</v>
      </c>
      <c r="I319" s="677">
        <f t="shared" si="134"/>
        <v>116.62424550730537</v>
      </c>
      <c r="J319" s="678">
        <f t="shared" si="135"/>
        <v>1.5622216753588849</v>
      </c>
      <c r="K319" s="678">
        <f t="shared" si="136"/>
        <v>1.0000894593492247</v>
      </c>
      <c r="L319" s="679">
        <f t="shared" si="137"/>
        <v>1.3375550873721078E-2</v>
      </c>
      <c r="M319" s="678">
        <f t="shared" si="138"/>
        <v>1.0111017858789604</v>
      </c>
      <c r="N319" s="679">
        <f t="shared" si="139"/>
        <v>-0.14832424975368844</v>
      </c>
      <c r="O319" s="677">
        <f t="shared" si="140"/>
        <v>426904.74202437123</v>
      </c>
      <c r="P319" s="680">
        <f t="shared" si="141"/>
        <v>1.5707939843519543</v>
      </c>
      <c r="Q319" s="689">
        <f t="shared" si="163"/>
        <v>52.661080383591127</v>
      </c>
      <c r="R319" s="690">
        <f t="shared" si="164"/>
        <v>1.5518058294153723</v>
      </c>
      <c r="S319" s="677">
        <f t="shared" si="142"/>
        <v>1.0694439199091927</v>
      </c>
      <c r="T319" s="680">
        <f t="shared" si="143"/>
        <v>0.36235282688511616</v>
      </c>
      <c r="U319" s="681">
        <f t="shared" si="155"/>
        <v>0.91502115287966923</v>
      </c>
      <c r="V319" s="682">
        <f t="shared" si="156"/>
        <v>-0.51628903979875318</v>
      </c>
      <c r="W319" s="683">
        <f t="shared" si="144"/>
        <v>-11.752779353381811</v>
      </c>
      <c r="X319" s="684">
        <f t="shared" si="145"/>
        <v>-148.67111153149489</v>
      </c>
      <c r="Y319" s="687">
        <f t="shared" si="146"/>
        <v>31.328888468505113</v>
      </c>
      <c r="AA319" s="170">
        <f t="shared" si="147"/>
        <v>22648</v>
      </c>
      <c r="AB319" s="170">
        <f t="shared" si="148"/>
        <v>512931904</v>
      </c>
      <c r="AD319" s="686">
        <f t="shared" si="149"/>
        <v>26.345465503759545</v>
      </c>
      <c r="AE319" s="687">
        <f t="shared" si="150"/>
        <v>-21.849228838724734</v>
      </c>
      <c r="AG319" s="686">
        <f t="shared" si="151"/>
        <v>8.6254979625995087</v>
      </c>
      <c r="AH319" s="687">
        <f t="shared" si="152"/>
        <v>-67.659516646506603</v>
      </c>
      <c r="AJ319" s="170">
        <f t="shared" si="153"/>
        <v>0</v>
      </c>
      <c r="AK319" s="170">
        <f t="shared" si="165"/>
        <v>0</v>
      </c>
      <c r="AM319" s="170" t="str">
        <f t="shared" si="157"/>
        <v>0.28237459576844+0.69642930667907i</v>
      </c>
      <c r="AN319" s="170" t="str">
        <f t="shared" si="158"/>
        <v>0.770409697886328i</v>
      </c>
      <c r="AO319" s="170" t="str">
        <f t="shared" si="159"/>
        <v>0.903972663622708-0.36652523526528i</v>
      </c>
      <c r="AP319" s="170" t="str">
        <f t="shared" si="160"/>
        <v>0.119604234038593-0.116071551113178i</v>
      </c>
      <c r="AQ319" s="170" t="str">
        <f t="shared" si="161"/>
        <v>0.880395765961407+0.116071551113178i</v>
      </c>
      <c r="AR319" s="170" t="str">
        <f t="shared" si="162"/>
        <v>0.930000272676478-0.122611419044431i</v>
      </c>
    </row>
    <row r="320" spans="7:44">
      <c r="G320" s="688">
        <v>22778.5</v>
      </c>
      <c r="H320" s="676">
        <f t="shared" si="154"/>
        <v>22.778500000000001</v>
      </c>
      <c r="I320" s="677">
        <f t="shared" si="134"/>
        <v>117.29619659638745</v>
      </c>
      <c r="J320" s="678">
        <f t="shared" si="135"/>
        <v>1.5622707978926176</v>
      </c>
      <c r="K320" s="678">
        <f t="shared" si="136"/>
        <v>1.0000904932197667</v>
      </c>
      <c r="L320" s="679">
        <f t="shared" si="137"/>
        <v>1.3452612839749852E-2</v>
      </c>
      <c r="M320" s="678">
        <f t="shared" si="138"/>
        <v>1.0112293811853774</v>
      </c>
      <c r="N320" s="679">
        <f t="shared" si="139"/>
        <v>-0.14916632247528969</v>
      </c>
      <c r="O320" s="677">
        <f t="shared" si="140"/>
        <v>429364.60906931455</v>
      </c>
      <c r="P320" s="680">
        <f t="shared" si="141"/>
        <v>1.5707939977720129</v>
      </c>
      <c r="Q320" s="689">
        <f t="shared" si="163"/>
        <v>52.964409594789409</v>
      </c>
      <c r="R320" s="690">
        <f t="shared" si="164"/>
        <v>1.551914601688424</v>
      </c>
      <c r="S320" s="677">
        <f t="shared" si="142"/>
        <v>1.0702201712564963</v>
      </c>
      <c r="T320" s="680">
        <f t="shared" si="143"/>
        <v>0.36426133370303415</v>
      </c>
      <c r="U320" s="681">
        <f t="shared" si="155"/>
        <v>0.91415852813430831</v>
      </c>
      <c r="V320" s="682">
        <f t="shared" si="156"/>
        <v>-0.51902376707434439</v>
      </c>
      <c r="W320" s="683">
        <f t="shared" si="144"/>
        <v>-11.816088590179152</v>
      </c>
      <c r="X320" s="684">
        <f t="shared" si="145"/>
        <v>-148.97756422687149</v>
      </c>
      <c r="Y320" s="687">
        <f t="shared" si="146"/>
        <v>31.022435773128507</v>
      </c>
      <c r="AA320" s="170">
        <f t="shared" si="147"/>
        <v>22778.5</v>
      </c>
      <c r="AB320" s="170">
        <f t="shared" si="148"/>
        <v>518860062.25</v>
      </c>
      <c r="AD320" s="686">
        <f t="shared" si="149"/>
        <v>26.339145281802917</v>
      </c>
      <c r="AE320" s="687">
        <f t="shared" si="150"/>
        <v>-21.952346801420024</v>
      </c>
      <c r="AG320" s="686">
        <f t="shared" si="151"/>
        <v>8.5848936998320688</v>
      </c>
      <c r="AH320" s="687">
        <f t="shared" si="152"/>
        <v>-67.549474716808476</v>
      </c>
      <c r="AJ320" s="170">
        <f t="shared" si="153"/>
        <v>0</v>
      </c>
      <c r="AK320" s="170">
        <f t="shared" si="165"/>
        <v>0</v>
      </c>
      <c r="AM320" s="170" t="str">
        <f t="shared" si="157"/>
        <v>0.285473228964185+0.699608099919614i</v>
      </c>
      <c r="AN320" s="170" t="str">
        <f t="shared" si="158"/>
        <v>0.774848874218639i</v>
      </c>
      <c r="AO320" s="170" t="str">
        <f t="shared" si="159"/>
        <v>0.902896194596787-0.368424396630966i</v>
      </c>
      <c r="AP320" s="170" t="str">
        <f t="shared" si="160"/>
        <v>0.119087795172636-0.116601349986602i</v>
      </c>
      <c r="AQ320" s="170" t="str">
        <f t="shared" si="161"/>
        <v>0.880912204827364+0.116601349986602i</v>
      </c>
      <c r="AR320" s="170" t="str">
        <f t="shared" si="162"/>
        <v>0.929328563548234-0.123009948661195i</v>
      </c>
    </row>
    <row r="321" spans="7:44">
      <c r="G321" s="688">
        <v>22909</v>
      </c>
      <c r="H321" s="676">
        <f t="shared" si="154"/>
        <v>22.908999999999999</v>
      </c>
      <c r="I321" s="677">
        <f t="shared" si="134"/>
        <v>117.96814796528358</v>
      </c>
      <c r="J321" s="678">
        <f t="shared" si="135"/>
        <v>1.5623193608185661</v>
      </c>
      <c r="K321" s="678">
        <f t="shared" si="136"/>
        <v>1.0000915330293807</v>
      </c>
      <c r="L321" s="679">
        <f t="shared" si="137"/>
        <v>1.3529674645991384E-2</v>
      </c>
      <c r="M321" s="678">
        <f t="shared" si="138"/>
        <v>1.0113576933596393</v>
      </c>
      <c r="N321" s="679">
        <f t="shared" si="139"/>
        <v>-0.15000818212414618</v>
      </c>
      <c r="O321" s="677">
        <f t="shared" si="140"/>
        <v>431824.47611425788</v>
      </c>
      <c r="P321" s="680">
        <f t="shared" si="141"/>
        <v>1.570794011039178</v>
      </c>
      <c r="Q321" s="689">
        <f t="shared" si="163"/>
        <v>53.267739425494433</v>
      </c>
      <c r="R321" s="690">
        <f t="shared" si="164"/>
        <v>1.5520221351688419</v>
      </c>
      <c r="S321" s="677">
        <f t="shared" si="142"/>
        <v>1.0710003151129148</v>
      </c>
      <c r="T321" s="680">
        <f t="shared" si="143"/>
        <v>0.36616706704421798</v>
      </c>
      <c r="U321" s="681">
        <f t="shared" si="155"/>
        <v>0.91329324122717115</v>
      </c>
      <c r="V321" s="682">
        <f t="shared" si="156"/>
        <v>-0.5217549112774087</v>
      </c>
      <c r="W321" s="683">
        <f t="shared" si="144"/>
        <v>-11.879166469333743</v>
      </c>
      <c r="X321" s="684">
        <f t="shared" si="145"/>
        <v>-149.28367942545415</v>
      </c>
      <c r="Y321" s="687">
        <f t="shared" si="146"/>
        <v>30.716320574545847</v>
      </c>
      <c r="AA321" s="170">
        <f t="shared" si="147"/>
        <v>22909</v>
      </c>
      <c r="AB321" s="170">
        <f t="shared" si="148"/>
        <v>524822281</v>
      </c>
      <c r="AD321" s="686">
        <f t="shared" si="149"/>
        <v>26.332798365634751</v>
      </c>
      <c r="AE321" s="687">
        <f t="shared" si="150"/>
        <v>-22.05537682443321</v>
      </c>
      <c r="AG321" s="686">
        <f t="shared" si="151"/>
        <v>8.5446135943037369</v>
      </c>
      <c r="AH321" s="687">
        <f t="shared" si="152"/>
        <v>-67.439593819865905</v>
      </c>
      <c r="AJ321" s="170">
        <f t="shared" si="153"/>
        <v>0</v>
      </c>
      <c r="AK321" s="170">
        <f t="shared" si="165"/>
        <v>0</v>
      </c>
      <c r="AM321" s="170" t="str">
        <f t="shared" si="157"/>
        <v>0.288585942806075+0.702773106505135i</v>
      </c>
      <c r="AN321" s="170" t="str">
        <f t="shared" si="158"/>
        <v>0.779288050550949i</v>
      </c>
      <c r="AO321" s="170" t="str">
        <f t="shared" si="159"/>
        <v>0.901814298330741-0.370319989639322i</v>
      </c>
      <c r="AP321" s="170" t="str">
        <f t="shared" si="160"/>
        <v>0.118569009532321-0.117128851084189i</v>
      </c>
      <c r="AQ321" s="170" t="str">
        <f t="shared" si="161"/>
        <v>0.881430990467679+0.117128851084189i</v>
      </c>
      <c r="AR321" s="170" t="str">
        <f t="shared" si="162"/>
        <v>0.928655569073114-0.123404283528486i</v>
      </c>
    </row>
    <row r="322" spans="7:44">
      <c r="G322" s="688">
        <v>23042.25</v>
      </c>
      <c r="H322" s="676">
        <f t="shared" si="154"/>
        <v>23.042249999999999</v>
      </c>
      <c r="I322" s="677">
        <f t="shared" si="134"/>
        <v>118.65425951270782</v>
      </c>
      <c r="J322" s="678">
        <f t="shared" si="135"/>
        <v>1.5623683795590586</v>
      </c>
      <c r="K322" s="678">
        <f t="shared" si="136"/>
        <v>1.000092600878792</v>
      </c>
      <c r="L322" s="679">
        <f t="shared" si="137"/>
        <v>1.3608360194203294E-2</v>
      </c>
      <c r="M322" s="678">
        <f t="shared" si="138"/>
        <v>1.0114894488334378</v>
      </c>
      <c r="N322" s="679">
        <f t="shared" si="139"/>
        <v>-0.15086756109989122</v>
      </c>
      <c r="O322" s="677">
        <f t="shared" si="140"/>
        <v>434336.17943792621</v>
      </c>
      <c r="P322" s="680">
        <f t="shared" si="141"/>
        <v>1.5707940244308585</v>
      </c>
      <c r="Q322" s="689">
        <f t="shared" si="163"/>
        <v>53.577461892419358</v>
      </c>
      <c r="R322" s="690">
        <f t="shared" si="164"/>
        <v>1.5521306783155544</v>
      </c>
      <c r="S322" s="677">
        <f t="shared" si="142"/>
        <v>1.0718009063626026</v>
      </c>
      <c r="T322" s="680">
        <f t="shared" si="143"/>
        <v>0.3681100896830668</v>
      </c>
      <c r="U322" s="681">
        <f t="shared" si="155"/>
        <v>0.9124070034864471</v>
      </c>
      <c r="V322" s="682">
        <f t="shared" si="156"/>
        <v>-0.52453990416870921</v>
      </c>
      <c r="W322" s="683">
        <f t="shared" si="144"/>
        <v>-11.943337896788451</v>
      </c>
      <c r="X322" s="684">
        <f t="shared" si="145"/>
        <v>-149.59589546968439</v>
      </c>
      <c r="Y322" s="687">
        <f t="shared" si="146"/>
        <v>30.404104530315607</v>
      </c>
      <c r="AA322" s="170">
        <f t="shared" si="147"/>
        <v>23042.25</v>
      </c>
      <c r="AB322" s="170">
        <f t="shared" si="148"/>
        <v>530945285.0625</v>
      </c>
      <c r="AD322" s="686">
        <f t="shared" si="149"/>
        <v>26.326290287444309</v>
      </c>
      <c r="AE322" s="687">
        <f t="shared" si="150"/>
        <v>-22.16048552434281</v>
      </c>
      <c r="AG322" s="686">
        <f t="shared" si="151"/>
        <v>8.5038155849788861</v>
      </c>
      <c r="AH322" s="687">
        <f t="shared" si="152"/>
        <v>-67.32756448653096</v>
      </c>
      <c r="AJ322" s="170">
        <f t="shared" si="153"/>
        <v>0</v>
      </c>
      <c r="AK322" s="170">
        <f t="shared" si="165"/>
        <v>0</v>
      </c>
      <c r="AM322" s="170" t="str">
        <f t="shared" si="157"/>
        <v>0.291778715346505+0.705990518324257i</v>
      </c>
      <c r="AN322" s="170" t="str">
        <f t="shared" si="158"/>
        <v>0.783820772744668i</v>
      </c>
      <c r="AO322" s="170" t="str">
        <f t="shared" si="159"/>
        <v>0.900704016623754-0.372251827831505i</v>
      </c>
      <c r="AP322" s="170" t="str">
        <f t="shared" si="160"/>
        <v>0.118036880775582-0.117665086387376i</v>
      </c>
      <c r="AQ322" s="170" t="str">
        <f t="shared" si="161"/>
        <v>0.881963119224418+0.117665086387376i</v>
      </c>
      <c r="AR322" s="170" t="str">
        <f t="shared" si="162"/>
        <v>0.927967097875186-0.123802601669042i</v>
      </c>
    </row>
    <row r="323" spans="7:44">
      <c r="G323" s="688">
        <v>23175.5</v>
      </c>
      <c r="H323" s="676">
        <f t="shared" si="154"/>
        <v>23.1755</v>
      </c>
      <c r="I323" s="677">
        <f t="shared" si="134"/>
        <v>119.34037134196062</v>
      </c>
      <c r="J323" s="678">
        <f t="shared" si="135"/>
        <v>1.5624168346624441</v>
      </c>
      <c r="K323" s="678">
        <f t="shared" si="136"/>
        <v>1.0000936749201788</v>
      </c>
      <c r="L323" s="679">
        <f t="shared" si="137"/>
        <v>1.3687045573895138E-2</v>
      </c>
      <c r="M323" s="678">
        <f t="shared" si="138"/>
        <v>1.0116219511298807</v>
      </c>
      <c r="N323" s="679">
        <f t="shared" si="139"/>
        <v>-0.15172671558700435</v>
      </c>
      <c r="O323" s="677">
        <f t="shared" si="140"/>
        <v>436847.88276159455</v>
      </c>
      <c r="P323" s="680">
        <f t="shared" si="141"/>
        <v>1.5707940376685452</v>
      </c>
      <c r="Q323" s="689">
        <f t="shared" si="163"/>
        <v>53.887184983317191</v>
      </c>
      <c r="R323" s="690">
        <f t="shared" si="164"/>
        <v>1.5522379737338814</v>
      </c>
      <c r="S323" s="677">
        <f t="shared" si="142"/>
        <v>1.0726055379725095</v>
      </c>
      <c r="T323" s="680">
        <f t="shared" si="143"/>
        <v>0.37005020446048625</v>
      </c>
      <c r="U323" s="681">
        <f t="shared" si="155"/>
        <v>0.91151805113831608</v>
      </c>
      <c r="V323" s="682">
        <f t="shared" si="156"/>
        <v>-0.52732114729553414</v>
      </c>
      <c r="W323" s="683">
        <f t="shared" si="144"/>
        <v>-12.007274225331553</v>
      </c>
      <c r="X323" s="684">
        <f t="shared" si="145"/>
        <v>-149.90775639417245</v>
      </c>
      <c r="Y323" s="687">
        <f t="shared" si="146"/>
        <v>30.092243605827548</v>
      </c>
      <c r="AA323" s="170">
        <f t="shared" si="147"/>
        <v>23175.5</v>
      </c>
      <c r="AB323" s="170">
        <f t="shared" si="148"/>
        <v>537103800.25</v>
      </c>
      <c r="AD323" s="686">
        <f t="shared" si="149"/>
        <v>26.319754640406178</v>
      </c>
      <c r="AE323" s="687">
        <f t="shared" si="150"/>
        <v>-22.265499096812253</v>
      </c>
      <c r="AG323" s="686">
        <f t="shared" si="151"/>
        <v>8.4633483681054109</v>
      </c>
      <c r="AH323" s="687">
        <f t="shared" si="152"/>
        <v>-67.215704852251747</v>
      </c>
      <c r="AJ323" s="170">
        <f t="shared" si="153"/>
        <v>0</v>
      </c>
      <c r="AK323" s="170">
        <f t="shared" si="165"/>
        <v>0</v>
      </c>
      <c r="AM323" s="170" t="str">
        <f t="shared" si="157"/>
        <v>0.294986038672346+0.709193425190258i</v>
      </c>
      <c r="AN323" s="170" t="str">
        <f t="shared" si="158"/>
        <v>0.788353494938388i</v>
      </c>
      <c r="AO323" s="170" t="str">
        <f t="shared" si="159"/>
        <v>0.899588103234937-0.374179908589611i</v>
      </c>
      <c r="AP323" s="170" t="str">
        <f t="shared" si="160"/>
        <v>0.117502326887942-0.118198904198376i</v>
      </c>
      <c r="AQ323" s="170" t="str">
        <f t="shared" si="161"/>
        <v>0.882497673112058+0.118198904198376i</v>
      </c>
      <c r="AR323" s="170" t="str">
        <f t="shared" si="162"/>
        <v>0.927277350159752-0.124196550332365i</v>
      </c>
    </row>
    <row r="324" spans="7:44">
      <c r="G324" s="688">
        <v>23308.75</v>
      </c>
      <c r="H324" s="676">
        <f t="shared" si="154"/>
        <v>23.30875</v>
      </c>
      <c r="I324" s="677">
        <f t="shared" si="134"/>
        <v>120.02648344820892</v>
      </c>
      <c r="J324" s="678">
        <f t="shared" si="135"/>
        <v>1.5624647357943158</v>
      </c>
      <c r="K324" s="678">
        <f t="shared" si="136"/>
        <v>1.0000947551535211</v>
      </c>
      <c r="L324" s="679">
        <f t="shared" si="137"/>
        <v>1.3765730784093115E-2</v>
      </c>
      <c r="M324" s="678">
        <f t="shared" si="138"/>
        <v>1.0117551999555503</v>
      </c>
      <c r="N324" s="679">
        <f t="shared" si="139"/>
        <v>-0.15258564440557118</v>
      </c>
      <c r="O324" s="677">
        <f t="shared" si="140"/>
        <v>439359.58608526306</v>
      </c>
      <c r="P324" s="680">
        <f t="shared" si="141"/>
        <v>1.5707940507548792</v>
      </c>
      <c r="Q324" s="689">
        <f t="shared" si="163"/>
        <v>54.196908687490321</v>
      </c>
      <c r="R324" s="690">
        <f t="shared" si="164"/>
        <v>1.5523440428128308</v>
      </c>
      <c r="S324" s="677">
        <f t="shared" si="142"/>
        <v>1.0734142008566701</v>
      </c>
      <c r="T324" s="680">
        <f t="shared" si="143"/>
        <v>0.37198740332678393</v>
      </c>
      <c r="U324" s="681">
        <f t="shared" si="155"/>
        <v>0.9106264148582176</v>
      </c>
      <c r="V324" s="682">
        <f t="shared" si="156"/>
        <v>-0.53009863379867717</v>
      </c>
      <c r="W324" s="683">
        <f t="shared" si="144"/>
        <v>-12.070978455373638</v>
      </c>
      <c r="X324" s="684">
        <f t="shared" si="145"/>
        <v>-150.21926060560224</v>
      </c>
      <c r="Y324" s="687">
        <f t="shared" si="146"/>
        <v>29.780739394397756</v>
      </c>
      <c r="AA324" s="170">
        <f t="shared" si="147"/>
        <v>23308.75</v>
      </c>
      <c r="AB324" s="170">
        <f t="shared" si="148"/>
        <v>543297826.5625</v>
      </c>
      <c r="AD324" s="686">
        <f t="shared" si="149"/>
        <v>26.313191557470166</v>
      </c>
      <c r="AE324" s="687">
        <f t="shared" si="150"/>
        <v>-22.370415855279582</v>
      </c>
      <c r="AG324" s="686">
        <f t="shared" si="151"/>
        <v>8.4232084085317265</v>
      </c>
      <c r="AH324" s="687">
        <f t="shared" si="152"/>
        <v>-67.104015796281232</v>
      </c>
      <c r="AJ324" s="170">
        <f t="shared" si="153"/>
        <v>0</v>
      </c>
      <c r="AK324" s="170">
        <f t="shared" si="165"/>
        <v>0</v>
      </c>
      <c r="AM324" s="170" t="str">
        <f t="shared" si="157"/>
        <v>0.298207846887423+0.7123817612977i</v>
      </c>
      <c r="AN324" s="170" t="str">
        <f t="shared" si="158"/>
        <v>0.792886217132107i</v>
      </c>
      <c r="AO324" s="170" t="str">
        <f t="shared" si="159"/>
        <v>0.898466571754023-0.376104213245186i</v>
      </c>
      <c r="AP324" s="170" t="str">
        <f t="shared" si="160"/>
        <v>0.116965358852096-0.118730293549617i</v>
      </c>
      <c r="AQ324" s="170" t="str">
        <f t="shared" si="161"/>
        <v>0.883034641147904+0.118730293549617i</v>
      </c>
      <c r="AR324" s="170" t="str">
        <f t="shared" si="162"/>
        <v>0.926586357840792-0.124586131890018i</v>
      </c>
    </row>
    <row r="325" spans="7:44">
      <c r="G325" s="688">
        <v>23442</v>
      </c>
      <c r="H325" s="676">
        <f t="shared" si="154"/>
        <v>23.442</v>
      </c>
      <c r="I325" s="677">
        <f t="shared" si="134"/>
        <v>120.71259582672948</v>
      </c>
      <c r="J325" s="678">
        <f t="shared" si="135"/>
        <v>1.5625120924005265</v>
      </c>
      <c r="K325" s="678">
        <f t="shared" si="136"/>
        <v>1.000095841578799</v>
      </c>
      <c r="L325" s="679">
        <f t="shared" si="137"/>
        <v>1.3844415823823444E-2</v>
      </c>
      <c r="M325" s="678">
        <f t="shared" si="138"/>
        <v>1.0118891950155304</v>
      </c>
      <c r="N325" s="679">
        <f t="shared" si="139"/>
        <v>-0.15344434637762902</v>
      </c>
      <c r="O325" s="677">
        <f t="shared" si="140"/>
        <v>441871.28940893163</v>
      </c>
      <c r="P325" s="680">
        <f t="shared" si="141"/>
        <v>1.5707940636924413</v>
      </c>
      <c r="Q325" s="689">
        <f t="shared" si="163"/>
        <v>54.506632994484278</v>
      </c>
      <c r="R325" s="690">
        <f t="shared" si="164"/>
        <v>1.5524489064553657</v>
      </c>
      <c r="S325" s="677">
        <f t="shared" si="142"/>
        <v>1.0742268859110247</v>
      </c>
      <c r="T325" s="680">
        <f t="shared" si="143"/>
        <v>0.37392167834398632</v>
      </c>
      <c r="U325" s="681">
        <f t="shared" si="155"/>
        <v>0.90973212524518932</v>
      </c>
      <c r="V325" s="682">
        <f t="shared" si="156"/>
        <v>-0.53287235699221114</v>
      </c>
      <c r="W325" s="683">
        <f t="shared" si="144"/>
        <v>-12.134453530299625</v>
      </c>
      <c r="X325" s="684">
        <f t="shared" si="145"/>
        <v>-150.53040654235329</v>
      </c>
      <c r="Y325" s="687">
        <f t="shared" si="146"/>
        <v>29.46959345764671</v>
      </c>
      <c r="AA325" s="170">
        <f t="shared" si="147"/>
        <v>23442</v>
      </c>
      <c r="AB325" s="170">
        <f t="shared" si="148"/>
        <v>549527364</v>
      </c>
      <c r="AD325" s="686">
        <f t="shared" si="149"/>
        <v>26.306601171870248</v>
      </c>
      <c r="AE325" s="687">
        <f t="shared" si="150"/>
        <v>-22.475234147428736</v>
      </c>
      <c r="AG325" s="686">
        <f t="shared" si="151"/>
        <v>8.3833922281548787</v>
      </c>
      <c r="AH325" s="687">
        <f t="shared" si="152"/>
        <v>-66.992498175465798</v>
      </c>
      <c r="AJ325" s="170">
        <f t="shared" si="153"/>
        <v>0</v>
      </c>
      <c r="AK325" s="170">
        <f t="shared" si="165"/>
        <v>0</v>
      </c>
      <c r="AM325" s="170" t="str">
        <f t="shared" si="157"/>
        <v>0.30144407379796+0.715555461140512i</v>
      </c>
      <c r="AN325" s="170" t="str">
        <f t="shared" si="158"/>
        <v>0.797418939325826i</v>
      </c>
      <c r="AO325" s="170" t="str">
        <f t="shared" si="159"/>
        <v>0.897339435837171-0.378024723181035i</v>
      </c>
      <c r="AP325" s="170" t="str">
        <f t="shared" si="160"/>
        <v>0.11642598770034-0.119259243523419i</v>
      </c>
      <c r="AQ325" s="170" t="str">
        <f t="shared" si="161"/>
        <v>0.88357401229966+0.119259243523419i</v>
      </c>
      <c r="AR325" s="170" t="str">
        <f t="shared" si="162"/>
        <v>0.925894152692837-0.12497134897111i</v>
      </c>
    </row>
    <row r="326" spans="7:44">
      <c r="G326" s="688">
        <v>23578.5</v>
      </c>
      <c r="H326" s="676">
        <f t="shared" si="154"/>
        <v>23.578499999999998</v>
      </c>
      <c r="I326" s="677">
        <f t="shared" si="134"/>
        <v>121.41544293099615</v>
      </c>
      <c r="J326" s="678">
        <f t="shared" si="135"/>
        <v>1.562560049085949</v>
      </c>
      <c r="K326" s="678">
        <f t="shared" si="136"/>
        <v>1.000096960922545</v>
      </c>
      <c r="L326" s="679">
        <f t="shared" si="137"/>
        <v>1.3925019833091393E-2</v>
      </c>
      <c r="M326" s="678">
        <f t="shared" si="138"/>
        <v>1.0120272316953804</v>
      </c>
      <c r="N326" s="679">
        <f t="shared" si="139"/>
        <v>-0.15432375585770181</v>
      </c>
      <c r="O326" s="677">
        <f t="shared" si="140"/>
        <v>444444.25378927501</v>
      </c>
      <c r="P326" s="680">
        <f t="shared" si="141"/>
        <v>1.5707940767939315</v>
      </c>
      <c r="Q326" s="689">
        <f t="shared" si="163"/>
        <v>54.823912167243151</v>
      </c>
      <c r="R326" s="690">
        <f t="shared" si="164"/>
        <v>1.5525550992048955</v>
      </c>
      <c r="S326" s="677">
        <f t="shared" si="142"/>
        <v>1.0750635535360089</v>
      </c>
      <c r="T326" s="680">
        <f t="shared" si="143"/>
        <v>0.37590009093132548</v>
      </c>
      <c r="U326" s="681">
        <f t="shared" si="155"/>
        <v>0.90881330439821806</v>
      </c>
      <c r="V326" s="682">
        <f t="shared" si="156"/>
        <v>-0.53570982305246351</v>
      </c>
      <c r="W326" s="683">
        <f t="shared" si="144"/>
        <v>-12.199242188960323</v>
      </c>
      <c r="X326" s="684">
        <f t="shared" si="145"/>
        <v>-150.84876831597154</v>
      </c>
      <c r="Y326" s="687">
        <f t="shared" si="146"/>
        <v>29.15123168402846</v>
      </c>
      <c r="AA326" s="170">
        <f t="shared" si="147"/>
        <v>23578.5</v>
      </c>
      <c r="AB326" s="170">
        <f t="shared" si="148"/>
        <v>555945662.25</v>
      </c>
      <c r="AD326" s="686">
        <f t="shared" si="149"/>
        <v>26.29982187505016</v>
      </c>
      <c r="AE326" s="687">
        <f t="shared" si="150"/>
        <v>-22.582505193238546</v>
      </c>
      <c r="AG326" s="686">
        <f t="shared" si="151"/>
        <v>8.3429370654515793</v>
      </c>
      <c r="AH326" s="687">
        <f t="shared" si="152"/>
        <v>-66.878439243374615</v>
      </c>
      <c r="AJ326" s="170">
        <f t="shared" si="153"/>
        <v>0</v>
      </c>
      <c r="AK326" s="170">
        <f t="shared" si="165"/>
        <v>0</v>
      </c>
      <c r="AM326" s="170" t="str">
        <f t="shared" si="157"/>
        <v>0.304774114064864+0.718791324047324i</v>
      </c>
      <c r="AN326" s="170" t="str">
        <f t="shared" si="158"/>
        <v>0.802062215719392i</v>
      </c>
      <c r="AO326" s="170" t="str">
        <f t="shared" si="159"/>
        <v>0.896179012001731-0.379988120736374i</v>
      </c>
      <c r="AP326" s="170" t="str">
        <f t="shared" si="160"/>
        <v>0.115870980989189-0.119798554007887i</v>
      </c>
      <c r="AQ326" s="170" t="str">
        <f t="shared" si="161"/>
        <v>0.884129019010811+0.119798554007887i</v>
      </c>
      <c r="AR326" s="170" t="str">
        <f t="shared" si="162"/>
        <v>0.925183839996463-0.125361439156297i</v>
      </c>
    </row>
    <row r="327" spans="7:44">
      <c r="G327" s="688">
        <v>23715</v>
      </c>
      <c r="H327" s="676">
        <f t="shared" si="154"/>
        <v>23.715</v>
      </c>
      <c r="I327" s="677">
        <f t="shared" si="134"/>
        <v>122.11829031128509</v>
      </c>
      <c r="J327" s="678">
        <f t="shared" si="135"/>
        <v>1.5626074537455605</v>
      </c>
      <c r="K327" s="678">
        <f t="shared" si="136"/>
        <v>1.0000980867639124</v>
      </c>
      <c r="L327" s="679">
        <f t="shared" si="137"/>
        <v>1.4005623661406169E-2</v>
      </c>
      <c r="M327" s="678">
        <f t="shared" si="138"/>
        <v>1.0121660508238284</v>
      </c>
      <c r="N327" s="679">
        <f t="shared" si="139"/>
        <v>-0.15520292479455056</v>
      </c>
      <c r="O327" s="677">
        <f t="shared" si="140"/>
        <v>447017.21816961857</v>
      </c>
      <c r="P327" s="680">
        <f t="shared" si="141"/>
        <v>1.5707940897446011</v>
      </c>
      <c r="Q327" s="689">
        <f t="shared" si="163"/>
        <v>55.14119195113112</v>
      </c>
      <c r="R327" s="690">
        <f t="shared" si="164"/>
        <v>1.5526600698995836</v>
      </c>
      <c r="S327" s="677">
        <f t="shared" si="142"/>
        <v>1.0759044225307333</v>
      </c>
      <c r="T327" s="680">
        <f t="shared" si="143"/>
        <v>0.37787541879867026</v>
      </c>
      <c r="U327" s="681">
        <f t="shared" si="155"/>
        <v>0.90789176395768045</v>
      </c>
      <c r="V327" s="682">
        <f t="shared" si="156"/>
        <v>-0.53854332633916047</v>
      </c>
      <c r="W327" s="683">
        <f t="shared" si="144"/>
        <v>-12.263796452864284</v>
      </c>
      <c r="X327" s="684">
        <f t="shared" si="145"/>
        <v>-151.16675090740344</v>
      </c>
      <c r="Y327" s="687">
        <f t="shared" si="146"/>
        <v>28.83324909259656</v>
      </c>
      <c r="AA327" s="170">
        <f t="shared" si="147"/>
        <v>23715</v>
      </c>
      <c r="AB327" s="170">
        <f t="shared" si="148"/>
        <v>562401225</v>
      </c>
      <c r="AD327" s="686">
        <f t="shared" si="149"/>
        <v>26.293014211374206</v>
      </c>
      <c r="AE327" s="687">
        <f t="shared" si="150"/>
        <v>-22.689669507554957</v>
      </c>
      <c r="AG327" s="686">
        <f t="shared" si="151"/>
        <v>8.3028144579992578</v>
      </c>
      <c r="AH327" s="687">
        <f t="shared" si="152"/>
        <v>-66.764561960990704</v>
      </c>
      <c r="AJ327" s="170">
        <f t="shared" si="153"/>
        <v>0</v>
      </c>
      <c r="AK327" s="170">
        <f t="shared" si="165"/>
        <v>0</v>
      </c>
      <c r="AM327" s="170" t="str">
        <f t="shared" si="157"/>
        <v>0.30811914338583+0.722011689829772i</v>
      </c>
      <c r="AN327" s="170" t="str">
        <f t="shared" si="158"/>
        <v>0.806705492112958i</v>
      </c>
      <c r="AO327" s="170" t="str">
        <f t="shared" si="159"/>
        <v>0.89501273623246-0.3819474968229i</v>
      </c>
      <c r="AP327" s="170" t="str">
        <f t="shared" si="160"/>
        <v>0.115313476102362-0.120335281638295i</v>
      </c>
      <c r="AQ327" s="170" t="str">
        <f t="shared" si="161"/>
        <v>0.884686523897638+0.120335281638295i</v>
      </c>
      <c r="AR327" s="170" t="str">
        <f t="shared" si="162"/>
        <v>0.924472321629925-0.125746955769179i</v>
      </c>
    </row>
    <row r="328" spans="7:44">
      <c r="G328" s="688">
        <v>23851.5</v>
      </c>
      <c r="H328" s="676">
        <f t="shared" si="154"/>
        <v>23.851500000000001</v>
      </c>
      <c r="I328" s="677">
        <f t="shared" si="134"/>
        <v>122.82113796285768</v>
      </c>
      <c r="J328" s="678">
        <f t="shared" si="135"/>
        <v>1.562654315856099</v>
      </c>
      <c r="K328" s="678">
        <f t="shared" si="136"/>
        <v>1.0000992191028799</v>
      </c>
      <c r="L328" s="679">
        <f t="shared" si="137"/>
        <v>1.408622730772102E-2</v>
      </c>
      <c r="M328" s="678">
        <f t="shared" si="138"/>
        <v>1.0123056520789786</v>
      </c>
      <c r="N328" s="679">
        <f t="shared" si="139"/>
        <v>-0.15608185192832805</v>
      </c>
      <c r="O328" s="677">
        <f t="shared" si="140"/>
        <v>449590.18254996213</v>
      </c>
      <c r="P328" s="680">
        <f t="shared" si="141"/>
        <v>1.5707941025470398</v>
      </c>
      <c r="Q328" s="689">
        <f t="shared" si="163"/>
        <v>55.458472335659316</v>
      </c>
      <c r="R328" s="690">
        <f t="shared" si="164"/>
        <v>1.552763839511387</v>
      </c>
      <c r="S328" s="677">
        <f t="shared" si="142"/>
        <v>1.0767494830522353</v>
      </c>
      <c r="T328" s="680">
        <f t="shared" si="143"/>
        <v>0.37984765377585861</v>
      </c>
      <c r="U328" s="681">
        <f t="shared" si="155"/>
        <v>0.90696753655432727</v>
      </c>
      <c r="V328" s="682">
        <f t="shared" si="156"/>
        <v>-0.54137286022567055</v>
      </c>
      <c r="W328" s="683">
        <f t="shared" si="144"/>
        <v>-12.328119308434937</v>
      </c>
      <c r="X328" s="684">
        <f t="shared" si="145"/>
        <v>-151.484352738252</v>
      </c>
      <c r="Y328" s="687">
        <f t="shared" si="146"/>
        <v>28.515647261748001</v>
      </c>
      <c r="AA328" s="170">
        <f t="shared" si="147"/>
        <v>23851.5</v>
      </c>
      <c r="AB328" s="170">
        <f t="shared" si="148"/>
        <v>568894052.25</v>
      </c>
      <c r="AD328" s="686">
        <f t="shared" si="149"/>
        <v>26.286178324898998</v>
      </c>
      <c r="AE328" s="687">
        <f t="shared" si="150"/>
        <v>-22.796725420805924</v>
      </c>
      <c r="AG328" s="686">
        <f t="shared" si="151"/>
        <v>8.2630208448961202</v>
      </c>
      <c r="AH328" s="687">
        <f t="shared" si="152"/>
        <v>-66.650867178845232</v>
      </c>
      <c r="AJ328" s="170">
        <f t="shared" si="153"/>
        <v>0</v>
      </c>
      <c r="AK328" s="170">
        <f t="shared" si="165"/>
        <v>0</v>
      </c>
      <c r="AM328" s="170" t="str">
        <f t="shared" si="157"/>
        <v>0.311479089642104+0.725216489056843i</v>
      </c>
      <c r="AN328" s="170" t="str">
        <f t="shared" si="158"/>
        <v>0.811348768506524i</v>
      </c>
      <c r="AO328" s="170" t="str">
        <f t="shared" si="159"/>
        <v>0.893840623424834-0.383902831596643i</v>
      </c>
      <c r="AP328" s="170" t="str">
        <f t="shared" si="160"/>
        <v>0.114753485059649-0.120869414842807i</v>
      </c>
      <c r="AQ328" s="170" t="str">
        <f t="shared" si="161"/>
        <v>0.885246514940351+0.120869414842807i</v>
      </c>
      <c r="AR328" s="170" t="str">
        <f t="shared" si="162"/>
        <v>0.923759631281412-0.126127902458803i</v>
      </c>
    </row>
    <row r="329" spans="7:44">
      <c r="G329" s="688">
        <v>23988</v>
      </c>
      <c r="H329" s="676">
        <f t="shared" si="154"/>
        <v>23.988</v>
      </c>
      <c r="I329" s="677">
        <f t="shared" si="134"/>
        <v>123.52398588108309</v>
      </c>
      <c r="J329" s="678">
        <f t="shared" si="135"/>
        <v>1.5627006446786227</v>
      </c>
      <c r="K329" s="678">
        <f t="shared" si="136"/>
        <v>1.000100357939425</v>
      </c>
      <c r="L329" s="679">
        <f t="shared" si="137"/>
        <v>1.4166830770989217E-2</v>
      </c>
      <c r="M329" s="678">
        <f t="shared" si="138"/>
        <v>1.0124460351373008</v>
      </c>
      <c r="N329" s="679">
        <f t="shared" si="139"/>
        <v>-0.15696053600137444</v>
      </c>
      <c r="O329" s="677">
        <f t="shared" si="140"/>
        <v>452163.14693030587</v>
      </c>
      <c r="P329" s="680">
        <f t="shared" si="141"/>
        <v>1.5707941152037779</v>
      </c>
      <c r="Q329" s="689">
        <f t="shared" si="163"/>
        <v>55.775753310577507</v>
      </c>
      <c r="R329" s="690">
        <f t="shared" si="164"/>
        <v>1.5528664285351701</v>
      </c>
      <c r="S329" s="677">
        <f t="shared" si="142"/>
        <v>1.0775987252394403</v>
      </c>
      <c r="T329" s="680">
        <f t="shared" si="143"/>
        <v>0.38181678781453604</v>
      </c>
      <c r="U329" s="681">
        <f t="shared" si="155"/>
        <v>0.90604065472616668</v>
      </c>
      <c r="V329" s="682">
        <f t="shared" si="156"/>
        <v>-0.54419841827269111</v>
      </c>
      <c r="W329" s="683">
        <f t="shared" si="144"/>
        <v>-12.392213684924855</v>
      </c>
      <c r="X329" s="684">
        <f t="shared" si="145"/>
        <v>-151.80157226293218</v>
      </c>
      <c r="Y329" s="687">
        <f t="shared" si="146"/>
        <v>28.198427737067817</v>
      </c>
      <c r="AA329" s="170">
        <f t="shared" si="147"/>
        <v>23988</v>
      </c>
      <c r="AB329" s="170">
        <f t="shared" si="148"/>
        <v>575424144</v>
      </c>
      <c r="AD329" s="686">
        <f t="shared" si="149"/>
        <v>26.279314359931959</v>
      </c>
      <c r="AE329" s="687">
        <f t="shared" si="150"/>
        <v>-22.903671297730426</v>
      </c>
      <c r="AG329" s="686">
        <f t="shared" si="151"/>
        <v>8.2235527226051381</v>
      </c>
      <c r="AH329" s="687">
        <f t="shared" si="152"/>
        <v>-66.537355724503939</v>
      </c>
      <c r="AJ329" s="170">
        <f t="shared" si="153"/>
        <v>0</v>
      </c>
      <c r="AK329" s="170">
        <f t="shared" si="165"/>
        <v>0</v>
      </c>
      <c r="AM329" s="170" t="str">
        <f t="shared" si="157"/>
        <v>0.314853880393322+0.728405652633141i</v>
      </c>
      <c r="AN329" s="170" t="str">
        <f t="shared" si="158"/>
        <v>0.81599204490009i</v>
      </c>
      <c r="AO329" s="170" t="str">
        <f t="shared" si="159"/>
        <v>0.892662688546586-0.385854105271177i</v>
      </c>
      <c r="AP329" s="170" t="str">
        <f t="shared" si="160"/>
        <v>0.114191019934446-0.121400942105524i</v>
      </c>
      <c r="AQ329" s="170" t="str">
        <f t="shared" si="161"/>
        <v>0.885808980065554+0.121400942105524i</v>
      </c>
      <c r="AR329" s="170" t="str">
        <f t="shared" si="162"/>
        <v>0.923045802476756-0.126504283145713i</v>
      </c>
    </row>
    <row r="330" spans="7:44">
      <c r="G330" s="688">
        <v>24127.75</v>
      </c>
      <c r="H330" s="676">
        <f t="shared" si="154"/>
        <v>24.127749999999999</v>
      </c>
      <c r="I330" s="677">
        <f t="shared" si="134"/>
        <v>124.24356854507822</v>
      </c>
      <c r="J330" s="678">
        <f t="shared" si="135"/>
        <v>1.5627475335336374</v>
      </c>
      <c r="K330" s="678">
        <f t="shared" si="136"/>
        <v>1.0001015306225782</v>
      </c>
      <c r="L330" s="679">
        <f t="shared" si="137"/>
        <v>1.4249353173606295E-2</v>
      </c>
      <c r="M330" s="678">
        <f t="shared" si="138"/>
        <v>1.0125905702561535</v>
      </c>
      <c r="N330" s="679">
        <f t="shared" si="139"/>
        <v>-0.15785988800244702</v>
      </c>
      <c r="O330" s="677">
        <f t="shared" si="140"/>
        <v>454797.37236732448</v>
      </c>
      <c r="P330" s="680">
        <f t="shared" si="141"/>
        <v>1.5707941280135036</v>
      </c>
      <c r="Q330" s="689">
        <f t="shared" si="163"/>
        <v>56.100589195605096</v>
      </c>
      <c r="R330" s="690">
        <f t="shared" si="164"/>
        <v>1.5529702579824725</v>
      </c>
      <c r="S330" s="677">
        <f t="shared" si="142"/>
        <v>1.0784725093592304</v>
      </c>
      <c r="T330" s="680">
        <f t="shared" si="143"/>
        <v>0.38382958515507754</v>
      </c>
      <c r="U330" s="681">
        <f t="shared" si="155"/>
        <v>0.90508898818216144</v>
      </c>
      <c r="V330" s="682">
        <f t="shared" si="156"/>
        <v>-0.54708712602238108</v>
      </c>
      <c r="W330" s="683">
        <f t="shared" si="144"/>
        <v>-12.457600414316481</v>
      </c>
      <c r="X330" s="684">
        <f t="shared" si="145"/>
        <v>-152.12594698513004</v>
      </c>
      <c r="Y330" s="687">
        <f t="shared" si="146"/>
        <v>27.874053014869958</v>
      </c>
      <c r="AA330" s="170">
        <f t="shared" si="147"/>
        <v>24127.75</v>
      </c>
      <c r="AB330" s="170">
        <f t="shared" si="148"/>
        <v>582148320.0625</v>
      </c>
      <c r="AD330" s="686">
        <f t="shared" si="149"/>
        <v>26.272258028910237</v>
      </c>
      <c r="AE330" s="687">
        <f t="shared" si="150"/>
        <v>-23.013047835307212</v>
      </c>
      <c r="AG330" s="686">
        <f t="shared" si="151"/>
        <v>8.1834784913000203</v>
      </c>
      <c r="AH330" s="687">
        <f t="shared" si="152"/>
        <v>-66.421332384138807</v>
      </c>
      <c r="AJ330" s="170">
        <f t="shared" si="153"/>
        <v>0</v>
      </c>
      <c r="AK330" s="170">
        <f t="shared" si="165"/>
        <v>0</v>
      </c>
      <c r="AM330" s="170" t="str">
        <f t="shared" si="157"/>
        <v>0.318324326188531+0.731654478380116i</v>
      </c>
      <c r="AN330" s="170" t="str">
        <f t="shared" si="158"/>
        <v>0.820745875493503i</v>
      </c>
      <c r="AO330" s="170" t="str">
        <f t="shared" si="159"/>
        <v>0.891450691653104-0.387847609952505i</v>
      </c>
      <c r="AP330" s="170" t="str">
        <f t="shared" si="160"/>
        <v>0.113612612301911-0.121942413063353i</v>
      </c>
      <c r="AQ330" s="170" t="str">
        <f t="shared" si="161"/>
        <v>0.886387387698089+0.121942413063353i</v>
      </c>
      <c r="AR330" s="170" t="str">
        <f t="shared" si="162"/>
        <v>0.922313833145775-0.126884899284933i</v>
      </c>
    </row>
    <row r="331" spans="7:44">
      <c r="G331" s="688">
        <v>24267.5</v>
      </c>
      <c r="H331" s="676">
        <f t="shared" si="154"/>
        <v>24.267499999999998</v>
      </c>
      <c r="I331" s="677">
        <f t="shared" si="134"/>
        <v>124.96315147908501</v>
      </c>
      <c r="J331" s="678">
        <f t="shared" si="135"/>
        <v>1.5627938823828476</v>
      </c>
      <c r="K331" s="678">
        <f t="shared" si="136"/>
        <v>1.0001027101163542</v>
      </c>
      <c r="L331" s="679">
        <f t="shared" si="137"/>
        <v>1.4331875382136018E-2</v>
      </c>
      <c r="M331" s="678">
        <f t="shared" si="138"/>
        <v>1.012735924158547</v>
      </c>
      <c r="N331" s="679">
        <f t="shared" si="139"/>
        <v>-0.15875898256983387</v>
      </c>
      <c r="O331" s="677">
        <f t="shared" si="140"/>
        <v>457431.5978043431</v>
      </c>
      <c r="P331" s="680">
        <f t="shared" si="141"/>
        <v>1.5707941406756936</v>
      </c>
      <c r="Q331" s="689">
        <f t="shared" si="163"/>
        <v>56.425425678464627</v>
      </c>
      <c r="R331" s="690">
        <f t="shared" si="164"/>
        <v>1.5530728919558852</v>
      </c>
      <c r="S331" s="677">
        <f t="shared" si="142"/>
        <v>1.0793506556674293</v>
      </c>
      <c r="T331" s="680">
        <f t="shared" si="143"/>
        <v>0.38583911545201438</v>
      </c>
      <c r="U331" s="681">
        <f t="shared" si="155"/>
        <v>0.90413460802433865</v>
      </c>
      <c r="V331" s="682">
        <f t="shared" si="156"/>
        <v>-0.549971653290802</v>
      </c>
      <c r="W331" s="683">
        <f t="shared" si="144"/>
        <v>-12.522753691129818</v>
      </c>
      <c r="X331" s="684">
        <f t="shared" si="145"/>
        <v>-152.44991780394275</v>
      </c>
      <c r="Y331" s="687">
        <f t="shared" si="146"/>
        <v>27.550082196057247</v>
      </c>
      <c r="AA331" s="170">
        <f t="shared" si="147"/>
        <v>24267.5</v>
      </c>
      <c r="AB331" s="170">
        <f t="shared" si="148"/>
        <v>588911556.25</v>
      </c>
      <c r="AD331" s="686">
        <f t="shared" si="149"/>
        <v>26.265172573273325</v>
      </c>
      <c r="AE331" s="687">
        <f t="shared" si="150"/>
        <v>-23.122305672229054</v>
      </c>
      <c r="AG331" s="686">
        <f t="shared" si="151"/>
        <v>8.1437381814602698</v>
      </c>
      <c r="AH331" s="687">
        <f t="shared" si="152"/>
        <v>-66.305502888910127</v>
      </c>
      <c r="AJ331" s="170">
        <f t="shared" si="153"/>
        <v>0</v>
      </c>
      <c r="AK331" s="170">
        <f t="shared" si="165"/>
        <v>0</v>
      </c>
      <c r="AM331" s="170" t="str">
        <f t="shared" si="157"/>
        <v>0.321810177078733+0.734886769567952i</v>
      </c>
      <c r="AN331" s="170" t="str">
        <f t="shared" si="158"/>
        <v>0.825499706086916i</v>
      </c>
      <c r="AO331" s="170" t="str">
        <f t="shared" si="159"/>
        <v>0.89023262412958-0.389836816059205i</v>
      </c>
      <c r="AP331" s="170" t="str">
        <f t="shared" si="160"/>
        <v>0.113031637153544-0.122481128261325i</v>
      </c>
      <c r="AQ331" s="170" t="str">
        <f t="shared" si="161"/>
        <v>0.886968362846456+0.122481128261325i</v>
      </c>
      <c r="AR331" s="170" t="str">
        <f t="shared" si="162"/>
        <v>0.921580741089973-0.127260738579633i</v>
      </c>
    </row>
    <row r="332" spans="7:44">
      <c r="G332" s="688">
        <v>24407.25</v>
      </c>
      <c r="H332" s="676">
        <f t="shared" si="154"/>
        <v>24.407250000000001</v>
      </c>
      <c r="I332" s="677">
        <f t="shared" si="134"/>
        <v>125.68273467846568</v>
      </c>
      <c r="J332" s="678">
        <f t="shared" si="135"/>
        <v>1.5628397005012911</v>
      </c>
      <c r="K332" s="678">
        <f t="shared" si="136"/>
        <v>1.0001038964207281</v>
      </c>
      <c r="L332" s="679">
        <f t="shared" si="137"/>
        <v>1.4414397395455133E-2</v>
      </c>
      <c r="M332" s="678">
        <f t="shared" si="138"/>
        <v>1.012882096491982</v>
      </c>
      <c r="N332" s="679">
        <f t="shared" si="139"/>
        <v>-0.15965781836107454</v>
      </c>
      <c r="O332" s="677">
        <f t="shared" si="140"/>
        <v>460065.82324136182</v>
      </c>
      <c r="P332" s="680">
        <f t="shared" si="141"/>
        <v>1.5707941531928826</v>
      </c>
      <c r="Q332" s="689">
        <f t="shared" si="163"/>
        <v>56.750262748890179</v>
      </c>
      <c r="R332" s="690">
        <f t="shared" si="164"/>
        <v>1.5531743509818137</v>
      </c>
      <c r="S332" s="677">
        <f t="shared" si="142"/>
        <v>1.0802331535256677</v>
      </c>
      <c r="T332" s="680">
        <f t="shared" si="143"/>
        <v>0.38784537046293183</v>
      </c>
      <c r="U332" s="681">
        <f t="shared" si="155"/>
        <v>0.90317754885484736</v>
      </c>
      <c r="V332" s="682">
        <f t="shared" si="156"/>
        <v>-0.55285199377190541</v>
      </c>
      <c r="W332" s="683">
        <f t="shared" si="144"/>
        <v>-12.587676481177361</v>
      </c>
      <c r="X332" s="684">
        <f t="shared" si="145"/>
        <v>-152.7734831644411</v>
      </c>
      <c r="Y332" s="687">
        <f t="shared" si="146"/>
        <v>27.226516835558897</v>
      </c>
      <c r="AA332" s="170">
        <f t="shared" si="147"/>
        <v>24407.25</v>
      </c>
      <c r="AB332" s="170">
        <f t="shared" si="148"/>
        <v>595713852.5625</v>
      </c>
      <c r="AD332" s="686">
        <f t="shared" si="149"/>
        <v>26.258058148604331</v>
      </c>
      <c r="AE332" s="687">
        <f t="shared" si="150"/>
        <v>-23.231443160309198</v>
      </c>
      <c r="AG332" s="686">
        <f t="shared" si="151"/>
        <v>8.1043282118844608</v>
      </c>
      <c r="AH332" s="687">
        <f t="shared" si="152"/>
        <v>-66.18986805469541</v>
      </c>
      <c r="AJ332" s="170">
        <f t="shared" si="153"/>
        <v>0</v>
      </c>
      <c r="AK332" s="170">
        <f t="shared" si="165"/>
        <v>0</v>
      </c>
      <c r="AM332" s="170" t="str">
        <f t="shared" si="157"/>
        <v>0.325311354287663+0.738102453150545i</v>
      </c>
      <c r="AN332" s="170" t="str">
        <f t="shared" si="158"/>
        <v>0.830253536680329i</v>
      </c>
      <c r="AO332" s="170" t="str">
        <f t="shared" si="159"/>
        <v>0.889008502272403-0.39182170254689i</v>
      </c>
      <c r="AP332" s="170" t="str">
        <f t="shared" si="160"/>
        <v>0.112448107618723-0.123017075525091i</v>
      </c>
      <c r="AQ332" s="170" t="str">
        <f t="shared" si="161"/>
        <v>0.887551892381277+0.123017075525091i</v>
      </c>
      <c r="AR332" s="170" t="str">
        <f t="shared" si="162"/>
        <v>0.920846561744858-0.127631806101231i</v>
      </c>
    </row>
    <row r="333" spans="7:44">
      <c r="G333" s="688">
        <v>24547</v>
      </c>
      <c r="H333" s="676">
        <f t="shared" si="154"/>
        <v>24.547000000000001</v>
      </c>
      <c r="I333" s="677">
        <f t="shared" ref="I333:I396" si="166">SQRT(1+(G333/pole1)^2)</f>
        <v>126.40231813868806</v>
      </c>
      <c r="J333" s="678">
        <f t="shared" ref="J333:J396" si="167">ATAN(G333/pole1)</f>
        <v>1.5628849969528105</v>
      </c>
      <c r="K333" s="678">
        <f t="shared" ref="K333:K396" si="168">SQRT(1+(G333/Zero1)^2)</f>
        <v>1.0001050895356762</v>
      </c>
      <c r="L333" s="679">
        <f t="shared" ref="L333:L396" si="169">ATAN(G333/Zero1)</f>
        <v>1.4496919212440408E-2</v>
      </c>
      <c r="M333" s="678">
        <f t="shared" ref="M333:M396" si="170">SQRT(1+(G333/z_RHP)^2)</f>
        <v>1.0130290869021787</v>
      </c>
      <c r="N333" s="679">
        <f t="shared" ref="N333:N396" si="171">-ATAN(G333/z_RHP)</f>
        <v>-0.16055639403615371</v>
      </c>
      <c r="O333" s="677">
        <f t="shared" ref="O333:O396" si="172">SQRT(1+(G333/Pole2)^2)</f>
        <v>462700.04867838067</v>
      </c>
      <c r="P333" s="680">
        <f t="shared" ref="P333:P396" si="173">ATAN(G333/Pole2)</f>
        <v>1.5707941655675468</v>
      </c>
      <c r="Q333" s="689">
        <f t="shared" si="163"/>
        <v>57.075100396849535</v>
      </c>
      <c r="R333" s="690">
        <f t="shared" si="164"/>
        <v>1.5532746551194661</v>
      </c>
      <c r="S333" s="677">
        <f t="shared" ref="S333:S396" si="174">SQRT(1+(G333/pole4)^2)</f>
        <v>1.0811199922776815</v>
      </c>
      <c r="T333" s="680">
        <f t="shared" ref="T333:T396" si="175">ATAN(G333/pole4)</f>
        <v>0.38984834207772617</v>
      </c>
      <c r="U333" s="681">
        <f t="shared" si="155"/>
        <v>0.90221784516486314</v>
      </c>
      <c r="V333" s="682">
        <f t="shared" si="156"/>
        <v>-0.55572814136132409</v>
      </c>
      <c r="W333" s="683">
        <f t="shared" ref="W333:W396" si="176">20*LOG10(((K333*Q333*M333*U333)/(I333*O333*S333))*Adc)</f>
        <v>-12.652371693105504</v>
      </c>
      <c r="X333" s="684">
        <f t="shared" ref="X333:X396" si="177">((L333+R333+N333+V333)-(J333+P333+T333))*radconv</f>
        <v>-153.09664154563697</v>
      </c>
      <c r="Y333" s="687">
        <f t="shared" ref="Y333:Y396" si="178">IF(X333&gt;0,X333,X333+180)</f>
        <v>26.90335845436303</v>
      </c>
      <c r="AA333" s="170">
        <f t="shared" ref="AA333:AA396" si="179">IF(W333&lt;0,G333,1000000000)</f>
        <v>24547</v>
      </c>
      <c r="AB333" s="170">
        <f t="shared" ref="AB333:AB396" si="180">G333^2</f>
        <v>602555209</v>
      </c>
      <c r="AD333" s="686">
        <f t="shared" ref="AD333:AD396" si="181">20*LOG10((Q333/(O333*S333))*Aea)</f>
        <v>26.250914910697812</v>
      </c>
      <c r="AE333" s="687">
        <f t="shared" ref="AE333:AE396" si="182">(R333-(P333+T333))*radconv</f>
        <v>-23.340458685706828</v>
      </c>
      <c r="AG333" s="686">
        <f t="shared" ref="AG333:AG396" si="183">20*LOG10((K333*M333/(I333*U333))*Acs*Am)</f>
        <v>8.0652450589293387</v>
      </c>
      <c r="AH333" s="687">
        <f t="shared" ref="AH333:AH396" si="184">(L333+N333-(J333+V333))*radconv</f>
        <v>-66.074428673856204</v>
      </c>
      <c r="AJ333" s="170">
        <f t="shared" ref="AJ333:AJ396" si="185">SUM((W334&lt;0)*(W333&gt;0))*G333</f>
        <v>0</v>
      </c>
      <c r="AK333" s="170">
        <f t="shared" si="165"/>
        <v>0</v>
      </c>
      <c r="AM333" s="170" t="str">
        <f t="shared" si="157"/>
        <v>0.328827778692698+0.741301456457103i</v>
      </c>
      <c r="AN333" s="170" t="str">
        <f t="shared" si="158"/>
        <v>0.835007367273742i</v>
      </c>
      <c r="AO333" s="170" t="str">
        <f t="shared" si="159"/>
        <v>0.887778342456326-0.393802248435609i</v>
      </c>
      <c r="AP333" s="170" t="str">
        <f t="shared" si="160"/>
        <v>0.11186203688455-0.12355024274285i</v>
      </c>
      <c r="AQ333" s="170" t="str">
        <f t="shared" si="161"/>
        <v>0.88813796311545+0.12355024274285i</v>
      </c>
      <c r="AR333" s="170" t="str">
        <f t="shared" si="162"/>
        <v>0.920111330358582-0.127998107205639i</v>
      </c>
    </row>
    <row r="334" spans="7:44">
      <c r="G334" s="688">
        <v>24690</v>
      </c>
      <c r="H334" s="676">
        <f t="shared" ref="H334:H397" si="186">G334/1000</f>
        <v>24.69</v>
      </c>
      <c r="I334" s="677">
        <f t="shared" si="166"/>
        <v>127.13863636337656</v>
      </c>
      <c r="J334" s="678">
        <f t="shared" si="167"/>
        <v>1.5629308160444155</v>
      </c>
      <c r="K334" s="678">
        <f t="shared" si="168"/>
        <v>1.000106317447452</v>
      </c>
      <c r="L334" s="679">
        <f t="shared" si="169"/>
        <v>1.4581359937041093E-2</v>
      </c>
      <c r="M334" s="678">
        <f t="shared" si="170"/>
        <v>1.0131803421581109</v>
      </c>
      <c r="N334" s="679">
        <f t="shared" si="171"/>
        <v>-0.16147559616433624</v>
      </c>
      <c r="O334" s="677">
        <f t="shared" si="172"/>
        <v>465395.53517207445</v>
      </c>
      <c r="P334" s="680">
        <f t="shared" si="173"/>
        <v>1.5707941780849835</v>
      </c>
      <c r="Q334" s="689">
        <f t="shared" si="163"/>
        <v>57.407492996324287</v>
      </c>
      <c r="R334" s="690">
        <f t="shared" si="164"/>
        <v>1.5533761168731648</v>
      </c>
      <c r="S334" s="677">
        <f t="shared" si="174"/>
        <v>1.0820319375462339</v>
      </c>
      <c r="T334" s="680">
        <f t="shared" si="175"/>
        <v>0.39189448728477766</v>
      </c>
      <c r="U334" s="681">
        <f t="shared" ref="U334:U397" si="187">IMABS(IMPRODUCT(AO334, AR334))</f>
        <v>0.90123312115978538</v>
      </c>
      <c r="V334" s="682">
        <f t="shared" ref="V334:V397" si="188">IMARGUMENT(IMPRODUCT(AO334, AR334))</f>
        <v>-0.55866682965736891</v>
      </c>
      <c r="W334" s="683">
        <f t="shared" si="176"/>
        <v>-12.718338842072241</v>
      </c>
      <c r="X334" s="684">
        <f t="shared" si="177"/>
        <v>-153.4268924001403</v>
      </c>
      <c r="Y334" s="687">
        <f t="shared" si="178"/>
        <v>26.573107599859696</v>
      </c>
      <c r="AA334" s="170">
        <f t="shared" si="179"/>
        <v>24690</v>
      </c>
      <c r="AB334" s="170">
        <f t="shared" si="180"/>
        <v>609596100</v>
      </c>
      <c r="AD334" s="686">
        <f t="shared" si="181"/>
        <v>26.243575887564724</v>
      </c>
      <c r="AE334" s="687">
        <f t="shared" si="182"/>
        <v>-23.451881557396476</v>
      </c>
      <c r="AG334" s="686">
        <f t="shared" si="183"/>
        <v>8.0255876842650586</v>
      </c>
      <c r="AH334" s="687">
        <f t="shared" si="184"/>
        <v>-65.956507782949359</v>
      </c>
      <c r="AJ334" s="170">
        <f t="shared" si="185"/>
        <v>0</v>
      </c>
      <c r="AK334" s="170">
        <f t="shared" si="165"/>
        <v>0</v>
      </c>
      <c r="AM334" s="170" t="str">
        <f t="shared" ref="AM334:AM397" si="189">IMSUB(1,IMEXP(COMPLEX(0,-2*Pi*G334*Tsw)))</f>
        <v>0.332441680707054+0.744557513119555i</v>
      </c>
      <c r="AN334" s="170" t="str">
        <f t="shared" ref="AN334:AN397" si="190">COMPLEX(0, 2*Pi*G334*Tsw)</f>
        <v>0.839871752067001i</v>
      </c>
      <c r="AO334" s="170" t="str">
        <f t="shared" ref="AO334:AO397" si="191">IMDIV(AM334, AN334)</f>
        <v>0.886513341218026-0.395824338524167i</v>
      </c>
      <c r="AP334" s="170" t="str">
        <f t="shared" ref="AP334:AP397" si="192">IMDIV(IMEXP(COMPLEX(0,-2*Pi*G334*Tsw)),6)</f>
        <v>0.111259719882158-0.124092918853259i</v>
      </c>
      <c r="AQ334" s="170" t="str">
        <f t="shared" ref="AQ334:AQ397" si="193">IMSUB(1, AP334)</f>
        <v>0.888740280117842+0.124092918853259i</v>
      </c>
      <c r="AR334" s="170" t="str">
        <f t="shared" ref="AR334:AR397" si="194">IMDIV(0.833, AQ334)</f>
        <v>0.919357948114517-0.128367998845902i</v>
      </c>
    </row>
    <row r="335" spans="7:44">
      <c r="G335" s="688">
        <v>24833</v>
      </c>
      <c r="H335" s="676">
        <f t="shared" si="186"/>
        <v>24.832999999999998</v>
      </c>
      <c r="I335" s="677">
        <f t="shared" si="166"/>
        <v>127.87495485190472</v>
      </c>
      <c r="J335" s="678">
        <f t="shared" si="167"/>
        <v>1.5629761074730659</v>
      </c>
      <c r="K335" s="678">
        <f t="shared" si="168"/>
        <v>1.0001075524902043</v>
      </c>
      <c r="L335" s="679">
        <f t="shared" si="169"/>
        <v>1.4665800453690475E-2</v>
      </c>
      <c r="M335" s="678">
        <f t="shared" si="170"/>
        <v>1.0133324532271111</v>
      </c>
      <c r="N335" s="679">
        <f t="shared" si="171"/>
        <v>-0.1623945231063752</v>
      </c>
      <c r="O335" s="677">
        <f t="shared" si="172"/>
        <v>468091.02166576823</v>
      </c>
      <c r="P335" s="680">
        <f t="shared" si="173"/>
        <v>1.5707941904582576</v>
      </c>
      <c r="Q335" s="689">
        <f t="shared" si="163"/>
        <v>57.739886179975521</v>
      </c>
      <c r="R335" s="690">
        <f t="shared" si="164"/>
        <v>1.5534764104511694</v>
      </c>
      <c r="S335" s="677">
        <f t="shared" si="174"/>
        <v>1.0829484053282534</v>
      </c>
      <c r="T335" s="680">
        <f t="shared" si="175"/>
        <v>0.39393717784543103</v>
      </c>
      <c r="U335" s="681">
        <f t="shared" si="187"/>
        <v>0.90024570090577616</v>
      </c>
      <c r="V335" s="682">
        <f t="shared" si="188"/>
        <v>-0.56160111548611269</v>
      </c>
      <c r="W335" s="683">
        <f t="shared" si="176"/>
        <v>-12.784073689033296</v>
      </c>
      <c r="X335" s="684">
        <f t="shared" si="177"/>
        <v>-153.75671401051591</v>
      </c>
      <c r="Y335" s="687">
        <f t="shared" si="178"/>
        <v>26.243285989484093</v>
      </c>
      <c r="AA335" s="170">
        <f t="shared" si="179"/>
        <v>24833</v>
      </c>
      <c r="AB335" s="170">
        <f t="shared" si="180"/>
        <v>616677889</v>
      </c>
      <c r="AD335" s="686">
        <f t="shared" si="181"/>
        <v>26.23620702611634</v>
      </c>
      <c r="AE335" s="687">
        <f t="shared" si="182"/>
        <v>-23.56317341570476</v>
      </c>
      <c r="AG335" s="686">
        <f t="shared" si="183"/>
        <v>7.9862652181244957</v>
      </c>
      <c r="AH335" s="687">
        <f t="shared" si="184"/>
        <v>-65.838793146888349</v>
      </c>
      <c r="AJ335" s="170">
        <f t="shared" si="185"/>
        <v>0</v>
      </c>
      <c r="AK335" s="170">
        <f t="shared" si="165"/>
        <v>0</v>
      </c>
      <c r="AM335" s="170" t="str">
        <f t="shared" si="189"/>
        <v>0.336071378615039+0.747795951918613i</v>
      </c>
      <c r="AN335" s="170" t="str">
        <f t="shared" si="190"/>
        <v>0.844736136860261i</v>
      </c>
      <c r="AO335" s="170" t="str">
        <f t="shared" si="191"/>
        <v>0.885242052859301-0.397841839540757i</v>
      </c>
      <c r="AP335" s="170" t="str">
        <f t="shared" si="192"/>
        <v>0.110654770230827-0.124632658653102i</v>
      </c>
      <c r="AQ335" s="170" t="str">
        <f t="shared" si="193"/>
        <v>0.889345229769173+0.124632658653102i</v>
      </c>
      <c r="AR335" s="170" t="str">
        <f t="shared" si="194"/>
        <v>0.91860353838998-0.128732912040699i</v>
      </c>
    </row>
    <row r="336" spans="7:44">
      <c r="G336" s="688">
        <v>24976</v>
      </c>
      <c r="H336" s="676">
        <f t="shared" si="186"/>
        <v>24.975999999999999</v>
      </c>
      <c r="I336" s="677">
        <f t="shared" si="166"/>
        <v>128.61127359974094</v>
      </c>
      <c r="J336" s="678">
        <f t="shared" si="167"/>
        <v>1.5630208803014218</v>
      </c>
      <c r="K336" s="678">
        <f t="shared" si="168"/>
        <v>1.0001087946639065</v>
      </c>
      <c r="L336" s="679">
        <f t="shared" si="169"/>
        <v>1.4750240761185175E-2</v>
      </c>
      <c r="M336" s="678">
        <f t="shared" si="170"/>
        <v>1.0134854197238401</v>
      </c>
      <c r="N336" s="679">
        <f t="shared" si="171"/>
        <v>-0.1633131734345942</v>
      </c>
      <c r="O336" s="677">
        <f t="shared" si="172"/>
        <v>470786.50815946207</v>
      </c>
      <c r="P336" s="680">
        <f t="shared" si="173"/>
        <v>1.5707942026898454</v>
      </c>
      <c r="Q336" s="689">
        <f t="shared" si="163"/>
        <v>58.072279937772144</v>
      </c>
      <c r="R336" s="690">
        <f t="shared" si="164"/>
        <v>1.5535755559106352</v>
      </c>
      <c r="S336" s="677">
        <f t="shared" si="174"/>
        <v>1.0838693841516804</v>
      </c>
      <c r="T336" s="680">
        <f t="shared" si="175"/>
        <v>0.39597640549800839</v>
      </c>
      <c r="U336" s="681">
        <f t="shared" si="187"/>
        <v>0.89925562098168821</v>
      </c>
      <c r="V336" s="682">
        <f t="shared" si="188"/>
        <v>-0.56453099295603315</v>
      </c>
      <c r="W336" s="683">
        <f t="shared" si="176"/>
        <v>-12.849579173006818</v>
      </c>
      <c r="X336" s="684">
        <f t="shared" si="177"/>
        <v>-154.08610485431805</v>
      </c>
      <c r="Y336" s="687">
        <f t="shared" si="178"/>
        <v>25.913895145681948</v>
      </c>
      <c r="AA336" s="170">
        <f t="shared" si="179"/>
        <v>24976</v>
      </c>
      <c r="AB336" s="170">
        <f t="shared" si="180"/>
        <v>623800576</v>
      </c>
      <c r="AD336" s="686">
        <f t="shared" si="181"/>
        <v>26.22880849385934</v>
      </c>
      <c r="AE336" s="687">
        <f t="shared" si="182"/>
        <v>-23.674332638223905</v>
      </c>
      <c r="AG336" s="686">
        <f t="shared" si="183"/>
        <v>7.9472740641384974</v>
      </c>
      <c r="AH336" s="687">
        <f t="shared" si="184"/>
        <v>-65.721285540753854</v>
      </c>
      <c r="AJ336" s="170">
        <f t="shared" si="185"/>
        <v>0</v>
      </c>
      <c r="AK336" s="170">
        <f t="shared" si="165"/>
        <v>0</v>
      </c>
      <c r="AM336" s="170" t="str">
        <f t="shared" si="189"/>
        <v>0.33971678653004+0.751016696225712i</v>
      </c>
      <c r="AN336" s="170" t="str">
        <f t="shared" si="190"/>
        <v>0.849600521653521i</v>
      </c>
      <c r="AO336" s="170" t="str">
        <f t="shared" si="191"/>
        <v>0.883964495177167-0.399854729218941i</v>
      </c>
      <c r="AP336" s="170" t="str">
        <f t="shared" si="192"/>
        <v>0.110047202244993-0.125169449370952i</v>
      </c>
      <c r="AQ336" s="170" t="str">
        <f t="shared" si="193"/>
        <v>0.889952797755007+0.125169449370952i</v>
      </c>
      <c r="AR336" s="170" t="str">
        <f t="shared" si="194"/>
        <v>0.917848138327062-0.129092853430389i</v>
      </c>
    </row>
    <row r="337" spans="7:44">
      <c r="G337" s="688">
        <v>25119</v>
      </c>
      <c r="H337" s="676">
        <f t="shared" si="186"/>
        <v>25.119</v>
      </c>
      <c r="I337" s="677">
        <f t="shared" si="166"/>
        <v>129.34759260245687</v>
      </c>
      <c r="J337" s="678">
        <f t="shared" si="167"/>
        <v>1.5630651433857929</v>
      </c>
      <c r="K337" s="678">
        <f t="shared" si="168"/>
        <v>1.0001100439685324</v>
      </c>
      <c r="L337" s="679">
        <f t="shared" si="169"/>
        <v>1.4834680858321828E-2</v>
      </c>
      <c r="M337" s="678">
        <f t="shared" si="170"/>
        <v>1.0136392412610244</v>
      </c>
      <c r="N337" s="679">
        <f t="shared" si="171"/>
        <v>-0.16423154572404375</v>
      </c>
      <c r="O337" s="677">
        <f t="shared" si="172"/>
        <v>473481.99465315603</v>
      </c>
      <c r="P337" s="680">
        <f t="shared" si="173"/>
        <v>1.570794214782167</v>
      </c>
      <c r="Q337" s="689">
        <f t="shared" si="163"/>
        <v>58.404674259911388</v>
      </c>
      <c r="R337" s="690">
        <f t="shared" si="164"/>
        <v>1.5536735728522095</v>
      </c>
      <c r="S337" s="677">
        <f t="shared" si="174"/>
        <v>1.0847948625270427</v>
      </c>
      <c r="T337" s="680">
        <f t="shared" si="175"/>
        <v>0.39801216212402096</v>
      </c>
      <c r="U337" s="681">
        <f t="shared" si="187"/>
        <v>0.89826291783525092</v>
      </c>
      <c r="V337" s="682">
        <f t="shared" si="188"/>
        <v>-0.56745645639188258</v>
      </c>
      <c r="W337" s="683">
        <f t="shared" si="176"/>
        <v>-12.914858175992316</v>
      </c>
      <c r="X337" s="684">
        <f t="shared" si="177"/>
        <v>-154.41506344418255</v>
      </c>
      <c r="Y337" s="687">
        <f t="shared" si="178"/>
        <v>25.58493655581745</v>
      </c>
      <c r="AA337" s="170">
        <f t="shared" si="179"/>
        <v>25119</v>
      </c>
      <c r="AB337" s="170">
        <f t="shared" si="180"/>
        <v>630964161</v>
      </c>
      <c r="AD337" s="686">
        <f t="shared" si="181"/>
        <v>26.221380458466044</v>
      </c>
      <c r="AE337" s="687">
        <f t="shared" si="182"/>
        <v>-23.785357636903083</v>
      </c>
      <c r="AG337" s="686">
        <f t="shared" si="183"/>
        <v>7.908610683575227</v>
      </c>
      <c r="AH337" s="687">
        <f t="shared" si="184"/>
        <v>-65.603985715568115</v>
      </c>
      <c r="AJ337" s="170">
        <f t="shared" si="185"/>
        <v>0</v>
      </c>
      <c r="AK337" s="170">
        <f t="shared" si="165"/>
        <v>0</v>
      </c>
      <c r="AM337" s="170" t="str">
        <f t="shared" si="189"/>
        <v>0.343377818193714+0.75421966983098i</v>
      </c>
      <c r="AN337" s="170" t="str">
        <f t="shared" si="190"/>
        <v>0.85446490644678i</v>
      </c>
      <c r="AO337" s="170" t="str">
        <f t="shared" si="191"/>
        <v>0.882680686053379-0.401862985364281i</v>
      </c>
      <c r="AP337" s="170" t="str">
        <f t="shared" si="192"/>
        <v>0.109437030301048-0.125703278305163i</v>
      </c>
      <c r="AQ337" s="170" t="str">
        <f t="shared" si="193"/>
        <v>0.890562969698952+0.125703278305163i</v>
      </c>
      <c r="AR337" s="170" t="str">
        <f t="shared" si="194"/>
        <v>0.917091784853438-0.129447829951632i</v>
      </c>
    </row>
    <row r="338" spans="7:44">
      <c r="G338" s="688">
        <v>25265.25</v>
      </c>
      <c r="H338" s="676">
        <f t="shared" si="186"/>
        <v>25.265250000000002</v>
      </c>
      <c r="I338" s="677">
        <f t="shared" si="166"/>
        <v>130.10064638708627</v>
      </c>
      <c r="J338" s="678">
        <f t="shared" si="167"/>
        <v>1.5631098942158697</v>
      </c>
      <c r="K338" s="678">
        <f t="shared" si="168"/>
        <v>1.0001113290422823</v>
      </c>
      <c r="L338" s="679">
        <f t="shared" si="169"/>
        <v>1.4921039829737441E-2</v>
      </c>
      <c r="M338" s="678">
        <f t="shared" si="170"/>
        <v>1.013797442746992</v>
      </c>
      <c r="N338" s="679">
        <f t="shared" si="171"/>
        <v>-0.16517050103961842</v>
      </c>
      <c r="O338" s="677">
        <f t="shared" si="172"/>
        <v>476238.74220352492</v>
      </c>
      <c r="P338" s="680">
        <f t="shared" si="173"/>
        <v>1.5707942270077282</v>
      </c>
      <c r="Q338" s="689">
        <f t="shared" si="163"/>
        <v>58.744623572206464</v>
      </c>
      <c r="R338" s="690">
        <f t="shared" si="164"/>
        <v>1.5537726701326275</v>
      </c>
      <c r="S338" s="677">
        <f t="shared" si="174"/>
        <v>1.0857460166178414</v>
      </c>
      <c r="T338" s="680">
        <f t="shared" si="175"/>
        <v>0.40009058738120712</v>
      </c>
      <c r="U338" s="681">
        <f t="shared" si="187"/>
        <v>0.89724497777124035</v>
      </c>
      <c r="V338" s="682">
        <f t="shared" si="188"/>
        <v>-0.57044383629128415</v>
      </c>
      <c r="W338" s="683">
        <f t="shared" si="176"/>
        <v>-12.981389477476046</v>
      </c>
      <c r="X338" s="684">
        <f t="shared" si="177"/>
        <v>-154.75104975026014</v>
      </c>
      <c r="Y338" s="687">
        <f t="shared" si="178"/>
        <v>25.248950249739863</v>
      </c>
      <c r="AA338" s="170">
        <f t="shared" si="179"/>
        <v>25265.25</v>
      </c>
      <c r="AB338" s="170">
        <f t="shared" si="180"/>
        <v>638332857.5625</v>
      </c>
      <c r="AD338" s="686">
        <f t="shared" si="181"/>
        <v>26.213753262444399</v>
      </c>
      <c r="AE338" s="687">
        <f t="shared" si="182"/>
        <v>-23.898765476846712</v>
      </c>
      <c r="AG338" s="686">
        <f t="shared" si="183"/>
        <v>7.8694039930297581</v>
      </c>
      <c r="AH338" s="687">
        <f t="shared" si="184"/>
        <v>-65.484235661235047</v>
      </c>
      <c r="AJ338" s="170">
        <f t="shared" si="185"/>
        <v>0</v>
      </c>
      <c r="AK338" s="170">
        <f t="shared" si="165"/>
        <v>0</v>
      </c>
      <c r="AM338" s="170" t="str">
        <f t="shared" si="189"/>
        <v>0.347138125249366+0.757476978196095i</v>
      </c>
      <c r="AN338" s="170" t="str">
        <f t="shared" si="190"/>
        <v>0.859439845439887i</v>
      </c>
      <c r="AO338" s="170" t="str">
        <f t="shared" si="191"/>
        <v>0.881361252000593-0.403912067948968i</v>
      </c>
      <c r="AP338" s="170" t="str">
        <f t="shared" si="192"/>
        <v>0.108810312458439-0.126246163032683i</v>
      </c>
      <c r="AQ338" s="170" t="str">
        <f t="shared" si="193"/>
        <v>0.891189687541561+0.126246163032683i</v>
      </c>
      <c r="AR338" s="170" t="str">
        <f t="shared" si="194"/>
        <v>0.91631729362708-0.129805746249186i</v>
      </c>
    </row>
    <row r="339" spans="7:44">
      <c r="G339" s="688">
        <v>25411.5</v>
      </c>
      <c r="H339" s="676">
        <f t="shared" si="186"/>
        <v>25.4115</v>
      </c>
      <c r="I339" s="677">
        <f t="shared" si="166"/>
        <v>130.85370042926118</v>
      </c>
      <c r="J339" s="678">
        <f t="shared" si="167"/>
        <v>1.5631541299701384</v>
      </c>
      <c r="K339" s="678">
        <f t="shared" si="168"/>
        <v>1.0001126215747149</v>
      </c>
      <c r="L339" s="679">
        <f t="shared" si="169"/>
        <v>1.50073985785787E-2</v>
      </c>
      <c r="M339" s="678">
        <f t="shared" si="170"/>
        <v>1.0139565377550128</v>
      </c>
      <c r="N339" s="679">
        <f t="shared" si="171"/>
        <v>-0.1661091625286768</v>
      </c>
      <c r="O339" s="677">
        <f t="shared" si="172"/>
        <v>478995.48975389387</v>
      </c>
      <c r="P339" s="680">
        <f t="shared" si="173"/>
        <v>1.5707942390925667</v>
      </c>
      <c r="Q339" s="689">
        <f t="shared" si="163"/>
        <v>59.084573454751279</v>
      </c>
      <c r="R339" s="690">
        <f t="shared" si="164"/>
        <v>1.5538706270788185</v>
      </c>
      <c r="S339" s="677">
        <f t="shared" si="174"/>
        <v>1.0867018527479844</v>
      </c>
      <c r="T339" s="680">
        <f t="shared" si="175"/>
        <v>0.40216536532489822</v>
      </c>
      <c r="U339" s="681">
        <f t="shared" si="187"/>
        <v>0.89622437057593241</v>
      </c>
      <c r="V339" s="682">
        <f t="shared" si="188"/>
        <v>-0.57342658791850276</v>
      </c>
      <c r="W339" s="683">
        <f t="shared" si="176"/>
        <v>-13.047689807014816</v>
      </c>
      <c r="X339" s="684">
        <f t="shared" si="177"/>
        <v>-155.08658089454386</v>
      </c>
      <c r="Y339" s="687">
        <f t="shared" si="178"/>
        <v>24.913419105456143</v>
      </c>
      <c r="AA339" s="170">
        <f t="shared" si="179"/>
        <v>25411.5</v>
      </c>
      <c r="AB339" s="170">
        <f t="shared" si="180"/>
        <v>645744332.25</v>
      </c>
      <c r="AD339" s="686">
        <f t="shared" si="181"/>
        <v>26.206095562204645</v>
      </c>
      <c r="AE339" s="687">
        <f t="shared" si="182"/>
        <v>-24.012029669395979</v>
      </c>
      <c r="AG339" s="686">
        <f t="shared" si="183"/>
        <v>7.8305328361060322</v>
      </c>
      <c r="AH339" s="687">
        <f t="shared" si="184"/>
        <v>-65.364704453428118</v>
      </c>
      <c r="AJ339" s="170">
        <f t="shared" si="185"/>
        <v>0</v>
      </c>
      <c r="AK339" s="170">
        <f t="shared" si="165"/>
        <v>0</v>
      </c>
      <c r="AM339" s="170" t="str">
        <f t="shared" si="189"/>
        <v>0.350914590614832+0.760715539031042i</v>
      </c>
      <c r="AN339" s="170" t="str">
        <f t="shared" si="190"/>
        <v>0.864414784432993i</v>
      </c>
      <c r="AO339" s="170" t="str">
        <f t="shared" si="191"/>
        <v>0.880035317223349-0.405956257267178i</v>
      </c>
      <c r="AP339" s="170" t="str">
        <f t="shared" si="192"/>
        <v>0.108180901564195-0.12678592317184i</v>
      </c>
      <c r="AQ339" s="170" t="str">
        <f t="shared" si="193"/>
        <v>0.891819098435805+0.12678592317184i</v>
      </c>
      <c r="AR339" s="170" t="str">
        <f t="shared" si="194"/>
        <v>0.915541882593605-0.130158485045575i</v>
      </c>
    </row>
    <row r="340" spans="7:44">
      <c r="G340" s="688">
        <v>25557.75</v>
      </c>
      <c r="H340" s="676">
        <f t="shared" si="186"/>
        <v>25.557749999999999</v>
      </c>
      <c r="I340" s="677">
        <f t="shared" si="166"/>
        <v>131.6067547245606</v>
      </c>
      <c r="J340" s="678">
        <f t="shared" si="167"/>
        <v>1.5631978594902209</v>
      </c>
      <c r="K340" s="678">
        <f t="shared" si="168"/>
        <v>1.0001139215658019</v>
      </c>
      <c r="L340" s="679">
        <f t="shared" si="169"/>
        <v>1.5093757103558373E-2</v>
      </c>
      <c r="M340" s="678">
        <f t="shared" si="170"/>
        <v>1.0141165258645588</v>
      </c>
      <c r="N340" s="679">
        <f t="shared" si="171"/>
        <v>-0.16704752867581488</v>
      </c>
      <c r="O340" s="677">
        <f t="shared" si="172"/>
        <v>481752.23730426293</v>
      </c>
      <c r="P340" s="680">
        <f t="shared" si="173"/>
        <v>1.5707942510390982</v>
      </c>
      <c r="Q340" s="689">
        <f t="shared" si="163"/>
        <v>59.424523897759158</v>
      </c>
      <c r="R340" s="690">
        <f t="shared" si="164"/>
        <v>1.5539674632594496</v>
      </c>
      <c r="S340" s="677">
        <f t="shared" si="174"/>
        <v>1.0876623585737635</v>
      </c>
      <c r="T340" s="680">
        <f t="shared" si="175"/>
        <v>0.40423648773184895</v>
      </c>
      <c r="U340" s="681">
        <f t="shared" si="187"/>
        <v>0.89520113479870245</v>
      </c>
      <c r="V340" s="682">
        <f t="shared" si="188"/>
        <v>-0.57640470589612491</v>
      </c>
      <c r="W340" s="683">
        <f t="shared" si="176"/>
        <v>-13.113762071100314</v>
      </c>
      <c r="X340" s="684">
        <f t="shared" si="177"/>
        <v>-155.42165539654476</v>
      </c>
      <c r="Y340" s="687">
        <f t="shared" si="178"/>
        <v>24.578344603455236</v>
      </c>
      <c r="AA340" s="170">
        <f t="shared" si="179"/>
        <v>25557.75</v>
      </c>
      <c r="AB340" s="170">
        <f t="shared" si="180"/>
        <v>653198585.0625</v>
      </c>
      <c r="AD340" s="686">
        <f t="shared" si="181"/>
        <v>26.198407537547922</v>
      </c>
      <c r="AE340" s="687">
        <f t="shared" si="182"/>
        <v>-24.125148622330002</v>
      </c>
      <c r="AG340" s="686">
        <f t="shared" si="183"/>
        <v>7.7919936060837172</v>
      </c>
      <c r="AH340" s="687">
        <f t="shared" si="184"/>
        <v>-65.245392820085513</v>
      </c>
      <c r="AJ340" s="170">
        <f t="shared" si="185"/>
        <v>0</v>
      </c>
      <c r="AK340" s="170">
        <f t="shared" si="165"/>
        <v>0</v>
      </c>
      <c r="AM340" s="170" t="str">
        <f t="shared" si="189"/>
        <v>0.354707120822721+0.763935272181549i</v>
      </c>
      <c r="AN340" s="170" t="str">
        <f t="shared" si="190"/>
        <v>0.8693897234261i</v>
      </c>
      <c r="AO340" s="170" t="str">
        <f t="shared" si="191"/>
        <v>0.878702901123589-0.407995529812438i</v>
      </c>
      <c r="AP340" s="170" t="str">
        <f t="shared" si="192"/>
        <v>0.107548813196213-0.127322545363591i</v>
      </c>
      <c r="AQ340" s="170" t="str">
        <f t="shared" si="193"/>
        <v>0.892451186803787+0.127322545363591i</v>
      </c>
      <c r="AR340" s="170" t="str">
        <f t="shared" si="194"/>
        <v>0.914765590546641-0.13050605469701i</v>
      </c>
    </row>
    <row r="341" spans="7:44">
      <c r="G341" s="688">
        <v>25704</v>
      </c>
      <c r="H341" s="676">
        <f t="shared" si="186"/>
        <v>25.704000000000001</v>
      </c>
      <c r="I341" s="677">
        <f t="shared" si="166"/>
        <v>132.35980926866407</v>
      </c>
      <c r="J341" s="678">
        <f t="shared" si="167"/>
        <v>1.5632410914165313</v>
      </c>
      <c r="K341" s="678">
        <f t="shared" si="168"/>
        <v>1.000115229015514</v>
      </c>
      <c r="L341" s="679">
        <f t="shared" si="169"/>
        <v>1.5180115403389248E-2</v>
      </c>
      <c r="M341" s="678">
        <f t="shared" si="170"/>
        <v>1.0142774066530071</v>
      </c>
      <c r="N341" s="679">
        <f t="shared" si="171"/>
        <v>-0.16798559796866247</v>
      </c>
      <c r="O341" s="677">
        <f t="shared" si="172"/>
        <v>484508.984854632</v>
      </c>
      <c r="P341" s="680">
        <f t="shared" si="173"/>
        <v>1.5707942628496836</v>
      </c>
      <c r="Q341" s="689">
        <f t="shared" si="163"/>
        <v>59.764474891666069</v>
      </c>
      <c r="R341" s="690">
        <f t="shared" si="164"/>
        <v>1.5540631977980319</v>
      </c>
      <c r="S341" s="677">
        <f t="shared" si="174"/>
        <v>1.0886275217348356</v>
      </c>
      <c r="T341" s="680">
        <f t="shared" si="175"/>
        <v>0.40630394653320923</v>
      </c>
      <c r="U341" s="681">
        <f t="shared" si="187"/>
        <v>0.89417530883569318</v>
      </c>
      <c r="V341" s="682">
        <f t="shared" si="188"/>
        <v>-0.579378185077702</v>
      </c>
      <c r="W341" s="683">
        <f t="shared" si="176"/>
        <v>-13.179609119488374</v>
      </c>
      <c r="X341" s="684">
        <f t="shared" si="177"/>
        <v>-155.75627181200147</v>
      </c>
      <c r="Y341" s="687">
        <f t="shared" si="178"/>
        <v>24.243728187998528</v>
      </c>
      <c r="AA341" s="170">
        <f t="shared" si="179"/>
        <v>25704</v>
      </c>
      <c r="AB341" s="170">
        <f t="shared" si="180"/>
        <v>660695616</v>
      </c>
      <c r="AD341" s="686">
        <f t="shared" si="181"/>
        <v>26.190689368388323</v>
      </c>
      <c r="AE341" s="687">
        <f t="shared" si="182"/>
        <v>-24.238120777776505</v>
      </c>
      <c r="AG341" s="686">
        <f t="shared" si="183"/>
        <v>7.7537827538537645</v>
      </c>
      <c r="AH341" s="687">
        <f t="shared" si="184"/>
        <v>-65.126301464557613</v>
      </c>
      <c r="AJ341" s="170">
        <f t="shared" si="185"/>
        <v>0</v>
      </c>
      <c r="AK341" s="170">
        <f t="shared" si="165"/>
        <v>0</v>
      </c>
      <c r="AM341" s="170" t="str">
        <f t="shared" si="189"/>
        <v>0.358515622008035+0.767136097959326i</v>
      </c>
      <c r="AN341" s="170" t="str">
        <f t="shared" si="190"/>
        <v>0.874364662419206i</v>
      </c>
      <c r="AO341" s="170" t="str">
        <f t="shared" si="191"/>
        <v>0.877364023194627-0.410029862158528i</v>
      </c>
      <c r="AP341" s="170" t="str">
        <f t="shared" si="192"/>
        <v>0.106914062998661-0.127856016326554i</v>
      </c>
      <c r="AQ341" s="170" t="str">
        <f t="shared" si="193"/>
        <v>0.893085937001339+0.127856016326554i</v>
      </c>
      <c r="AR341" s="170" t="str">
        <f t="shared" si="194"/>
        <v>0.913988456036316-0.130848463866346i</v>
      </c>
    </row>
    <row r="342" spans="7:44">
      <c r="G342" s="688">
        <v>25853.75</v>
      </c>
      <c r="H342" s="676">
        <f t="shared" si="186"/>
        <v>25.853750000000002</v>
      </c>
      <c r="I342" s="677">
        <f t="shared" si="166"/>
        <v>133.13088588431401</v>
      </c>
      <c r="J342" s="678">
        <f t="shared" si="167"/>
        <v>1.5632848511735153</v>
      </c>
      <c r="K342" s="678">
        <f t="shared" si="168"/>
        <v>1.0001165754830965</v>
      </c>
      <c r="L342" s="679">
        <f t="shared" si="169"/>
        <v>1.5268540162935105E-2</v>
      </c>
      <c r="M342" s="678">
        <f t="shared" si="170"/>
        <v>1.0144430621157934</v>
      </c>
      <c r="N342" s="679">
        <f t="shared" si="171"/>
        <v>-0.16894580761104896</v>
      </c>
      <c r="O342" s="677">
        <f t="shared" si="172"/>
        <v>487331.70585065108</v>
      </c>
      <c r="P342" s="680">
        <f t="shared" si="173"/>
        <v>1.5707942748044597</v>
      </c>
      <c r="Q342" s="689">
        <f t="shared" si="163"/>
        <v>60.112562025985156</v>
      </c>
      <c r="R342" s="690">
        <f t="shared" si="164"/>
        <v>1.5541601014350537</v>
      </c>
      <c r="S342" s="677">
        <f t="shared" si="174"/>
        <v>1.0896205957464822</v>
      </c>
      <c r="T342" s="680">
        <f t="shared" si="175"/>
        <v>0.40841707854642878</v>
      </c>
      <c r="U342" s="681">
        <f t="shared" si="187"/>
        <v>0.89312228922232995</v>
      </c>
      <c r="V342" s="682">
        <f t="shared" si="188"/>
        <v>-0.5824180126654348</v>
      </c>
      <c r="W342" s="683">
        <f t="shared" si="176"/>
        <v>-13.246801548035986</v>
      </c>
      <c r="X342" s="684">
        <f t="shared" si="177"/>
        <v>-156.09842000888364</v>
      </c>
      <c r="Y342" s="687">
        <f t="shared" si="178"/>
        <v>23.901579991116364</v>
      </c>
      <c r="AA342" s="170">
        <f t="shared" si="179"/>
        <v>25853.75</v>
      </c>
      <c r="AB342" s="170">
        <f t="shared" si="180"/>
        <v>668416389.0625</v>
      </c>
      <c r="AD342" s="686">
        <f t="shared" si="181"/>
        <v>26.182755443673976</v>
      </c>
      <c r="AE342" s="687">
        <f t="shared" si="182"/>
        <v>-24.353642839357367</v>
      </c>
      <c r="AG342" s="686">
        <f t="shared" si="183"/>
        <v>7.7149940659406377</v>
      </c>
      <c r="AH342" s="687">
        <f t="shared" si="184"/>
        <v>-65.004589017011796</v>
      </c>
      <c r="AJ342" s="170">
        <f t="shared" si="185"/>
        <v>0</v>
      </c>
      <c r="AK342" s="170">
        <f t="shared" si="165"/>
        <v>0</v>
      </c>
      <c r="AM342" s="170" t="str">
        <f t="shared" si="189"/>
        <v>0.362431717226919+0.770393850443904i</v>
      </c>
      <c r="AN342" s="170" t="str">
        <f t="shared" si="190"/>
        <v>0.879458659781378i</v>
      </c>
      <c r="AO342" s="170" t="str">
        <f t="shared" si="191"/>
        <v>0.875986428555282-0.412107736044142i</v>
      </c>
      <c r="AP342" s="170" t="str">
        <f t="shared" si="192"/>
        <v>0.10626138046218-0.128398975073984i</v>
      </c>
      <c r="AQ342" s="170" t="str">
        <f t="shared" si="193"/>
        <v>0.89373861953782+0.128398975073984i</v>
      </c>
      <c r="AR342" s="170" t="str">
        <f t="shared" si="194"/>
        <v>0.913191890493894-0.131193729600635i</v>
      </c>
    </row>
    <row r="343" spans="7:44">
      <c r="G343" s="688">
        <v>26003.5</v>
      </c>
      <c r="H343" s="676">
        <f t="shared" si="186"/>
        <v>26.003499999999999</v>
      </c>
      <c r="I343" s="677">
        <f t="shared" si="166"/>
        <v>133.9019627519624</v>
      </c>
      <c r="J343" s="678">
        <f t="shared" si="167"/>
        <v>1.5633281069478819</v>
      </c>
      <c r="K343" s="678">
        <f t="shared" si="168"/>
        <v>1.0001179297705076</v>
      </c>
      <c r="L343" s="679">
        <f t="shared" si="169"/>
        <v>1.5356964683695514E-2</v>
      </c>
      <c r="M343" s="678">
        <f t="shared" si="170"/>
        <v>1.014609652591755</v>
      </c>
      <c r="N343" s="679">
        <f t="shared" si="171"/>
        <v>-0.16990570282132733</v>
      </c>
      <c r="O343" s="677">
        <f t="shared" si="172"/>
        <v>490154.42684667016</v>
      </c>
      <c r="P343" s="680">
        <f t="shared" si="173"/>
        <v>1.5707942866215447</v>
      </c>
      <c r="Q343" s="689">
        <f t="shared" ref="Q343:Q406" si="195">SQRT(1+(G343/Zero2)^2)</f>
        <v>60.460649718280465</v>
      </c>
      <c r="R343" s="690">
        <f t="shared" ref="R343:R406" si="196">ATAN(G343/Zero2)</f>
        <v>1.554255889274061</v>
      </c>
      <c r="S343" s="677">
        <f t="shared" si="174"/>
        <v>1.0906185263969463</v>
      </c>
      <c r="T343" s="680">
        <f t="shared" si="175"/>
        <v>0.41052635287537714</v>
      </c>
      <c r="U343" s="681">
        <f t="shared" si="187"/>
        <v>0.89206663493786342</v>
      </c>
      <c r="V343" s="682">
        <f t="shared" si="188"/>
        <v>-0.58545296658761603</v>
      </c>
      <c r="W343" s="683">
        <f t="shared" si="176"/>
        <v>-13.313763722847597</v>
      </c>
      <c r="X343" s="684">
        <f t="shared" si="177"/>
        <v>-156.44008498087052</v>
      </c>
      <c r="Y343" s="687">
        <f t="shared" si="178"/>
        <v>23.559915019129477</v>
      </c>
      <c r="AA343" s="170">
        <f t="shared" si="179"/>
        <v>26003.5</v>
      </c>
      <c r="AB343" s="170">
        <f t="shared" si="180"/>
        <v>676182012.25</v>
      </c>
      <c r="AD343" s="686">
        <f t="shared" si="181"/>
        <v>26.17479029644165</v>
      </c>
      <c r="AE343" s="687">
        <f t="shared" si="182"/>
        <v>-24.469007794538523</v>
      </c>
      <c r="AG343" s="686">
        <f t="shared" si="183"/>
        <v>7.6765423096332466</v>
      </c>
      <c r="AH343" s="687">
        <f t="shared" si="184"/>
        <v>-64.883108931904829</v>
      </c>
      <c r="AJ343" s="170">
        <f t="shared" si="185"/>
        <v>0</v>
      </c>
      <c r="AK343" s="170">
        <f t="shared" ref="AK343:AK406" si="197">IF(AJ343&gt;0,Y343,0)</f>
        <v>0</v>
      </c>
      <c r="AM343" s="170" t="str">
        <f t="shared" si="189"/>
        <v>0.366364356547703+0.773631612168734i</v>
      </c>
      <c r="AN343" s="170" t="str">
        <f t="shared" si="190"/>
        <v>0.884552657143551i</v>
      </c>
      <c r="AO343" s="170" t="str">
        <f t="shared" si="191"/>
        <v>0.874602100757902-0.414180380997089i</v>
      </c>
      <c r="AP343" s="170" t="str">
        <f t="shared" si="192"/>
        <v>0.105605940575383-0.128938602028122i</v>
      </c>
      <c r="AQ343" s="170" t="str">
        <f t="shared" si="193"/>
        <v>0.894394059424617+0.128938602028122i</v>
      </c>
      <c r="AR343" s="170" t="str">
        <f t="shared" si="194"/>
        <v>0.912394522693394-0.131533604248092i</v>
      </c>
    </row>
    <row r="344" spans="7:44">
      <c r="G344" s="688">
        <v>26153.25</v>
      </c>
      <c r="H344" s="676">
        <f t="shared" si="186"/>
        <v>26.15325</v>
      </c>
      <c r="I344" s="677">
        <f t="shared" si="166"/>
        <v>134.67303986728072</v>
      </c>
      <c r="J344" s="678">
        <f t="shared" si="167"/>
        <v>1.5633708673961992</v>
      </c>
      <c r="K344" s="678">
        <f t="shared" si="168"/>
        <v>1.0001192918777153</v>
      </c>
      <c r="L344" s="679">
        <f t="shared" si="169"/>
        <v>1.5445388964288676E-2</v>
      </c>
      <c r="M344" s="678">
        <f t="shared" si="170"/>
        <v>1.0147771776204035</v>
      </c>
      <c r="N344" s="679">
        <f t="shared" si="171"/>
        <v>-0.17086528198589823</v>
      </c>
      <c r="O344" s="677">
        <f t="shared" si="172"/>
        <v>492977.1478426893</v>
      </c>
      <c r="P344" s="680">
        <f t="shared" si="173"/>
        <v>1.5707942983033034</v>
      </c>
      <c r="Q344" s="689">
        <f t="shared" si="195"/>
        <v>60.808737958969928</v>
      </c>
      <c r="R344" s="690">
        <f t="shared" si="196"/>
        <v>1.5543505804748117</v>
      </c>
      <c r="S344" s="677">
        <f t="shared" si="174"/>
        <v>1.0916213003668043</v>
      </c>
      <c r="T344" s="680">
        <f t="shared" si="175"/>
        <v>0.41263176135713547</v>
      </c>
      <c r="U344" s="681">
        <f t="shared" si="187"/>
        <v>0.89100838668696525</v>
      </c>
      <c r="V344" s="682">
        <f t="shared" si="188"/>
        <v>-0.58848304206245206</v>
      </c>
      <c r="W344" s="683">
        <f t="shared" si="176"/>
        <v>-13.380498526886946</v>
      </c>
      <c r="X344" s="684">
        <f t="shared" si="177"/>
        <v>-156.78126529225861</v>
      </c>
      <c r="Y344" s="687">
        <f t="shared" si="178"/>
        <v>23.21873470774139</v>
      </c>
      <c r="AA344" s="170">
        <f t="shared" si="179"/>
        <v>26153.25</v>
      </c>
      <c r="AB344" s="170">
        <f t="shared" si="180"/>
        <v>683992485.5625</v>
      </c>
      <c r="AD344" s="686">
        <f t="shared" si="181"/>
        <v>26.166794120095208</v>
      </c>
      <c r="AE344" s="687">
        <f t="shared" si="182"/>
        <v>-24.584214077981404</v>
      </c>
      <c r="AG344" s="686">
        <f t="shared" si="183"/>
        <v>7.6384238543609868</v>
      </c>
      <c r="AH344" s="687">
        <f t="shared" si="184"/>
        <v>-64.761861886824889</v>
      </c>
      <c r="AJ344" s="170">
        <f t="shared" si="185"/>
        <v>0</v>
      </c>
      <c r="AK344" s="170">
        <f t="shared" si="197"/>
        <v>0</v>
      </c>
      <c r="AM344" s="170" t="str">
        <f t="shared" si="189"/>
        <v>0.3703134379233+0.776849299117934i</v>
      </c>
      <c r="AN344" s="170" t="str">
        <f t="shared" si="190"/>
        <v>0.889646654505723i</v>
      </c>
      <c r="AO344" s="170" t="str">
        <f t="shared" si="191"/>
        <v>0.873211061024607-0.416247772132681i</v>
      </c>
      <c r="AP344" s="170" t="str">
        <f t="shared" si="192"/>
        <v>0.104947760346117-0.129474883186322i</v>
      </c>
      <c r="AQ344" s="170" t="str">
        <f t="shared" si="193"/>
        <v>0.895052239653883+0.129474883186322i</v>
      </c>
      <c r="AR344" s="170" t="str">
        <f t="shared" si="194"/>
        <v>0.911596393212505-0.131868098078726i</v>
      </c>
    </row>
    <row r="345" spans="7:44">
      <c r="G345" s="688">
        <v>26303</v>
      </c>
      <c r="H345" s="676">
        <f t="shared" si="186"/>
        <v>26.303000000000001</v>
      </c>
      <c r="I345" s="677">
        <f t="shared" si="166"/>
        <v>135.44411722603903</v>
      </c>
      <c r="J345" s="678">
        <f t="shared" si="167"/>
        <v>1.5634131409779173</v>
      </c>
      <c r="K345" s="678">
        <f t="shared" si="168"/>
        <v>1.0001206618046881</v>
      </c>
      <c r="L345" s="679">
        <f t="shared" si="169"/>
        <v>1.5533813003332828E-2</v>
      </c>
      <c r="M345" s="678">
        <f t="shared" si="170"/>
        <v>1.0149456367389726</v>
      </c>
      <c r="N345" s="679">
        <f t="shared" si="171"/>
        <v>-0.17182454349455287</v>
      </c>
      <c r="O345" s="677">
        <f t="shared" si="172"/>
        <v>495799.8688387085</v>
      </c>
      <c r="P345" s="680">
        <f t="shared" si="173"/>
        <v>1.5707943098520476</v>
      </c>
      <c r="Q345" s="689">
        <f t="shared" si="195"/>
        <v>61.156826738689595</v>
      </c>
      <c r="R345" s="690">
        <f t="shared" si="196"/>
        <v>1.5544441937609335</v>
      </c>
      <c r="S345" s="677">
        <f t="shared" si="174"/>
        <v>1.092628904321004</v>
      </c>
      <c r="T345" s="680">
        <f t="shared" si="175"/>
        <v>0.4147332959957683</v>
      </c>
      <c r="U345" s="681">
        <f t="shared" si="187"/>
        <v>0.88994758499580073</v>
      </c>
      <c r="V345" s="682">
        <f t="shared" si="188"/>
        <v>-0.59150823455545032</v>
      </c>
      <c r="W345" s="683">
        <f t="shared" si="176"/>
        <v>-13.447008786419163</v>
      </c>
      <c r="X345" s="684">
        <f t="shared" si="177"/>
        <v>-157.12195954496664</v>
      </c>
      <c r="Y345" s="687">
        <f t="shared" si="178"/>
        <v>22.878040455033357</v>
      </c>
      <c r="AA345" s="170">
        <f t="shared" si="179"/>
        <v>26303</v>
      </c>
      <c r="AB345" s="170">
        <f t="shared" si="180"/>
        <v>691847809</v>
      </c>
      <c r="AD345" s="686">
        <f t="shared" si="181"/>
        <v>26.158767108091642</v>
      </c>
      <c r="AE345" s="687">
        <f t="shared" si="182"/>
        <v>-24.699260158900245</v>
      </c>
      <c r="AG345" s="686">
        <f t="shared" si="183"/>
        <v>7.6006351274234918</v>
      </c>
      <c r="AH345" s="687">
        <f t="shared" si="184"/>
        <v>-64.64084853409102</v>
      </c>
      <c r="AJ345" s="170">
        <f t="shared" si="185"/>
        <v>0</v>
      </c>
      <c r="AK345" s="170">
        <f t="shared" si="197"/>
        <v>0</v>
      </c>
      <c r="AM345" s="170" t="str">
        <f t="shared" si="189"/>
        <v>0.374278858879972+0.780046827796543i</v>
      </c>
      <c r="AN345" s="170" t="str">
        <f t="shared" si="190"/>
        <v>0.894740651867895i</v>
      </c>
      <c r="AO345" s="170" t="str">
        <f t="shared" si="191"/>
        <v>0.871813330676423-0.418309884656088i</v>
      </c>
      <c r="AP345" s="170" t="str">
        <f t="shared" si="192"/>
        <v>0.104286856853338-0.130007804632757i</v>
      </c>
      <c r="AQ345" s="170" t="str">
        <f t="shared" si="193"/>
        <v>0.895713143146662+0.130007804632757i</v>
      </c>
      <c r="AR345" s="170" t="str">
        <f t="shared" si="194"/>
        <v>0.910797542352537-0.132197221679905i</v>
      </c>
    </row>
    <row r="346" spans="7:44">
      <c r="G346" s="688">
        <v>26456</v>
      </c>
      <c r="H346" s="676">
        <f t="shared" si="186"/>
        <v>26.456</v>
      </c>
      <c r="I346" s="677">
        <f t="shared" si="166"/>
        <v>136.23192939897115</v>
      </c>
      <c r="J346" s="678">
        <f t="shared" si="167"/>
        <v>1.5634558377852243</v>
      </c>
      <c r="K346" s="678">
        <f t="shared" si="168"/>
        <v>1.0001220695391035</v>
      </c>
      <c r="L346" s="679">
        <f t="shared" si="169"/>
        <v>1.5624155844070545E-2</v>
      </c>
      <c r="M346" s="678">
        <f t="shared" si="170"/>
        <v>1.015118716133246</v>
      </c>
      <c r="N346" s="679">
        <f t="shared" si="171"/>
        <v>-0.1728042939571344</v>
      </c>
      <c r="O346" s="677">
        <f t="shared" si="172"/>
        <v>498683.85089140269</v>
      </c>
      <c r="P346" s="680">
        <f t="shared" si="173"/>
        <v>1.5707943215164055</v>
      </c>
      <c r="Q346" s="689">
        <f t="shared" si="195"/>
        <v>61.512470580012831</v>
      </c>
      <c r="R346" s="690">
        <f t="shared" si="196"/>
        <v>1.5545387444961232</v>
      </c>
      <c r="S346" s="677">
        <f t="shared" si="174"/>
        <v>1.0936633506114504</v>
      </c>
      <c r="T346" s="680">
        <f t="shared" si="175"/>
        <v>0.41687643089085408</v>
      </c>
      <c r="U346" s="681">
        <f t="shared" si="187"/>
        <v>0.88886116569891427</v>
      </c>
      <c r="V346" s="682">
        <f t="shared" si="188"/>
        <v>-0.59459403475738548</v>
      </c>
      <c r="W346" s="683">
        <f t="shared" si="176"/>
        <v>-13.514733482229605</v>
      </c>
      <c r="X346" s="684">
        <f t="shared" si="177"/>
        <v>-157.46954441786897</v>
      </c>
      <c r="Y346" s="687">
        <f t="shared" si="178"/>
        <v>22.530455582131026</v>
      </c>
      <c r="AA346" s="170">
        <f t="shared" si="179"/>
        <v>26456</v>
      </c>
      <c r="AB346" s="170">
        <f t="shared" si="180"/>
        <v>699919936</v>
      </c>
      <c r="AD346" s="686">
        <f t="shared" si="181"/>
        <v>26.150534241678859</v>
      </c>
      <c r="AE346" s="687">
        <f t="shared" si="182"/>
        <v>-24.816636053692243</v>
      </c>
      <c r="AG346" s="686">
        <f t="shared" si="183"/>
        <v>7.5623631605503006</v>
      </c>
      <c r="AH346" s="687">
        <f t="shared" si="184"/>
        <v>-64.517450855814317</v>
      </c>
      <c r="AJ346" s="170">
        <f t="shared" si="185"/>
        <v>0</v>
      </c>
      <c r="AK346" s="170">
        <f t="shared" si="197"/>
        <v>0</v>
      </c>
      <c r="AM346" s="170" t="str">
        <f t="shared" si="189"/>
        <v>0.378347109034696+0.783292846357274i</v>
      </c>
      <c r="AN346" s="170" t="str">
        <f t="shared" si="190"/>
        <v>0.899945203429914i</v>
      </c>
      <c r="AO346" s="170" t="str">
        <f t="shared" si="191"/>
        <v>0.870378377896733-0.420411273478342i</v>
      </c>
      <c r="AP346" s="170" t="str">
        <f t="shared" si="192"/>
        <v>0.103608815160884-0.130548807726212i</v>
      </c>
      <c r="AQ346" s="170" t="str">
        <f t="shared" si="193"/>
        <v>0.896391184839116+0.130548807726212i</v>
      </c>
      <c r="AR346" s="170" t="str">
        <f t="shared" si="194"/>
        <v>0.909980650761514-0.13252795321962i</v>
      </c>
    </row>
    <row r="347" spans="7:44">
      <c r="G347" s="688">
        <v>26609</v>
      </c>
      <c r="H347" s="676">
        <f t="shared" si="186"/>
        <v>26.609000000000002</v>
      </c>
      <c r="I347" s="677">
        <f t="shared" si="166"/>
        <v>137.01974181740056</v>
      </c>
      <c r="J347" s="678">
        <f t="shared" si="167"/>
        <v>1.5634980436111683</v>
      </c>
      <c r="K347" s="678">
        <f t="shared" si="168"/>
        <v>1.0001234854363212</v>
      </c>
      <c r="L347" s="679">
        <f t="shared" si="169"/>
        <v>1.5714498429744858E-2</v>
      </c>
      <c r="M347" s="678">
        <f t="shared" si="170"/>
        <v>1.0152927696183396</v>
      </c>
      <c r="N347" s="679">
        <f t="shared" si="171"/>
        <v>-0.17378370943879412</v>
      </c>
      <c r="O347" s="677">
        <f t="shared" si="172"/>
        <v>501567.83294409688</v>
      </c>
      <c r="P347" s="680">
        <f t="shared" si="173"/>
        <v>1.570794333046625</v>
      </c>
      <c r="Q347" s="689">
        <f t="shared" si="195"/>
        <v>61.868114964925553</v>
      </c>
      <c r="R347" s="690">
        <f t="shared" si="196"/>
        <v>1.5546322081960124</v>
      </c>
      <c r="S347" s="677">
        <f t="shared" si="174"/>
        <v>1.0947028106204892</v>
      </c>
      <c r="T347" s="680">
        <f t="shared" si="175"/>
        <v>0.4190155056266876</v>
      </c>
      <c r="U347" s="681">
        <f t="shared" si="187"/>
        <v>0.8877721658719202</v>
      </c>
      <c r="V347" s="682">
        <f t="shared" si="188"/>
        <v>-0.59767472894095175</v>
      </c>
      <c r="W347" s="683">
        <f t="shared" si="176"/>
        <v>-13.582229570515221</v>
      </c>
      <c r="X347" s="684">
        <f t="shared" si="177"/>
        <v>-157.81661907278922</v>
      </c>
      <c r="Y347" s="687">
        <f t="shared" si="178"/>
        <v>22.183380927210777</v>
      </c>
      <c r="AA347" s="170">
        <f t="shared" si="179"/>
        <v>26609</v>
      </c>
      <c r="AB347" s="170">
        <f t="shared" si="180"/>
        <v>708038881</v>
      </c>
      <c r="AD347" s="686">
        <f t="shared" si="181"/>
        <v>26.142269595012493</v>
      </c>
      <c r="AE347" s="687">
        <f t="shared" si="182"/>
        <v>-24.933841593344066</v>
      </c>
      <c r="AG347" s="686">
        <f t="shared" si="183"/>
        <v>7.524428028821637</v>
      </c>
      <c r="AH347" s="687">
        <f t="shared" si="184"/>
        <v>-64.394298421301627</v>
      </c>
      <c r="AJ347" s="170">
        <f t="shared" si="185"/>
        <v>0</v>
      </c>
      <c r="AK347" s="170">
        <f t="shared" si="197"/>
        <v>0</v>
      </c>
      <c r="AM347" s="170" t="str">
        <f t="shared" si="189"/>
        <v>0.382432198085175+0.786517647632964i</v>
      </c>
      <c r="AN347" s="170" t="str">
        <f t="shared" si="190"/>
        <v>0.905149754991933i</v>
      </c>
      <c r="AO347" s="170" t="str">
        <f t="shared" si="191"/>
        <v>0.868936486250249-0.422507100041786i</v>
      </c>
      <c r="AP347" s="170" t="str">
        <f t="shared" si="192"/>
        <v>0.102927966985804-0.131086274605494i</v>
      </c>
      <c r="AQ347" s="170" t="str">
        <f t="shared" si="193"/>
        <v>0.897072033014196+0.131086274605494i</v>
      </c>
      <c r="AR347" s="170" t="str">
        <f t="shared" si="194"/>
        <v>0.909163090301136-0.132853102237452i</v>
      </c>
    </row>
    <row r="348" spans="7:44">
      <c r="G348" s="688">
        <v>26762</v>
      </c>
      <c r="H348" s="676">
        <f t="shared" si="186"/>
        <v>26.762</v>
      </c>
      <c r="I348" s="677">
        <f t="shared" si="166"/>
        <v>137.80755447711695</v>
      </c>
      <c r="J348" s="678">
        <f t="shared" si="167"/>
        <v>1.5635397668760647</v>
      </c>
      <c r="K348" s="678">
        <f t="shared" si="168"/>
        <v>1.0001249094963063</v>
      </c>
      <c r="L348" s="679">
        <f t="shared" si="169"/>
        <v>1.5804840758882131E-2</v>
      </c>
      <c r="M348" s="678">
        <f t="shared" si="170"/>
        <v>1.0154677966933692</v>
      </c>
      <c r="N348" s="679">
        <f t="shared" si="171"/>
        <v>-0.17476278823324887</v>
      </c>
      <c r="O348" s="677">
        <f t="shared" si="172"/>
        <v>504451.81499679119</v>
      </c>
      <c r="P348" s="680">
        <f t="shared" si="173"/>
        <v>1.5707943444450065</v>
      </c>
      <c r="Q348" s="689">
        <f t="shared" si="195"/>
        <v>62.223759884106997</v>
      </c>
      <c r="R348" s="690">
        <f t="shared" si="196"/>
        <v>1.5547246034980686</v>
      </c>
      <c r="S348" s="677">
        <f t="shared" si="174"/>
        <v>1.0957472700796118</v>
      </c>
      <c r="T348" s="680">
        <f t="shared" si="175"/>
        <v>0.42115051221068794</v>
      </c>
      <c r="U348" s="681">
        <f t="shared" si="187"/>
        <v>0.88668062814448356</v>
      </c>
      <c r="V348" s="682">
        <f t="shared" si="188"/>
        <v>-0.6007503130586791</v>
      </c>
      <c r="W348" s="683">
        <f t="shared" si="176"/>
        <v>-13.649499890743137</v>
      </c>
      <c r="X348" s="684">
        <f t="shared" si="177"/>
        <v>-158.16318213693697</v>
      </c>
      <c r="Y348" s="687">
        <f t="shared" si="178"/>
        <v>21.836817863063033</v>
      </c>
      <c r="AA348" s="170">
        <f t="shared" si="179"/>
        <v>26762</v>
      </c>
      <c r="AB348" s="170">
        <f t="shared" si="180"/>
        <v>716204644</v>
      </c>
      <c r="AD348" s="686">
        <f t="shared" si="181"/>
        <v>26.13397337448237</v>
      </c>
      <c r="AE348" s="687">
        <f t="shared" si="182"/>
        <v>-25.050875252198168</v>
      </c>
      <c r="AG348" s="686">
        <f t="shared" si="183"/>
        <v>7.486826100790811</v>
      </c>
      <c r="AH348" s="687">
        <f t="shared" si="184"/>
        <v>-64.271391847226084</v>
      </c>
      <c r="AJ348" s="170">
        <f t="shared" si="185"/>
        <v>0</v>
      </c>
      <c r="AK348" s="170">
        <f t="shared" si="197"/>
        <v>0</v>
      </c>
      <c r="AM348" s="170" t="str">
        <f t="shared" si="189"/>
        <v>0.386534015377391+0.789721144272466i</v>
      </c>
      <c r="AN348" s="170" t="str">
        <f t="shared" si="190"/>
        <v>0.910354306553952i</v>
      </c>
      <c r="AO348" s="170" t="str">
        <f t="shared" si="191"/>
        <v>0.867487678793843-0.42459733819525i</v>
      </c>
      <c r="AP348" s="170" t="str">
        <f t="shared" si="192"/>
        <v>0.102244330770435-0.131620190712078i</v>
      </c>
      <c r="AQ348" s="170" t="str">
        <f t="shared" si="193"/>
        <v>0.897755669229565+0.131620190712078i</v>
      </c>
      <c r="AR348" s="170" t="str">
        <f t="shared" si="194"/>
        <v>0.908344903047441-0.133172681019156i</v>
      </c>
    </row>
    <row r="349" spans="7:44">
      <c r="G349" s="688">
        <v>26915</v>
      </c>
      <c r="H349" s="676">
        <f t="shared" si="186"/>
        <v>26.914999999999999</v>
      </c>
      <c r="I349" s="677">
        <f t="shared" si="166"/>
        <v>138.59536737400563</v>
      </c>
      <c r="J349" s="678">
        <f t="shared" si="167"/>
        <v>1.5635810158087828</v>
      </c>
      <c r="K349" s="678">
        <f t="shared" si="168"/>
        <v>1.000126341719024</v>
      </c>
      <c r="L349" s="679">
        <f t="shared" si="169"/>
        <v>1.5895182830008774E-2</v>
      </c>
      <c r="M349" s="678">
        <f t="shared" si="170"/>
        <v>1.0156437968549954</v>
      </c>
      <c r="N349" s="679">
        <f t="shared" si="171"/>
        <v>-0.17574152863797041</v>
      </c>
      <c r="O349" s="677">
        <f t="shared" si="172"/>
        <v>507335.79704948555</v>
      </c>
      <c r="P349" s="680">
        <f t="shared" si="173"/>
        <v>1.5707943557137984</v>
      </c>
      <c r="Q349" s="689">
        <f t="shared" si="195"/>
        <v>62.579405328448253</v>
      </c>
      <c r="R349" s="690">
        <f t="shared" si="196"/>
        <v>1.554815948616157</v>
      </c>
      <c r="S349" s="677">
        <f t="shared" si="174"/>
        <v>1.0967967147061635</v>
      </c>
      <c r="T349" s="680">
        <f t="shared" si="175"/>
        <v>0.42328144282899449</v>
      </c>
      <c r="U349" s="681">
        <f t="shared" si="187"/>
        <v>0.88558659494156011</v>
      </c>
      <c r="V349" s="682">
        <f t="shared" si="188"/>
        <v>-0.60382078332503153</v>
      </c>
      <c r="W349" s="683">
        <f t="shared" si="176"/>
        <v>-13.716547226232507</v>
      </c>
      <c r="X349" s="684">
        <f t="shared" si="177"/>
        <v>-158.5092322762832</v>
      </c>
      <c r="Y349" s="687">
        <f t="shared" si="178"/>
        <v>21.4907677237168</v>
      </c>
      <c r="AA349" s="170">
        <f t="shared" si="179"/>
        <v>26915</v>
      </c>
      <c r="AB349" s="170">
        <f t="shared" si="180"/>
        <v>724417225</v>
      </c>
      <c r="AD349" s="686">
        <f t="shared" si="181"/>
        <v>26.125645786463082</v>
      </c>
      <c r="AE349" s="687">
        <f t="shared" si="182"/>
        <v>-25.167735539104484</v>
      </c>
      <c r="AG349" s="686">
        <f t="shared" si="183"/>
        <v>7.4495538026539627</v>
      </c>
      <c r="AH349" s="687">
        <f t="shared" si="184"/>
        <v>-64.148731724499129</v>
      </c>
      <c r="AJ349" s="170">
        <f t="shared" si="185"/>
        <v>0</v>
      </c>
      <c r="AK349" s="170">
        <f t="shared" si="197"/>
        <v>0</v>
      </c>
      <c r="AM349" s="170" t="str">
        <f t="shared" si="189"/>
        <v>0.390652449804208+0.79290324950172i</v>
      </c>
      <c r="AN349" s="170" t="str">
        <f t="shared" si="190"/>
        <v>0.915558858115972i</v>
      </c>
      <c r="AO349" s="170" t="str">
        <f t="shared" si="191"/>
        <v>0.866031978690423-0.426681961887288i</v>
      </c>
      <c r="AP349" s="170" t="str">
        <f t="shared" si="192"/>
        <v>0.101557925032632-0.13215054158362i</v>
      </c>
      <c r="AQ349" s="170" t="str">
        <f t="shared" si="193"/>
        <v>0.898442074967368+0.13215054158362i</v>
      </c>
      <c r="AR349" s="170" t="str">
        <f t="shared" si="194"/>
        <v>0.90752613076703-0.133486702174435i</v>
      </c>
    </row>
    <row r="350" spans="7:44">
      <c r="G350" s="688">
        <v>27071.75</v>
      </c>
      <c r="H350" s="676">
        <f t="shared" si="186"/>
        <v>27.071750000000002</v>
      </c>
      <c r="I350" s="677">
        <f t="shared" si="166"/>
        <v>139.40248965228298</v>
      </c>
      <c r="J350" s="678">
        <f t="shared" si="167"/>
        <v>1.5636227922393409</v>
      </c>
      <c r="K350" s="678">
        <f t="shared" si="168"/>
        <v>1.000127817510488</v>
      </c>
      <c r="L350" s="679">
        <f t="shared" si="169"/>
        <v>1.5987738898470102E-2</v>
      </c>
      <c r="M350" s="678">
        <f t="shared" si="170"/>
        <v>1.015825119371357</v>
      </c>
      <c r="N350" s="679">
        <f t="shared" si="171"/>
        <v>-0.17674390506983717</v>
      </c>
      <c r="O350" s="677">
        <f t="shared" si="172"/>
        <v>510290.46493680484</v>
      </c>
      <c r="P350" s="680">
        <f t="shared" si="173"/>
        <v>1.5707943671266906</v>
      </c>
      <c r="Q350" s="689">
        <f t="shared" si="195"/>
        <v>62.943768108213646</v>
      </c>
      <c r="R350" s="690">
        <f t="shared" si="196"/>
        <v>1.5549084620863967</v>
      </c>
      <c r="S350" s="677">
        <f t="shared" si="174"/>
        <v>1.0978770360105745</v>
      </c>
      <c r="T350" s="680">
        <f t="shared" si="175"/>
        <v>0.42546036711469437</v>
      </c>
      <c r="U350" s="681">
        <f t="shared" si="187"/>
        <v>0.88446320336789341</v>
      </c>
      <c r="V350" s="682">
        <f t="shared" si="188"/>
        <v>-0.60696120313446722</v>
      </c>
      <c r="W350" s="683">
        <f t="shared" si="176"/>
        <v>-13.785009481486718</v>
      </c>
      <c r="X350" s="684">
        <f t="shared" si="177"/>
        <v>-158.86323074572681</v>
      </c>
      <c r="Y350" s="687">
        <f t="shared" si="178"/>
        <v>21.13676925427319</v>
      </c>
      <c r="AA350" s="170">
        <f t="shared" si="179"/>
        <v>27071.75</v>
      </c>
      <c r="AB350" s="170">
        <f t="shared" si="180"/>
        <v>732879648.0625</v>
      </c>
      <c r="AD350" s="686">
        <f t="shared" si="181"/>
        <v>26.117081776504744</v>
      </c>
      <c r="AE350" s="687">
        <f t="shared" si="182"/>
        <v>-25.287278727207962</v>
      </c>
      <c r="AG350" s="686">
        <f t="shared" si="183"/>
        <v>7.4117061381918115</v>
      </c>
      <c r="AH350" s="687">
        <f t="shared" si="184"/>
        <v>-64.023321403468174</v>
      </c>
      <c r="AJ350" s="170">
        <f t="shared" si="185"/>
        <v>0</v>
      </c>
      <c r="AK350" s="170">
        <f t="shared" si="197"/>
        <v>0</v>
      </c>
      <c r="AM350" s="170" t="str">
        <f t="shared" si="189"/>
        <v>0.39488894266097+0.796141073105792i</v>
      </c>
      <c r="AN350" s="170" t="str">
        <f t="shared" si="190"/>
        <v>0.920890972216275i</v>
      </c>
      <c r="AO350" s="170" t="str">
        <f t="shared" si="191"/>
        <v>0.864533475868211-0.428811829603026i</v>
      </c>
      <c r="AP350" s="170" t="str">
        <f t="shared" si="192"/>
        <v>0.100851842889838-0.132690178850965i</v>
      </c>
      <c r="AQ350" s="170" t="str">
        <f t="shared" si="193"/>
        <v>0.899148157110162+0.132690178850965i</v>
      </c>
      <c r="AR350" s="170" t="str">
        <f t="shared" si="194"/>
        <v>0.906686727168882-0.133802669825297i</v>
      </c>
    </row>
    <row r="351" spans="7:44">
      <c r="G351" s="688">
        <v>27228.5</v>
      </c>
      <c r="H351" s="676">
        <f t="shared" si="186"/>
        <v>27.2285</v>
      </c>
      <c r="I351" s="677">
        <f t="shared" si="166"/>
        <v>140.20961217105423</v>
      </c>
      <c r="J351" s="678">
        <f t="shared" si="167"/>
        <v>1.5636640876944174</v>
      </c>
      <c r="K351" s="678">
        <f t="shared" si="168"/>
        <v>1.0001293018696475</v>
      </c>
      <c r="L351" s="679">
        <f t="shared" si="169"/>
        <v>1.6080294692986948E-2</v>
      </c>
      <c r="M351" s="678">
        <f t="shared" si="170"/>
        <v>1.0160074621817496</v>
      </c>
      <c r="N351" s="679">
        <f t="shared" si="171"/>
        <v>-0.17774592271528925</v>
      </c>
      <c r="O351" s="677">
        <f t="shared" si="172"/>
        <v>513245.13282412424</v>
      </c>
      <c r="P351" s="680">
        <f t="shared" si="173"/>
        <v>1.5707943784081784</v>
      </c>
      <c r="Q351" s="689">
        <f t="shared" si="195"/>
        <v>63.308131420497446</v>
      </c>
      <c r="R351" s="690">
        <f t="shared" si="196"/>
        <v>1.5549999106542562</v>
      </c>
      <c r="S351" s="677">
        <f t="shared" si="174"/>
        <v>1.0989625594555195</v>
      </c>
      <c r="T351" s="680">
        <f t="shared" si="175"/>
        <v>0.42763499715112319</v>
      </c>
      <c r="U351" s="681">
        <f t="shared" si="187"/>
        <v>0.88333728197495032</v>
      </c>
      <c r="V351" s="682">
        <f t="shared" si="188"/>
        <v>-0.61009624813177188</v>
      </c>
      <c r="W351" s="683">
        <f t="shared" si="176"/>
        <v>-13.853243426901427</v>
      </c>
      <c r="X351" s="684">
        <f t="shared" si="177"/>
        <v>-159.21668812652609</v>
      </c>
      <c r="Y351" s="687">
        <f t="shared" si="178"/>
        <v>20.783311873473906</v>
      </c>
      <c r="AA351" s="170">
        <f t="shared" si="179"/>
        <v>27228.5</v>
      </c>
      <c r="AB351" s="170">
        <f t="shared" si="180"/>
        <v>741391212.25</v>
      </c>
      <c r="AD351" s="686">
        <f t="shared" si="181"/>
        <v>26.108485281006217</v>
      </c>
      <c r="AE351" s="687">
        <f t="shared" si="182"/>
        <v>-25.406636879834871</v>
      </c>
      <c r="AG351" s="686">
        <f t="shared" si="183"/>
        <v>7.3741970457768078</v>
      </c>
      <c r="AH351" s="687">
        <f t="shared" si="184"/>
        <v>-63.898170937371709</v>
      </c>
      <c r="AJ351" s="170">
        <f t="shared" si="185"/>
        <v>0</v>
      </c>
      <c r="AK351" s="170">
        <f t="shared" si="197"/>
        <v>0</v>
      </c>
      <c r="AM351" s="170" t="str">
        <f t="shared" si="189"/>
        <v>0.399142639656163+0.799356261325722i</v>
      </c>
      <c r="AN351" s="170" t="str">
        <f t="shared" si="190"/>
        <v>0.926223086316579i</v>
      </c>
      <c r="AO351" s="170" t="str">
        <f t="shared" si="191"/>
        <v>0.863027787943201-0.430935749230221i</v>
      </c>
      <c r="AP351" s="170" t="str">
        <f t="shared" si="192"/>
        <v>0.100142893390639-0.133226043554287i</v>
      </c>
      <c r="AQ351" s="170" t="str">
        <f t="shared" si="193"/>
        <v>0.899857106609361+0.133226043554287i</v>
      </c>
      <c r="AR351" s="170" t="str">
        <f t="shared" si="194"/>
        <v>0.905846797263768-0.134112831892279i</v>
      </c>
    </row>
    <row r="352" spans="7:44">
      <c r="G352" s="688">
        <v>27385.25</v>
      </c>
      <c r="H352" s="676">
        <f t="shared" si="186"/>
        <v>27.385249999999999</v>
      </c>
      <c r="I352" s="677">
        <f t="shared" si="166"/>
        <v>141.01673492618994</v>
      </c>
      <c r="J352" s="678">
        <f t="shared" si="167"/>
        <v>1.563704910432598</v>
      </c>
      <c r="K352" s="678">
        <f t="shared" si="168"/>
        <v>1.0001307947964642</v>
      </c>
      <c r="L352" s="679">
        <f t="shared" si="169"/>
        <v>1.6172850211974756E-2</v>
      </c>
      <c r="M352" s="678">
        <f t="shared" si="170"/>
        <v>1.0161908247369362</v>
      </c>
      <c r="N352" s="679">
        <f t="shared" si="171"/>
        <v>-0.17874757975587954</v>
      </c>
      <c r="O352" s="677">
        <f t="shared" si="172"/>
        <v>516199.80071144371</v>
      </c>
      <c r="P352" s="680">
        <f t="shared" si="173"/>
        <v>1.5707943895605183</v>
      </c>
      <c r="Q352" s="689">
        <f t="shared" si="195"/>
        <v>63.672495256157703</v>
      </c>
      <c r="R352" s="690">
        <f t="shared" si="196"/>
        <v>1.5550903125998035</v>
      </c>
      <c r="S352" s="677">
        <f t="shared" si="174"/>
        <v>1.100053269640711</v>
      </c>
      <c r="T352" s="680">
        <f t="shared" si="175"/>
        <v>0.42980532511365527</v>
      </c>
      <c r="U352" s="681">
        <f t="shared" si="187"/>
        <v>0.88220887570015205</v>
      </c>
      <c r="V352" s="682">
        <f t="shared" si="188"/>
        <v>-0.61322591508866475</v>
      </c>
      <c r="W352" s="683">
        <f t="shared" si="176"/>
        <v>-13.921251880735802</v>
      </c>
      <c r="X352" s="684">
        <f t="shared" si="177"/>
        <v>-159.56960310723821</v>
      </c>
      <c r="Y352" s="687">
        <f t="shared" si="178"/>
        <v>20.430396892761792</v>
      </c>
      <c r="AA352" s="170">
        <f t="shared" si="179"/>
        <v>27385.25</v>
      </c>
      <c r="AB352" s="170">
        <f t="shared" si="180"/>
        <v>749951917.5625</v>
      </c>
      <c r="AD352" s="686">
        <f t="shared" si="181"/>
        <v>26.099856521727276</v>
      </c>
      <c r="AE352" s="687">
        <f t="shared" si="182"/>
        <v>-25.525808501425729</v>
      </c>
      <c r="AG352" s="686">
        <f t="shared" si="183"/>
        <v>7.3370228623301657</v>
      </c>
      <c r="AH352" s="687">
        <f t="shared" si="184"/>
        <v>-63.773280880260153</v>
      </c>
      <c r="AJ352" s="170">
        <f t="shared" si="185"/>
        <v>0</v>
      </c>
      <c r="AK352" s="170">
        <f t="shared" si="197"/>
        <v>0</v>
      </c>
      <c r="AM352" s="170" t="str">
        <f t="shared" si="189"/>
        <v>0.403413419851337+0.802548722749294i</v>
      </c>
      <c r="AN352" s="170" t="str">
        <f t="shared" si="190"/>
        <v>0.931555200416883i</v>
      </c>
      <c r="AO352" s="170" t="str">
        <f t="shared" si="191"/>
        <v>0.861514940166877-0.433053693083141i</v>
      </c>
      <c r="AP352" s="170" t="str">
        <f t="shared" si="192"/>
        <v>0.0994310966914438-0.133758120458216i</v>
      </c>
      <c r="AQ352" s="170" t="str">
        <f t="shared" si="193"/>
        <v>0.900568903308556+0.133758120458216i</v>
      </c>
      <c r="AR352" s="170" t="str">
        <f t="shared" si="194"/>
        <v>0.905006384942872-0.134417202956838i</v>
      </c>
    </row>
    <row r="353" spans="7:44">
      <c r="G353" s="688">
        <v>27542</v>
      </c>
      <c r="H353" s="676">
        <f t="shared" si="186"/>
        <v>27.542000000000002</v>
      </c>
      <c r="I353" s="677">
        <f t="shared" si="166"/>
        <v>141.82385791365465</v>
      </c>
      <c r="J353" s="678">
        <f t="shared" si="167"/>
        <v>1.5637452685244748</v>
      </c>
      <c r="K353" s="678">
        <f t="shared" si="168"/>
        <v>1.0001322962908998</v>
      </c>
      <c r="L353" s="679">
        <f t="shared" si="169"/>
        <v>1.6265405453849018E-2</v>
      </c>
      <c r="M353" s="678">
        <f t="shared" si="170"/>
        <v>1.0163752064850056</v>
      </c>
      <c r="N353" s="679">
        <f t="shared" si="171"/>
        <v>-0.17974887437736389</v>
      </c>
      <c r="O353" s="677">
        <f t="shared" si="172"/>
        <v>519154.46859876317</v>
      </c>
      <c r="P353" s="680">
        <f t="shared" si="173"/>
        <v>1.5707944005859156</v>
      </c>
      <c r="Q353" s="689">
        <f t="shared" si="195"/>
        <v>64.036859606260521</v>
      </c>
      <c r="R353" s="690">
        <f t="shared" si="196"/>
        <v>1.5551796857871267</v>
      </c>
      <c r="S353" s="677">
        <f t="shared" si="174"/>
        <v>1.1011491511534406</v>
      </c>
      <c r="T353" s="680">
        <f t="shared" si="175"/>
        <v>0.43197134337070503</v>
      </c>
      <c r="U353" s="681">
        <f t="shared" si="187"/>
        <v>0.88107802924507084</v>
      </c>
      <c r="V353" s="682">
        <f t="shared" si="188"/>
        <v>-0.61635020105670002</v>
      </c>
      <c r="W353" s="683">
        <f t="shared" si="176"/>
        <v>-13.989037605058577</v>
      </c>
      <c r="X353" s="684">
        <f t="shared" si="177"/>
        <v>-159.92197441681466</v>
      </c>
      <c r="Y353" s="687">
        <f t="shared" si="178"/>
        <v>20.078025583185337</v>
      </c>
      <c r="AA353" s="170">
        <f t="shared" si="179"/>
        <v>27542</v>
      </c>
      <c r="AB353" s="170">
        <f t="shared" si="180"/>
        <v>758561764</v>
      </c>
      <c r="AD353" s="686">
        <f t="shared" si="181"/>
        <v>26.091195720334639</v>
      </c>
      <c r="AE353" s="687">
        <f t="shared" si="182"/>
        <v>-25.644792131312396</v>
      </c>
      <c r="AG353" s="686">
        <f t="shared" si="183"/>
        <v>7.3001799828395786</v>
      </c>
      <c r="AH353" s="687">
        <f t="shared" si="184"/>
        <v>-63.648651759620115</v>
      </c>
      <c r="AJ353" s="170">
        <f t="shared" si="185"/>
        <v>0</v>
      </c>
      <c r="AK353" s="170">
        <f t="shared" si="197"/>
        <v>0</v>
      </c>
      <c r="AM353" s="170" t="str">
        <f t="shared" si="189"/>
        <v>0.407701161822347+0.805718366610444i</v>
      </c>
      <c r="AN353" s="170" t="str">
        <f t="shared" si="190"/>
        <v>0.936887314517187i</v>
      </c>
      <c r="AO353" s="170" t="str">
        <f t="shared" si="191"/>
        <v>0.859994957905541-0.43516563358791i</v>
      </c>
      <c r="AP353" s="170" t="str">
        <f t="shared" si="192"/>
        <v>0.0987164730296088-0.134286394435074i</v>
      </c>
      <c r="AQ353" s="170" t="str">
        <f t="shared" si="193"/>
        <v>0.901283526970391+0.134286394435074i</v>
      </c>
      <c r="AR353" s="170" t="str">
        <f t="shared" si="194"/>
        <v>0.90416553374876-0.134715797932889i</v>
      </c>
    </row>
    <row r="354" spans="7:44">
      <c r="G354" s="688">
        <v>27702.5</v>
      </c>
      <c r="H354" s="676">
        <f t="shared" si="186"/>
        <v>27.702500000000001</v>
      </c>
      <c r="I354" s="677">
        <f t="shared" si="166"/>
        <v>142.65029030011272</v>
      </c>
      <c r="J354" s="678">
        <f t="shared" si="167"/>
        <v>1.5637861189050595</v>
      </c>
      <c r="K354" s="678">
        <f t="shared" si="168"/>
        <v>1.0001338425837358</v>
      </c>
      <c r="L354" s="679">
        <f t="shared" si="169"/>
        <v>1.6360174647167484E-2</v>
      </c>
      <c r="M354" s="678">
        <f t="shared" si="170"/>
        <v>1.0165650547588907</v>
      </c>
      <c r="N354" s="679">
        <f t="shared" si="171"/>
        <v>-0.1807737459969167</v>
      </c>
      <c r="O354" s="677">
        <f t="shared" si="172"/>
        <v>522179.82232070755</v>
      </c>
      <c r="P354" s="680">
        <f t="shared" si="173"/>
        <v>1.5707944117457944</v>
      </c>
      <c r="Q354" s="689">
        <f t="shared" si="195"/>
        <v>64.409941330776419</v>
      </c>
      <c r="R354" s="690">
        <f t="shared" si="196"/>
        <v>1.5552701493524228</v>
      </c>
      <c r="S354" s="677">
        <f t="shared" si="174"/>
        <v>1.1022765921988065</v>
      </c>
      <c r="T354" s="680">
        <f t="shared" si="175"/>
        <v>0.43418470688414107</v>
      </c>
      <c r="U354" s="681">
        <f t="shared" si="187"/>
        <v>0.87991764703969499</v>
      </c>
      <c r="V354" s="682">
        <f t="shared" si="188"/>
        <v>-0.61954365229398622</v>
      </c>
      <c r="W354" s="683">
        <f t="shared" si="176"/>
        <v>-14.058217038662722</v>
      </c>
      <c r="X354" s="684">
        <f t="shared" si="177"/>
        <v>-160.28221103991163</v>
      </c>
      <c r="Y354" s="687">
        <f t="shared" si="178"/>
        <v>19.71778896008837</v>
      </c>
      <c r="AA354" s="170">
        <f t="shared" si="179"/>
        <v>27702.5</v>
      </c>
      <c r="AB354" s="170">
        <f t="shared" si="180"/>
        <v>767428506.25</v>
      </c>
      <c r="AD354" s="686">
        <f t="shared" si="181"/>
        <v>26.082294753015894</v>
      </c>
      <c r="AE354" s="687">
        <f t="shared" si="182"/>
        <v>-25.766425978222298</v>
      </c>
      <c r="AG354" s="686">
        <f t="shared" si="183"/>
        <v>7.2627952768702331</v>
      </c>
      <c r="AH354" s="687">
        <f t="shared" si="184"/>
        <v>-63.52131197943438</v>
      </c>
      <c r="AJ354" s="170">
        <f t="shared" si="185"/>
        <v>0</v>
      </c>
      <c r="AK354" s="170">
        <f t="shared" si="197"/>
        <v>0</v>
      </c>
      <c r="AM354" s="170" t="str">
        <f t="shared" si="189"/>
        <v>0.412108929332142+0.808940102250469i</v>
      </c>
      <c r="AN354" s="170" t="str">
        <f t="shared" si="190"/>
        <v>0.942346991155776i</v>
      </c>
      <c r="AO354" s="170" t="str">
        <f t="shared" si="191"/>
        <v>0.858431246496914-0.437321849806827i</v>
      </c>
      <c r="AP354" s="170" t="str">
        <f t="shared" si="192"/>
        <v>0.0979818451113097-0.134823350375078i</v>
      </c>
      <c r="AQ354" s="170" t="str">
        <f t="shared" si="193"/>
        <v>0.90201815488869+0.134823350375078i</v>
      </c>
      <c r="AR354" s="170" t="str">
        <f t="shared" si="194"/>
        <v>0.903304156858794-0.135015567231533i</v>
      </c>
    </row>
    <row r="355" spans="7:44">
      <c r="G355" s="688">
        <v>27863</v>
      </c>
      <c r="H355" s="676">
        <f t="shared" si="186"/>
        <v>27.863</v>
      </c>
      <c r="I355" s="677">
        <f t="shared" si="166"/>
        <v>143.47672292187664</v>
      </c>
      <c r="J355" s="678">
        <f t="shared" si="167"/>
        <v>1.5638264986855126</v>
      </c>
      <c r="K355" s="678">
        <f t="shared" si="168"/>
        <v>1.000135397858946</v>
      </c>
      <c r="L355" s="679">
        <f t="shared" si="169"/>
        <v>1.6454943546592646E-2</v>
      </c>
      <c r="M355" s="678">
        <f t="shared" si="170"/>
        <v>1.0167559703945157</v>
      </c>
      <c r="N355" s="679">
        <f t="shared" si="171"/>
        <v>-0.18179823381320456</v>
      </c>
      <c r="O355" s="677">
        <f t="shared" si="172"/>
        <v>525205.17604265211</v>
      </c>
      <c r="P355" s="680">
        <f t="shared" si="173"/>
        <v>1.570794422777104</v>
      </c>
      <c r="Q355" s="689">
        <f t="shared" si="195"/>
        <v>64.783023576329995</v>
      </c>
      <c r="R355" s="690">
        <f t="shared" si="196"/>
        <v>1.5553595709679999</v>
      </c>
      <c r="S355" s="677">
        <f t="shared" si="174"/>
        <v>1.1034094222223039</v>
      </c>
      <c r="T355" s="680">
        <f t="shared" si="175"/>
        <v>0.43639353644167816</v>
      </c>
      <c r="U355" s="681">
        <f t="shared" si="187"/>
        <v>0.87875480058756261</v>
      </c>
      <c r="V355" s="682">
        <f t="shared" si="188"/>
        <v>-0.62273145663207119</v>
      </c>
      <c r="W355" s="683">
        <f t="shared" si="176"/>
        <v>-14.127168644465037</v>
      </c>
      <c r="X355" s="684">
        <f t="shared" si="177"/>
        <v>-160.64187509806399</v>
      </c>
      <c r="Y355" s="687">
        <f t="shared" si="178"/>
        <v>19.358124901936009</v>
      </c>
      <c r="AA355" s="170">
        <f t="shared" si="179"/>
        <v>27863</v>
      </c>
      <c r="AB355" s="170">
        <f t="shared" si="180"/>
        <v>776346769</v>
      </c>
      <c r="AD355" s="686">
        <f t="shared" si="181"/>
        <v>26.073360662110424</v>
      </c>
      <c r="AE355" s="687">
        <f t="shared" si="182"/>
        <v>-25.88785974054937</v>
      </c>
      <c r="AG355" s="686">
        <f t="shared" si="183"/>
        <v>7.2257504478417589</v>
      </c>
      <c r="AH355" s="687">
        <f t="shared" si="184"/>
        <v>-63.394246805870765</v>
      </c>
      <c r="AJ355" s="170">
        <f t="shared" si="185"/>
        <v>0</v>
      </c>
      <c r="AK355" s="170">
        <f t="shared" si="197"/>
        <v>0</v>
      </c>
      <c r="AM355" s="170" t="str">
        <f t="shared" si="189"/>
        <v>0.416534220696005+0.812137725008007i</v>
      </c>
      <c r="AN355" s="170" t="str">
        <f t="shared" si="190"/>
        <v>0.947806667794364i</v>
      </c>
      <c r="AO355" s="170" t="str">
        <f t="shared" si="191"/>
        <v>0.856860109349018-0.439471713852066i</v>
      </c>
      <c r="AP355" s="170" t="str">
        <f t="shared" si="192"/>
        <v>0.0972442965506658-0.135356287501334i</v>
      </c>
      <c r="AQ355" s="170" t="str">
        <f t="shared" si="193"/>
        <v>0.902755703449334+0.135356287501334i</v>
      </c>
      <c r="AR355" s="170" t="str">
        <f t="shared" si="194"/>
        <v>0.902442411112397-0.135309313455678i</v>
      </c>
    </row>
    <row r="356" spans="7:44">
      <c r="G356" s="688">
        <v>28023.5</v>
      </c>
      <c r="H356" s="676">
        <f t="shared" si="186"/>
        <v>28.023499999999999</v>
      </c>
      <c r="I356" s="677">
        <f t="shared" si="166"/>
        <v>144.30315577490356</v>
      </c>
      <c r="J356" s="678">
        <f t="shared" si="167"/>
        <v>1.563866415951167</v>
      </c>
      <c r="K356" s="678">
        <f t="shared" si="168"/>
        <v>1.0001369621164886</v>
      </c>
      <c r="L356" s="679">
        <f t="shared" si="169"/>
        <v>1.6549712150423598E-2</v>
      </c>
      <c r="M356" s="678">
        <f t="shared" si="170"/>
        <v>1.0169479527907406</v>
      </c>
      <c r="N356" s="679">
        <f t="shared" si="171"/>
        <v>-0.18282233589244007</v>
      </c>
      <c r="O356" s="677">
        <f t="shared" si="172"/>
        <v>528230.52976459661</v>
      </c>
      <c r="P356" s="680">
        <f t="shared" si="173"/>
        <v>1.5707944336820536</v>
      </c>
      <c r="Q356" s="689">
        <f t="shared" si="195"/>
        <v>65.156106333970882</v>
      </c>
      <c r="R356" s="690">
        <f t="shared" si="196"/>
        <v>1.5554479685309746</v>
      </c>
      <c r="S356" s="677">
        <f t="shared" si="174"/>
        <v>1.1045476246430377</v>
      </c>
      <c r="T356" s="680">
        <f t="shared" si="175"/>
        <v>0.43859782447324575</v>
      </c>
      <c r="U356" s="681">
        <f t="shared" si="187"/>
        <v>0.87758953709160481</v>
      </c>
      <c r="V356" s="682">
        <f t="shared" si="188"/>
        <v>-0.62591361180301985</v>
      </c>
      <c r="W356" s="683">
        <f t="shared" si="176"/>
        <v>-14.195895213046885</v>
      </c>
      <c r="X356" s="684">
        <f t="shared" si="177"/>
        <v>-161.00096535484798</v>
      </c>
      <c r="Y356" s="687">
        <f t="shared" si="178"/>
        <v>18.999034645152022</v>
      </c>
      <c r="AA356" s="170">
        <f t="shared" si="179"/>
        <v>28023.5</v>
      </c>
      <c r="AB356" s="170">
        <f t="shared" si="180"/>
        <v>785316552.25</v>
      </c>
      <c r="AD356" s="686">
        <f t="shared" si="181"/>
        <v>26.064393685154911</v>
      </c>
      <c r="AE356" s="687">
        <f t="shared" si="182"/>
        <v>-26.00909195925782</v>
      </c>
      <c r="AG356" s="686">
        <f t="shared" si="183"/>
        <v>7.1890418067450899</v>
      </c>
      <c r="AH356" s="687">
        <f t="shared" si="184"/>
        <v>-63.267456721427408</v>
      </c>
      <c r="AJ356" s="170">
        <f t="shared" si="185"/>
        <v>0</v>
      </c>
      <c r="AK356" s="170">
        <f t="shared" si="197"/>
        <v>0</v>
      </c>
      <c r="AM356" s="170" t="str">
        <f t="shared" si="189"/>
        <v>0.420976904004874+0.815311139568336i</v>
      </c>
      <c r="AN356" s="170" t="str">
        <f t="shared" si="190"/>
        <v>0.953266344432953i</v>
      </c>
      <c r="AO356" s="170" t="str">
        <f t="shared" si="191"/>
        <v>0.85528157406346-0.441615196490851i</v>
      </c>
      <c r="AP356" s="170" t="str">
        <f t="shared" si="192"/>
        <v>0.096503849332521-0.135885189928056i</v>
      </c>
      <c r="AQ356" s="170" t="str">
        <f t="shared" si="193"/>
        <v>0.903496150667479+0.135885189928056i</v>
      </c>
      <c r="AR356" s="170" t="str">
        <f t="shared" si="194"/>
        <v>0.901580342105637-0.135597053658633i</v>
      </c>
    </row>
    <row r="357" spans="7:44">
      <c r="G357" s="688">
        <v>28184</v>
      </c>
      <c r="H357" s="676">
        <f t="shared" si="186"/>
        <v>28.184000000000001</v>
      </c>
      <c r="I357" s="677">
        <f t="shared" si="166"/>
        <v>145.12958885524276</v>
      </c>
      <c r="J357" s="678">
        <f t="shared" si="167"/>
        <v>1.5639058786031959</v>
      </c>
      <c r="K357" s="678">
        <f t="shared" si="168"/>
        <v>1.0001385353563215</v>
      </c>
      <c r="L357" s="679">
        <f t="shared" si="169"/>
        <v>1.6644480456959494E-2</v>
      </c>
      <c r="M357" s="678">
        <f t="shared" si="170"/>
        <v>1.0171410013435216</v>
      </c>
      <c r="N357" s="679">
        <f t="shared" si="171"/>
        <v>-0.18384605030552828</v>
      </c>
      <c r="O357" s="677">
        <f t="shared" si="172"/>
        <v>531255.88348654122</v>
      </c>
      <c r="P357" s="680">
        <f t="shared" si="173"/>
        <v>1.5707944444628019</v>
      </c>
      <c r="Q357" s="689">
        <f t="shared" si="195"/>
        <v>65.529189594952555</v>
      </c>
      <c r="R357" s="690">
        <f t="shared" si="196"/>
        <v>1.5555353595309476</v>
      </c>
      <c r="S357" s="677">
        <f t="shared" si="174"/>
        <v>1.1056911828699136</v>
      </c>
      <c r="T357" s="680">
        <f t="shared" si="175"/>
        <v>0.44079756361640277</v>
      </c>
      <c r="U357" s="681">
        <f t="shared" si="187"/>
        <v>0.87642190348522486</v>
      </c>
      <c r="V357" s="682">
        <f t="shared" si="188"/>
        <v>-0.62909011583646524</v>
      </c>
      <c r="W357" s="683">
        <f t="shared" si="176"/>
        <v>-14.264399478919207</v>
      </c>
      <c r="X357" s="684">
        <f t="shared" si="177"/>
        <v>-161.35948061584864</v>
      </c>
      <c r="Y357" s="687">
        <f t="shared" si="178"/>
        <v>18.640519384151361</v>
      </c>
      <c r="AA357" s="170">
        <f t="shared" si="179"/>
        <v>28184</v>
      </c>
      <c r="AB357" s="170">
        <f t="shared" si="180"/>
        <v>794337856</v>
      </c>
      <c r="AD357" s="686">
        <f t="shared" si="181"/>
        <v>26.055394059504259</v>
      </c>
      <c r="AE357" s="687">
        <f t="shared" si="182"/>
        <v>-26.130121210554229</v>
      </c>
      <c r="AG357" s="686">
        <f t="shared" si="183"/>
        <v>7.1526657229426398</v>
      </c>
      <c r="AH357" s="687">
        <f t="shared" si="184"/>
        <v>-63.140942181270333</v>
      </c>
      <c r="AJ357" s="170">
        <f t="shared" si="185"/>
        <v>0</v>
      </c>
      <c r="AK357" s="170">
        <f t="shared" si="197"/>
        <v>0</v>
      </c>
      <c r="AM357" s="170" t="str">
        <f t="shared" si="189"/>
        <v>0.425436846831267+0.818460251338331i</v>
      </c>
      <c r="AN357" s="170" t="str">
        <f t="shared" si="190"/>
        <v>0.958726021071542i</v>
      </c>
      <c r="AO357" s="170" t="str">
        <f t="shared" si="191"/>
        <v>0.853695668365776-0.443752268615561i</v>
      </c>
      <c r="AP357" s="170" t="str">
        <f t="shared" si="192"/>
        <v>0.0957605255281222-0.136410041889722i</v>
      </c>
      <c r="AQ357" s="170" t="str">
        <f t="shared" si="193"/>
        <v>0.904239474471878+0.136410041889722i</v>
      </c>
      <c r="AR357" s="170" t="str">
        <f t="shared" si="194"/>
        <v>0.900717995044474-0.135878805231992i</v>
      </c>
    </row>
    <row r="358" spans="7:44">
      <c r="G358" s="688">
        <v>28348</v>
      </c>
      <c r="H358" s="676">
        <f t="shared" si="186"/>
        <v>28.347999999999999</v>
      </c>
      <c r="I358" s="677">
        <f t="shared" si="166"/>
        <v>145.97404407154551</v>
      </c>
      <c r="J358" s="678">
        <f t="shared" si="167"/>
        <v>1.56394574025289</v>
      </c>
      <c r="K358" s="678">
        <f t="shared" si="168"/>
        <v>1.0001401521817599</v>
      </c>
      <c r="L358" s="679">
        <f t="shared" si="169"/>
        <v>1.6741315053220296E-2</v>
      </c>
      <c r="M358" s="678">
        <f t="shared" si="170"/>
        <v>1.0173393603306533</v>
      </c>
      <c r="N358" s="679">
        <f t="shared" si="171"/>
        <v>-0.18489168626773067</v>
      </c>
      <c r="O358" s="677">
        <f t="shared" si="172"/>
        <v>534347.21065413579</v>
      </c>
      <c r="P358" s="680">
        <f t="shared" si="173"/>
        <v>1.5707944553525459</v>
      </c>
      <c r="Q358" s="689">
        <f t="shared" si="195"/>
        <v>65.910409139012245</v>
      </c>
      <c r="R358" s="690">
        <f t="shared" si="196"/>
        <v>1.5556236343093408</v>
      </c>
      <c r="S358" s="677">
        <f t="shared" si="174"/>
        <v>1.1068651935010352</v>
      </c>
      <c r="T358" s="680">
        <f t="shared" si="175"/>
        <v>0.44304056593922514</v>
      </c>
      <c r="U358" s="681">
        <f t="shared" si="187"/>
        <v>0.87522640781048688</v>
      </c>
      <c r="V358" s="682">
        <f t="shared" si="188"/>
        <v>-0.63233005035533685</v>
      </c>
      <c r="W358" s="683">
        <f t="shared" si="176"/>
        <v>-14.334170768028383</v>
      </c>
      <c r="X358" s="684">
        <f t="shared" si="177"/>
        <v>-161.72521882648601</v>
      </c>
      <c r="Y358" s="687">
        <f t="shared" si="178"/>
        <v>18.274781173513986</v>
      </c>
      <c r="AA358" s="170">
        <f t="shared" si="179"/>
        <v>28348</v>
      </c>
      <c r="AB358" s="170">
        <f t="shared" si="180"/>
        <v>803609104</v>
      </c>
      <c r="AD358" s="686">
        <f t="shared" si="181"/>
        <v>26.046164702676013</v>
      </c>
      <c r="AE358" s="687">
        <f t="shared" si="182"/>
        <v>-26.253578628928061</v>
      </c>
      <c r="AG358" s="686">
        <f t="shared" si="183"/>
        <v>7.1158361878110412</v>
      </c>
      <c r="AH358" s="687">
        <f t="shared" si="184"/>
        <v>-63.011953825449467</v>
      </c>
      <c r="AJ358" s="170">
        <f t="shared" si="185"/>
        <v>0</v>
      </c>
      <c r="AK358" s="170">
        <f t="shared" si="197"/>
        <v>0</v>
      </c>
      <c r="AM358" s="170" t="str">
        <f t="shared" si="189"/>
        <v>0.430011736839609+0.821652834145542i</v>
      </c>
      <c r="AN358" s="170" t="str">
        <f t="shared" si="190"/>
        <v>0.964304756079196i</v>
      </c>
      <c r="AO358" s="170" t="str">
        <f t="shared" si="191"/>
        <v>0.852067594778161-0.445929291677468i</v>
      </c>
      <c r="AP358" s="170" t="str">
        <f t="shared" si="192"/>
        <v>0.0949980438600652-0.136942139024257i</v>
      </c>
      <c r="AQ358" s="170" t="str">
        <f t="shared" si="193"/>
        <v>0.905001956139935+0.136942139024257i</v>
      </c>
      <c r="AR358" s="170" t="str">
        <f t="shared" si="194"/>
        <v>0.89983660231664-0.136160533419341i</v>
      </c>
    </row>
    <row r="359" spans="7:44">
      <c r="G359" s="688">
        <v>28512</v>
      </c>
      <c r="H359" s="676">
        <f t="shared" si="186"/>
        <v>28.512</v>
      </c>
      <c r="I359" s="677">
        <f t="shared" si="166"/>
        <v>146.81849951712567</v>
      </c>
      <c r="J359" s="678">
        <f t="shared" si="167"/>
        <v>1.5639851433584262</v>
      </c>
      <c r="K359" s="678">
        <f t="shared" si="168"/>
        <v>1.0001417783854212</v>
      </c>
      <c r="L359" s="679">
        <f t="shared" si="169"/>
        <v>1.68381493354882E-2</v>
      </c>
      <c r="M359" s="678">
        <f t="shared" si="170"/>
        <v>1.0175388311960414</v>
      </c>
      <c r="N359" s="679">
        <f t="shared" si="171"/>
        <v>-0.18593691341472185</v>
      </c>
      <c r="O359" s="677">
        <f t="shared" si="172"/>
        <v>537438.53782173048</v>
      </c>
      <c r="P359" s="680">
        <f t="shared" si="173"/>
        <v>1.570794466117015</v>
      </c>
      <c r="Q359" s="689">
        <f t="shared" si="195"/>
        <v>66.291629190767495</v>
      </c>
      <c r="R359" s="690">
        <f t="shared" si="196"/>
        <v>1.5557108938134476</v>
      </c>
      <c r="S359" s="677">
        <f t="shared" si="174"/>
        <v>1.1080447610199331</v>
      </c>
      <c r="T359" s="680">
        <f t="shared" si="175"/>
        <v>0.44527880393278202</v>
      </c>
      <c r="U359" s="681">
        <f t="shared" si="187"/>
        <v>0.87402853573196582</v>
      </c>
      <c r="V359" s="682">
        <f t="shared" si="188"/>
        <v>-0.63556408136220521</v>
      </c>
      <c r="W359" s="683">
        <f t="shared" si="176"/>
        <v>-14.403715552335171</v>
      </c>
      <c r="X359" s="684">
        <f t="shared" si="177"/>
        <v>-162.09035430055474</v>
      </c>
      <c r="Y359" s="687">
        <f t="shared" si="178"/>
        <v>17.909645699445264</v>
      </c>
      <c r="AA359" s="170">
        <f t="shared" si="179"/>
        <v>28512</v>
      </c>
      <c r="AB359" s="170">
        <f t="shared" si="180"/>
        <v>812934144</v>
      </c>
      <c r="AD359" s="686">
        <f t="shared" si="181"/>
        <v>26.036901758077846</v>
      </c>
      <c r="AE359" s="687">
        <f t="shared" si="182"/>
        <v>-26.376821235096443</v>
      </c>
      <c r="AG359" s="686">
        <f t="shared" si="183"/>
        <v>7.0793463890266501</v>
      </c>
      <c r="AH359" s="687">
        <f t="shared" si="184"/>
        <v>-62.883254037910298</v>
      </c>
      <c r="AJ359" s="170">
        <f t="shared" si="185"/>
        <v>0</v>
      </c>
      <c r="AK359" s="170">
        <f t="shared" si="197"/>
        <v>0</v>
      </c>
      <c r="AM359" s="170" t="str">
        <f t="shared" si="189"/>
        <v>0.43460436613871+0.824819845305986i</v>
      </c>
      <c r="AN359" s="170" t="str">
        <f t="shared" si="190"/>
        <v>0.969883491086851i</v>
      </c>
      <c r="AO359" s="170" t="str">
        <f t="shared" si="191"/>
        <v>0.850431884742871-0.44809956054793i</v>
      </c>
      <c r="AP359" s="170" t="str">
        <f t="shared" si="192"/>
        <v>0.0942326056435483-0.137469974217664i</v>
      </c>
      <c r="AQ359" s="170" t="str">
        <f t="shared" si="193"/>
        <v>0.905767394356452+0.137469974217664i</v>
      </c>
      <c r="AR359" s="170" t="str">
        <f t="shared" si="194"/>
        <v>0.898955013450643-0.136436046706785i</v>
      </c>
    </row>
    <row r="360" spans="7:44">
      <c r="G360" s="688">
        <v>28676</v>
      </c>
      <c r="H360" s="676">
        <f t="shared" si="186"/>
        <v>28.675999999999998</v>
      </c>
      <c r="I360" s="677">
        <f t="shared" si="166"/>
        <v>147.66295518804975</v>
      </c>
      <c r="J360" s="678">
        <f t="shared" si="167"/>
        <v>1.5640240957866554</v>
      </c>
      <c r="K360" s="678">
        <f t="shared" si="168"/>
        <v>1.0001434139672598</v>
      </c>
      <c r="L360" s="679">
        <f t="shared" si="169"/>
        <v>1.6934983301948734E-2</v>
      </c>
      <c r="M360" s="678">
        <f t="shared" si="170"/>
        <v>1.0177394132859217</v>
      </c>
      <c r="N360" s="679">
        <f t="shared" si="171"/>
        <v>-0.18698172970373134</v>
      </c>
      <c r="O360" s="677">
        <f t="shared" si="172"/>
        <v>540529.86498932505</v>
      </c>
      <c r="P360" s="680">
        <f t="shared" si="173"/>
        <v>1.5707944767583588</v>
      </c>
      <c r="Q360" s="689">
        <f t="shared" si="195"/>
        <v>66.67284974150968</v>
      </c>
      <c r="R360" s="690">
        <f t="shared" si="196"/>
        <v>1.5557971554572663</v>
      </c>
      <c r="S360" s="677">
        <f t="shared" si="174"/>
        <v>1.109229867698837</v>
      </c>
      <c r="T360" s="680">
        <f t="shared" si="175"/>
        <v>0.44751227040638974</v>
      </c>
      <c r="U360" s="681">
        <f t="shared" si="187"/>
        <v>0.87282833643354063</v>
      </c>
      <c r="V360" s="682">
        <f t="shared" si="188"/>
        <v>-0.63879220770098311</v>
      </c>
      <c r="W360" s="683">
        <f t="shared" si="176"/>
        <v>-14.473036576348797</v>
      </c>
      <c r="X360" s="684">
        <f t="shared" si="177"/>
        <v>-162.4548858959937</v>
      </c>
      <c r="Y360" s="687">
        <f t="shared" si="178"/>
        <v>17.545114104006302</v>
      </c>
      <c r="AA360" s="170">
        <f t="shared" si="179"/>
        <v>28676</v>
      </c>
      <c r="AB360" s="170">
        <f t="shared" si="180"/>
        <v>822312976</v>
      </c>
      <c r="AD360" s="686">
        <f t="shared" si="181"/>
        <v>26.027605478222235</v>
      </c>
      <c r="AE360" s="687">
        <f t="shared" si="182"/>
        <v>-26.499847619438128</v>
      </c>
      <c r="AG360" s="686">
        <f t="shared" si="183"/>
        <v>7.0431926338575392</v>
      </c>
      <c r="AH360" s="687">
        <f t="shared" si="184"/>
        <v>-62.754843218690951</v>
      </c>
      <c r="AJ360" s="170">
        <f t="shared" si="185"/>
        <v>0</v>
      </c>
      <c r="AK360" s="170">
        <f t="shared" si="197"/>
        <v>0</v>
      </c>
      <c r="AM360" s="170" t="str">
        <f t="shared" si="189"/>
        <v>0.439214591795825+0.827961186255296i</v>
      </c>
      <c r="AN360" s="170" t="str">
        <f t="shared" si="190"/>
        <v>0.975462226094505i</v>
      </c>
      <c r="AO360" s="170" t="str">
        <f t="shared" si="191"/>
        <v>0.848788568236246-0.450263044581772i</v>
      </c>
      <c r="AP360" s="170" t="str">
        <f t="shared" si="192"/>
        <v>0.0934642347006958-0.137993531042549i</v>
      </c>
      <c r="AQ360" s="170" t="str">
        <f t="shared" si="193"/>
        <v>0.906535765299304+0.137993531042549i</v>
      </c>
      <c r="AR360" s="170" t="str">
        <f t="shared" si="194"/>
        <v>0.898073275403466-0.136705364698938i</v>
      </c>
    </row>
    <row r="361" spans="7:44">
      <c r="G361" s="688">
        <v>28840</v>
      </c>
      <c r="H361" s="676">
        <f t="shared" si="186"/>
        <v>28.84</v>
      </c>
      <c r="I361" s="677">
        <f t="shared" si="166"/>
        <v>148.50741108047359</v>
      </c>
      <c r="J361" s="678">
        <f t="shared" si="167"/>
        <v>1.5640626052255011</v>
      </c>
      <c r="K361" s="678">
        <f t="shared" si="168"/>
        <v>1.0001450589272292</v>
      </c>
      <c r="L361" s="679">
        <f t="shared" si="169"/>
        <v>1.7031816950787468E-2</v>
      </c>
      <c r="M361" s="678">
        <f t="shared" si="170"/>
        <v>1.017941105943404</v>
      </c>
      <c r="N361" s="679">
        <f t="shared" si="171"/>
        <v>-0.18802613309718222</v>
      </c>
      <c r="O361" s="677">
        <f t="shared" si="172"/>
        <v>543621.19215691974</v>
      </c>
      <c r="P361" s="680">
        <f t="shared" si="173"/>
        <v>1.5707944872786777</v>
      </c>
      <c r="Q361" s="689">
        <f t="shared" si="195"/>
        <v>67.054070782728147</v>
      </c>
      <c r="R361" s="690">
        <f t="shared" si="196"/>
        <v>1.5558824362588419</v>
      </c>
      <c r="S361" s="677">
        <f t="shared" si="174"/>
        <v>1.1104204958025858</v>
      </c>
      <c r="T361" s="680">
        <f t="shared" si="175"/>
        <v>0.44974095839040545</v>
      </c>
      <c r="U361" s="681">
        <f t="shared" si="187"/>
        <v>0.87162585879523102</v>
      </c>
      <c r="V361" s="682">
        <f t="shared" si="188"/>
        <v>-0.64201442852861534</v>
      </c>
      <c r="W361" s="683">
        <f t="shared" si="176"/>
        <v>-14.54213652911861</v>
      </c>
      <c r="X361" s="684">
        <f t="shared" si="177"/>
        <v>-162.8188125140716</v>
      </c>
      <c r="Y361" s="687">
        <f t="shared" si="178"/>
        <v>17.181187485928405</v>
      </c>
      <c r="AA361" s="170">
        <f t="shared" si="179"/>
        <v>28840</v>
      </c>
      <c r="AB361" s="170">
        <f t="shared" si="180"/>
        <v>831745600</v>
      </c>
      <c r="AD361" s="686">
        <f t="shared" si="181"/>
        <v>26.018276115341592</v>
      </c>
      <c r="AE361" s="687">
        <f t="shared" si="182"/>
        <v>-26.622656407680164</v>
      </c>
      <c r="AG361" s="686">
        <f t="shared" si="183"/>
        <v>7.0073712877867003</v>
      </c>
      <c r="AH361" s="687">
        <f t="shared" si="184"/>
        <v>-62.626721739939917</v>
      </c>
      <c r="AJ361" s="170">
        <f t="shared" si="185"/>
        <v>0</v>
      </c>
      <c r="AK361" s="170">
        <f t="shared" si="197"/>
        <v>0</v>
      </c>
      <c r="AM361" s="170" t="str">
        <f t="shared" si="189"/>
        <v>0.443842270330572+0.831076759228019i</v>
      </c>
      <c r="AN361" s="170" t="str">
        <f t="shared" si="190"/>
        <v>0.981040961102159i</v>
      </c>
      <c r="AO361" s="170" t="str">
        <f t="shared" si="191"/>
        <v>0.847137675367131-0.452419713272658i</v>
      </c>
      <c r="AP361" s="170" t="str">
        <f t="shared" si="192"/>
        <v>0.0926929549449047-0.13851279320467i</v>
      </c>
      <c r="AQ361" s="170" t="str">
        <f t="shared" si="193"/>
        <v>0.907307045055095+0.13851279320467i</v>
      </c>
      <c r="AR361" s="170" t="str">
        <f t="shared" si="194"/>
        <v>0.897191434701039-0.136968507339431i</v>
      </c>
    </row>
    <row r="362" spans="7:44">
      <c r="G362" s="688">
        <v>29008</v>
      </c>
      <c r="H362" s="676">
        <f t="shared" si="186"/>
        <v>29.007999999999999</v>
      </c>
      <c r="I362" s="677">
        <f t="shared" si="166"/>
        <v>149.37246368382094</v>
      </c>
      <c r="J362" s="678">
        <f t="shared" si="167"/>
        <v>1.5641016024443308</v>
      </c>
      <c r="K362" s="678">
        <f t="shared" si="168"/>
        <v>1.0001467537321482</v>
      </c>
      <c r="L362" s="679">
        <f t="shared" si="169"/>
        <v>1.7131012064706141E-2</v>
      </c>
      <c r="M362" s="678">
        <f t="shared" si="170"/>
        <v>1.018148868772518</v>
      </c>
      <c r="N362" s="679">
        <f t="shared" si="171"/>
        <v>-0.18909557949540334</v>
      </c>
      <c r="O362" s="677">
        <f t="shared" si="172"/>
        <v>546787.91754811443</v>
      </c>
      <c r="P362" s="680">
        <f t="shared" si="173"/>
        <v>1.5707944979322463</v>
      </c>
      <c r="Q362" s="689">
        <f t="shared" si="195"/>
        <v>67.444590397995213</v>
      </c>
      <c r="R362" s="690">
        <f t="shared" si="196"/>
        <v>1.5559687974460927</v>
      </c>
      <c r="S362" s="677">
        <f t="shared" si="174"/>
        <v>1.1116458701410901</v>
      </c>
      <c r="T362" s="680">
        <f t="shared" si="175"/>
        <v>0.45201904282978794</v>
      </c>
      <c r="U362" s="681">
        <f t="shared" si="187"/>
        <v>0.87039174083548188</v>
      </c>
      <c r="V362" s="682">
        <f t="shared" si="188"/>
        <v>-0.64530911623007126</v>
      </c>
      <c r="W362" s="683">
        <f t="shared" si="176"/>
        <v>-14.612695375597148</v>
      </c>
      <c r="X362" s="684">
        <f t="shared" si="177"/>
        <v>-163.19098699692569</v>
      </c>
      <c r="Y362" s="687">
        <f t="shared" si="178"/>
        <v>16.809013003074313</v>
      </c>
      <c r="AA362" s="170">
        <f t="shared" si="179"/>
        <v>29008</v>
      </c>
      <c r="AB362" s="170">
        <f t="shared" si="180"/>
        <v>841464064</v>
      </c>
      <c r="AD362" s="686">
        <f t="shared" si="181"/>
        <v>26.008685167151356</v>
      </c>
      <c r="AE362" s="687">
        <f t="shared" si="182"/>
        <v>-26.74823351043602</v>
      </c>
      <c r="AG362" s="686">
        <f t="shared" si="183"/>
        <v>6.9710171802989738</v>
      </c>
      <c r="AH362" s="687">
        <f t="shared" si="184"/>
        <v>-62.49577571939259</v>
      </c>
      <c r="AJ362" s="170">
        <f t="shared" si="185"/>
        <v>0</v>
      </c>
      <c r="AK362" s="170">
        <f t="shared" si="197"/>
        <v>0</v>
      </c>
      <c r="AM362" s="170" t="str">
        <f t="shared" si="189"/>
        <v>0.448600765109154+0.834241502061477i</v>
      </c>
      <c r="AN362" s="170" t="str">
        <f t="shared" si="190"/>
        <v>0.986755762817318i</v>
      </c>
      <c r="AO362" s="170" t="str">
        <f t="shared" si="191"/>
        <v>0.845438692630086-0.454621885184982i</v>
      </c>
      <c r="AP362" s="170" t="str">
        <f t="shared" si="192"/>
        <v>0.0918998724818077-0.13904025034358i</v>
      </c>
      <c r="AQ362" s="170" t="str">
        <f t="shared" si="193"/>
        <v>0.908100127518192+0.13904025034358i</v>
      </c>
      <c r="AR362" s="170" t="str">
        <f t="shared" si="194"/>
        <v>0.896288027426916-0.13723168617317i</v>
      </c>
    </row>
    <row r="363" spans="7:44">
      <c r="G363" s="688">
        <v>29176</v>
      </c>
      <c r="H363" s="676">
        <f t="shared" si="186"/>
        <v>29.175999999999998</v>
      </c>
      <c r="I363" s="677">
        <f t="shared" si="166"/>
        <v>150.2375165117154</v>
      </c>
      <c r="J363" s="678">
        <f t="shared" si="167"/>
        <v>1.5641401505789259</v>
      </c>
      <c r="K363" s="678">
        <f t="shared" si="168"/>
        <v>1.0001484583781484</v>
      </c>
      <c r="L363" s="679">
        <f t="shared" si="169"/>
        <v>1.7230206841465947E-2</v>
      </c>
      <c r="M363" s="678">
        <f t="shared" si="170"/>
        <v>1.0183577955984526</v>
      </c>
      <c r="N363" s="679">
        <f t="shared" si="171"/>
        <v>-0.19016458829946803</v>
      </c>
      <c r="O363" s="677">
        <f t="shared" si="172"/>
        <v>549954.64293930912</v>
      </c>
      <c r="P363" s="680">
        <f t="shared" si="173"/>
        <v>1.5707945084631254</v>
      </c>
      <c r="Q363" s="689">
        <f t="shared" si="195"/>
        <v>67.835110510489542</v>
      </c>
      <c r="R363" s="690">
        <f t="shared" si="196"/>
        <v>1.5560541642881169</v>
      </c>
      <c r="S363" s="677">
        <f t="shared" si="174"/>
        <v>1.1128770008314404</v>
      </c>
      <c r="T363" s="680">
        <f t="shared" si="175"/>
        <v>0.45429209873904003</v>
      </c>
      <c r="U363" s="681">
        <f t="shared" si="187"/>
        <v>0.86915533489268437</v>
      </c>
      <c r="V363" s="682">
        <f t="shared" si="188"/>
        <v>-0.64859760603708494</v>
      </c>
      <c r="W363" s="683">
        <f t="shared" si="176"/>
        <v>-14.683027775143566</v>
      </c>
      <c r="X363" s="684">
        <f t="shared" si="177"/>
        <v>-163.56252443417546</v>
      </c>
      <c r="Y363" s="687">
        <f t="shared" si="178"/>
        <v>16.437475565824542</v>
      </c>
      <c r="AA363" s="170">
        <f t="shared" si="179"/>
        <v>29176</v>
      </c>
      <c r="AB363" s="170">
        <f t="shared" si="180"/>
        <v>851238976</v>
      </c>
      <c r="AD363" s="686">
        <f t="shared" si="181"/>
        <v>25.999060037292551</v>
      </c>
      <c r="AE363" s="687">
        <f t="shared" si="182"/>
        <v>-26.873579464393231</v>
      </c>
      <c r="AG363" s="686">
        <f t="shared" si="183"/>
        <v>6.9350043555626311</v>
      </c>
      <c r="AH363" s="687">
        <f t="shared" si="184"/>
        <v>-62.365134028427178</v>
      </c>
      <c r="AJ363" s="170">
        <f t="shared" si="185"/>
        <v>0</v>
      </c>
      <c r="AK363" s="170">
        <f t="shared" si="197"/>
        <v>0</v>
      </c>
      <c r="AM363" s="170" t="str">
        <f t="shared" si="189"/>
        <v>0.453377267963533+0.83737899951037i</v>
      </c>
      <c r="AN363" s="170" t="str">
        <f t="shared" si="190"/>
        <v>0.992470564532476i</v>
      </c>
      <c r="AO363" s="170" t="str">
        <f t="shared" si="191"/>
        <v>0.843731823829793-0.456816840887473i</v>
      </c>
      <c r="AP363" s="170" t="str">
        <f t="shared" si="192"/>
        <v>0.0911037886727445-0.139563166585062i</v>
      </c>
      <c r="AQ363" s="170" t="str">
        <f t="shared" si="193"/>
        <v>0.908896211327256+0.139563166585062i</v>
      </c>
      <c r="AR363" s="170" t="str">
        <f t="shared" si="194"/>
        <v>0.895384609874542-0.137488428170626i</v>
      </c>
    </row>
    <row r="364" spans="7:44">
      <c r="G364" s="688">
        <v>29344</v>
      </c>
      <c r="H364" s="676">
        <f t="shared" si="186"/>
        <v>29.344000000000001</v>
      </c>
      <c r="I364" s="677">
        <f t="shared" si="166"/>
        <v>151.10256956030048</v>
      </c>
      <c r="J364" s="678">
        <f t="shared" si="167"/>
        <v>1.5641782573421106</v>
      </c>
      <c r="K364" s="678">
        <f t="shared" si="168"/>
        <v>1.0001501728651796</v>
      </c>
      <c r="L364" s="679">
        <f t="shared" si="169"/>
        <v>1.7329401279116537E-2</v>
      </c>
      <c r="M364" s="678">
        <f t="shared" si="170"/>
        <v>1.0185678857049369</v>
      </c>
      <c r="N364" s="679">
        <f t="shared" si="171"/>
        <v>-0.19123315733612337</v>
      </c>
      <c r="O364" s="677">
        <f t="shared" si="172"/>
        <v>553121.36833050405</v>
      </c>
      <c r="P364" s="680">
        <f t="shared" si="173"/>
        <v>1.5707945188734218</v>
      </c>
      <c r="Q364" s="689">
        <f t="shared" si="195"/>
        <v>68.225631111672854</v>
      </c>
      <c r="R364" s="690">
        <f t="shared" si="196"/>
        <v>1.556138553858428</v>
      </c>
      <c r="S364" s="677">
        <f t="shared" si="174"/>
        <v>1.1141138687907899</v>
      </c>
      <c r="T364" s="680">
        <f t="shared" si="175"/>
        <v>0.45656011933843599</v>
      </c>
      <c r="U364" s="681">
        <f t="shared" si="187"/>
        <v>0.86791669250468872</v>
      </c>
      <c r="V364" s="682">
        <f t="shared" si="188"/>
        <v>-0.65187989804612956</v>
      </c>
      <c r="W364" s="683">
        <f t="shared" si="176"/>
        <v>-14.753136445991455</v>
      </c>
      <c r="X364" s="684">
        <f t="shared" si="177"/>
        <v>-163.93342378228502</v>
      </c>
      <c r="Y364" s="687">
        <f t="shared" si="178"/>
        <v>16.066576217714982</v>
      </c>
      <c r="AA364" s="170">
        <f t="shared" si="179"/>
        <v>29344</v>
      </c>
      <c r="AB364" s="170">
        <f t="shared" si="180"/>
        <v>861070336</v>
      </c>
      <c r="AD364" s="686">
        <f t="shared" si="181"/>
        <v>25.989400995865019</v>
      </c>
      <c r="AE364" s="687">
        <f t="shared" si="182"/>
        <v>-26.998692902982622</v>
      </c>
      <c r="AG364" s="686">
        <f t="shared" si="183"/>
        <v>6.8993290883723386</v>
      </c>
      <c r="AH364" s="687">
        <f t="shared" si="184"/>
        <v>-62.234796979022029</v>
      </c>
      <c r="AJ364" s="170">
        <f t="shared" si="185"/>
        <v>0</v>
      </c>
      <c r="AK364" s="170">
        <f t="shared" si="197"/>
        <v>0</v>
      </c>
      <c r="AM364" s="170" t="str">
        <f t="shared" si="189"/>
        <v>0.458171622898526+0.840489149107579i</v>
      </c>
      <c r="AN364" s="170" t="str">
        <f t="shared" si="190"/>
        <v>0.998185366247634i</v>
      </c>
      <c r="AO364" s="170" t="str">
        <f t="shared" si="191"/>
        <v>0.842017101760503-0.459004548043896i</v>
      </c>
      <c r="AP364" s="170" t="str">
        <f t="shared" si="192"/>
        <v>0.0903047295169123-0.140081524851263i</v>
      </c>
      <c r="AQ364" s="170" t="str">
        <f t="shared" si="193"/>
        <v>0.909695270483088+0.140081524851263i</v>
      </c>
      <c r="AR364" s="170" t="str">
        <f t="shared" si="194"/>
        <v>0.89448123064366-0.137738755828486i</v>
      </c>
    </row>
    <row r="365" spans="7:44">
      <c r="G365" s="688">
        <v>29512</v>
      </c>
      <c r="H365" s="676">
        <f t="shared" si="186"/>
        <v>29.512</v>
      </c>
      <c r="I365" s="677">
        <f t="shared" si="166"/>
        <v>151.96762282580744</v>
      </c>
      <c r="J365" s="678">
        <f t="shared" si="167"/>
        <v>1.5642159302710981</v>
      </c>
      <c r="K365" s="678">
        <f t="shared" si="168"/>
        <v>1.0001518971931909</v>
      </c>
      <c r="L365" s="679">
        <f t="shared" si="169"/>
        <v>1.7428595375707609E-2</v>
      </c>
      <c r="M365" s="678">
        <f t="shared" si="170"/>
        <v>1.0187791383723044</v>
      </c>
      <c r="N365" s="679">
        <f t="shared" si="171"/>
        <v>-0.1923012844379213</v>
      </c>
      <c r="O365" s="677">
        <f t="shared" si="172"/>
        <v>556288.09372169885</v>
      </c>
      <c r="P365" s="680">
        <f t="shared" si="173"/>
        <v>1.5707945291651948</v>
      </c>
      <c r="Q365" s="689">
        <f t="shared" si="195"/>
        <v>68.616152193201174</v>
      </c>
      <c r="R365" s="690">
        <f t="shared" si="196"/>
        <v>1.5562219828419088</v>
      </c>
      <c r="S365" s="677">
        <f t="shared" si="174"/>
        <v>1.115356454932207</v>
      </c>
      <c r="T365" s="680">
        <f t="shared" si="175"/>
        <v>0.45882309808546179</v>
      </c>
      <c r="U365" s="681">
        <f t="shared" si="187"/>
        <v>0.86667586486503823</v>
      </c>
      <c r="V365" s="682">
        <f t="shared" si="188"/>
        <v>-0.65515599268544877</v>
      </c>
      <c r="W365" s="683">
        <f t="shared" si="176"/>
        <v>-14.823024050995098</v>
      </c>
      <c r="X365" s="684">
        <f t="shared" si="177"/>
        <v>-164.30368404285369</v>
      </c>
      <c r="Y365" s="687">
        <f t="shared" si="178"/>
        <v>15.696315957146311</v>
      </c>
      <c r="AA365" s="170">
        <f t="shared" si="179"/>
        <v>29512</v>
      </c>
      <c r="AB365" s="170">
        <f t="shared" si="180"/>
        <v>870958144</v>
      </c>
      <c r="AD365" s="686">
        <f t="shared" si="181"/>
        <v>25.979708312574992</v>
      </c>
      <c r="AE365" s="687">
        <f t="shared" si="182"/>
        <v>-27.123572495490343</v>
      </c>
      <c r="AG365" s="686">
        <f t="shared" si="183"/>
        <v>6.8639877121912303</v>
      </c>
      <c r="AH365" s="687">
        <f t="shared" si="184"/>
        <v>-62.104764854417176</v>
      </c>
      <c r="AJ365" s="170">
        <f t="shared" si="185"/>
        <v>0</v>
      </c>
      <c r="AK365" s="170">
        <f t="shared" si="197"/>
        <v>0</v>
      </c>
      <c r="AM365" s="170" t="str">
        <f t="shared" si="189"/>
        <v>0.462983673335916+0.843571849279132i</v>
      </c>
      <c r="AN365" s="170" t="str">
        <f t="shared" si="190"/>
        <v>1.00390016796279i</v>
      </c>
      <c r="AO365" s="170" t="str">
        <f t="shared" si="191"/>
        <v>0.840294559359412-0.461184974473554i</v>
      </c>
      <c r="AP365" s="170" t="str">
        <f t="shared" si="192"/>
        <v>0.0895027211106807-0.140595308213189i</v>
      </c>
      <c r="AQ365" s="170" t="str">
        <f t="shared" si="193"/>
        <v>0.910497278889319+0.140595308213189i</v>
      </c>
      <c r="AR365" s="170" t="str">
        <f t="shared" si="194"/>
        <v>0.893577937854916-0.137982691983959i</v>
      </c>
    </row>
    <row r="366" spans="7:44">
      <c r="G366" s="688">
        <v>29684</v>
      </c>
      <c r="H366" s="676">
        <f t="shared" si="186"/>
        <v>29.684000000000001</v>
      </c>
      <c r="I366" s="677">
        <f t="shared" si="166"/>
        <v>152.85327281852071</v>
      </c>
      <c r="J366" s="678">
        <f t="shared" si="167"/>
        <v>1.5642540584146256</v>
      </c>
      <c r="K366" s="678">
        <f t="shared" si="168"/>
        <v>1.0001536727718114</v>
      </c>
      <c r="L366" s="679">
        <f t="shared" si="169"/>
        <v>1.7530150881129834E-2</v>
      </c>
      <c r="M366" s="678">
        <f t="shared" si="170"/>
        <v>1.0189966245204798</v>
      </c>
      <c r="N366" s="679">
        <f t="shared" si="171"/>
        <v>-0.19339438303669854</v>
      </c>
      <c r="O366" s="677">
        <f t="shared" si="172"/>
        <v>559530.21733649366</v>
      </c>
      <c r="P366" s="680">
        <f t="shared" si="173"/>
        <v>1.5707945395813216</v>
      </c>
      <c r="Q366" s="689">
        <f t="shared" si="195"/>
        <v>69.015971884840056</v>
      </c>
      <c r="R366" s="690">
        <f t="shared" si="196"/>
        <v>1.5563064200900369</v>
      </c>
      <c r="S366" s="677">
        <f t="shared" si="174"/>
        <v>1.1166345305474108</v>
      </c>
      <c r="T366" s="680">
        <f t="shared" si="175"/>
        <v>0.46113472734688576</v>
      </c>
      <c r="U366" s="681">
        <f t="shared" si="187"/>
        <v>0.8654032828877205</v>
      </c>
      <c r="V366" s="682">
        <f t="shared" si="188"/>
        <v>-0.6585036699093203</v>
      </c>
      <c r="W366" s="683">
        <f t="shared" si="176"/>
        <v>-14.894349346728719</v>
      </c>
      <c r="X366" s="684">
        <f t="shared" si="177"/>
        <v>-164.68209693487256</v>
      </c>
      <c r="Y366" s="687">
        <f t="shared" si="178"/>
        <v>15.317903065127439</v>
      </c>
      <c r="AA366" s="170">
        <f t="shared" si="179"/>
        <v>29684</v>
      </c>
      <c r="AB366" s="170">
        <f t="shared" si="180"/>
        <v>881139856</v>
      </c>
      <c r="AD366" s="686">
        <f t="shared" si="181"/>
        <v>25.969750279415592</v>
      </c>
      <c r="AE366" s="687">
        <f t="shared" si="182"/>
        <v>-27.251181794963351</v>
      </c>
      <c r="AG366" s="686">
        <f t="shared" si="183"/>
        <v>6.8281470166070291</v>
      </c>
      <c r="AH366" s="687">
        <f t="shared" si="184"/>
        <v>-61.971952894324893</v>
      </c>
      <c r="AJ366" s="170">
        <f t="shared" si="185"/>
        <v>0</v>
      </c>
      <c r="AK366" s="170">
        <f t="shared" si="197"/>
        <v>0</v>
      </c>
      <c r="AM366" s="170" t="str">
        <f t="shared" si="189"/>
        <v>0.467928464794+0.846699404407214i</v>
      </c>
      <c r="AN366" s="170" t="str">
        <f t="shared" si="190"/>
        <v>1.00975103638545i</v>
      </c>
      <c r="AO366" s="170" t="str">
        <f t="shared" si="191"/>
        <v>0.838522936741018-0.463409739562157i</v>
      </c>
      <c r="AP366" s="170" t="str">
        <f t="shared" si="192"/>
        <v>0.088678589201-0.141116567401202i</v>
      </c>
      <c r="AQ366" s="170" t="str">
        <f t="shared" si="193"/>
        <v>0.911321410799+0.141116567401202i</v>
      </c>
      <c r="AR366" s="170" t="str">
        <f t="shared" si="194"/>
        <v>0.892653277393305-0.138225838757298i</v>
      </c>
    </row>
    <row r="367" spans="7:44">
      <c r="G367" s="688">
        <v>29856</v>
      </c>
      <c r="H367" s="676">
        <f t="shared" si="186"/>
        <v>29.856000000000002</v>
      </c>
      <c r="I367" s="677">
        <f t="shared" si="166"/>
        <v>153.73892303088505</v>
      </c>
      <c r="J367" s="678">
        <f t="shared" si="167"/>
        <v>1.5642917472654407</v>
      </c>
      <c r="K367" s="678">
        <f t="shared" si="168"/>
        <v>1.0001554586655006</v>
      </c>
      <c r="L367" s="679">
        <f t="shared" si="169"/>
        <v>1.7631706024921156E-2</v>
      </c>
      <c r="M367" s="678">
        <f t="shared" si="170"/>
        <v>1.0192153277111251</v>
      </c>
      <c r="N367" s="679">
        <f t="shared" si="171"/>
        <v>-0.19448701382643491</v>
      </c>
      <c r="O367" s="677">
        <f t="shared" si="172"/>
        <v>562772.34095128858</v>
      </c>
      <c r="P367" s="680">
        <f t="shared" si="173"/>
        <v>1.5707945498774343</v>
      </c>
      <c r="Q367" s="689">
        <f t="shared" si="195"/>
        <v>69.415792062870281</v>
      </c>
      <c r="R367" s="690">
        <f t="shared" si="196"/>
        <v>1.556389884657623</v>
      </c>
      <c r="S367" s="677">
        <f t="shared" si="174"/>
        <v>1.1179185593822025</v>
      </c>
      <c r="T367" s="680">
        <f t="shared" si="175"/>
        <v>0.46344105868559349</v>
      </c>
      <c r="U367" s="681">
        <f t="shared" si="187"/>
        <v>0.86412851784355982</v>
      </c>
      <c r="V367" s="682">
        <f t="shared" si="188"/>
        <v>-0.66184485309711827</v>
      </c>
      <c r="W367" s="683">
        <f t="shared" si="176"/>
        <v>-14.96544840103595</v>
      </c>
      <c r="X367" s="684">
        <f t="shared" si="177"/>
        <v>-165.05983796865132</v>
      </c>
      <c r="Y367" s="687">
        <f t="shared" si="178"/>
        <v>14.940162031348677</v>
      </c>
      <c r="AA367" s="170">
        <f t="shared" si="179"/>
        <v>29856</v>
      </c>
      <c r="AB367" s="170">
        <f t="shared" si="180"/>
        <v>891380736</v>
      </c>
      <c r="AD367" s="686">
        <f t="shared" si="181"/>
        <v>25.959757554112226</v>
      </c>
      <c r="AE367" s="687">
        <f t="shared" si="182"/>
        <v>-27.378543269437831</v>
      </c>
      <c r="AG367" s="686">
        <f t="shared" si="183"/>
        <v>6.7926487058851421</v>
      </c>
      <c r="AH367" s="687">
        <f t="shared" si="184"/>
        <v>-61.839461062709859</v>
      </c>
      <c r="AJ367" s="170">
        <f t="shared" si="185"/>
        <v>0</v>
      </c>
      <c r="AK367" s="170">
        <f t="shared" si="197"/>
        <v>0</v>
      </c>
      <c r="AM367" s="170" t="str">
        <f t="shared" si="189"/>
        <v>0.472891470424784+0.849797974844053i</v>
      </c>
      <c r="AN367" s="170" t="str">
        <f t="shared" si="190"/>
        <v>1.01560190480812i</v>
      </c>
      <c r="AO367" s="170" t="str">
        <f t="shared" si="191"/>
        <v>0.836743187287156-0.465626805331887i</v>
      </c>
      <c r="AP367" s="170" t="str">
        <f t="shared" si="192"/>
        <v>0.0878514215958693-0.141632995807342i</v>
      </c>
      <c r="AQ367" s="170" t="str">
        <f t="shared" si="193"/>
        <v>0.912148578404131+0.141632995807342i</v>
      </c>
      <c r="AR367" s="170" t="str">
        <f t="shared" si="194"/>
        <v>0.891728808076935-0.138462335551314i</v>
      </c>
    </row>
    <row r="368" spans="7:44">
      <c r="G368" s="688">
        <v>30028</v>
      </c>
      <c r="H368" s="676">
        <f t="shared" si="186"/>
        <v>30.027999999999999</v>
      </c>
      <c r="I368" s="677">
        <f t="shared" si="166"/>
        <v>154.62457345912614</v>
      </c>
      <c r="J368" s="678">
        <f t="shared" si="167"/>
        <v>1.564329004371908</v>
      </c>
      <c r="K368" s="678">
        <f t="shared" si="168"/>
        <v>1.0001572548742035</v>
      </c>
      <c r="L368" s="679">
        <f t="shared" si="169"/>
        <v>1.7733260804988753E-2</v>
      </c>
      <c r="M368" s="678">
        <f t="shared" si="170"/>
        <v>1.0194352471609502</v>
      </c>
      <c r="N368" s="679">
        <f t="shared" si="171"/>
        <v>-0.19557917450019877</v>
      </c>
      <c r="O368" s="677">
        <f t="shared" si="172"/>
        <v>566014.46456608339</v>
      </c>
      <c r="P368" s="680">
        <f t="shared" si="173"/>
        <v>1.5707945600555948</v>
      </c>
      <c r="Q368" s="689">
        <f t="shared" si="195"/>
        <v>69.815612718935441</v>
      </c>
      <c r="R368" s="690">
        <f t="shared" si="196"/>
        <v>1.5564723932545601</v>
      </c>
      <c r="S368" s="677">
        <f t="shared" si="174"/>
        <v>1.1192085209468199</v>
      </c>
      <c r="T368" s="680">
        <f t="shared" si="175"/>
        <v>0.46574208584272814</v>
      </c>
      <c r="U368" s="681">
        <f t="shared" si="187"/>
        <v>0.86285162353482658</v>
      </c>
      <c r="V368" s="682">
        <f t="shared" si="188"/>
        <v>-0.66517954376756905</v>
      </c>
      <c r="W368" s="683">
        <f t="shared" si="176"/>
        <v>-15.036323899782403</v>
      </c>
      <c r="X368" s="684">
        <f t="shared" si="177"/>
        <v>-165.43690621574407</v>
      </c>
      <c r="Y368" s="687">
        <f t="shared" si="178"/>
        <v>14.563093784255926</v>
      </c>
      <c r="AA368" s="170">
        <f t="shared" si="179"/>
        <v>30028</v>
      </c>
      <c r="AB368" s="170">
        <f t="shared" si="180"/>
        <v>901680784</v>
      </c>
      <c r="AD368" s="686">
        <f t="shared" si="181"/>
        <v>25.949730424682688</v>
      </c>
      <c r="AE368" s="687">
        <f t="shared" si="182"/>
        <v>-27.505655603019488</v>
      </c>
      <c r="AG368" s="686">
        <f t="shared" si="183"/>
        <v>6.7574890281761322</v>
      </c>
      <c r="AH368" s="687">
        <f t="shared" si="184"/>
        <v>-61.707289572987385</v>
      </c>
      <c r="AJ368" s="170">
        <f t="shared" si="185"/>
        <v>0</v>
      </c>
      <c r="AK368" s="170">
        <f t="shared" si="197"/>
        <v>0</v>
      </c>
      <c r="AM368" s="170" t="str">
        <f t="shared" si="189"/>
        <v>0.477872520331846+0.85286745451763i</v>
      </c>
      <c r="AN368" s="170" t="str">
        <f t="shared" si="190"/>
        <v>1.02145277323078i</v>
      </c>
      <c r="AO368" s="170" t="str">
        <f t="shared" si="191"/>
        <v>0.834955346804799-0.467836137759331i</v>
      </c>
      <c r="AP368" s="170" t="str">
        <f t="shared" si="192"/>
        <v>0.087021246611359-0.142144575752938i</v>
      </c>
      <c r="AQ368" s="170" t="str">
        <f t="shared" si="193"/>
        <v>0.912978753388641+0.142144575752938i</v>
      </c>
      <c r="AR368" s="170" t="str">
        <f t="shared" si="194"/>
        <v>0.890804579980659-0.138692207929425i</v>
      </c>
    </row>
    <row r="369" spans="7:44">
      <c r="G369" s="688">
        <v>30200</v>
      </c>
      <c r="H369" s="676">
        <f t="shared" si="186"/>
        <v>30.2</v>
      </c>
      <c r="I369" s="677">
        <f t="shared" si="166"/>
        <v>155.51022409955561</v>
      </c>
      <c r="J369" s="678">
        <f t="shared" si="167"/>
        <v>1.5643658371104414</v>
      </c>
      <c r="K369" s="678">
        <f t="shared" si="168"/>
        <v>1.0001590613978644</v>
      </c>
      <c r="L369" s="679">
        <f t="shared" si="169"/>
        <v>1.7834815219239842E-2</v>
      </c>
      <c r="M369" s="678">
        <f t="shared" si="170"/>
        <v>1.0196563820829876</v>
      </c>
      <c r="N369" s="679">
        <f t="shared" si="171"/>
        <v>-0.19667086275752921</v>
      </c>
      <c r="O369" s="677">
        <f t="shared" si="172"/>
        <v>569256.58818087843</v>
      </c>
      <c r="P369" s="680">
        <f t="shared" si="173"/>
        <v>1.5707945701178185</v>
      </c>
      <c r="Q369" s="689">
        <f t="shared" si="195"/>
        <v>70.215433844869452</v>
      </c>
      <c r="R369" s="690">
        <f t="shared" si="196"/>
        <v>1.5565539622101958</v>
      </c>
      <c r="S369" s="677">
        <f t="shared" si="174"/>
        <v>1.1205043947514015</v>
      </c>
      <c r="T369" s="680">
        <f t="shared" si="175"/>
        <v>0.46803780281286023</v>
      </c>
      <c r="U369" s="681">
        <f t="shared" si="187"/>
        <v>0.8615726533763669</v>
      </c>
      <c r="V369" s="682">
        <f t="shared" si="188"/>
        <v>-0.66850774378928535</v>
      </c>
      <c r="W369" s="683">
        <f t="shared" si="176"/>
        <v>-15.106978473701862</v>
      </c>
      <c r="X369" s="684">
        <f t="shared" si="177"/>
        <v>-165.81330079459212</v>
      </c>
      <c r="Y369" s="687">
        <f t="shared" si="178"/>
        <v>14.186699205407876</v>
      </c>
      <c r="AA369" s="170">
        <f t="shared" si="179"/>
        <v>30200</v>
      </c>
      <c r="AB369" s="170">
        <f t="shared" si="180"/>
        <v>912040000</v>
      </c>
      <c r="AD369" s="686">
        <f t="shared" si="181"/>
        <v>25.939669178623834</v>
      </c>
      <c r="AE369" s="687">
        <f t="shared" si="182"/>
        <v>-27.632517516135287</v>
      </c>
      <c r="AG369" s="686">
        <f t="shared" si="183"/>
        <v>6.7226642906386367</v>
      </c>
      <c r="AH369" s="687">
        <f t="shared" si="184"/>
        <v>-61.575438609044419</v>
      </c>
      <c r="AJ369" s="170">
        <f t="shared" si="185"/>
        <v>0</v>
      </c>
      <c r="AK369" s="170">
        <f t="shared" si="197"/>
        <v>0</v>
      </c>
      <c r="AM369" s="170" t="str">
        <f t="shared" si="189"/>
        <v>0.482871444001084+0.85590773835179i</v>
      </c>
      <c r="AN369" s="170" t="str">
        <f t="shared" si="190"/>
        <v>1.02730364165344i</v>
      </c>
      <c r="AO369" s="170" t="str">
        <f t="shared" si="191"/>
        <v>0.833159451254559-0.470037702994905i</v>
      </c>
      <c r="AP369" s="170" t="str">
        <f t="shared" si="192"/>
        <v>0.086188092666486-0.142651289725298i</v>
      </c>
      <c r="AQ369" s="170" t="str">
        <f t="shared" si="193"/>
        <v>0.913811907333514+0.142651289725298i</v>
      </c>
      <c r="AR369" s="170" t="str">
        <f t="shared" si="194"/>
        <v>0.889880642650234-0.138915481793238i</v>
      </c>
    </row>
    <row r="370" spans="7:44">
      <c r="G370" s="688">
        <v>30375.75</v>
      </c>
      <c r="H370" s="676">
        <f t="shared" si="186"/>
        <v>30.37575</v>
      </c>
      <c r="I370" s="677">
        <f t="shared" si="166"/>
        <v>156.41518419902712</v>
      </c>
      <c r="J370" s="678">
        <f t="shared" si="167"/>
        <v>1.5644030420412349</v>
      </c>
      <c r="K370" s="678">
        <f t="shared" si="168"/>
        <v>1.000160917962629</v>
      </c>
      <c r="L370" s="679">
        <f t="shared" si="169"/>
        <v>1.7938583375850355E-2</v>
      </c>
      <c r="M370" s="678">
        <f t="shared" si="170"/>
        <v>1.0198835929492345</v>
      </c>
      <c r="N370" s="679">
        <f t="shared" si="171"/>
        <v>-0.19778586199258455</v>
      </c>
      <c r="O370" s="677">
        <f t="shared" si="172"/>
        <v>572569.39763029828</v>
      </c>
      <c r="P370" s="680">
        <f t="shared" si="173"/>
        <v>1.5707945802817156</v>
      </c>
      <c r="Q370" s="689">
        <f t="shared" si="195"/>
        <v>70.623972478209339</v>
      </c>
      <c r="R370" s="690">
        <f t="shared" si="196"/>
        <v>1.5566363555676412</v>
      </c>
      <c r="S370" s="677">
        <f t="shared" si="174"/>
        <v>1.1218346072969816</v>
      </c>
      <c r="T370" s="680">
        <f t="shared" si="175"/>
        <v>0.47037808065593195</v>
      </c>
      <c r="U370" s="681">
        <f t="shared" si="187"/>
        <v>0.86026370963142917</v>
      </c>
      <c r="V370" s="682">
        <f t="shared" si="188"/>
        <v>-0.67190180415952838</v>
      </c>
      <c r="W370" s="683">
        <f t="shared" si="176"/>
        <v>-15.178947960178995</v>
      </c>
      <c r="X370" s="684">
        <f t="shared" si="177"/>
        <v>-166.19720492208006</v>
      </c>
      <c r="Y370" s="687">
        <f t="shared" si="178"/>
        <v>13.802795077919939</v>
      </c>
      <c r="AA370" s="170">
        <f t="shared" si="179"/>
        <v>30375.75</v>
      </c>
      <c r="AB370" s="170">
        <f t="shared" si="180"/>
        <v>922686188.0625</v>
      </c>
      <c r="AD370" s="686">
        <f t="shared" si="181"/>
        <v>25.929353632090329</v>
      </c>
      <c r="AE370" s="687">
        <f t="shared" si="182"/>
        <v>-27.761885350285993</v>
      </c>
      <c r="AG370" s="686">
        <f t="shared" si="183"/>
        <v>6.6874224844967234</v>
      </c>
      <c r="AH370" s="687">
        <f t="shared" si="184"/>
        <v>-61.441044232682209</v>
      </c>
      <c r="AJ370" s="170">
        <f t="shared" si="185"/>
        <v>0</v>
      </c>
      <c r="AK370" s="170">
        <f t="shared" si="197"/>
        <v>0</v>
      </c>
      <c r="AM370" s="170" t="str">
        <f t="shared" si="189"/>
        <v>0.487997640325223+0.858984041579039i</v>
      </c>
      <c r="AN370" s="170" t="str">
        <f t="shared" si="190"/>
        <v>1.03328207261439i</v>
      </c>
      <c r="AO370" s="170" t="str">
        <f t="shared" si="191"/>
        <v>0.831316118168637-0.47227920938423i</v>
      </c>
      <c r="AP370" s="170" t="str">
        <f t="shared" si="192"/>
        <v>0.0853337266124628-0.14316400692984i</v>
      </c>
      <c r="AQ370" s="170" t="str">
        <f t="shared" si="193"/>
        <v>0.914666273387537+0.14316400692984i</v>
      </c>
      <c r="AR370" s="170" t="str">
        <f t="shared" si="194"/>
        <v>0.888936912677262-0.13913683496319i</v>
      </c>
    </row>
    <row r="371" spans="7:44">
      <c r="G371" s="688">
        <v>30551.5</v>
      </c>
      <c r="H371" s="676">
        <f t="shared" si="186"/>
        <v>30.551500000000001</v>
      </c>
      <c r="I371" s="677">
        <f t="shared" si="166"/>
        <v>157.32014451251871</v>
      </c>
      <c r="J371" s="678">
        <f t="shared" si="167"/>
        <v>1.5644398189406157</v>
      </c>
      <c r="K371" s="678">
        <f t="shared" si="168"/>
        <v>1.0001627852969166</v>
      </c>
      <c r="L371" s="679">
        <f t="shared" si="169"/>
        <v>1.8042351146101615E-2</v>
      </c>
      <c r="M371" s="678">
        <f t="shared" si="170"/>
        <v>1.0201120711927809</v>
      </c>
      <c r="N371" s="679">
        <f t="shared" si="171"/>
        <v>-0.19890036315175819</v>
      </c>
      <c r="O371" s="677">
        <f t="shared" si="172"/>
        <v>575882.20707971824</v>
      </c>
      <c r="P371" s="680">
        <f t="shared" si="173"/>
        <v>1.5707945903286753</v>
      </c>
      <c r="Q371" s="689">
        <f t="shared" si="195"/>
        <v>71.032511585476769</v>
      </c>
      <c r="R371" s="690">
        <f t="shared" si="196"/>
        <v>1.556717801165012</v>
      </c>
      <c r="S371" s="677">
        <f t="shared" si="174"/>
        <v>1.1231709494458018</v>
      </c>
      <c r="T371" s="680">
        <f t="shared" si="175"/>
        <v>0.47271280236329338</v>
      </c>
      <c r="U371" s="681">
        <f t="shared" si="187"/>
        <v>0.85895271004225671</v>
      </c>
      <c r="V371" s="682">
        <f t="shared" si="188"/>
        <v>-0.67528909281901051</v>
      </c>
      <c r="W371" s="683">
        <f t="shared" si="176"/>
        <v>-15.250692166417398</v>
      </c>
      <c r="X371" s="684">
        <f t="shared" si="177"/>
        <v>-166.58040397204363</v>
      </c>
      <c r="Y371" s="687">
        <f t="shared" si="178"/>
        <v>13.419596027956374</v>
      </c>
      <c r="AA371" s="170">
        <f t="shared" si="179"/>
        <v>30551.5</v>
      </c>
      <c r="AB371" s="170">
        <f t="shared" si="180"/>
        <v>933394152.25</v>
      </c>
      <c r="AD371" s="686">
        <f t="shared" si="181"/>
        <v>25.919003070196688</v>
      </c>
      <c r="AE371" s="687">
        <f t="shared" si="182"/>
        <v>-27.890989137262014</v>
      </c>
      <c r="AG371" s="686">
        <f t="shared" si="183"/>
        <v>6.6525227703494236</v>
      </c>
      <c r="AH371" s="687">
        <f t="shared" si="184"/>
        <v>-61.306984806864477</v>
      </c>
      <c r="AJ371" s="170">
        <f t="shared" si="185"/>
        <v>0</v>
      </c>
      <c r="AK371" s="170">
        <f t="shared" si="197"/>
        <v>0</v>
      </c>
      <c r="AM371" s="170" t="str">
        <f t="shared" si="189"/>
        <v>0.493142136397204+0.862029643402134i</v>
      </c>
      <c r="AN371" s="170" t="str">
        <f t="shared" si="190"/>
        <v>1.03926050357533i</v>
      </c>
      <c r="AO371" s="170" t="str">
        <f t="shared" si="191"/>
        <v>0.829464451344514-0.474512535308198i</v>
      </c>
      <c r="AP371" s="170" t="str">
        <f t="shared" si="192"/>
        <v>0.084476310600466-0.143671607233689i</v>
      </c>
      <c r="AQ371" s="170" t="str">
        <f t="shared" si="193"/>
        <v>0.915523689399534+0.143671607233689i</v>
      </c>
      <c r="AR371" s="170" t="str">
        <f t="shared" si="194"/>
        <v>0.887993589183567-0.139351354474389i</v>
      </c>
    </row>
    <row r="372" spans="7:44">
      <c r="G372" s="688">
        <v>30727.25</v>
      </c>
      <c r="H372" s="676">
        <f t="shared" si="186"/>
        <v>30.727250000000002</v>
      </c>
      <c r="I372" s="677">
        <f t="shared" si="166"/>
        <v>158.22510503635814</v>
      </c>
      <c r="J372" s="678">
        <f t="shared" si="167"/>
        <v>1.5644761751527956</v>
      </c>
      <c r="K372" s="678">
        <f t="shared" si="168"/>
        <v>1.0001646634006669</v>
      </c>
      <c r="L372" s="679">
        <f t="shared" si="169"/>
        <v>1.8146118527761112E-2</v>
      </c>
      <c r="M372" s="678">
        <f t="shared" si="170"/>
        <v>1.0203418159622413</v>
      </c>
      <c r="N372" s="679">
        <f t="shared" si="171"/>
        <v>-0.2000143638019039</v>
      </c>
      <c r="O372" s="677">
        <f t="shared" si="172"/>
        <v>579195.01652913832</v>
      </c>
      <c r="P372" s="680">
        <f t="shared" si="173"/>
        <v>1.5707946002607045</v>
      </c>
      <c r="Q372" s="689">
        <f t="shared" si="195"/>
        <v>71.441051158541228</v>
      </c>
      <c r="R372" s="690">
        <f t="shared" si="196"/>
        <v>1.5567983152606721</v>
      </c>
      <c r="S372" s="677">
        <f t="shared" si="174"/>
        <v>1.1245133993450847</v>
      </c>
      <c r="T372" s="680">
        <f t="shared" si="175"/>
        <v>0.4750419623358893</v>
      </c>
      <c r="U372" s="681">
        <f t="shared" si="187"/>
        <v>0.85763971032784481</v>
      </c>
      <c r="V372" s="682">
        <f t="shared" si="188"/>
        <v>-0.67866961286891525</v>
      </c>
      <c r="W372" s="683">
        <f t="shared" si="176"/>
        <v>-15.322213729239193</v>
      </c>
      <c r="X372" s="684">
        <f t="shared" si="177"/>
        <v>-166.96289715145579</v>
      </c>
      <c r="Y372" s="687">
        <f t="shared" si="178"/>
        <v>13.037102848544208</v>
      </c>
      <c r="AA372" s="170">
        <f t="shared" si="179"/>
        <v>30727.25</v>
      </c>
      <c r="AB372" s="170">
        <f t="shared" si="180"/>
        <v>944163892.5625</v>
      </c>
      <c r="AD372" s="686">
        <f t="shared" si="181"/>
        <v>25.908617797834999</v>
      </c>
      <c r="AE372" s="687">
        <f t="shared" si="182"/>
        <v>-28.019827624840502</v>
      </c>
      <c r="AG372" s="686">
        <f t="shared" si="183"/>
        <v>6.6179613912146902</v>
      </c>
      <c r="AH372" s="687">
        <f t="shared" si="184"/>
        <v>-61.173260435417731</v>
      </c>
      <c r="AJ372" s="170">
        <f t="shared" si="185"/>
        <v>0</v>
      </c>
      <c r="AK372" s="170">
        <f t="shared" si="197"/>
        <v>0</v>
      </c>
      <c r="AM372" s="170" t="str">
        <f t="shared" si="189"/>
        <v>0.498304748344884+0.865044434966615i</v>
      </c>
      <c r="AN372" s="170" t="str">
        <f t="shared" si="190"/>
        <v>1.04523893453628i</v>
      </c>
      <c r="AO372" s="170" t="str">
        <f t="shared" si="191"/>
        <v>0.827604489637952-0.476737645221718i</v>
      </c>
      <c r="AP372" s="170" t="str">
        <f t="shared" si="192"/>
        <v>0.0836158752758527-0.144174072494436i</v>
      </c>
      <c r="AQ372" s="170" t="str">
        <f t="shared" si="193"/>
        <v>0.916384124724147+0.144174072494436i</v>
      </c>
      <c r="AR372" s="170" t="str">
        <f t="shared" si="194"/>
        <v>0.887050723313231-0.139559068995986i</v>
      </c>
    </row>
    <row r="373" spans="7:44">
      <c r="G373" s="688">
        <v>30903</v>
      </c>
      <c r="H373" s="676">
        <f t="shared" si="186"/>
        <v>30.902999999999999</v>
      </c>
      <c r="I373" s="677">
        <f t="shared" si="166"/>
        <v>159.13006576695673</v>
      </c>
      <c r="J373" s="678">
        <f t="shared" si="167"/>
        <v>1.5645121178549271</v>
      </c>
      <c r="K373" s="678">
        <f t="shared" si="168"/>
        <v>1.0001665522738192</v>
      </c>
      <c r="L373" s="679">
        <f t="shared" si="169"/>
        <v>1.8249885518596368E-2</v>
      </c>
      <c r="M373" s="678">
        <f t="shared" si="170"/>
        <v>1.0205728264022793</v>
      </c>
      <c r="N373" s="679">
        <f t="shared" si="171"/>
        <v>-0.20112786151702938</v>
      </c>
      <c r="O373" s="677">
        <f t="shared" si="172"/>
        <v>582507.82597855839</v>
      </c>
      <c r="P373" s="680">
        <f t="shared" si="173"/>
        <v>1.5707946100797636</v>
      </c>
      <c r="Q373" s="689">
        <f t="shared" si="195"/>
        <v>71.849591189457087</v>
      </c>
      <c r="R373" s="690">
        <f t="shared" si="196"/>
        <v>1.5568779137432514</v>
      </c>
      <c r="S373" s="677">
        <f t="shared" si="174"/>
        <v>1.1258619351466392</v>
      </c>
      <c r="T373" s="680">
        <f t="shared" si="175"/>
        <v>0.47736555524268509</v>
      </c>
      <c r="U373" s="681">
        <f t="shared" si="187"/>
        <v>0.85632476577662253</v>
      </c>
      <c r="V373" s="682">
        <f t="shared" si="188"/>
        <v>-0.68204336777539776</v>
      </c>
      <c r="W373" s="683">
        <f t="shared" si="176"/>
        <v>-15.39351523104752</v>
      </c>
      <c r="X373" s="684">
        <f t="shared" si="177"/>
        <v>-167.34468371557713</v>
      </c>
      <c r="Y373" s="687">
        <f t="shared" si="178"/>
        <v>12.655316284422867</v>
      </c>
      <c r="AA373" s="170">
        <f t="shared" si="179"/>
        <v>30903</v>
      </c>
      <c r="AB373" s="170">
        <f t="shared" si="180"/>
        <v>954995409</v>
      </c>
      <c r="AD373" s="686">
        <f t="shared" si="181"/>
        <v>25.898198119238877</v>
      </c>
      <c r="AE373" s="687">
        <f t="shared" si="182"/>
        <v>-28.148399597336571</v>
      </c>
      <c r="AG373" s="686">
        <f t="shared" si="183"/>
        <v>6.5837346490200304</v>
      </c>
      <c r="AH373" s="687">
        <f t="shared" si="184"/>
        <v>-61.039871192095255</v>
      </c>
      <c r="AJ373" s="170">
        <f t="shared" si="185"/>
        <v>0</v>
      </c>
      <c r="AK373" s="170">
        <f t="shared" si="197"/>
        <v>0</v>
      </c>
      <c r="AM373" s="170" t="str">
        <f t="shared" si="189"/>
        <v>0.503485291648601+0.868028308519213i</v>
      </c>
      <c r="AN373" s="170" t="str">
        <f t="shared" si="190"/>
        <v>1.05121736549723i</v>
      </c>
      <c r="AO373" s="170" t="str">
        <f t="shared" si="191"/>
        <v>0.825736272068367-0.478954503772348i</v>
      </c>
      <c r="AP373" s="170" t="str">
        <f t="shared" si="192"/>
        <v>0.0827524513918998-0.144671384753202i</v>
      </c>
      <c r="AQ373" s="170" t="str">
        <f t="shared" si="193"/>
        <v>0.9172475486081+0.144671384753202i</v>
      </c>
      <c r="AR373" s="170" t="str">
        <f t="shared" si="194"/>
        <v>0.88610836563296-0.13976000752692i</v>
      </c>
    </row>
    <row r="374" spans="7:44">
      <c r="G374" s="688">
        <v>31083</v>
      </c>
      <c r="H374" s="676">
        <f t="shared" si="186"/>
        <v>31.082999999999998</v>
      </c>
      <c r="I374" s="677">
        <f t="shared" si="166"/>
        <v>160.05691053811083</v>
      </c>
      <c r="J374" s="678">
        <f t="shared" si="167"/>
        <v>1.564548508424918</v>
      </c>
      <c r="K374" s="678">
        <f t="shared" si="168"/>
        <v>1.000168497986974</v>
      </c>
      <c r="L374" s="679">
        <f t="shared" si="169"/>
        <v>1.83561614033271E-2</v>
      </c>
      <c r="M374" s="678">
        <f t="shared" si="170"/>
        <v>1.020810734207084</v>
      </c>
      <c r="N374" s="679">
        <f t="shared" si="171"/>
        <v>-0.20226776206691865</v>
      </c>
      <c r="O374" s="677">
        <f t="shared" si="172"/>
        <v>585900.74604055332</v>
      </c>
      <c r="P374" s="680">
        <f t="shared" si="173"/>
        <v>1.5707946200211695</v>
      </c>
      <c r="Q374" s="689">
        <f t="shared" si="195"/>
        <v>72.268011033261288</v>
      </c>
      <c r="R374" s="690">
        <f t="shared" si="196"/>
        <v>1.5569585042142391</v>
      </c>
      <c r="S374" s="677">
        <f t="shared" si="174"/>
        <v>1.1272493669572821</v>
      </c>
      <c r="T374" s="680">
        <f t="shared" si="175"/>
        <v>0.47973956153229519</v>
      </c>
      <c r="U374" s="681">
        <f t="shared" si="187"/>
        <v>0.85497606450201791</v>
      </c>
      <c r="V374" s="682">
        <f t="shared" si="188"/>
        <v>-0.68549169856907333</v>
      </c>
      <c r="W374" s="683">
        <f t="shared" si="176"/>
        <v>-15.466315486205691</v>
      </c>
      <c r="X374" s="684">
        <f t="shared" si="177"/>
        <v>-167.73496949053069</v>
      </c>
      <c r="Y374" s="687">
        <f t="shared" si="178"/>
        <v>12.265030509469312</v>
      </c>
      <c r="AA374" s="170">
        <f t="shared" si="179"/>
        <v>31083</v>
      </c>
      <c r="AB374" s="170">
        <f t="shared" si="180"/>
        <v>966152889</v>
      </c>
      <c r="AD374" s="686">
        <f t="shared" si="181"/>
        <v>25.887491124043827</v>
      </c>
      <c r="AE374" s="687">
        <f t="shared" si="182"/>
        <v>-28.279803214162911</v>
      </c>
      <c r="AG374" s="686">
        <f t="shared" si="183"/>
        <v>6.5490233026143247</v>
      </c>
      <c r="AH374" s="687">
        <f t="shared" si="184"/>
        <v>-60.9036037480857</v>
      </c>
      <c r="AJ374" s="170">
        <f t="shared" si="185"/>
        <v>0</v>
      </c>
      <c r="AK374" s="170">
        <f t="shared" si="197"/>
        <v>0</v>
      </c>
      <c r="AM374" s="170" t="str">
        <f t="shared" si="189"/>
        <v>0.508809504791345+0.871052178354819i</v>
      </c>
      <c r="AN374" s="170" t="str">
        <f t="shared" si="190"/>
        <v>1.0573403673349i</v>
      </c>
      <c r="AO374" s="170" t="str">
        <f t="shared" si="191"/>
        <v>0.823814360318396-0.481216380751484i</v>
      </c>
      <c r="AP374" s="170" t="str">
        <f t="shared" si="192"/>
        <v>0.0818650825347758-0.145175363059137i</v>
      </c>
      <c r="AQ374" s="170" t="str">
        <f t="shared" si="193"/>
        <v>0.918134917465224+0.145175363059137i</v>
      </c>
      <c r="AR374" s="170" t="str">
        <f t="shared" si="194"/>
        <v>0.885143798790627-0.139958812048819i</v>
      </c>
    </row>
    <row r="375" spans="7:44">
      <c r="G375" s="688">
        <v>31263</v>
      </c>
      <c r="H375" s="676">
        <f t="shared" si="186"/>
        <v>31.263000000000002</v>
      </c>
      <c r="I375" s="677">
        <f t="shared" si="166"/>
        <v>160.9837555187834</v>
      </c>
      <c r="J375" s="678">
        <f t="shared" si="167"/>
        <v>1.564584479966129</v>
      </c>
      <c r="K375" s="678">
        <f t="shared" si="168"/>
        <v>1.0001704549965518</v>
      </c>
      <c r="L375" s="679">
        <f t="shared" si="169"/>
        <v>1.8462436873363207E-2</v>
      </c>
      <c r="M375" s="678">
        <f t="shared" si="170"/>
        <v>1.0210499678069416</v>
      </c>
      <c r="N375" s="679">
        <f t="shared" si="171"/>
        <v>-0.20340712993574225</v>
      </c>
      <c r="O375" s="677">
        <f t="shared" si="172"/>
        <v>589293.6661025486</v>
      </c>
      <c r="P375" s="680">
        <f t="shared" si="173"/>
        <v>1.5707946298480981</v>
      </c>
      <c r="Q375" s="689">
        <f t="shared" si="195"/>
        <v>72.686431341029646</v>
      </c>
      <c r="R375" s="690">
        <f t="shared" si="196"/>
        <v>1.5570381668457269</v>
      </c>
      <c r="S375" s="677">
        <f t="shared" si="174"/>
        <v>1.1286431361988272</v>
      </c>
      <c r="T375" s="680">
        <f t="shared" si="175"/>
        <v>0.48210771778752609</v>
      </c>
      <c r="U375" s="681">
        <f t="shared" si="187"/>
        <v>0.8536254391929895</v>
      </c>
      <c r="V375" s="682">
        <f t="shared" si="188"/>
        <v>-0.68893294158787555</v>
      </c>
      <c r="W375" s="683">
        <f t="shared" si="176"/>
        <v>-15.538890222503374</v>
      </c>
      <c r="X375" s="684">
        <f t="shared" si="177"/>
        <v>-168.12451263314821</v>
      </c>
      <c r="Y375" s="687">
        <f t="shared" si="178"/>
        <v>11.875487366851786</v>
      </c>
      <c r="AA375" s="170">
        <f t="shared" si="179"/>
        <v>31263</v>
      </c>
      <c r="AB375" s="170">
        <f t="shared" si="180"/>
        <v>977375169</v>
      </c>
      <c r="AD375" s="686">
        <f t="shared" si="181"/>
        <v>25.876748682224097</v>
      </c>
      <c r="AE375" s="687">
        <f t="shared" si="182"/>
        <v>-28.410924803437364</v>
      </c>
      <c r="AG375" s="686">
        <f t="shared" si="183"/>
        <v>6.5146553052114928</v>
      </c>
      <c r="AH375" s="687">
        <f t="shared" si="184"/>
        <v>-60.767687898465717</v>
      </c>
      <c r="AJ375" s="170">
        <f t="shared" si="185"/>
        <v>0</v>
      </c>
      <c r="AK375" s="170">
        <f t="shared" si="197"/>
        <v>0</v>
      </c>
      <c r="AM375" s="170" t="str">
        <f t="shared" si="189"/>
        <v>0.514152133173827+0.874043391543267i</v>
      </c>
      <c r="AN375" s="170" t="str">
        <f t="shared" si="190"/>
        <v>1.06346336917257i</v>
      </c>
      <c r="AO375" s="170" t="str">
        <f t="shared" si="191"/>
        <v>0.821883871960083-0.483469528032606i</v>
      </c>
      <c r="AP375" s="170" t="str">
        <f t="shared" si="192"/>
        <v>0.0809746444710288-0.145673898590544i</v>
      </c>
      <c r="AQ375" s="170" t="str">
        <f t="shared" si="193"/>
        <v>0.919025355528971+0.145673898590544i</v>
      </c>
      <c r="AR375" s="170" t="str">
        <f t="shared" si="194"/>
        <v>0.884179870525011-0.140150571493781i</v>
      </c>
    </row>
    <row r="376" spans="7:44">
      <c r="G376" s="688">
        <v>31443</v>
      </c>
      <c r="H376" s="676">
        <f t="shared" si="186"/>
        <v>31.443000000000001</v>
      </c>
      <c r="I376" s="677">
        <f t="shared" si="166"/>
        <v>161.91060070537631</v>
      </c>
      <c r="J376" s="678">
        <f t="shared" si="167"/>
        <v>1.5646200396745633</v>
      </c>
      <c r="K376" s="678">
        <f t="shared" si="168"/>
        <v>1.0001724233024858</v>
      </c>
      <c r="L376" s="679">
        <f t="shared" si="169"/>
        <v>1.8568711926306474E-2</v>
      </c>
      <c r="M376" s="678">
        <f t="shared" si="170"/>
        <v>1.0212905262701639</v>
      </c>
      <c r="N376" s="679">
        <f t="shared" si="171"/>
        <v>-0.20454596254071808</v>
      </c>
      <c r="O376" s="677">
        <f t="shared" si="172"/>
        <v>592686.58616454375</v>
      </c>
      <c r="P376" s="680">
        <f t="shared" si="173"/>
        <v>1.5707946395625156</v>
      </c>
      <c r="Q376" s="689">
        <f t="shared" si="195"/>
        <v>73.104852104795611</v>
      </c>
      <c r="R376" s="690">
        <f t="shared" si="196"/>
        <v>1.557116917568359</v>
      </c>
      <c r="S376" s="677">
        <f t="shared" si="174"/>
        <v>1.130043219421951</v>
      </c>
      <c r="T376" s="680">
        <f t="shared" si="175"/>
        <v>0.48447001914145815</v>
      </c>
      <c r="U376" s="681">
        <f t="shared" si="187"/>
        <v>0.8522729478309321</v>
      </c>
      <c r="V376" s="682">
        <f t="shared" si="188"/>
        <v>-0.6923671017188272</v>
      </c>
      <c r="W376" s="683">
        <f t="shared" si="176"/>
        <v>-15.611242045380941</v>
      </c>
      <c r="X376" s="684">
        <f t="shared" si="177"/>
        <v>-168.51331249639094</v>
      </c>
      <c r="Y376" s="687">
        <f t="shared" si="178"/>
        <v>11.486687503609062</v>
      </c>
      <c r="AA376" s="170">
        <f t="shared" si="179"/>
        <v>31443</v>
      </c>
      <c r="AB376" s="170">
        <f t="shared" si="180"/>
        <v>988662249</v>
      </c>
      <c r="AD376" s="686">
        <f t="shared" si="181"/>
        <v>25.865971118333523</v>
      </c>
      <c r="AE376" s="687">
        <f t="shared" si="182"/>
        <v>-28.541763173659909</v>
      </c>
      <c r="AG376" s="686">
        <f t="shared" si="183"/>
        <v>6.4806268678468779</v>
      </c>
      <c r="AH376" s="687">
        <f t="shared" si="184"/>
        <v>-60.632123627685012</v>
      </c>
      <c r="AJ376" s="170">
        <f t="shared" si="185"/>
        <v>0</v>
      </c>
      <c r="AK376" s="170">
        <f t="shared" si="197"/>
        <v>0</v>
      </c>
      <c r="AM376" s="170" t="str">
        <f t="shared" si="189"/>
        <v>0.519512976495384+0.87700183594088i</v>
      </c>
      <c r="AN376" s="170" t="str">
        <f t="shared" si="190"/>
        <v>1.06958637101024i</v>
      </c>
      <c r="AO376" s="170" t="str">
        <f t="shared" si="191"/>
        <v>0.819944849439825-0.485713908269695i</v>
      </c>
      <c r="AP376" s="170" t="str">
        <f t="shared" si="192"/>
        <v>0.0800811705841027-0.146166972656813i</v>
      </c>
      <c r="AQ376" s="170" t="str">
        <f t="shared" si="193"/>
        <v>0.919918829415897+0.146166972656813i</v>
      </c>
      <c r="AR376" s="170" t="str">
        <f t="shared" si="194"/>
        <v>0.883216633279284-0.140335318028598i</v>
      </c>
    </row>
    <row r="377" spans="7:44">
      <c r="G377" s="688">
        <v>31623</v>
      </c>
      <c r="H377" s="676">
        <f t="shared" si="186"/>
        <v>31.623000000000001</v>
      </c>
      <c r="I377" s="677">
        <f t="shared" si="166"/>
        <v>162.83744609437343</v>
      </c>
      <c r="J377" s="678">
        <f t="shared" si="167"/>
        <v>1.5646551945823941</v>
      </c>
      <c r="K377" s="678">
        <f t="shared" si="168"/>
        <v>1.0001744029047097</v>
      </c>
      <c r="L377" s="679">
        <f t="shared" si="169"/>
        <v>1.8674986559758754E-2</v>
      </c>
      <c r="M377" s="678">
        <f t="shared" si="170"/>
        <v>1.0215324086607838</v>
      </c>
      <c r="N377" s="679">
        <f t="shared" si="171"/>
        <v>-0.20568425730704384</v>
      </c>
      <c r="O377" s="677">
        <f t="shared" si="172"/>
        <v>596079.5062265388</v>
      </c>
      <c r="P377" s="680">
        <f t="shared" si="173"/>
        <v>1.5707946491663427</v>
      </c>
      <c r="Q377" s="689">
        <f t="shared" si="195"/>
        <v>73.523273316773924</v>
      </c>
      <c r="R377" s="690">
        <f t="shared" si="196"/>
        <v>1.5571947719501797</v>
      </c>
      <c r="S377" s="677">
        <f t="shared" si="174"/>
        <v>1.1314495931874313</v>
      </c>
      <c r="T377" s="680">
        <f t="shared" si="175"/>
        <v>0.48682646101259031</v>
      </c>
      <c r="U377" s="681">
        <f t="shared" si="187"/>
        <v>0.85091864791629568</v>
      </c>
      <c r="V377" s="682">
        <f t="shared" si="188"/>
        <v>-0.69579418423210049</v>
      </c>
      <c r="W377" s="683">
        <f t="shared" si="176"/>
        <v>-15.683373506103379</v>
      </c>
      <c r="X377" s="684">
        <f t="shared" si="177"/>
        <v>-168.90136848336971</v>
      </c>
      <c r="Y377" s="687">
        <f t="shared" si="178"/>
        <v>11.098631516630292</v>
      </c>
      <c r="AA377" s="170">
        <f t="shared" si="179"/>
        <v>31623</v>
      </c>
      <c r="AB377" s="170">
        <f t="shared" si="180"/>
        <v>1000014129</v>
      </c>
      <c r="AD377" s="686">
        <f t="shared" si="181"/>
        <v>25.85515875610788</v>
      </c>
      <c r="AE377" s="687">
        <f t="shared" si="182"/>
        <v>-28.67231717045669</v>
      </c>
      <c r="AG377" s="686">
        <f t="shared" si="183"/>
        <v>6.4469342609413722</v>
      </c>
      <c r="AH377" s="687">
        <f t="shared" si="184"/>
        <v>-60.496910889310911</v>
      </c>
      <c r="AJ377" s="170">
        <f t="shared" si="185"/>
        <v>0</v>
      </c>
      <c r="AK377" s="170">
        <f t="shared" si="197"/>
        <v>0</v>
      </c>
      <c r="AM377" s="170" t="str">
        <f t="shared" si="189"/>
        <v>0.524891833772455+0.879927400632518i</v>
      </c>
      <c r="AN377" s="170" t="str">
        <f t="shared" si="190"/>
        <v>1.07570937284791i</v>
      </c>
      <c r="AO377" s="170" t="str">
        <f t="shared" si="191"/>
        <v>0.817997335379662-0.487949484332203i</v>
      </c>
      <c r="AP377" s="170" t="str">
        <f t="shared" si="192"/>
        <v>0.0791846943712575-0.146654566772086i</v>
      </c>
      <c r="AQ377" s="170" t="str">
        <f t="shared" si="193"/>
        <v>0.920815305628742+0.146654566772086i</v>
      </c>
      <c r="AR377" s="170" t="str">
        <f t="shared" si="194"/>
        <v>0.882254138863194-0.140513084140706i</v>
      </c>
    </row>
    <row r="378" spans="7:44">
      <c r="G378" s="688">
        <v>31807</v>
      </c>
      <c r="H378" s="676">
        <f t="shared" si="186"/>
        <v>31.806999999999999</v>
      </c>
      <c r="I378" s="677">
        <f t="shared" si="166"/>
        <v>163.78488825319351</v>
      </c>
      <c r="J378" s="678">
        <f t="shared" si="167"/>
        <v>1.5646907194719879</v>
      </c>
      <c r="K378" s="678">
        <f t="shared" si="168"/>
        <v>1.000176438173646</v>
      </c>
      <c r="L378" s="679">
        <f t="shared" si="169"/>
        <v>1.8783622415657609E-2</v>
      </c>
      <c r="M378" s="678">
        <f t="shared" si="170"/>
        <v>1.0217810336218194</v>
      </c>
      <c r="N378" s="679">
        <f t="shared" si="171"/>
        <v>-0.20684728894062177</v>
      </c>
      <c r="O378" s="677">
        <f t="shared" si="172"/>
        <v>599547.82451213407</v>
      </c>
      <c r="P378" s="680">
        <f t="shared" si="173"/>
        <v>1.5707946588712396</v>
      </c>
      <c r="Q378" s="689">
        <f t="shared" si="195"/>
        <v>73.950993233248923</v>
      </c>
      <c r="R378" s="690">
        <f t="shared" si="196"/>
        <v>1.5572734458303685</v>
      </c>
      <c r="S378" s="677">
        <f t="shared" si="174"/>
        <v>1.1328936970896872</v>
      </c>
      <c r="T378" s="680">
        <f t="shared" si="175"/>
        <v>0.48922920753881732</v>
      </c>
      <c r="U378" s="681">
        <f t="shared" si="187"/>
        <v>0.8495324425302121</v>
      </c>
      <c r="V378" s="682">
        <f t="shared" si="188"/>
        <v>-0.6992901147325048</v>
      </c>
      <c r="W378" s="683">
        <f t="shared" si="176"/>
        <v>-15.756882727363068</v>
      </c>
      <c r="X378" s="684">
        <f t="shared" si="177"/>
        <v>-169.29727851115453</v>
      </c>
      <c r="Y378" s="687">
        <f t="shared" si="178"/>
        <v>10.702721488845469</v>
      </c>
      <c r="AA378" s="170">
        <f t="shared" si="179"/>
        <v>31807</v>
      </c>
      <c r="AB378" s="170">
        <f t="shared" si="180"/>
        <v>1011685249</v>
      </c>
      <c r="AD378" s="686">
        <f t="shared" si="181"/>
        <v>25.844070488499845</v>
      </c>
      <c r="AE378" s="687">
        <f t="shared" si="182"/>
        <v>-28.805477280558275</v>
      </c>
      <c r="AG378" s="686">
        <f t="shared" si="183"/>
        <v>6.4128362146265054</v>
      </c>
      <c r="AH378" s="687">
        <f t="shared" si="184"/>
        <v>-60.359056680247988</v>
      </c>
      <c r="AJ378" s="170">
        <f t="shared" si="185"/>
        <v>0</v>
      </c>
      <c r="AK378" s="170">
        <f t="shared" si="197"/>
        <v>0</v>
      </c>
      <c r="AM378" s="170" t="str">
        <f t="shared" si="189"/>
        <v>0.530408630101341+0.88288387986003i</v>
      </c>
      <c r="AN378" s="170" t="str">
        <f t="shared" si="190"/>
        <v>1.08196844139308i</v>
      </c>
      <c r="AO378" s="170" t="str">
        <f t="shared" si="191"/>
        <v>0.815997811103695-0.490225601606658i</v>
      </c>
      <c r="AP378" s="170" t="str">
        <f t="shared" si="192"/>
        <v>0.0782652283164432-0.147147313310005i</v>
      </c>
      <c r="AQ378" s="170" t="str">
        <f t="shared" si="193"/>
        <v>0.921734771683557+0.147147313310005i</v>
      </c>
      <c r="AR378" s="170" t="str">
        <f t="shared" si="194"/>
        <v>0.881271076740234-0.140687619935706i</v>
      </c>
    </row>
    <row r="379" spans="7:44">
      <c r="G379" s="688">
        <v>31991</v>
      </c>
      <c r="H379" s="676">
        <f t="shared" si="186"/>
        <v>31.991</v>
      </c>
      <c r="I379" s="677">
        <f t="shared" si="166"/>
        <v>164.73233061633545</v>
      </c>
      <c r="J379" s="678">
        <f t="shared" si="167"/>
        <v>1.5647258357255647</v>
      </c>
      <c r="K379" s="678">
        <f t="shared" si="168"/>
        <v>1.0001784852463658</v>
      </c>
      <c r="L379" s="679">
        <f t="shared" si="169"/>
        <v>1.8892257828146929E-2</v>
      </c>
      <c r="M379" s="678">
        <f t="shared" si="170"/>
        <v>1.0220310400138619</v>
      </c>
      <c r="N379" s="679">
        <f t="shared" si="171"/>
        <v>-0.20800975315082829</v>
      </c>
      <c r="O379" s="677">
        <f t="shared" si="172"/>
        <v>603016.14279772923</v>
      </c>
      <c r="P379" s="680">
        <f t="shared" si="173"/>
        <v>1.5707946684644987</v>
      </c>
      <c r="Q379" s="689">
        <f t="shared" si="195"/>
        <v>74.378713602185101</v>
      </c>
      <c r="R379" s="690">
        <f t="shared" si="196"/>
        <v>1.5573512148709414</v>
      </c>
      <c r="S379" s="677">
        <f t="shared" si="174"/>
        <v>1.1343443247286455</v>
      </c>
      <c r="T379" s="680">
        <f t="shared" si="175"/>
        <v>0.49162582248811743</v>
      </c>
      <c r="U379" s="681">
        <f t="shared" si="187"/>
        <v>0.84814446727850457</v>
      </c>
      <c r="V379" s="682">
        <f t="shared" si="188"/>
        <v>-0.70277866190071403</v>
      </c>
      <c r="W379" s="683">
        <f t="shared" si="176"/>
        <v>-15.830166907363932</v>
      </c>
      <c r="X379" s="684">
        <f t="shared" si="177"/>
        <v>-169.69241013010208</v>
      </c>
      <c r="Y379" s="687">
        <f t="shared" si="178"/>
        <v>10.307589869897924</v>
      </c>
      <c r="AA379" s="170">
        <f t="shared" si="179"/>
        <v>31991</v>
      </c>
      <c r="AB379" s="170">
        <f t="shared" si="180"/>
        <v>1023424081</v>
      </c>
      <c r="AD379" s="686">
        <f t="shared" si="181"/>
        <v>25.832946540154303</v>
      </c>
      <c r="AE379" s="687">
        <f t="shared" si="182"/>
        <v>-28.938337914274616</v>
      </c>
      <c r="AG379" s="686">
        <f t="shared" si="183"/>
        <v>6.3790813938551558</v>
      </c>
      <c r="AH379" s="687">
        <f t="shared" si="184"/>
        <v>-60.221569606280987</v>
      </c>
      <c r="AJ379" s="170">
        <f t="shared" si="185"/>
        <v>0</v>
      </c>
      <c r="AK379" s="170">
        <f t="shared" si="197"/>
        <v>0</v>
      </c>
      <c r="AM379" s="170" t="str">
        <f t="shared" si="189"/>
        <v>0.535943823053055+0.885805771395392i</v>
      </c>
      <c r="AN379" s="170" t="str">
        <f t="shared" si="190"/>
        <v>1.08822750993825i</v>
      </c>
      <c r="AO379" s="170" t="str">
        <f t="shared" si="191"/>
        <v>0.813989504313906-0.492492441294253i</v>
      </c>
      <c r="AP379" s="170" t="str">
        <f t="shared" si="192"/>
        <v>0.0773426961578242-0.147634295232565i</v>
      </c>
      <c r="AQ379" s="170" t="str">
        <f t="shared" si="193"/>
        <v>0.922657303842176+0.147634295232565i</v>
      </c>
      <c r="AR379" s="170" t="str">
        <f t="shared" si="194"/>
        <v>0.880288898286205-0.140854931249496i</v>
      </c>
    </row>
    <row r="380" spans="7:44">
      <c r="G380" s="688">
        <v>32175</v>
      </c>
      <c r="H380" s="676">
        <f t="shared" si="186"/>
        <v>32.174999999999997</v>
      </c>
      <c r="I380" s="677">
        <f t="shared" si="166"/>
        <v>165.67977318029392</v>
      </c>
      <c r="J380" s="678">
        <f t="shared" si="167"/>
        <v>1.5647605503534128</v>
      </c>
      <c r="K380" s="678">
        <f t="shared" si="168"/>
        <v>1.0001805441227964</v>
      </c>
      <c r="L380" s="679">
        <f t="shared" si="169"/>
        <v>1.900089279466528E-2</v>
      </c>
      <c r="M380" s="678">
        <f t="shared" si="170"/>
        <v>1.0222824268233954</v>
      </c>
      <c r="N380" s="679">
        <f t="shared" si="171"/>
        <v>-0.20917164721339346</v>
      </c>
      <c r="O380" s="677">
        <f t="shared" si="172"/>
        <v>606484.46108332451</v>
      </c>
      <c r="P380" s="680">
        <f t="shared" si="173"/>
        <v>1.5707946779480355</v>
      </c>
      <c r="Q380" s="689">
        <f t="shared" si="195"/>
        <v>74.806434415821343</v>
      </c>
      <c r="R380" s="690">
        <f t="shared" si="196"/>
        <v>1.5574280945917558</v>
      </c>
      <c r="S380" s="677">
        <f t="shared" si="174"/>
        <v>1.135801451108267</v>
      </c>
      <c r="T380" s="680">
        <f t="shared" si="175"/>
        <v>0.49401630187557788</v>
      </c>
      <c r="U380" s="681">
        <f t="shared" si="187"/>
        <v>0.84675478201329146</v>
      </c>
      <c r="V380" s="682">
        <f t="shared" si="188"/>
        <v>-0.70625983257718339</v>
      </c>
      <c r="W380" s="683">
        <f t="shared" si="176"/>
        <v>-15.903228604341436</v>
      </c>
      <c r="X380" s="684">
        <f t="shared" si="177"/>
        <v>-170.08676286042771</v>
      </c>
      <c r="Y380" s="687">
        <f t="shared" si="178"/>
        <v>9.9132371395722885</v>
      </c>
      <c r="AA380" s="170">
        <f t="shared" si="179"/>
        <v>32175</v>
      </c>
      <c r="AB380" s="170">
        <f t="shared" si="180"/>
        <v>1035230625</v>
      </c>
      <c r="AD380" s="686">
        <f t="shared" si="181"/>
        <v>25.821787254078142</v>
      </c>
      <c r="AE380" s="687">
        <f t="shared" si="182"/>
        <v>-29.070897954174409</v>
      </c>
      <c r="AG380" s="686">
        <f t="shared" si="183"/>
        <v>6.3456659990528568</v>
      </c>
      <c r="AH380" s="687">
        <f t="shared" si="184"/>
        <v>-60.084449521198209</v>
      </c>
      <c r="AJ380" s="170">
        <f t="shared" si="185"/>
        <v>0</v>
      </c>
      <c r="AK380" s="170">
        <f t="shared" si="197"/>
        <v>0</v>
      </c>
      <c r="AM380" s="170" t="str">
        <f t="shared" si="189"/>
        <v>0.541497195781932+0.888692960771136i</v>
      </c>
      <c r="AN380" s="170" t="str">
        <f t="shared" si="190"/>
        <v>1.09448657848343i</v>
      </c>
      <c r="AO380" s="170" t="str">
        <f t="shared" si="191"/>
        <v>0.811972461099111-0.49474996443744i</v>
      </c>
      <c r="AP380" s="170" t="str">
        <f t="shared" si="192"/>
        <v>0.0764171340363447-0.148115493461856i</v>
      </c>
      <c r="AQ380" s="170" t="str">
        <f t="shared" si="193"/>
        <v>0.923582865963655+0.148115493461856i</v>
      </c>
      <c r="AR380" s="170" t="str">
        <f t="shared" si="194"/>
        <v>0.879307656796086-0.141015053755085i</v>
      </c>
    </row>
    <row r="381" spans="7:44">
      <c r="G381" s="688">
        <v>32359</v>
      </c>
      <c r="H381" s="676">
        <f t="shared" si="186"/>
        <v>32.359000000000002</v>
      </c>
      <c r="I381" s="677">
        <f t="shared" si="166"/>
        <v>166.62721594164347</v>
      </c>
      <c r="J381" s="678">
        <f t="shared" si="167"/>
        <v>1.5647948702063823</v>
      </c>
      <c r="K381" s="678">
        <f t="shared" si="168"/>
        <v>1.0001826148028652</v>
      </c>
      <c r="L381" s="679">
        <f t="shared" si="169"/>
        <v>1.9109527312651305E-2</v>
      </c>
      <c r="M381" s="678">
        <f t="shared" si="170"/>
        <v>1.0225351930323072</v>
      </c>
      <c r="N381" s="679">
        <f t="shared" si="171"/>
        <v>-0.21033296841287663</v>
      </c>
      <c r="O381" s="677">
        <f t="shared" si="172"/>
        <v>609952.77936891979</v>
      </c>
      <c r="P381" s="680">
        <f t="shared" si="173"/>
        <v>1.5707946873237215</v>
      </c>
      <c r="Q381" s="689">
        <f t="shared" si="195"/>
        <v>75.234155666573059</v>
      </c>
      <c r="R381" s="690">
        <f t="shared" si="196"/>
        <v>1.5575041001597787</v>
      </c>
      <c r="S381" s="677">
        <f t="shared" si="174"/>
        <v>1.1372650512489222</v>
      </c>
      <c r="T381" s="680">
        <f t="shared" si="175"/>
        <v>0.49640064201714879</v>
      </c>
      <c r="U381" s="681">
        <f t="shared" si="187"/>
        <v>0.8453634460558066</v>
      </c>
      <c r="V381" s="682">
        <f t="shared" si="188"/>
        <v>-0.70973363400021661</v>
      </c>
      <c r="W381" s="683">
        <f t="shared" si="176"/>
        <v>-15.976070323055245</v>
      </c>
      <c r="X381" s="684">
        <f t="shared" si="177"/>
        <v>-170.48033627396754</v>
      </c>
      <c r="Y381" s="687">
        <f t="shared" si="178"/>
        <v>9.5196637260324621</v>
      </c>
      <c r="AA381" s="170">
        <f t="shared" si="179"/>
        <v>32359</v>
      </c>
      <c r="AB381" s="170">
        <f t="shared" si="180"/>
        <v>1047104881</v>
      </c>
      <c r="AD381" s="686">
        <f t="shared" si="181"/>
        <v>25.810592972289754</v>
      </c>
      <c r="AE381" s="687">
        <f t="shared" si="182"/>
        <v>-29.203156320281213</v>
      </c>
      <c r="AG381" s="686">
        <f t="shared" si="183"/>
        <v>6.3125862900774568</v>
      </c>
      <c r="AH381" s="687">
        <f t="shared" si="184"/>
        <v>-59.947696247363687</v>
      </c>
      <c r="AJ381" s="170">
        <f t="shared" si="185"/>
        <v>0</v>
      </c>
      <c r="AK381" s="170">
        <f t="shared" si="197"/>
        <v>0</v>
      </c>
      <c r="AM381" s="170" t="str">
        <f t="shared" si="189"/>
        <v>0.547068530730073+0.891545334879267i</v>
      </c>
      <c r="AN381" s="170" t="str">
        <f t="shared" si="190"/>
        <v>1.1007456470286i</v>
      </c>
      <c r="AO381" s="170" t="str">
        <f t="shared" si="191"/>
        <v>0.809946727734916-0.496998132317719i</v>
      </c>
      <c r="AP381" s="170" t="str">
        <f t="shared" si="192"/>
        <v>0.0754885782116545-0.148590889146545i</v>
      </c>
      <c r="AQ381" s="170" t="str">
        <f t="shared" si="193"/>
        <v>0.924511421788345+0.148590889146545i</v>
      </c>
      <c r="AR381" s="170" t="str">
        <f t="shared" si="194"/>
        <v>0.878327404878004-0.141168023430303i</v>
      </c>
    </row>
    <row r="382" spans="7:44">
      <c r="G382" s="688">
        <v>32547.5</v>
      </c>
      <c r="H382" s="676">
        <f t="shared" si="186"/>
        <v>32.547499999999999</v>
      </c>
      <c r="I382" s="677">
        <f t="shared" si="166"/>
        <v>167.59783005867413</v>
      </c>
      <c r="J382" s="678">
        <f t="shared" si="167"/>
        <v>1.564829627027609</v>
      </c>
      <c r="K382" s="678">
        <f t="shared" si="168"/>
        <v>1.0001847483646711</v>
      </c>
      <c r="L382" s="679">
        <f t="shared" si="169"/>
        <v>1.9220818185289628E-2</v>
      </c>
      <c r="M382" s="678">
        <f t="shared" si="170"/>
        <v>1.0227955703691827</v>
      </c>
      <c r="N382" s="679">
        <f t="shared" si="171"/>
        <v>-0.21152209461025401</v>
      </c>
      <c r="O382" s="677">
        <f t="shared" si="172"/>
        <v>613505.92065606511</v>
      </c>
      <c r="P382" s="680">
        <f t="shared" si="173"/>
        <v>1.5707946968187769</v>
      </c>
      <c r="Q382" s="689">
        <f t="shared" si="195"/>
        <v>75.672337936924848</v>
      </c>
      <c r="R382" s="690">
        <f t="shared" si="196"/>
        <v>1.5575810735727802</v>
      </c>
      <c r="S382" s="677">
        <f t="shared" si="174"/>
        <v>1.1387711330478454</v>
      </c>
      <c r="T382" s="680">
        <f t="shared" si="175"/>
        <v>0.49883692498853394</v>
      </c>
      <c r="U382" s="681">
        <f t="shared" si="187"/>
        <v>0.84393643257606732</v>
      </c>
      <c r="V382" s="682">
        <f t="shared" si="188"/>
        <v>-0.71328475870677543</v>
      </c>
      <c r="W382" s="683">
        <f t="shared" si="176"/>
        <v>-16.050467946674626</v>
      </c>
      <c r="X382" s="684">
        <f t="shared" si="177"/>
        <v>-170.8827265912079</v>
      </c>
      <c r="Y382" s="687">
        <f t="shared" si="178"/>
        <v>9.1172734087921015</v>
      </c>
      <c r="AA382" s="170">
        <f t="shared" si="179"/>
        <v>32547.5</v>
      </c>
      <c r="AB382" s="170">
        <f t="shared" si="180"/>
        <v>1059339756.25</v>
      </c>
      <c r="AD382" s="686">
        <f t="shared" si="181"/>
        <v>25.799088983812346</v>
      </c>
      <c r="AE382" s="687">
        <f t="shared" si="182"/>
        <v>-29.33833534472252</v>
      </c>
      <c r="AG382" s="686">
        <f t="shared" si="183"/>
        <v>6.2790418183423569</v>
      </c>
      <c r="AH382" s="687">
        <f t="shared" si="184"/>
        <v>-59.807978623276824</v>
      </c>
      <c r="AJ382" s="170">
        <f t="shared" si="185"/>
        <v>0</v>
      </c>
      <c r="AK382" s="170">
        <f t="shared" si="197"/>
        <v>0</v>
      </c>
      <c r="AM382" s="170" t="str">
        <f t="shared" si="189"/>
        <v>0.552794519500382+0.89443124845407i</v>
      </c>
      <c r="AN382" s="170" t="str">
        <f t="shared" si="190"/>
        <v>1.10715779061971i</v>
      </c>
      <c r="AO382" s="170" t="str">
        <f t="shared" si="191"/>
        <v>0.807862489007488-0.499291541082835i</v>
      </c>
      <c r="AP382" s="170" t="str">
        <f t="shared" si="192"/>
        <v>0.0745342467499363-0.149071874742345i</v>
      </c>
      <c r="AQ382" s="170" t="str">
        <f t="shared" si="193"/>
        <v>0.925465753250064+0.149071874742345i</v>
      </c>
      <c r="AR382" s="170" t="str">
        <f t="shared" si="194"/>
        <v>0.877324259855538-0.141317354763604i</v>
      </c>
    </row>
    <row r="383" spans="7:44">
      <c r="G383" s="688">
        <v>32736</v>
      </c>
      <c r="H383" s="676">
        <f t="shared" si="186"/>
        <v>32.735999999999997</v>
      </c>
      <c r="I383" s="677">
        <f t="shared" si="166"/>
        <v>168.56844437583752</v>
      </c>
      <c r="J383" s="678">
        <f t="shared" si="167"/>
        <v>1.5648639835904721</v>
      </c>
      <c r="K383" s="678">
        <f t="shared" si="168"/>
        <v>1.0001868943143708</v>
      </c>
      <c r="L383" s="679">
        <f t="shared" si="169"/>
        <v>1.9332108581746374E-2</v>
      </c>
      <c r="M383" s="678">
        <f t="shared" si="170"/>
        <v>1.023057393223227</v>
      </c>
      <c r="N383" s="679">
        <f t="shared" si="171"/>
        <v>-0.21271061384049164</v>
      </c>
      <c r="O383" s="677">
        <f t="shared" si="172"/>
        <v>617059.06194321043</v>
      </c>
      <c r="P383" s="680">
        <f t="shared" si="173"/>
        <v>1.5707947062044836</v>
      </c>
      <c r="Q383" s="689">
        <f t="shared" si="195"/>
        <v>76.110520650465645</v>
      </c>
      <c r="R383" s="690">
        <f t="shared" si="196"/>
        <v>1.557657160685131</v>
      </c>
      <c r="S383" s="677">
        <f t="shared" si="174"/>
        <v>1.1402839561157687</v>
      </c>
      <c r="T383" s="680">
        <f t="shared" si="175"/>
        <v>0.50126675788143304</v>
      </c>
      <c r="U383" s="681">
        <f t="shared" si="187"/>
        <v>0.84250781100284211</v>
      </c>
      <c r="V383" s="682">
        <f t="shared" si="188"/>
        <v>-0.71682816593658183</v>
      </c>
      <c r="W383" s="683">
        <f t="shared" si="176"/>
        <v>-16.124639856168276</v>
      </c>
      <c r="X383" s="684">
        <f t="shared" si="177"/>
        <v>-171.28429825986038</v>
      </c>
      <c r="Y383" s="687">
        <f t="shared" si="178"/>
        <v>8.7157017401396217</v>
      </c>
      <c r="AA383" s="170">
        <f t="shared" si="179"/>
        <v>32736</v>
      </c>
      <c r="AB383" s="170">
        <f t="shared" si="180"/>
        <v>1071645696</v>
      </c>
      <c r="AD383" s="686">
        <f t="shared" si="181"/>
        <v>25.787548990349123</v>
      </c>
      <c r="AE383" s="687">
        <f t="shared" si="182"/>
        <v>-29.47319558191014</v>
      </c>
      <c r="AG383" s="686">
        <f t="shared" si="183"/>
        <v>6.2458418917419847</v>
      </c>
      <c r="AH383" s="687">
        <f t="shared" si="184"/>
        <v>-59.668645495549647</v>
      </c>
      <c r="AJ383" s="170">
        <f t="shared" si="185"/>
        <v>0</v>
      </c>
      <c r="AK383" s="170">
        <f t="shared" si="197"/>
        <v>0</v>
      </c>
      <c r="AM383" s="170" t="str">
        <f t="shared" si="189"/>
        <v>0.558538895322839+0.897280387090468i</v>
      </c>
      <c r="AN383" s="170" t="str">
        <f t="shared" si="190"/>
        <v>1.11356993421083i</v>
      </c>
      <c r="AO383" s="170" t="str">
        <f t="shared" si="191"/>
        <v>0.805769228787913-0.501575049903504i</v>
      </c>
      <c r="AP383" s="170" t="str">
        <f t="shared" si="192"/>
        <v>0.0735768507795268-0.149546731181745i</v>
      </c>
      <c r="AQ383" s="170" t="str">
        <f t="shared" si="193"/>
        <v>0.926423149220473+0.149546731181745i</v>
      </c>
      <c r="AR383" s="170" t="str">
        <f t="shared" si="194"/>
        <v>0.876322262973175-0.141459256496018i</v>
      </c>
    </row>
    <row r="384" spans="7:44">
      <c r="G384" s="688">
        <v>32924.5</v>
      </c>
      <c r="H384" s="676">
        <f t="shared" si="186"/>
        <v>32.924500000000002</v>
      </c>
      <c r="I384" s="677">
        <f t="shared" si="166"/>
        <v>169.53905888969638</v>
      </c>
      <c r="J384" s="678">
        <f t="shared" si="167"/>
        <v>1.5648979467693516</v>
      </c>
      <c r="K384" s="678">
        <f t="shared" si="168"/>
        <v>1.0001890526518842</v>
      </c>
      <c r="L384" s="679">
        <f t="shared" si="169"/>
        <v>1.9443398499267829E-2</v>
      </c>
      <c r="M384" s="678">
        <f t="shared" si="170"/>
        <v>1.023320660484907</v>
      </c>
      <c r="N384" s="679">
        <f t="shared" si="171"/>
        <v>-0.21389852321302003</v>
      </c>
      <c r="O384" s="677">
        <f t="shared" si="172"/>
        <v>620612.20323035575</v>
      </c>
      <c r="P384" s="680">
        <f t="shared" si="173"/>
        <v>1.57079471548272</v>
      </c>
      <c r="Q384" s="689">
        <f t="shared" si="195"/>
        <v>76.548703799584729</v>
      </c>
      <c r="R384" s="690">
        <f t="shared" si="196"/>
        <v>1.5577323767161355</v>
      </c>
      <c r="S384" s="677">
        <f t="shared" si="174"/>
        <v>1.1418034936573269</v>
      </c>
      <c r="T384" s="680">
        <f t="shared" si="175"/>
        <v>0.50369013769896864</v>
      </c>
      <c r="U384" s="681">
        <f t="shared" si="187"/>
        <v>0.84107764337698088</v>
      </c>
      <c r="V384" s="682">
        <f t="shared" si="188"/>
        <v>-0.72036386473720082</v>
      </c>
      <c r="W384" s="683">
        <f t="shared" si="176"/>
        <v>-16.198588578642973</v>
      </c>
      <c r="X384" s="684">
        <f t="shared" si="177"/>
        <v>-171.68505098312292</v>
      </c>
      <c r="Y384" s="687">
        <f t="shared" si="178"/>
        <v>8.3149490168770797</v>
      </c>
      <c r="AA384" s="170">
        <f t="shared" si="179"/>
        <v>32924.5</v>
      </c>
      <c r="AB384" s="170">
        <f t="shared" si="180"/>
        <v>1084022700.25</v>
      </c>
      <c r="AD384" s="686">
        <f t="shared" si="181"/>
        <v>25.775973356256014</v>
      </c>
      <c r="AE384" s="687">
        <f t="shared" si="182"/>
        <v>-29.607735988241373</v>
      </c>
      <c r="AG384" s="686">
        <f t="shared" si="183"/>
        <v>6.2129826747658949</v>
      </c>
      <c r="AH384" s="687">
        <f t="shared" si="184"/>
        <v>-59.529696574208153</v>
      </c>
      <c r="AJ384" s="170">
        <f t="shared" si="185"/>
        <v>0</v>
      </c>
      <c r="AK384" s="170">
        <f t="shared" si="197"/>
        <v>0</v>
      </c>
      <c r="AM384" s="170" t="str">
        <f t="shared" si="189"/>
        <v>0.564301422014862+0.900092633644853i</v>
      </c>
      <c r="AN384" s="170" t="str">
        <f t="shared" si="190"/>
        <v>1.11998207780194i</v>
      </c>
      <c r="AO384" s="170" t="str">
        <f t="shared" si="191"/>
        <v>0.803666997432103-0.503848617937129i</v>
      </c>
      <c r="AP384" s="170" t="str">
        <f t="shared" si="192"/>
        <v>0.0726164296641897-0.150015438940809i</v>
      </c>
      <c r="AQ384" s="170" t="str">
        <f t="shared" si="193"/>
        <v>0.92738357033581+0.150015438940809i</v>
      </c>
      <c r="AR384" s="170" t="str">
        <f t="shared" si="194"/>
        <v>0.875321468562762-0.141593768232499i</v>
      </c>
    </row>
    <row r="385" spans="7:44">
      <c r="G385" s="688">
        <v>33113</v>
      </c>
      <c r="H385" s="676">
        <f t="shared" si="186"/>
        <v>33.113</v>
      </c>
      <c r="I385" s="677">
        <f t="shared" si="166"/>
        <v>170.50967359689167</v>
      </c>
      <c r="J385" s="678">
        <f t="shared" si="167"/>
        <v>1.5649315232821028</v>
      </c>
      <c r="K385" s="678">
        <f t="shared" si="168"/>
        <v>1.0001912233771313</v>
      </c>
      <c r="L385" s="679">
        <f t="shared" si="169"/>
        <v>1.9554687935100356E-2</v>
      </c>
      <c r="M385" s="678">
        <f t="shared" si="170"/>
        <v>1.0235853710397129</v>
      </c>
      <c r="N385" s="679">
        <f t="shared" si="171"/>
        <v>-0.21508581984712016</v>
      </c>
      <c r="O385" s="677">
        <f t="shared" si="172"/>
        <v>624165.34451750107</v>
      </c>
      <c r="P385" s="680">
        <f t="shared" si="173"/>
        <v>1.5707947246553213</v>
      </c>
      <c r="Q385" s="689">
        <f t="shared" si="195"/>
        <v>76.986887376844606</v>
      </c>
      <c r="R385" s="690">
        <f t="shared" si="196"/>
        <v>1.5578067365386448</v>
      </c>
      <c r="S385" s="677">
        <f t="shared" si="174"/>
        <v>1.1433297189009921</v>
      </c>
      <c r="T385" s="680">
        <f t="shared" si="175"/>
        <v>0.50610706176333675</v>
      </c>
      <c r="U385" s="681">
        <f t="shared" si="187"/>
        <v>0.83964599115051775</v>
      </c>
      <c r="V385" s="682">
        <f t="shared" si="188"/>
        <v>-0.72389186457156796</v>
      </c>
      <c r="W385" s="683">
        <f t="shared" si="176"/>
        <v>-16.272316588007453</v>
      </c>
      <c r="X385" s="684">
        <f t="shared" si="177"/>
        <v>-172.084984517718</v>
      </c>
      <c r="Y385" s="687">
        <f t="shared" si="178"/>
        <v>7.9150154822820014</v>
      </c>
      <c r="AA385" s="170">
        <f t="shared" si="179"/>
        <v>33113</v>
      </c>
      <c r="AB385" s="170">
        <f t="shared" si="180"/>
        <v>1096470769</v>
      </c>
      <c r="AD385" s="686">
        <f t="shared" si="181"/>
        <v>25.76436244470252</v>
      </c>
      <c r="AE385" s="687">
        <f t="shared" si="182"/>
        <v>-29.74195555824285</v>
      </c>
      <c r="AG385" s="686">
        <f t="shared" si="183"/>
        <v>6.1804603919292269</v>
      </c>
      <c r="AH385" s="687">
        <f t="shared" si="184"/>
        <v>-59.391131537075573</v>
      </c>
      <c r="AJ385" s="170">
        <f t="shared" si="185"/>
        <v>0</v>
      </c>
      <c r="AK385" s="170">
        <f t="shared" si="197"/>
        <v>0</v>
      </c>
      <c r="AM385" s="170" t="str">
        <f t="shared" si="189"/>
        <v>0.570081862647621+0.902867872490466i</v>
      </c>
      <c r="AN385" s="170" t="str">
        <f t="shared" si="190"/>
        <v>1.12639422139306i</v>
      </c>
      <c r="AO385" s="170" t="str">
        <f t="shared" si="191"/>
        <v>0.801555845495949-0.506112204608593i</v>
      </c>
      <c r="AP385" s="170" t="str">
        <f t="shared" si="192"/>
        <v>0.0716530228920632-0.150477978748411i</v>
      </c>
      <c r="AQ385" s="170" t="str">
        <f t="shared" si="193"/>
        <v>0.928346977107937+0.150477978748411i</v>
      </c>
      <c r="AR385" s="170" t="str">
        <f t="shared" si="194"/>
        <v>0.874321930207784-0.141720929864976i</v>
      </c>
    </row>
    <row r="386" spans="7:44">
      <c r="G386" s="688">
        <v>33305.75</v>
      </c>
      <c r="H386" s="676">
        <f t="shared" si="186"/>
        <v>33.305750000000003</v>
      </c>
      <c r="I386" s="677">
        <f t="shared" si="166"/>
        <v>171.50217238656242</v>
      </c>
      <c r="J386" s="678">
        <f t="shared" si="167"/>
        <v>1.564965463823305</v>
      </c>
      <c r="K386" s="678">
        <f t="shared" si="168"/>
        <v>1.0001934558542065</v>
      </c>
      <c r="L386" s="679">
        <f t="shared" si="169"/>
        <v>1.9668486048223667E-2</v>
      </c>
      <c r="M386" s="678">
        <f t="shared" si="170"/>
        <v>1.0238575411748962</v>
      </c>
      <c r="N386" s="679">
        <f t="shared" si="171"/>
        <v>-0.21629924916106108</v>
      </c>
      <c r="O386" s="677">
        <f t="shared" si="172"/>
        <v>627798.59641722147</v>
      </c>
      <c r="P386" s="680">
        <f t="shared" si="173"/>
        <v>1.570794733927366</v>
      </c>
      <c r="Q386" s="689">
        <f t="shared" si="195"/>
        <v>77.434950859836121</v>
      </c>
      <c r="R386" s="690">
        <f t="shared" si="196"/>
        <v>1.5578819026686459</v>
      </c>
      <c r="S386" s="677">
        <f t="shared" si="174"/>
        <v>1.1448972427708286</v>
      </c>
      <c r="T386" s="680">
        <f t="shared" si="175"/>
        <v>0.50857180062652529</v>
      </c>
      <c r="U386" s="681">
        <f t="shared" si="187"/>
        <v>0.83818058851231458</v>
      </c>
      <c r="V386" s="682">
        <f t="shared" si="188"/>
        <v>-0.72749145715750307</v>
      </c>
      <c r="W386" s="683">
        <f t="shared" si="176"/>
        <v>-16.347481189432052</v>
      </c>
      <c r="X386" s="684">
        <f t="shared" si="177"/>
        <v>-172.49308782161825</v>
      </c>
      <c r="Y386" s="687">
        <f t="shared" si="178"/>
        <v>7.5069121783817536</v>
      </c>
      <c r="AA386" s="170">
        <f t="shared" si="179"/>
        <v>33305.75</v>
      </c>
      <c r="AB386" s="170">
        <f t="shared" si="180"/>
        <v>1109272983.0625</v>
      </c>
      <c r="AD386" s="686">
        <f t="shared" si="181"/>
        <v>25.752453646272539</v>
      </c>
      <c r="AE386" s="687">
        <f t="shared" si="182"/>
        <v>-29.878868522099499</v>
      </c>
      <c r="AG386" s="686">
        <f t="shared" si="183"/>
        <v>6.1475493909099788</v>
      </c>
      <c r="AH386" s="687">
        <f t="shared" si="184"/>
        <v>-59.249838950366488</v>
      </c>
      <c r="AJ386" s="170">
        <f t="shared" si="185"/>
        <v>0</v>
      </c>
      <c r="AK386" s="170">
        <f t="shared" si="197"/>
        <v>0</v>
      </c>
      <c r="AM386" s="170" t="str">
        <f t="shared" si="189"/>
        <v>0.576010908239345+0.905667295461183i</v>
      </c>
      <c r="AN386" s="170" t="str">
        <f t="shared" si="190"/>
        <v>1.1329509358609i</v>
      </c>
      <c r="AO386" s="170" t="str">
        <f t="shared" si="191"/>
        <v>0.799387922984493-0.508416463597031i</v>
      </c>
      <c r="AP386" s="170" t="str">
        <f t="shared" si="192"/>
        <v>0.0706648486267758-0.15094454924353i</v>
      </c>
      <c r="AQ386" s="170" t="str">
        <f t="shared" si="193"/>
        <v>0.929335151373224+0.15094454924353i</v>
      </c>
      <c r="AR386" s="170" t="str">
        <f t="shared" si="194"/>
        <v>0.873301209740438-0.141843399836235i</v>
      </c>
    </row>
    <row r="387" spans="7:44">
      <c r="G387" s="688">
        <v>33498.5</v>
      </c>
      <c r="H387" s="676">
        <f t="shared" si="186"/>
        <v>33.4985</v>
      </c>
      <c r="I387" s="677">
        <f t="shared" si="166"/>
        <v>172.4946713715234</v>
      </c>
      <c r="J387" s="678">
        <f t="shared" si="167"/>
        <v>1.5649990137907104</v>
      </c>
      <c r="K387" s="678">
        <f t="shared" si="168"/>
        <v>1.0001957012837395</v>
      </c>
      <c r="L387" s="679">
        <f t="shared" si="169"/>
        <v>1.9782283651869358E-2</v>
      </c>
      <c r="M387" s="678">
        <f t="shared" si="170"/>
        <v>1.0241312180463054</v>
      </c>
      <c r="N387" s="679">
        <f t="shared" si="171"/>
        <v>-0.21751203173455319</v>
      </c>
      <c r="O387" s="677">
        <f t="shared" si="172"/>
        <v>631431.84831694188</v>
      </c>
      <c r="P387" s="680">
        <f t="shared" si="173"/>
        <v>1.5707947430927083</v>
      </c>
      <c r="Q387" s="689">
        <f t="shared" si="195"/>
        <v>77.88301477529707</v>
      </c>
      <c r="R387" s="690">
        <f t="shared" si="196"/>
        <v>1.5579562039319128</v>
      </c>
      <c r="S387" s="677">
        <f t="shared" si="174"/>
        <v>1.1464717027763733</v>
      </c>
      <c r="T387" s="680">
        <f t="shared" si="175"/>
        <v>0.5110297846911751</v>
      </c>
      <c r="U387" s="681">
        <f t="shared" si="187"/>
        <v>0.83671376164454669</v>
      </c>
      <c r="V387" s="682">
        <f t="shared" si="188"/>
        <v>-0.73108302101160894</v>
      </c>
      <c r="W387" s="683">
        <f t="shared" si="176"/>
        <v>-16.422420080226697</v>
      </c>
      <c r="X387" s="684">
        <f t="shared" si="177"/>
        <v>-172.90033423418379</v>
      </c>
      <c r="Y387" s="687">
        <f t="shared" si="178"/>
        <v>7.0996657658162121</v>
      </c>
      <c r="AA387" s="170">
        <f t="shared" si="179"/>
        <v>33498.5</v>
      </c>
      <c r="AB387" s="170">
        <f t="shared" si="180"/>
        <v>1122149502.25</v>
      </c>
      <c r="AD387" s="686">
        <f t="shared" si="181"/>
        <v>25.7405087258153</v>
      </c>
      <c r="AE387" s="687">
        <f t="shared" si="182"/>
        <v>-30.015444011608153</v>
      </c>
      <c r="AG387" s="686">
        <f t="shared" si="183"/>
        <v>6.1149828909325246</v>
      </c>
      <c r="AH387" s="687">
        <f t="shared" si="184"/>
        <v>-59.108946971569132</v>
      </c>
      <c r="AJ387" s="170">
        <f t="shared" si="185"/>
        <v>0</v>
      </c>
      <c r="AK387" s="170">
        <f t="shared" si="197"/>
        <v>0</v>
      </c>
      <c r="AM387" s="170" t="str">
        <f t="shared" si="189"/>
        <v>0.581958181270763+0.908427783477339i</v>
      </c>
      <c r="AN387" s="170" t="str">
        <f t="shared" si="190"/>
        <v>1.13950765032873i</v>
      </c>
      <c r="AO387" s="170" t="str">
        <f t="shared" si="191"/>
        <v>0.797210780651865-0.510710201114382i</v>
      </c>
      <c r="AP387" s="170" t="str">
        <f t="shared" si="192"/>
        <v>0.0696736364548728-0.151404630579556i</v>
      </c>
      <c r="AQ387" s="170" t="str">
        <f t="shared" si="193"/>
        <v>0.930326363545127+0.151404630579556i</v>
      </c>
      <c r="AR387" s="170" t="str">
        <f t="shared" si="194"/>
        <v>0.872281913539433-0.141958269759664i</v>
      </c>
    </row>
    <row r="388" spans="7:44">
      <c r="G388" s="688">
        <v>33691.25</v>
      </c>
      <c r="H388" s="676">
        <f t="shared" si="186"/>
        <v>33.691249999999997</v>
      </c>
      <c r="I388" s="677">
        <f t="shared" si="166"/>
        <v>173.48717054842288</v>
      </c>
      <c r="J388" s="678">
        <f t="shared" si="167"/>
        <v>1.5650321798875189</v>
      </c>
      <c r="K388" s="678">
        <f t="shared" si="168"/>
        <v>1.0001979596656434</v>
      </c>
      <c r="L388" s="679">
        <f t="shared" si="169"/>
        <v>1.9896080743093535E-2</v>
      </c>
      <c r="M388" s="678">
        <f t="shared" si="170"/>
        <v>1.0244064004463376</v>
      </c>
      <c r="N388" s="679">
        <f t="shared" si="171"/>
        <v>-0.21872416451975277</v>
      </c>
      <c r="O388" s="677">
        <f t="shared" si="172"/>
        <v>635065.10021666239</v>
      </c>
      <c r="P388" s="680">
        <f t="shared" si="173"/>
        <v>1.5707947521531793</v>
      </c>
      <c r="Q388" s="689">
        <f t="shared" si="195"/>
        <v>78.331079115806119</v>
      </c>
      <c r="R388" s="690">
        <f t="shared" si="196"/>
        <v>1.5580296551690809</v>
      </c>
      <c r="S388" s="677">
        <f t="shared" si="174"/>
        <v>1.1480530703806142</v>
      </c>
      <c r="T388" s="680">
        <f t="shared" si="175"/>
        <v>0.51348101210865138</v>
      </c>
      <c r="U388" s="681">
        <f t="shared" si="187"/>
        <v>0.83524557433673519</v>
      </c>
      <c r="V388" s="682">
        <f t="shared" si="188"/>
        <v>-0.73466656756110515</v>
      </c>
      <c r="W388" s="683">
        <f t="shared" si="176"/>
        <v>-16.497135741498575</v>
      </c>
      <c r="X388" s="684">
        <f t="shared" si="177"/>
        <v>-173.30672366363154</v>
      </c>
      <c r="Y388" s="687">
        <f t="shared" si="178"/>
        <v>6.6932763363684558</v>
      </c>
      <c r="AA388" s="170">
        <f t="shared" si="179"/>
        <v>33691.25</v>
      </c>
      <c r="AB388" s="170">
        <f t="shared" si="180"/>
        <v>1135100326.5625</v>
      </c>
      <c r="AD388" s="686">
        <f t="shared" si="181"/>
        <v>25.728528067625209</v>
      </c>
      <c r="AE388" s="687">
        <f t="shared" si="182"/>
        <v>-30.151681070648969</v>
      </c>
      <c r="AG388" s="686">
        <f t="shared" si="183"/>
        <v>6.082757041816496</v>
      </c>
      <c r="AH388" s="687">
        <f t="shared" si="184"/>
        <v>-58.968455155557201</v>
      </c>
      <c r="AJ388" s="170">
        <f t="shared" si="185"/>
        <v>0</v>
      </c>
      <c r="AK388" s="170">
        <f t="shared" si="197"/>
        <v>0</v>
      </c>
      <c r="AM388" s="170" t="str">
        <f t="shared" si="189"/>
        <v>0.587923426066543+0.911149217864595i</v>
      </c>
      <c r="AN388" s="170" t="str">
        <f t="shared" si="190"/>
        <v>1.14606436479657i</v>
      </c>
      <c r="AO388" s="170" t="str">
        <f t="shared" si="191"/>
        <v>0.795024473190323-0.512993374653003i</v>
      </c>
      <c r="AP388" s="170" t="str">
        <f t="shared" si="192"/>
        <v>0.0686794289889095-0.151858202977432i</v>
      </c>
      <c r="AQ388" s="170" t="str">
        <f t="shared" si="193"/>
        <v>0.931320571011091+0.151858202977432i</v>
      </c>
      <c r="AR388" s="170" t="str">
        <f t="shared" si="194"/>
        <v>0.871264096484525-0.142065583139922i</v>
      </c>
    </row>
    <row r="389" spans="7:44">
      <c r="G389" s="688">
        <v>33884</v>
      </c>
      <c r="H389" s="676">
        <f t="shared" si="186"/>
        <v>33.884</v>
      </c>
      <c r="I389" s="677">
        <f t="shared" si="166"/>
        <v>174.47966991398548</v>
      </c>
      <c r="J389" s="678">
        <f t="shared" si="167"/>
        <v>1.5650649686644147</v>
      </c>
      <c r="K389" s="678">
        <f t="shared" si="168"/>
        <v>1.0002002309998299</v>
      </c>
      <c r="L389" s="679">
        <f t="shared" si="169"/>
        <v>2.0009877318952388E-2</v>
      </c>
      <c r="M389" s="678">
        <f t="shared" si="170"/>
        <v>1.0246830871620469</v>
      </c>
      <c r="N389" s="679">
        <f t="shared" si="171"/>
        <v>-0.21993564447971883</v>
      </c>
      <c r="O389" s="677">
        <f t="shared" si="172"/>
        <v>638698.35211638291</v>
      </c>
      <c r="P389" s="680">
        <f t="shared" si="173"/>
        <v>1.570794761110569</v>
      </c>
      <c r="Q389" s="689">
        <f t="shared" si="195"/>
        <v>78.77914387411073</v>
      </c>
      <c r="R389" s="690">
        <f t="shared" si="196"/>
        <v>1.5581022708831924</v>
      </c>
      <c r="S389" s="677">
        <f t="shared" si="174"/>
        <v>1.1496413170786972</v>
      </c>
      <c r="T389" s="680">
        <f t="shared" si="175"/>
        <v>0.51592548136524574</v>
      </c>
      <c r="U389" s="681">
        <f t="shared" si="187"/>
        <v>0.8337760897327755</v>
      </c>
      <c r="V389" s="682">
        <f t="shared" si="188"/>
        <v>-0.73824210866199091</v>
      </c>
      <c r="W389" s="683">
        <f t="shared" si="176"/>
        <v>-16.571630601879814</v>
      </c>
      <c r="X389" s="684">
        <f t="shared" si="177"/>
        <v>-173.71225607316177</v>
      </c>
      <c r="Y389" s="687">
        <f t="shared" si="178"/>
        <v>6.2877439268382318</v>
      </c>
      <c r="AA389" s="170">
        <f t="shared" si="179"/>
        <v>33884</v>
      </c>
      <c r="AB389" s="170">
        <f t="shared" si="180"/>
        <v>1148125456</v>
      </c>
      <c r="AD389" s="686">
        <f t="shared" si="181"/>
        <v>25.716512054601004</v>
      </c>
      <c r="AE389" s="687">
        <f t="shared" si="182"/>
        <v>-30.287578781632302</v>
      </c>
      <c r="AG389" s="686">
        <f t="shared" si="183"/>
        <v>6.0508680535792365</v>
      </c>
      <c r="AH389" s="687">
        <f t="shared" si="184"/>
        <v>-58.82836302452332</v>
      </c>
      <c r="AJ389" s="170">
        <f t="shared" si="185"/>
        <v>0</v>
      </c>
      <c r="AK389" s="170">
        <f t="shared" si="197"/>
        <v>0</v>
      </c>
      <c r="AM389" s="170" t="str">
        <f t="shared" si="189"/>
        <v>0.593906386178709+0.913831481627528i</v>
      </c>
      <c r="AN389" s="170" t="str">
        <f t="shared" si="190"/>
        <v>1.15262107926441i</v>
      </c>
      <c r="AO389" s="170" t="str">
        <f t="shared" si="191"/>
        <v>0.792829055504282-0.515265942002148i</v>
      </c>
      <c r="AP389" s="170" t="str">
        <f t="shared" si="192"/>
        <v>0.0676822689702152-0.152305246937921i</v>
      </c>
      <c r="AQ389" s="170" t="str">
        <f t="shared" si="193"/>
        <v>0.932317731029785+0.152305246937921i</v>
      </c>
      <c r="AR389" s="170" t="str">
        <f t="shared" si="194"/>
        <v>0.870247812649394-0.142165383743535i</v>
      </c>
    </row>
    <row r="390" spans="7:44">
      <c r="G390" s="688">
        <v>34081.5</v>
      </c>
      <c r="H390" s="676">
        <f t="shared" si="186"/>
        <v>34.081499999999998</v>
      </c>
      <c r="I390" s="677">
        <f t="shared" si="166"/>
        <v>175.49662795172071</v>
      </c>
      <c r="J390" s="678">
        <f t="shared" si="167"/>
        <v>1.5650981807782471</v>
      </c>
      <c r="K390" s="678">
        <f t="shared" si="168"/>
        <v>1.0002025717421368</v>
      </c>
      <c r="L390" s="679">
        <f t="shared" si="169"/>
        <v>2.0126477682635553E-2</v>
      </c>
      <c r="M390" s="678">
        <f t="shared" si="170"/>
        <v>1.0249681514625084</v>
      </c>
      <c r="N390" s="679">
        <f t="shared" si="171"/>
        <v>-0.22117629900882477</v>
      </c>
      <c r="O390" s="677">
        <f t="shared" si="172"/>
        <v>642421.13940662844</v>
      </c>
      <c r="P390" s="680">
        <f t="shared" si="173"/>
        <v>1.5707947701836042</v>
      </c>
      <c r="Q390" s="689">
        <f t="shared" si="195"/>
        <v>79.238250861751951</v>
      </c>
      <c r="R390" s="690">
        <f t="shared" si="196"/>
        <v>1.5581758242497457</v>
      </c>
      <c r="S390" s="677">
        <f t="shared" si="174"/>
        <v>1.1512758091425424</v>
      </c>
      <c r="T390" s="680">
        <f t="shared" si="175"/>
        <v>0.51842317919825576</v>
      </c>
      <c r="U390" s="681">
        <f t="shared" si="187"/>
        <v>0.83226911186009955</v>
      </c>
      <c r="V390" s="682">
        <f t="shared" si="188"/>
        <v>-0.74189747201038303</v>
      </c>
      <c r="W390" s="683">
        <f t="shared" si="176"/>
        <v>-16.647734719168692</v>
      </c>
      <c r="X390" s="684">
        <f t="shared" si="177"/>
        <v>-174.126893206364</v>
      </c>
      <c r="Y390" s="687">
        <f t="shared" si="178"/>
        <v>5.8731067936359977</v>
      </c>
      <c r="AA390" s="170">
        <f t="shared" si="179"/>
        <v>34081.5</v>
      </c>
      <c r="AB390" s="170">
        <f t="shared" si="180"/>
        <v>1161548642.25</v>
      </c>
      <c r="AD390" s="686">
        <f t="shared" si="181"/>
        <v>25.704163653596275</v>
      </c>
      <c r="AE390" s="687">
        <f t="shared" si="182"/>
        <v>-30.426472548495603</v>
      </c>
      <c r="AG390" s="686">
        <f t="shared" si="183"/>
        <v>6.0185387284790117</v>
      </c>
      <c r="AH390" s="687">
        <f t="shared" si="184"/>
        <v>-58.685232605484224</v>
      </c>
      <c r="AJ390" s="170">
        <f t="shared" si="185"/>
        <v>0</v>
      </c>
      <c r="AK390" s="170">
        <f t="shared" si="197"/>
        <v>0</v>
      </c>
      <c r="AM390" s="170" t="str">
        <f t="shared" si="189"/>
        <v>0.600054892843722+0.916539094235349i</v>
      </c>
      <c r="AN390" s="170" t="str">
        <f t="shared" si="190"/>
        <v>1.15933937294741i</v>
      </c>
      <c r="AO390" s="170" t="str">
        <f t="shared" si="191"/>
        <v>0.790570143326725-0.517583467658992i</v>
      </c>
      <c r="AP390" s="170" t="str">
        <f t="shared" si="192"/>
        <v>0.0666575178593797-0.152756515705891i</v>
      </c>
      <c r="AQ390" s="170" t="str">
        <f t="shared" si="193"/>
        <v>0.93334248214062+0.152756515705891i</v>
      </c>
      <c r="AR390" s="170" t="str">
        <f t="shared" si="194"/>
        <v>0.869208130272057-0.142259897030581i</v>
      </c>
    </row>
    <row r="391" spans="7:44">
      <c r="G391" s="688">
        <v>34279</v>
      </c>
      <c r="H391" s="676">
        <f t="shared" si="186"/>
        <v>34.279000000000003</v>
      </c>
      <c r="I391" s="677">
        <f t="shared" si="166"/>
        <v>176.51358618080596</v>
      </c>
      <c r="J391" s="678">
        <f t="shared" si="167"/>
        <v>1.5651310101982596</v>
      </c>
      <c r="K391" s="678">
        <f t="shared" si="168"/>
        <v>1.0002049260827792</v>
      </c>
      <c r="L391" s="679">
        <f t="shared" si="169"/>
        <v>2.0243077498982499E-2</v>
      </c>
      <c r="M391" s="678">
        <f t="shared" si="170"/>
        <v>1.0252547925394737</v>
      </c>
      <c r="N391" s="679">
        <f t="shared" si="171"/>
        <v>-0.22241626172040926</v>
      </c>
      <c r="O391" s="677">
        <f t="shared" si="172"/>
        <v>646143.92669687385</v>
      </c>
      <c r="P391" s="680">
        <f t="shared" si="173"/>
        <v>1.5707947791520902</v>
      </c>
      <c r="Q391" s="689">
        <f t="shared" si="195"/>
        <v>79.697358273140836</v>
      </c>
      <c r="R391" s="690">
        <f t="shared" si="196"/>
        <v>1.5582485301884563</v>
      </c>
      <c r="S391" s="677">
        <f t="shared" si="174"/>
        <v>1.1529174630435555</v>
      </c>
      <c r="T391" s="680">
        <f t="shared" si="175"/>
        <v>0.52091377952439022</v>
      </c>
      <c r="U391" s="681">
        <f t="shared" si="187"/>
        <v>0.83076090410799464</v>
      </c>
      <c r="V391" s="682">
        <f t="shared" si="188"/>
        <v>-0.74554445704163785</v>
      </c>
      <c r="W391" s="683">
        <f t="shared" si="176"/>
        <v>-16.7236120182096</v>
      </c>
      <c r="X391" s="684">
        <f t="shared" si="177"/>
        <v>-174.54063065460846</v>
      </c>
      <c r="Y391" s="687">
        <f t="shared" si="178"/>
        <v>5.4593693453915364</v>
      </c>
      <c r="AA391" s="170">
        <f t="shared" si="179"/>
        <v>34279</v>
      </c>
      <c r="AB391" s="170">
        <f t="shared" si="180"/>
        <v>1175049841</v>
      </c>
      <c r="AD391" s="686">
        <f t="shared" si="181"/>
        <v>25.691778943085694</v>
      </c>
      <c r="AE391" s="687">
        <f t="shared" si="182"/>
        <v>-30.565008206218049</v>
      </c>
      <c r="AG391" s="686">
        <f t="shared" si="183"/>
        <v>5.9865552036499547</v>
      </c>
      <c r="AH391" s="687">
        <f t="shared" si="184"/>
        <v>-58.54252069505214</v>
      </c>
      <c r="AJ391" s="170">
        <f t="shared" si="185"/>
        <v>0</v>
      </c>
      <c r="AK391" s="170">
        <f t="shared" si="197"/>
        <v>0</v>
      </c>
      <c r="AM391" s="170" t="str">
        <f t="shared" si="189"/>
        <v>0.606221451151228+0.919205338575965i</v>
      </c>
      <c r="AN391" s="170" t="str">
        <f t="shared" si="190"/>
        <v>1.16605766663041i</v>
      </c>
      <c r="AO391" s="170" t="str">
        <f t="shared" si="191"/>
        <v>0.788301783763593-0.519889769176719i</v>
      </c>
      <c r="AP391" s="170" t="str">
        <f t="shared" si="192"/>
        <v>0.065629758141462-0.153200889762661i</v>
      </c>
      <c r="AQ391" s="170" t="str">
        <f t="shared" si="193"/>
        <v>0.934370241858538+0.153200889762661i</v>
      </c>
      <c r="AR391" s="170" t="str">
        <f t="shared" si="194"/>
        <v>0.868170169975539-0.142346616520124i</v>
      </c>
    </row>
    <row r="392" spans="7:44">
      <c r="G392" s="688">
        <v>34476.5</v>
      </c>
      <c r="H392" s="676">
        <f t="shared" si="186"/>
        <v>34.476500000000001</v>
      </c>
      <c r="I392" s="677">
        <f t="shared" si="166"/>
        <v>177.53054459795288</v>
      </c>
      <c r="J392" s="678">
        <f t="shared" si="167"/>
        <v>1.5651634635010012</v>
      </c>
      <c r="K392" s="678">
        <f t="shared" si="168"/>
        <v>1.0002072940216604</v>
      </c>
      <c r="L392" s="679">
        <f t="shared" si="169"/>
        <v>2.0359676764826636E-2</v>
      </c>
      <c r="M392" s="678">
        <f t="shared" si="170"/>
        <v>1.0255430090708075</v>
      </c>
      <c r="N392" s="679">
        <f t="shared" si="171"/>
        <v>-0.22365552938326594</v>
      </c>
      <c r="O392" s="677">
        <f t="shared" si="172"/>
        <v>649866.7139871195</v>
      </c>
      <c r="P392" s="680">
        <f t="shared" si="173"/>
        <v>1.5707947880178237</v>
      </c>
      <c r="Q392" s="689">
        <f t="shared" si="195"/>
        <v>80.156466100996155</v>
      </c>
      <c r="R392" s="690">
        <f t="shared" si="196"/>
        <v>1.5583204032598479</v>
      </c>
      <c r="S392" s="677">
        <f t="shared" si="174"/>
        <v>1.1545662482319321</v>
      </c>
      <c r="T392" s="680">
        <f t="shared" si="175"/>
        <v>0.52339728178616118</v>
      </c>
      <c r="U392" s="681">
        <f t="shared" si="187"/>
        <v>0.82925153229531445</v>
      </c>
      <c r="V392" s="682">
        <f t="shared" si="188"/>
        <v>-0.74918307786927929</v>
      </c>
      <c r="W392" s="683">
        <f t="shared" si="176"/>
        <v>-16.799264948858237</v>
      </c>
      <c r="X392" s="684">
        <f t="shared" si="177"/>
        <v>-174.95346855230073</v>
      </c>
      <c r="Y392" s="687">
        <f t="shared" si="178"/>
        <v>5.046531447699266</v>
      </c>
      <c r="AA392" s="170">
        <f t="shared" si="179"/>
        <v>34476.5</v>
      </c>
      <c r="AB392" s="170">
        <f t="shared" si="180"/>
        <v>1188629052.25</v>
      </c>
      <c r="AD392" s="686">
        <f t="shared" si="181"/>
        <v>25.679358330268339</v>
      </c>
      <c r="AE392" s="687">
        <f t="shared" si="182"/>
        <v>-30.703184888704346</v>
      </c>
      <c r="AG392" s="686">
        <f t="shared" si="183"/>
        <v>5.9549135903535806</v>
      </c>
      <c r="AH392" s="687">
        <f t="shared" si="184"/>
        <v>-58.400226676437185</v>
      </c>
      <c r="AJ392" s="170">
        <f t="shared" si="185"/>
        <v>0</v>
      </c>
      <c r="AK392" s="170">
        <f t="shared" si="197"/>
        <v>0</v>
      </c>
      <c r="AM392" s="170" t="str">
        <f t="shared" si="189"/>
        <v>0.612405782771756+0.921830094307636i</v>
      </c>
      <c r="AN392" s="170" t="str">
        <f t="shared" si="190"/>
        <v>1.1727759603134i</v>
      </c>
      <c r="AO392" s="170" t="str">
        <f t="shared" si="191"/>
        <v>0.786024036561336-0.522184802123761i</v>
      </c>
      <c r="AP392" s="170" t="str">
        <f t="shared" si="192"/>
        <v>0.0645990362047073-0.153638349051273i</v>
      </c>
      <c r="AQ392" s="170" t="str">
        <f t="shared" si="193"/>
        <v>0.935400963795293+0.153638349051273i</v>
      </c>
      <c r="AR392" s="170" t="str">
        <f t="shared" si="194"/>
        <v>0.867133987320644-0.142425590067434i</v>
      </c>
    </row>
    <row r="393" spans="7:44">
      <c r="G393" s="688">
        <v>34674</v>
      </c>
      <c r="H393" s="676">
        <f t="shared" si="186"/>
        <v>34.673999999999999</v>
      </c>
      <c r="I393" s="677">
        <f t="shared" si="166"/>
        <v>178.54750319994798</v>
      </c>
      <c r="J393" s="678">
        <f t="shared" si="167"/>
        <v>1.5651955471131922</v>
      </c>
      <c r="K393" s="678">
        <f t="shared" si="168"/>
        <v>1.0002096755586842</v>
      </c>
      <c r="L393" s="679">
        <f t="shared" si="169"/>
        <v>2.0476275477001458E-2</v>
      </c>
      <c r="M393" s="678">
        <f t="shared" si="170"/>
        <v>1.0258327997285974</v>
      </c>
      <c r="N393" s="679">
        <f t="shared" si="171"/>
        <v>-0.2248940987783494</v>
      </c>
      <c r="O393" s="677">
        <f t="shared" si="172"/>
        <v>653589.50127736514</v>
      </c>
      <c r="P393" s="680">
        <f t="shared" si="173"/>
        <v>1.57079479678256</v>
      </c>
      <c r="Q393" s="689">
        <f t="shared" si="195"/>
        <v>80.615574338202578</v>
      </c>
      <c r="R393" s="690">
        <f t="shared" si="196"/>
        <v>1.5583914576927884</v>
      </c>
      <c r="S393" s="677">
        <f t="shared" si="174"/>
        <v>1.1562221341997951</v>
      </c>
      <c r="T393" s="680">
        <f t="shared" si="175"/>
        <v>0.5258736857794859</v>
      </c>
      <c r="U393" s="681">
        <f t="shared" si="187"/>
        <v>0.82774106152985127</v>
      </c>
      <c r="V393" s="682">
        <f t="shared" si="188"/>
        <v>-0.75281334905143626</v>
      </c>
      <c r="W393" s="683">
        <f t="shared" si="176"/>
        <v>-16.874695908840526</v>
      </c>
      <c r="X393" s="684">
        <f t="shared" si="177"/>
        <v>-175.36540709068123</v>
      </c>
      <c r="Y393" s="687">
        <f t="shared" si="178"/>
        <v>4.6345929093187692</v>
      </c>
      <c r="AA393" s="170">
        <f t="shared" si="179"/>
        <v>34674</v>
      </c>
      <c r="AB393" s="170">
        <f t="shared" si="180"/>
        <v>1202286276</v>
      </c>
      <c r="AD393" s="686">
        <f t="shared" si="181"/>
        <v>25.666902220705239</v>
      </c>
      <c r="AE393" s="687">
        <f t="shared" si="182"/>
        <v>-30.841001769107873</v>
      </c>
      <c r="AG393" s="686">
        <f t="shared" si="183"/>
        <v>5.9236100607435791</v>
      </c>
      <c r="AH393" s="687">
        <f t="shared" si="184"/>
        <v>-58.258349899487662</v>
      </c>
      <c r="AJ393" s="170">
        <f t="shared" si="185"/>
        <v>0</v>
      </c>
      <c r="AK393" s="170">
        <f t="shared" si="197"/>
        <v>0</v>
      </c>
      <c r="AM393" s="170" t="str">
        <f t="shared" si="189"/>
        <v>0.618607608573661+0.92441324296123i</v>
      </c>
      <c r="AN393" s="170" t="str">
        <f t="shared" si="190"/>
        <v>1.1794942539964i</v>
      </c>
      <c r="AO393" s="170" t="str">
        <f t="shared" si="191"/>
        <v>0.783736961692779-0.524468522400745i</v>
      </c>
      <c r="AP393" s="170" t="str">
        <f t="shared" si="192"/>
        <v>0.0635653985710565-0.154068873826872i</v>
      </c>
      <c r="AQ393" s="170" t="str">
        <f t="shared" si="193"/>
        <v>0.936434601428944+0.154068873826872i</v>
      </c>
      <c r="AR393" s="170" t="str">
        <f t="shared" si="194"/>
        <v>0.866099636996241-0.142496865761104i</v>
      </c>
    </row>
    <row r="394" spans="7:44">
      <c r="G394" s="688">
        <v>34875.75</v>
      </c>
      <c r="H394" s="676">
        <f t="shared" si="186"/>
        <v>34.875749999999996</v>
      </c>
      <c r="I394" s="677">
        <f t="shared" si="166"/>
        <v>179.58634590881857</v>
      </c>
      <c r="J394" s="678">
        <f t="shared" si="167"/>
        <v>1.5652279459540877</v>
      </c>
      <c r="K394" s="678">
        <f t="shared" si="168"/>
        <v>1.0002121223840907</v>
      </c>
      <c r="L394" s="679">
        <f t="shared" si="169"/>
        <v>2.0595382700425716E-2</v>
      </c>
      <c r="M394" s="678">
        <f t="shared" si="170"/>
        <v>1.026130450302287</v>
      </c>
      <c r="N394" s="679">
        <f t="shared" si="171"/>
        <v>-0.22615859662931259</v>
      </c>
      <c r="O394" s="677">
        <f t="shared" si="172"/>
        <v>657392.39918018563</v>
      </c>
      <c r="P394" s="680">
        <f t="shared" si="173"/>
        <v>1.5707948056334089</v>
      </c>
      <c r="Q394" s="689">
        <f t="shared" si="195"/>
        <v>81.084562535182116</v>
      </c>
      <c r="R394" s="690">
        <f t="shared" si="196"/>
        <v>1.5584632103527112</v>
      </c>
      <c r="S394" s="677">
        <f t="shared" si="174"/>
        <v>1.1579209531026258</v>
      </c>
      <c r="T394" s="680">
        <f t="shared" si="175"/>
        <v>0.52839605059880346</v>
      </c>
      <c r="U394" s="681">
        <f t="shared" si="187"/>
        <v>0.82619701924720101</v>
      </c>
      <c r="V394" s="682">
        <f t="shared" si="188"/>
        <v>-0.75651313449730406</v>
      </c>
      <c r="W394" s="683">
        <f t="shared" si="176"/>
        <v>-16.951523320102254</v>
      </c>
      <c r="X394" s="684">
        <f t="shared" si="177"/>
        <v>-175.78528178908246</v>
      </c>
      <c r="Y394" s="687">
        <f t="shared" si="178"/>
        <v>4.214718210917539</v>
      </c>
      <c r="AA394" s="170">
        <f t="shared" si="179"/>
        <v>34875.75</v>
      </c>
      <c r="AB394" s="170">
        <f t="shared" si="180"/>
        <v>1216317938.0625</v>
      </c>
      <c r="AD394" s="686">
        <f t="shared" si="181"/>
        <v>25.654141837544898</v>
      </c>
      <c r="AE394" s="687">
        <f t="shared" si="182"/>
        <v>-30.98141201034138</v>
      </c>
      <c r="AG394" s="686">
        <f t="shared" si="183"/>
        <v>5.8919780673405331</v>
      </c>
      <c r="AH394" s="687">
        <f t="shared" si="184"/>
        <v>-58.113850173866638</v>
      </c>
      <c r="AJ394" s="170">
        <f t="shared" si="185"/>
        <v>0</v>
      </c>
      <c r="AK394" s="170">
        <f t="shared" si="197"/>
        <v>0</v>
      </c>
      <c r="AM394" s="170" t="str">
        <f t="shared" si="189"/>
        <v>0.624960663204921+0.927008897398675i</v>
      </c>
      <c r="AN394" s="170" t="str">
        <f t="shared" si="190"/>
        <v>1.18635711855612i</v>
      </c>
      <c r="AO394" s="170" t="str">
        <f t="shared" si="191"/>
        <v>0.78139110298163-0.526789660069257i</v>
      </c>
      <c r="AP394" s="170" t="str">
        <f t="shared" si="192"/>
        <v>0.0625065561325132-0.154501482899779i</v>
      </c>
      <c r="AQ394" s="170" t="str">
        <f t="shared" si="193"/>
        <v>0.937493443867487+0.154501482899779i</v>
      </c>
      <c r="AR394" s="170" t="str">
        <f t="shared" si="194"/>
        <v>0.865044976364979-0.14256177736245i</v>
      </c>
    </row>
    <row r="395" spans="7:44">
      <c r="G395" s="688">
        <v>35077.5</v>
      </c>
      <c r="H395" s="676">
        <f t="shared" si="186"/>
        <v>35.077500000000001</v>
      </c>
      <c r="I395" s="677">
        <f t="shared" si="166"/>
        <v>180.62518880402985</v>
      </c>
      <c r="J395" s="678">
        <f t="shared" si="167"/>
        <v>1.5652599721193567</v>
      </c>
      <c r="K395" s="678">
        <f t="shared" si="168"/>
        <v>1.0002145833989673</v>
      </c>
      <c r="L395" s="679">
        <f t="shared" si="169"/>
        <v>2.0714489339416154E-2</v>
      </c>
      <c r="M395" s="678">
        <f t="shared" si="170"/>
        <v>1.0264297406590888</v>
      </c>
      <c r="N395" s="679">
        <f t="shared" si="171"/>
        <v>-0.22742235908563962</v>
      </c>
      <c r="O395" s="677">
        <f t="shared" si="172"/>
        <v>661195.29708300624</v>
      </c>
      <c r="P395" s="680">
        <f t="shared" si="173"/>
        <v>1.5707948143824455</v>
      </c>
      <c r="Q395" s="689">
        <f t="shared" si="195"/>
        <v>81.553551144819664</v>
      </c>
      <c r="R395" s="690">
        <f t="shared" si="196"/>
        <v>1.5585341377594109</v>
      </c>
      <c r="S395" s="677">
        <f t="shared" si="174"/>
        <v>1.1596271174616883</v>
      </c>
      <c r="T395" s="680">
        <f t="shared" si="175"/>
        <v>0.53091100904757715</v>
      </c>
      <c r="U395" s="681">
        <f t="shared" si="187"/>
        <v>0.82465196528219731</v>
      </c>
      <c r="V395" s="682">
        <f t="shared" si="188"/>
        <v>-0.76020423917767621</v>
      </c>
      <c r="W395" s="683">
        <f t="shared" si="176"/>
        <v>-17.028124002026605</v>
      </c>
      <c r="X395" s="684">
        <f t="shared" si="177"/>
        <v>-176.20421858591251</v>
      </c>
      <c r="Y395" s="687">
        <f t="shared" si="178"/>
        <v>3.7957814140874859</v>
      </c>
      <c r="AA395" s="170">
        <f t="shared" si="179"/>
        <v>35077.5</v>
      </c>
      <c r="AB395" s="170">
        <f t="shared" si="180"/>
        <v>1230431006.25</v>
      </c>
      <c r="AD395" s="686">
        <f t="shared" si="181"/>
        <v>25.641345263680787</v>
      </c>
      <c r="AE395" s="687">
        <f t="shared" si="182"/>
        <v>-31.12144517549407</v>
      </c>
      <c r="AG395" s="686">
        <f t="shared" si="183"/>
        <v>5.8606909787510002</v>
      </c>
      <c r="AH395" s="687">
        <f t="shared" si="184"/>
        <v>-57.969784365208106</v>
      </c>
      <c r="AJ395" s="170">
        <f t="shared" si="185"/>
        <v>0</v>
      </c>
      <c r="AK395" s="170">
        <f t="shared" si="197"/>
        <v>0</v>
      </c>
      <c r="AM395" s="170" t="str">
        <f t="shared" si="189"/>
        <v>0.631331381710819+0.929560890898894i</v>
      </c>
      <c r="AN395" s="170" t="str">
        <f t="shared" si="190"/>
        <v>1.19321998311585i</v>
      </c>
      <c r="AO395" s="170" t="str">
        <f t="shared" si="191"/>
        <v>0.779035638065276-0.52909890099412i</v>
      </c>
      <c r="AP395" s="170" t="str">
        <f t="shared" si="192"/>
        <v>0.0614447697148635-0.154926815149816i</v>
      </c>
      <c r="AQ395" s="170" t="str">
        <f t="shared" si="193"/>
        <v>0.938555230285137+0.154926815149816i</v>
      </c>
      <c r="AR395" s="170" t="str">
        <f t="shared" si="194"/>
        <v>0.863992340374309-0.142618758373294i</v>
      </c>
    </row>
    <row r="396" spans="7:44">
      <c r="G396" s="688">
        <v>35279.25</v>
      </c>
      <c r="H396" s="676">
        <f t="shared" si="186"/>
        <v>35.279249999999998</v>
      </c>
      <c r="I396" s="677">
        <f t="shared" si="166"/>
        <v>181.66403188238507</v>
      </c>
      <c r="J396" s="678">
        <f t="shared" si="167"/>
        <v>1.5652916320023538</v>
      </c>
      <c r="K396" s="678">
        <f t="shared" si="168"/>
        <v>1.0002170586032098</v>
      </c>
      <c r="L396" s="679">
        <f t="shared" si="169"/>
        <v>2.0833595390597714E-2</v>
      </c>
      <c r="M396" s="678">
        <f t="shared" si="170"/>
        <v>1.0267306693650207</v>
      </c>
      <c r="N396" s="679">
        <f t="shared" si="171"/>
        <v>-0.22868538275550279</v>
      </c>
      <c r="O396" s="677">
        <f t="shared" si="172"/>
        <v>664998.19498582697</v>
      </c>
      <c r="P396" s="680">
        <f t="shared" si="173"/>
        <v>1.5707948230314164</v>
      </c>
      <c r="Q396" s="689">
        <f t="shared" si="195"/>
        <v>82.022540160036726</v>
      </c>
      <c r="R396" s="690">
        <f t="shared" si="196"/>
        <v>1.5586042540680825</v>
      </c>
      <c r="S396" s="677">
        <f t="shared" si="174"/>
        <v>1.1613405949026163</v>
      </c>
      <c r="T396" s="680">
        <f t="shared" si="175"/>
        <v>0.53341856202449645</v>
      </c>
      <c r="U396" s="681">
        <f t="shared" si="187"/>
        <v>0.82310596674304226</v>
      </c>
      <c r="V396" s="682">
        <f t="shared" si="188"/>
        <v>-0.76388668000231197</v>
      </c>
      <c r="W396" s="683">
        <f t="shared" si="176"/>
        <v>-17.104500350580878</v>
      </c>
      <c r="X396" s="684">
        <f t="shared" si="177"/>
        <v>-176.62221786275575</v>
      </c>
      <c r="Y396" s="687">
        <f t="shared" si="178"/>
        <v>3.3777821372442531</v>
      </c>
      <c r="AA396" s="170">
        <f t="shared" si="179"/>
        <v>35279.25</v>
      </c>
      <c r="AB396" s="170">
        <f t="shared" si="180"/>
        <v>1244625480.5625</v>
      </c>
      <c r="AD396" s="686">
        <f t="shared" si="181"/>
        <v>25.628512925978587</v>
      </c>
      <c r="AE396" s="687">
        <f t="shared" si="182"/>
        <v>-31.261100505124208</v>
      </c>
      <c r="AG396" s="686">
        <f t="shared" si="183"/>
        <v>5.8297449032413953</v>
      </c>
      <c r="AH396" s="687">
        <f t="shared" si="184"/>
        <v>-57.826151676822398</v>
      </c>
      <c r="AJ396" s="170">
        <f t="shared" si="185"/>
        <v>0</v>
      </c>
      <c r="AK396" s="170">
        <f t="shared" si="197"/>
        <v>0</v>
      </c>
      <c r="AM396" s="170" t="str">
        <f t="shared" si="189"/>
        <v>0.637719464038615+0.932069103266239i</v>
      </c>
      <c r="AN396" s="170" t="str">
        <f t="shared" si="190"/>
        <v>1.20008284767557i</v>
      </c>
      <c r="AO396" s="170" t="str">
        <f t="shared" si="191"/>
        <v>0.77667063159144-0.531396199248917i</v>
      </c>
      <c r="AP396" s="170" t="str">
        <f t="shared" si="192"/>
        <v>0.0603800893268975-0.155344850544373i</v>
      </c>
      <c r="AQ396" s="170" t="str">
        <f t="shared" si="193"/>
        <v>0.939619910673102+0.155344850544373i</v>
      </c>
      <c r="AR396" s="170" t="str">
        <f t="shared" si="194"/>
        <v>0.862941784532788-0.142667860721162i</v>
      </c>
    </row>
    <row r="397" spans="7:44">
      <c r="G397" s="688">
        <v>35481</v>
      </c>
      <c r="H397" s="676">
        <f t="shared" si="186"/>
        <v>35.481000000000002</v>
      </c>
      <c r="I397" s="677">
        <f t="shared" ref="I397:I460" si="198">SQRT(1+(G397/pole1)^2)</f>
        <v>182.70287514076017</v>
      </c>
      <c r="J397" s="678">
        <f t="shared" ref="J397:J460" si="199">ATAN(G397/pole1)</f>
        <v>1.5653229318510256</v>
      </c>
      <c r="K397" s="678">
        <f t="shared" ref="K397:K460" si="200">SQRT(1+(G397/Zero1)^2)</f>
        <v>1.0002195479967124</v>
      </c>
      <c r="L397" s="679">
        <f t="shared" ref="L397:L460" si="201">ATAN(G397/Zero1)</f>
        <v>2.0952700850595429E-2</v>
      </c>
      <c r="M397" s="678">
        <f t="shared" ref="M397:M460" si="202">SQRT(1+(G397/z_RHP)^2)</f>
        <v>1.0270332349799354</v>
      </c>
      <c r="N397" s="679">
        <f t="shared" ref="N397:N460" si="203">-ATAN(G397/z_RHP)</f>
        <v>-0.22994766426046725</v>
      </c>
      <c r="O397" s="677">
        <f t="shared" ref="O397:O460" si="204">SQRT(1+(G397/Pole2)^2)</f>
        <v>668801.09288864769</v>
      </c>
      <c r="P397" s="680">
        <f t="shared" ref="P397:P460" si="205">ATAN(G397/Pole2)</f>
        <v>1.570794831582029</v>
      </c>
      <c r="Q397" s="689">
        <f t="shared" si="195"/>
        <v>82.491529573915756</v>
      </c>
      <c r="R397" s="690">
        <f t="shared" si="196"/>
        <v>1.5586735731120469</v>
      </c>
      <c r="S397" s="677">
        <f t="shared" ref="S397:S460" si="206">SQRT(1+(G397/pole4)^2)</f>
        <v>1.1630613531034673</v>
      </c>
      <c r="T397" s="680">
        <f t="shared" ref="T397:T460" si="207">ATAN(G397/pole4)</f>
        <v>0.53591871079547826</v>
      </c>
      <c r="U397" s="681">
        <f t="shared" si="187"/>
        <v>0.82155908996725069</v>
      </c>
      <c r="V397" s="682">
        <f t="shared" si="188"/>
        <v>-0.76756047433448338</v>
      </c>
      <c r="W397" s="683">
        <f t="shared" ref="W397:W460" si="208">20*LOG10(((K397*Q397*M397*U397)/(I397*O397*S397))*Adc)</f>
        <v>-17.180654710631778</v>
      </c>
      <c r="X397" s="684">
        <f t="shared" ref="X397:X460" si="209">((L397+R397+N397+V397)-(J397+P397+T397))*radconv</f>
        <v>-177.03928005909719</v>
      </c>
      <c r="Y397" s="687">
        <f t="shared" ref="Y397:Y460" si="210">IF(X397&gt;0,X397,X397+180)</f>
        <v>2.9607199409028055</v>
      </c>
      <c r="AA397" s="170">
        <f t="shared" ref="AA397:AA460" si="211">IF(W397&lt;0,G397,1000000000)</f>
        <v>35481</v>
      </c>
      <c r="AB397" s="170">
        <f t="shared" ref="AB397:AB460" si="212">G397^2</f>
        <v>1258901361</v>
      </c>
      <c r="AD397" s="686">
        <f t="shared" ref="AD397:AD460" si="213">20*LOG10((Q397/(O397*S397))*Aea)</f>
        <v>25.615645249421696</v>
      </c>
      <c r="AE397" s="687">
        <f t="shared" ref="AE397:AE460" si="214">(R397-(P397+T397))*radconv</f>
        <v>-31.400377279270398</v>
      </c>
      <c r="AG397" s="686">
        <f t="shared" ref="AG397:AG460" si="215">20*LOG10((K397*M397/(I397*U397))*Acs*Am)</f>
        <v>5.7991360099522984</v>
      </c>
      <c r="AH397" s="687">
        <f t="shared" ref="AH397:AH460" si="216">(L397+N397-(J397+V397))*radconv</f>
        <v>-57.682951278471606</v>
      </c>
      <c r="AJ397" s="170">
        <f t="shared" ref="AJ397:AJ460" si="217">SUM((W398&lt;0)*(W397&gt;0))*G397</f>
        <v>0</v>
      </c>
      <c r="AK397" s="170">
        <f t="shared" si="197"/>
        <v>0</v>
      </c>
      <c r="AM397" s="170" t="str">
        <f t="shared" si="189"/>
        <v>0.644124609317786+0.93453341636711i</v>
      </c>
      <c r="AN397" s="170" t="str">
        <f t="shared" si="190"/>
        <v>1.20694571223529i</v>
      </c>
      <c r="AO397" s="170" t="str">
        <f t="shared" si="191"/>
        <v>0.774296148445926-0.533681509274227i</v>
      </c>
      <c r="AP397" s="170" t="str">
        <f t="shared" si="192"/>
        <v>0.0593125651137023-0.155755569394518i</v>
      </c>
      <c r="AQ397" s="170" t="str">
        <f t="shared" si="193"/>
        <v>0.940687434886298+0.155755569394518i</v>
      </c>
      <c r="AR397" s="170" t="str">
        <f t="shared" si="194"/>
        <v>0.861893363420986-0.142709136529732i</v>
      </c>
    </row>
    <row r="398" spans="7:44">
      <c r="G398" s="688">
        <v>35687.75</v>
      </c>
      <c r="H398" s="676">
        <f t="shared" ref="H398:H461" si="218">G398/1000</f>
        <v>35.687750000000001</v>
      </c>
      <c r="I398" s="677">
        <f t="shared" si="198"/>
        <v>183.76746438836889</v>
      </c>
      <c r="J398" s="678">
        <f t="shared" si="199"/>
        <v>1.5653546402663767</v>
      </c>
      <c r="K398" s="678">
        <f t="shared" si="200"/>
        <v>1.0002221138062102</v>
      </c>
      <c r="L398" s="679">
        <f t="shared" si="201"/>
        <v>2.1074757501898751E-2</v>
      </c>
      <c r="M398" s="678">
        <f t="shared" si="202"/>
        <v>1.0273449958734935</v>
      </c>
      <c r="N398" s="679">
        <f t="shared" si="203"/>
        <v>-0.2312404555716274</v>
      </c>
      <c r="O398" s="677">
        <f t="shared" si="204"/>
        <v>672698.23857096839</v>
      </c>
      <c r="P398" s="680">
        <f t="shared" si="205"/>
        <v>1.5707948402442522</v>
      </c>
      <c r="Q398" s="689">
        <f t="shared" si="195"/>
        <v>82.972142428129104</v>
      </c>
      <c r="R398" s="690">
        <f t="shared" si="196"/>
        <v>1.5587437970936751</v>
      </c>
      <c r="S398" s="677">
        <f t="shared" si="206"/>
        <v>1.1648322770110968</v>
      </c>
      <c r="T398" s="680">
        <f t="shared" si="207"/>
        <v>0.53847314109908395</v>
      </c>
      <c r="U398" s="681">
        <f t="shared" ref="U398:U461" si="219">IMABS(IMPRODUCT(AO398, AR398))</f>
        <v>0.81997303414446554</v>
      </c>
      <c r="V398" s="682">
        <f t="shared" ref="V398:V461" si="220">IMARGUMENT(IMPRODUCT(AO398, AR398))</f>
        <v>-0.77131636490670064</v>
      </c>
      <c r="W398" s="683">
        <f t="shared" si="208"/>
        <v>-17.258468506854879</v>
      </c>
      <c r="X398" s="684">
        <f t="shared" si="209"/>
        <v>-177.46570668499754</v>
      </c>
      <c r="Y398" s="687">
        <f t="shared" si="210"/>
        <v>2.5342933150024578</v>
      </c>
      <c r="AA398" s="170">
        <f t="shared" si="211"/>
        <v>35687.75</v>
      </c>
      <c r="AB398" s="170">
        <f t="shared" si="212"/>
        <v>1273615500.0625</v>
      </c>
      <c r="AD398" s="686">
        <f t="shared" si="213"/>
        <v>25.602422450469234</v>
      </c>
      <c r="AE398" s="687">
        <f t="shared" si="214"/>
        <v>-31.542712313430904</v>
      </c>
      <c r="AG398" s="686">
        <f t="shared" si="215"/>
        <v>5.7681144078122966</v>
      </c>
      <c r="AH398" s="687">
        <f t="shared" si="216"/>
        <v>-57.53664951351756</v>
      </c>
      <c r="AJ398" s="170">
        <f t="shared" si="217"/>
        <v>0</v>
      </c>
      <c r="AK398" s="170">
        <f t="shared" si="197"/>
        <v>0</v>
      </c>
      <c r="AM398" s="170" t="str">
        <f t="shared" ref="AM398:AM461" si="221">IMSUB(1,IMEXP(COMPLEX(0,-2*Pi*G398*Tsw)))</f>
        <v>0.650705881186652+0.937013136814211i</v>
      </c>
      <c r="AN398" s="170" t="str">
        <f t="shared" ref="AN398:AN461" si="222">COMPLEX(0, 2*Pi*G398*Tsw)</f>
        <v>1.21397866017939i</v>
      </c>
      <c r="AO398" s="170" t="str">
        <f t="shared" ref="AO398:AO461" si="223">IMDIV(AM398, AN398)</f>
        <v>0.771853054382149-0.536010971634787i</v>
      </c>
      <c r="AP398" s="170" t="str">
        <f t="shared" ref="AP398:AP461" si="224">IMDIV(IMEXP(COMPLEX(0,-2*Pi*G398*Tsw)),6)</f>
        <v>0.0582156864688913-0.156168856135702i</v>
      </c>
      <c r="AQ398" s="170" t="str">
        <f t="shared" ref="AQ398:AQ461" si="225">IMSUB(1, AP398)</f>
        <v>0.941784313531109+0.156168856135702i</v>
      </c>
      <c r="AR398" s="170" t="str">
        <f t="shared" ref="AR398:AR461" si="226">IMDIV(0.833, AQ398)</f>
        <v>0.860821230001065-0.14274337010621i</v>
      </c>
    </row>
    <row r="399" spans="7:44">
      <c r="G399" s="688">
        <v>35894.5</v>
      </c>
      <c r="H399" s="676">
        <f t="shared" si="218"/>
        <v>35.894500000000001</v>
      </c>
      <c r="I399" s="677">
        <f t="shared" si="198"/>
        <v>184.83205381861342</v>
      </c>
      <c r="J399" s="678">
        <f t="shared" si="199"/>
        <v>1.5653859834156365</v>
      </c>
      <c r="K399" s="678">
        <f t="shared" si="200"/>
        <v>1.0002246945167665</v>
      </c>
      <c r="L399" s="679">
        <f t="shared" si="201"/>
        <v>2.1196813525176182E-2</v>
      </c>
      <c r="M399" s="678">
        <f t="shared" si="202"/>
        <v>1.0276584727349203</v>
      </c>
      <c r="N399" s="679">
        <f t="shared" si="203"/>
        <v>-0.23253246033510813</v>
      </c>
      <c r="O399" s="677">
        <f t="shared" si="204"/>
        <v>676595.38425328908</v>
      </c>
      <c r="P399" s="680">
        <f t="shared" si="205"/>
        <v>1.5707948488066878</v>
      </c>
      <c r="Q399" s="689">
        <f t="shared" si="195"/>
        <v>83.452755686799009</v>
      </c>
      <c r="R399" s="690">
        <f t="shared" si="196"/>
        <v>1.5588132122209468</v>
      </c>
      <c r="S399" s="677">
        <f t="shared" si="206"/>
        <v>1.1666107784777209</v>
      </c>
      <c r="T399" s="680">
        <f t="shared" si="207"/>
        <v>0.54101979950521173</v>
      </c>
      <c r="U399" s="681">
        <f t="shared" si="219"/>
        <v>0.81838619459814321</v>
      </c>
      <c r="V399" s="682">
        <f t="shared" si="220"/>
        <v>-0.77506321344964846</v>
      </c>
      <c r="W399" s="683">
        <f t="shared" si="208"/>
        <v>-17.33605400232727</v>
      </c>
      <c r="X399" s="684">
        <f t="shared" si="209"/>
        <v>-177.89115032399587</v>
      </c>
      <c r="Y399" s="687">
        <f t="shared" si="210"/>
        <v>2.1088496760041266</v>
      </c>
      <c r="AA399" s="170">
        <f t="shared" si="211"/>
        <v>35894.5</v>
      </c>
      <c r="AB399" s="170">
        <f t="shared" si="212"/>
        <v>1288415130.25</v>
      </c>
      <c r="AD399" s="686">
        <f t="shared" si="213"/>
        <v>25.58916343685981</v>
      </c>
      <c r="AE399" s="687">
        <f t="shared" si="214"/>
        <v>-31.6846483888901</v>
      </c>
      <c r="AG399" s="686">
        <f t="shared" si="215"/>
        <v>5.7374389525150207</v>
      </c>
      <c r="AH399" s="687">
        <f t="shared" si="216"/>
        <v>-57.390799860594775</v>
      </c>
      <c r="AJ399" s="170">
        <f t="shared" si="217"/>
        <v>0</v>
      </c>
      <c r="AK399" s="170">
        <f t="shared" si="197"/>
        <v>0</v>
      </c>
      <c r="AM399" s="170" t="str">
        <f t="shared" si="221"/>
        <v>0.657304429894632+0.939446510574262i</v>
      </c>
      <c r="AN399" s="170" t="str">
        <f t="shared" si="222"/>
        <v>1.22101160812349i</v>
      </c>
      <c r="AO399" s="170" t="str">
        <f t="shared" si="223"/>
        <v>0.769400146832387-0.538327748500941i</v>
      </c>
      <c r="AP399" s="170" t="str">
        <f t="shared" si="224"/>
        <v>0.0571159283508947-0.156574418429044i</v>
      </c>
      <c r="AQ399" s="170" t="str">
        <f t="shared" si="225"/>
        <v>0.942884071649105+0.156574418429044i</v>
      </c>
      <c r="AR399" s="170" t="str">
        <f t="shared" si="226"/>
        <v>0.859751451529248-0.142769495810102i</v>
      </c>
    </row>
    <row r="400" spans="7:44">
      <c r="G400" s="688">
        <v>36101.25</v>
      </c>
      <c r="H400" s="676">
        <f t="shared" si="218"/>
        <v>36.10125</v>
      </c>
      <c r="I400" s="677">
        <f t="shared" si="198"/>
        <v>185.89664342835593</v>
      </c>
      <c r="J400" s="678">
        <f t="shared" si="199"/>
        <v>1.5654169675741407</v>
      </c>
      <c r="K400" s="678">
        <f t="shared" si="200"/>
        <v>1.0002272901282663</v>
      </c>
      <c r="L400" s="679">
        <f t="shared" si="201"/>
        <v>2.1318868916795897E-2</v>
      </c>
      <c r="M400" s="678">
        <f t="shared" si="202"/>
        <v>1.0279736639943813</v>
      </c>
      <c r="N400" s="679">
        <f t="shared" si="203"/>
        <v>-0.23382367495902909</v>
      </c>
      <c r="O400" s="677">
        <f t="shared" si="204"/>
        <v>680492.5299356099</v>
      </c>
      <c r="P400" s="680">
        <f t="shared" si="205"/>
        <v>1.5707948572710502</v>
      </c>
      <c r="Q400" s="689">
        <f t="shared" si="195"/>
        <v>83.933369342977528</v>
      </c>
      <c r="R400" s="690">
        <f t="shared" si="196"/>
        <v>1.5588818323880107</v>
      </c>
      <c r="S400" s="677">
        <f t="shared" si="206"/>
        <v>1.1683968229002855</v>
      </c>
      <c r="T400" s="680">
        <f t="shared" si="207"/>
        <v>0.54355868854727618</v>
      </c>
      <c r="U400" s="681">
        <f t="shared" si="219"/>
        <v>0.81679864021172832</v>
      </c>
      <c r="V400" s="682">
        <f t="shared" si="220"/>
        <v>-0.77880104008198425</v>
      </c>
      <c r="W400" s="683">
        <f t="shared" si="208"/>
        <v>-17.413413562193927</v>
      </c>
      <c r="X400" s="684">
        <f t="shared" si="209"/>
        <v>-178.31561163194127</v>
      </c>
      <c r="Y400" s="687">
        <f t="shared" si="210"/>
        <v>1.6843883680587339</v>
      </c>
      <c r="AA400" s="170">
        <f t="shared" si="211"/>
        <v>36101.25</v>
      </c>
      <c r="AB400" s="170">
        <f t="shared" si="212"/>
        <v>1303300251.5625</v>
      </c>
      <c r="AD400" s="686">
        <f t="shared" si="213"/>
        <v>25.575868659662412</v>
      </c>
      <c r="AE400" s="687">
        <f t="shared" si="214"/>
        <v>-31.826184854824138</v>
      </c>
      <c r="AG400" s="686">
        <f t="shared" si="215"/>
        <v>5.7071057119536563</v>
      </c>
      <c r="AH400" s="687">
        <f t="shared" si="216"/>
        <v>-57.24540132094787</v>
      </c>
      <c r="AJ400" s="170">
        <f t="shared" si="217"/>
        <v>0</v>
      </c>
      <c r="AK400" s="170">
        <f t="shared" si="197"/>
        <v>0</v>
      </c>
      <c r="AM400" s="170" t="str">
        <f t="shared" si="221"/>
        <v>0.663919929063302+0.941833417287359i</v>
      </c>
      <c r="AN400" s="170" t="str">
        <f t="shared" si="222"/>
        <v>1.22804455606759i</v>
      </c>
      <c r="AO400" s="170" t="str">
        <f t="shared" si="223"/>
        <v>0.766937496391232-0.540631792049376i</v>
      </c>
      <c r="AP400" s="170" t="str">
        <f t="shared" si="224"/>
        <v>0.0560133451561163-0.15697223621456i</v>
      </c>
      <c r="AQ400" s="170" t="str">
        <f t="shared" si="225"/>
        <v>0.943986654843884+0.15697223621456i</v>
      </c>
      <c r="AR400" s="170" t="str">
        <f t="shared" si="226"/>
        <v>0.858684083751678-0.142787570286831i</v>
      </c>
    </row>
    <row r="401" spans="7:44">
      <c r="G401" s="688">
        <v>36308</v>
      </c>
      <c r="H401" s="676">
        <f t="shared" si="218"/>
        <v>36.308</v>
      </c>
      <c r="I401" s="677">
        <f t="shared" si="198"/>
        <v>186.96123321453013</v>
      </c>
      <c r="J401" s="678">
        <f t="shared" si="199"/>
        <v>1.5654475988742969</v>
      </c>
      <c r="K401" s="678">
        <f t="shared" si="200"/>
        <v>1.000229900640593</v>
      </c>
      <c r="L401" s="679">
        <f t="shared" si="201"/>
        <v>2.144092367312618E-2</v>
      </c>
      <c r="M401" s="678">
        <f t="shared" si="202"/>
        <v>1.0282905680753864</v>
      </c>
      <c r="N401" s="679">
        <f t="shared" si="203"/>
        <v>-0.23511409586644044</v>
      </c>
      <c r="O401" s="677">
        <f t="shared" si="204"/>
        <v>684389.67561793071</v>
      </c>
      <c r="P401" s="680">
        <f t="shared" si="205"/>
        <v>1.5707948656390147</v>
      </c>
      <c r="Q401" s="689">
        <f t="shared" si="195"/>
        <v>84.413983389875028</v>
      </c>
      <c r="R401" s="690">
        <f t="shared" si="196"/>
        <v>1.5589496711726185</v>
      </c>
      <c r="S401" s="677">
        <f t="shared" si="206"/>
        <v>1.1701903757406817</v>
      </c>
      <c r="T401" s="680">
        <f t="shared" si="207"/>
        <v>0.54608981114390398</v>
      </c>
      <c r="U401" s="681">
        <f t="shared" si="219"/>
        <v>0.81521043902578816</v>
      </c>
      <c r="V401" s="682">
        <f t="shared" si="220"/>
        <v>-0.78252986538881686</v>
      </c>
      <c r="W401" s="683">
        <f t="shared" si="208"/>
        <v>-17.490549500925866</v>
      </c>
      <c r="X401" s="684">
        <f t="shared" si="209"/>
        <v>-178.73909132427178</v>
      </c>
      <c r="Y401" s="687">
        <f t="shared" si="210"/>
        <v>1.2609086757282171</v>
      </c>
      <c r="AA401" s="170">
        <f t="shared" si="211"/>
        <v>36308</v>
      </c>
      <c r="AB401" s="170">
        <f t="shared" si="212"/>
        <v>1318270864</v>
      </c>
      <c r="AD401" s="686">
        <f t="shared" si="213"/>
        <v>25.562538567772304</v>
      </c>
      <c r="AE401" s="687">
        <f t="shared" si="214"/>
        <v>-31.967321100606103</v>
      </c>
      <c r="AG401" s="686">
        <f t="shared" si="215"/>
        <v>5.6771108156865111</v>
      </c>
      <c r="AH401" s="687">
        <f t="shared" si="216"/>
        <v>-57.100452861761994</v>
      </c>
      <c r="AJ401" s="170">
        <f t="shared" si="217"/>
        <v>0</v>
      </c>
      <c r="AK401" s="170">
        <f t="shared" si="197"/>
        <v>0</v>
      </c>
      <c r="AM401" s="170" t="str">
        <f t="shared" si="221"/>
        <v>0.670552051475829+0.944173738891956i</v>
      </c>
      <c r="AN401" s="170" t="str">
        <f t="shared" si="222"/>
        <v>1.23507750401169i</v>
      </c>
      <c r="AO401" s="170" t="str">
        <f t="shared" si="223"/>
        <v>0.764465173906219-0.542923054867237i</v>
      </c>
      <c r="AP401" s="170" t="str">
        <f t="shared" si="224"/>
        <v>0.0549079914206952-0.157362289815326i</v>
      </c>
      <c r="AQ401" s="170" t="str">
        <f t="shared" si="225"/>
        <v>0.945092008579305+0.157362289815326i</v>
      </c>
      <c r="AR401" s="170" t="str">
        <f t="shared" si="226"/>
        <v>0.857619181418238-0.142797650337126i</v>
      </c>
    </row>
    <row r="402" spans="7:44">
      <c r="G402" s="688">
        <v>36519.5</v>
      </c>
      <c r="H402" s="676">
        <f t="shared" si="218"/>
        <v>36.519500000000001</v>
      </c>
      <c r="I402" s="677">
        <f t="shared" si="198"/>
        <v>188.05028171210631</v>
      </c>
      <c r="J402" s="678">
        <f t="shared" si="199"/>
        <v>1.5654785750532263</v>
      </c>
      <c r="K402" s="678">
        <f t="shared" si="200"/>
        <v>1.0002325865465638</v>
      </c>
      <c r="L402" s="679">
        <f t="shared" si="201"/>
        <v>2.1565781928380382E-2</v>
      </c>
      <c r="M402" s="678">
        <f t="shared" si="202"/>
        <v>1.0286165235531342</v>
      </c>
      <c r="N402" s="679">
        <f t="shared" si="203"/>
        <v>-0.23643333869430117</v>
      </c>
      <c r="O402" s="677">
        <f t="shared" si="204"/>
        <v>688376.35669077642</v>
      </c>
      <c r="P402" s="680">
        <f t="shared" si="205"/>
        <v>1.5707948741011917</v>
      </c>
      <c r="Q402" s="689">
        <f t="shared" si="195"/>
        <v>84.90563975299402</v>
      </c>
      <c r="R402" s="690">
        <f t="shared" si="196"/>
        <v>1.5590182738445233</v>
      </c>
      <c r="S402" s="677">
        <f t="shared" si="206"/>
        <v>1.1720328679653536</v>
      </c>
      <c r="T402" s="680">
        <f t="shared" si="207"/>
        <v>0.54867105258761106</v>
      </c>
      <c r="U402" s="681">
        <f t="shared" si="219"/>
        <v>0.81358515034253798</v>
      </c>
      <c r="V402" s="682">
        <f t="shared" si="220"/>
        <v>-0.78633506703109413</v>
      </c>
      <c r="W402" s="683">
        <f t="shared" si="208"/>
        <v>-17.569228582425307</v>
      </c>
      <c r="X402" s="684">
        <f t="shared" si="209"/>
        <v>-179.1712854004206</v>
      </c>
      <c r="Y402" s="687">
        <f t="shared" si="210"/>
        <v>0.82871459957939919</v>
      </c>
      <c r="AA402" s="170">
        <f t="shared" si="211"/>
        <v>36519.5</v>
      </c>
      <c r="AB402" s="170">
        <f t="shared" si="212"/>
        <v>1333673880.25</v>
      </c>
      <c r="AD402" s="686">
        <f t="shared" si="213"/>
        <v>25.548866146972244</v>
      </c>
      <c r="AE402" s="687">
        <f t="shared" si="214"/>
        <v>-32.111285182682842</v>
      </c>
      <c r="AG402" s="686">
        <f t="shared" si="215"/>
        <v>5.6467729198347456</v>
      </c>
      <c r="AH402" s="687">
        <f t="shared" si="216"/>
        <v>-56.95263886673834</v>
      </c>
      <c r="AJ402" s="170">
        <f t="shared" si="217"/>
        <v>0</v>
      </c>
      <c r="AK402" s="170">
        <f t="shared" si="197"/>
        <v>0</v>
      </c>
      <c r="AM402" s="170" t="str">
        <f t="shared" si="221"/>
        <v>0.67735340275944+0.946519504970229i</v>
      </c>
      <c r="AN402" s="170" t="str">
        <f t="shared" si="222"/>
        <v>1.24227203117095i</v>
      </c>
      <c r="AO402" s="170" t="str">
        <f t="shared" si="223"/>
        <v>0.761926117001967-0.545253684992791i</v>
      </c>
      <c r="AP402" s="170" t="str">
        <f t="shared" si="224"/>
        <v>0.0537744328734267-0.157753250828371i</v>
      </c>
      <c r="AQ402" s="170" t="str">
        <f t="shared" si="225"/>
        <v>0.946225567126573+0.157753250828371i</v>
      </c>
      <c r="AR402" s="170" t="str">
        <f t="shared" si="226"/>
        <v>0.856532420478817-0.142799749303701i</v>
      </c>
    </row>
    <row r="403" spans="7:44">
      <c r="G403" s="688">
        <v>36731</v>
      </c>
      <c r="H403" s="676">
        <f t="shared" si="218"/>
        <v>36.731000000000002</v>
      </c>
      <c r="I403" s="677">
        <f t="shared" si="198"/>
        <v>189.13933038804331</v>
      </c>
      <c r="J403" s="678">
        <f t="shared" si="199"/>
        <v>1.5655091945156141</v>
      </c>
      <c r="K403" s="678">
        <f t="shared" si="200"/>
        <v>1.0002352880456606</v>
      </c>
      <c r="L403" s="679">
        <f t="shared" si="201"/>
        <v>2.1690639511130819E-2</v>
      </c>
      <c r="M403" s="678">
        <f t="shared" si="202"/>
        <v>1.0289442681007228</v>
      </c>
      <c r="N403" s="679">
        <f t="shared" si="203"/>
        <v>-0.23775174339166583</v>
      </c>
      <c r="O403" s="677">
        <f t="shared" si="204"/>
        <v>692363.03776362224</v>
      </c>
      <c r="P403" s="680">
        <f t="shared" si="205"/>
        <v>1.5707948824659168</v>
      </c>
      <c r="Q403" s="689">
        <f t="shared" si="195"/>
        <v>85.397296511105537</v>
      </c>
      <c r="R403" s="690">
        <f t="shared" si="196"/>
        <v>1.5590860865861813</v>
      </c>
      <c r="S403" s="677">
        <f t="shared" si="206"/>
        <v>1.1738831446753422</v>
      </c>
      <c r="T403" s="680">
        <f t="shared" si="207"/>
        <v>0.55124417401585546</v>
      </c>
      <c r="U403" s="681">
        <f t="shared" si="219"/>
        <v>0.81195932614940092</v>
      </c>
      <c r="V403" s="682">
        <f t="shared" si="220"/>
        <v>-0.79013089402989445</v>
      </c>
      <c r="W403" s="683">
        <f t="shared" si="208"/>
        <v>-17.647678392621824</v>
      </c>
      <c r="X403" s="684">
        <f t="shared" si="209"/>
        <v>-179.60245393937186</v>
      </c>
      <c r="Y403" s="687">
        <f t="shared" si="210"/>
        <v>0.39754606062814446</v>
      </c>
      <c r="AA403" s="170">
        <f t="shared" si="211"/>
        <v>36731</v>
      </c>
      <c r="AB403" s="170">
        <f t="shared" si="212"/>
        <v>1349166361</v>
      </c>
      <c r="AD403" s="686">
        <f t="shared" si="213"/>
        <v>25.535157713405503</v>
      </c>
      <c r="AE403" s="687">
        <f t="shared" si="214"/>
        <v>-32.25482927622916</v>
      </c>
      <c r="AG403" s="686">
        <f t="shared" si="215"/>
        <v>5.6167810918653061</v>
      </c>
      <c r="AH403" s="687">
        <f t="shared" si="216"/>
        <v>-56.805293578060102</v>
      </c>
      <c r="AJ403" s="170">
        <f t="shared" si="217"/>
        <v>0</v>
      </c>
      <c r="AK403" s="170">
        <f t="shared" si="197"/>
        <v>0</v>
      </c>
      <c r="AM403" s="170" t="str">
        <f t="shared" si="221"/>
        <v>0.684171454552862+0.948816278254513i</v>
      </c>
      <c r="AN403" s="170" t="str">
        <f t="shared" si="222"/>
        <v>1.24946655833022i</v>
      </c>
      <c r="AO403" s="170" t="str">
        <f t="shared" si="223"/>
        <v>0.759377089309622-0.547570841325425i</v>
      </c>
      <c r="AP403" s="170" t="str">
        <f t="shared" si="224"/>
        <v>0.0526380909078563-0.158136046375752i</v>
      </c>
      <c r="AQ403" s="170" t="str">
        <f t="shared" si="225"/>
        <v>0.947361909092144+0.158136046375752i</v>
      </c>
      <c r="AR403" s="170" t="str">
        <f t="shared" si="226"/>
        <v>0.855448352315053-0.142793602967835i</v>
      </c>
    </row>
    <row r="404" spans="7:44">
      <c r="G404" s="688">
        <v>36942.5</v>
      </c>
      <c r="H404" s="676">
        <f t="shared" si="218"/>
        <v>36.942500000000003</v>
      </c>
      <c r="I404" s="677">
        <f t="shared" si="198"/>
        <v>190.22837923927773</v>
      </c>
      <c r="J404" s="678">
        <f t="shared" si="199"/>
        <v>1.5655394633879609</v>
      </c>
      <c r="K404" s="678">
        <f t="shared" si="200"/>
        <v>1.0002380051377568</v>
      </c>
      <c r="L404" s="679">
        <f t="shared" si="201"/>
        <v>2.1815496417490032E-2</v>
      </c>
      <c r="M404" s="678">
        <f t="shared" si="202"/>
        <v>1.0292738000091091</v>
      </c>
      <c r="N404" s="679">
        <f t="shared" si="203"/>
        <v>-0.23906930617809424</v>
      </c>
      <c r="O404" s="677">
        <f t="shared" si="204"/>
        <v>696349.71883646806</v>
      </c>
      <c r="P404" s="680">
        <f t="shared" si="205"/>
        <v>1.5707948907348639</v>
      </c>
      <c r="Q404" s="689">
        <f t="shared" si="195"/>
        <v>85.88895365742637</v>
      </c>
      <c r="R404" s="690">
        <f t="shared" si="196"/>
        <v>1.5591531229624389</v>
      </c>
      <c r="S404" s="677">
        <f t="shared" si="206"/>
        <v>1.1757411691190593</v>
      </c>
      <c r="T404" s="680">
        <f t="shared" si="207"/>
        <v>0.55380917977172994</v>
      </c>
      <c r="U404" s="681">
        <f t="shared" si="219"/>
        <v>0.81033303656250877</v>
      </c>
      <c r="V404" s="682">
        <f t="shared" si="220"/>
        <v>-0.79391736988251971</v>
      </c>
      <c r="W404" s="683">
        <f t="shared" si="208"/>
        <v>-17.725901253183086</v>
      </c>
      <c r="X404" s="684">
        <f t="shared" si="209"/>
        <v>-180.03259789379223</v>
      </c>
      <c r="Y404" s="687">
        <f t="shared" si="210"/>
        <v>-3.259789379222866E-2</v>
      </c>
      <c r="AA404" s="170">
        <f t="shared" si="211"/>
        <v>36942.5</v>
      </c>
      <c r="AB404" s="170">
        <f t="shared" si="212"/>
        <v>1364748306.25</v>
      </c>
      <c r="AD404" s="686">
        <f t="shared" si="213"/>
        <v>25.521413740416754</v>
      </c>
      <c r="AE404" s="687">
        <f t="shared" si="214"/>
        <v>-32.397952852973447</v>
      </c>
      <c r="AG404" s="686">
        <f t="shared" si="215"/>
        <v>5.5871313804087226</v>
      </c>
      <c r="AH404" s="687">
        <f t="shared" si="216"/>
        <v>-56.658415784073142</v>
      </c>
      <c r="AJ404" s="170">
        <f t="shared" si="217"/>
        <v>0</v>
      </c>
      <c r="AK404" s="170">
        <f t="shared" si="197"/>
        <v>0</v>
      </c>
      <c r="AM404" s="170" t="str">
        <f t="shared" si="221"/>
        <v>0.691005853946914+0.951063939861524i</v>
      </c>
      <c r="AN404" s="170" t="str">
        <f t="shared" si="222"/>
        <v>1.25666108548948i</v>
      </c>
      <c r="AO404" s="170" t="str">
        <f t="shared" si="223"/>
        <v>0.756818167478367-0.549874474451289i</v>
      </c>
      <c r="AP404" s="170" t="str">
        <f t="shared" si="224"/>
        <v>0.051499024342181-0.158510656643587i</v>
      </c>
      <c r="AQ404" s="170" t="str">
        <f t="shared" si="225"/>
        <v>0.948500975657819+0.158510656643587i</v>
      </c>
      <c r="AR404" s="170" t="str">
        <f t="shared" si="226"/>
        <v>0.854367032349983-0.142779272544771i</v>
      </c>
    </row>
    <row r="405" spans="7:44">
      <c r="G405" s="688">
        <v>37154</v>
      </c>
      <c r="H405" s="676">
        <f t="shared" si="218"/>
        <v>37.154000000000003</v>
      </c>
      <c r="I405" s="677">
        <f t="shared" si="198"/>
        <v>191.31742826281607</v>
      </c>
      <c r="J405" s="678">
        <f t="shared" si="199"/>
        <v>1.5655693876572718</v>
      </c>
      <c r="K405" s="678">
        <f t="shared" si="200"/>
        <v>1.0002407378227256</v>
      </c>
      <c r="L405" s="679">
        <f t="shared" si="201"/>
        <v>2.1940352643570714E-2</v>
      </c>
      <c r="M405" s="678">
        <f t="shared" si="202"/>
        <v>1.029605117562123</v>
      </c>
      <c r="N405" s="679">
        <f t="shared" si="203"/>
        <v>-0.24038602328966513</v>
      </c>
      <c r="O405" s="677">
        <f t="shared" si="204"/>
        <v>700336.399909314</v>
      </c>
      <c r="P405" s="680">
        <f t="shared" si="205"/>
        <v>1.5707948989096687</v>
      </c>
      <c r="Q405" s="689">
        <f t="shared" si="195"/>
        <v>86.380611185327723</v>
      </c>
      <c r="R405" s="690">
        <f t="shared" si="196"/>
        <v>1.5592193962293406</v>
      </c>
      <c r="S405" s="677">
        <f t="shared" si="206"/>
        <v>1.177606904623457</v>
      </c>
      <c r="T405" s="680">
        <f t="shared" si="207"/>
        <v>0.55636607459813303</v>
      </c>
      <c r="U405" s="681">
        <f t="shared" si="219"/>
        <v>0.80870635078598563</v>
      </c>
      <c r="V405" s="682">
        <f t="shared" si="220"/>
        <v>-0.7976945185603842</v>
      </c>
      <c r="W405" s="683">
        <f t="shared" si="208"/>
        <v>-17.803899435948161</v>
      </c>
      <c r="X405" s="684">
        <f t="shared" si="209"/>
        <v>-180.46171827706496</v>
      </c>
      <c r="Y405" s="687">
        <f t="shared" si="210"/>
        <v>-0.4617182770649606</v>
      </c>
      <c r="AA405" s="170">
        <f t="shared" si="211"/>
        <v>37154</v>
      </c>
      <c r="AB405" s="170">
        <f t="shared" si="212"/>
        <v>1380419716</v>
      </c>
      <c r="AD405" s="686">
        <f t="shared" si="213"/>
        <v>25.507634698875084</v>
      </c>
      <c r="AE405" s="687">
        <f t="shared" si="214"/>
        <v>-32.540655425242043</v>
      </c>
      <c r="AG405" s="686">
        <f t="shared" si="215"/>
        <v>5.5578198961464338</v>
      </c>
      <c r="AH405" s="687">
        <f t="shared" si="216"/>
        <v>-56.512004238912624</v>
      </c>
      <c r="AJ405" s="170">
        <f t="shared" si="217"/>
        <v>0</v>
      </c>
      <c r="AK405" s="170">
        <f t="shared" si="197"/>
        <v>0</v>
      </c>
      <c r="AM405" s="170" t="str">
        <f t="shared" si="221"/>
        <v>0.697856247186273+0.953262373450058i</v>
      </c>
      <c r="AN405" s="170" t="str">
        <f t="shared" si="222"/>
        <v>1.26385561264874i</v>
      </c>
      <c r="AO405" s="170" t="str">
        <f t="shared" si="223"/>
        <v>0.754249428423432-0.552164535412184i</v>
      </c>
      <c r="AP405" s="170" t="str">
        <f t="shared" si="224"/>
        <v>0.0503572921356212-0.158877062241676i</v>
      </c>
      <c r="AQ405" s="170" t="str">
        <f t="shared" si="225"/>
        <v>0.949642707864379+0.158877062241676i</v>
      </c>
      <c r="AR405" s="170" t="str">
        <f t="shared" si="226"/>
        <v>0.853288514948955-0.142756819356331i</v>
      </c>
    </row>
    <row r="406" spans="7:44">
      <c r="G406" s="688">
        <v>37370.25</v>
      </c>
      <c r="H406" s="676">
        <f t="shared" si="218"/>
        <v>37.370249999999999</v>
      </c>
      <c r="I406" s="677">
        <f t="shared" si="198"/>
        <v>192.43093600926892</v>
      </c>
      <c r="J406" s="678">
        <f t="shared" si="199"/>
        <v>1.5655996337803058</v>
      </c>
      <c r="K406" s="678">
        <f t="shared" si="200"/>
        <v>1.0002435480020155</v>
      </c>
      <c r="L406" s="679">
        <f t="shared" si="201"/>
        <v>2.2068012261874999E-2</v>
      </c>
      <c r="M406" s="678">
        <f t="shared" si="202"/>
        <v>1.0299457205076199</v>
      </c>
      <c r="N406" s="679">
        <f t="shared" si="203"/>
        <v>-0.24173143378149867</v>
      </c>
      <c r="O406" s="677">
        <f t="shared" si="204"/>
        <v>704412.61637268483</v>
      </c>
      <c r="P406" s="680">
        <f t="shared" si="205"/>
        <v>1.5707949071723959</v>
      </c>
      <c r="Q406" s="689">
        <f t="shared" si="195"/>
        <v>86.883311054948948</v>
      </c>
      <c r="R406" s="690">
        <f t="shared" si="196"/>
        <v>1.5592863823878265</v>
      </c>
      <c r="S406" s="677">
        <f t="shared" si="206"/>
        <v>1.1795224766467629</v>
      </c>
      <c r="T406" s="680">
        <f t="shared" si="207"/>
        <v>0.55897201291445364</v>
      </c>
      <c r="U406" s="681">
        <f t="shared" si="219"/>
        <v>0.80704279337766449</v>
      </c>
      <c r="V406" s="682">
        <f t="shared" si="220"/>
        <v>-0.80154687853575135</v>
      </c>
      <c r="W406" s="683">
        <f t="shared" si="208"/>
        <v>-17.883419363291061</v>
      </c>
      <c r="X406" s="684">
        <f t="shared" si="209"/>
        <v>-180.89941892251579</v>
      </c>
      <c r="Y406" s="687">
        <f t="shared" si="210"/>
        <v>-0.89941892251579247</v>
      </c>
      <c r="AA406" s="170">
        <f t="shared" si="211"/>
        <v>37370.25</v>
      </c>
      <c r="AB406" s="170">
        <f t="shared" si="212"/>
        <v>1396535585.0625</v>
      </c>
      <c r="AD406" s="686">
        <f t="shared" si="213"/>
        <v>25.493510428048079</v>
      </c>
      <c r="AE406" s="687">
        <f t="shared" si="214"/>
        <v>-32.686127141857213</v>
      </c>
      <c r="AG406" s="686">
        <f t="shared" si="215"/>
        <v>5.5281958350250262</v>
      </c>
      <c r="AH406" s="687">
        <f t="shared" si="216"/>
        <v>-56.362785231736531</v>
      </c>
      <c r="AJ406" s="170">
        <f t="shared" si="217"/>
        <v>0</v>
      </c>
      <c r="AK406" s="170">
        <f t="shared" si="197"/>
        <v>0</v>
      </c>
      <c r="AM406" s="170" t="str">
        <f t="shared" si="221"/>
        <v>0.704876658176317+0.955459163497227i</v>
      </c>
      <c r="AN406" s="170" t="str">
        <f t="shared" si="222"/>
        <v>1.27121171902316i</v>
      </c>
      <c r="AO406" s="170" t="str">
        <f t="shared" si="223"/>
        <v>0.751612928986709-0.554491944676192i</v>
      </c>
      <c r="AP406" s="170" t="str">
        <f t="shared" si="224"/>
        <v>0.0491872236372805-0.159243193916205i</v>
      </c>
      <c r="AQ406" s="170" t="str">
        <f t="shared" si="225"/>
        <v>0.95081277636272+0.159243193916205i</v>
      </c>
      <c r="AR406" s="170" t="str">
        <f t="shared" si="226"/>
        <v>0.85218872874203-0.142725527420239i</v>
      </c>
    </row>
    <row r="407" spans="7:44">
      <c r="G407" s="688">
        <v>37586.5</v>
      </c>
      <c r="H407" s="676">
        <f t="shared" si="218"/>
        <v>37.586500000000001</v>
      </c>
      <c r="I407" s="677">
        <f t="shared" si="198"/>
        <v>193.54444392973738</v>
      </c>
      <c r="J407" s="678">
        <f t="shared" si="199"/>
        <v>1.5656295318768683</v>
      </c>
      <c r="K407" s="678">
        <f t="shared" si="200"/>
        <v>1.000246374482161</v>
      </c>
      <c r="L407" s="679">
        <f t="shared" si="201"/>
        <v>2.2195671160782734E-2</v>
      </c>
      <c r="M407" s="678">
        <f t="shared" si="202"/>
        <v>1.0302881865535085</v>
      </c>
      <c r="N407" s="679">
        <f t="shared" si="203"/>
        <v>-0.24307595228140838</v>
      </c>
      <c r="O407" s="677">
        <f t="shared" si="204"/>
        <v>708488.83283605578</v>
      </c>
      <c r="P407" s="680">
        <f t="shared" si="205"/>
        <v>1.5707949153400456</v>
      </c>
      <c r="Q407" s="689">
        <f t="shared" ref="Q407:Q470" si="227">SQRT(1+(G407/Zero2)^2)</f>
        <v>87.386011309942816</v>
      </c>
      <c r="R407" s="690">
        <f t="shared" ref="R407:R470" si="228">ATAN(G407/Zero2)</f>
        <v>1.5593525978521112</v>
      </c>
      <c r="S407" s="677">
        <f t="shared" si="206"/>
        <v>1.1814460327000849</v>
      </c>
      <c r="T407" s="680">
        <f t="shared" si="207"/>
        <v>0.56156948317280475</v>
      </c>
      <c r="U407" s="681">
        <f t="shared" si="219"/>
        <v>0.80537896520044794</v>
      </c>
      <c r="V407" s="682">
        <f t="shared" si="220"/>
        <v>-0.80538953984176365</v>
      </c>
      <c r="W407" s="683">
        <f t="shared" si="208"/>
        <v>-17.962709057260845</v>
      </c>
      <c r="X407" s="684">
        <f t="shared" si="209"/>
        <v>-181.33605183663749</v>
      </c>
      <c r="Y407" s="687">
        <f t="shared" si="210"/>
        <v>-1.3360518366374947</v>
      </c>
      <c r="AA407" s="170">
        <f t="shared" si="211"/>
        <v>37586.5</v>
      </c>
      <c r="AB407" s="170">
        <f t="shared" si="212"/>
        <v>1412744982.25</v>
      </c>
      <c r="AD407" s="686">
        <f t="shared" si="213"/>
        <v>25.479350483352942</v>
      </c>
      <c r="AE407" s="687">
        <f t="shared" si="214"/>
        <v>-32.831157826567043</v>
      </c>
      <c r="AG407" s="686">
        <f t="shared" si="215"/>
        <v>5.4989173336672792</v>
      </c>
      <c r="AH407" s="687">
        <f t="shared" si="216"/>
        <v>-56.214050910779733</v>
      </c>
      <c r="AJ407" s="170">
        <f t="shared" si="217"/>
        <v>0</v>
      </c>
      <c r="AK407" s="170">
        <f t="shared" ref="AK407:AK470" si="229">IF(AJ407&gt;0,Y407,0)</f>
        <v>0</v>
      </c>
      <c r="AM407" s="170" t="str">
        <f t="shared" si="221"/>
        <v>0.711913038897449+0.957604251683699i</v>
      </c>
      <c r="AN407" s="170" t="str">
        <f t="shared" si="222"/>
        <v>1.27856782539758i</v>
      </c>
      <c r="AO407" s="170" t="str">
        <f t="shared" si="223"/>
        <v>0.748966329874541-0.556805063255893i</v>
      </c>
      <c r="AP407" s="170" t="str">
        <f t="shared" si="224"/>
        <v>0.0480144935170918-0.15960070861395i</v>
      </c>
      <c r="AQ407" s="170" t="str">
        <f t="shared" si="225"/>
        <v>0.951985506482908+0.15960070861395i</v>
      </c>
      <c r="AR407" s="170" t="str">
        <f t="shared" si="226"/>
        <v>0.851091983996454-0.142685873699197i</v>
      </c>
    </row>
    <row r="408" spans="7:44">
      <c r="G408" s="688">
        <v>37802.75</v>
      </c>
      <c r="H408" s="676">
        <f t="shared" si="218"/>
        <v>37.802750000000003</v>
      </c>
      <c r="I408" s="677">
        <f t="shared" si="198"/>
        <v>194.65795202123516</v>
      </c>
      <c r="J408" s="678">
        <f t="shared" si="199"/>
        <v>1.5656590879193861</v>
      </c>
      <c r="K408" s="678">
        <f t="shared" si="200"/>
        <v>1.0002492172630237</v>
      </c>
      <c r="L408" s="679">
        <f t="shared" si="201"/>
        <v>2.2323329336139165E-2</v>
      </c>
      <c r="M408" s="678">
        <f t="shared" si="202"/>
        <v>1.0306325138425352</v>
      </c>
      <c r="N408" s="679">
        <f t="shared" si="203"/>
        <v>-0.24441957481996637</v>
      </c>
      <c r="O408" s="677">
        <f t="shared" si="204"/>
        <v>712565.04929942684</v>
      </c>
      <c r="P408" s="680">
        <f t="shared" si="205"/>
        <v>1.5707949234142495</v>
      </c>
      <c r="Q408" s="689">
        <f t="shared" si="227"/>
        <v>87.88871194369662</v>
      </c>
      <c r="R408" s="690">
        <f t="shared" si="228"/>
        <v>1.5594180558461217</v>
      </c>
      <c r="S408" s="677">
        <f t="shared" si="206"/>
        <v>1.1833775338497892</v>
      </c>
      <c r="T408" s="680">
        <f t="shared" si="207"/>
        <v>0.56415849170313381</v>
      </c>
      <c r="U408" s="681">
        <f t="shared" si="219"/>
        <v>0.80371493729135812</v>
      </c>
      <c r="V408" s="682">
        <f t="shared" si="220"/>
        <v>-0.80922252957967222</v>
      </c>
      <c r="W408" s="683">
        <f t="shared" si="208"/>
        <v>-18.041770793181801</v>
      </c>
      <c r="X408" s="684">
        <f t="shared" si="209"/>
        <v>-181.7716182923163</v>
      </c>
      <c r="Y408" s="687">
        <f t="shared" si="210"/>
        <v>-1.7716182923163046</v>
      </c>
      <c r="AA408" s="170">
        <f t="shared" si="211"/>
        <v>37802.75</v>
      </c>
      <c r="AB408" s="170">
        <f t="shared" si="212"/>
        <v>1429047907.5625</v>
      </c>
      <c r="AD408" s="686">
        <f t="shared" si="213"/>
        <v>25.465155359935213</v>
      </c>
      <c r="AE408" s="687">
        <f t="shared" si="214"/>
        <v>-32.975747084469113</v>
      </c>
      <c r="AG408" s="686">
        <f t="shared" si="215"/>
        <v>5.4699804276978083</v>
      </c>
      <c r="AH408" s="687">
        <f t="shared" si="216"/>
        <v>-56.06579983825636</v>
      </c>
      <c r="AJ408" s="170">
        <f t="shared" si="217"/>
        <v>0</v>
      </c>
      <c r="AK408" s="170">
        <f t="shared" si="229"/>
        <v>0</v>
      </c>
      <c r="AM408" s="170" t="str">
        <f t="shared" si="221"/>
        <v>0.718965008596645+0.959697521934342i</v>
      </c>
      <c r="AN408" s="170" t="str">
        <f t="shared" si="222"/>
        <v>1.28592393177201i</v>
      </c>
      <c r="AO408" s="170" t="str">
        <f t="shared" si="223"/>
        <v>0.746309714146057-0.559103840307185i</v>
      </c>
      <c r="AP408" s="170" t="str">
        <f t="shared" si="224"/>
        <v>0.0468391652338925-0.159949586989057i</v>
      </c>
      <c r="AQ408" s="170" t="str">
        <f t="shared" si="225"/>
        <v>0.953160834766107+0.159949586989057i</v>
      </c>
      <c r="AR408" s="170" t="str">
        <f t="shared" si="226"/>
        <v>0.849998335452044-0.142637923987196i</v>
      </c>
    </row>
    <row r="409" spans="7:44">
      <c r="G409" s="688">
        <v>38019</v>
      </c>
      <c r="H409" s="676">
        <f t="shared" si="218"/>
        <v>38.018999999999998</v>
      </c>
      <c r="I409" s="677">
        <f t="shared" si="198"/>
        <v>195.77146028084385</v>
      </c>
      <c r="J409" s="678">
        <f t="shared" si="199"/>
        <v>1.565688307744409</v>
      </c>
      <c r="K409" s="678">
        <f t="shared" si="200"/>
        <v>1.0002520763444647</v>
      </c>
      <c r="L409" s="679">
        <f t="shared" si="201"/>
        <v>2.2450986783789692E-2</v>
      </c>
      <c r="M409" s="678">
        <f t="shared" si="202"/>
        <v>1.0309787005098403</v>
      </c>
      <c r="N409" s="679">
        <f t="shared" si="203"/>
        <v>-0.24576229744597308</v>
      </c>
      <c r="O409" s="677">
        <f t="shared" si="204"/>
        <v>716641.26576279779</v>
      </c>
      <c r="P409" s="680">
        <f t="shared" si="205"/>
        <v>1.5707949313966021</v>
      </c>
      <c r="Q409" s="689">
        <f t="shared" si="227"/>
        <v>88.391412949748087</v>
      </c>
      <c r="R409" s="690">
        <f t="shared" si="228"/>
        <v>1.559482769292982</v>
      </c>
      <c r="S409" s="677">
        <f t="shared" si="206"/>
        <v>1.1853169412557261</v>
      </c>
      <c r="T409" s="680">
        <f t="shared" si="207"/>
        <v>0.56673904524796137</v>
      </c>
      <c r="U409" s="681">
        <f t="shared" si="219"/>
        <v>0.80205077970620819</v>
      </c>
      <c r="V409" s="682">
        <f t="shared" si="220"/>
        <v>-0.81304587532917638</v>
      </c>
      <c r="W409" s="683">
        <f t="shared" si="208"/>
        <v>-18.120606797544188</v>
      </c>
      <c r="X409" s="684">
        <f t="shared" si="209"/>
        <v>-182.20611962398212</v>
      </c>
      <c r="Y409" s="687">
        <f t="shared" si="210"/>
        <v>-2.2061196239821186</v>
      </c>
      <c r="AA409" s="170">
        <f t="shared" si="211"/>
        <v>38019</v>
      </c>
      <c r="AB409" s="170">
        <f t="shared" si="212"/>
        <v>1445444361</v>
      </c>
      <c r="AD409" s="686">
        <f t="shared" si="213"/>
        <v>25.450925550144156</v>
      </c>
      <c r="AE409" s="687">
        <f t="shared" si="214"/>
        <v>-33.119894561532227</v>
      </c>
      <c r="AG409" s="686">
        <f t="shared" si="215"/>
        <v>5.4413812150840002</v>
      </c>
      <c r="AH409" s="687">
        <f t="shared" si="216"/>
        <v>-55.918030542226688</v>
      </c>
      <c r="AJ409" s="170">
        <f t="shared" si="217"/>
        <v>0</v>
      </c>
      <c r="AK409" s="170">
        <f t="shared" si="229"/>
        <v>0</v>
      </c>
      <c r="AM409" s="170" t="str">
        <f t="shared" si="221"/>
        <v>0.7260321856773+0.961738860977991i</v>
      </c>
      <c r="AN409" s="170" t="str">
        <f t="shared" si="222"/>
        <v>1.29328003814643i</v>
      </c>
      <c r="AO409" s="170" t="str">
        <f t="shared" si="223"/>
        <v>0.743643165138763-0.561388225490492i</v>
      </c>
      <c r="AP409" s="170" t="str">
        <f t="shared" si="224"/>
        <v>0.0456613023871167-0.160289810162999i</v>
      </c>
      <c r="AQ409" s="170" t="str">
        <f t="shared" si="225"/>
        <v>0.954338697612883+0.160289810162999i</v>
      </c>
      <c r="AR409" s="170" t="str">
        <f t="shared" si="226"/>
        <v>0.848907836732643-0.142581744129329i</v>
      </c>
    </row>
    <row r="410" spans="7:44">
      <c r="G410" s="688">
        <v>38240.5</v>
      </c>
      <c r="H410" s="676">
        <f t="shared" si="218"/>
        <v>38.240499999999997</v>
      </c>
      <c r="I410" s="677">
        <f t="shared" si="198"/>
        <v>196.91200186025367</v>
      </c>
      <c r="J410" s="678">
        <f t="shared" si="199"/>
        <v>1.5657178943531032</v>
      </c>
      <c r="K410" s="678">
        <f t="shared" si="200"/>
        <v>1.0002550217359725</v>
      </c>
      <c r="L410" s="679">
        <f t="shared" si="201"/>
        <v>2.2581742670828811E-2</v>
      </c>
      <c r="M410" s="678">
        <f t="shared" si="202"/>
        <v>1.0313352173897352</v>
      </c>
      <c r="N410" s="679">
        <f t="shared" si="203"/>
        <v>-0.24713668090299729</v>
      </c>
      <c r="O410" s="677">
        <f t="shared" si="204"/>
        <v>720816.44239464379</v>
      </c>
      <c r="P410" s="680">
        <f t="shared" si="205"/>
        <v>1.5707949394791514</v>
      </c>
      <c r="Q410" s="689">
        <f t="shared" si="227"/>
        <v>88.906318637045601</v>
      </c>
      <c r="R410" s="690">
        <f t="shared" si="228"/>
        <v>1.5595482951362791</v>
      </c>
      <c r="S410" s="677">
        <f t="shared" si="206"/>
        <v>1.1873115885511281</v>
      </c>
      <c r="T410" s="680">
        <f t="shared" si="207"/>
        <v>0.56937349016807304</v>
      </c>
      <c r="U410" s="681">
        <f t="shared" si="219"/>
        <v>0.80034615835915501</v>
      </c>
      <c r="V410" s="682">
        <f t="shared" si="220"/>
        <v>-0.8169520734779212</v>
      </c>
      <c r="W410" s="683">
        <f t="shared" si="208"/>
        <v>-18.201124998174912</v>
      </c>
      <c r="X410" s="684">
        <f t="shared" si="209"/>
        <v>-182.6500667753169</v>
      </c>
      <c r="Y410" s="687">
        <f t="shared" si="210"/>
        <v>-2.6500667753169012</v>
      </c>
      <c r="AA410" s="170">
        <f t="shared" si="211"/>
        <v>38240.5</v>
      </c>
      <c r="AB410" s="170">
        <f t="shared" si="212"/>
        <v>1462335840.25</v>
      </c>
      <c r="AD410" s="686">
        <f t="shared" si="213"/>
        <v>25.436314828614719</v>
      </c>
      <c r="AE410" s="687">
        <f t="shared" si="214"/>
        <v>-33.267083245808507</v>
      </c>
      <c r="AG410" s="686">
        <f t="shared" si="215"/>
        <v>5.4124337628740395</v>
      </c>
      <c r="AH410" s="687">
        <f t="shared" si="216"/>
        <v>-55.767171673043947</v>
      </c>
      <c r="AJ410" s="170">
        <f t="shared" si="217"/>
        <v>0</v>
      </c>
      <c r="AK410" s="170">
        <f t="shared" si="229"/>
        <v>0</v>
      </c>
      <c r="AM410" s="170" t="str">
        <f t="shared" si="221"/>
        <v>0.733286301829119+0.963775805469307i</v>
      </c>
      <c r="AN410" s="170" t="str">
        <f t="shared" si="222"/>
        <v>1.30081473207445i</v>
      </c>
      <c r="AO410" s="170" t="str">
        <f t="shared" si="223"/>
        <v>0.740901668550712-0.563713097452182i</v>
      </c>
      <c r="AP410" s="170" t="str">
        <f t="shared" si="224"/>
        <v>0.0444522830284802-0.160629300911551i</v>
      </c>
      <c r="AQ410" s="170" t="str">
        <f t="shared" si="225"/>
        <v>0.95554771697152+0.160629300911551i</v>
      </c>
      <c r="AR410" s="170" t="str">
        <f t="shared" si="226"/>
        <v>0.847794183815701-0.142515736937556i</v>
      </c>
    </row>
    <row r="411" spans="7:44">
      <c r="G411" s="688">
        <v>38462</v>
      </c>
      <c r="H411" s="676">
        <f t="shared" si="218"/>
        <v>38.462000000000003</v>
      </c>
      <c r="I411" s="677">
        <f t="shared" si="198"/>
        <v>198.05254361004856</v>
      </c>
      <c r="J411" s="678">
        <f t="shared" si="199"/>
        <v>1.5657471401960659</v>
      </c>
      <c r="K411" s="678">
        <f t="shared" si="200"/>
        <v>1.0002579842288413</v>
      </c>
      <c r="L411" s="679">
        <f t="shared" si="201"/>
        <v>2.2712497785576508E-2</v>
      </c>
      <c r="M411" s="678">
        <f t="shared" si="202"/>
        <v>1.0316936810409971</v>
      </c>
      <c r="N411" s="679">
        <f t="shared" si="203"/>
        <v>-0.24851011188929278</v>
      </c>
      <c r="O411" s="677">
        <f t="shared" si="204"/>
        <v>724991.61902648967</v>
      </c>
      <c r="P411" s="680">
        <f t="shared" si="205"/>
        <v>1.5707949474686069</v>
      </c>
      <c r="Q411" s="689">
        <f t="shared" si="227"/>
        <v>89.421224701678312</v>
      </c>
      <c r="R411" s="690">
        <f t="shared" si="228"/>
        <v>1.5596130663569039</v>
      </c>
      <c r="S411" s="677">
        <f t="shared" si="206"/>
        <v>1.1893144484716205</v>
      </c>
      <c r="T411" s="680">
        <f t="shared" si="207"/>
        <v>0.57199908020810453</v>
      </c>
      <c r="U411" s="681">
        <f t="shared" si="219"/>
        <v>0.79864154660871556</v>
      </c>
      <c r="V411" s="682">
        <f t="shared" si="220"/>
        <v>-0.82084821376011352</v>
      </c>
      <c r="W411" s="683">
        <f t="shared" si="208"/>
        <v>-18.281410950975999</v>
      </c>
      <c r="X411" s="684">
        <f t="shared" si="209"/>
        <v>-183.09289948470769</v>
      </c>
      <c r="Y411" s="687">
        <f t="shared" si="210"/>
        <v>-3.0928994847076865</v>
      </c>
      <c r="AA411" s="170">
        <f t="shared" si="211"/>
        <v>38462</v>
      </c>
      <c r="AB411" s="170">
        <f t="shared" si="212"/>
        <v>1479325444</v>
      </c>
      <c r="AD411" s="686">
        <f t="shared" si="213"/>
        <v>25.42166875262566</v>
      </c>
      <c r="AE411" s="687">
        <f t="shared" si="214"/>
        <v>-33.413807814187926</v>
      </c>
      <c r="AG411" s="686">
        <f t="shared" si="215"/>
        <v>5.383832507692409</v>
      </c>
      <c r="AH411" s="687">
        <f t="shared" si="216"/>
        <v>-55.616815024424099</v>
      </c>
      <c r="AJ411" s="170">
        <f t="shared" si="217"/>
        <v>0</v>
      </c>
      <c r="AK411" s="170">
        <f t="shared" si="229"/>
        <v>0</v>
      </c>
      <c r="AM411" s="170" t="str">
        <f t="shared" si="221"/>
        <v>0.740555559676047+0.965758035112828i</v>
      </c>
      <c r="AN411" s="170" t="str">
        <f t="shared" si="222"/>
        <v>1.30834942600247i</v>
      </c>
      <c r="AO411" s="170" t="str">
        <f t="shared" si="223"/>
        <v>0.738149928390005-0.566022764987745i</v>
      </c>
      <c r="AP411" s="170" t="str">
        <f t="shared" si="224"/>
        <v>0.0432407400539922-0.160959672518805i</v>
      </c>
      <c r="AQ411" s="170" t="str">
        <f t="shared" si="225"/>
        <v>0.956759259946008+0.160959672518805i</v>
      </c>
      <c r="AR411" s="170" t="str">
        <f t="shared" si="226"/>
        <v>0.846683945860589-0.142441235071339i</v>
      </c>
    </row>
    <row r="412" spans="7:44">
      <c r="G412" s="688">
        <v>38683.5</v>
      </c>
      <c r="H412" s="676">
        <f t="shared" si="218"/>
        <v>38.683500000000002</v>
      </c>
      <c r="I412" s="677">
        <f t="shared" si="198"/>
        <v>199.19308552730172</v>
      </c>
      <c r="J412" s="678">
        <f t="shared" si="199"/>
        <v>1.5657760511267271</v>
      </c>
      <c r="K412" s="678">
        <f t="shared" si="200"/>
        <v>1.0002609638229194</v>
      </c>
      <c r="L412" s="679">
        <f t="shared" si="201"/>
        <v>2.2843252123568639E-2</v>
      </c>
      <c r="M412" s="678">
        <f t="shared" si="202"/>
        <v>1.032054089435108</v>
      </c>
      <c r="N412" s="679">
        <f t="shared" si="203"/>
        <v>-0.24988258621859466</v>
      </c>
      <c r="O412" s="677">
        <f t="shared" si="204"/>
        <v>729166.79565833579</v>
      </c>
      <c r="P412" s="680">
        <f t="shared" si="205"/>
        <v>1.5707949553665679</v>
      </c>
      <c r="Q412" s="689">
        <f t="shared" si="227"/>
        <v>89.936131137165219</v>
      </c>
      <c r="R412" s="690">
        <f t="shared" si="228"/>
        <v>1.5596770959155077</v>
      </c>
      <c r="S412" s="677">
        <f t="shared" si="206"/>
        <v>1.1913254795959349</v>
      </c>
      <c r="T412" s="680">
        <f t="shared" si="207"/>
        <v>0.57461582391971922</v>
      </c>
      <c r="U412" s="681">
        <f t="shared" si="219"/>
        <v>0.79693701656590521</v>
      </c>
      <c r="V412" s="682">
        <f t="shared" si="220"/>
        <v>-0.82473432731029817</v>
      </c>
      <c r="W412" s="683">
        <f t="shared" si="208"/>
        <v>-18.361466897747441</v>
      </c>
      <c r="X412" s="684">
        <f t="shared" si="209"/>
        <v>-183.53461937928503</v>
      </c>
      <c r="Y412" s="687">
        <f t="shared" si="210"/>
        <v>-3.5346193792850329</v>
      </c>
      <c r="AA412" s="170">
        <f t="shared" si="211"/>
        <v>38683.5</v>
      </c>
      <c r="AB412" s="170">
        <f t="shared" si="212"/>
        <v>1496413172.25</v>
      </c>
      <c r="AD412" s="686">
        <f t="shared" si="213"/>
        <v>25.406987842007339</v>
      </c>
      <c r="AE412" s="687">
        <f t="shared" si="214"/>
        <v>-33.560068014145713</v>
      </c>
      <c r="AG412" s="686">
        <f t="shared" si="215"/>
        <v>5.3555734514363014</v>
      </c>
      <c r="AH412" s="687">
        <f t="shared" si="216"/>
        <v>-55.466958908266442</v>
      </c>
      <c r="AJ412" s="170">
        <f t="shared" si="217"/>
        <v>0</v>
      </c>
      <c r="AK412" s="170">
        <f t="shared" si="229"/>
        <v>0</v>
      </c>
      <c r="AM412" s="170" t="str">
        <f t="shared" si="221"/>
        <v>0.747839546532548+0.967685437374713i</v>
      </c>
      <c r="AN412" s="170" t="str">
        <f t="shared" si="222"/>
        <v>1.31588411993049i</v>
      </c>
      <c r="AO412" s="170" t="str">
        <f t="shared" si="223"/>
        <v>0.7353880350998-0.568317175658334i</v>
      </c>
      <c r="AP412" s="170" t="str">
        <f t="shared" si="224"/>
        <v>0.0420267422445753-0.161280906229119i</v>
      </c>
      <c r="AQ412" s="170" t="str">
        <f t="shared" si="225"/>
        <v>0.957973257755425+0.161280906229119i</v>
      </c>
      <c r="AR412" s="170" t="str">
        <f t="shared" si="226"/>
        <v>0.845577176920476-0.142358309353988i</v>
      </c>
    </row>
    <row r="413" spans="7:44">
      <c r="G413" s="688">
        <v>38905</v>
      </c>
      <c r="H413" s="676">
        <f t="shared" si="218"/>
        <v>38.905000000000001</v>
      </c>
      <c r="I413" s="677">
        <f t="shared" si="198"/>
        <v>200.33362760915301</v>
      </c>
      <c r="J413" s="678">
        <f t="shared" si="199"/>
        <v>1.5658046328652195</v>
      </c>
      <c r="K413" s="678">
        <f t="shared" si="200"/>
        <v>1.0002639605180541</v>
      </c>
      <c r="L413" s="679">
        <f t="shared" si="201"/>
        <v>2.2974005680341244E-2</v>
      </c>
      <c r="M413" s="678">
        <f t="shared" si="202"/>
        <v>1.0324164405353848</v>
      </c>
      <c r="N413" s="679">
        <f t="shared" si="203"/>
        <v>-0.25125409972488411</v>
      </c>
      <c r="O413" s="677">
        <f t="shared" si="204"/>
        <v>733341.9722901819</v>
      </c>
      <c r="P413" s="680">
        <f t="shared" si="205"/>
        <v>1.570794963174597</v>
      </c>
      <c r="Q413" s="689">
        <f t="shared" si="227"/>
        <v>90.451037937172913</v>
      </c>
      <c r="R413" s="690">
        <f t="shared" si="228"/>
        <v>1.559740396477646</v>
      </c>
      <c r="S413" s="677">
        <f t="shared" si="206"/>
        <v>1.1933446406135959</v>
      </c>
      <c r="T413" s="680">
        <f t="shared" si="207"/>
        <v>0.57722373028164098</v>
      </c>
      <c r="U413" s="681">
        <f t="shared" si="219"/>
        <v>0.79523263928238763</v>
      </c>
      <c r="V413" s="682">
        <f t="shared" si="220"/>
        <v>-0.82861044574659104</v>
      </c>
      <c r="W413" s="683">
        <f t="shared" si="208"/>
        <v>-18.441295032159875</v>
      </c>
      <c r="X413" s="684">
        <f t="shared" si="209"/>
        <v>-183.97522814878312</v>
      </c>
      <c r="Y413" s="687">
        <f t="shared" si="210"/>
        <v>-3.9752281487831169</v>
      </c>
      <c r="AA413" s="170">
        <f t="shared" si="211"/>
        <v>38905</v>
      </c>
      <c r="AB413" s="170">
        <f t="shared" si="212"/>
        <v>1513599025</v>
      </c>
      <c r="AD413" s="686">
        <f t="shared" si="213"/>
        <v>25.392272613426947</v>
      </c>
      <c r="AE413" s="687">
        <f t="shared" si="214"/>
        <v>-33.705863634531518</v>
      </c>
      <c r="AG413" s="686">
        <f t="shared" si="215"/>
        <v>5.3276526591120463</v>
      </c>
      <c r="AH413" s="687">
        <f t="shared" si="216"/>
        <v>-55.317601602286288</v>
      </c>
      <c r="AJ413" s="170">
        <f t="shared" si="217"/>
        <v>0</v>
      </c>
      <c r="AK413" s="170">
        <f t="shared" si="229"/>
        <v>0</v>
      </c>
      <c r="AM413" s="170" t="str">
        <f t="shared" si="221"/>
        <v>0.755137848876896+0.969557902833743i</v>
      </c>
      <c r="AN413" s="170" t="str">
        <f t="shared" si="222"/>
        <v>1.32341881385851i</v>
      </c>
      <c r="AO413" s="170" t="str">
        <f t="shared" si="223"/>
        <v>0.732616079415508-0.570596277587474i</v>
      </c>
      <c r="AP413" s="170" t="str">
        <f t="shared" si="224"/>
        <v>0.0408103585205173-0.161592983805624i</v>
      </c>
      <c r="AQ413" s="170" t="str">
        <f t="shared" si="225"/>
        <v>0.959189641479483+0.161592983805624i</v>
      </c>
      <c r="AR413" s="170" t="str">
        <f t="shared" si="226"/>
        <v>0.844473929867678-0.142267030597722i</v>
      </c>
    </row>
    <row r="414" spans="7:44">
      <c r="G414" s="688">
        <v>39131.5</v>
      </c>
      <c r="H414" s="676">
        <f t="shared" si="218"/>
        <v>39.131500000000003</v>
      </c>
      <c r="I414" s="677">
        <f t="shared" si="198"/>
        <v>201.49991572922778</v>
      </c>
      <c r="J414" s="678">
        <f t="shared" si="199"/>
        <v>1.5658335251912694</v>
      </c>
      <c r="K414" s="678">
        <f t="shared" si="200"/>
        <v>1.0002670425429729</v>
      </c>
      <c r="L414" s="679">
        <f t="shared" si="201"/>
        <v>2.3107709972149261E-2</v>
      </c>
      <c r="M414" s="678">
        <f t="shared" si="202"/>
        <v>1.032788977969471</v>
      </c>
      <c r="N414" s="679">
        <f t="shared" si="203"/>
        <v>-0.25265557498338276</v>
      </c>
      <c r="O414" s="677">
        <f t="shared" si="204"/>
        <v>737611.39670152799</v>
      </c>
      <c r="P414" s="680">
        <f t="shared" si="205"/>
        <v>1.5707949710674709</v>
      </c>
      <c r="Q414" s="689">
        <f t="shared" si="227"/>
        <v>90.977568286018112</v>
      </c>
      <c r="R414" s="690">
        <f t="shared" si="228"/>
        <v>1.5598043849761092</v>
      </c>
      <c r="S414" s="677">
        <f t="shared" si="206"/>
        <v>1.1954177452068087</v>
      </c>
      <c r="T414" s="680">
        <f t="shared" si="207"/>
        <v>0.57988137682258145</v>
      </c>
      <c r="U414" s="681">
        <f t="shared" si="219"/>
        <v>0.79349001936615926</v>
      </c>
      <c r="V414" s="682">
        <f t="shared" si="220"/>
        <v>-0.83256375855589515</v>
      </c>
      <c r="W414" s="683">
        <f t="shared" si="208"/>
        <v>-18.522691808461083</v>
      </c>
      <c r="X414" s="684">
        <f t="shared" si="209"/>
        <v>-184.42463573405081</v>
      </c>
      <c r="Y414" s="687">
        <f t="shared" si="210"/>
        <v>-4.4246357340508098</v>
      </c>
      <c r="AA414" s="170">
        <f t="shared" si="211"/>
        <v>39131.5</v>
      </c>
      <c r="AB414" s="170">
        <f t="shared" si="212"/>
        <v>1531274292.25</v>
      </c>
      <c r="AD414" s="686">
        <f t="shared" si="213"/>
        <v>25.377190258909636</v>
      </c>
      <c r="AE414" s="687">
        <f t="shared" si="214"/>
        <v>-33.854469746263824</v>
      </c>
      <c r="AG414" s="686">
        <f t="shared" si="215"/>
        <v>5.2994473692431141</v>
      </c>
      <c r="AH414" s="687">
        <f t="shared" si="216"/>
        <v>-55.165386797167791</v>
      </c>
      <c r="AJ414" s="170">
        <f t="shared" si="217"/>
        <v>0</v>
      </c>
      <c r="AK414" s="170">
        <f t="shared" si="229"/>
        <v>0</v>
      </c>
      <c r="AM414" s="170" t="str">
        <f t="shared" si="221"/>
        <v>0.762615270612639+0.97141571443625i</v>
      </c>
      <c r="AN414" s="170" t="str">
        <f t="shared" si="222"/>
        <v>1.33112359117091i</v>
      </c>
      <c r="AO414" s="170" t="str">
        <f t="shared" si="223"/>
        <v>0.729771240536541-0.572910942057463i</v>
      </c>
      <c r="AP414" s="170" t="str">
        <f t="shared" si="224"/>
        <v>0.0395641215645602-0.161902619072708i</v>
      </c>
      <c r="AQ414" s="170" t="str">
        <f t="shared" si="225"/>
        <v>0.96043587843544+0.161902619072708i</v>
      </c>
      <c r="AR414" s="170" t="str">
        <f t="shared" si="226"/>
        <v>0.843349474717263-0.142165127122014i</v>
      </c>
    </row>
    <row r="415" spans="7:44">
      <c r="G415" s="688">
        <v>39358</v>
      </c>
      <c r="H415" s="676">
        <f t="shared" si="218"/>
        <v>39.357999999999997</v>
      </c>
      <c r="I415" s="677">
        <f t="shared" si="198"/>
        <v>202.66620401557199</v>
      </c>
      <c r="J415" s="678">
        <f t="shared" si="199"/>
        <v>1.5658620849825564</v>
      </c>
      <c r="K415" s="678">
        <f t="shared" si="200"/>
        <v>1.0002701424493929</v>
      </c>
      <c r="L415" s="679">
        <f t="shared" si="201"/>
        <v>2.3241413437629747E-2</v>
      </c>
      <c r="M415" s="678">
        <f t="shared" si="202"/>
        <v>1.0331635424731487</v>
      </c>
      <c r="N415" s="679">
        <f t="shared" si="203"/>
        <v>-0.25405603680545719</v>
      </c>
      <c r="O415" s="677">
        <f t="shared" si="204"/>
        <v>741880.82111287396</v>
      </c>
      <c r="P415" s="680">
        <f t="shared" si="205"/>
        <v>1.5707949788695001</v>
      </c>
      <c r="Q415" s="689">
        <f t="shared" si="227"/>
        <v>91.504099003086523</v>
      </c>
      <c r="R415" s="690">
        <f t="shared" si="228"/>
        <v>1.5598676370726272</v>
      </c>
      <c r="S415" s="677">
        <f t="shared" si="206"/>
        <v>1.1974992638684867</v>
      </c>
      <c r="T415" s="680">
        <f t="shared" si="207"/>
        <v>0.58252980286016465</v>
      </c>
      <c r="U415" s="681">
        <f t="shared" si="219"/>
        <v>0.79174770608650413</v>
      </c>
      <c r="V415" s="682">
        <f t="shared" si="220"/>
        <v>-0.83650668828324293</v>
      </c>
      <c r="W415" s="683">
        <f t="shared" si="208"/>
        <v>-18.603854862369726</v>
      </c>
      <c r="X415" s="684">
        <f t="shared" si="209"/>
        <v>-184.87288523301058</v>
      </c>
      <c r="Y415" s="687">
        <f t="shared" si="210"/>
        <v>-4.8728852330105781</v>
      </c>
      <c r="AA415" s="170">
        <f t="shared" si="211"/>
        <v>39358</v>
      </c>
      <c r="AB415" s="170">
        <f t="shared" si="212"/>
        <v>1549052164</v>
      </c>
      <c r="AD415" s="686">
        <f t="shared" si="213"/>
        <v>25.362073102103992</v>
      </c>
      <c r="AE415" s="687">
        <f t="shared" si="214"/>
        <v>-34.002589749586633</v>
      </c>
      <c r="AG415" s="686">
        <f t="shared" si="215"/>
        <v>5.2715876614107016</v>
      </c>
      <c r="AH415" s="687">
        <f t="shared" si="216"/>
        <v>-55.013689827701036</v>
      </c>
      <c r="AJ415" s="170">
        <f t="shared" si="217"/>
        <v>0</v>
      </c>
      <c r="AK415" s="170">
        <f t="shared" si="229"/>
        <v>0</v>
      </c>
      <c r="AM415" s="170" t="str">
        <f t="shared" si="221"/>
        <v>0.770106784289232+0.973215859596504i</v>
      </c>
      <c r="AN415" s="170" t="str">
        <f t="shared" si="222"/>
        <v>1.33882836848331i</v>
      </c>
      <c r="AO415" s="170" t="str">
        <f t="shared" si="223"/>
        <v>0.726916072669576-0.575209490938444i</v>
      </c>
      <c r="AP415" s="170" t="str">
        <f t="shared" si="224"/>
        <v>0.0383155359517947-0.162202643266084i</v>
      </c>
      <c r="AQ415" s="170" t="str">
        <f t="shared" si="225"/>
        <v>0.961684464048205+0.162202643266084i</v>
      </c>
      <c r="AR415" s="170" t="str">
        <f t="shared" si="226"/>
        <v>0.842228810345181-0.1420546388966i</v>
      </c>
    </row>
    <row r="416" spans="7:44">
      <c r="G416" s="688">
        <v>39584.5</v>
      </c>
      <c r="H416" s="676">
        <f t="shared" si="218"/>
        <v>39.584499999999998</v>
      </c>
      <c r="I416" s="677">
        <f t="shared" si="198"/>
        <v>203.83249246533154</v>
      </c>
      <c r="J416" s="678">
        <f t="shared" si="199"/>
        <v>1.5658903179471244</v>
      </c>
      <c r="K416" s="678">
        <f t="shared" si="200"/>
        <v>1.0002732602371478</v>
      </c>
      <c r="L416" s="679">
        <f t="shared" si="201"/>
        <v>2.3375116072010076E-2</v>
      </c>
      <c r="M416" s="678">
        <f t="shared" si="202"/>
        <v>1.0335401318425319</v>
      </c>
      <c r="N416" s="679">
        <f t="shared" si="203"/>
        <v>-0.25545548080250841</v>
      </c>
      <c r="O416" s="677">
        <f t="shared" si="204"/>
        <v>746150.24552422017</v>
      </c>
      <c r="P416" s="680">
        <f t="shared" si="205"/>
        <v>1.5707949865822437</v>
      </c>
      <c r="Q416" s="689">
        <f t="shared" si="227"/>
        <v>92.030630082058082</v>
      </c>
      <c r="R416" s="690">
        <f t="shared" si="228"/>
        <v>1.5599301654061288</v>
      </c>
      <c r="S416" s="677">
        <f t="shared" si="206"/>
        <v>1.1995891527985336</v>
      </c>
      <c r="T416" s="680">
        <f t="shared" si="207"/>
        <v>0.58516901933616661</v>
      </c>
      <c r="U416" s="681">
        <f t="shared" si="219"/>
        <v>0.79000577201767186</v>
      </c>
      <c r="V416" s="682">
        <f t="shared" si="220"/>
        <v>-0.84043927023625775</v>
      </c>
      <c r="W416" s="683">
        <f t="shared" si="208"/>
        <v>-18.684786391827423</v>
      </c>
      <c r="X416" s="684">
        <f t="shared" si="209"/>
        <v>-185.31997864736189</v>
      </c>
      <c r="Y416" s="687">
        <f t="shared" si="210"/>
        <v>-5.3199786473618929</v>
      </c>
      <c r="AA416" s="170">
        <f t="shared" si="211"/>
        <v>39584.5</v>
      </c>
      <c r="AB416" s="170">
        <f t="shared" si="212"/>
        <v>1566932640.25</v>
      </c>
      <c r="AD416" s="686">
        <f t="shared" si="213"/>
        <v>25.346921685080126</v>
      </c>
      <c r="AE416" s="687">
        <f t="shared" si="214"/>
        <v>-34.150223547349661</v>
      </c>
      <c r="AG416" s="686">
        <f t="shared" si="215"/>
        <v>5.2440695244483146</v>
      </c>
      <c r="AH416" s="687">
        <f t="shared" si="216"/>
        <v>-54.862508746780293</v>
      </c>
      <c r="AJ416" s="170">
        <f t="shared" si="217"/>
        <v>0</v>
      </c>
      <c r="AK416" s="170">
        <f t="shared" si="229"/>
        <v>0</v>
      </c>
      <c r="AM416" s="170" t="str">
        <f t="shared" si="221"/>
        <v>0.777611945185713+0.974958231451952i</v>
      </c>
      <c r="AN416" s="170" t="str">
        <f t="shared" si="222"/>
        <v>1.34653314579572i</v>
      </c>
      <c r="AO416" s="170" t="str">
        <f t="shared" si="223"/>
        <v>0.724050673758803-0.577491870596465i</v>
      </c>
      <c r="AP416" s="170" t="str">
        <f t="shared" si="224"/>
        <v>0.0370646758023812-0.162493038575325i</v>
      </c>
      <c r="AQ416" s="170" t="str">
        <f t="shared" si="225"/>
        <v>0.962935324197619+0.162493038575325i</v>
      </c>
      <c r="AR416" s="170" t="str">
        <f t="shared" si="226"/>
        <v>0.841111989536373-0.141935641498861i</v>
      </c>
    </row>
    <row r="417" spans="7:44">
      <c r="G417" s="688">
        <v>39811</v>
      </c>
      <c r="H417" s="676">
        <f t="shared" si="218"/>
        <v>39.811</v>
      </c>
      <c r="I417" s="677">
        <f t="shared" si="198"/>
        <v>204.99878107571726</v>
      </c>
      <c r="J417" s="678">
        <f t="shared" si="199"/>
        <v>1.5659182296631211</v>
      </c>
      <c r="K417" s="678">
        <f t="shared" si="200"/>
        <v>1.0002763959060703</v>
      </c>
      <c r="L417" s="679">
        <f t="shared" si="201"/>
        <v>2.3508817870517802E-2</v>
      </c>
      <c r="M417" s="678">
        <f t="shared" si="202"/>
        <v>1.0339187438650401</v>
      </c>
      <c r="N417" s="679">
        <f t="shared" si="203"/>
        <v>-0.25685390260826085</v>
      </c>
      <c r="O417" s="677">
        <f t="shared" si="204"/>
        <v>750419.66993556626</v>
      </c>
      <c r="P417" s="680">
        <f t="shared" si="205"/>
        <v>1.5707949942072259</v>
      </c>
      <c r="Q417" s="689">
        <f t="shared" si="227"/>
        <v>92.557161516756452</v>
      </c>
      <c r="R417" s="690">
        <f t="shared" si="228"/>
        <v>1.559991982327968</v>
      </c>
      <c r="S417" s="677">
        <f t="shared" si="206"/>
        <v>1.2016873683260296</v>
      </c>
      <c r="T417" s="680">
        <f t="shared" si="207"/>
        <v>0.58779903762958896</v>
      </c>
      <c r="U417" s="681">
        <f t="shared" si="219"/>
        <v>0.78826428860192743</v>
      </c>
      <c r="V417" s="682">
        <f t="shared" si="220"/>
        <v>-0.84436154020505894</v>
      </c>
      <c r="W417" s="683">
        <f t="shared" si="208"/>
        <v>-18.765488547729532</v>
      </c>
      <c r="X417" s="684">
        <f t="shared" si="209"/>
        <v>-185.76591804181186</v>
      </c>
      <c r="Y417" s="687">
        <f t="shared" si="210"/>
        <v>-5.7659180418118581</v>
      </c>
      <c r="AA417" s="170">
        <f t="shared" si="211"/>
        <v>39811</v>
      </c>
      <c r="AB417" s="170">
        <f t="shared" si="212"/>
        <v>1584915721</v>
      </c>
      <c r="AD417" s="686">
        <f t="shared" si="213"/>
        <v>25.331736546372028</v>
      </c>
      <c r="AE417" s="687">
        <f t="shared" si="214"/>
        <v>-34.297371083928539</v>
      </c>
      <c r="AG417" s="686">
        <f t="shared" si="215"/>
        <v>5.2168890106753016</v>
      </c>
      <c r="AH417" s="687">
        <f t="shared" si="216"/>
        <v>-54.71184157349137</v>
      </c>
      <c r="AJ417" s="170">
        <f t="shared" si="217"/>
        <v>0</v>
      </c>
      <c r="AK417" s="170">
        <f t="shared" si="229"/>
        <v>0</v>
      </c>
      <c r="AM417" s="170" t="str">
        <f t="shared" si="221"/>
        <v>0.785130307770946+0.976642726569646i</v>
      </c>
      <c r="AN417" s="170" t="str">
        <f t="shared" si="222"/>
        <v>1.35423792310812i</v>
      </c>
      <c r="AO417" s="170" t="str">
        <f t="shared" si="223"/>
        <v>0.721175142051957-0.579758028019913i</v>
      </c>
      <c r="AP417" s="170" t="str">
        <f t="shared" si="224"/>
        <v>0.035811615371509-0.162773787761608i</v>
      </c>
      <c r="AQ417" s="170" t="str">
        <f t="shared" si="225"/>
        <v>0.964188384628491+0.162773787761608i</v>
      </c>
      <c r="AR417" s="170" t="str">
        <f t="shared" si="226"/>
        <v>0.839999063839974-0.141808210425726i</v>
      </c>
    </row>
    <row r="418" spans="7:44">
      <c r="G418" s="688">
        <v>40042.75</v>
      </c>
      <c r="H418" s="676">
        <f t="shared" si="218"/>
        <v>40.042749999999998</v>
      </c>
      <c r="I418" s="677">
        <f t="shared" si="198"/>
        <v>206.19210302922505</v>
      </c>
      <c r="J418" s="678">
        <f t="shared" si="199"/>
        <v>1.5659464615211141</v>
      </c>
      <c r="K418" s="678">
        <f t="shared" si="200"/>
        <v>1.0002796227635526</v>
      </c>
      <c r="L418" s="679">
        <f t="shared" si="201"/>
        <v>2.3645617847198729E-2</v>
      </c>
      <c r="M418" s="678">
        <f t="shared" si="202"/>
        <v>1.0343082228665488</v>
      </c>
      <c r="N418" s="679">
        <f t="shared" si="203"/>
        <v>-0.25828367562811833</v>
      </c>
      <c r="O418" s="677">
        <f t="shared" si="204"/>
        <v>754788.05451538751</v>
      </c>
      <c r="P418" s="680">
        <f t="shared" si="205"/>
        <v>1.570795001919663</v>
      </c>
      <c r="Q418" s="689">
        <f t="shared" si="227"/>
        <v>93.09589768435265</v>
      </c>
      <c r="R418" s="690">
        <f t="shared" si="228"/>
        <v>1.5600545083448494</v>
      </c>
      <c r="S418" s="677">
        <f t="shared" si="206"/>
        <v>1.2038427909106648</v>
      </c>
      <c r="T418" s="680">
        <f t="shared" si="207"/>
        <v>0.59048050847365019</v>
      </c>
      <c r="U418" s="681">
        <f t="shared" si="219"/>
        <v>0.78648297945571799</v>
      </c>
      <c r="V418" s="682">
        <f t="shared" si="220"/>
        <v>-0.8483640882571456</v>
      </c>
      <c r="W418" s="683">
        <f t="shared" si="208"/>
        <v>-18.847826068802913</v>
      </c>
      <c r="X418" s="684">
        <f t="shared" si="209"/>
        <v>-186.22100154498887</v>
      </c>
      <c r="Y418" s="687">
        <f t="shared" si="210"/>
        <v>-6.2210015449888658</v>
      </c>
      <c r="AA418" s="170">
        <f t="shared" si="211"/>
        <v>40042.75</v>
      </c>
      <c r="AB418" s="170">
        <f t="shared" si="212"/>
        <v>1603421827.5625</v>
      </c>
      <c r="AD418" s="686">
        <f t="shared" si="213"/>
        <v>25.316165089046336</v>
      </c>
      <c r="AE418" s="687">
        <f t="shared" si="214"/>
        <v>-34.447426011365124</v>
      </c>
      <c r="AG418" s="686">
        <f t="shared" si="215"/>
        <v>5.1894238850991323</v>
      </c>
      <c r="AH418" s="687">
        <f t="shared" si="216"/>
        <v>-54.558211927341958</v>
      </c>
      <c r="AJ418" s="170">
        <f t="shared" si="217"/>
        <v>0</v>
      </c>
      <c r="AK418" s="170">
        <f t="shared" si="229"/>
        <v>0</v>
      </c>
      <c r="AM418" s="170" t="str">
        <f t="shared" si="221"/>
        <v>0.792836135746797+0.978306257440726i</v>
      </c>
      <c r="AN418" s="170" t="str">
        <f t="shared" si="222"/>
        <v>1.36212128797412i</v>
      </c>
      <c r="AO418" s="170" t="str">
        <f t="shared" si="223"/>
        <v>0.718222573920534-0.582059867022547i</v>
      </c>
      <c r="AP418" s="170" t="str">
        <f t="shared" si="224"/>
        <v>0.0345273107088672-0.163051042906788i</v>
      </c>
      <c r="AQ418" s="170" t="str">
        <f t="shared" si="225"/>
        <v>0.965472689291133+0.163051042906788i</v>
      </c>
      <c r="AR418" s="170" t="str">
        <f t="shared" si="226"/>
        <v>0.838864425923479-0.141669175131874i</v>
      </c>
    </row>
    <row r="419" spans="7:44">
      <c r="G419" s="688">
        <v>40274.5</v>
      </c>
      <c r="H419" s="676">
        <f t="shared" si="218"/>
        <v>40.274500000000003</v>
      </c>
      <c r="I419" s="677">
        <f t="shared" si="198"/>
        <v>207.38542514518443</v>
      </c>
      <c r="J419" s="678">
        <f t="shared" si="199"/>
        <v>1.5659743684797252</v>
      </c>
      <c r="K419" s="678">
        <f t="shared" si="200"/>
        <v>1.0002828683403804</v>
      </c>
      <c r="L419" s="679">
        <f t="shared" si="201"/>
        <v>2.378241693870118E-2</v>
      </c>
      <c r="M419" s="678">
        <f t="shared" si="202"/>
        <v>1.0346998146592576</v>
      </c>
      <c r="N419" s="679">
        <f t="shared" si="203"/>
        <v>-0.25971236934488467</v>
      </c>
      <c r="O419" s="677">
        <f t="shared" si="204"/>
        <v>759156.43909520865</v>
      </c>
      <c r="P419" s="680">
        <f t="shared" si="205"/>
        <v>1.5707950095433414</v>
      </c>
      <c r="Q419" s="689">
        <f t="shared" si="227"/>
        <v>93.634634211719359</v>
      </c>
      <c r="R419" s="690">
        <f t="shared" si="228"/>
        <v>1.5601163148621935</v>
      </c>
      <c r="S419" s="677">
        <f t="shared" si="206"/>
        <v>1.2060068384923095</v>
      </c>
      <c r="T419" s="680">
        <f t="shared" si="207"/>
        <v>0.59315237525863429</v>
      </c>
      <c r="U419" s="681">
        <f t="shared" si="219"/>
        <v>0.78470228981647094</v>
      </c>
      <c r="V419" s="682">
        <f t="shared" si="220"/>
        <v>-0.85235591804929545</v>
      </c>
      <c r="W419" s="683">
        <f t="shared" si="208"/>
        <v>-18.929927870360892</v>
      </c>
      <c r="X419" s="684">
        <f t="shared" si="209"/>
        <v>-186.67488148009815</v>
      </c>
      <c r="Y419" s="687">
        <f t="shared" si="210"/>
        <v>-6.6748814800981506</v>
      </c>
      <c r="AA419" s="170">
        <f t="shared" si="211"/>
        <v>40274.5</v>
      </c>
      <c r="AB419" s="170">
        <f t="shared" si="212"/>
        <v>1622035350.25</v>
      </c>
      <c r="AD419" s="686">
        <f t="shared" si="213"/>
        <v>25.300559457899809</v>
      </c>
      <c r="AE419" s="687">
        <f t="shared" si="214"/>
        <v>-34.596971885951142</v>
      </c>
      <c r="AG419" s="686">
        <f t="shared" si="215"/>
        <v>5.1623040520575589</v>
      </c>
      <c r="AH419" s="687">
        <f t="shared" si="216"/>
        <v>-54.405115988092973</v>
      </c>
      <c r="AJ419" s="170">
        <f t="shared" si="217"/>
        <v>0</v>
      </c>
      <c r="AK419" s="170">
        <f t="shared" si="229"/>
        <v>0</v>
      </c>
      <c r="AM419" s="170" t="str">
        <f t="shared" si="221"/>
        <v>0.800554838360128+0.979908989395671i</v>
      </c>
      <c r="AN419" s="170" t="str">
        <f t="shared" si="222"/>
        <v>1.37000465284012i</v>
      </c>
      <c r="AO419" s="170" t="str">
        <f t="shared" si="223"/>
        <v>0.715259606866479-0.584344612772314i</v>
      </c>
      <c r="AP419" s="170" t="str">
        <f t="shared" si="224"/>
        <v>0.033240860273312-0.163318164899279i</v>
      </c>
      <c r="AQ419" s="170" t="str">
        <f t="shared" si="225"/>
        <v>0.966759139726688+0.163318164899279i</v>
      </c>
      <c r="AR419" s="170" t="str">
        <f t="shared" si="226"/>
        <v>0.837733971063907-0.141521470246066i</v>
      </c>
    </row>
    <row r="420" spans="7:44">
      <c r="G420" s="688">
        <v>40506.25</v>
      </c>
      <c r="H420" s="676">
        <f t="shared" si="218"/>
        <v>40.506250000000001</v>
      </c>
      <c r="I420" s="677">
        <f t="shared" si="198"/>
        <v>208.57874742080716</v>
      </c>
      <c r="J420" s="678">
        <f t="shared" si="199"/>
        <v>1.5660019561153606</v>
      </c>
      <c r="K420" s="678">
        <f t="shared" si="200"/>
        <v>1.0002861326363717</v>
      </c>
      <c r="L420" s="679">
        <f t="shared" si="201"/>
        <v>2.3919215139913678E-2</v>
      </c>
      <c r="M420" s="678">
        <f t="shared" si="202"/>
        <v>1.0350935168452624</v>
      </c>
      <c r="N420" s="679">
        <f t="shared" si="203"/>
        <v>-0.26113997915443166</v>
      </c>
      <c r="O420" s="677">
        <f t="shared" si="204"/>
        <v>763524.82367502991</v>
      </c>
      <c r="P420" s="680">
        <f t="shared" si="205"/>
        <v>1.5707950170797846</v>
      </c>
      <c r="Q420" s="689">
        <f t="shared" si="227"/>
        <v>94.173371092682217</v>
      </c>
      <c r="R420" s="690">
        <f t="shared" si="228"/>
        <v>1.5601774142276301</v>
      </c>
      <c r="S420" s="677">
        <f t="shared" si="206"/>
        <v>1.2081794647246114</v>
      </c>
      <c r="T420" s="680">
        <f t="shared" si="207"/>
        <v>0.59581465154611057</v>
      </c>
      <c r="U420" s="681">
        <f t="shared" si="219"/>
        <v>0.78292229257782819</v>
      </c>
      <c r="V420" s="682">
        <f t="shared" si="220"/>
        <v>-0.85633706941295396</v>
      </c>
      <c r="W420" s="683">
        <f t="shared" si="208"/>
        <v>-19.011796111831501</v>
      </c>
      <c r="X420" s="684">
        <f t="shared" si="209"/>
        <v>-187.1275602549546</v>
      </c>
      <c r="Y420" s="687">
        <f t="shared" si="210"/>
        <v>-7.1275602549546022</v>
      </c>
      <c r="AA420" s="170">
        <f t="shared" si="211"/>
        <v>40506.25</v>
      </c>
      <c r="AB420" s="170">
        <f t="shared" si="212"/>
        <v>1640756289.0625</v>
      </c>
      <c r="AD420" s="686">
        <f t="shared" si="213"/>
        <v>25.284920218187786</v>
      </c>
      <c r="AE420" s="687">
        <f t="shared" si="214"/>
        <v>-34.746008777327553</v>
      </c>
      <c r="AG420" s="686">
        <f t="shared" si="215"/>
        <v>5.1355254809419311</v>
      </c>
      <c r="AH420" s="687">
        <f t="shared" si="216"/>
        <v>-54.252551529570972</v>
      </c>
      <c r="AJ420" s="170">
        <f t="shared" si="217"/>
        <v>0</v>
      </c>
      <c r="AK420" s="170">
        <f t="shared" si="229"/>
        <v>0</v>
      </c>
      <c r="AM420" s="170" t="str">
        <f t="shared" si="221"/>
        <v>0.808285935915793+0.981450822829303i</v>
      </c>
      <c r="AN420" s="170" t="str">
        <f t="shared" si="222"/>
        <v>1.37788801770611i</v>
      </c>
      <c r="AO420" s="170" t="str">
        <f t="shared" si="223"/>
        <v>0.712286347088793-0.586612210520139i</v>
      </c>
      <c r="AP420" s="170" t="str">
        <f t="shared" si="224"/>
        <v>0.0319523440140345-0.163575137138217i</v>
      </c>
      <c r="AQ420" s="170" t="str">
        <f t="shared" si="225"/>
        <v>0.968047655985966+0.163575137138217i</v>
      </c>
      <c r="AR420" s="170" t="str">
        <f t="shared" si="226"/>
        <v>0.836607750555319-0.141365176271823i</v>
      </c>
    </row>
    <row r="421" spans="7:44">
      <c r="G421" s="688">
        <v>40738</v>
      </c>
      <c r="H421" s="676">
        <f t="shared" si="218"/>
        <v>40.738</v>
      </c>
      <c r="I421" s="677">
        <f t="shared" si="198"/>
        <v>209.77206985336844</v>
      </c>
      <c r="J421" s="678">
        <f t="shared" si="199"/>
        <v>1.5660292298775398</v>
      </c>
      <c r="K421" s="678">
        <f t="shared" si="200"/>
        <v>1.0002894156513429</v>
      </c>
      <c r="L421" s="679">
        <f t="shared" si="201"/>
        <v>2.4056012445724952E-2</v>
      </c>
      <c r="M421" s="678">
        <f t="shared" si="202"/>
        <v>1.0354893270173926</v>
      </c>
      <c r="N421" s="679">
        <f t="shared" si="203"/>
        <v>-0.26256650047728675</v>
      </c>
      <c r="O421" s="677">
        <f t="shared" si="204"/>
        <v>767893.20825485117</v>
      </c>
      <c r="P421" s="680">
        <f t="shared" si="205"/>
        <v>1.5707950245304811</v>
      </c>
      <c r="Q421" s="689">
        <f t="shared" si="227"/>
        <v>94.712108321207253</v>
      </c>
      <c r="R421" s="690">
        <f t="shared" si="228"/>
        <v>1.5602378185078702</v>
      </c>
      <c r="S421" s="677">
        <f t="shared" si="206"/>
        <v>1.2103606234109228</v>
      </c>
      <c r="T421" s="680">
        <f t="shared" si="207"/>
        <v>0.59846735134426432</v>
      </c>
      <c r="U421" s="681">
        <f t="shared" si="219"/>
        <v>0.78114305942532014</v>
      </c>
      <c r="V421" s="682">
        <f t="shared" si="220"/>
        <v>-0.86030758265890839</v>
      </c>
      <c r="W421" s="683">
        <f t="shared" si="208"/>
        <v>-19.093432906620095</v>
      </c>
      <c r="X421" s="684">
        <f t="shared" si="209"/>
        <v>-187.5790403406626</v>
      </c>
      <c r="Y421" s="687">
        <f t="shared" si="210"/>
        <v>-7.5790403406626012</v>
      </c>
      <c r="AA421" s="170">
        <f t="shared" si="211"/>
        <v>40738</v>
      </c>
      <c r="AB421" s="170">
        <f t="shared" si="212"/>
        <v>1659584644</v>
      </c>
      <c r="AD421" s="686">
        <f t="shared" si="213"/>
        <v>25.269247931222274</v>
      </c>
      <c r="AE421" s="687">
        <f t="shared" si="214"/>
        <v>-34.894536796817853</v>
      </c>
      <c r="AG421" s="686">
        <f t="shared" si="215"/>
        <v>5.1090842051872194</v>
      </c>
      <c r="AH421" s="687">
        <f t="shared" si="216"/>
        <v>-54.100516292280844</v>
      </c>
      <c r="AJ421" s="170">
        <f t="shared" si="217"/>
        <v>0</v>
      </c>
      <c r="AK421" s="170">
        <f t="shared" si="229"/>
        <v>0</v>
      </c>
      <c r="AM421" s="170" t="str">
        <f t="shared" si="221"/>
        <v>0.816028947948368+0.98293166192112i</v>
      </c>
      <c r="AN421" s="170" t="str">
        <f t="shared" si="222"/>
        <v>1.38577138257211i</v>
      </c>
      <c r="AO421" s="170" t="str">
        <f t="shared" si="223"/>
        <v>0.709302901100985-0.588862606206912i</v>
      </c>
      <c r="AP421" s="170" t="str">
        <f t="shared" si="224"/>
        <v>0.0306618420086053-0.16382194365352i</v>
      </c>
      <c r="AQ421" s="170" t="str">
        <f t="shared" si="225"/>
        <v>0.969338157991395+0.16382194365352i</v>
      </c>
      <c r="AR421" s="170" t="str">
        <f t="shared" si="226"/>
        <v>0.835485814401107-0.141200373555653i</v>
      </c>
    </row>
    <row r="422" spans="7:44">
      <c r="G422" s="688">
        <v>40975.25</v>
      </c>
      <c r="H422" s="676">
        <f t="shared" si="218"/>
        <v>40.975250000000003</v>
      </c>
      <c r="I422" s="677">
        <f t="shared" si="198"/>
        <v>210.9937129349492</v>
      </c>
      <c r="J422" s="678">
        <f t="shared" si="199"/>
        <v>1.5660568313383614</v>
      </c>
      <c r="K422" s="678">
        <f t="shared" si="200"/>
        <v>1.0002927959708001</v>
      </c>
      <c r="L422" s="679">
        <f t="shared" si="201"/>
        <v>2.4196055356673372E-2</v>
      </c>
      <c r="M422" s="678">
        <f t="shared" si="202"/>
        <v>1.0358967118411062</v>
      </c>
      <c r="N422" s="679">
        <f t="shared" si="203"/>
        <v>-0.26402574437780446</v>
      </c>
      <c r="O422" s="677">
        <f t="shared" si="204"/>
        <v>772365.26539212244</v>
      </c>
      <c r="P422" s="680">
        <f t="shared" si="205"/>
        <v>1.5707950320706972</v>
      </c>
      <c r="Q422" s="689">
        <f t="shared" si="227"/>
        <v>95.263631468902631</v>
      </c>
      <c r="R422" s="690">
        <f t="shared" si="228"/>
        <v>1.5602989486177135</v>
      </c>
      <c r="S422" s="677">
        <f t="shared" si="206"/>
        <v>1.212602336908736</v>
      </c>
      <c r="T422" s="680">
        <f t="shared" si="207"/>
        <v>0.60117310125096102</v>
      </c>
      <c r="U422" s="681">
        <f t="shared" si="219"/>
        <v>0.77932246576195763</v>
      </c>
      <c r="V422" s="682">
        <f t="shared" si="220"/>
        <v>-0.86436134875397519</v>
      </c>
      <c r="W422" s="683">
        <f t="shared" si="208"/>
        <v>-19.176769552742407</v>
      </c>
      <c r="X422" s="684">
        <f t="shared" si="209"/>
        <v>-188.03999611061423</v>
      </c>
      <c r="Y422" s="687">
        <f t="shared" si="210"/>
        <v>-8.0399961106142257</v>
      </c>
      <c r="AA422" s="170">
        <f t="shared" si="211"/>
        <v>40975.25</v>
      </c>
      <c r="AB422" s="170">
        <f t="shared" si="212"/>
        <v>1678971112.5625</v>
      </c>
      <c r="AD422" s="686">
        <f t="shared" si="213"/>
        <v>25.253170051067009</v>
      </c>
      <c r="AE422" s="687">
        <f t="shared" si="214"/>
        <v>-35.046062781790013</v>
      </c>
      <c r="AG422" s="686">
        <f t="shared" si="215"/>
        <v>5.0823607347599244</v>
      </c>
      <c r="AH422" s="687">
        <f t="shared" si="216"/>
        <v>-53.945418699968343</v>
      </c>
      <c r="AJ422" s="170">
        <f t="shared" si="217"/>
        <v>0</v>
      </c>
      <c r="AK422" s="170">
        <f t="shared" si="229"/>
        <v>0</v>
      </c>
      <c r="AM422" s="170" t="str">
        <f t="shared" si="221"/>
        <v>0.823967560336978+0.984384366081809i</v>
      </c>
      <c r="AN422" s="170" t="str">
        <f t="shared" si="222"/>
        <v>1.39384183916093i</v>
      </c>
      <c r="AO422" s="170" t="str">
        <f t="shared" si="223"/>
        <v>0.706238210408716-0.591148534350923i</v>
      </c>
      <c r="AP422" s="170" t="str">
        <f t="shared" si="224"/>
        <v>0.029338739943837-0.164064061013635i</v>
      </c>
      <c r="AQ422" s="170" t="str">
        <f t="shared" si="225"/>
        <v>0.970661260056163+0.164064061013635i</v>
      </c>
      <c r="AR422" s="170" t="str">
        <f t="shared" si="226"/>
        <v>0.834341740877759-0.141022929331362i</v>
      </c>
    </row>
    <row r="423" spans="7:44">
      <c r="G423" s="688">
        <v>41212.5</v>
      </c>
      <c r="H423" s="676">
        <f t="shared" si="218"/>
        <v>41.212499999999999</v>
      </c>
      <c r="I423" s="677">
        <f t="shared" si="198"/>
        <v>212.21535617542287</v>
      </c>
      <c r="J423" s="678">
        <f t="shared" si="199"/>
        <v>1.5660841150169409</v>
      </c>
      <c r="K423" s="678">
        <f t="shared" si="200"/>
        <v>1.000296195907884</v>
      </c>
      <c r="L423" s="679">
        <f t="shared" si="201"/>
        <v>2.4336097318376087E-2</v>
      </c>
      <c r="M423" s="678">
        <f t="shared" si="202"/>
        <v>1.0363063007587616</v>
      </c>
      <c r="N423" s="679">
        <f t="shared" si="203"/>
        <v>-0.26548383788022728</v>
      </c>
      <c r="O423" s="677">
        <f t="shared" si="204"/>
        <v>776837.32252939371</v>
      </c>
      <c r="P423" s="680">
        <f t="shared" si="205"/>
        <v>1.5707950395240988</v>
      </c>
      <c r="Q423" s="689">
        <f t="shared" si="227"/>
        <v>95.815154968489509</v>
      </c>
      <c r="R423" s="690">
        <f t="shared" si="228"/>
        <v>1.5603593749833231</v>
      </c>
      <c r="S423" s="677">
        <f t="shared" si="206"/>
        <v>1.2148528951678028</v>
      </c>
      <c r="T423" s="680">
        <f t="shared" si="207"/>
        <v>0.60386884583649192</v>
      </c>
      <c r="U423" s="681">
        <f t="shared" si="219"/>
        <v>0.777502821080851</v>
      </c>
      <c r="V423" s="682">
        <f t="shared" si="220"/>
        <v>-0.8684040527850585</v>
      </c>
      <c r="W423" s="683">
        <f t="shared" si="208"/>
        <v>-19.259867976389341</v>
      </c>
      <c r="X423" s="684">
        <f t="shared" si="209"/>
        <v>-188.49970105876113</v>
      </c>
      <c r="Y423" s="687">
        <f t="shared" si="210"/>
        <v>-8.4997010587611328</v>
      </c>
      <c r="AA423" s="170">
        <f t="shared" si="211"/>
        <v>41212.5</v>
      </c>
      <c r="AB423" s="170">
        <f t="shared" si="212"/>
        <v>1698470156.25</v>
      </c>
      <c r="AD423" s="686">
        <f t="shared" si="213"/>
        <v>25.237058714240629</v>
      </c>
      <c r="AE423" s="687">
        <f t="shared" si="214"/>
        <v>-35.197055820686423</v>
      </c>
      <c r="AG423" s="686">
        <f t="shared" si="215"/>
        <v>5.0559825466039152</v>
      </c>
      <c r="AH423" s="687">
        <f t="shared" si="216"/>
        <v>-53.790870851086318</v>
      </c>
      <c r="AJ423" s="170">
        <f t="shared" si="217"/>
        <v>0</v>
      </c>
      <c r="AK423" s="170">
        <f t="shared" si="229"/>
        <v>0</v>
      </c>
      <c r="AM423" s="170" t="str">
        <f t="shared" si="221"/>
        <v>0.831917638055669+0.985772955402619i</v>
      </c>
      <c r="AN423" s="170" t="str">
        <f t="shared" si="222"/>
        <v>1.40191229574975i</v>
      </c>
      <c r="AO423" s="170" t="str">
        <f t="shared" si="223"/>
        <v>0.703163071178731-0.593416321818303i</v>
      </c>
      <c r="AP423" s="170" t="str">
        <f t="shared" si="224"/>
        <v>0.0280137269907218-0.164295492567103i</v>
      </c>
      <c r="AQ423" s="170" t="str">
        <f t="shared" si="225"/>
        <v>0.971986273009278+0.164295492567103i</v>
      </c>
      <c r="AR423" s="170" t="str">
        <f t="shared" si="226"/>
        <v>0.833202259458597-0.140836737541526i</v>
      </c>
    </row>
    <row r="424" spans="7:44">
      <c r="G424" s="688">
        <v>41449.75</v>
      </c>
      <c r="H424" s="676">
        <f t="shared" si="218"/>
        <v>41.449750000000002</v>
      </c>
      <c r="I424" s="677">
        <f t="shared" si="198"/>
        <v>213.43699957206113</v>
      </c>
      <c r="J424" s="678">
        <f t="shared" si="199"/>
        <v>1.5661110863698813</v>
      </c>
      <c r="K424" s="678">
        <f t="shared" si="200"/>
        <v>1.000299615462394</v>
      </c>
      <c r="L424" s="679">
        <f t="shared" si="201"/>
        <v>2.447613832534986E-2</v>
      </c>
      <c r="M424" s="678">
        <f t="shared" si="202"/>
        <v>1.0367180911579641</v>
      </c>
      <c r="N424" s="679">
        <f t="shared" si="203"/>
        <v>-0.26694077615182804</v>
      </c>
      <c r="O424" s="677">
        <f t="shared" si="204"/>
        <v>781309.37966666499</v>
      </c>
      <c r="P424" s="680">
        <f t="shared" si="205"/>
        <v>1.570795046892177</v>
      </c>
      <c r="Q424" s="689">
        <f t="shared" si="227"/>
        <v>96.366678813926072</v>
      </c>
      <c r="R424" s="690">
        <f t="shared" si="228"/>
        <v>1.5604191096872189</v>
      </c>
      <c r="S424" s="677">
        <f t="shared" si="206"/>
        <v>1.2171122491236672</v>
      </c>
      <c r="T424" s="680">
        <f t="shared" si="207"/>
        <v>0.60655460153173779</v>
      </c>
      <c r="U424" s="681">
        <f t="shared" si="219"/>
        <v>0.77568419841637737</v>
      </c>
      <c r="V424" s="682">
        <f t="shared" si="220"/>
        <v>-0.87243573948354436</v>
      </c>
      <c r="W424" s="683">
        <f t="shared" si="208"/>
        <v>-19.34273030350526</v>
      </c>
      <c r="X424" s="684">
        <f t="shared" si="209"/>
        <v>-188.95815803331087</v>
      </c>
      <c r="Y424" s="687">
        <f t="shared" si="210"/>
        <v>-8.9581580333108661</v>
      </c>
      <c r="AA424" s="170">
        <f t="shared" si="211"/>
        <v>41449.75</v>
      </c>
      <c r="AB424" s="170">
        <f t="shared" si="212"/>
        <v>1718081775.0625</v>
      </c>
      <c r="AD424" s="686">
        <f t="shared" si="213"/>
        <v>25.220914510043393</v>
      </c>
      <c r="AE424" s="687">
        <f t="shared" si="214"/>
        <v>-35.347516162735261</v>
      </c>
      <c r="AG424" s="686">
        <f t="shared" si="215"/>
        <v>5.0299455851359802</v>
      </c>
      <c r="AH424" s="687">
        <f t="shared" si="216"/>
        <v>-53.636870218774767</v>
      </c>
      <c r="AJ424" s="170">
        <f t="shared" si="217"/>
        <v>0</v>
      </c>
      <c r="AK424" s="170">
        <f t="shared" si="229"/>
        <v>0</v>
      </c>
      <c r="AM424" s="170" t="str">
        <f t="shared" si="221"/>
        <v>0.839878663300644+0.987097339442069i</v>
      </c>
      <c r="AN424" s="170" t="str">
        <f t="shared" si="222"/>
        <v>1.40998275233857i</v>
      </c>
      <c r="AO424" s="170" t="str">
        <f t="shared" si="223"/>
        <v>0.700077598683309-0.595665912868535i</v>
      </c>
      <c r="AP424" s="170" t="str">
        <f t="shared" si="224"/>
        <v>0.0266868894498927-0.164516223240345i</v>
      </c>
      <c r="AQ424" s="170" t="str">
        <f t="shared" si="225"/>
        <v>0.973313110550107+0.164516223240345i</v>
      </c>
      <c r="AR424" s="170" t="str">
        <f t="shared" si="226"/>
        <v>0.832067419696374-0.14064188377409i</v>
      </c>
    </row>
    <row r="425" spans="7:44">
      <c r="G425" s="688">
        <v>41687</v>
      </c>
      <c r="H425" s="676">
        <f t="shared" si="218"/>
        <v>41.686999999999998</v>
      </c>
      <c r="I425" s="677">
        <f t="shared" si="198"/>
        <v>214.65864312219767</v>
      </c>
      <c r="J425" s="678">
        <f t="shared" si="199"/>
        <v>1.5661377507295711</v>
      </c>
      <c r="K425" s="678">
        <f t="shared" si="200"/>
        <v>1.0003030546341292</v>
      </c>
      <c r="L425" s="679">
        <f t="shared" si="201"/>
        <v>2.4616178372111698E-2</v>
      </c>
      <c r="M425" s="678">
        <f t="shared" si="202"/>
        <v>1.0371320804164368</v>
      </c>
      <c r="N425" s="679">
        <f t="shared" si="203"/>
        <v>-0.26839655438715165</v>
      </c>
      <c r="O425" s="677">
        <f t="shared" si="204"/>
        <v>785781.43680393638</v>
      </c>
      <c r="P425" s="680">
        <f t="shared" si="205"/>
        <v>1.5707950541763882</v>
      </c>
      <c r="Q425" s="689">
        <f t="shared" si="227"/>
        <v>96.91820299930805</v>
      </c>
      <c r="R425" s="690">
        <f t="shared" si="228"/>
        <v>1.5604781645369121</v>
      </c>
      <c r="S425" s="677">
        <f t="shared" si="206"/>
        <v>1.2193803498844673</v>
      </c>
      <c r="T425" s="680">
        <f t="shared" si="207"/>
        <v>0.60923038522246042</v>
      </c>
      <c r="U425" s="681">
        <f t="shared" si="219"/>
        <v>0.77386666951546723</v>
      </c>
      <c r="V425" s="682">
        <f t="shared" si="220"/>
        <v>-0.87645645405437544</v>
      </c>
      <c r="W425" s="683">
        <f t="shared" si="208"/>
        <v>-19.42535861499449</v>
      </c>
      <c r="X425" s="684">
        <f t="shared" si="209"/>
        <v>-189.41536994586681</v>
      </c>
      <c r="Y425" s="687">
        <f t="shared" si="210"/>
        <v>-9.4153699458668143</v>
      </c>
      <c r="AA425" s="170">
        <f t="shared" si="211"/>
        <v>41687</v>
      </c>
      <c r="AB425" s="170">
        <f t="shared" si="212"/>
        <v>1737805969</v>
      </c>
      <c r="AD425" s="686">
        <f t="shared" si="213"/>
        <v>25.204738023388593</v>
      </c>
      <c r="AE425" s="687">
        <f t="shared" si="214"/>
        <v>-35.497444098982257</v>
      </c>
      <c r="AG425" s="686">
        <f t="shared" si="215"/>
        <v>5.0042458595421699</v>
      </c>
      <c r="AH425" s="687">
        <f t="shared" si="216"/>
        <v>-53.483414243486465</v>
      </c>
      <c r="AJ425" s="170">
        <f t="shared" si="217"/>
        <v>0</v>
      </c>
      <c r="AK425" s="170">
        <f t="shared" si="229"/>
        <v>0</v>
      </c>
      <c r="AM425" s="170" t="str">
        <f t="shared" si="221"/>
        <v>0.847850117555067+0.988357431940486i</v>
      </c>
      <c r="AN425" s="170" t="str">
        <f t="shared" si="222"/>
        <v>1.41805320892738i</v>
      </c>
      <c r="AO425" s="170" t="str">
        <f t="shared" si="223"/>
        <v>0.696981908519556-0.597897252527205i</v>
      </c>
      <c r="AP425" s="170" t="str">
        <f t="shared" si="224"/>
        <v>0.0253583137408222-0.164726238656748i</v>
      </c>
      <c r="AQ425" s="170" t="str">
        <f t="shared" si="225"/>
        <v>0.974641686259178+0.164726238656748i</v>
      </c>
      <c r="AR425" s="170" t="str">
        <f t="shared" si="226"/>
        <v>0.830937269799159-0.1404384533757i</v>
      </c>
    </row>
    <row r="426" spans="7:44">
      <c r="G426" s="688">
        <v>41929.75</v>
      </c>
      <c r="H426" s="676">
        <f t="shared" si="218"/>
        <v>41.929749999999999</v>
      </c>
      <c r="I426" s="677">
        <f t="shared" si="198"/>
        <v>215.90860733229039</v>
      </c>
      <c r="J426" s="678">
        <f t="shared" si="199"/>
        <v>1.5661647209147038</v>
      </c>
      <c r="K426" s="678">
        <f t="shared" si="200"/>
        <v>1.0003065938382096</v>
      </c>
      <c r="L426" s="679">
        <f t="shared" si="201"/>
        <v>2.4759463869272559E-2</v>
      </c>
      <c r="M426" s="678">
        <f t="shared" si="202"/>
        <v>1.0375579400635295</v>
      </c>
      <c r="N426" s="679">
        <f t="shared" si="203"/>
        <v>-0.2698848752360441</v>
      </c>
      <c r="O426" s="677">
        <f t="shared" si="204"/>
        <v>790357.16649865767</v>
      </c>
      <c r="P426" s="680">
        <f t="shared" si="205"/>
        <v>1.5707950615441437</v>
      </c>
      <c r="Q426" s="689">
        <f t="shared" si="227"/>
        <v>97.482513128083269</v>
      </c>
      <c r="R426" s="690">
        <f t="shared" si="228"/>
        <v>1.5605378967713242</v>
      </c>
      <c r="S426" s="677">
        <f t="shared" si="206"/>
        <v>1.2217100329298098</v>
      </c>
      <c r="T426" s="680">
        <f t="shared" si="207"/>
        <v>0.61195789636117659</v>
      </c>
      <c r="U426" s="681">
        <f t="shared" si="219"/>
        <v>0.77200821170612677</v>
      </c>
      <c r="V426" s="682">
        <f t="shared" si="220"/>
        <v>-0.88055906904426673</v>
      </c>
      <c r="W426" s="683">
        <f t="shared" si="208"/>
        <v>-19.509662349091187</v>
      </c>
      <c r="X426" s="684">
        <f t="shared" si="209"/>
        <v>-189.88189549105064</v>
      </c>
      <c r="Y426" s="687">
        <f t="shared" si="210"/>
        <v>-9.881895491050642</v>
      </c>
      <c r="AA426" s="170">
        <f t="shared" si="211"/>
        <v>41929.75</v>
      </c>
      <c r="AB426" s="170">
        <f t="shared" si="212"/>
        <v>1758103935.0625</v>
      </c>
      <c r="AD426" s="686">
        <f t="shared" si="213"/>
        <v>25.188153720382985</v>
      </c>
      <c r="AE426" s="687">
        <f t="shared" si="214"/>
        <v>-35.650296993188874</v>
      </c>
      <c r="AG426" s="686">
        <f t="shared" si="215"/>
        <v>4.9782953126003875</v>
      </c>
      <c r="AH426" s="687">
        <f t="shared" si="216"/>
        <v>-53.326961846150724</v>
      </c>
      <c r="AJ426" s="170">
        <f t="shared" si="217"/>
        <v>0</v>
      </c>
      <c r="AK426" s="170">
        <f t="shared" si="229"/>
        <v>0</v>
      </c>
      <c r="AM426" s="170" t="str">
        <f t="shared" si="221"/>
        <v>0.856016621348785+0.989580106243138i</v>
      </c>
      <c r="AN426" s="170" t="str">
        <f t="shared" si="222"/>
        <v>1.42631075723902i</v>
      </c>
      <c r="AO426" s="170" t="str">
        <f t="shared" si="223"/>
        <v>0.693803998336742-0.600161372270527i</v>
      </c>
      <c r="AP426" s="170" t="str">
        <f t="shared" si="224"/>
        <v>0.0239972297752025-0.16493001770719i</v>
      </c>
      <c r="AQ426" s="170" t="str">
        <f t="shared" si="225"/>
        <v>0.976002770224798+0.16493001770719i</v>
      </c>
      <c r="AR426" s="170" t="str">
        <f t="shared" si="226"/>
        <v>0.82978582353102-0.140221518568666i</v>
      </c>
    </row>
    <row r="427" spans="7:44">
      <c r="G427" s="688">
        <v>42172.5</v>
      </c>
      <c r="H427" s="676">
        <f t="shared" si="218"/>
        <v>42.172499999999999</v>
      </c>
      <c r="I427" s="677">
        <f t="shared" si="198"/>
        <v>217.15857169762509</v>
      </c>
      <c r="J427" s="678">
        <f t="shared" si="199"/>
        <v>1.5661913806191774</v>
      </c>
      <c r="K427" s="678">
        <f t="shared" si="200"/>
        <v>1.0003101535791727</v>
      </c>
      <c r="L427" s="679">
        <f t="shared" si="201"/>
        <v>2.4902748349572928E-2</v>
      </c>
      <c r="M427" s="678">
        <f t="shared" si="202"/>
        <v>1.0379860961152927</v>
      </c>
      <c r="N427" s="679">
        <f t="shared" si="203"/>
        <v>-0.27137197154993364</v>
      </c>
      <c r="O427" s="677">
        <f t="shared" si="204"/>
        <v>794932.89619337907</v>
      </c>
      <c r="P427" s="680">
        <f t="shared" si="205"/>
        <v>1.5707950688270798</v>
      </c>
      <c r="Q427" s="689">
        <f t="shared" si="227"/>
        <v>98.046823600666528</v>
      </c>
      <c r="R427" s="690">
        <f t="shared" si="228"/>
        <v>1.5605969414257825</v>
      </c>
      <c r="S427" s="677">
        <f t="shared" si="206"/>
        <v>1.224048770027756</v>
      </c>
      <c r="T427" s="680">
        <f t="shared" si="207"/>
        <v>0.61467500497374516</v>
      </c>
      <c r="U427" s="681">
        <f t="shared" si="219"/>
        <v>0.77015104684298041</v>
      </c>
      <c r="V427" s="682">
        <f t="shared" si="220"/>
        <v>-0.88465029450163146</v>
      </c>
      <c r="W427" s="683">
        <f t="shared" si="208"/>
        <v>-19.593725360389126</v>
      </c>
      <c r="X427" s="684">
        <f t="shared" si="209"/>
        <v>-190.34712394215654</v>
      </c>
      <c r="Y427" s="687">
        <f t="shared" si="210"/>
        <v>-10.347123942156543</v>
      </c>
      <c r="AA427" s="170">
        <f t="shared" si="211"/>
        <v>42172.5</v>
      </c>
      <c r="AB427" s="170">
        <f t="shared" si="212"/>
        <v>1778519756.25</v>
      </c>
      <c r="AD427" s="686">
        <f t="shared" si="213"/>
        <v>25.171536845587099</v>
      </c>
      <c r="AE427" s="687">
        <f t="shared" si="214"/>
        <v>-35.802593257119966</v>
      </c>
      <c r="AG427" s="686">
        <f t="shared" si="215"/>
        <v>4.9526895677430041</v>
      </c>
      <c r="AH427" s="687">
        <f t="shared" si="216"/>
        <v>-53.171074129302909</v>
      </c>
      <c r="AJ427" s="170">
        <f t="shared" si="217"/>
        <v>0</v>
      </c>
      <c r="AK427" s="170">
        <f t="shared" si="229"/>
        <v>0</v>
      </c>
      <c r="AM427" s="170" t="str">
        <f t="shared" si="221"/>
        <v>0.864192942896338+0.990735304327469i</v>
      </c>
      <c r="AN427" s="170" t="str">
        <f t="shared" si="222"/>
        <v>1.43456830555065i</v>
      </c>
      <c r="AO427" s="170" t="str">
        <f t="shared" si="223"/>
        <v>0.690615637118221-0.602406270619943i</v>
      </c>
      <c r="AP427" s="170" t="str">
        <f t="shared" si="224"/>
        <v>0.022634509517277-0.165122550721245i</v>
      </c>
      <c r="AQ427" s="170" t="str">
        <f t="shared" si="225"/>
        <v>0.977365490482723+0.165122550721245i</v>
      </c>
      <c r="AR427" s="170" t="str">
        <f t="shared" si="226"/>
        <v>0.828639384969476-0.139995784797624i</v>
      </c>
    </row>
    <row r="428" spans="7:44">
      <c r="G428" s="688">
        <v>42415.25</v>
      </c>
      <c r="H428" s="676">
        <f t="shared" si="218"/>
        <v>42.41525</v>
      </c>
      <c r="I428" s="677">
        <f t="shared" si="198"/>
        <v>218.40853621553643</v>
      </c>
      <c r="J428" s="678">
        <f t="shared" si="199"/>
        <v>1.566217735173649</v>
      </c>
      <c r="K428" s="678">
        <f t="shared" si="200"/>
        <v>1.0003137338567993</v>
      </c>
      <c r="L428" s="679">
        <f t="shared" si="201"/>
        <v>2.5046031807140302E-2</v>
      </c>
      <c r="M428" s="678">
        <f t="shared" si="202"/>
        <v>1.0384165457311909</v>
      </c>
      <c r="N428" s="679">
        <f t="shared" si="203"/>
        <v>-0.27285783827029569</v>
      </c>
      <c r="O428" s="677">
        <f t="shared" si="204"/>
        <v>799508.62588810048</v>
      </c>
      <c r="P428" s="680">
        <f t="shared" si="205"/>
        <v>1.5707950760266527</v>
      </c>
      <c r="Q428" s="689">
        <f t="shared" si="227"/>
        <v>98.611134411155447</v>
      </c>
      <c r="R428" s="690">
        <f t="shared" si="228"/>
        <v>1.560655310304081</v>
      </c>
      <c r="S428" s="677">
        <f t="shared" si="206"/>
        <v>1.226396509380095</v>
      </c>
      <c r="T428" s="680">
        <f t="shared" si="207"/>
        <v>0.6173817305685988</v>
      </c>
      <c r="U428" s="681">
        <f t="shared" si="219"/>
        <v>0.76829524766291368</v>
      </c>
      <c r="V428" s="682">
        <f t="shared" si="220"/>
        <v>-0.88873018030403661</v>
      </c>
      <c r="W428" s="683">
        <f t="shared" si="208"/>
        <v>-19.677549739773109</v>
      </c>
      <c r="X428" s="684">
        <f t="shared" si="209"/>
        <v>-190.81105861441395</v>
      </c>
      <c r="Y428" s="687">
        <f t="shared" si="210"/>
        <v>-10.811058614413952</v>
      </c>
      <c r="AA428" s="170">
        <f t="shared" si="211"/>
        <v>42415.25</v>
      </c>
      <c r="AB428" s="170">
        <f t="shared" si="212"/>
        <v>1799053432.5625</v>
      </c>
      <c r="AD428" s="686">
        <f t="shared" si="213"/>
        <v>25.154888011215167</v>
      </c>
      <c r="AE428" s="687">
        <f t="shared" si="214"/>
        <v>-35.95433333230222</v>
      </c>
      <c r="AG428" s="686">
        <f t="shared" si="215"/>
        <v>4.9274245521904581</v>
      </c>
      <c r="AH428" s="687">
        <f t="shared" si="216"/>
        <v>-53.015748251097477</v>
      </c>
      <c r="AJ428" s="170">
        <f t="shared" si="217"/>
        <v>0</v>
      </c>
      <c r="AK428" s="170">
        <f t="shared" si="229"/>
        <v>0</v>
      </c>
      <c r="AM428" s="170" t="str">
        <f t="shared" si="221"/>
        <v>0.872378524681225+0.991822947424317i</v>
      </c>
      <c r="AN428" s="170" t="str">
        <f t="shared" si="222"/>
        <v>1.44282585386229i</v>
      </c>
      <c r="AO428" s="170" t="str">
        <f t="shared" si="223"/>
        <v>0.687416949709706-0.604631891191831i</v>
      </c>
      <c r="AP428" s="170" t="str">
        <f t="shared" si="224"/>
        <v>0.0212702458864625-0.165303824570719i</v>
      </c>
      <c r="AQ428" s="170" t="str">
        <f t="shared" si="225"/>
        <v>0.978729754113537+0.165303824570719i</v>
      </c>
      <c r="AR428" s="170" t="str">
        <f t="shared" si="226"/>
        <v>0.827498001504342-0.139761342595728i</v>
      </c>
    </row>
    <row r="429" spans="7:44">
      <c r="G429" s="688">
        <v>42658</v>
      </c>
      <c r="H429" s="676">
        <f t="shared" si="218"/>
        <v>42.658000000000001</v>
      </c>
      <c r="I429" s="677">
        <f t="shared" si="198"/>
        <v>219.65850088341963</v>
      </c>
      <c r="J429" s="678">
        <f t="shared" si="199"/>
        <v>1.5662437897874415</v>
      </c>
      <c r="K429" s="678">
        <f t="shared" si="200"/>
        <v>1.0003173346708689</v>
      </c>
      <c r="L429" s="679">
        <f t="shared" si="201"/>
        <v>2.5189314236102434E-2</v>
      </c>
      <c r="M429" s="678">
        <f t="shared" si="202"/>
        <v>1.0388492860601932</v>
      </c>
      <c r="N429" s="679">
        <f t="shared" si="203"/>
        <v>-0.2743424703686847</v>
      </c>
      <c r="O429" s="677">
        <f t="shared" si="204"/>
        <v>804084.35558282188</v>
      </c>
      <c r="P429" s="680">
        <f t="shared" si="205"/>
        <v>1.5707950831442858</v>
      </c>
      <c r="Q429" s="689">
        <f t="shared" si="227"/>
        <v>99.175445553781969</v>
      </c>
      <c r="R429" s="690">
        <f t="shared" si="228"/>
        <v>1.5607130149413757</v>
      </c>
      <c r="S429" s="677">
        <f t="shared" si="206"/>
        <v>1.2287531993858711</v>
      </c>
      <c r="T429" s="680">
        <f t="shared" si="207"/>
        <v>0.62007809311391726</v>
      </c>
      <c r="U429" s="681">
        <f t="shared" si="219"/>
        <v>0.76644088553875678</v>
      </c>
      <c r="V429" s="682">
        <f t="shared" si="220"/>
        <v>-0.89279877679189346</v>
      </c>
      <c r="W429" s="683">
        <f t="shared" si="208"/>
        <v>-19.761137534225266</v>
      </c>
      <c r="X429" s="684">
        <f t="shared" si="209"/>
        <v>-191.27370288607403</v>
      </c>
      <c r="Y429" s="687">
        <f t="shared" si="210"/>
        <v>-11.273702886074034</v>
      </c>
      <c r="AA429" s="170">
        <f t="shared" si="211"/>
        <v>42658</v>
      </c>
      <c r="AB429" s="170">
        <f t="shared" si="212"/>
        <v>1819704964</v>
      </c>
      <c r="AD429" s="686">
        <f t="shared" si="213"/>
        <v>25.138207824632204</v>
      </c>
      <c r="AE429" s="687">
        <f t="shared" si="214"/>
        <v>-36.10551770199389</v>
      </c>
      <c r="AG429" s="686">
        <f t="shared" si="215"/>
        <v>4.9024962585475134</v>
      </c>
      <c r="AH429" s="687">
        <f t="shared" si="216"/>
        <v>-52.860981337941261</v>
      </c>
      <c r="AJ429" s="170">
        <f t="shared" si="217"/>
        <v>0</v>
      </c>
      <c r="AK429" s="170">
        <f t="shared" si="229"/>
        <v>0</v>
      </c>
      <c r="AM429" s="170" t="str">
        <f t="shared" si="221"/>
        <v>0.880572808555479+0.992842961370867i</v>
      </c>
      <c r="AN429" s="170" t="str">
        <f t="shared" si="222"/>
        <v>1.45108340217392i</v>
      </c>
      <c r="AO429" s="170" t="str">
        <f t="shared" si="223"/>
        <v>0.684208061289553-0.606838178450847i</v>
      </c>
      <c r="AP429" s="170" t="str">
        <f t="shared" si="224"/>
        <v>0.0199045319074202-0.165473826895145i</v>
      </c>
      <c r="AQ429" s="170" t="str">
        <f t="shared" si="225"/>
        <v>0.98009546809258+0.165473826895145i</v>
      </c>
      <c r="AR429" s="170" t="str">
        <f t="shared" si="226"/>
        <v>0.8263617191341-0.139518282163768i</v>
      </c>
    </row>
    <row r="430" spans="7:44">
      <c r="G430" s="688">
        <v>42906.5</v>
      </c>
      <c r="H430" s="676">
        <f t="shared" si="218"/>
        <v>42.906500000000001</v>
      </c>
      <c r="I430" s="677">
        <f t="shared" si="198"/>
        <v>220.93807351795436</v>
      </c>
      <c r="J430" s="678">
        <f t="shared" si="199"/>
        <v>1.566270156187652</v>
      </c>
      <c r="K430" s="678">
        <f t="shared" si="200"/>
        <v>1.000321042048776</v>
      </c>
      <c r="L430" s="679">
        <f t="shared" si="201"/>
        <v>2.5335989513026305E-2</v>
      </c>
      <c r="M430" s="678">
        <f t="shared" si="202"/>
        <v>1.0392946464333128</v>
      </c>
      <c r="N430" s="679">
        <f t="shared" si="203"/>
        <v>-0.27586098477693155</v>
      </c>
      <c r="O430" s="677">
        <f t="shared" si="204"/>
        <v>808768.47022396838</v>
      </c>
      <c r="P430" s="680">
        <f t="shared" si="205"/>
        <v>1.5707950903470913</v>
      </c>
      <c r="Q430" s="689">
        <f t="shared" si="227"/>
        <v>99.753123827841151</v>
      </c>
      <c r="R430" s="690">
        <f t="shared" si="228"/>
        <v>1.5607714101642371</v>
      </c>
      <c r="S430" s="677">
        <f t="shared" si="206"/>
        <v>1.2311749296437569</v>
      </c>
      <c r="T430" s="680">
        <f t="shared" si="207"/>
        <v>0.62282761134443487</v>
      </c>
      <c r="U430" s="681">
        <f t="shared" si="219"/>
        <v>0.76454416089710109</v>
      </c>
      <c r="V430" s="682">
        <f t="shared" si="220"/>
        <v>-0.89695210523338043</v>
      </c>
      <c r="W430" s="683">
        <f t="shared" si="208"/>
        <v>-19.846462301150712</v>
      </c>
      <c r="X430" s="684">
        <f t="shared" si="209"/>
        <v>-191.74597275627085</v>
      </c>
      <c r="Y430" s="687">
        <f t="shared" si="210"/>
        <v>-11.745972756270845</v>
      </c>
      <c r="AA430" s="170">
        <f t="shared" si="211"/>
        <v>42906.5</v>
      </c>
      <c r="AB430" s="170">
        <f t="shared" si="212"/>
        <v>1840967742.25</v>
      </c>
      <c r="AD430" s="686">
        <f t="shared" si="213"/>
        <v>25.12110068981249</v>
      </c>
      <c r="AE430" s="687">
        <f t="shared" si="214"/>
        <v>-36.259708105349688</v>
      </c>
      <c r="AG430" s="686">
        <f t="shared" si="215"/>
        <v>4.8773221542106473</v>
      </c>
      <c r="AH430" s="687">
        <f t="shared" si="216"/>
        <v>-52.70312442298075</v>
      </c>
      <c r="AJ430" s="170">
        <f t="shared" si="217"/>
        <v>0</v>
      </c>
      <c r="AK430" s="170">
        <f t="shared" si="229"/>
        <v>0</v>
      </c>
      <c r="AM430" s="170" t="str">
        <f t="shared" si="221"/>
        <v>0.888969620177798+0.993817012712369i</v>
      </c>
      <c r="AN430" s="170" t="str">
        <f t="shared" si="222"/>
        <v>1.45953654637759i</v>
      </c>
      <c r="AO430" s="170" t="str">
        <f t="shared" si="223"/>
        <v>0.680912728892548-0.609076643119436i</v>
      </c>
      <c r="AP430" s="170" t="str">
        <f t="shared" si="224"/>
        <v>0.0185050633037003-0.165636168785395i</v>
      </c>
      <c r="AQ430" s="170" t="str">
        <f t="shared" si="225"/>
        <v>0.9814949366963+0.165636168785395i</v>
      </c>
      <c r="AR430" s="170" t="str">
        <f t="shared" si="226"/>
        <v>0.825203852086024-0.139260631324859i</v>
      </c>
    </row>
    <row r="431" spans="7:44">
      <c r="G431" s="688">
        <v>43155</v>
      </c>
      <c r="H431" s="676">
        <f t="shared" si="218"/>
        <v>43.155000000000001</v>
      </c>
      <c r="I431" s="677">
        <f t="shared" si="198"/>
        <v>222.21764630431355</v>
      </c>
      <c r="J431" s="678">
        <f t="shared" si="199"/>
        <v>1.5662962189420742</v>
      </c>
      <c r="K431" s="678">
        <f t="shared" si="200"/>
        <v>1.0003247709470671</v>
      </c>
      <c r="L431" s="679">
        <f t="shared" si="201"/>
        <v>2.5482663699586416E-2</v>
      </c>
      <c r="M431" s="678">
        <f t="shared" si="202"/>
        <v>1.0397424012451777</v>
      </c>
      <c r="N431" s="679">
        <f t="shared" si="203"/>
        <v>-0.27737819481467657</v>
      </c>
      <c r="O431" s="677">
        <f t="shared" si="204"/>
        <v>813452.58486511477</v>
      </c>
      <c r="P431" s="680">
        <f t="shared" si="205"/>
        <v>1.5707950974669449</v>
      </c>
      <c r="Q431" s="689">
        <f t="shared" si="227"/>
        <v>100.33080243814162</v>
      </c>
      <c r="R431" s="690">
        <f t="shared" si="228"/>
        <v>1.560829132938347</v>
      </c>
      <c r="S431" s="677">
        <f t="shared" si="206"/>
        <v>1.2336059308154173</v>
      </c>
      <c r="T431" s="680">
        <f t="shared" si="207"/>
        <v>0.62556631355451608</v>
      </c>
      <c r="U431" s="681">
        <f t="shared" si="219"/>
        <v>0.76264908923011532</v>
      </c>
      <c r="V431" s="682">
        <f t="shared" si="220"/>
        <v>-0.90109371139171146</v>
      </c>
      <c r="W431" s="683">
        <f t="shared" si="208"/>
        <v>-19.931543348007768</v>
      </c>
      <c r="X431" s="684">
        <f t="shared" si="209"/>
        <v>-192.21689773044193</v>
      </c>
      <c r="Y431" s="687">
        <f t="shared" si="210"/>
        <v>-12.216897730441929</v>
      </c>
      <c r="AA431" s="170">
        <f t="shared" si="211"/>
        <v>43155</v>
      </c>
      <c r="AB431" s="170">
        <f t="shared" si="212"/>
        <v>1862354025</v>
      </c>
      <c r="AD431" s="686">
        <f t="shared" si="213"/>
        <v>25.103961972353417</v>
      </c>
      <c r="AE431" s="687">
        <f t="shared" si="214"/>
        <v>-36.413317320105293</v>
      </c>
      <c r="AG431" s="686">
        <f t="shared" si="215"/>
        <v>4.8524926183058108</v>
      </c>
      <c r="AH431" s="687">
        <f t="shared" si="216"/>
        <v>-52.545847075298411</v>
      </c>
      <c r="AJ431" s="170">
        <f t="shared" si="217"/>
        <v>0</v>
      </c>
      <c r="AK431" s="170">
        <f t="shared" si="229"/>
        <v>0</v>
      </c>
      <c r="AM431" s="170" t="str">
        <f t="shared" si="221"/>
        <v>0.897374365500504+0.994720050639161i</v>
      </c>
      <c r="AN431" s="170" t="str">
        <f t="shared" si="222"/>
        <v>1.46798969058127i</v>
      </c>
      <c r="AO431" s="170" t="str">
        <f t="shared" si="223"/>
        <v>0.677606973006253-0.611294732693373i</v>
      </c>
      <c r="AP431" s="170" t="str">
        <f t="shared" si="224"/>
        <v>0.0171042724165827-0.165786675106527i</v>
      </c>
      <c r="AQ431" s="170" t="str">
        <f t="shared" si="225"/>
        <v>0.982895727583417+0.165786675106527i</v>
      </c>
      <c r="AR431" s="170" t="str">
        <f t="shared" si="226"/>
        <v>0.824051423825268-0.138994139295611i</v>
      </c>
    </row>
    <row r="432" spans="7:44">
      <c r="G432" s="688">
        <v>43403.5</v>
      </c>
      <c r="H432" s="676">
        <f t="shared" si="218"/>
        <v>43.403500000000001</v>
      </c>
      <c r="I432" s="677">
        <f t="shared" si="198"/>
        <v>223.49721923988949</v>
      </c>
      <c r="J432" s="678">
        <f t="shared" si="199"/>
        <v>1.5663219832659983</v>
      </c>
      <c r="K432" s="678">
        <f t="shared" si="200"/>
        <v>1.0003285213655013</v>
      </c>
      <c r="L432" s="679">
        <f t="shared" si="201"/>
        <v>2.5629336789484099E-2</v>
      </c>
      <c r="M432" s="678">
        <f t="shared" si="202"/>
        <v>1.0401925474037026</v>
      </c>
      <c r="N432" s="679">
        <f t="shared" si="203"/>
        <v>-0.27889409518584829</v>
      </c>
      <c r="O432" s="677">
        <f t="shared" si="204"/>
        <v>818136.69950626127</v>
      </c>
      <c r="P432" s="680">
        <f t="shared" si="205"/>
        <v>1.5707951045052713</v>
      </c>
      <c r="Q432" s="689">
        <f t="shared" si="227"/>
        <v>100.90848137890865</v>
      </c>
      <c r="R432" s="690">
        <f t="shared" si="228"/>
        <v>1.5608861948121828</v>
      </c>
      <c r="S432" s="677">
        <f t="shared" si="206"/>
        <v>1.2360461481999776</v>
      </c>
      <c r="T432" s="680">
        <f t="shared" si="207"/>
        <v>0.62829422259946954</v>
      </c>
      <c r="U432" s="681">
        <f t="shared" si="219"/>
        <v>0.76075574274264168</v>
      </c>
      <c r="V432" s="682">
        <f t="shared" si="220"/>
        <v>-0.90522365068807786</v>
      </c>
      <c r="W432" s="683">
        <f t="shared" si="208"/>
        <v>-20.016382735973433</v>
      </c>
      <c r="X432" s="684">
        <f t="shared" si="209"/>
        <v>-192.68648162763546</v>
      </c>
      <c r="Y432" s="687">
        <f t="shared" si="210"/>
        <v>-12.686481627635459</v>
      </c>
      <c r="AA432" s="170">
        <f t="shared" si="211"/>
        <v>43403.5</v>
      </c>
      <c r="AB432" s="170">
        <f t="shared" si="212"/>
        <v>1883863812.25</v>
      </c>
      <c r="AD432" s="686">
        <f t="shared" si="213"/>
        <v>25.086792307977809</v>
      </c>
      <c r="AE432" s="687">
        <f t="shared" si="214"/>
        <v>-36.566345994176054</v>
      </c>
      <c r="AG432" s="686">
        <f t="shared" si="215"/>
        <v>4.8280035562421517</v>
      </c>
      <c r="AH432" s="687">
        <f t="shared" si="216"/>
        <v>-52.389146115226367</v>
      </c>
      <c r="AJ432" s="170">
        <f t="shared" si="217"/>
        <v>0</v>
      </c>
      <c r="AK432" s="170">
        <f t="shared" si="229"/>
        <v>0</v>
      </c>
      <c r="AM432" s="170" t="str">
        <f t="shared" si="221"/>
        <v>0.905786443960638+0.995552010624467i</v>
      </c>
      <c r="AN432" s="170" t="str">
        <f t="shared" si="222"/>
        <v>1.47644283478494i</v>
      </c>
      <c r="AO432" s="170" t="str">
        <f t="shared" si="223"/>
        <v>0.674290928960673-0.613492390372551i</v>
      </c>
      <c r="AP432" s="170" t="str">
        <f t="shared" si="224"/>
        <v>0.0157022593398937-0.165925335104078i</v>
      </c>
      <c r="AQ432" s="170" t="str">
        <f t="shared" si="225"/>
        <v>0.984297740660106+0.165925335104078i</v>
      </c>
      <c r="AR432" s="170" t="str">
        <f t="shared" si="226"/>
        <v>0.822904479303405-0.138718901656215i</v>
      </c>
    </row>
    <row r="433" spans="7:44">
      <c r="G433" s="688">
        <v>43652</v>
      </c>
      <c r="H433" s="676">
        <f t="shared" si="218"/>
        <v>43.652000000000001</v>
      </c>
      <c r="I433" s="677">
        <f t="shared" si="198"/>
        <v>224.7767923221339</v>
      </c>
      <c r="J433" s="678">
        <f t="shared" si="199"/>
        <v>1.5663474542559606</v>
      </c>
      <c r="K433" s="678">
        <f t="shared" si="200"/>
        <v>1.0003322933038368</v>
      </c>
      <c r="L433" s="679">
        <f t="shared" si="201"/>
        <v>2.5776008776420965E-2</v>
      </c>
      <c r="M433" s="678">
        <f t="shared" si="202"/>
        <v>1.0406450818056523</v>
      </c>
      <c r="N433" s="679">
        <f t="shared" si="203"/>
        <v>-0.28040868062759072</v>
      </c>
      <c r="O433" s="677">
        <f t="shared" si="204"/>
        <v>822820.81414740777</v>
      </c>
      <c r="P433" s="680">
        <f t="shared" si="205"/>
        <v>1.5707951114634626</v>
      </c>
      <c r="Q433" s="689">
        <f t="shared" si="227"/>
        <v>101.48616064449897</v>
      </c>
      <c r="R433" s="690">
        <f t="shared" si="228"/>
        <v>1.5609426070712942</v>
      </c>
      <c r="S433" s="677">
        <f t="shared" si="206"/>
        <v>1.2384955273211111</v>
      </c>
      <c r="T433" s="680">
        <f t="shared" si="207"/>
        <v>0.63101136179735451</v>
      </c>
      <c r="U433" s="681">
        <f t="shared" si="219"/>
        <v>0.75886419219673884</v>
      </c>
      <c r="V433" s="682">
        <f t="shared" si="220"/>
        <v>-0.90934197899255054</v>
      </c>
      <c r="W433" s="683">
        <f t="shared" si="208"/>
        <v>-20.100982483429281</v>
      </c>
      <c r="X433" s="684">
        <f t="shared" si="209"/>
        <v>-193.15472832929396</v>
      </c>
      <c r="Y433" s="687">
        <f t="shared" si="210"/>
        <v>-13.15472832929396</v>
      </c>
      <c r="AA433" s="170">
        <f t="shared" si="211"/>
        <v>43652</v>
      </c>
      <c r="AB433" s="170">
        <f t="shared" si="212"/>
        <v>1905497104</v>
      </c>
      <c r="AD433" s="686">
        <f t="shared" si="213"/>
        <v>25.069592327059723</v>
      </c>
      <c r="AE433" s="687">
        <f t="shared" si="214"/>
        <v>-36.718794817053741</v>
      </c>
      <c r="AG433" s="686">
        <f t="shared" si="215"/>
        <v>4.8038509395851587</v>
      </c>
      <c r="AH433" s="687">
        <f t="shared" si="216"/>
        <v>-52.233018332476789</v>
      </c>
      <c r="AJ433" s="170">
        <f t="shared" si="217"/>
        <v>0</v>
      </c>
      <c r="AK433" s="170">
        <f t="shared" si="229"/>
        <v>0</v>
      </c>
      <c r="AM433" s="170" t="str">
        <f t="shared" si="221"/>
        <v>0.914205254471281+0.996312833220401i</v>
      </c>
      <c r="AN433" s="170" t="str">
        <f t="shared" si="222"/>
        <v>1.48489597898861i</v>
      </c>
      <c r="AO433" s="170" t="str">
        <f t="shared" si="223"/>
        <v>0.670964732424562-0.615669560297391i</v>
      </c>
      <c r="AP433" s="170" t="str">
        <f t="shared" si="224"/>
        <v>0.0142991242547866-0.166052138870067i</v>
      </c>
      <c r="AQ433" s="170" t="str">
        <f t="shared" si="225"/>
        <v>0.985700875745213+0.166052138870067i</v>
      </c>
      <c r="AR433" s="170" t="str">
        <f t="shared" si="226"/>
        <v>0.821763062036635-0.138435013555644i</v>
      </c>
    </row>
    <row r="434" spans="7:44">
      <c r="G434" s="688">
        <v>43906</v>
      </c>
      <c r="H434" s="676">
        <f t="shared" si="218"/>
        <v>43.905999999999999</v>
      </c>
      <c r="I434" s="677">
        <f t="shared" si="198"/>
        <v>226.08468608435467</v>
      </c>
      <c r="J434" s="678">
        <f t="shared" si="199"/>
        <v>1.5663731910309702</v>
      </c>
      <c r="K434" s="678">
        <f t="shared" si="200"/>
        <v>1.0003361709650787</v>
      </c>
      <c r="L434" s="679">
        <f t="shared" si="201"/>
        <v>2.5925925878233006E-2</v>
      </c>
      <c r="M434" s="678">
        <f t="shared" si="202"/>
        <v>1.0411100969334419</v>
      </c>
      <c r="N434" s="679">
        <f t="shared" si="203"/>
        <v>-0.28195542373084981</v>
      </c>
      <c r="O434" s="677">
        <f t="shared" si="204"/>
        <v>827608.60134600429</v>
      </c>
      <c r="P434" s="680">
        <f t="shared" si="205"/>
        <v>1.5707951184942599</v>
      </c>
      <c r="Q434" s="689">
        <f t="shared" si="227"/>
        <v>102.0766258978245</v>
      </c>
      <c r="R434" s="690">
        <f t="shared" si="228"/>
        <v>1.5609996080325637</v>
      </c>
      <c r="S434" s="677">
        <f t="shared" si="206"/>
        <v>1.2410085297188089</v>
      </c>
      <c r="T434" s="680">
        <f t="shared" si="207"/>
        <v>0.63377753359891909</v>
      </c>
      <c r="U434" s="681">
        <f t="shared" si="219"/>
        <v>0.75693270452506822</v>
      </c>
      <c r="V434" s="682">
        <f t="shared" si="220"/>
        <v>-0.91353951672834488</v>
      </c>
      <c r="W434" s="683">
        <f t="shared" si="208"/>
        <v>-20.187209062630927</v>
      </c>
      <c r="X434" s="684">
        <f t="shared" si="209"/>
        <v>-193.63196082759438</v>
      </c>
      <c r="Y434" s="687">
        <f t="shared" si="210"/>
        <v>-13.631960827594384</v>
      </c>
      <c r="AA434" s="170">
        <f t="shared" si="211"/>
        <v>43906</v>
      </c>
      <c r="AB434" s="170">
        <f t="shared" si="212"/>
        <v>1927736836</v>
      </c>
      <c r="AD434" s="686">
        <f t="shared" si="213"/>
        <v>25.051980982667295</v>
      </c>
      <c r="AE434" s="687">
        <f t="shared" si="214"/>
        <v>-36.874019275194954</v>
      </c>
      <c r="AG434" s="686">
        <f t="shared" si="215"/>
        <v>4.7795073294763943</v>
      </c>
      <c r="AH434" s="687">
        <f t="shared" si="216"/>
        <v>-52.074023978870571</v>
      </c>
      <c r="AJ434" s="170">
        <f t="shared" si="217"/>
        <v>0</v>
      </c>
      <c r="AK434" s="170">
        <f t="shared" si="229"/>
        <v>0</v>
      </c>
      <c r="AM434" s="170" t="str">
        <f t="shared" si="221"/>
        <v>0.922816727726132+0.997016921862963i</v>
      </c>
      <c r="AN434" s="170" t="str">
        <f t="shared" si="222"/>
        <v>1.4935362149151i</v>
      </c>
      <c r="AO434" s="170" t="str">
        <f t="shared" si="223"/>
        <v>0.667554567412775-0.617873686965528i</v>
      </c>
      <c r="AP434" s="170" t="str">
        <f t="shared" si="224"/>
        <v>0.0128638787123114-0.16616948697716i</v>
      </c>
      <c r="AQ434" s="170" t="str">
        <f t="shared" si="225"/>
        <v>0.987136121287689+0.16616948697716i</v>
      </c>
      <c r="AR434" s="170" t="str">
        <f t="shared" si="226"/>
        <v>0.820602137948009-0.138136001038342i</v>
      </c>
    </row>
    <row r="435" spans="7:44">
      <c r="G435" s="688">
        <v>44160</v>
      </c>
      <c r="H435" s="676">
        <f t="shared" si="218"/>
        <v>44.16</v>
      </c>
      <c r="I435" s="677">
        <f t="shared" si="198"/>
        <v>227.39257999460713</v>
      </c>
      <c r="J435" s="678">
        <f t="shared" si="199"/>
        <v>1.5663986317455774</v>
      </c>
      <c r="K435" s="678">
        <f t="shared" si="200"/>
        <v>1.000340071108839</v>
      </c>
      <c r="L435" s="679">
        <f t="shared" si="201"/>
        <v>2.6075841814415447E-2</v>
      </c>
      <c r="M435" s="678">
        <f t="shared" si="202"/>
        <v>1.0415776006003468</v>
      </c>
      <c r="N435" s="679">
        <f t="shared" si="203"/>
        <v>-0.28350078204226792</v>
      </c>
      <c r="O435" s="677">
        <f t="shared" si="204"/>
        <v>832396.38854460081</v>
      </c>
      <c r="P435" s="680">
        <f t="shared" si="205"/>
        <v>1.5707951254441774</v>
      </c>
      <c r="Q435" s="689">
        <f t="shared" si="227"/>
        <v>102.66709147899327</v>
      </c>
      <c r="R435" s="690">
        <f t="shared" si="228"/>
        <v>1.5610559533388237</v>
      </c>
      <c r="S435" s="677">
        <f t="shared" si="206"/>
        <v>1.2435309895276714</v>
      </c>
      <c r="T435" s="680">
        <f t="shared" si="207"/>
        <v>0.63653250424104957</v>
      </c>
      <c r="U435" s="681">
        <f t="shared" si="219"/>
        <v>0.75500323811737069</v>
      </c>
      <c r="V435" s="682">
        <f t="shared" si="220"/>
        <v>-0.9177250432229489</v>
      </c>
      <c r="W435" s="683">
        <f t="shared" si="208"/>
        <v>-20.273189408810367</v>
      </c>
      <c r="X435" s="684">
        <f t="shared" si="209"/>
        <v>-194.10780467598204</v>
      </c>
      <c r="Y435" s="687">
        <f t="shared" si="210"/>
        <v>-14.107804675982038</v>
      </c>
      <c r="AA435" s="170">
        <f t="shared" si="211"/>
        <v>44160</v>
      </c>
      <c r="AB435" s="170">
        <f t="shared" si="212"/>
        <v>1950105600</v>
      </c>
      <c r="AD435" s="686">
        <f t="shared" si="213"/>
        <v>25.034339279546298</v>
      </c>
      <c r="AE435" s="687">
        <f t="shared" si="214"/>
        <v>-37.028639515805004</v>
      </c>
      <c r="AG435" s="686">
        <f t="shared" si="215"/>
        <v>4.7555069176955609</v>
      </c>
      <c r="AH435" s="687">
        <f t="shared" si="216"/>
        <v>-51.91562157973808</v>
      </c>
      <c r="AJ435" s="170">
        <f t="shared" si="217"/>
        <v>0</v>
      </c>
      <c r="AK435" s="170">
        <f t="shared" si="229"/>
        <v>0</v>
      </c>
      <c r="AM435" s="170" t="str">
        <f t="shared" si="221"/>
        <v>0.931433962960205+0.997646579989456i</v>
      </c>
      <c r="AN435" s="170" t="str">
        <f t="shared" si="222"/>
        <v>1.50217645084159i</v>
      </c>
      <c r="AO435" s="170" t="str">
        <f t="shared" si="223"/>
        <v>0.664134083203426-0.620056293944944i</v>
      </c>
      <c r="AP435" s="170" t="str">
        <f t="shared" si="224"/>
        <v>0.0114276728399658-0.166274429998243i</v>
      </c>
      <c r="AQ435" s="170" t="str">
        <f t="shared" si="225"/>
        <v>0.988572327160034+0.166274429998243i</v>
      </c>
      <c r="AR435" s="170" t="str">
        <f t="shared" si="226"/>
        <v>0.819447075935239-0.137828150476643i</v>
      </c>
    </row>
    <row r="436" spans="7:44">
      <c r="G436" s="688">
        <v>44414</v>
      </c>
      <c r="H436" s="676">
        <f t="shared" si="218"/>
        <v>44.414000000000001</v>
      </c>
      <c r="I436" s="677">
        <f t="shared" si="198"/>
        <v>228.70047405035157</v>
      </c>
      <c r="J436" s="678">
        <f t="shared" si="199"/>
        <v>1.566423781479086</v>
      </c>
      <c r="K436" s="678">
        <f t="shared" si="200"/>
        <v>1.0003439937348546</v>
      </c>
      <c r="L436" s="679">
        <f t="shared" si="201"/>
        <v>2.622575657824331E-2</v>
      </c>
      <c r="M436" s="678">
        <f t="shared" si="202"/>
        <v>1.042047589456996</v>
      </c>
      <c r="N436" s="679">
        <f t="shared" si="203"/>
        <v>-0.28504475004960628</v>
      </c>
      <c r="O436" s="677">
        <f t="shared" si="204"/>
        <v>837184.17574319732</v>
      </c>
      <c r="P436" s="680">
        <f t="shared" si="205"/>
        <v>1.570795132314603</v>
      </c>
      <c r="Q436" s="689">
        <f t="shared" si="227"/>
        <v>103.25755738238108</v>
      </c>
      <c r="R436" s="690">
        <f t="shared" si="228"/>
        <v>1.5611116542375658</v>
      </c>
      <c r="S436" s="677">
        <f t="shared" si="206"/>
        <v>1.2460628493125399</v>
      </c>
      <c r="T436" s="680">
        <f t="shared" si="207"/>
        <v>0.63927630005590808</v>
      </c>
      <c r="U436" s="681">
        <f t="shared" si="219"/>
        <v>0.75307586395933068</v>
      </c>
      <c r="V436" s="682">
        <f t="shared" si="220"/>
        <v>-0.92189861949929885</v>
      </c>
      <c r="W436" s="683">
        <f t="shared" si="208"/>
        <v>-20.358925546839487</v>
      </c>
      <c r="X436" s="684">
        <f t="shared" si="209"/>
        <v>-194.58226421076097</v>
      </c>
      <c r="Y436" s="687">
        <f t="shared" si="210"/>
        <v>-14.582264210760968</v>
      </c>
      <c r="AA436" s="170">
        <f t="shared" si="211"/>
        <v>44414</v>
      </c>
      <c r="AB436" s="170">
        <f t="shared" si="212"/>
        <v>1972603396</v>
      </c>
      <c r="AD436" s="686">
        <f t="shared" si="213"/>
        <v>25.016667873523836</v>
      </c>
      <c r="AE436" s="687">
        <f t="shared" si="214"/>
        <v>-37.182656403251428</v>
      </c>
      <c r="AG436" s="686">
        <f t="shared" si="215"/>
        <v>4.7318456080814366</v>
      </c>
      <c r="AH436" s="687">
        <f t="shared" si="216"/>
        <v>-51.757807614302571</v>
      </c>
      <c r="AJ436" s="170">
        <f t="shared" si="217"/>
        <v>0</v>
      </c>
      <c r="AK436" s="170">
        <f t="shared" si="229"/>
        <v>0</v>
      </c>
      <c r="AM436" s="170" t="str">
        <f t="shared" si="221"/>
        <v>0.940056316869207+0.998201760593877i</v>
      </c>
      <c r="AN436" s="170" t="str">
        <f t="shared" si="222"/>
        <v>1.51081668676808i</v>
      </c>
      <c r="AO436" s="170" t="str">
        <f t="shared" si="223"/>
        <v>0.660703425727457-0.622217324644569i</v>
      </c>
      <c r="AP436" s="170" t="str">
        <f t="shared" si="224"/>
        <v>0.00999061385513217-0.166366960098979i</v>
      </c>
      <c r="AQ436" s="170" t="str">
        <f t="shared" si="225"/>
        <v>0.990009386144868+0.166366960098979i</v>
      </c>
      <c r="AR436" s="170" t="str">
        <f t="shared" si="226"/>
        <v>0.818297917971071-0.137511561984575i</v>
      </c>
    </row>
    <row r="437" spans="7:44">
      <c r="G437" s="688">
        <v>44668</v>
      </c>
      <c r="H437" s="676">
        <f t="shared" si="218"/>
        <v>44.667999999999999</v>
      </c>
      <c r="I437" s="677">
        <f t="shared" si="198"/>
        <v>230.00836824910601</v>
      </c>
      <c r="J437" s="678">
        <f t="shared" si="199"/>
        <v>1.5664486451952726</v>
      </c>
      <c r="K437" s="678">
        <f t="shared" si="200"/>
        <v>1.0003479388428611</v>
      </c>
      <c r="L437" s="679">
        <f t="shared" si="201"/>
        <v>2.6375670162991922E-2</v>
      </c>
      <c r="M437" s="678">
        <f t="shared" si="202"/>
        <v>1.0425200601422706</v>
      </c>
      <c r="N437" s="679">
        <f t="shared" si="203"/>
        <v>-0.28658732227705386</v>
      </c>
      <c r="O437" s="677">
        <f t="shared" si="204"/>
        <v>841971.96294179396</v>
      </c>
      <c r="P437" s="680">
        <f t="shared" si="205"/>
        <v>1.5707951391068928</v>
      </c>
      <c r="Q437" s="689">
        <f t="shared" si="227"/>
        <v>103.84802360249165</v>
      </c>
      <c r="R437" s="690">
        <f t="shared" si="228"/>
        <v>1.5611667217204914</v>
      </c>
      <c r="S437" s="677">
        <f t="shared" si="206"/>
        <v>1.2486040518909458</v>
      </c>
      <c r="T437" s="680">
        <f t="shared" si="207"/>
        <v>0.64200894783550466</v>
      </c>
      <c r="U437" s="681">
        <f t="shared" si="219"/>
        <v>0.75115065152541693</v>
      </c>
      <c r="V437" s="682">
        <f t="shared" si="220"/>
        <v>-0.92606030700808029</v>
      </c>
      <c r="W437" s="683">
        <f t="shared" si="208"/>
        <v>-20.444419460208053</v>
      </c>
      <c r="X437" s="684">
        <f t="shared" si="209"/>
        <v>-195.05534382921277</v>
      </c>
      <c r="Y437" s="687">
        <f t="shared" si="210"/>
        <v>-15.055343829212774</v>
      </c>
      <c r="AA437" s="170">
        <f t="shared" si="211"/>
        <v>44668</v>
      </c>
      <c r="AB437" s="170">
        <f t="shared" si="212"/>
        <v>1995230224</v>
      </c>
      <c r="AD437" s="686">
        <f t="shared" si="213"/>
        <v>24.998967414586058</v>
      </c>
      <c r="AE437" s="687">
        <f t="shared" si="214"/>
        <v>-37.336070842902906</v>
      </c>
      <c r="AG437" s="686">
        <f t="shared" si="215"/>
        <v>4.7085193710260675</v>
      </c>
      <c r="AH437" s="687">
        <f t="shared" si="216"/>
        <v>-51.600578532746994</v>
      </c>
      <c r="AJ437" s="170">
        <f t="shared" si="217"/>
        <v>0</v>
      </c>
      <c r="AK437" s="170">
        <f t="shared" si="229"/>
        <v>0</v>
      </c>
      <c r="AM437" s="170" t="str">
        <f t="shared" si="221"/>
        <v>0.94868314576672+0.99868242223021i</v>
      </c>
      <c r="AN437" s="170" t="str">
        <f t="shared" si="222"/>
        <v>1.51945692269457i</v>
      </c>
      <c r="AO437" s="170" t="str">
        <f t="shared" si="223"/>
        <v>0.657262741255718-0.624356723509046i</v>
      </c>
      <c r="AP437" s="170" t="str">
        <f t="shared" si="224"/>
        <v>0.00855280903887998-0.166447070371702i</v>
      </c>
      <c r="AQ437" s="170" t="str">
        <f t="shared" si="225"/>
        <v>0.99144719096112+0.166447070371702i</v>
      </c>
      <c r="AR437" s="170" t="str">
        <f t="shared" si="226"/>
        <v>0.817154704563886-0.137186335142329i</v>
      </c>
    </row>
    <row r="438" spans="7:44">
      <c r="G438" s="688">
        <v>44928.25</v>
      </c>
      <c r="H438" s="676">
        <f t="shared" si="218"/>
        <v>44.928249999999998</v>
      </c>
      <c r="I438" s="677">
        <f t="shared" si="198"/>
        <v>231.34844502964884</v>
      </c>
      <c r="J438" s="678">
        <f t="shared" si="199"/>
        <v>1.5664738291274656</v>
      </c>
      <c r="K438" s="678">
        <f t="shared" si="200"/>
        <v>1.0003520043436922</v>
      </c>
      <c r="L438" s="679">
        <f t="shared" si="201"/>
        <v>2.6529271336275747E-2</v>
      </c>
      <c r="M438" s="678">
        <f t="shared" si="202"/>
        <v>1.0430067272384467</v>
      </c>
      <c r="N438" s="679">
        <f t="shared" si="203"/>
        <v>-0.28816639809058442</v>
      </c>
      <c r="O438" s="677">
        <f t="shared" si="204"/>
        <v>846877.5598647655</v>
      </c>
      <c r="P438" s="680">
        <f t="shared" si="205"/>
        <v>1.5707951459866578</v>
      </c>
      <c r="Q438" s="689">
        <f t="shared" si="227"/>
        <v>104.4530193339811</v>
      </c>
      <c r="R438" s="690">
        <f t="shared" si="228"/>
        <v>1.5612224984565244</v>
      </c>
      <c r="S438" s="677">
        <f t="shared" si="206"/>
        <v>1.251217414990514</v>
      </c>
      <c r="T438" s="680">
        <f t="shared" si="207"/>
        <v>0.64479730157498638</v>
      </c>
      <c r="U438" s="681">
        <f t="shared" si="219"/>
        <v>0.74918037998290576</v>
      </c>
      <c r="V438" s="682">
        <f t="shared" si="220"/>
        <v>-0.93031213176466643</v>
      </c>
      <c r="W438" s="683">
        <f t="shared" si="208"/>
        <v>-20.531767855969193</v>
      </c>
      <c r="X438" s="684">
        <f t="shared" si="209"/>
        <v>-195.53863758093553</v>
      </c>
      <c r="Y438" s="687">
        <f t="shared" si="210"/>
        <v>-15.538637580935529</v>
      </c>
      <c r="AA438" s="170">
        <f t="shared" si="211"/>
        <v>44928.25</v>
      </c>
      <c r="AB438" s="170">
        <f t="shared" si="212"/>
        <v>2018547648.0625</v>
      </c>
      <c r="AD438" s="686">
        <f t="shared" si="213"/>
        <v>24.980801952382365</v>
      </c>
      <c r="AE438" s="687">
        <f t="shared" si="214"/>
        <v>-37.492636366755427</v>
      </c>
      <c r="AG438" s="686">
        <f t="shared" si="215"/>
        <v>4.6849625577145195</v>
      </c>
      <c r="AH438" s="687">
        <f t="shared" si="216"/>
        <v>-51.440083532497241</v>
      </c>
      <c r="AJ438" s="170">
        <f t="shared" si="217"/>
        <v>0</v>
      </c>
      <c r="AK438" s="170">
        <f t="shared" si="229"/>
        <v>0</v>
      </c>
      <c r="AM438" s="170" t="str">
        <f t="shared" si="221"/>
        <v>0.957526217043256+0.999097581701279i</v>
      </c>
      <c r="AN438" s="170" t="str">
        <f t="shared" si="222"/>
        <v>1.52830976285153i</v>
      </c>
      <c r="AO438" s="170" t="str">
        <f t="shared" si="223"/>
        <v>0.653727147458089-0.626526271255833i</v>
      </c>
      <c r="AP438" s="170" t="str">
        <f t="shared" si="224"/>
        <v>0.00707896382612395-0.16651626361688i</v>
      </c>
      <c r="AQ438" s="170" t="str">
        <f t="shared" si="225"/>
        <v>0.992921036173876+0.16651626361688i</v>
      </c>
      <c r="AR438" s="170" t="str">
        <f t="shared" si="226"/>
        <v>0.815989567519231-0.13684424942515i</v>
      </c>
    </row>
    <row r="439" spans="7:44">
      <c r="G439" s="688">
        <v>45188.5</v>
      </c>
      <c r="H439" s="676">
        <f t="shared" si="218"/>
        <v>45.188499999999998</v>
      </c>
      <c r="I439" s="677">
        <f t="shared" si="198"/>
        <v>232.68852195522982</v>
      </c>
      <c r="J439" s="678">
        <f t="shared" si="199"/>
        <v>1.5664987229860068</v>
      </c>
      <c r="K439" s="678">
        <f t="shared" si="200"/>
        <v>1.0003560934459568</v>
      </c>
      <c r="L439" s="679">
        <f t="shared" si="201"/>
        <v>2.6682871257448827E-2</v>
      </c>
      <c r="M439" s="678">
        <f t="shared" si="202"/>
        <v>1.0434959926218479</v>
      </c>
      <c r="N439" s="679">
        <f t="shared" si="203"/>
        <v>-0.28974399706791798</v>
      </c>
      <c r="O439" s="677">
        <f t="shared" si="204"/>
        <v>851783.15678773704</v>
      </c>
      <c r="P439" s="680">
        <f t="shared" si="205"/>
        <v>1.5707951527871788</v>
      </c>
      <c r="Q439" s="689">
        <f t="shared" si="227"/>
        <v>105.05801538668585</v>
      </c>
      <c r="R439" s="690">
        <f t="shared" si="228"/>
        <v>1.5612776327913838</v>
      </c>
      <c r="S439" s="677">
        <f t="shared" si="206"/>
        <v>1.2538404656047419</v>
      </c>
      <c r="T439" s="680">
        <f t="shared" si="207"/>
        <v>0.64757401028325023</v>
      </c>
      <c r="U439" s="681">
        <f t="shared" si="219"/>
        <v>0.74721252072960176</v>
      </c>
      <c r="V439" s="682">
        <f t="shared" si="220"/>
        <v>-0.93455160740167831</v>
      </c>
      <c r="W439" s="683">
        <f t="shared" si="208"/>
        <v>-20.61886604788819</v>
      </c>
      <c r="X439" s="684">
        <f t="shared" si="209"/>
        <v>-196.02049220668243</v>
      </c>
      <c r="Y439" s="687">
        <f t="shared" si="210"/>
        <v>-16.020492206682434</v>
      </c>
      <c r="AA439" s="170">
        <f t="shared" si="211"/>
        <v>45188.5</v>
      </c>
      <c r="AB439" s="170">
        <f t="shared" si="212"/>
        <v>2042000532.25</v>
      </c>
      <c r="AD439" s="686">
        <f t="shared" si="213"/>
        <v>24.962607352641612</v>
      </c>
      <c r="AE439" s="687">
        <f t="shared" si="214"/>
        <v>-37.64857148180181</v>
      </c>
      <c r="AG439" s="686">
        <f t="shared" si="215"/>
        <v>4.661749153300903</v>
      </c>
      <c r="AH439" s="687">
        <f t="shared" si="216"/>
        <v>-51.280194919944044</v>
      </c>
      <c r="AJ439" s="170">
        <f t="shared" si="217"/>
        <v>0</v>
      </c>
      <c r="AK439" s="170">
        <f t="shared" si="229"/>
        <v>0</v>
      </c>
      <c r="AM439" s="170" t="str">
        <f t="shared" si="221"/>
        <v>0.96637261708645+0.999434439629927i</v>
      </c>
      <c r="AN439" s="170" t="str">
        <f t="shared" si="222"/>
        <v>1.53716260300849i</v>
      </c>
      <c r="AO439" s="170" t="str">
        <f t="shared" si="223"/>
        <v>0.650181339094422-0.628672994773028i</v>
      </c>
      <c r="AP439" s="170" t="str">
        <f t="shared" si="224"/>
        <v>0.00560456381892498-0.166572406604988i</v>
      </c>
      <c r="AQ439" s="170" t="str">
        <f t="shared" si="225"/>
        <v>0.994395436181075+0.166572406604988i</v>
      </c>
      <c r="AR439" s="170" t="str">
        <f t="shared" si="226"/>
        <v>0.814830752674517-0.136493304886842i</v>
      </c>
    </row>
    <row r="440" spans="7:44">
      <c r="G440" s="688">
        <v>45448.75</v>
      </c>
      <c r="H440" s="676">
        <f t="shared" si="218"/>
        <v>45.448749999999997</v>
      </c>
      <c r="I440" s="677">
        <f t="shared" si="198"/>
        <v>234.02859902335746</v>
      </c>
      <c r="J440" s="678">
        <f t="shared" si="199"/>
        <v>1.5665233317538598</v>
      </c>
      <c r="K440" s="678">
        <f t="shared" si="200"/>
        <v>1.000360206149365</v>
      </c>
      <c r="L440" s="679">
        <f t="shared" si="201"/>
        <v>2.6836469919278818E-2</v>
      </c>
      <c r="M440" s="678">
        <f t="shared" si="202"/>
        <v>1.0439878526394082</v>
      </c>
      <c r="N440" s="679">
        <f t="shared" si="203"/>
        <v>-0.29132011343823894</v>
      </c>
      <c r="O440" s="677">
        <f t="shared" si="204"/>
        <v>856688.7537107087</v>
      </c>
      <c r="P440" s="680">
        <f t="shared" si="205"/>
        <v>1.5707951595098171</v>
      </c>
      <c r="Q440" s="689">
        <f t="shared" si="227"/>
        <v>105.66301175508835</v>
      </c>
      <c r="R440" s="690">
        <f t="shared" si="228"/>
        <v>1.5613321357593504</v>
      </c>
      <c r="S440" s="677">
        <f t="shared" si="206"/>
        <v>1.2564731430618021</v>
      </c>
      <c r="T440" s="680">
        <f t="shared" si="207"/>
        <v>0.65033910420829677</v>
      </c>
      <c r="U440" s="681">
        <f t="shared" si="219"/>
        <v>0.74524714366698563</v>
      </c>
      <c r="V440" s="682">
        <f t="shared" si="220"/>
        <v>-0.93877880131766422</v>
      </c>
      <c r="W440" s="683">
        <f t="shared" si="208"/>
        <v>-20.705716042359338</v>
      </c>
      <c r="X440" s="684">
        <f t="shared" si="209"/>
        <v>-196.50091262432272</v>
      </c>
      <c r="Y440" s="687">
        <f t="shared" si="210"/>
        <v>-16.500912624322723</v>
      </c>
      <c r="AA440" s="170">
        <f t="shared" si="211"/>
        <v>45448.75</v>
      </c>
      <c r="AB440" s="170">
        <f t="shared" si="212"/>
        <v>2065588876.5625</v>
      </c>
      <c r="AD440" s="686">
        <f t="shared" si="213"/>
        <v>24.944384295465753</v>
      </c>
      <c r="AE440" s="687">
        <f t="shared" si="214"/>
        <v>-37.803877288985063</v>
      </c>
      <c r="AG440" s="686">
        <f t="shared" si="215"/>
        <v>4.6388750320802679</v>
      </c>
      <c r="AH440" s="687">
        <f t="shared" si="216"/>
        <v>-51.120908788708817</v>
      </c>
      <c r="AJ440" s="170">
        <f t="shared" si="217"/>
        <v>0</v>
      </c>
      <c r="AK440" s="170">
        <f t="shared" si="229"/>
        <v>0</v>
      </c>
      <c r="AM440" s="170" t="str">
        <f t="shared" si="221"/>
        <v>0.975221652583886+0.999692969615835i</v>
      </c>
      <c r="AN440" s="170" t="str">
        <f t="shared" si="222"/>
        <v>1.54601544316546i</v>
      </c>
      <c r="AO440" s="170" t="str">
        <f t="shared" si="223"/>
        <v>0.646625474561216-0.630796837699838i</v>
      </c>
      <c r="AP440" s="170" t="str">
        <f t="shared" si="224"/>
        <v>0.00412972456935233-0.166615494935972i</v>
      </c>
      <c r="AQ440" s="170" t="str">
        <f t="shared" si="225"/>
        <v>0.995870275430648+0.166615494935972i</v>
      </c>
      <c r="AR440" s="170" t="str">
        <f t="shared" si="226"/>
        <v>0.813678298987607-0.136133606805218i</v>
      </c>
    </row>
    <row r="441" spans="7:44">
      <c r="G441" s="688">
        <v>45709</v>
      </c>
      <c r="H441" s="676">
        <f t="shared" si="218"/>
        <v>45.709000000000003</v>
      </c>
      <c r="I441" s="677">
        <f t="shared" si="198"/>
        <v>235.36867623159702</v>
      </c>
      <c r="J441" s="678">
        <f t="shared" si="199"/>
        <v>1.5665476603005064</v>
      </c>
      <c r="K441" s="678">
        <f t="shared" si="200"/>
        <v>1.0003643424536259</v>
      </c>
      <c r="L441" s="679">
        <f t="shared" si="201"/>
        <v>2.6990067314533725E-2</v>
      </c>
      <c r="M441" s="678">
        <f t="shared" si="202"/>
        <v>1.0444823036255892</v>
      </c>
      <c r="N441" s="679">
        <f t="shared" si="203"/>
        <v>-0.29289474147103683</v>
      </c>
      <c r="O441" s="677">
        <f t="shared" si="204"/>
        <v>861594.35063368035</v>
      </c>
      <c r="P441" s="680">
        <f t="shared" si="205"/>
        <v>1.570795166155903</v>
      </c>
      <c r="Q441" s="689">
        <f t="shared" si="227"/>
        <v>106.26800843379668</v>
      </c>
      <c r="R441" s="690">
        <f t="shared" si="228"/>
        <v>1.5613860181434431</v>
      </c>
      <c r="S441" s="677">
        <f t="shared" si="206"/>
        <v>1.2591153869755574</v>
      </c>
      <c r="T441" s="680">
        <f t="shared" si="207"/>
        <v>0.65309261405603958</v>
      </c>
      <c r="U441" s="681">
        <f t="shared" si="219"/>
        <v>0.74328431710419085</v>
      </c>
      <c r="V441" s="682">
        <f t="shared" si="220"/>
        <v>-0.94299378131719092</v>
      </c>
      <c r="W441" s="683">
        <f t="shared" si="208"/>
        <v>-20.792319805458618</v>
      </c>
      <c r="X441" s="684">
        <f t="shared" si="209"/>
        <v>-196.97990381142696</v>
      </c>
      <c r="Y441" s="687">
        <f t="shared" si="210"/>
        <v>-16.979903811426965</v>
      </c>
      <c r="AA441" s="170">
        <f t="shared" si="211"/>
        <v>45709</v>
      </c>
      <c r="AB441" s="170">
        <f t="shared" si="212"/>
        <v>2089312681</v>
      </c>
      <c r="AD441" s="686">
        <f t="shared" si="213"/>
        <v>24.926133454540846</v>
      </c>
      <c r="AE441" s="687">
        <f t="shared" si="214"/>
        <v>-37.958554929879242</v>
      </c>
      <c r="AG441" s="686">
        <f t="shared" si="215"/>
        <v>4.6163361359682682</v>
      </c>
      <c r="AH441" s="687">
        <f t="shared" si="216"/>
        <v>-50.962221204957089</v>
      </c>
      <c r="AJ441" s="170">
        <f t="shared" si="217"/>
        <v>0</v>
      </c>
      <c r="AK441" s="170">
        <f t="shared" si="229"/>
        <v>0</v>
      </c>
      <c r="AM441" s="170" t="str">
        <f t="shared" si="221"/>
        <v>0.984072630016571+0.999873151397422i</v>
      </c>
      <c r="AN441" s="170" t="str">
        <f t="shared" si="222"/>
        <v>1.55486828332242i</v>
      </c>
      <c r="AO441" s="170" t="str">
        <f t="shared" si="223"/>
        <v>0.64305971259566-0.632897744826217i</v>
      </c>
      <c r="AP441" s="170" t="str">
        <f t="shared" si="224"/>
        <v>0.00265456166390482-0.166645525232904i</v>
      </c>
      <c r="AQ441" s="170" t="str">
        <f t="shared" si="225"/>
        <v>0.997345438336095+0.166645525232904i</v>
      </c>
      <c r="AR441" s="170" t="str">
        <f t="shared" si="226"/>
        <v>0.812532243915962-0.135765259810027i</v>
      </c>
    </row>
    <row r="442" spans="7:44">
      <c r="G442" s="688">
        <v>45975.25</v>
      </c>
      <c r="H442" s="676">
        <f t="shared" si="218"/>
        <v>45.975250000000003</v>
      </c>
      <c r="I442" s="677">
        <f t="shared" si="198"/>
        <v>236.73964873412484</v>
      </c>
      <c r="J442" s="678">
        <f t="shared" si="199"/>
        <v>1.5665722647117739</v>
      </c>
      <c r="K442" s="678">
        <f t="shared" si="200"/>
        <v>1.0003685985423558</v>
      </c>
      <c r="L442" s="679">
        <f t="shared" si="201"/>
        <v>2.7147204541857806E-2</v>
      </c>
      <c r="M442" s="678">
        <f t="shared" si="202"/>
        <v>1.0449908314811749</v>
      </c>
      <c r="N442" s="679">
        <f t="shared" si="203"/>
        <v>-0.29450412603099357</v>
      </c>
      <c r="O442" s="677">
        <f t="shared" si="204"/>
        <v>866613.04489205207</v>
      </c>
      <c r="P442" s="680">
        <f t="shared" si="205"/>
        <v>1.5707951728773484</v>
      </c>
      <c r="Q442" s="689">
        <f t="shared" si="227"/>
        <v>106.88695347835929</v>
      </c>
      <c r="R442" s="690">
        <f t="shared" si="228"/>
        <v>1.5614405115512904</v>
      </c>
      <c r="S442" s="677">
        <f t="shared" si="206"/>
        <v>1.2618283843336997</v>
      </c>
      <c r="T442" s="680">
        <f t="shared" si="207"/>
        <v>0.65589765012858081</v>
      </c>
      <c r="U442" s="681">
        <f t="shared" si="219"/>
        <v>0.74127894701755515</v>
      </c>
      <c r="V442" s="682">
        <f t="shared" si="220"/>
        <v>-0.94729336821827481</v>
      </c>
      <c r="W442" s="683">
        <f t="shared" si="208"/>
        <v>-20.880667394325016</v>
      </c>
      <c r="X442" s="684">
        <f t="shared" si="209"/>
        <v>-197.46846423812718</v>
      </c>
      <c r="Y442" s="687">
        <f t="shared" si="210"/>
        <v>-17.468464238127183</v>
      </c>
      <c r="AA442" s="170">
        <f t="shared" si="211"/>
        <v>45975.25</v>
      </c>
      <c r="AB442" s="170">
        <f t="shared" si="212"/>
        <v>2113723612.5625</v>
      </c>
      <c r="AD442" s="686">
        <f t="shared" si="213"/>
        <v>24.907433788795558</v>
      </c>
      <c r="AE442" s="687">
        <f t="shared" si="214"/>
        <v>-38.116149801227394</v>
      </c>
      <c r="AG442" s="686">
        <f t="shared" si="215"/>
        <v>4.593620355845534</v>
      </c>
      <c r="AH442" s="687">
        <f t="shared" si="216"/>
        <v>-50.800490393582457</v>
      </c>
      <c r="AJ442" s="170">
        <f t="shared" si="217"/>
        <v>0</v>
      </c>
      <c r="AK442" s="170">
        <f t="shared" si="229"/>
        <v>0</v>
      </c>
      <c r="AM442" s="170" t="str">
        <f t="shared" si="221"/>
        <v>0.993128950812106+0.999976394062909i</v>
      </c>
      <c r="AN442" s="170" t="str">
        <f t="shared" si="222"/>
        <v>1.56392522354064i</v>
      </c>
      <c r="AO442" s="170" t="str">
        <f t="shared" si="223"/>
        <v>0.639401666403856-0.635023296423161i</v>
      </c>
      <c r="AP442" s="170" t="str">
        <f t="shared" si="224"/>
        <v>0.00114517486464908-0.166662732343818i</v>
      </c>
      <c r="AQ442" s="170" t="str">
        <f t="shared" si="225"/>
        <v>0.998854825135351+0.166662732343818i</v>
      </c>
      <c r="AR442" s="170" t="str">
        <f t="shared" si="226"/>
        <v>0.811366425935758-0.135379578769285i</v>
      </c>
    </row>
    <row r="443" spans="7:44">
      <c r="G443" s="688">
        <v>46241.5</v>
      </c>
      <c r="H443" s="676">
        <f t="shared" si="218"/>
        <v>46.241500000000002</v>
      </c>
      <c r="I443" s="677">
        <f t="shared" si="198"/>
        <v>238.11062137831908</v>
      </c>
      <c r="J443" s="678">
        <f t="shared" si="199"/>
        <v>1.5665965857927737</v>
      </c>
      <c r="K443" s="678">
        <f t="shared" si="200"/>
        <v>1.000372879332085</v>
      </c>
      <c r="L443" s="679">
        <f t="shared" si="201"/>
        <v>2.7304340428220483E-2</v>
      </c>
      <c r="M443" s="678">
        <f t="shared" si="202"/>
        <v>1.0455020633499204</v>
      </c>
      <c r="N443" s="679">
        <f t="shared" si="203"/>
        <v>-0.29611194083128395</v>
      </c>
      <c r="O443" s="677">
        <f t="shared" si="204"/>
        <v>871631.73915042379</v>
      </c>
      <c r="P443" s="680">
        <f t="shared" si="205"/>
        <v>1.5707951795213921</v>
      </c>
      <c r="Q443" s="689">
        <f t="shared" si="227"/>
        <v>107.50589883667128</v>
      </c>
      <c r="R443" s="690">
        <f t="shared" si="228"/>
        <v>1.5614943774878327</v>
      </c>
      <c r="S443" s="677">
        <f t="shared" si="206"/>
        <v>1.264551267397982</v>
      </c>
      <c r="T443" s="680">
        <f t="shared" si="207"/>
        <v>0.65869062826341906</v>
      </c>
      <c r="U443" s="681">
        <f t="shared" si="219"/>
        <v>0.73927638600480605</v>
      </c>
      <c r="V443" s="682">
        <f t="shared" si="220"/>
        <v>-0.95158031633698226</v>
      </c>
      <c r="W443" s="683">
        <f t="shared" si="208"/>
        <v>-20.968761306393194</v>
      </c>
      <c r="X443" s="684">
        <f t="shared" si="209"/>
        <v>-197.9555394966192</v>
      </c>
      <c r="Y443" s="687">
        <f t="shared" si="210"/>
        <v>-17.955539496619195</v>
      </c>
      <c r="AA443" s="170">
        <f t="shared" si="211"/>
        <v>46241.5</v>
      </c>
      <c r="AB443" s="170">
        <f t="shared" si="212"/>
        <v>2138276322.25</v>
      </c>
      <c r="AD443" s="686">
        <f t="shared" si="213"/>
        <v>24.888706449389495</v>
      </c>
      <c r="AE443" s="687">
        <f t="shared" si="214"/>
        <v>-38.273089750657547</v>
      </c>
      <c r="AG443" s="686">
        <f t="shared" si="215"/>
        <v>4.5712470543418595</v>
      </c>
      <c r="AH443" s="687">
        <f t="shared" si="216"/>
        <v>-50.639377633696043</v>
      </c>
      <c r="AJ443" s="170">
        <f t="shared" si="217"/>
        <v>0</v>
      </c>
      <c r="AK443" s="170">
        <f t="shared" si="229"/>
        <v>0</v>
      </c>
      <c r="AM443" s="170" t="str">
        <f t="shared" si="221"/>
        <v>1.00218583522335+0.999997611059335i</v>
      </c>
      <c r="AN443" s="170" t="str">
        <f t="shared" si="222"/>
        <v>1.57298216375886i</v>
      </c>
      <c r="AO443" s="170" t="str">
        <f t="shared" si="223"/>
        <v>0.635733598319832-0.637124729264881i</v>
      </c>
      <c r="AP443" s="170" t="str">
        <f t="shared" si="224"/>
        <v>-0.000364305870558568-0.166666268509889i</v>
      </c>
      <c r="AQ443" s="170" t="str">
        <f t="shared" si="225"/>
        <v>1.00036430587056+0.166666268509889i</v>
      </c>
      <c r="AR443" s="170" t="str">
        <f t="shared" si="226"/>
        <v>0.81020737963521-0.134985064831419i</v>
      </c>
    </row>
    <row r="444" spans="7:44">
      <c r="G444" s="688">
        <v>46507.75</v>
      </c>
      <c r="H444" s="676">
        <f t="shared" si="218"/>
        <v>46.507750000000001</v>
      </c>
      <c r="I444" s="677">
        <f t="shared" si="198"/>
        <v>239.48159416174667</v>
      </c>
      <c r="J444" s="678">
        <f t="shared" si="199"/>
        <v>1.5666206284094639</v>
      </c>
      <c r="K444" s="678">
        <f t="shared" si="200"/>
        <v>1.000377184822496</v>
      </c>
      <c r="L444" s="679">
        <f t="shared" si="201"/>
        <v>2.7461474965879119E-2</v>
      </c>
      <c r="M444" s="678">
        <f t="shared" si="202"/>
        <v>1.0460159952671322</v>
      </c>
      <c r="N444" s="679">
        <f t="shared" si="203"/>
        <v>-0.29771817986702259</v>
      </c>
      <c r="O444" s="677">
        <f t="shared" si="204"/>
        <v>876650.43340879539</v>
      </c>
      <c r="P444" s="680">
        <f t="shared" si="205"/>
        <v>1.5707951860893634</v>
      </c>
      <c r="Q444" s="689">
        <f t="shared" si="227"/>
        <v>108.1248445033446</v>
      </c>
      <c r="R444" s="690">
        <f t="shared" si="228"/>
        <v>1.5615476267283717</v>
      </c>
      <c r="S444" s="677">
        <f t="shared" si="206"/>
        <v>1.2672839724471969</v>
      </c>
      <c r="T444" s="680">
        <f t="shared" si="207"/>
        <v>0.66147158274924867</v>
      </c>
      <c r="U444" s="681">
        <f t="shared" si="219"/>
        <v>0.73727670215793117</v>
      </c>
      <c r="V444" s="682">
        <f t="shared" si="220"/>
        <v>-0.95585469949354496</v>
      </c>
      <c r="W444" s="683">
        <f t="shared" si="208"/>
        <v>-21.056603523797264</v>
      </c>
      <c r="X444" s="684">
        <f t="shared" si="209"/>
        <v>-198.44113509897301</v>
      </c>
      <c r="Y444" s="687">
        <f t="shared" si="210"/>
        <v>-18.441135098973007</v>
      </c>
      <c r="AA444" s="170">
        <f t="shared" si="211"/>
        <v>46507.75</v>
      </c>
      <c r="AB444" s="170">
        <f t="shared" si="212"/>
        <v>2162970810.0625</v>
      </c>
      <c r="AD444" s="686">
        <f t="shared" si="213"/>
        <v>24.869952136904118</v>
      </c>
      <c r="AE444" s="687">
        <f t="shared" si="214"/>
        <v>-38.429376125464017</v>
      </c>
      <c r="AG444" s="686">
        <f t="shared" si="215"/>
        <v>4.5492120971650856</v>
      </c>
      <c r="AH444" s="687">
        <f t="shared" si="216"/>
        <v>-50.478878630897995</v>
      </c>
      <c r="AJ444" s="170">
        <f t="shared" si="217"/>
        <v>0</v>
      </c>
      <c r="AK444" s="170">
        <f t="shared" si="229"/>
        <v>0</v>
      </c>
      <c r="AM444" s="170" t="str">
        <f t="shared" si="221"/>
        <v>1.01124254033577+0.99993680064632i</v>
      </c>
      <c r="AN444" s="170" t="str">
        <f t="shared" si="222"/>
        <v>1.58203910397708i</v>
      </c>
      <c r="AO444" s="170" t="str">
        <f t="shared" si="223"/>
        <v>0.632055679365057-0.639201987987283i</v>
      </c>
      <c r="AP444" s="170" t="str">
        <f t="shared" si="224"/>
        <v>-0.00187375672262805-0.166656133441053i</v>
      </c>
      <c r="AQ444" s="170" t="str">
        <f t="shared" si="225"/>
        <v>1.00187375672263+0.166656133441053i</v>
      </c>
      <c r="AR444" s="170" t="str">
        <f t="shared" si="226"/>
        <v>0.809055140432326-0.1345818278404i</v>
      </c>
    </row>
    <row r="445" spans="7:44">
      <c r="G445" s="688">
        <v>46774</v>
      </c>
      <c r="H445" s="676">
        <f t="shared" si="218"/>
        <v>46.774000000000001</v>
      </c>
      <c r="I445" s="677">
        <f t="shared" si="198"/>
        <v>240.85256708203005</v>
      </c>
      <c r="J445" s="678">
        <f t="shared" si="199"/>
        <v>1.5666443973170114</v>
      </c>
      <c r="K445" s="678">
        <f t="shared" si="200"/>
        <v>1.0003815150132702</v>
      </c>
      <c r="L445" s="679">
        <f t="shared" si="201"/>
        <v>2.7618608147091477E-2</v>
      </c>
      <c r="M445" s="678">
        <f t="shared" si="202"/>
        <v>1.0465326232549856</v>
      </c>
      <c r="N445" s="679">
        <f t="shared" si="203"/>
        <v>-0.29932283717761199</v>
      </c>
      <c r="O445" s="677">
        <f t="shared" si="204"/>
        <v>881669.12766716722</v>
      </c>
      <c r="P445" s="680">
        <f t="shared" si="205"/>
        <v>1.5707951925825616</v>
      </c>
      <c r="Q445" s="689">
        <f t="shared" si="227"/>
        <v>108.74379047311392</v>
      </c>
      <c r="R445" s="690">
        <f t="shared" si="228"/>
        <v>1.5616002698029006</v>
      </c>
      <c r="S445" s="677">
        <f t="shared" si="206"/>
        <v>1.2700264360797031</v>
      </c>
      <c r="T445" s="680">
        <f t="shared" si="207"/>
        <v>0.6642405483240823</v>
      </c>
      <c r="U445" s="681">
        <f t="shared" si="219"/>
        <v>0.7352799619075171</v>
      </c>
      <c r="V445" s="682">
        <f t="shared" si="220"/>
        <v>-0.96011659188498033</v>
      </c>
      <c r="W445" s="683">
        <f t="shared" si="208"/>
        <v>-21.144195989715907</v>
      </c>
      <c r="X445" s="684">
        <f t="shared" si="209"/>
        <v>-198.9252566148339</v>
      </c>
      <c r="Y445" s="687">
        <f t="shared" si="210"/>
        <v>-18.925256614833899</v>
      </c>
      <c r="AA445" s="170">
        <f t="shared" si="211"/>
        <v>46774</v>
      </c>
      <c r="AB445" s="170">
        <f t="shared" si="212"/>
        <v>2187807076</v>
      </c>
      <c r="AD445" s="686">
        <f t="shared" si="213"/>
        <v>24.851171544941725</v>
      </c>
      <c r="AE445" s="687">
        <f t="shared" si="214"/>
        <v>-38.585010312738603</v>
      </c>
      <c r="AG445" s="686">
        <f t="shared" si="215"/>
        <v>4.5275114183261254</v>
      </c>
      <c r="AH445" s="687">
        <f t="shared" si="216"/>
        <v>-50.3189890653899</v>
      </c>
      <c r="AJ445" s="170">
        <f t="shared" si="217"/>
        <v>0</v>
      </c>
      <c r="AK445" s="170">
        <f t="shared" si="229"/>
        <v>0</v>
      </c>
      <c r="AM445" s="170" t="str">
        <f t="shared" si="221"/>
        <v>1.02029832324952+0.999793967811998i</v>
      </c>
      <c r="AN445" s="170" t="str">
        <f t="shared" si="222"/>
        <v>1.5910960441953i</v>
      </c>
      <c r="AO445" s="170" t="str">
        <f t="shared" si="223"/>
        <v>0.628368080895862-0.641255018496095i</v>
      </c>
      <c r="AP445" s="170" t="str">
        <f t="shared" si="224"/>
        <v>-0.00338305387492045-0.166632327968666i</v>
      </c>
      <c r="AQ445" s="170" t="str">
        <f t="shared" si="225"/>
        <v>1.00338305387492+0.166632327968666i</v>
      </c>
      <c r="AR445" s="170" t="str">
        <f t="shared" si="226"/>
        <v>0.807909742225716-0.134169976875469i</v>
      </c>
    </row>
    <row r="446" spans="7:44">
      <c r="G446" s="688">
        <v>47046.25</v>
      </c>
      <c r="H446" s="676">
        <f t="shared" si="218"/>
        <v>47.046250000000001</v>
      </c>
      <c r="I446" s="677">
        <f t="shared" si="198"/>
        <v>242.25443530581015</v>
      </c>
      <c r="J446" s="678">
        <f t="shared" si="199"/>
        <v>1.5666684236724049</v>
      </c>
      <c r="K446" s="678">
        <f t="shared" si="200"/>
        <v>1.0003859683270511</v>
      </c>
      <c r="L446" s="679">
        <f t="shared" si="201"/>
        <v>2.7779280947031571E-2</v>
      </c>
      <c r="M446" s="678">
        <f t="shared" si="202"/>
        <v>1.0470636772958868</v>
      </c>
      <c r="N446" s="679">
        <f t="shared" si="203"/>
        <v>-0.30096201402269884</v>
      </c>
      <c r="O446" s="677">
        <f t="shared" si="204"/>
        <v>886800.91926093888</v>
      </c>
      <c r="P446" s="680">
        <f t="shared" si="205"/>
        <v>1.570795199146088</v>
      </c>
      <c r="Q446" s="689">
        <f t="shared" si="227"/>
        <v>109.37668482913288</v>
      </c>
      <c r="R446" s="690">
        <f t="shared" si="228"/>
        <v>1.5616534831108897</v>
      </c>
      <c r="S446" s="677">
        <f t="shared" si="206"/>
        <v>1.2728407269212918</v>
      </c>
      <c r="T446" s="680">
        <f t="shared" si="207"/>
        <v>0.66705955255714866</v>
      </c>
      <c r="U446" s="681">
        <f t="shared" si="219"/>
        <v>0.73324133602994235</v>
      </c>
      <c r="V446" s="682">
        <f t="shared" si="220"/>
        <v>-0.96446168843988045</v>
      </c>
      <c r="W446" s="683">
        <f t="shared" si="208"/>
        <v>-21.233506098068521</v>
      </c>
      <c r="X446" s="684">
        <f t="shared" si="209"/>
        <v>-199.41876948319631</v>
      </c>
      <c r="Y446" s="687">
        <f t="shared" si="210"/>
        <v>-19.418769483196314</v>
      </c>
      <c r="AA446" s="170">
        <f t="shared" si="211"/>
        <v>47046.25</v>
      </c>
      <c r="AB446" s="170">
        <f t="shared" si="212"/>
        <v>2213349639.0625</v>
      </c>
      <c r="AD446" s="686">
        <f t="shared" si="213"/>
        <v>24.831941269218277</v>
      </c>
      <c r="AE446" s="687">
        <f t="shared" si="214"/>
        <v>-38.743478836004542</v>
      </c>
      <c r="AG446" s="686">
        <f t="shared" si="215"/>
        <v>4.5056632069492721</v>
      </c>
      <c r="AH446" s="687">
        <f t="shared" si="216"/>
        <v>-50.156122021572244</v>
      </c>
      <c r="AJ446" s="170">
        <f t="shared" si="217"/>
        <v>0</v>
      </c>
      <c r="AK446" s="170">
        <f t="shared" si="229"/>
        <v>0</v>
      </c>
      <c r="AM446" s="170" t="str">
        <f t="shared" si="221"/>
        <v>1.02955645264713+0.999563112618167i</v>
      </c>
      <c r="AN446" s="170" t="str">
        <f t="shared" si="222"/>
        <v>1.60035708447477i</v>
      </c>
      <c r="AO446" s="170" t="str">
        <f t="shared" si="223"/>
        <v>0.624587551312787-0.643329206109664i</v>
      </c>
      <c r="AP446" s="170" t="str">
        <f t="shared" si="224"/>
        <v>-0.00492607544118898-0.166593852103028i</v>
      </c>
      <c r="AQ446" s="170" t="str">
        <f t="shared" si="225"/>
        <v>1.00492607544119+0.166593852103028i</v>
      </c>
      <c r="AR446" s="170" t="str">
        <f t="shared" si="226"/>
        <v>0.806745639963781-0.13374005025184i</v>
      </c>
    </row>
    <row r="447" spans="7:44">
      <c r="G447" s="688">
        <v>47318.5</v>
      </c>
      <c r="H447" s="676">
        <f t="shared" si="218"/>
        <v>47.3185</v>
      </c>
      <c r="I447" s="677">
        <f t="shared" si="198"/>
        <v>243.65630366782619</v>
      </c>
      <c r="J447" s="678">
        <f t="shared" si="199"/>
        <v>1.5666921735581536</v>
      </c>
      <c r="K447" s="678">
        <f t="shared" si="200"/>
        <v>1.0003904474663141</v>
      </c>
      <c r="L447" s="679">
        <f t="shared" si="201"/>
        <v>2.7939952312329562E-2</v>
      </c>
      <c r="M447" s="678">
        <f t="shared" si="202"/>
        <v>1.0475975418362147</v>
      </c>
      <c r="N447" s="679">
        <f t="shared" si="203"/>
        <v>-0.30259952458720413</v>
      </c>
      <c r="O447" s="677">
        <f t="shared" si="204"/>
        <v>891932.71085471066</v>
      </c>
      <c r="P447" s="680">
        <f t="shared" si="205"/>
        <v>1.5707952056340873</v>
      </c>
      <c r="Q447" s="689">
        <f t="shared" si="227"/>
        <v>110.00957949130537</v>
      </c>
      <c r="R447" s="690">
        <f t="shared" si="228"/>
        <v>1.5617060841374646</v>
      </c>
      <c r="S447" s="677">
        <f t="shared" si="206"/>
        <v>1.2756650880774401</v>
      </c>
      <c r="T447" s="680">
        <f t="shared" si="207"/>
        <v>0.66986609628955052</v>
      </c>
      <c r="U447" s="681">
        <f t="shared" si="219"/>
        <v>0.73120592316890909</v>
      </c>
      <c r="V447" s="682">
        <f t="shared" si="220"/>
        <v>-0.96879388296400304</v>
      </c>
      <c r="W447" s="683">
        <f t="shared" si="208"/>
        <v>-21.322559061494147</v>
      </c>
      <c r="X447" s="684">
        <f t="shared" si="209"/>
        <v>-199.91075303317146</v>
      </c>
      <c r="Y447" s="687">
        <f t="shared" si="210"/>
        <v>-19.91075303317146</v>
      </c>
      <c r="AA447" s="170">
        <f t="shared" si="211"/>
        <v>47318.5</v>
      </c>
      <c r="AB447" s="170">
        <f t="shared" si="212"/>
        <v>2239040442.25</v>
      </c>
      <c r="AD447" s="686">
        <f t="shared" si="213"/>
        <v>24.812684960757451</v>
      </c>
      <c r="AE447" s="687">
        <f t="shared" si="214"/>
        <v>-38.901268501984553</v>
      </c>
      <c r="AG447" s="686">
        <f t="shared" si="215"/>
        <v>4.4841561240452243</v>
      </c>
      <c r="AH447" s="687">
        <f t="shared" si="216"/>
        <v>-49.993882980476322</v>
      </c>
      <c r="AJ447" s="170">
        <f t="shared" si="217"/>
        <v>0</v>
      </c>
      <c r="AK447" s="170">
        <f t="shared" si="229"/>
        <v>0</v>
      </c>
      <c r="AM447" s="170" t="str">
        <f t="shared" si="221"/>
        <v>1.03881204709853+0.999246528640466i</v>
      </c>
      <c r="AN447" s="170" t="str">
        <f t="shared" si="222"/>
        <v>1.60961812475425i</v>
      </c>
      <c r="AO447" s="170" t="str">
        <f t="shared" si="223"/>
        <v>0.620797264439991-0.645377950908158i</v>
      </c>
      <c r="AP447" s="170" t="str">
        <f t="shared" si="224"/>
        <v>-0.0064686745164213-0.166541088106744i</v>
      </c>
      <c r="AQ447" s="170" t="str">
        <f t="shared" si="225"/>
        <v>1.00646867451642+0.166541088106744i</v>
      </c>
      <c r="AR447" s="170" t="str">
        <f t="shared" si="226"/>
        <v>0.805588757455182-0.133301345218328i</v>
      </c>
    </row>
    <row r="448" spans="7:44">
      <c r="G448" s="688">
        <v>47590.75</v>
      </c>
      <c r="H448" s="676">
        <f t="shared" si="218"/>
        <v>47.59075</v>
      </c>
      <c r="I448" s="677">
        <f t="shared" si="198"/>
        <v>245.05817216570594</v>
      </c>
      <c r="J448" s="678">
        <f t="shared" si="199"/>
        <v>1.5667156517189094</v>
      </c>
      <c r="K448" s="678">
        <f t="shared" si="200"/>
        <v>1.000394952430713</v>
      </c>
      <c r="L448" s="679">
        <f t="shared" si="201"/>
        <v>2.8100622234709223E-2</v>
      </c>
      <c r="M448" s="678">
        <f t="shared" si="202"/>
        <v>1.0481342125814066</v>
      </c>
      <c r="N448" s="679">
        <f t="shared" si="203"/>
        <v>-0.304235362642232</v>
      </c>
      <c r="O448" s="677">
        <f t="shared" si="204"/>
        <v>897064.50244848244</v>
      </c>
      <c r="P448" s="680">
        <f t="shared" si="205"/>
        <v>1.5707952120478552</v>
      </c>
      <c r="Q448" s="689">
        <f t="shared" si="227"/>
        <v>110.64247445437761</v>
      </c>
      <c r="R448" s="690">
        <f t="shared" si="228"/>
        <v>1.5617580833894125</v>
      </c>
      <c r="S448" s="677">
        <f t="shared" si="206"/>
        <v>1.2784994528084919</v>
      </c>
      <c r="T448" s="680">
        <f t="shared" si="207"/>
        <v>0.6726602180353346</v>
      </c>
      <c r="U448" s="681">
        <f t="shared" si="219"/>
        <v>0.72917378909683861</v>
      </c>
      <c r="V448" s="682">
        <f t="shared" si="220"/>
        <v>-0.97311325590096942</v>
      </c>
      <c r="W448" s="683">
        <f t="shared" si="208"/>
        <v>-21.411356838944403</v>
      </c>
      <c r="X448" s="684">
        <f t="shared" si="209"/>
        <v>-200.40121339404462</v>
      </c>
      <c r="Y448" s="687">
        <f t="shared" si="210"/>
        <v>-20.401213394044618</v>
      </c>
      <c r="AA448" s="170">
        <f t="shared" si="211"/>
        <v>47590.75</v>
      </c>
      <c r="AB448" s="170">
        <f t="shared" si="212"/>
        <v>2264879485.5625</v>
      </c>
      <c r="AD448" s="686">
        <f t="shared" si="213"/>
        <v>24.793403338592238</v>
      </c>
      <c r="AE448" s="687">
        <f t="shared" si="214"/>
        <v>-39.05838091545062</v>
      </c>
      <c r="AG448" s="686">
        <f t="shared" si="215"/>
        <v>4.4629860352633077</v>
      </c>
      <c r="AH448" s="687">
        <f t="shared" si="216"/>
        <v>-49.832267248455416</v>
      </c>
      <c r="AJ448" s="170">
        <f t="shared" si="217"/>
        <v>0</v>
      </c>
      <c r="AK448" s="170">
        <f t="shared" si="229"/>
        <v>0</v>
      </c>
      <c r="AM448" s="170" t="str">
        <f t="shared" si="221"/>
        <v>1.04806431278602+0.998844243031118i</v>
      </c>
      <c r="AN448" s="170" t="str">
        <f t="shared" si="222"/>
        <v>1.61887916503372i</v>
      </c>
      <c r="AO448" s="170" t="str">
        <f t="shared" si="223"/>
        <v>0.616997404503821-0.647401199189681i</v>
      </c>
      <c r="AP448" s="170" t="str">
        <f t="shared" si="224"/>
        <v>-0.00801071879766995-0.166474040505186i</v>
      </c>
      <c r="AQ448" s="170" t="str">
        <f t="shared" si="225"/>
        <v>1.00801071879767+0.166474040505186i</v>
      </c>
      <c r="AR448" s="170" t="str">
        <f t="shared" si="226"/>
        <v>0.804439126214814-0.132853975839836i</v>
      </c>
    </row>
    <row r="449" spans="7:44">
      <c r="G449" s="688">
        <v>47863</v>
      </c>
      <c r="H449" s="676">
        <f t="shared" si="218"/>
        <v>47.863</v>
      </c>
      <c r="I449" s="677">
        <f t="shared" si="198"/>
        <v>246.46004079713092</v>
      </c>
      <c r="J449" s="678">
        <f t="shared" si="199"/>
        <v>1.5667388627913745</v>
      </c>
      <c r="K449" s="678">
        <f t="shared" si="200"/>
        <v>1.0003994832198981</v>
      </c>
      <c r="L449" s="679">
        <f t="shared" si="201"/>
        <v>2.8261290705894775E-2</v>
      </c>
      <c r="M449" s="678">
        <f t="shared" si="202"/>
        <v>1.0486736852231406</v>
      </c>
      <c r="N449" s="679">
        <f t="shared" si="203"/>
        <v>-0.30586952200740841</v>
      </c>
      <c r="O449" s="677">
        <f t="shared" si="204"/>
        <v>902196.29404225433</v>
      </c>
      <c r="P449" s="680">
        <f t="shared" si="205"/>
        <v>1.5707952183886589</v>
      </c>
      <c r="Q449" s="689">
        <f t="shared" si="227"/>
        <v>111.27536971321534</v>
      </c>
      <c r="R449" s="690">
        <f t="shared" si="228"/>
        <v>1.5618094911344986</v>
      </c>
      <c r="S449" s="677">
        <f t="shared" si="206"/>
        <v>1.2813437547299686</v>
      </c>
      <c r="T449" s="680">
        <f t="shared" si="207"/>
        <v>0.67544195674421725</v>
      </c>
      <c r="U449" s="681">
        <f t="shared" si="219"/>
        <v>0.72714499786276166</v>
      </c>
      <c r="V449" s="682">
        <f t="shared" si="220"/>
        <v>-0.9774198880362821</v>
      </c>
      <c r="W449" s="683">
        <f t="shared" si="208"/>
        <v>-21.499901351893151</v>
      </c>
      <c r="X449" s="684">
        <f t="shared" si="209"/>
        <v>-200.89015674993971</v>
      </c>
      <c r="Y449" s="687">
        <f t="shared" si="210"/>
        <v>-20.890156749939706</v>
      </c>
      <c r="AA449" s="170">
        <f t="shared" si="211"/>
        <v>47863</v>
      </c>
      <c r="AB449" s="170">
        <f t="shared" si="212"/>
        <v>2290866769</v>
      </c>
      <c r="AD449" s="686">
        <f t="shared" si="213"/>
        <v>24.774097114206448</v>
      </c>
      <c r="AE449" s="687">
        <f t="shared" si="214"/>
        <v>-39.214817719830073</v>
      </c>
      <c r="AG449" s="686">
        <f t="shared" si="215"/>
        <v>4.4421488751217977</v>
      </c>
      <c r="AH449" s="687">
        <f t="shared" si="216"/>
        <v>-49.671270108869479</v>
      </c>
      <c r="AJ449" s="170">
        <f t="shared" si="217"/>
        <v>0</v>
      </c>
      <c r="AK449" s="170">
        <f t="shared" si="229"/>
        <v>0</v>
      </c>
      <c r="AM449" s="170" t="str">
        <f t="shared" si="221"/>
        <v>1.05731245617746+0.998356290292652i</v>
      </c>
      <c r="AN449" s="170" t="str">
        <f t="shared" si="222"/>
        <v>1.6281402053132i</v>
      </c>
      <c r="AO449" s="170" t="str">
        <f t="shared" si="223"/>
        <v>0.613188156053552-0.64939889864956i</v>
      </c>
      <c r="AP449" s="170" t="str">
        <f t="shared" si="224"/>
        <v>-0.00955207602957662-0.166392715048775i</v>
      </c>
      <c r="AQ449" s="170" t="str">
        <f t="shared" si="225"/>
        <v>1.00955207602958+0.166392715048775i</v>
      </c>
      <c r="AR449" s="170" t="str">
        <f t="shared" si="226"/>
        <v>0.803296776231134-0.132398055296664i</v>
      </c>
    </row>
    <row r="450" spans="7:44">
      <c r="G450" s="688">
        <v>48141.75</v>
      </c>
      <c r="H450" s="676">
        <f t="shared" si="218"/>
        <v>48.141750000000002</v>
      </c>
      <c r="I450" s="677">
        <f t="shared" si="198"/>
        <v>247.89537933904336</v>
      </c>
      <c r="J450" s="678">
        <f t="shared" si="199"/>
        <v>1.5667623560334214</v>
      </c>
      <c r="K450" s="678">
        <f t="shared" si="200"/>
        <v>1.0004041489388305</v>
      </c>
      <c r="L450" s="679">
        <f t="shared" si="201"/>
        <v>2.8425793643050944E-2</v>
      </c>
      <c r="M450" s="678">
        <f t="shared" si="202"/>
        <v>1.0492289363609686</v>
      </c>
      <c r="N450" s="679">
        <f t="shared" si="203"/>
        <v>-0.30754095142490273</v>
      </c>
      <c r="O450" s="677">
        <f t="shared" si="204"/>
        <v>907450.6077493761</v>
      </c>
      <c r="P450" s="680">
        <f t="shared" si="205"/>
        <v>1.5707952248065444</v>
      </c>
      <c r="Q450" s="689">
        <f t="shared" si="227"/>
        <v>111.92337572020629</v>
      </c>
      <c r="R450" s="690">
        <f t="shared" si="228"/>
        <v>1.5618615238656046</v>
      </c>
      <c r="S450" s="677">
        <f t="shared" si="206"/>
        <v>1.2842661916325286</v>
      </c>
      <c r="T450" s="680">
        <f t="shared" si="207"/>
        <v>0.67827732086849679</v>
      </c>
      <c r="U450" s="681">
        <f t="shared" si="219"/>
        <v>0.72507129761514444</v>
      </c>
      <c r="V450" s="682">
        <f t="shared" si="220"/>
        <v>-0.98181622550230774</v>
      </c>
      <c r="W450" s="683">
        <f t="shared" si="208"/>
        <v>-21.590299437048358</v>
      </c>
      <c r="X450" s="684">
        <f t="shared" si="209"/>
        <v>-201.38920843313755</v>
      </c>
      <c r="Y450" s="687">
        <f t="shared" si="210"/>
        <v>-21.389208433137554</v>
      </c>
      <c r="AA450" s="170">
        <f t="shared" si="211"/>
        <v>48141.75</v>
      </c>
      <c r="AB450" s="170">
        <f t="shared" si="212"/>
        <v>2317628093.0625</v>
      </c>
      <c r="AD450" s="686">
        <f t="shared" si="213"/>
        <v>24.754305196321432</v>
      </c>
      <c r="AE450" s="687">
        <f t="shared" si="214"/>
        <v>-39.374291229545165</v>
      </c>
      <c r="AG450" s="686">
        <f t="shared" si="215"/>
        <v>4.4211549971277497</v>
      </c>
      <c r="AH450" s="687">
        <f t="shared" si="216"/>
        <v>-49.507065117539589</v>
      </c>
      <c r="AJ450" s="170">
        <f t="shared" si="217"/>
        <v>0</v>
      </c>
      <c r="AK450" s="170">
        <f t="shared" si="229"/>
        <v>0</v>
      </c>
      <c r="AM450" s="170" t="str">
        <f t="shared" si="221"/>
        <v>1.06677630060426+0.997767971864005i</v>
      </c>
      <c r="AN450" s="170" t="str">
        <f t="shared" si="222"/>
        <v>1.63762235399237i</v>
      </c>
      <c r="AO450" s="170" t="str">
        <f t="shared" si="223"/>
        <v>0.609278427002135-0.651417769184427i</v>
      </c>
      <c r="AP450" s="170" t="str">
        <f t="shared" si="224"/>
        <v>-0.0111293834340427-0.166294661977334i</v>
      </c>
      <c r="AQ450" s="170" t="str">
        <f t="shared" si="225"/>
        <v>1.01112938343404+0.166294661977334i</v>
      </c>
      <c r="AR450" s="170" t="str">
        <f t="shared" si="226"/>
        <v>0.802134726353382-0.131922507015066i</v>
      </c>
    </row>
    <row r="451" spans="7:44">
      <c r="G451" s="688">
        <v>48420.5</v>
      </c>
      <c r="H451" s="676">
        <f t="shared" si="218"/>
        <v>48.420499999999997</v>
      </c>
      <c r="I451" s="677">
        <f t="shared" si="198"/>
        <v>249.33071801620201</v>
      </c>
      <c r="J451" s="678">
        <f t="shared" si="199"/>
        <v>1.5667855787852725</v>
      </c>
      <c r="K451" s="678">
        <f t="shared" si="200"/>
        <v>1.0004088417296628</v>
      </c>
      <c r="L451" s="679">
        <f t="shared" si="201"/>
        <v>2.8590295041333907E-2</v>
      </c>
      <c r="M451" s="678">
        <f t="shared" si="202"/>
        <v>1.0497871155992986</v>
      </c>
      <c r="N451" s="679">
        <f t="shared" si="203"/>
        <v>-0.3092106080810556</v>
      </c>
      <c r="O451" s="677">
        <f t="shared" si="204"/>
        <v>912704.92145649798</v>
      </c>
      <c r="P451" s="680">
        <f t="shared" si="205"/>
        <v>1.5707952311505362</v>
      </c>
      <c r="Q451" s="689">
        <f t="shared" si="227"/>
        <v>112.5713820267305</v>
      </c>
      <c r="R451" s="690">
        <f t="shared" si="228"/>
        <v>1.5619129575540494</v>
      </c>
      <c r="S451" s="677">
        <f t="shared" si="206"/>
        <v>1.2871989061932099</v>
      </c>
      <c r="T451" s="680">
        <f t="shared" si="207"/>
        <v>0.68109978758390943</v>
      </c>
      <c r="U451" s="681">
        <f t="shared" si="219"/>
        <v>0.72300123218851031</v>
      </c>
      <c r="V451" s="682">
        <f t="shared" si="220"/>
        <v>-0.9861993789540745</v>
      </c>
      <c r="W451" s="683">
        <f t="shared" si="208"/>
        <v>-21.680435981334934</v>
      </c>
      <c r="X451" s="684">
        <f t="shared" si="209"/>
        <v>-201.88668309772865</v>
      </c>
      <c r="Y451" s="687">
        <f t="shared" si="210"/>
        <v>-21.88668309772865</v>
      </c>
      <c r="AA451" s="170">
        <f t="shared" si="211"/>
        <v>48420.5</v>
      </c>
      <c r="AB451" s="170">
        <f t="shared" si="212"/>
        <v>2344544820.25</v>
      </c>
      <c r="AD451" s="686">
        <f t="shared" si="213"/>
        <v>24.734488972820738</v>
      </c>
      <c r="AE451" s="687">
        <f t="shared" si="214"/>
        <v>-39.533060090547174</v>
      </c>
      <c r="AG451" s="686">
        <f t="shared" si="215"/>
        <v>4.4005017246899438</v>
      </c>
      <c r="AH451" s="687">
        <f t="shared" si="216"/>
        <v>-49.343498533065869</v>
      </c>
      <c r="AJ451" s="170">
        <f t="shared" si="217"/>
        <v>0</v>
      </c>
      <c r="AK451" s="170">
        <f t="shared" si="229"/>
        <v>0</v>
      </c>
      <c r="AM451" s="170" t="str">
        <f t="shared" si="221"/>
        <v>1.07623414114249+0.997089943648148i</v>
      </c>
      <c r="AN451" s="170" t="str">
        <f t="shared" si="222"/>
        <v>1.64710450267154i</v>
      </c>
      <c r="AO451" s="170" t="str">
        <f t="shared" si="223"/>
        <v>0.605359248323896-0.653409749895577i</v>
      </c>
      <c r="AP451" s="170" t="str">
        <f t="shared" si="224"/>
        <v>-0.0127056901904144-0.166181657274691i</v>
      </c>
      <c r="AQ451" s="170" t="str">
        <f t="shared" si="225"/>
        <v>1.01270569019041+0.166181657274691i</v>
      </c>
      <c r="AR451" s="170" t="str">
        <f t="shared" si="226"/>
        <v>0.800980368430244-0.13143823162009i</v>
      </c>
    </row>
    <row r="452" spans="7:44">
      <c r="G452" s="688">
        <v>48699.25</v>
      </c>
      <c r="H452" s="676">
        <f t="shared" si="218"/>
        <v>48.699249999999999</v>
      </c>
      <c r="I452" s="677">
        <f t="shared" si="198"/>
        <v>250.76605682628451</v>
      </c>
      <c r="J452" s="678">
        <f t="shared" si="199"/>
        <v>1.5668085356916108</v>
      </c>
      <c r="K452" s="678">
        <f t="shared" si="200"/>
        <v>1.0004135615920144</v>
      </c>
      <c r="L452" s="679">
        <f t="shared" si="201"/>
        <v>2.8754794891862338E-2</v>
      </c>
      <c r="M452" s="678">
        <f t="shared" si="202"/>
        <v>1.0503482182699506</v>
      </c>
      <c r="N452" s="679">
        <f t="shared" si="203"/>
        <v>-0.31087848550038893</v>
      </c>
      <c r="O452" s="677">
        <f t="shared" si="204"/>
        <v>917959.23516361974</v>
      </c>
      <c r="P452" s="680">
        <f t="shared" si="205"/>
        <v>1.570795237421903</v>
      </c>
      <c r="Q452" s="689">
        <f t="shared" si="227"/>
        <v>113.21938862764492</v>
      </c>
      <c r="R452" s="690">
        <f t="shared" si="228"/>
        <v>1.5619638024853475</v>
      </c>
      <c r="S452" s="677">
        <f t="shared" si="206"/>
        <v>1.2901418283233534</v>
      </c>
      <c r="T452" s="680">
        <f t="shared" si="207"/>
        <v>0.68390940002829193</v>
      </c>
      <c r="U452" s="681">
        <f t="shared" si="219"/>
        <v>0.7209348648680417</v>
      </c>
      <c r="V452" s="682">
        <f t="shared" si="220"/>
        <v>-0.99056943610771309</v>
      </c>
      <c r="W452" s="683">
        <f t="shared" si="208"/>
        <v>-21.770312932694125</v>
      </c>
      <c r="X452" s="684">
        <f t="shared" si="209"/>
        <v>-202.38258754746121</v>
      </c>
      <c r="Y452" s="687">
        <f t="shared" si="210"/>
        <v>-22.382587547461213</v>
      </c>
      <c r="AA452" s="170">
        <f t="shared" si="211"/>
        <v>48699.25</v>
      </c>
      <c r="AB452" s="170">
        <f t="shared" si="212"/>
        <v>2371616950.5625</v>
      </c>
      <c r="AD452" s="686">
        <f t="shared" si="213"/>
        <v>24.714649182940587</v>
      </c>
      <c r="AE452" s="687">
        <f t="shared" si="214"/>
        <v>-39.691126185208176</v>
      </c>
      <c r="AG452" s="686">
        <f t="shared" si="215"/>
        <v>4.3801849096618444</v>
      </c>
      <c r="AH452" s="687">
        <f t="shared" si="216"/>
        <v>-49.18056522529627</v>
      </c>
      <c r="AJ452" s="170">
        <f t="shared" si="217"/>
        <v>0</v>
      </c>
      <c r="AK452" s="170">
        <f t="shared" si="229"/>
        <v>0</v>
      </c>
      <c r="AM452" s="170" t="str">
        <f t="shared" si="221"/>
        <v>1.08568512743326+0.996322266606917i</v>
      </c>
      <c r="AN452" s="170" t="str">
        <f t="shared" si="222"/>
        <v>1.65658665135071i</v>
      </c>
      <c r="AO452" s="170" t="str">
        <f t="shared" si="223"/>
        <v>0.601430819084869-0.655374789207699i</v>
      </c>
      <c r="AP452" s="170" t="str">
        <f t="shared" si="224"/>
        <v>-0.0142808545722106-0.166053711101153i</v>
      </c>
      <c r="AQ452" s="170" t="str">
        <f t="shared" si="225"/>
        <v>1.01428085457221+0.166053711101153i</v>
      </c>
      <c r="AR452" s="170" t="str">
        <f t="shared" si="226"/>
        <v>0.79983372989339-0.130945347646034i</v>
      </c>
    </row>
    <row r="453" spans="7:44">
      <c r="G453" s="688">
        <v>48978</v>
      </c>
      <c r="H453" s="676">
        <f t="shared" si="218"/>
        <v>48.978000000000002</v>
      </c>
      <c r="I453" s="677">
        <f t="shared" si="198"/>
        <v>252.20139576702132</v>
      </c>
      <c r="J453" s="678">
        <f t="shared" si="199"/>
        <v>1.5668312312913848</v>
      </c>
      <c r="K453" s="678">
        <f t="shared" si="200"/>
        <v>1.0004183085255021</v>
      </c>
      <c r="L453" s="679">
        <f t="shared" si="201"/>
        <v>2.891929318575541E-2</v>
      </c>
      <c r="M453" s="678">
        <f t="shared" si="202"/>
        <v>1.050912239690291</v>
      </c>
      <c r="N453" s="679">
        <f t="shared" si="203"/>
        <v>-0.31254457726081403</v>
      </c>
      <c r="O453" s="677">
        <f t="shared" si="204"/>
        <v>923213.54887074162</v>
      </c>
      <c r="P453" s="680">
        <f t="shared" si="205"/>
        <v>1.5707952436218851</v>
      </c>
      <c r="Q453" s="689">
        <f t="shared" si="227"/>
        <v>113.8673955179235</v>
      </c>
      <c r="R453" s="690">
        <f t="shared" si="228"/>
        <v>1.5620140687108919</v>
      </c>
      <c r="S453" s="677">
        <f t="shared" si="206"/>
        <v>1.2930948883295093</v>
      </c>
      <c r="T453" s="680">
        <f t="shared" si="207"/>
        <v>0.68670620175922803</v>
      </c>
      <c r="U453" s="681">
        <f t="shared" si="219"/>
        <v>0.71887225714874692</v>
      </c>
      <c r="V453" s="682">
        <f t="shared" si="220"/>
        <v>-0.9949264849828674</v>
      </c>
      <c r="W453" s="683">
        <f t="shared" si="208"/>
        <v>-21.859932202909217</v>
      </c>
      <c r="X453" s="684">
        <f t="shared" si="209"/>
        <v>-202.87692863793646</v>
      </c>
      <c r="Y453" s="687">
        <f t="shared" si="210"/>
        <v>-22.876928637936459</v>
      </c>
      <c r="AA453" s="170">
        <f t="shared" si="211"/>
        <v>48978</v>
      </c>
      <c r="AB453" s="170">
        <f t="shared" si="212"/>
        <v>2398844484</v>
      </c>
      <c r="AD453" s="686">
        <f t="shared" si="213"/>
        <v>24.694786557737256</v>
      </c>
      <c r="AE453" s="687">
        <f t="shared" si="214"/>
        <v>-39.848491433362554</v>
      </c>
      <c r="AG453" s="686">
        <f t="shared" si="215"/>
        <v>4.3602004737135527</v>
      </c>
      <c r="AH453" s="687">
        <f t="shared" si="216"/>
        <v>-49.018260043689516</v>
      </c>
      <c r="AJ453" s="170">
        <f t="shared" si="217"/>
        <v>0</v>
      </c>
      <c r="AK453" s="170">
        <f t="shared" si="229"/>
        <v>0</v>
      </c>
      <c r="AM453" s="170" t="str">
        <f t="shared" si="221"/>
        <v>1.09512840973396+0.995465009762517i</v>
      </c>
      <c r="AN453" s="170" t="str">
        <f t="shared" si="222"/>
        <v>1.66606880002987i</v>
      </c>
      <c r="AO453" s="170" t="str">
        <f t="shared" si="223"/>
        <v>0.597493338657245-0.657312837089516i</v>
      </c>
      <c r="AP453" s="170" t="str">
        <f t="shared" si="224"/>
        <v>-0.0158547349556599-0.16591083496042i</v>
      </c>
      <c r="AQ453" s="170" t="str">
        <f t="shared" si="225"/>
        <v>1.01585473495566+0.16591083496042i</v>
      </c>
      <c r="AR453" s="170" t="str">
        <f t="shared" si="226"/>
        <v>0.798694836642697-0.130443972613614i</v>
      </c>
    </row>
    <row r="454" spans="7:44">
      <c r="G454" s="688">
        <v>49263.25</v>
      </c>
      <c r="H454" s="676">
        <f t="shared" si="218"/>
        <v>49.263249999999999</v>
      </c>
      <c r="I454" s="677">
        <f t="shared" si="198"/>
        <v>253.67020462766297</v>
      </c>
      <c r="J454" s="678">
        <f t="shared" si="199"/>
        <v>1.5668541902260948</v>
      </c>
      <c r="K454" s="678">
        <f t="shared" si="200"/>
        <v>1.0004231941747921</v>
      </c>
      <c r="L454" s="679">
        <f t="shared" si="201"/>
        <v>2.9087625693533573E-2</v>
      </c>
      <c r="M454" s="678">
        <f t="shared" si="202"/>
        <v>1.0514924299132775</v>
      </c>
      <c r="N454" s="679">
        <f t="shared" si="203"/>
        <v>-0.31424766434492418</v>
      </c>
      <c r="O454" s="677">
        <f t="shared" si="204"/>
        <v>928590.38469121349</v>
      </c>
      <c r="P454" s="680">
        <f t="shared" si="205"/>
        <v>1.5707952498938038</v>
      </c>
      <c r="Q454" s="689">
        <f t="shared" si="227"/>
        <v>114.53051317721341</v>
      </c>
      <c r="R454" s="690">
        <f t="shared" si="228"/>
        <v>1.5620649182067328</v>
      </c>
      <c r="S454" s="677">
        <f t="shared" si="206"/>
        <v>1.2961272318631696</v>
      </c>
      <c r="T454" s="680">
        <f t="shared" si="207"/>
        <v>0.68955500397620673</v>
      </c>
      <c r="U454" s="681">
        <f t="shared" si="219"/>
        <v>0.71676550717860943</v>
      </c>
      <c r="V454" s="682">
        <f t="shared" si="220"/>
        <v>-0.99937175852169757</v>
      </c>
      <c r="W454" s="683">
        <f t="shared" si="208"/>
        <v>-21.951376443411572</v>
      </c>
      <c r="X454" s="684">
        <f t="shared" si="209"/>
        <v>-203.38118570249483</v>
      </c>
      <c r="Y454" s="687">
        <f t="shared" si="210"/>
        <v>-23.381185702494832</v>
      </c>
      <c r="AA454" s="170">
        <f t="shared" si="211"/>
        <v>49263.25</v>
      </c>
      <c r="AB454" s="170">
        <f t="shared" si="212"/>
        <v>2426867800.5625</v>
      </c>
      <c r="AD454" s="686">
        <f t="shared" si="213"/>
        <v>24.674437882082998</v>
      </c>
      <c r="AE454" s="687">
        <f t="shared" si="214"/>
        <v>-40.008802675098572</v>
      </c>
      <c r="AG454" s="686">
        <f t="shared" si="215"/>
        <v>4.3400899451348884</v>
      </c>
      <c r="AH454" s="687">
        <f t="shared" si="216"/>
        <v>-48.852815040817532</v>
      </c>
      <c r="AJ454" s="170">
        <f t="shared" si="217"/>
        <v>0</v>
      </c>
      <c r="AK454" s="170">
        <f t="shared" si="229"/>
        <v>0</v>
      </c>
      <c r="AM454" s="170" t="str">
        <f t="shared" si="221"/>
        <v>1.10478303277563+0.994495106092705i</v>
      </c>
      <c r="AN454" s="170" t="str">
        <f t="shared" si="222"/>
        <v>1.67577205710874i</v>
      </c>
      <c r="AO454" s="170" t="str">
        <f t="shared" si="223"/>
        <v>0.59345488061696-0.659268083680632i</v>
      </c>
      <c r="AP454" s="170" t="str">
        <f t="shared" si="224"/>
        <v>-0.0174638387959392-0.165749184348784i</v>
      </c>
      <c r="AQ454" s="170" t="str">
        <f t="shared" si="225"/>
        <v>1.01746383879594+0.165749184348784i</v>
      </c>
      <c r="AR454" s="170" t="str">
        <f t="shared" si="226"/>
        <v>0.797537429994845-0.129922237497605i</v>
      </c>
    </row>
    <row r="455" spans="7:44">
      <c r="G455" s="688">
        <v>49548.5</v>
      </c>
      <c r="H455" s="676">
        <f t="shared" si="218"/>
        <v>49.548499999999997</v>
      </c>
      <c r="I455" s="677">
        <f t="shared" si="198"/>
        <v>255.13901362047784</v>
      </c>
      <c r="J455" s="678">
        <f t="shared" si="199"/>
        <v>1.5668768848163772</v>
      </c>
      <c r="K455" s="678">
        <f t="shared" si="200"/>
        <v>1.0004281081716295</v>
      </c>
      <c r="L455" s="679">
        <f t="shared" si="201"/>
        <v>2.9255956552418621E-2</v>
      </c>
      <c r="M455" s="678">
        <f t="shared" si="202"/>
        <v>1.0520756666269813</v>
      </c>
      <c r="N455" s="679">
        <f t="shared" si="203"/>
        <v>-0.31594886808607292</v>
      </c>
      <c r="O455" s="677">
        <f t="shared" si="204"/>
        <v>933967.22051168547</v>
      </c>
      <c r="P455" s="680">
        <f t="shared" si="205"/>
        <v>1.5707952560935079</v>
      </c>
      <c r="Q455" s="689">
        <f t="shared" si="227"/>
        <v>115.1936311292321</v>
      </c>
      <c r="R455" s="690">
        <f t="shared" si="228"/>
        <v>1.5621151822673234</v>
      </c>
      <c r="S455" s="677">
        <f t="shared" si="206"/>
        <v>1.2991700451895882</v>
      </c>
      <c r="T455" s="680">
        <f t="shared" si="207"/>
        <v>0.69239048463694508</v>
      </c>
      <c r="U455" s="681">
        <f t="shared" si="219"/>
        <v>0.71466281885485494</v>
      </c>
      <c r="V455" s="682">
        <f t="shared" si="220"/>
        <v>-1.003803597438488</v>
      </c>
      <c r="W455" s="683">
        <f t="shared" si="208"/>
        <v>-22.042554784923443</v>
      </c>
      <c r="X455" s="684">
        <f t="shared" si="209"/>
        <v>-203.88382033084295</v>
      </c>
      <c r="Y455" s="687">
        <f t="shared" si="210"/>
        <v>-23.883820330842951</v>
      </c>
      <c r="AA455" s="170">
        <f t="shared" si="211"/>
        <v>49548.5</v>
      </c>
      <c r="AB455" s="170">
        <f t="shared" si="212"/>
        <v>2455053852.25</v>
      </c>
      <c r="AD455" s="686">
        <f t="shared" si="213"/>
        <v>24.654066816581768</v>
      </c>
      <c r="AE455" s="687">
        <f t="shared" si="214"/>
        <v>-40.168384186716033</v>
      </c>
      <c r="AG455" s="686">
        <f t="shared" si="215"/>
        <v>4.3203190543283068</v>
      </c>
      <c r="AH455" s="687">
        <f t="shared" si="216"/>
        <v>-48.688016826140014</v>
      </c>
      <c r="AJ455" s="170">
        <f t="shared" si="217"/>
        <v>0</v>
      </c>
      <c r="AK455" s="170">
        <f t="shared" si="229"/>
        <v>0</v>
      </c>
      <c r="AM455" s="170" t="str">
        <f t="shared" si="221"/>
        <v>1.11442779023708+0.993431568262987i</v>
      </c>
      <c r="AN455" s="170" t="str">
        <f t="shared" si="222"/>
        <v>1.6854753141876i</v>
      </c>
      <c r="AO455" s="170" t="str">
        <f t="shared" si="223"/>
        <v>0.589407367702577-0.661194964326271i</v>
      </c>
      <c r="AP455" s="170" t="str">
        <f t="shared" si="224"/>
        <v>-0.019071298372847-0.165571928043831i</v>
      </c>
      <c r="AQ455" s="170" t="str">
        <f t="shared" si="225"/>
        <v>1.01907129837285+0.165571928043831i</v>
      </c>
      <c r="AR455" s="170" t="str">
        <f t="shared" si="226"/>
        <v>0.796388184177529-0.129391856424706i</v>
      </c>
    </row>
    <row r="456" spans="7:44">
      <c r="G456" s="688">
        <v>49833.75</v>
      </c>
      <c r="H456" s="676">
        <f t="shared" si="218"/>
        <v>49.833750000000002</v>
      </c>
      <c r="I456" s="677">
        <f t="shared" si="198"/>
        <v>256.60782274319632</v>
      </c>
      <c r="J456" s="678">
        <f t="shared" si="199"/>
        <v>1.5668993196014873</v>
      </c>
      <c r="K456" s="678">
        <f t="shared" si="200"/>
        <v>1.0004330505155965</v>
      </c>
      <c r="L456" s="679">
        <f t="shared" si="201"/>
        <v>2.9424285752895511E-2</v>
      </c>
      <c r="M456" s="678">
        <f t="shared" si="202"/>
        <v>1.0526619447675964</v>
      </c>
      <c r="N456" s="679">
        <f t="shared" si="203"/>
        <v>-0.31764818177603127</v>
      </c>
      <c r="O456" s="677">
        <f t="shared" si="204"/>
        <v>939344.05633215734</v>
      </c>
      <c r="P456" s="680">
        <f t="shared" si="205"/>
        <v>1.5707952622222374</v>
      </c>
      <c r="Q456" s="689">
        <f t="shared" si="227"/>
        <v>115.85674936895322</v>
      </c>
      <c r="R456" s="690">
        <f t="shared" si="228"/>
        <v>1.5621648709448077</v>
      </c>
      <c r="S456" s="677">
        <f t="shared" si="206"/>
        <v>1.3022232549166861</v>
      </c>
      <c r="T456" s="680">
        <f t="shared" si="207"/>
        <v>0.69521269168932964</v>
      </c>
      <c r="U456" s="681">
        <f t="shared" si="219"/>
        <v>0.71256425242383081</v>
      </c>
      <c r="V456" s="682">
        <f t="shared" si="220"/>
        <v>-1.0082220969307225</v>
      </c>
      <c r="W456" s="683">
        <f t="shared" si="208"/>
        <v>-22.133469166021769</v>
      </c>
      <c r="X456" s="684">
        <f t="shared" si="209"/>
        <v>-204.38484002500414</v>
      </c>
      <c r="Y456" s="687">
        <f t="shared" si="210"/>
        <v>-24.384840025004138</v>
      </c>
      <c r="AA456" s="170">
        <f t="shared" si="211"/>
        <v>49833.75</v>
      </c>
      <c r="AB456" s="170">
        <f t="shared" si="212"/>
        <v>2483402639.0625</v>
      </c>
      <c r="AD456" s="686">
        <f t="shared" si="213"/>
        <v>24.633674118253403</v>
      </c>
      <c r="AE456" s="687">
        <f t="shared" si="214"/>
        <v>-40.327238139552144</v>
      </c>
      <c r="AG456" s="686">
        <f t="shared" si="215"/>
        <v>4.3008836490574689</v>
      </c>
      <c r="AH456" s="687">
        <f t="shared" si="216"/>
        <v>-48.523859821515082</v>
      </c>
      <c r="AJ456" s="170">
        <f t="shared" si="217"/>
        <v>0</v>
      </c>
      <c r="AK456" s="170">
        <f t="shared" si="229"/>
        <v>0</v>
      </c>
      <c r="AM456" s="170" t="str">
        <f t="shared" si="221"/>
        <v>1.12406177404068+0.992274496408066i</v>
      </c>
      <c r="AN456" s="170" t="str">
        <f t="shared" si="222"/>
        <v>1.69517857126646i</v>
      </c>
      <c r="AO456" s="170" t="str">
        <f t="shared" si="223"/>
        <v>0.585351014475568-0.663093430446622i</v>
      </c>
      <c r="AP456" s="170" t="str">
        <f t="shared" si="224"/>
        <v>-0.0206769623401128-0.165379082734678i</v>
      </c>
      <c r="AQ456" s="170" t="str">
        <f t="shared" si="225"/>
        <v>1.02067696234011+0.165379082734678i</v>
      </c>
      <c r="AR456" s="170" t="str">
        <f t="shared" si="226"/>
        <v>0.795247122197009-0.128852951980814i</v>
      </c>
    </row>
    <row r="457" spans="7:44">
      <c r="G457" s="688">
        <v>50119</v>
      </c>
      <c r="H457" s="676">
        <f t="shared" si="218"/>
        <v>50.119</v>
      </c>
      <c r="I457" s="677">
        <f t="shared" si="198"/>
        <v>258.07663199360036</v>
      </c>
      <c r="J457" s="678">
        <f t="shared" si="199"/>
        <v>1.5669214990173437</v>
      </c>
      <c r="K457" s="678">
        <f t="shared" si="200"/>
        <v>1.0004380212062731</v>
      </c>
      <c r="L457" s="679">
        <f t="shared" si="201"/>
        <v>2.9592613285449779E-2</v>
      </c>
      <c r="M457" s="678">
        <f t="shared" si="202"/>
        <v>1.0532512592562147</v>
      </c>
      <c r="N457" s="679">
        <f t="shared" si="203"/>
        <v>-0.31934559876513052</v>
      </c>
      <c r="O457" s="677">
        <f t="shared" si="204"/>
        <v>944720.89215262933</v>
      </c>
      <c r="P457" s="680">
        <f t="shared" si="205"/>
        <v>1.5707952682812041</v>
      </c>
      <c r="Q457" s="689">
        <f t="shared" si="227"/>
        <v>116.51986789146473</v>
      </c>
      <c r="R457" s="690">
        <f t="shared" si="228"/>
        <v>1.5622139940625124</v>
      </c>
      <c r="S457" s="677">
        <f t="shared" si="206"/>
        <v>1.3052867880894823</v>
      </c>
      <c r="T457" s="680">
        <f t="shared" si="207"/>
        <v>0.6980216734791761</v>
      </c>
      <c r="U457" s="681">
        <f t="shared" si="219"/>
        <v>0.71046986628358155</v>
      </c>
      <c r="V457" s="682">
        <f t="shared" si="220"/>
        <v>-1.0126273524549514</v>
      </c>
      <c r="W457" s="683">
        <f t="shared" si="208"/>
        <v>-22.224121490565313</v>
      </c>
      <c r="X457" s="684">
        <f t="shared" si="209"/>
        <v>-204.88425233518791</v>
      </c>
      <c r="Y457" s="687">
        <f t="shared" si="210"/>
        <v>-24.884252335187909</v>
      </c>
      <c r="AA457" s="170">
        <f t="shared" si="211"/>
        <v>50119</v>
      </c>
      <c r="AB457" s="170">
        <f t="shared" si="212"/>
        <v>2511914161</v>
      </c>
      <c r="AD457" s="686">
        <f t="shared" si="213"/>
        <v>24.613260535304121</v>
      </c>
      <c r="AE457" s="687">
        <f t="shared" si="214"/>
        <v>-40.485366740852342</v>
      </c>
      <c r="AG457" s="686">
        <f t="shared" si="215"/>
        <v>4.2817796477189587</v>
      </c>
      <c r="AH457" s="687">
        <f t="shared" si="216"/>
        <v>-48.360338431391838</v>
      </c>
      <c r="AJ457" s="170">
        <f t="shared" si="217"/>
        <v>0</v>
      </c>
      <c r="AK457" s="170">
        <f t="shared" si="229"/>
        <v>0</v>
      </c>
      <c r="AM457" s="170" t="str">
        <f t="shared" si="221"/>
        <v>1.13368407712315+0.9910239994691i</v>
      </c>
      <c r="AN457" s="170" t="str">
        <f t="shared" si="222"/>
        <v>1.70488182834532i</v>
      </c>
      <c r="AO457" s="170" t="str">
        <f t="shared" si="223"/>
        <v>0.581286035778176-0.664963435162806i</v>
      </c>
      <c r="AP457" s="170" t="str">
        <f t="shared" si="224"/>
        <v>-0.0222806795205253-0.165170666578183i</v>
      </c>
      <c r="AQ457" s="170" t="str">
        <f t="shared" si="225"/>
        <v>1.02228067952053+0.165170666578183i</v>
      </c>
      <c r="AR457" s="170" t="str">
        <f t="shared" si="226"/>
        <v>0.794114265536188-0.128305645607403i</v>
      </c>
    </row>
    <row r="458" spans="7:44">
      <c r="G458" s="688">
        <v>50410.75</v>
      </c>
      <c r="H458" s="676">
        <f t="shared" si="218"/>
        <v>50.41075</v>
      </c>
      <c r="I458" s="677">
        <f t="shared" si="198"/>
        <v>259.57891117269827</v>
      </c>
      <c r="J458" s="678">
        <f t="shared" si="199"/>
        <v>1.5669439241902801</v>
      </c>
      <c r="K458" s="678">
        <f t="shared" si="200"/>
        <v>1.0004431344867566</v>
      </c>
      <c r="L458" s="679">
        <f t="shared" si="201"/>
        <v>2.9764774767074249E-2</v>
      </c>
      <c r="M458" s="678">
        <f t="shared" si="202"/>
        <v>1.0538571380821014</v>
      </c>
      <c r="N458" s="679">
        <f t="shared" si="203"/>
        <v>-0.32107972595114365</v>
      </c>
      <c r="O458" s="677">
        <f t="shared" si="204"/>
        <v>950220.2500864513</v>
      </c>
      <c r="P458" s="680">
        <f t="shared" si="205"/>
        <v>1.5707952744073055</v>
      </c>
      <c r="Q458" s="689">
        <f t="shared" si="227"/>
        <v>117.19809720245399</v>
      </c>
      <c r="R458" s="690">
        <f t="shared" si="228"/>
        <v>1.5622636615181582</v>
      </c>
      <c r="S458" s="677">
        <f t="shared" si="206"/>
        <v>1.3084307334862952</v>
      </c>
      <c r="T458" s="680">
        <f t="shared" si="207"/>
        <v>0.70088103366740551</v>
      </c>
      <c r="U458" s="681">
        <f t="shared" si="219"/>
        <v>0.70833213852741383</v>
      </c>
      <c r="V458" s="682">
        <f t="shared" si="220"/>
        <v>-1.0171193903190114</v>
      </c>
      <c r="W458" s="683">
        <f t="shared" si="208"/>
        <v>-22.316570379622217</v>
      </c>
      <c r="X458" s="684">
        <f t="shared" si="209"/>
        <v>-205.39338994346846</v>
      </c>
      <c r="Y458" s="687">
        <f t="shared" si="210"/>
        <v>-25.393389943468463</v>
      </c>
      <c r="AA458" s="170">
        <f t="shared" si="211"/>
        <v>50410.75</v>
      </c>
      <c r="AB458" s="170">
        <f t="shared" si="212"/>
        <v>2541243715.5625</v>
      </c>
      <c r="AD458" s="686">
        <f t="shared" si="213"/>
        <v>24.592360954219195</v>
      </c>
      <c r="AE458" s="687">
        <f t="shared" si="214"/>
        <v>-40.646350627341668</v>
      </c>
      <c r="AG458" s="686">
        <f t="shared" si="215"/>
        <v>4.2625789588054239</v>
      </c>
      <c r="AH458" s="687">
        <f t="shared" si="216"/>
        <v>-48.193742530547624</v>
      </c>
      <c r="AJ458" s="170">
        <f t="shared" si="217"/>
        <v>0</v>
      </c>
      <c r="AK458" s="170">
        <f t="shared" si="229"/>
        <v>0</v>
      </c>
      <c r="AM458" s="170" t="str">
        <f t="shared" si="221"/>
        <v>1.14351261662066+0.989648487530139i</v>
      </c>
      <c r="AN458" s="170" t="str">
        <f t="shared" si="222"/>
        <v>1.71480619382388i</v>
      </c>
      <c r="AO458" s="170" t="str">
        <f t="shared" si="223"/>
        <v>0.577119729969777-0.666846563033878i</v>
      </c>
      <c r="AP458" s="170" t="str">
        <f t="shared" si="224"/>
        <v>-0.0239187694367765-0.164941414588357i</v>
      </c>
      <c r="AQ458" s="170" t="str">
        <f t="shared" si="225"/>
        <v>1.02391876943678+0.164941414588357i</v>
      </c>
      <c r="AR458" s="170" t="str">
        <f t="shared" si="226"/>
        <v>0.792964103185334-0.127737301826317i</v>
      </c>
    </row>
    <row r="459" spans="7:44">
      <c r="G459" s="688">
        <v>50702.5</v>
      </c>
      <c r="H459" s="676">
        <f t="shared" si="218"/>
        <v>50.702500000000001</v>
      </c>
      <c r="I459" s="677">
        <f t="shared" si="198"/>
        <v>261.08119048083307</v>
      </c>
      <c r="J459" s="678">
        <f t="shared" si="199"/>
        <v>1.5669660912912213</v>
      </c>
      <c r="K459" s="678">
        <f t="shared" si="200"/>
        <v>1.0004482774196464</v>
      </c>
      <c r="L459" s="679">
        <f t="shared" si="201"/>
        <v>2.9936934483764995E-2</v>
      </c>
      <c r="M459" s="678">
        <f t="shared" si="202"/>
        <v>1.0544661824166701</v>
      </c>
      <c r="N459" s="679">
        <f t="shared" si="203"/>
        <v>-0.32281185512771388</v>
      </c>
      <c r="O459" s="677">
        <f t="shared" si="204"/>
        <v>955719.60802027327</v>
      </c>
      <c r="P459" s="680">
        <f t="shared" si="205"/>
        <v>1.570795280462906</v>
      </c>
      <c r="Q459" s="689">
        <f t="shared" si="227"/>
        <v>117.87632679922719</v>
      </c>
      <c r="R459" s="690">
        <f t="shared" si="228"/>
        <v>1.5623127574267894</v>
      </c>
      <c r="S459" s="677">
        <f t="shared" si="206"/>
        <v>1.3115853251985241</v>
      </c>
      <c r="T459" s="680">
        <f t="shared" si="207"/>
        <v>0.70372666250729099</v>
      </c>
      <c r="U459" s="681">
        <f t="shared" si="219"/>
        <v>0.70619890152183096</v>
      </c>
      <c r="V459" s="682">
        <f t="shared" si="220"/>
        <v>-1.0215977764999282</v>
      </c>
      <c r="W459" s="683">
        <f t="shared" si="208"/>
        <v>-22.408749055386956</v>
      </c>
      <c r="X459" s="684">
        <f t="shared" si="209"/>
        <v>-205.90086219998349</v>
      </c>
      <c r="Y459" s="687">
        <f t="shared" si="210"/>
        <v>-25.900862199983493</v>
      </c>
      <c r="AA459" s="170">
        <f t="shared" si="211"/>
        <v>50702.5</v>
      </c>
      <c r="AB459" s="170">
        <f t="shared" si="212"/>
        <v>2570743506.25</v>
      </c>
      <c r="AD459" s="686">
        <f t="shared" si="213"/>
        <v>24.571441081059142</v>
      </c>
      <c r="AE459" s="687">
        <f t="shared" si="214"/>
        <v>-40.806580508715335</v>
      </c>
      <c r="AG459" s="686">
        <f t="shared" si="215"/>
        <v>4.243716532737702</v>
      </c>
      <c r="AH459" s="687">
        <f t="shared" si="216"/>
        <v>-48.027799650710143</v>
      </c>
      <c r="AJ459" s="170">
        <f t="shared" si="217"/>
        <v>0</v>
      </c>
      <c r="AK459" s="170">
        <f t="shared" si="229"/>
        <v>0</v>
      </c>
      <c r="AM459" s="170" t="str">
        <f t="shared" si="221"/>
        <v>1.15332702124171+0.988175502912891i</v>
      </c>
      <c r="AN459" s="170" t="str">
        <f t="shared" si="222"/>
        <v>1.72473055930244i</v>
      </c>
      <c r="AO459" s="170" t="str">
        <f t="shared" si="223"/>
        <v>0.572944856565048-0.668699823877515i</v>
      </c>
      <c r="AP459" s="170" t="str">
        <f t="shared" si="224"/>
        <v>-0.0255545035402842-0.164695917152149i</v>
      </c>
      <c r="AQ459" s="170" t="str">
        <f t="shared" si="225"/>
        <v>1.02555450354028+0.164695917152149i</v>
      </c>
      <c r="AR459" s="170" t="str">
        <f t="shared" si="226"/>
        <v>0.791822565109299-0.127160422125065i</v>
      </c>
    </row>
    <row r="460" spans="7:44">
      <c r="G460" s="688">
        <v>50994.25</v>
      </c>
      <c r="H460" s="676">
        <f t="shared" si="218"/>
        <v>50.994250000000001</v>
      </c>
      <c r="I460" s="677">
        <f t="shared" si="198"/>
        <v>262.58346991579009</v>
      </c>
      <c r="J460" s="678">
        <f t="shared" si="199"/>
        <v>1.5669880047495515</v>
      </c>
      <c r="K460" s="678">
        <f t="shared" si="200"/>
        <v>1.0004534500044855</v>
      </c>
      <c r="L460" s="679">
        <f t="shared" si="201"/>
        <v>3.0109092425344031E-2</v>
      </c>
      <c r="M460" s="678">
        <f t="shared" si="202"/>
        <v>1.0550783867780473</v>
      </c>
      <c r="N460" s="679">
        <f t="shared" si="203"/>
        <v>-0.32454197937020857</v>
      </c>
      <c r="O460" s="677">
        <f t="shared" si="204"/>
        <v>961218.96595409524</v>
      </c>
      <c r="P460" s="680">
        <f t="shared" si="205"/>
        <v>1.5707952864492154</v>
      </c>
      <c r="Q460" s="689">
        <f t="shared" si="227"/>
        <v>118.55455667687951</v>
      </c>
      <c r="R460" s="690">
        <f t="shared" si="228"/>
        <v>1.5623612915973284</v>
      </c>
      <c r="S460" s="677">
        <f t="shared" si="206"/>
        <v>1.3147504865923643</v>
      </c>
      <c r="T460" s="680">
        <f t="shared" si="207"/>
        <v>0.70655861291915889</v>
      </c>
      <c r="U460" s="681">
        <f t="shared" si="219"/>
        <v>0.70407021193574371</v>
      </c>
      <c r="V460" s="682">
        <f t="shared" si="220"/>
        <v>-1.026062613857796</v>
      </c>
      <c r="W460" s="683">
        <f t="shared" si="208"/>
        <v>-22.500659449479596</v>
      </c>
      <c r="X460" s="684">
        <f t="shared" si="209"/>
        <v>-206.40667732596913</v>
      </c>
      <c r="Y460" s="687">
        <f t="shared" si="210"/>
        <v>-26.406677325969127</v>
      </c>
      <c r="AA460" s="170">
        <f t="shared" si="211"/>
        <v>50994.25</v>
      </c>
      <c r="AB460" s="170">
        <f t="shared" si="212"/>
        <v>2600413533.0625</v>
      </c>
      <c r="AD460" s="686">
        <f t="shared" si="213"/>
        <v>24.550501688029765</v>
      </c>
      <c r="AE460" s="687">
        <f t="shared" si="214"/>
        <v>-40.966058855144134</v>
      </c>
      <c r="AG460" s="686">
        <f t="shared" si="215"/>
        <v>4.225188222743645</v>
      </c>
      <c r="AH460" s="687">
        <f t="shared" si="216"/>
        <v>-47.862503756046024</v>
      </c>
      <c r="AJ460" s="170">
        <f t="shared" si="217"/>
        <v>0</v>
      </c>
      <c r="AK460" s="170">
        <f t="shared" si="229"/>
        <v>0</v>
      </c>
      <c r="AM460" s="170" t="str">
        <f t="shared" si="221"/>
        <v>1.16312632434377+0.986605190694886i</v>
      </c>
      <c r="AN460" s="170" t="str">
        <f t="shared" si="222"/>
        <v>1.73465492478099i</v>
      </c>
      <c r="AO460" s="170" t="str">
        <f t="shared" si="223"/>
        <v>0.56876164625045-0.670523173068915i</v>
      </c>
      <c r="AP460" s="170" t="str">
        <f t="shared" si="224"/>
        <v>-0.027187720723961-0.164434198449148i</v>
      </c>
      <c r="AQ460" s="170" t="str">
        <f t="shared" si="225"/>
        <v>1.02718772072396+0.164434198449148i</v>
      </c>
      <c r="AR460" s="170" t="str">
        <f t="shared" si="226"/>
        <v>0.790689669597149-0.126575132684212i</v>
      </c>
    </row>
    <row r="461" spans="7:44">
      <c r="G461" s="688">
        <v>51286</v>
      </c>
      <c r="H461" s="676">
        <f t="shared" si="218"/>
        <v>51.286000000000001</v>
      </c>
      <c r="I461" s="677">
        <f t="shared" ref="I461:I524" si="230">SQRT(1+(G461/pole1)^2)</f>
        <v>264.08574947540501</v>
      </c>
      <c r="J461" s="678">
        <f t="shared" ref="J461:J524" si="231">ATAN(G461/pole1)</f>
        <v>1.5670096688938671</v>
      </c>
      <c r="K461" s="678">
        <f t="shared" ref="K461:K524" si="232">SQRT(1+(G461/Zero1)^2)</f>
        <v>1.0004586522408137</v>
      </c>
      <c r="L461" s="679">
        <f t="shared" ref="L461:L524" si="233">ATAN(G461/Zero1)</f>
        <v>3.0281248581634029E-2</v>
      </c>
      <c r="M461" s="678">
        <f t="shared" ref="M461:M524" si="234">SQRT(1+(G461/z_RHP)^2)</f>
        <v>1.0556937456686672</v>
      </c>
      <c r="N461" s="679">
        <f t="shared" ref="N461:N524" si="235">-ATAN(G461/z_RHP)</f>
        <v>-0.32627009181802741</v>
      </c>
      <c r="O461" s="677">
        <f t="shared" ref="O461:O524" si="236">SQRT(1+(G461/Pole2)^2)</f>
        <v>966718.32388791733</v>
      </c>
      <c r="P461" s="680">
        <f t="shared" ref="P461:P524" si="237">ATAN(G461/Pole2)</f>
        <v>1.5707952923674162</v>
      </c>
      <c r="Q461" s="689">
        <f t="shared" si="227"/>
        <v>119.23278683061785</v>
      </c>
      <c r="R461" s="690">
        <f t="shared" si="228"/>
        <v>1.5624092736155251</v>
      </c>
      <c r="S461" s="677">
        <f t="shared" ref="S461:S524" si="238">SQRT(1+(G461/pole4)^2)</f>
        <v>1.3179261415146546</v>
      </c>
      <c r="T461" s="680">
        <f t="shared" ref="T461:T524" si="239">ATAN(G461/pole4)</f>
        <v>0.70937693819341774</v>
      </c>
      <c r="U461" s="681">
        <f t="shared" si="219"/>
        <v>0.70194612454130034</v>
      </c>
      <c r="V461" s="682">
        <f t="shared" si="220"/>
        <v>-1.0305140054616515</v>
      </c>
      <c r="W461" s="683">
        <f t="shared" ref="W461:W524" si="240">20*LOG10(((K461*Q461*M461*U461)/(I461*O461*S461))*Adc)</f>
        <v>-22.592303460340663</v>
      </c>
      <c r="X461" s="684">
        <f t="shared" ref="X461:X524" si="241">((L461+R461+N461+V461)-(J461+P461+T461))*radconv</f>
        <v>-206.91084358651645</v>
      </c>
      <c r="Y461" s="687">
        <f t="shared" ref="Y461:Y524" si="242">IF(X461&gt;0,X461,X461+180)</f>
        <v>-26.910843586516449</v>
      </c>
      <c r="AA461" s="170">
        <f t="shared" ref="AA461:AA524" si="243">IF(W461&lt;0,G461,1000000000)</f>
        <v>51286</v>
      </c>
      <c r="AB461" s="170">
        <f t="shared" ref="AB461:AB524" si="244">G461^2</f>
        <v>2630253796</v>
      </c>
      <c r="AD461" s="686">
        <f t="shared" ref="AD461:AD524" si="245">20*LOG10((Q461/(O461*S461))*Aea)</f>
        <v>24.529543537892316</v>
      </c>
      <c r="AE461" s="687">
        <f t="shared" ref="AE461:AE524" si="246">(R461-(P461+T461))*radconv</f>
        <v>-41.124788170788328</v>
      </c>
      <c r="AG461" s="686">
        <f t="shared" ref="AG461:AG524" si="247">20*LOG10((K461*M461/(I461*U461))*Acs*Am)</f>
        <v>4.206989953370603</v>
      </c>
      <c r="AH461" s="687">
        <f t="shared" ref="AH461:AH524" si="248">(L461+N461-(J461+V461))*radconv</f>
        <v>-47.697848796644465</v>
      </c>
      <c r="AJ461" s="170">
        <f t="shared" ref="AJ461:AJ524" si="249">SUM((W462&lt;0)*(W461&gt;0))*G461</f>
        <v>0</v>
      </c>
      <c r="AK461" s="170">
        <f t="shared" si="229"/>
        <v>0</v>
      </c>
      <c r="AM461" s="170" t="str">
        <f t="shared" si="221"/>
        <v>1.17290956077173+0.984937705539659i</v>
      </c>
      <c r="AN461" s="170" t="str">
        <f t="shared" si="222"/>
        <v>1.74457929025955i</v>
      </c>
      <c r="AO461" s="170" t="str">
        <f t="shared" si="223"/>
        <v>0.564570329957961-0.672316567851284i</v>
      </c>
      <c r="AP461" s="170" t="str">
        <f t="shared" si="224"/>
        <v>-0.028818260128621-0.16415628425661i</v>
      </c>
      <c r="AQ461" s="170" t="str">
        <f t="shared" si="225"/>
        <v>1.02881826012862+0.16415628425661i</v>
      </c>
      <c r="AR461" s="170" t="str">
        <f t="shared" si="226"/>
        <v>0.789565433437373-0.125981558408902i</v>
      </c>
    </row>
    <row r="462" spans="7:44">
      <c r="G462" s="688">
        <v>51584.75</v>
      </c>
      <c r="H462" s="676">
        <f t="shared" ref="H462:H525" si="250">G462/1000</f>
        <v>51.58475</v>
      </c>
      <c r="I462" s="677">
        <f t="shared" si="230"/>
        <v>265.62407357301851</v>
      </c>
      <c r="J462" s="678">
        <f t="shared" si="231"/>
        <v>1.5670315988892196</v>
      </c>
      <c r="K462" s="678">
        <f t="shared" si="232"/>
        <v>1.0004640100218409</v>
      </c>
      <c r="L462" s="679">
        <f t="shared" si="233"/>
        <v>3.0457533444827611E-2</v>
      </c>
      <c r="M462" s="678">
        <f t="shared" si="234"/>
        <v>1.0563271321632688</v>
      </c>
      <c r="N462" s="679">
        <f t="shared" si="235"/>
        <v>-0.32803757524131821</v>
      </c>
      <c r="O462" s="677">
        <f t="shared" si="236"/>
        <v>972349.62871303933</v>
      </c>
      <c r="P462" s="680">
        <f t="shared" si="237"/>
        <v>1.5707952983582412</v>
      </c>
      <c r="Q462" s="689">
        <f t="shared" si="227"/>
        <v>119.92729013986212</v>
      </c>
      <c r="R462" s="690">
        <f t="shared" si="228"/>
        <v>1.5624578444752428</v>
      </c>
      <c r="S462" s="677">
        <f t="shared" si="238"/>
        <v>1.3211887855518107</v>
      </c>
      <c r="T462" s="680">
        <f t="shared" si="239"/>
        <v>0.71224882056736405</v>
      </c>
      <c r="U462" s="681">
        <f t="shared" ref="U462:U525" si="251">IMABS(IMPRODUCT(AO462, AR462))</f>
        <v>0.69977589801120577</v>
      </c>
      <c r="V462" s="682">
        <f t="shared" ref="V462:V525" si="252">IMARGUMENT(IMPRODUCT(AO462, AR462))</f>
        <v>-1.0350583742790664</v>
      </c>
      <c r="W462" s="683">
        <f t="shared" si="240"/>
        <v>-22.685872201619738</v>
      </c>
      <c r="X462" s="684">
        <f t="shared" si="241"/>
        <v>-207.42540637619743</v>
      </c>
      <c r="Y462" s="687">
        <f t="shared" si="242"/>
        <v>-27.425406376197429</v>
      </c>
      <c r="AA462" s="170">
        <f t="shared" si="243"/>
        <v>51584.75</v>
      </c>
      <c r="AB462" s="170">
        <f t="shared" si="244"/>
        <v>2660986432.5625</v>
      </c>
      <c r="AD462" s="686">
        <f t="shared" si="245"/>
        <v>24.508063885140011</v>
      </c>
      <c r="AE462" s="687">
        <f t="shared" si="246"/>
        <v>-41.286552348238153</v>
      </c>
      <c r="AG462" s="686">
        <f t="shared" si="247"/>
        <v>4.1886928803470536</v>
      </c>
      <c r="AH462" s="687">
        <f t="shared" si="248"/>
        <v>-47.529901100703135</v>
      </c>
      <c r="AJ462" s="170">
        <f t="shared" si="249"/>
        <v>0</v>
      </c>
      <c r="AK462" s="170">
        <f t="shared" si="229"/>
        <v>0</v>
      </c>
      <c r="AM462" s="170" t="str">
        <f t="shared" ref="AM462:AM525" si="253">IMSUB(1,IMEXP(COMPLEX(0,-2*Pi*G462*Tsw)))</f>
        <v>1.18290987177003+0.983129685651427i</v>
      </c>
      <c r="AN462" s="170" t="str">
        <f t="shared" ref="AN462:AN525" si="254">COMPLEX(0, 2*Pi*G462*Tsw)</f>
        <v>1.75474177247623i</v>
      </c>
      <c r="AO462" s="170" t="str">
        <f t="shared" ref="AO462:AO525" si="255">IMDIV(AM462, AN462)</f>
        <v>0.56027029222885-0.674121908034793i</v>
      </c>
      <c r="AP462" s="170" t="str">
        <f t="shared" ref="AP462:AP525" si="256">IMDIV(IMEXP(COMPLEX(0,-2*Pi*G462*Tsw)),6)</f>
        <v>-0.0304849786283375-0.163854947608571i</v>
      </c>
      <c r="AQ462" s="170" t="str">
        <f t="shared" ref="AQ462:AQ525" si="257">IMSUB(1, AP462)</f>
        <v>1.03048497862834+0.163854947608571i</v>
      </c>
      <c r="AR462" s="170" t="str">
        <f t="shared" ref="AR462:AR525" si="258">IMDIV(0.833, AQ462)</f>
        <v>0.788423212811772-0.125365286159351i</v>
      </c>
    </row>
    <row r="463" spans="7:44">
      <c r="G463" s="688">
        <v>51883.5</v>
      </c>
      <c r="H463" s="676">
        <f t="shared" si="250"/>
        <v>51.883499999999998</v>
      </c>
      <c r="I463" s="677">
        <f t="shared" si="230"/>
        <v>267.16239779690596</v>
      </c>
      <c r="J463" s="678">
        <f t="shared" si="231"/>
        <v>1.567053276338241</v>
      </c>
      <c r="K463" s="678">
        <f t="shared" si="232"/>
        <v>1.0004693988933075</v>
      </c>
      <c r="L463" s="679">
        <f t="shared" si="233"/>
        <v>3.063381641443786E-2</v>
      </c>
      <c r="M463" s="678">
        <f t="shared" si="234"/>
        <v>1.0569638146603288</v>
      </c>
      <c r="N463" s="679">
        <f t="shared" si="235"/>
        <v>-0.32980293481874839</v>
      </c>
      <c r="O463" s="677">
        <f t="shared" si="236"/>
        <v>977980.93353816133</v>
      </c>
      <c r="P463" s="680">
        <f t="shared" si="237"/>
        <v>1.5707953042800749</v>
      </c>
      <c r="Q463" s="689">
        <f t="shared" si="227"/>
        <v>120.6217937287723</v>
      </c>
      <c r="R463" s="690">
        <f t="shared" si="228"/>
        <v>1.5625058560226075</v>
      </c>
      <c r="S463" s="677">
        <f t="shared" si="238"/>
        <v>1.3244622726308373</v>
      </c>
      <c r="T463" s="680">
        <f t="shared" si="239"/>
        <v>0.71510653035870153</v>
      </c>
      <c r="U463" s="681">
        <f t="shared" si="251"/>
        <v>0.69761060744632319</v>
      </c>
      <c r="V463" s="682">
        <f t="shared" si="252"/>
        <v>-1.0395888637275179</v>
      </c>
      <c r="W463" s="683">
        <f t="shared" si="240"/>
        <v>-22.779165550765757</v>
      </c>
      <c r="X463" s="684">
        <f t="shared" si="241"/>
        <v>-207.93825790097986</v>
      </c>
      <c r="Y463" s="687">
        <f t="shared" si="242"/>
        <v>-27.938257900979863</v>
      </c>
      <c r="AA463" s="170">
        <f t="shared" si="243"/>
        <v>51883.5</v>
      </c>
      <c r="AB463" s="170">
        <f t="shared" si="244"/>
        <v>2691897572.25</v>
      </c>
      <c r="AD463" s="686">
        <f t="shared" si="245"/>
        <v>24.486566153080872</v>
      </c>
      <c r="AE463" s="687">
        <f t="shared" si="246"/>
        <v>-41.447536538803135</v>
      </c>
      <c r="AG463" s="686">
        <f t="shared" si="247"/>
        <v>4.1707334491972166</v>
      </c>
      <c r="AH463" s="687">
        <f t="shared" si="248"/>
        <v>-47.362612585277738</v>
      </c>
      <c r="AJ463" s="170">
        <f t="shared" si="249"/>
        <v>0</v>
      </c>
      <c r="AK463" s="170">
        <f t="shared" si="229"/>
        <v>0</v>
      </c>
      <c r="AM463" s="170" t="str">
        <f t="shared" si="253"/>
        <v>1.1928912927228+0.981220132891559i</v>
      </c>
      <c r="AN463" s="170" t="str">
        <f t="shared" si="254"/>
        <v>1.76490425469292i</v>
      </c>
      <c r="AO463" s="170" t="str">
        <f t="shared" si="255"/>
        <v>0.555962245703965-0.675895754430233i</v>
      </c>
      <c r="AP463" s="170" t="str">
        <f t="shared" si="256"/>
        <v>-0.0321485487871328-0.16353668881526i</v>
      </c>
      <c r="AQ463" s="170" t="str">
        <f t="shared" si="257"/>
        <v>1.03214854878713+0.16353668881526i</v>
      </c>
      <c r="AR463" s="170" t="str">
        <f t="shared" si="258"/>
        <v>0.787290103036684-0.124740587717667i</v>
      </c>
    </row>
    <row r="464" spans="7:44">
      <c r="G464" s="688">
        <v>52182.25</v>
      </c>
      <c r="H464" s="676">
        <f t="shared" si="250"/>
        <v>52.182250000000003</v>
      </c>
      <c r="I464" s="677">
        <f t="shared" si="230"/>
        <v>268.70072214489875</v>
      </c>
      <c r="J464" s="678">
        <f t="shared" si="231"/>
        <v>1.5670747055784295</v>
      </c>
      <c r="K464" s="678">
        <f t="shared" si="232"/>
        <v>1.0004748188547108</v>
      </c>
      <c r="L464" s="679">
        <f t="shared" si="233"/>
        <v>3.0810097479539226E-2</v>
      </c>
      <c r="M464" s="678">
        <f t="shared" si="234"/>
        <v>1.0576037872072206</v>
      </c>
      <c r="N464" s="679">
        <f t="shared" si="235"/>
        <v>-0.33156616339251421</v>
      </c>
      <c r="O464" s="677">
        <f t="shared" si="236"/>
        <v>983612.23836328345</v>
      </c>
      <c r="P464" s="680">
        <f t="shared" si="237"/>
        <v>1.5707953101341019</v>
      </c>
      <c r="Q464" s="689">
        <f t="shared" si="227"/>
        <v>121.31629759254535</v>
      </c>
      <c r="R464" s="690">
        <f t="shared" si="228"/>
        <v>1.5625533178631443</v>
      </c>
      <c r="S464" s="677">
        <f t="shared" si="238"/>
        <v>1.3277465225529408</v>
      </c>
      <c r="T464" s="680">
        <f t="shared" si="239"/>
        <v>0.71795012588985807</v>
      </c>
      <c r="U464" s="681">
        <f t="shared" si="251"/>
        <v>0.69545030567839305</v>
      </c>
      <c r="V464" s="682">
        <f t="shared" si="252"/>
        <v>-1.044105585041345</v>
      </c>
      <c r="W464" s="683">
        <f t="shared" si="240"/>
        <v>-22.872185445190844</v>
      </c>
      <c r="X464" s="684">
        <f t="shared" si="241"/>
        <v>-208.44940716449716</v>
      </c>
      <c r="Y464" s="687">
        <f t="shared" si="242"/>
        <v>-28.44940716449716</v>
      </c>
      <c r="AA464" s="170">
        <f t="shared" si="243"/>
        <v>52182.25</v>
      </c>
      <c r="AB464" s="170">
        <f t="shared" si="244"/>
        <v>2722987215.0625</v>
      </c>
      <c r="AD464" s="686">
        <f t="shared" si="245"/>
        <v>24.465051130281964</v>
      </c>
      <c r="AE464" s="687">
        <f t="shared" si="246"/>
        <v>-41.607743533824099</v>
      </c>
      <c r="AG464" s="686">
        <f t="shared" si="247"/>
        <v>4.1531075073610166</v>
      </c>
      <c r="AH464" s="687">
        <f t="shared" si="248"/>
        <v>-47.1959767161445</v>
      </c>
      <c r="AJ464" s="170">
        <f t="shared" si="249"/>
        <v>0</v>
      </c>
      <c r="AK464" s="170">
        <f t="shared" si="229"/>
        <v>0</v>
      </c>
      <c r="AM464" s="170" t="str">
        <f t="shared" si="253"/>
        <v>1.20285279279723+0.979209244469417i</v>
      </c>
      <c r="AN464" s="170" t="str">
        <f t="shared" si="254"/>
        <v>1.77506673690961i</v>
      </c>
      <c r="AO464" s="170" t="str">
        <f t="shared" si="255"/>
        <v>0.551646439037115-0.67763806722636i</v>
      </c>
      <c r="AP464" s="170" t="str">
        <f t="shared" si="256"/>
        <v>-0.0338087987995377-0.163201540744903i</v>
      </c>
      <c r="AQ464" s="170" t="str">
        <f t="shared" si="257"/>
        <v>1.03380879879954+0.163201540744903i</v>
      </c>
      <c r="AR464" s="170" t="str">
        <f t="shared" si="258"/>
        <v>0.786166117511445-0.124107593017483i</v>
      </c>
    </row>
    <row r="465" spans="7:44">
      <c r="G465" s="688">
        <v>52481</v>
      </c>
      <c r="H465" s="676">
        <f t="shared" si="250"/>
        <v>52.481000000000002</v>
      </c>
      <c r="I465" s="677">
        <f t="shared" si="230"/>
        <v>270.2390466148774</v>
      </c>
      <c r="J465" s="678">
        <f t="shared" si="231"/>
        <v>1.5670958908485209</v>
      </c>
      <c r="K465" s="678">
        <f t="shared" si="232"/>
        <v>1.0004802699055457</v>
      </c>
      <c r="L465" s="679">
        <f t="shared" si="233"/>
        <v>3.0986376629206884E-2</v>
      </c>
      <c r="M465" s="678">
        <f t="shared" si="234"/>
        <v>1.0582470438349927</v>
      </c>
      <c r="N465" s="679">
        <f t="shared" si="235"/>
        <v>-0.33332725387508366</v>
      </c>
      <c r="O465" s="677">
        <f t="shared" si="236"/>
        <v>989243.54318840557</v>
      </c>
      <c r="P465" s="680">
        <f t="shared" si="237"/>
        <v>1.5707953159214805</v>
      </c>
      <c r="Q465" s="689">
        <f t="shared" si="227"/>
        <v>122.01080172648757</v>
      </c>
      <c r="R465" s="690">
        <f t="shared" si="228"/>
        <v>1.5626002393836829</v>
      </c>
      <c r="S465" s="677">
        <f t="shared" si="238"/>
        <v>1.3310414556484793</v>
      </c>
      <c r="T465" s="680">
        <f t="shared" si="239"/>
        <v>0.72077966582161823</v>
      </c>
      <c r="U465" s="681">
        <f t="shared" si="251"/>
        <v>0.69329504359130167</v>
      </c>
      <c r="V465" s="682">
        <f t="shared" si="252"/>
        <v>-1.0486086496093301</v>
      </c>
      <c r="W465" s="683">
        <f t="shared" si="240"/>
        <v>-22.964933790539007</v>
      </c>
      <c r="X465" s="684">
        <f t="shared" si="241"/>
        <v>-208.95886320951436</v>
      </c>
      <c r="Y465" s="687">
        <f t="shared" si="242"/>
        <v>-28.958863209514362</v>
      </c>
      <c r="AA465" s="170">
        <f t="shared" si="243"/>
        <v>52481</v>
      </c>
      <c r="AB465" s="170">
        <f t="shared" si="244"/>
        <v>2754255361</v>
      </c>
      <c r="AD465" s="686">
        <f t="shared" si="245"/>
        <v>24.44351959517579</v>
      </c>
      <c r="AE465" s="687">
        <f t="shared" si="246"/>
        <v>-41.767176156557028</v>
      </c>
      <c r="AG465" s="686">
        <f t="shared" si="247"/>
        <v>4.1358109746387912</v>
      </c>
      <c r="AH465" s="687">
        <f t="shared" si="248"/>
        <v>-47.029986948598236</v>
      </c>
      <c r="AJ465" s="170">
        <f t="shared" si="249"/>
        <v>0</v>
      </c>
      <c r="AK465" s="170">
        <f t="shared" si="229"/>
        <v>0</v>
      </c>
      <c r="AM465" s="170" t="str">
        <f t="shared" si="253"/>
        <v>1.21279334321784+0.977097228059816i</v>
      </c>
      <c r="AN465" s="170" t="str">
        <f t="shared" si="254"/>
        <v>1.7852292191263i</v>
      </c>
      <c r="AO465" s="170" t="str">
        <f t="shared" si="255"/>
        <v>0.547323121082464-0.679348808670848i</v>
      </c>
      <c r="AP465" s="170" t="str">
        <f t="shared" si="256"/>
        <v>-0.0354655572029728-0.162849538009969i</v>
      </c>
      <c r="AQ465" s="170" t="str">
        <f t="shared" si="257"/>
        <v>1.03546555720297+0.162849538009969i</v>
      </c>
      <c r="AR465" s="170" t="str">
        <f t="shared" si="258"/>
        <v>0.785051268162346-0.123466430578065i</v>
      </c>
    </row>
    <row r="466" spans="7:44">
      <c r="G466" s="688">
        <v>52786.5</v>
      </c>
      <c r="H466" s="676">
        <f t="shared" si="250"/>
        <v>52.786499999999997</v>
      </c>
      <c r="I466" s="677">
        <f t="shared" si="230"/>
        <v>271.81212833076518</v>
      </c>
      <c r="J466" s="678">
        <f t="shared" si="231"/>
        <v>1.5671173067967479</v>
      </c>
      <c r="K466" s="678">
        <f t="shared" si="232"/>
        <v>1.0004858762686946</v>
      </c>
      <c r="L466" s="679">
        <f t="shared" si="233"/>
        <v>3.1166636662838292E-2</v>
      </c>
      <c r="M466" s="678">
        <f t="shared" si="234"/>
        <v>1.0589082242790258</v>
      </c>
      <c r="N466" s="679">
        <f t="shared" si="235"/>
        <v>-0.33512591627594124</v>
      </c>
      <c r="O466" s="677">
        <f t="shared" si="236"/>
        <v>995002.08251585264</v>
      </c>
      <c r="P466" s="680">
        <f t="shared" si="237"/>
        <v>1.5707953217718744</v>
      </c>
      <c r="Q466" s="689">
        <f t="shared" si="227"/>
        <v>122.72099786024714</v>
      </c>
      <c r="R466" s="690">
        <f t="shared" si="228"/>
        <v>1.5626476718435456</v>
      </c>
      <c r="S466" s="677">
        <f t="shared" si="238"/>
        <v>1.3344218004408643</v>
      </c>
      <c r="T466" s="680">
        <f t="shared" si="239"/>
        <v>0.72365866269059775</v>
      </c>
      <c r="U466" s="681">
        <f t="shared" si="251"/>
        <v>0.69109634798665276</v>
      </c>
      <c r="V466" s="682">
        <f t="shared" si="252"/>
        <v>-1.053199450186445</v>
      </c>
      <c r="W466" s="683">
        <f t="shared" si="240"/>
        <v>-23.059498837098197</v>
      </c>
      <c r="X466" s="684">
        <f t="shared" si="241"/>
        <v>-209.47808840167104</v>
      </c>
      <c r="Y466" s="687">
        <f t="shared" si="242"/>
        <v>-29.478088401671044</v>
      </c>
      <c r="AA466" s="170">
        <f t="shared" si="243"/>
        <v>52786.5</v>
      </c>
      <c r="AB466" s="170">
        <f t="shared" si="244"/>
        <v>2786414582.25</v>
      </c>
      <c r="AD466" s="686">
        <f t="shared" si="245"/>
        <v>24.421485297885148</v>
      </c>
      <c r="AE466" s="687">
        <f t="shared" si="246"/>
        <v>-41.929413182007153</v>
      </c>
      <c r="AG466" s="686">
        <f t="shared" si="247"/>
        <v>4.118460121873829</v>
      </c>
      <c r="AH466" s="687">
        <f t="shared" si="248"/>
        <v>-46.860908119393848</v>
      </c>
      <c r="AJ466" s="170">
        <f t="shared" si="249"/>
        <v>0</v>
      </c>
      <c r="AK466" s="170">
        <f t="shared" si="229"/>
        <v>0</v>
      </c>
      <c r="AM466" s="170" t="str">
        <f t="shared" si="253"/>
        <v>1.22293575718879+0.974833138627663i</v>
      </c>
      <c r="AN466" s="170" t="str">
        <f t="shared" si="254"/>
        <v>1.7956213139119i</v>
      </c>
      <c r="AO466" s="170" t="str">
        <f t="shared" si="255"/>
        <v>0.542894613176491-0.681065516272209i</v>
      </c>
      <c r="AP466" s="170" t="str">
        <f t="shared" si="256"/>
        <v>-0.0371559595314652-0.162472189771277i</v>
      </c>
      <c r="AQ466" s="170" t="str">
        <f t="shared" si="257"/>
        <v>1.03715595953147+0.162472189771277i</v>
      </c>
      <c r="AR466" s="170" t="str">
        <f t="shared" si="258"/>
        <v>0.783920688820829-0.122802467410267i</v>
      </c>
    </row>
    <row r="467" spans="7:44">
      <c r="G467" s="688">
        <v>53092</v>
      </c>
      <c r="H467" s="676">
        <f t="shared" si="250"/>
        <v>53.091999999999999</v>
      </c>
      <c r="I467" s="677">
        <f t="shared" si="230"/>
        <v>273.38521016988301</v>
      </c>
      <c r="J467" s="678">
        <f t="shared" si="231"/>
        <v>1.5671384762865956</v>
      </c>
      <c r="K467" s="678">
        <f t="shared" si="232"/>
        <v>1.0004915151409461</v>
      </c>
      <c r="L467" s="679">
        <f t="shared" si="233"/>
        <v>3.1346894670399007E-2</v>
      </c>
      <c r="M467" s="678">
        <f t="shared" si="234"/>
        <v>1.0595728262067181</v>
      </c>
      <c r="N467" s="679">
        <f t="shared" si="235"/>
        <v>-0.33692232811184336</v>
      </c>
      <c r="O467" s="677">
        <f t="shared" si="236"/>
        <v>1000760.6218432997</v>
      </c>
      <c r="P467" s="680">
        <f t="shared" si="237"/>
        <v>1.5707953275549404</v>
      </c>
      <c r="Q467" s="689">
        <f t="shared" si="227"/>
        <v>123.43119426693184</v>
      </c>
      <c r="R467" s="690">
        <f t="shared" si="228"/>
        <v>1.5626945584712737</v>
      </c>
      <c r="S467" s="677">
        <f t="shared" si="238"/>
        <v>1.3378131498043626</v>
      </c>
      <c r="T467" s="680">
        <f t="shared" si="239"/>
        <v>0.72652308671752419</v>
      </c>
      <c r="U467" s="681">
        <f t="shared" si="251"/>
        <v>0.68890302390293934</v>
      </c>
      <c r="V467" s="682">
        <f t="shared" si="252"/>
        <v>-1.0577762059298148</v>
      </c>
      <c r="W467" s="683">
        <f t="shared" si="240"/>
        <v>-23.15378385857986</v>
      </c>
      <c r="X467" s="684">
        <f t="shared" si="241"/>
        <v>-209.99556223898986</v>
      </c>
      <c r="Y467" s="687">
        <f t="shared" si="242"/>
        <v>-29.995562238989862</v>
      </c>
      <c r="AA467" s="170">
        <f t="shared" si="243"/>
        <v>53092</v>
      </c>
      <c r="AB467" s="170">
        <f t="shared" si="244"/>
        <v>2818760464</v>
      </c>
      <c r="AD467" s="686">
        <f t="shared" si="245"/>
        <v>24.39943534795102</v>
      </c>
      <c r="AE467" s="687">
        <f t="shared" si="246"/>
        <v>-42.090846515131211</v>
      </c>
      <c r="AG467" s="686">
        <f t="shared" si="247"/>
        <v>4.1014453275559406</v>
      </c>
      <c r="AH467" s="687">
        <f t="shared" si="248"/>
        <v>-46.692491047074647</v>
      </c>
      <c r="AJ467" s="170">
        <f t="shared" si="249"/>
        <v>0</v>
      </c>
      <c r="AK467" s="170">
        <f t="shared" si="229"/>
        <v>0</v>
      </c>
      <c r="AM467" s="170" t="str">
        <f t="shared" si="253"/>
        <v>1.23305409528797+0.972463772420086i</v>
      </c>
      <c r="AN467" s="170" t="str">
        <f t="shared" si="254"/>
        <v>1.8060134086975i</v>
      </c>
      <c r="AO467" s="170" t="str">
        <f t="shared" si="255"/>
        <v>0.538458777624153-0.682749136495753i</v>
      </c>
      <c r="AP467" s="170" t="str">
        <f t="shared" si="256"/>
        <v>-0.0388423492146622-0.162077295403348i</v>
      </c>
      <c r="AQ467" s="170" t="str">
        <f t="shared" si="257"/>
        <v>1.03884234921466+0.162077295403348i</v>
      </c>
      <c r="AR467" s="170" t="str">
        <f t="shared" si="258"/>
        <v>0.782799683861631-0.12213023053864i</v>
      </c>
    </row>
    <row r="468" spans="7:44">
      <c r="G468" s="688">
        <v>53397.5</v>
      </c>
      <c r="H468" s="676">
        <f t="shared" si="250"/>
        <v>53.397500000000001</v>
      </c>
      <c r="I468" s="677">
        <f t="shared" si="230"/>
        <v>274.95829213011581</v>
      </c>
      <c r="J468" s="678">
        <f t="shared" si="231"/>
        <v>1.5671594035481327</v>
      </c>
      <c r="K468" s="678">
        <f t="shared" si="232"/>
        <v>1.0004971865217507</v>
      </c>
      <c r="L468" s="679">
        <f t="shared" si="233"/>
        <v>3.152715064020916E-2</v>
      </c>
      <c r="M468" s="678">
        <f t="shared" si="234"/>
        <v>1.0602408431838957</v>
      </c>
      <c r="N468" s="679">
        <f t="shared" si="235"/>
        <v>-0.33871648203157556</v>
      </c>
      <c r="O468" s="677">
        <f t="shared" si="236"/>
        <v>1006519.1611707468</v>
      </c>
      <c r="P468" s="680">
        <f t="shared" si="237"/>
        <v>1.5707953332718336</v>
      </c>
      <c r="Q468" s="689">
        <f t="shared" si="227"/>
        <v>124.14139094185757</v>
      </c>
      <c r="R468" s="690">
        <f t="shared" si="228"/>
        <v>1.5627409086345625</v>
      </c>
      <c r="S468" s="677">
        <f t="shared" si="238"/>
        <v>1.3412154202616808</v>
      </c>
      <c r="T468" s="680">
        <f t="shared" si="239"/>
        <v>0.72937300162058505</v>
      </c>
      <c r="U468" s="681">
        <f t="shared" si="251"/>
        <v>0.68671511965416709</v>
      </c>
      <c r="V468" s="682">
        <f t="shared" si="252"/>
        <v>-1.0623390363376664</v>
      </c>
      <c r="W468" s="683">
        <f t="shared" si="240"/>
        <v>-23.247790796655273</v>
      </c>
      <c r="X468" s="684">
        <f t="shared" si="241"/>
        <v>-210.51129450417574</v>
      </c>
      <c r="Y468" s="687">
        <f t="shared" si="242"/>
        <v>-30.511294504175737</v>
      </c>
      <c r="AA468" s="170">
        <f t="shared" si="243"/>
        <v>53397.5</v>
      </c>
      <c r="AB468" s="170">
        <f t="shared" si="244"/>
        <v>2851293006.25</v>
      </c>
      <c r="AD468" s="686">
        <f t="shared" si="245"/>
        <v>24.377370545333363</v>
      </c>
      <c r="AE468" s="687">
        <f t="shared" si="246"/>
        <v>-42.251479270049266</v>
      </c>
      <c r="AG468" s="686">
        <f t="shared" si="247"/>
        <v>4.0847624541453902</v>
      </c>
      <c r="AH468" s="687">
        <f t="shared" si="248"/>
        <v>-46.524728706737285</v>
      </c>
      <c r="AJ468" s="170">
        <f t="shared" si="249"/>
        <v>0</v>
      </c>
      <c r="AK468" s="170">
        <f t="shared" si="229"/>
        <v>0</v>
      </c>
      <c r="AM468" s="170" t="str">
        <f t="shared" si="253"/>
        <v>1.24314726478888+0.969989385315987i</v>
      </c>
      <c r="AN468" s="170" t="str">
        <f t="shared" si="254"/>
        <v>1.8164055034831i</v>
      </c>
      <c r="AO468" s="170" t="str">
        <f t="shared" si="255"/>
        <v>0.534015881066181-0.684399635656822i</v>
      </c>
      <c r="AP468" s="170" t="str">
        <f t="shared" si="256"/>
        <v>-0.0405245441314802-0.161664897552664i</v>
      </c>
      <c r="AQ468" s="170" t="str">
        <f t="shared" si="257"/>
        <v>1.04052454413148+0.161664897552664i</v>
      </c>
      <c r="AR468" s="170" t="str">
        <f t="shared" si="258"/>
        <v>0.781688261537558-0.121449852800033i</v>
      </c>
    </row>
    <row r="469" spans="7:44">
      <c r="G469" s="688">
        <v>53703</v>
      </c>
      <c r="H469" s="676">
        <f t="shared" si="250"/>
        <v>53.703000000000003</v>
      </c>
      <c r="I469" s="677">
        <f t="shared" si="230"/>
        <v>276.53137420939657</v>
      </c>
      <c r="J469" s="678">
        <f t="shared" si="231"/>
        <v>1.5671800927151756</v>
      </c>
      <c r="K469" s="678">
        <f t="shared" si="232"/>
        <v>1.0005028904105555</v>
      </c>
      <c r="L469" s="679">
        <f t="shared" si="233"/>
        <v>3.170740456058968E-2</v>
      </c>
      <c r="M469" s="678">
        <f t="shared" si="234"/>
        <v>1.0609122687595698</v>
      </c>
      <c r="N469" s="679">
        <f t="shared" si="235"/>
        <v>-0.34050837076053664</v>
      </c>
      <c r="O469" s="677">
        <f t="shared" si="236"/>
        <v>1012277.7004981941</v>
      </c>
      <c r="P469" s="680">
        <f t="shared" si="237"/>
        <v>1.5707953389236835</v>
      </c>
      <c r="Q469" s="689">
        <f t="shared" si="227"/>
        <v>124.8515878804468</v>
      </c>
      <c r="R469" s="690">
        <f t="shared" si="228"/>
        <v>1.5627867314879702</v>
      </c>
      <c r="S469" s="677">
        <f t="shared" si="238"/>
        <v>1.3446285289129416</v>
      </c>
      <c r="T469" s="680">
        <f t="shared" si="239"/>
        <v>0.73220847141686707</v>
      </c>
      <c r="U469" s="681">
        <f t="shared" si="251"/>
        <v>0.68453268157308056</v>
      </c>
      <c r="V469" s="682">
        <f t="shared" si="252"/>
        <v>-1.0668880610022449</v>
      </c>
      <c r="W469" s="683">
        <f t="shared" si="240"/>
        <v>-23.341521562835265</v>
      </c>
      <c r="X469" s="684">
        <f t="shared" si="241"/>
        <v>-211.02529501353095</v>
      </c>
      <c r="Y469" s="687">
        <f t="shared" si="242"/>
        <v>-31.02529501353095</v>
      </c>
      <c r="AA469" s="170">
        <f t="shared" si="243"/>
        <v>53703</v>
      </c>
      <c r="AB469" s="170">
        <f t="shared" si="244"/>
        <v>2884012209</v>
      </c>
      <c r="AD469" s="686">
        <f t="shared" si="245"/>
        <v>24.355291679212286</v>
      </c>
      <c r="AE469" s="687">
        <f t="shared" si="246"/>
        <v>-42.411314590217309</v>
      </c>
      <c r="AG469" s="686">
        <f t="shared" si="247"/>
        <v>4.0684074371252361</v>
      </c>
      <c r="AH469" s="687">
        <f t="shared" si="248"/>
        <v>-46.357614066966306</v>
      </c>
      <c r="AJ469" s="170">
        <f t="shared" si="249"/>
        <v>0</v>
      </c>
      <c r="AK469" s="170">
        <f t="shared" si="229"/>
        <v>0</v>
      </c>
      <c r="AM469" s="170" t="str">
        <f t="shared" si="253"/>
        <v>1.25321417568308+0.967410244535966i</v>
      </c>
      <c r="AN469" s="170" t="str">
        <f t="shared" si="254"/>
        <v>1.8267975982687i</v>
      </c>
      <c r="AO469" s="170" t="str">
        <f t="shared" si="255"/>
        <v>0.529566190284465-0.686016982325125i</v>
      </c>
      <c r="AP469" s="170" t="str">
        <f t="shared" si="256"/>
        <v>-0.0422023626138472-0.161235040755994i</v>
      </c>
      <c r="AQ469" s="170" t="str">
        <f t="shared" si="257"/>
        <v>1.04220236261385+0.161235040755994i</v>
      </c>
      <c r="AR469" s="170" t="str">
        <f t="shared" si="258"/>
        <v>0.78058642867632-0.120761465485023i</v>
      </c>
    </row>
    <row r="470" spans="7:44">
      <c r="G470" s="688">
        <v>54015.75</v>
      </c>
      <c r="H470" s="676">
        <f t="shared" si="250"/>
        <v>54.015749999999997</v>
      </c>
      <c r="I470" s="677">
        <f t="shared" si="230"/>
        <v>278.14178814499354</v>
      </c>
      <c r="J470" s="678">
        <f t="shared" si="231"/>
        <v>1.5672010304497057</v>
      </c>
      <c r="K470" s="678">
        <f t="shared" si="232"/>
        <v>1.0005087633354703</v>
      </c>
      <c r="L470" s="679">
        <f t="shared" si="233"/>
        <v>3.1891934057510937E-2</v>
      </c>
      <c r="M470" s="678">
        <f t="shared" si="234"/>
        <v>1.0616031524729117</v>
      </c>
      <c r="N470" s="679">
        <f t="shared" si="235"/>
        <v>-0.34234042987544683</v>
      </c>
      <c r="O470" s="677">
        <f t="shared" si="236"/>
        <v>1018172.8991059161</v>
      </c>
      <c r="P470" s="680">
        <f t="shared" si="237"/>
        <v>1.570795344643436</v>
      </c>
      <c r="Q470" s="689">
        <f t="shared" si="227"/>
        <v>125.57863918832291</v>
      </c>
      <c r="R470" s="690">
        <f t="shared" si="228"/>
        <v>1.5628331049017554</v>
      </c>
      <c r="S470" s="677">
        <f t="shared" si="238"/>
        <v>1.348133777160512</v>
      </c>
      <c r="T470" s="680">
        <f t="shared" si="239"/>
        <v>0.73509633516490713</v>
      </c>
      <c r="U470" s="681">
        <f t="shared" si="251"/>
        <v>0.68230415939238021</v>
      </c>
      <c r="V470" s="682">
        <f t="shared" si="252"/>
        <v>-1.0715308651081461</v>
      </c>
      <c r="W470" s="683">
        <f t="shared" si="240"/>
        <v>-23.437192593436976</v>
      </c>
      <c r="X470" s="684">
        <f t="shared" si="241"/>
        <v>-211.54970996345673</v>
      </c>
      <c r="Y470" s="687">
        <f t="shared" si="242"/>
        <v>-31.549709963456735</v>
      </c>
      <c r="AA470" s="170">
        <f t="shared" si="243"/>
        <v>54015.75</v>
      </c>
      <c r="AB470" s="170">
        <f t="shared" si="244"/>
        <v>2917701248.0625</v>
      </c>
      <c r="AD470" s="686">
        <f t="shared" si="245"/>
        <v>24.332675091183106</v>
      </c>
      <c r="AE470" s="687">
        <f t="shared" si="246"/>
        <v>-42.574120321801018</v>
      </c>
      <c r="AG470" s="686">
        <f t="shared" si="247"/>
        <v>4.0519997406434349</v>
      </c>
      <c r="AH470" s="687">
        <f t="shared" si="248"/>
        <v>-46.187197123952139</v>
      </c>
      <c r="AJ470" s="170">
        <f t="shared" si="249"/>
        <v>0</v>
      </c>
      <c r="AK470" s="170">
        <f t="shared" si="229"/>
        <v>0</v>
      </c>
      <c r="AM470" s="170" t="str">
        <f t="shared" si="253"/>
        <v>1.26349165454623+0.964661675399459i</v>
      </c>
      <c r="AN470" s="170" t="str">
        <f t="shared" si="254"/>
        <v>1.83743631396165i</v>
      </c>
      <c r="AO470" s="170" t="str">
        <f t="shared" si="255"/>
        <v>0.525004141950137-0.687638338779779i</v>
      </c>
      <c r="AP470" s="170" t="str">
        <f t="shared" si="256"/>
        <v>-0.0439152757577048-0.16077694589991i</v>
      </c>
      <c r="AQ470" s="170" t="str">
        <f t="shared" si="257"/>
        <v>1.0439152757577+0.16077694589991i</v>
      </c>
      <c r="AR470" s="170" t="str">
        <f t="shared" si="258"/>
        <v>0.779468386774335-0.120048580149521i</v>
      </c>
    </row>
    <row r="471" spans="7:44">
      <c r="G471" s="688">
        <v>54328.5</v>
      </c>
      <c r="H471" s="676">
        <f t="shared" si="250"/>
        <v>54.328499999999998</v>
      </c>
      <c r="I471" s="677">
        <f t="shared" si="230"/>
        <v>279.75220220112084</v>
      </c>
      <c r="J471" s="678">
        <f t="shared" si="231"/>
        <v>1.5672217271250382</v>
      </c>
      <c r="K471" s="678">
        <f t="shared" si="232"/>
        <v>1.0005146703284438</v>
      </c>
      <c r="L471" s="679">
        <f t="shared" si="233"/>
        <v>3.2076461381808037E-2</v>
      </c>
      <c r="M471" s="678">
        <f t="shared" si="234"/>
        <v>1.0622975947524163</v>
      </c>
      <c r="N471" s="679">
        <f t="shared" si="235"/>
        <v>-0.34417009982750951</v>
      </c>
      <c r="O471" s="677">
        <f t="shared" si="236"/>
        <v>1024068.0977136383</v>
      </c>
      <c r="P471" s="680">
        <f t="shared" si="237"/>
        <v>1.5707953502973353</v>
      </c>
      <c r="Q471" s="689">
        <f t="shared" ref="Q471:Q534" si="259">SQRT(1+(G471/Zero2)^2)</f>
        <v>126.30569076314606</v>
      </c>
      <c r="R471" s="690">
        <f t="shared" ref="R471:R534" si="260">ATAN(G471/Zero2)</f>
        <v>1.5628789444384497</v>
      </c>
      <c r="S471" s="677">
        <f t="shared" si="238"/>
        <v>1.3516502101479582</v>
      </c>
      <c r="T471" s="680">
        <f t="shared" si="239"/>
        <v>0.73796919672194505</v>
      </c>
      <c r="U471" s="681">
        <f t="shared" si="251"/>
        <v>0.68008145796412367</v>
      </c>
      <c r="V471" s="682">
        <f t="shared" si="252"/>
        <v>-1.0761594543042334</v>
      </c>
      <c r="W471" s="683">
        <f t="shared" si="240"/>
        <v>-23.532578150465071</v>
      </c>
      <c r="X471" s="684">
        <f t="shared" si="241"/>
        <v>-212.07233090580493</v>
      </c>
      <c r="Y471" s="687">
        <f t="shared" si="242"/>
        <v>-32.072330905804932</v>
      </c>
      <c r="AA471" s="170">
        <f t="shared" si="243"/>
        <v>54328.5</v>
      </c>
      <c r="AB471" s="170">
        <f t="shared" si="244"/>
        <v>2951585912.25</v>
      </c>
      <c r="AD471" s="686">
        <f t="shared" si="245"/>
        <v>24.310045403755275</v>
      </c>
      <c r="AE471" s="687">
        <f t="shared" si="246"/>
        <v>-42.736097076286946</v>
      </c>
      <c r="AG471" s="686">
        <f t="shared" si="247"/>
        <v>4.0359272540367925</v>
      </c>
      <c r="AH471" s="687">
        <f t="shared" si="248"/>
        <v>-46.017444059137041</v>
      </c>
      <c r="AJ471" s="170">
        <f t="shared" si="249"/>
        <v>0</v>
      </c>
      <c r="AK471" s="170">
        <f t="shared" ref="AK471:AK534" si="261">IF(AJ471&gt;0,Y471,0)</f>
        <v>0</v>
      </c>
      <c r="AM471" s="170" t="str">
        <f t="shared" si="253"/>
        <v>1.27373931110665+0.961803924693i</v>
      </c>
      <c r="AN471" s="170" t="str">
        <f t="shared" si="254"/>
        <v>1.8480750296546i</v>
      </c>
      <c r="AO471" s="170" t="str">
        <f t="shared" si="255"/>
        <v>0.520435539282601-0.689224891126151i</v>
      </c>
      <c r="AP471" s="170" t="str">
        <f t="shared" si="256"/>
        <v>-0.0456232185177747-0.1603006541155i</v>
      </c>
      <c r="AQ471" s="170" t="str">
        <f t="shared" si="257"/>
        <v>1.04562321851777+0.1603006541155i</v>
      </c>
      <c r="AR471" s="170" t="str">
        <f t="shared" si="258"/>
        <v>0.778360404980699-0.119327574069063i</v>
      </c>
    </row>
    <row r="472" spans="7:44">
      <c r="G472" s="688">
        <v>54641.25</v>
      </c>
      <c r="H472" s="676">
        <f t="shared" si="250"/>
        <v>54.641249999999999</v>
      </c>
      <c r="I472" s="677">
        <f t="shared" si="230"/>
        <v>281.36261637570891</v>
      </c>
      <c r="J472" s="678">
        <f t="shared" si="231"/>
        <v>1.5672421868803523</v>
      </c>
      <c r="K472" s="678">
        <f t="shared" si="232"/>
        <v>1.0005206113888723</v>
      </c>
      <c r="L472" s="679">
        <f t="shared" si="233"/>
        <v>3.2260986520953133E-2</v>
      </c>
      <c r="M472" s="678">
        <f t="shared" si="234"/>
        <v>1.0629955886237781</v>
      </c>
      <c r="N472" s="679">
        <f t="shared" si="235"/>
        <v>-0.34599737306085571</v>
      </c>
      <c r="O472" s="677">
        <f t="shared" si="236"/>
        <v>1029963.2963213605</v>
      </c>
      <c r="P472" s="680">
        <f t="shared" si="237"/>
        <v>1.5707953558865122</v>
      </c>
      <c r="Q472" s="689">
        <f t="shared" si="259"/>
        <v>127.03274260033271</v>
      </c>
      <c r="R472" s="690">
        <f t="shared" si="260"/>
        <v>1.5629242592645429</v>
      </c>
      <c r="S472" s="677">
        <f t="shared" si="238"/>
        <v>1.3551777408083538</v>
      </c>
      <c r="T472" s="680">
        <f t="shared" si="239"/>
        <v>0.74082712563435416</v>
      </c>
      <c r="U472" s="681">
        <f t="shared" si="251"/>
        <v>0.67786462078530985</v>
      </c>
      <c r="V472" s="682">
        <f t="shared" si="252"/>
        <v>-1.0807739570943522</v>
      </c>
      <c r="W472" s="683">
        <f t="shared" si="240"/>
        <v>-23.627680193339671</v>
      </c>
      <c r="X472" s="684">
        <f t="shared" si="241"/>
        <v>-212.59316846783668</v>
      </c>
      <c r="Y472" s="687">
        <f t="shared" si="242"/>
        <v>-32.593168467836676</v>
      </c>
      <c r="AA472" s="170">
        <f t="shared" si="243"/>
        <v>54641.25</v>
      </c>
      <c r="AB472" s="170">
        <f t="shared" si="244"/>
        <v>2985666201.5625</v>
      </c>
      <c r="AD472" s="686">
        <f t="shared" si="245"/>
        <v>24.287403429057189</v>
      </c>
      <c r="AE472" s="687">
        <f t="shared" si="246"/>
        <v>-42.897248313252277</v>
      </c>
      <c r="AG472" s="686">
        <f t="shared" si="247"/>
        <v>4.0201858449803627</v>
      </c>
      <c r="AH472" s="687">
        <f t="shared" si="248"/>
        <v>-45.848347314748928</v>
      </c>
      <c r="AJ472" s="170">
        <f t="shared" si="249"/>
        <v>0</v>
      </c>
      <c r="AK472" s="170">
        <f t="shared" si="261"/>
        <v>0</v>
      </c>
      <c r="AM472" s="170" t="str">
        <f t="shared" si="253"/>
        <v>1.28395598552223+0.958837315860255i</v>
      </c>
      <c r="AN472" s="170" t="str">
        <f t="shared" si="254"/>
        <v>1.85871374534755i</v>
      </c>
      <c r="AO472" s="170" t="str">
        <f t="shared" si="255"/>
        <v>0.515860668841704-0.690776612986283i</v>
      </c>
      <c r="AP472" s="170" t="str">
        <f t="shared" si="256"/>
        <v>-0.0473259975870387-0.159806219310042i</v>
      </c>
      <c r="AQ472" s="170" t="str">
        <f t="shared" si="257"/>
        <v>1.04732599758704+0.159806219310042i</v>
      </c>
      <c r="AR472" s="170" t="str">
        <f t="shared" si="258"/>
        <v>0.777262486271757-0.118598583085674i</v>
      </c>
    </row>
    <row r="473" spans="7:44">
      <c r="G473" s="688">
        <v>54954</v>
      </c>
      <c r="H473" s="676">
        <f t="shared" si="250"/>
        <v>54.954000000000001</v>
      </c>
      <c r="I473" s="677">
        <f t="shared" si="230"/>
        <v>282.97303066673527</v>
      </c>
      <c r="J473" s="678">
        <f t="shared" si="231"/>
        <v>1.5672624137606035</v>
      </c>
      <c r="K473" s="678">
        <f t="shared" si="232"/>
        <v>1.000526586516149</v>
      </c>
      <c r="L473" s="679">
        <f t="shared" si="233"/>
        <v>3.2445509462419274E-2</v>
      </c>
      <c r="M473" s="678">
        <f t="shared" si="234"/>
        <v>1.063697127095375</v>
      </c>
      <c r="N473" s="679">
        <f t="shared" si="235"/>
        <v>-0.34782224210341778</v>
      </c>
      <c r="O473" s="677">
        <f t="shared" si="236"/>
        <v>1035858.4949290827</v>
      </c>
      <c r="P473" s="680">
        <f t="shared" si="237"/>
        <v>1.5707953614120718</v>
      </c>
      <c r="Q473" s="689">
        <f t="shared" si="259"/>
        <v>127.75979469540374</v>
      </c>
      <c r="R473" s="690">
        <f t="shared" si="260"/>
        <v>1.5629690583378748</v>
      </c>
      <c r="S473" s="677">
        <f t="shared" si="238"/>
        <v>1.3587162827055954</v>
      </c>
      <c r="T473" s="680">
        <f t="shared" si="239"/>
        <v>0.74367019170315896</v>
      </c>
      <c r="U473" s="681">
        <f t="shared" si="251"/>
        <v>0.67565368933715775</v>
      </c>
      <c r="V473" s="682">
        <f t="shared" si="252"/>
        <v>-1.0853745020115619</v>
      </c>
      <c r="W473" s="683">
        <f t="shared" si="240"/>
        <v>-23.722500652810353</v>
      </c>
      <c r="X473" s="684">
        <f t="shared" si="241"/>
        <v>-213.11223330443352</v>
      </c>
      <c r="Y473" s="687">
        <f t="shared" si="242"/>
        <v>-33.112233304433516</v>
      </c>
      <c r="AA473" s="170">
        <f t="shared" si="243"/>
        <v>54954</v>
      </c>
      <c r="AB473" s="170">
        <f t="shared" si="244"/>
        <v>3019942116</v>
      </c>
      <c r="AD473" s="686">
        <f t="shared" si="245"/>
        <v>24.264749967737576</v>
      </c>
      <c r="AE473" s="687">
        <f t="shared" si="246"/>
        <v>-43.057577518818057</v>
      </c>
      <c r="AG473" s="686">
        <f t="shared" si="247"/>
        <v>4.0047714551759785</v>
      </c>
      <c r="AH473" s="687">
        <f t="shared" si="248"/>
        <v>-45.679899330744611</v>
      </c>
      <c r="AJ473" s="170">
        <f t="shared" si="249"/>
        <v>0</v>
      </c>
      <c r="AK473" s="170">
        <f t="shared" si="261"/>
        <v>0</v>
      </c>
      <c r="AM473" s="170" t="str">
        <f t="shared" si="253"/>
        <v>1.29414052145747+0.955762184665583i</v>
      </c>
      <c r="AN473" s="170" t="str">
        <f t="shared" si="254"/>
        <v>1.8693524610405i</v>
      </c>
      <c r="AO473" s="170" t="str">
        <f t="shared" si="255"/>
        <v>0.511279817254792-0.692293480458543i</v>
      </c>
      <c r="AP473" s="170" t="str">
        <f t="shared" si="256"/>
        <v>-0.0490234202429113-0.159293697444264i</v>
      </c>
      <c r="AQ473" s="170" t="str">
        <f t="shared" si="257"/>
        <v>1.04902342024291+0.159293697444264i</v>
      </c>
      <c r="AR473" s="170" t="str">
        <f t="shared" si="258"/>
        <v>0.776174632253197-0.117861741356951i</v>
      </c>
    </row>
    <row r="474" spans="7:44">
      <c r="G474" s="688">
        <v>55274</v>
      </c>
      <c r="H474" s="676">
        <f t="shared" si="250"/>
        <v>55.274000000000001</v>
      </c>
      <c r="I474" s="677">
        <f t="shared" si="230"/>
        <v>284.62077682237333</v>
      </c>
      <c r="J474" s="678">
        <f t="shared" si="231"/>
        <v>1.567282872617163</v>
      </c>
      <c r="K474" s="678">
        <f t="shared" si="232"/>
        <v>1.0005327354155127</v>
      </c>
      <c r="L474" s="679">
        <f t="shared" si="233"/>
        <v>3.2634307626366557E-2</v>
      </c>
      <c r="M474" s="678">
        <f t="shared" si="234"/>
        <v>1.0644185897450928</v>
      </c>
      <c r="N474" s="679">
        <f t="shared" si="235"/>
        <v>-0.34968691812369629</v>
      </c>
      <c r="O474" s="677">
        <f t="shared" si="236"/>
        <v>1041890.35281708</v>
      </c>
      <c r="P474" s="680">
        <f t="shared" si="237"/>
        <v>1.5707953670010015</v>
      </c>
      <c r="Q474" s="689">
        <f t="shared" si="259"/>
        <v>128.50370117813546</v>
      </c>
      <c r="R474" s="690">
        <f t="shared" si="260"/>
        <v>1.56301437122442</v>
      </c>
      <c r="S474" s="677">
        <f t="shared" si="238"/>
        <v>1.362348160736564</v>
      </c>
      <c r="T474" s="680">
        <f t="shared" si="239"/>
        <v>0.7465638535827458</v>
      </c>
      <c r="U474" s="681">
        <f t="shared" si="251"/>
        <v>0.67339765914742067</v>
      </c>
      <c r="V474" s="682">
        <f t="shared" si="252"/>
        <v>-1.0900673813615036</v>
      </c>
      <c r="W474" s="683">
        <f t="shared" si="240"/>
        <v>-23.819229723001371</v>
      </c>
      <c r="X474" s="684">
        <f t="shared" si="241"/>
        <v>-213.64150711593948</v>
      </c>
      <c r="Y474" s="687">
        <f t="shared" si="242"/>
        <v>-33.641507115939476</v>
      </c>
      <c r="AA474" s="170">
        <f t="shared" si="243"/>
        <v>55274</v>
      </c>
      <c r="AB474" s="170">
        <f t="shared" si="244"/>
        <v>3055215076</v>
      </c>
      <c r="AD474" s="686">
        <f t="shared" si="245"/>
        <v>24.24156030026829</v>
      </c>
      <c r="AE474" s="687">
        <f t="shared" si="246"/>
        <v>-43.220776215108259</v>
      </c>
      <c r="AG474" s="686">
        <f t="shared" si="247"/>
        <v>3.9893340588378989</v>
      </c>
      <c r="AH474" s="687">
        <f t="shared" si="248"/>
        <v>-45.508210084314406</v>
      </c>
      <c r="AJ474" s="170">
        <f t="shared" si="249"/>
        <v>0</v>
      </c>
      <c r="AK474" s="170">
        <f t="shared" si="261"/>
        <v>0</v>
      </c>
      <c r="AM474" s="170" t="str">
        <f t="shared" si="253"/>
        <v>1.30452668282564+0.952503805476499i</v>
      </c>
      <c r="AN474" s="170" t="str">
        <f t="shared" si="254"/>
        <v>1.8802377976408i</v>
      </c>
      <c r="AO474" s="170" t="str">
        <f t="shared" si="255"/>
        <v>0.506586883144057-0.69380941307662i</v>
      </c>
      <c r="AP474" s="170" t="str">
        <f t="shared" si="256"/>
        <v>-0.0507544471376063-0.158750634246083i</v>
      </c>
      <c r="AQ474" s="170" t="str">
        <f t="shared" si="257"/>
        <v>1.05075444713761+0.158750634246083i</v>
      </c>
      <c r="AR474" s="170" t="str">
        <f t="shared" si="258"/>
        <v>0.775071977848112-0.117099830892878i</v>
      </c>
    </row>
    <row r="475" spans="7:44">
      <c r="G475" s="688">
        <v>55594</v>
      </c>
      <c r="H475" s="676">
        <f t="shared" si="250"/>
        <v>55.594000000000001</v>
      </c>
      <c r="I475" s="677">
        <f t="shared" si="230"/>
        <v>286.26852309577225</v>
      </c>
      <c r="J475" s="678">
        <f t="shared" si="231"/>
        <v>1.5673030959535676</v>
      </c>
      <c r="K475" s="678">
        <f t="shared" si="232"/>
        <v>1.0005389199781731</v>
      </c>
      <c r="L475" s="679">
        <f t="shared" si="233"/>
        <v>3.2823103463033042E-2</v>
      </c>
      <c r="M475" s="678">
        <f t="shared" si="234"/>
        <v>1.0651437483748205</v>
      </c>
      <c r="N475" s="679">
        <f t="shared" si="235"/>
        <v>-0.35154906163779021</v>
      </c>
      <c r="O475" s="677">
        <f t="shared" si="236"/>
        <v>1047922.2107050772</v>
      </c>
      <c r="P475" s="680">
        <f t="shared" si="237"/>
        <v>1.5707953725255914</v>
      </c>
      <c r="Q475" s="689">
        <f t="shared" si="259"/>
        <v>129.24760792168109</v>
      </c>
      <c r="R475" s="690">
        <f t="shared" si="260"/>
        <v>1.5630591624988976</v>
      </c>
      <c r="S475" s="677">
        <f t="shared" si="238"/>
        <v>1.3659913853740904</v>
      </c>
      <c r="T475" s="680">
        <f t="shared" si="239"/>
        <v>0.74944210413120993</v>
      </c>
      <c r="U475" s="681">
        <f t="shared" si="251"/>
        <v>0.67114789323600155</v>
      </c>
      <c r="V475" s="682">
        <f t="shared" si="252"/>
        <v>-1.0947459204723717</v>
      </c>
      <c r="W475" s="683">
        <f t="shared" si="240"/>
        <v>-23.915668005386461</v>
      </c>
      <c r="X475" s="684">
        <f t="shared" si="241"/>
        <v>-214.16894770763739</v>
      </c>
      <c r="Y475" s="687">
        <f t="shared" si="242"/>
        <v>-34.168947707637386</v>
      </c>
      <c r="AA475" s="170">
        <f t="shared" si="243"/>
        <v>55594</v>
      </c>
      <c r="AB475" s="170">
        <f t="shared" si="244"/>
        <v>3090692836</v>
      </c>
      <c r="AD475" s="686">
        <f t="shared" si="245"/>
        <v>24.2183602668857</v>
      </c>
      <c r="AE475" s="687">
        <f t="shared" si="246"/>
        <v>-43.383121789651064</v>
      </c>
      <c r="AG475" s="686">
        <f t="shared" si="247"/>
        <v>3.9742306543424784</v>
      </c>
      <c r="AH475" s="687">
        <f t="shared" si="248"/>
        <v>-45.337184010177623</v>
      </c>
      <c r="AJ475" s="170">
        <f t="shared" si="249"/>
        <v>0</v>
      </c>
      <c r="AK475" s="170">
        <f t="shared" si="261"/>
        <v>0</v>
      </c>
      <c r="AM475" s="170" t="str">
        <f t="shared" si="253"/>
        <v>1.31487676101508+0.949132564699289i</v>
      </c>
      <c r="AN475" s="170" t="str">
        <f t="shared" si="254"/>
        <v>1.8911231342411i</v>
      </c>
      <c r="AO475" s="170" t="str">
        <f t="shared" si="255"/>
        <v>0.501888294587529-0.695288813936875i</v>
      </c>
      <c r="AP475" s="170" t="str">
        <f t="shared" si="256"/>
        <v>-0.0524794601691803-0.158188760783215i</v>
      </c>
      <c r="AQ475" s="170" t="str">
        <f t="shared" si="257"/>
        <v>1.05247946016918+0.158188760783215i</v>
      </c>
      <c r="AR475" s="170" t="str">
        <f t="shared" si="258"/>
        <v>0.773979859378617-0.116329980260698i</v>
      </c>
    </row>
    <row r="476" spans="7:44">
      <c r="G476" s="688">
        <v>55914</v>
      </c>
      <c r="H476" s="676">
        <f t="shared" si="250"/>
        <v>55.914000000000001</v>
      </c>
      <c r="I476" s="677">
        <f t="shared" si="230"/>
        <v>287.91626948491006</v>
      </c>
      <c r="J476" s="678">
        <f t="shared" si="231"/>
        <v>1.5673230878134501</v>
      </c>
      <c r="K476" s="678">
        <f t="shared" si="232"/>
        <v>1.0005451402034693</v>
      </c>
      <c r="L476" s="679">
        <f t="shared" si="233"/>
        <v>3.3011896959003188E-2</v>
      </c>
      <c r="M476" s="678">
        <f t="shared" si="234"/>
        <v>1.0658725954409596</v>
      </c>
      <c r="N476" s="679">
        <f t="shared" si="235"/>
        <v>-0.35340866491357542</v>
      </c>
      <c r="O476" s="677">
        <f t="shared" si="236"/>
        <v>1053954.0685930743</v>
      </c>
      <c r="P476" s="680">
        <f t="shared" si="237"/>
        <v>1.5707953779869459</v>
      </c>
      <c r="Q476" s="689">
        <f t="shared" si="259"/>
        <v>129.99151492156295</v>
      </c>
      <c r="R476" s="690">
        <f t="shared" si="260"/>
        <v>1.5631034411162696</v>
      </c>
      <c r="S476" s="677">
        <f t="shared" si="238"/>
        <v>1.3696458660730866</v>
      </c>
      <c r="T476" s="680">
        <f t="shared" si="239"/>
        <v>0.75230501883086232</v>
      </c>
      <c r="U476" s="681">
        <f t="shared" si="251"/>
        <v>0.66890442974007058</v>
      </c>
      <c r="V476" s="682">
        <f t="shared" si="252"/>
        <v>-1.0994102570094437</v>
      </c>
      <c r="W476" s="683">
        <f t="shared" si="240"/>
        <v>-24.011817481516058</v>
      </c>
      <c r="X476" s="684">
        <f t="shared" si="241"/>
        <v>-214.69456656839986</v>
      </c>
      <c r="Y476" s="687">
        <f t="shared" si="242"/>
        <v>-34.694566568399864</v>
      </c>
      <c r="AA476" s="170">
        <f t="shared" si="243"/>
        <v>55914</v>
      </c>
      <c r="AB476" s="170">
        <f t="shared" si="244"/>
        <v>3126375396</v>
      </c>
      <c r="AD476" s="686">
        <f t="shared" si="245"/>
        <v>24.19515068852311</v>
      </c>
      <c r="AE476" s="687">
        <f t="shared" si="246"/>
        <v>-43.544618054246122</v>
      </c>
      <c r="AG476" s="686">
        <f t="shared" si="247"/>
        <v>3.959457125766495</v>
      </c>
      <c r="AH476" s="687">
        <f t="shared" si="248"/>
        <v>-45.166813010128521</v>
      </c>
      <c r="AJ476" s="170">
        <f t="shared" si="249"/>
        <v>0</v>
      </c>
      <c r="AK476" s="170">
        <f t="shared" si="261"/>
        <v>0</v>
      </c>
      <c r="AM476" s="170" t="str">
        <f t="shared" si="253"/>
        <v>1.32518952965143+0.945648861790189i</v>
      </c>
      <c r="AN476" s="170" t="str">
        <f t="shared" si="254"/>
        <v>1.90200847084141i</v>
      </c>
      <c r="AO476" s="170" t="str">
        <f t="shared" si="255"/>
        <v>0.49718435868577-0.696731665482643i</v>
      </c>
      <c r="AP476" s="170" t="str">
        <f t="shared" si="256"/>
        <v>-0.0541982549419053-0.157608143631698i</v>
      </c>
      <c r="AQ476" s="170" t="str">
        <f t="shared" si="257"/>
        <v>1.05419825494191+0.157608143631698i</v>
      </c>
      <c r="AR476" s="170" t="str">
        <f t="shared" si="258"/>
        <v>0.772898274413477-0.11555232772906i</v>
      </c>
    </row>
    <row r="477" spans="7:44">
      <c r="G477" s="688">
        <v>56234</v>
      </c>
      <c r="H477" s="676">
        <f t="shared" si="250"/>
        <v>56.234000000000002</v>
      </c>
      <c r="I477" s="677">
        <f t="shared" si="230"/>
        <v>289.56401598781105</v>
      </c>
      <c r="J477" s="678">
        <f t="shared" si="231"/>
        <v>1.5673428521484036</v>
      </c>
      <c r="K477" s="678">
        <f t="shared" si="232"/>
        <v>1.0005513960907355</v>
      </c>
      <c r="L477" s="679">
        <f t="shared" si="233"/>
        <v>3.3200688100862449E-2</v>
      </c>
      <c r="M477" s="678">
        <f t="shared" si="234"/>
        <v>1.0666051233822127</v>
      </c>
      <c r="N477" s="679">
        <f t="shared" si="235"/>
        <v>-0.35526572031028386</v>
      </c>
      <c r="O477" s="677">
        <f t="shared" si="236"/>
        <v>1059985.9264810719</v>
      </c>
      <c r="P477" s="680">
        <f t="shared" si="237"/>
        <v>1.5707953833861446</v>
      </c>
      <c r="Q477" s="689">
        <f t="shared" si="259"/>
        <v>130.73542217340528</v>
      </c>
      <c r="R477" s="690">
        <f t="shared" si="260"/>
        <v>1.5631472158276849</v>
      </c>
      <c r="S477" s="677">
        <f t="shared" si="238"/>
        <v>1.3733115129739883</v>
      </c>
      <c r="T477" s="680">
        <f t="shared" si="239"/>
        <v>0.75515267336739034</v>
      </c>
      <c r="U477" s="681">
        <f t="shared" si="251"/>
        <v>0.66666730475909908</v>
      </c>
      <c r="V477" s="682">
        <f t="shared" si="252"/>
        <v>-1.104060528597675</v>
      </c>
      <c r="W477" s="683">
        <f t="shared" si="240"/>
        <v>-24.107680105838419</v>
      </c>
      <c r="X477" s="684">
        <f t="shared" si="241"/>
        <v>-215.21837520807887</v>
      </c>
      <c r="Y477" s="687">
        <f t="shared" si="242"/>
        <v>-35.218375208078868</v>
      </c>
      <c r="AA477" s="170">
        <f t="shared" si="243"/>
        <v>56234</v>
      </c>
      <c r="AB477" s="170">
        <f t="shared" si="244"/>
        <v>3162262756</v>
      </c>
      <c r="AD477" s="686">
        <f t="shared" si="245"/>
        <v>24.171932373954892</v>
      </c>
      <c r="AE477" s="687">
        <f t="shared" si="246"/>
        <v>-43.705268844021816</v>
      </c>
      <c r="AG477" s="686">
        <f t="shared" si="247"/>
        <v>3.9450094320756839</v>
      </c>
      <c r="AH477" s="687">
        <f t="shared" si="248"/>
        <v>-44.997088988232449</v>
      </c>
      <c r="AJ477" s="170">
        <f t="shared" si="249"/>
        <v>0</v>
      </c>
      <c r="AK477" s="170">
        <f t="shared" si="261"/>
        <v>0</v>
      </c>
      <c r="AM477" s="170" t="str">
        <f t="shared" si="253"/>
        <v>1.33546376678108+0.942053109531014i</v>
      </c>
      <c r="AN477" s="170" t="str">
        <f t="shared" si="254"/>
        <v>1.91289380744171i</v>
      </c>
      <c r="AO477" s="170" t="str">
        <f t="shared" si="255"/>
        <v>0.492475382515305-0.698137952867922i</v>
      </c>
      <c r="AP477" s="170" t="str">
        <f t="shared" si="256"/>
        <v>-0.055910627796846-0.157008851588502i</v>
      </c>
      <c r="AQ477" s="170" t="str">
        <f t="shared" si="257"/>
        <v>1.05591062779685+0.157008851588502i</v>
      </c>
      <c r="AR477" s="170" t="str">
        <f t="shared" si="258"/>
        <v>0.771827219221639-0.114767009749287i</v>
      </c>
    </row>
    <row r="478" spans="7:44">
      <c r="G478" s="688">
        <v>56561.5</v>
      </c>
      <c r="H478" s="676">
        <f t="shared" si="250"/>
        <v>56.561500000000002</v>
      </c>
      <c r="I478" s="677">
        <f t="shared" si="230"/>
        <v>291.25038166515282</v>
      </c>
      <c r="J478" s="678">
        <f t="shared" si="231"/>
        <v>1.5673628481533191</v>
      </c>
      <c r="K478" s="678">
        <f t="shared" si="232"/>
        <v>1.0005578355251683</v>
      </c>
      <c r="L478" s="679">
        <f t="shared" si="233"/>
        <v>3.339390158359256E-2</v>
      </c>
      <c r="M478" s="678">
        <f t="shared" si="234"/>
        <v>1.0673586233303474</v>
      </c>
      <c r="N478" s="679">
        <f t="shared" si="235"/>
        <v>-0.3571636544125536</v>
      </c>
      <c r="O478" s="677">
        <f t="shared" si="236"/>
        <v>1066159.156038319</v>
      </c>
      <c r="P478" s="680">
        <f t="shared" si="237"/>
        <v>1.5707953888486301</v>
      </c>
      <c r="Q478" s="689">
        <f t="shared" si="259"/>
        <v>131.49676500788797</v>
      </c>
      <c r="R478" s="690">
        <f t="shared" si="260"/>
        <v>1.5631915036732467</v>
      </c>
      <c r="S478" s="677">
        <f t="shared" si="238"/>
        <v>1.37707454225211</v>
      </c>
      <c r="T478" s="680">
        <f t="shared" si="239"/>
        <v>0.75805134813650632</v>
      </c>
      <c r="U478" s="681">
        <f t="shared" si="251"/>
        <v>0.66438434583160677</v>
      </c>
      <c r="V478" s="682">
        <f t="shared" si="252"/>
        <v>-1.1088053711980366</v>
      </c>
      <c r="W478" s="683">
        <f t="shared" si="240"/>
        <v>-24.20549450730099</v>
      </c>
      <c r="X478" s="684">
        <f t="shared" si="241"/>
        <v>-215.75259828437564</v>
      </c>
      <c r="Y478" s="687">
        <f t="shared" si="242"/>
        <v>-35.752598284375637</v>
      </c>
      <c r="AA478" s="170">
        <f t="shared" si="243"/>
        <v>56561.5</v>
      </c>
      <c r="AB478" s="170">
        <f t="shared" si="244"/>
        <v>3199203282.25</v>
      </c>
      <c r="AD478" s="686">
        <f t="shared" si="245"/>
        <v>24.148161665726771</v>
      </c>
      <c r="AE478" s="687">
        <f t="shared" si="246"/>
        <v>-43.868813481003066</v>
      </c>
      <c r="AG478" s="686">
        <f t="shared" si="247"/>
        <v>3.9305563602215638</v>
      </c>
      <c r="AH478" s="687">
        <f t="shared" si="248"/>
        <v>-44.824048516017449</v>
      </c>
      <c r="AJ478" s="170">
        <f t="shared" si="249"/>
        <v>0</v>
      </c>
      <c r="AK478" s="170">
        <f t="shared" si="261"/>
        <v>0</v>
      </c>
      <c r="AM478" s="170" t="str">
        <f t="shared" si="253"/>
        <v>1.3459376392901+0.9382575071495i</v>
      </c>
      <c r="AN478" s="170" t="str">
        <f t="shared" si="254"/>
        <v>1.92403426911858i</v>
      </c>
      <c r="AO478" s="170" t="str">
        <f t="shared" si="255"/>
        <v>0.487651141255049-0.699539327803495i</v>
      </c>
      <c r="AP478" s="170" t="str">
        <f t="shared" si="256"/>
        <v>-0.0576562732150163-0.156376251191583i</v>
      </c>
      <c r="AQ478" s="170" t="str">
        <f t="shared" si="257"/>
        <v>1.05765627321502+0.156376251191583i</v>
      </c>
      <c r="AR478" s="170" t="str">
        <f t="shared" si="258"/>
        <v>0.77074195881999-0.113955489329211i</v>
      </c>
    </row>
    <row r="479" spans="7:44">
      <c r="G479" s="688">
        <v>56889</v>
      </c>
      <c r="H479" s="676">
        <f t="shared" si="250"/>
        <v>56.889000000000003</v>
      </c>
      <c r="I479" s="677">
        <f t="shared" si="230"/>
        <v>292.9367474576074</v>
      </c>
      <c r="J479" s="678">
        <f t="shared" si="231"/>
        <v>1.5673826139339433</v>
      </c>
      <c r="K479" s="678">
        <f t="shared" si="232"/>
        <v>1.0005643123113939</v>
      </c>
      <c r="L479" s="679">
        <f t="shared" si="233"/>
        <v>3.3587112572142162E-2</v>
      </c>
      <c r="M479" s="678">
        <f t="shared" si="234"/>
        <v>1.0681159626357946</v>
      </c>
      <c r="N479" s="679">
        <f t="shared" si="235"/>
        <v>-0.35905890390296619</v>
      </c>
      <c r="O479" s="677">
        <f t="shared" si="236"/>
        <v>1072332.3855955661</v>
      </c>
      <c r="P479" s="680">
        <f t="shared" si="237"/>
        <v>1.5707953942482222</v>
      </c>
      <c r="Q479" s="689">
        <f t="shared" si="259"/>
        <v>132.25810809732073</v>
      </c>
      <c r="R479" s="690">
        <f t="shared" si="260"/>
        <v>1.563235281633403</v>
      </c>
      <c r="S479" s="677">
        <f t="shared" si="238"/>
        <v>1.3808490790248935</v>
      </c>
      <c r="T479" s="680">
        <f t="shared" si="239"/>
        <v>0.76093420002276135</v>
      </c>
      <c r="U479" s="681">
        <f t="shared" si="251"/>
        <v>0.66210809617110911</v>
      </c>
      <c r="V479" s="682">
        <f t="shared" si="252"/>
        <v>-1.1135357733105202</v>
      </c>
      <c r="W479" s="683">
        <f t="shared" si="240"/>
        <v>-24.303012512766987</v>
      </c>
      <c r="X479" s="684">
        <f t="shared" si="241"/>
        <v>-216.28494974302799</v>
      </c>
      <c r="Y479" s="687">
        <f t="shared" si="242"/>
        <v>-36.284949743027994</v>
      </c>
      <c r="AA479" s="170">
        <f t="shared" si="243"/>
        <v>56889</v>
      </c>
      <c r="AB479" s="170">
        <f t="shared" si="244"/>
        <v>3236358321</v>
      </c>
      <c r="AD479" s="686">
        <f t="shared" si="245"/>
        <v>24.12438348256368</v>
      </c>
      <c r="AE479" s="687">
        <f t="shared" si="246"/>
        <v>-44.031480744253876</v>
      </c>
      <c r="AG479" s="686">
        <f t="shared" si="247"/>
        <v>3.916436245110563</v>
      </c>
      <c r="AH479" s="687">
        <f t="shared" si="248"/>
        <v>-44.65166855790946</v>
      </c>
      <c r="AJ479" s="170">
        <f t="shared" si="249"/>
        <v>0</v>
      </c>
      <c r="AK479" s="170">
        <f t="shared" si="261"/>
        <v>0</v>
      </c>
      <c r="AM479" s="170" t="str">
        <f t="shared" si="253"/>
        <v>1.35636857796206+0.934345458939732i</v>
      </c>
      <c r="AN479" s="170" t="str">
        <f t="shared" si="254"/>
        <v>1.93517473079545i</v>
      </c>
      <c r="AO479" s="170" t="str">
        <f t="shared" si="255"/>
        <v>0.48282227132827-0.700902381773313i</v>
      </c>
      <c r="AP479" s="170" t="str">
        <f t="shared" si="256"/>
        <v>-0.0593947629936767-0.155724243156622i</v>
      </c>
      <c r="AQ479" s="170" t="str">
        <f t="shared" si="257"/>
        <v>1.05939476299368+0.155724243156622i</v>
      </c>
      <c r="AR479" s="170" t="str">
        <f t="shared" si="258"/>
        <v>0.769667715689982-0.113136223336818i</v>
      </c>
    </row>
    <row r="480" spans="7:44">
      <c r="G480" s="688">
        <v>57216.5</v>
      </c>
      <c r="H480" s="676">
        <f t="shared" si="250"/>
        <v>57.216500000000003</v>
      </c>
      <c r="I480" s="677">
        <f t="shared" si="230"/>
        <v>294.62311336319812</v>
      </c>
      <c r="J480" s="678">
        <f t="shared" si="231"/>
        <v>1.5674021534435389</v>
      </c>
      <c r="K480" s="678">
        <f t="shared" si="232"/>
        <v>1.0005708264486872</v>
      </c>
      <c r="L480" s="679">
        <f t="shared" si="233"/>
        <v>3.3780321052134507E-2</v>
      </c>
      <c r="M480" s="678">
        <f t="shared" si="234"/>
        <v>1.0688771331375708</v>
      </c>
      <c r="N480" s="679">
        <f t="shared" si="235"/>
        <v>-0.36095146088711444</v>
      </c>
      <c r="O480" s="677">
        <f t="shared" si="236"/>
        <v>1078505.6151528137</v>
      </c>
      <c r="P480" s="680">
        <f t="shared" si="237"/>
        <v>1.5707953995860013</v>
      </c>
      <c r="Q480" s="689">
        <f t="shared" si="259"/>
        <v>133.0194514373259</v>
      </c>
      <c r="R480" s="690">
        <f t="shared" si="260"/>
        <v>1.5632785584630469</v>
      </c>
      <c r="S480" s="677">
        <f t="shared" si="238"/>
        <v>1.3846350291835099</v>
      </c>
      <c r="T480" s="680">
        <f t="shared" si="239"/>
        <v>0.7638013107039775</v>
      </c>
      <c r="U480" s="681">
        <f t="shared" si="251"/>
        <v>0.65983858811875118</v>
      </c>
      <c r="V480" s="682">
        <f t="shared" si="252"/>
        <v>-1.1182518822275287</v>
      </c>
      <c r="W480" s="683">
        <f t="shared" si="240"/>
        <v>-24.400236135559851</v>
      </c>
      <c r="X480" s="684">
        <f t="shared" si="241"/>
        <v>-216.81544197651985</v>
      </c>
      <c r="Y480" s="687">
        <f t="shared" si="242"/>
        <v>-36.81544197651985</v>
      </c>
      <c r="AA480" s="170">
        <f t="shared" si="243"/>
        <v>57216.5</v>
      </c>
      <c r="AB480" s="170">
        <f t="shared" si="244"/>
        <v>3273727872.25</v>
      </c>
      <c r="AD480" s="686">
        <f t="shared" si="245"/>
        <v>24.100598652610827</v>
      </c>
      <c r="AE480" s="687">
        <f t="shared" si="246"/>
        <v>-44.19327481201222</v>
      </c>
      <c r="AG480" s="686">
        <f t="shared" si="247"/>
        <v>3.9026449889728756</v>
      </c>
      <c r="AH480" s="687">
        <f t="shared" si="248"/>
        <v>-44.479940449688222</v>
      </c>
      <c r="AJ480" s="170">
        <f t="shared" si="249"/>
        <v>0</v>
      </c>
      <c r="AK480" s="170">
        <f t="shared" si="261"/>
        <v>0</v>
      </c>
      <c r="AM480" s="170" t="str">
        <f t="shared" si="253"/>
        <v>1.36675528822774+0.930317450420547i</v>
      </c>
      <c r="AN480" s="170" t="str">
        <f t="shared" si="254"/>
        <v>1.94631519247232i</v>
      </c>
      <c r="AO480" s="170" t="str">
        <f t="shared" si="255"/>
        <v>0.47798910167207-0.702227107671913i</v>
      </c>
      <c r="AP480" s="170" t="str">
        <f t="shared" si="256"/>
        <v>-0.06112588137129-0.155052908403425i</v>
      </c>
      <c r="AQ480" s="170" t="str">
        <f t="shared" si="257"/>
        <v>1.06112588137129+0.155052908403425i</v>
      </c>
      <c r="AR480" s="170" t="str">
        <f t="shared" si="258"/>
        <v>0.768604481918208-0.112309352194216i</v>
      </c>
    </row>
    <row r="481" spans="7:44">
      <c r="G481" s="688">
        <v>57544</v>
      </c>
      <c r="H481" s="676">
        <f t="shared" si="250"/>
        <v>57.543999999999997</v>
      </c>
      <c r="I481" s="677">
        <f t="shared" si="230"/>
        <v>296.30947937999338</v>
      </c>
      <c r="J481" s="678">
        <f t="shared" si="231"/>
        <v>1.5674214705453742</v>
      </c>
      <c r="K481" s="678">
        <f t="shared" si="232"/>
        <v>1.0005773779363192</v>
      </c>
      <c r="L481" s="679">
        <f t="shared" si="233"/>
        <v>3.3973527009193982E-2</v>
      </c>
      <c r="M481" s="678">
        <f t="shared" si="234"/>
        <v>1.0696421266566969</v>
      </c>
      <c r="N481" s="679">
        <f t="shared" si="235"/>
        <v>-0.36284131757015647</v>
      </c>
      <c r="O481" s="677">
        <f t="shared" si="236"/>
        <v>1084678.8447100611</v>
      </c>
      <c r="P481" s="680">
        <f t="shared" si="237"/>
        <v>1.5707954048630226</v>
      </c>
      <c r="Q481" s="689">
        <f t="shared" si="259"/>
        <v>133.78079502362547</v>
      </c>
      <c r="R481" s="690">
        <f t="shared" si="260"/>
        <v>1.563321342717783</v>
      </c>
      <c r="S481" s="677">
        <f t="shared" si="238"/>
        <v>1.3884322993625677</v>
      </c>
      <c r="T481" s="680">
        <f t="shared" si="239"/>
        <v>0.76665276200365506</v>
      </c>
      <c r="U481" s="681">
        <f t="shared" si="251"/>
        <v>0.65757585196272228</v>
      </c>
      <c r="V481" s="682">
        <f t="shared" si="252"/>
        <v>-1.122953845127423</v>
      </c>
      <c r="W481" s="683">
        <f t="shared" si="240"/>
        <v>-24.497167363454388</v>
      </c>
      <c r="X481" s="684">
        <f t="shared" si="241"/>
        <v>-217.34408739111282</v>
      </c>
      <c r="Y481" s="687">
        <f t="shared" si="242"/>
        <v>-37.344087391112822</v>
      </c>
      <c r="AA481" s="170">
        <f t="shared" si="243"/>
        <v>57544</v>
      </c>
      <c r="AB481" s="170">
        <f t="shared" si="244"/>
        <v>3311311936</v>
      </c>
      <c r="AD481" s="686">
        <f t="shared" si="245"/>
        <v>24.076807991163776</v>
      </c>
      <c r="AE481" s="687">
        <f t="shared" si="246"/>
        <v>-44.354199882279772</v>
      </c>
      <c r="AG481" s="686">
        <f t="shared" si="247"/>
        <v>3.8891785698848285</v>
      </c>
      <c r="AH481" s="687">
        <f t="shared" si="248"/>
        <v>-44.30885553421588</v>
      </c>
      <c r="AJ481" s="170">
        <f t="shared" si="249"/>
        <v>0</v>
      </c>
      <c r="AK481" s="170">
        <f t="shared" si="261"/>
        <v>0</v>
      </c>
      <c r="AM481" s="170" t="str">
        <f t="shared" si="253"/>
        <v>1.37709648100704+0.926173981502455i</v>
      </c>
      <c r="AN481" s="170" t="str">
        <f t="shared" si="254"/>
        <v>1.95745565414919i</v>
      </c>
      <c r="AO481" s="170" t="str">
        <f t="shared" si="255"/>
        <v>0.473151961087475-0.703513501359803i</v>
      </c>
      <c r="AP481" s="170" t="str">
        <f t="shared" si="256"/>
        <v>-0.0628494135011728-0.154362330250409i</v>
      </c>
      <c r="AQ481" s="170" t="str">
        <f t="shared" si="257"/>
        <v>1.06284941350117+0.154362330250409i</v>
      </c>
      <c r="AR481" s="170" t="str">
        <f t="shared" si="258"/>
        <v>0.767552248374596-0.111475014374567i</v>
      </c>
    </row>
    <row r="482" spans="7:44">
      <c r="G482" s="688">
        <v>57879</v>
      </c>
      <c r="H482" s="676">
        <f t="shared" si="250"/>
        <v>57.878999999999998</v>
      </c>
      <c r="I482" s="677">
        <f t="shared" si="230"/>
        <v>298.03446457896132</v>
      </c>
      <c r="J482" s="678">
        <f t="shared" si="231"/>
        <v>1.5674410038533686</v>
      </c>
      <c r="K482" s="678">
        <f t="shared" si="232"/>
        <v>1.0005841181004129</v>
      </c>
      <c r="L482" s="679">
        <f t="shared" si="233"/>
        <v>3.4171154904909934E-2</v>
      </c>
      <c r="M482" s="678">
        <f t="shared" si="234"/>
        <v>1.0704285859110594</v>
      </c>
      <c r="N482" s="679">
        <f t="shared" si="235"/>
        <v>-0.36477165162424646</v>
      </c>
      <c r="O482" s="677">
        <f t="shared" si="236"/>
        <v>1090993.4459365583</v>
      </c>
      <c r="P482" s="680">
        <f t="shared" si="237"/>
        <v>1.5707954101991062</v>
      </c>
      <c r="Q482" s="689">
        <f t="shared" si="259"/>
        <v>134.55957420969079</v>
      </c>
      <c r="R482" s="690">
        <f t="shared" si="260"/>
        <v>1.5633646058563309</v>
      </c>
      <c r="S482" s="677">
        <f t="shared" si="238"/>
        <v>1.3923281452142708</v>
      </c>
      <c r="T482" s="680">
        <f t="shared" si="239"/>
        <v>0.769553397744562</v>
      </c>
      <c r="U482" s="681">
        <f t="shared" si="251"/>
        <v>0.65526833318611943</v>
      </c>
      <c r="V482" s="682">
        <f t="shared" si="252"/>
        <v>-1.1277490042073743</v>
      </c>
      <c r="W482" s="683">
        <f t="shared" si="240"/>
        <v>-24.596017921295612</v>
      </c>
      <c r="X482" s="684">
        <f t="shared" si="241"/>
        <v>-217.88294139156932</v>
      </c>
      <c r="Y482" s="687">
        <f t="shared" si="242"/>
        <v>-37.882941391569318</v>
      </c>
      <c r="AA482" s="170">
        <f t="shared" si="243"/>
        <v>57879</v>
      </c>
      <c r="AB482" s="170">
        <f t="shared" si="244"/>
        <v>3349978641</v>
      </c>
      <c r="AD482" s="686">
        <f t="shared" si="245"/>
        <v>24.052467308681425</v>
      </c>
      <c r="AE482" s="687">
        <f t="shared" si="246"/>
        <v>-44.517915578813401</v>
      </c>
      <c r="AG482" s="686">
        <f t="shared" si="247"/>
        <v>3.8757357253213982</v>
      </c>
      <c r="AH482" s="687">
        <f t="shared" si="248"/>
        <v>-44.134509082760786</v>
      </c>
      <c r="AJ482" s="170">
        <f t="shared" si="249"/>
        <v>0</v>
      </c>
      <c r="AK482" s="170">
        <f t="shared" si="261"/>
        <v>0</v>
      </c>
      <c r="AM482" s="170" t="str">
        <f t="shared" si="253"/>
        <v>1.38762606403848+0.92181670329737i</v>
      </c>
      <c r="AN482" s="170" t="str">
        <f t="shared" si="254"/>
        <v>1.96885124090263i</v>
      </c>
      <c r="AO482" s="170" t="str">
        <f t="shared" si="255"/>
        <v>0.468200280522341-0.704789694219009i</v>
      </c>
      <c r="AP482" s="170" t="str">
        <f t="shared" si="256"/>
        <v>-0.0646043440064142-0.153636117216228i</v>
      </c>
      <c r="AQ482" s="170" t="str">
        <f t="shared" si="257"/>
        <v>1.06460434400641+0.153636117216228i</v>
      </c>
      <c r="AR482" s="170" t="str">
        <f t="shared" si="258"/>
        <v>0.766487288121696-0.110613986788226i</v>
      </c>
    </row>
    <row r="483" spans="7:44">
      <c r="G483" s="688">
        <v>58214</v>
      </c>
      <c r="H483" s="676">
        <f t="shared" si="250"/>
        <v>58.213999999999999</v>
      </c>
      <c r="I483" s="677">
        <f t="shared" si="230"/>
        <v>299.75944989033559</v>
      </c>
      <c r="J483" s="678">
        <f t="shared" si="231"/>
        <v>1.5674603123499797</v>
      </c>
      <c r="K483" s="678">
        <f t="shared" si="232"/>
        <v>1.0005908973435786</v>
      </c>
      <c r="L483" s="679">
        <f t="shared" si="233"/>
        <v>3.4368780130391678E-2</v>
      </c>
      <c r="M483" s="678">
        <f t="shared" si="234"/>
        <v>1.0712190279199136</v>
      </c>
      <c r="N483" s="679">
        <f t="shared" si="235"/>
        <v>-0.36669914410261628</v>
      </c>
      <c r="O483" s="677">
        <f t="shared" si="236"/>
        <v>1097308.0471630557</v>
      </c>
      <c r="P483" s="680">
        <f t="shared" si="237"/>
        <v>1.5707954154737753</v>
      </c>
      <c r="Q483" s="689">
        <f t="shared" si="259"/>
        <v>135.33835364471261</v>
      </c>
      <c r="R483" s="690">
        <f t="shared" si="260"/>
        <v>1.5634073710955569</v>
      </c>
      <c r="S483" s="677">
        <f t="shared" si="238"/>
        <v>1.3962356402494622</v>
      </c>
      <c r="T483" s="680">
        <f t="shared" si="239"/>
        <v>0.7724378222444922</v>
      </c>
      <c r="U483" s="681">
        <f t="shared" si="251"/>
        <v>0.65296795774382932</v>
      </c>
      <c r="V483" s="682">
        <f t="shared" si="252"/>
        <v>-1.1325296730289089</v>
      </c>
      <c r="W483" s="683">
        <f t="shared" si="240"/>
        <v>-24.694566668380858</v>
      </c>
      <c r="X483" s="684">
        <f t="shared" si="241"/>
        <v>-218.4198893116484</v>
      </c>
      <c r="Y483" s="687">
        <f t="shared" si="242"/>
        <v>-38.419889311648404</v>
      </c>
      <c r="AA483" s="170">
        <f t="shared" si="243"/>
        <v>58214</v>
      </c>
      <c r="AB483" s="170">
        <f t="shared" si="244"/>
        <v>3388869796</v>
      </c>
      <c r="AD483" s="686">
        <f t="shared" si="245"/>
        <v>24.028122209602284</v>
      </c>
      <c r="AE483" s="687">
        <f t="shared" si="246"/>
        <v>-44.680730963668339</v>
      </c>
      <c r="AG483" s="686">
        <f t="shared" si="247"/>
        <v>3.862624489899416</v>
      </c>
      <c r="AH483" s="687">
        <f t="shared" si="248"/>
        <v>-43.960817323911535</v>
      </c>
      <c r="AJ483" s="170">
        <f t="shared" si="249"/>
        <v>0</v>
      </c>
      <c r="AK483" s="170">
        <f t="shared" si="261"/>
        <v>0</v>
      </c>
      <c r="AM483" s="170" t="str">
        <f t="shared" si="253"/>
        <v>1.39810531072754+0.917339719826044i</v>
      </c>
      <c r="AN483" s="170" t="str">
        <f t="shared" si="254"/>
        <v>1.98024682765607i</v>
      </c>
      <c r="AO483" s="170" t="str">
        <f t="shared" si="255"/>
        <v>0.463245140461534-0.706025779817769i</v>
      </c>
      <c r="AP483" s="170" t="str">
        <f t="shared" si="256"/>
        <v>-0.0663508851212573-0.152889953304341i</v>
      </c>
      <c r="AQ483" s="170" t="str">
        <f t="shared" si="257"/>
        <v>1.06635088512126+0.152889953304341i</v>
      </c>
      <c r="AR483" s="170" t="str">
        <f t="shared" si="258"/>
        <v>0.765433814685782-0.109745433532008i</v>
      </c>
    </row>
    <row r="484" spans="7:44">
      <c r="G484" s="688">
        <v>58549</v>
      </c>
      <c r="H484" s="676">
        <f t="shared" si="250"/>
        <v>58.548999999999999</v>
      </c>
      <c r="I484" s="677">
        <f t="shared" si="230"/>
        <v>301.48443531218675</v>
      </c>
      <c r="J484" s="678">
        <f t="shared" si="231"/>
        <v>1.5674793998940628</v>
      </c>
      <c r="K484" s="678">
        <f t="shared" si="232"/>
        <v>1.0005977156650214</v>
      </c>
      <c r="L484" s="679">
        <f t="shared" si="233"/>
        <v>3.4566402670256853E-2</v>
      </c>
      <c r="M484" s="678">
        <f t="shared" si="234"/>
        <v>1.0720134438732869</v>
      </c>
      <c r="N484" s="679">
        <f t="shared" si="235"/>
        <v>-0.36862378698465537</v>
      </c>
      <c r="O484" s="677">
        <f t="shared" si="236"/>
        <v>1103622.6483895532</v>
      </c>
      <c r="P484" s="680">
        <f t="shared" si="237"/>
        <v>1.5707954206880843</v>
      </c>
      <c r="Q484" s="689">
        <f t="shared" si="259"/>
        <v>136.11713332441784</v>
      </c>
      <c r="R484" s="690">
        <f t="shared" si="260"/>
        <v>1.5634496469813375</v>
      </c>
      <c r="S484" s="677">
        <f t="shared" si="238"/>
        <v>1.4001546869379358</v>
      </c>
      <c r="T484" s="680">
        <f t="shared" si="239"/>
        <v>0.77530612343248284</v>
      </c>
      <c r="U484" s="681">
        <f t="shared" si="251"/>
        <v>0.65067475167487476</v>
      </c>
      <c r="V484" s="682">
        <f t="shared" si="252"/>
        <v>-1.1372960086433568</v>
      </c>
      <c r="W484" s="683">
        <f t="shared" si="240"/>
        <v>-24.792815655390473</v>
      </c>
      <c r="X484" s="684">
        <f t="shared" si="241"/>
        <v>-218.95494446053934</v>
      </c>
      <c r="Y484" s="687">
        <f t="shared" si="242"/>
        <v>-38.954944460539338</v>
      </c>
      <c r="AA484" s="170">
        <f t="shared" si="243"/>
        <v>58549</v>
      </c>
      <c r="AB484" s="170">
        <f t="shared" si="244"/>
        <v>3427985401</v>
      </c>
      <c r="AD484" s="686">
        <f t="shared" si="245"/>
        <v>24.003773525622798</v>
      </c>
      <c r="AE484" s="687">
        <f t="shared" si="246"/>
        <v>-44.842650585225087</v>
      </c>
      <c r="AG484" s="686">
        <f t="shared" si="247"/>
        <v>3.8498407956865992</v>
      </c>
      <c r="AH484" s="687">
        <f t="shared" si="248"/>
        <v>-43.787771021720083</v>
      </c>
      <c r="AJ484" s="170">
        <f t="shared" si="249"/>
        <v>0</v>
      </c>
      <c r="AK484" s="170">
        <f t="shared" si="261"/>
        <v>0</v>
      </c>
      <c r="AM484" s="170" t="str">
        <f t="shared" si="253"/>
        <v>1.40853286026028+0.912743612460562i</v>
      </c>
      <c r="AN484" s="170" t="str">
        <f t="shared" si="254"/>
        <v>1.99164241440951i</v>
      </c>
      <c r="AO484" s="170" t="str">
        <f t="shared" si="255"/>
        <v>0.458286892193535-0.707221763339423i</v>
      </c>
      <c r="AP484" s="170" t="str">
        <f t="shared" si="256"/>
        <v>-0.0680888100433797-0.152123935410094i</v>
      </c>
      <c r="AQ484" s="170" t="str">
        <f t="shared" si="257"/>
        <v>1.06808881004338+0.152123935410094i</v>
      </c>
      <c r="AR484" s="170" t="str">
        <f t="shared" si="258"/>
        <v>0.764391814667869-0.108869496570998i</v>
      </c>
    </row>
    <row r="485" spans="7:44">
      <c r="G485" s="688">
        <v>58884</v>
      </c>
      <c r="H485" s="676">
        <f t="shared" si="250"/>
        <v>58.884</v>
      </c>
      <c r="I485" s="677">
        <f t="shared" si="230"/>
        <v>303.20942084262919</v>
      </c>
      <c r="J485" s="678">
        <f t="shared" si="231"/>
        <v>1.5674982702566596</v>
      </c>
      <c r="K485" s="678">
        <f t="shared" si="232"/>
        <v>1.0006045730639426</v>
      </c>
      <c r="L485" s="679">
        <f t="shared" si="233"/>
        <v>3.4764022509124345E-2</v>
      </c>
      <c r="M485" s="678">
        <f t="shared" si="234"/>
        <v>1.0728118249430749</v>
      </c>
      <c r="N485" s="679">
        <f t="shared" si="235"/>
        <v>-0.37054557235789493</v>
      </c>
      <c r="O485" s="677">
        <f t="shared" si="236"/>
        <v>1109937.2496160506</v>
      </c>
      <c r="P485" s="680">
        <f t="shared" si="237"/>
        <v>1.5707954258430632</v>
      </c>
      <c r="Q485" s="689">
        <f t="shared" si="259"/>
        <v>136.89591324463061</v>
      </c>
      <c r="R485" s="690">
        <f t="shared" si="260"/>
        <v>1.5634914418650911</v>
      </c>
      <c r="S485" s="677">
        <f t="shared" si="238"/>
        <v>1.4040851885516565</v>
      </c>
      <c r="T485" s="680">
        <f t="shared" si="239"/>
        <v>0.77815838931853332</v>
      </c>
      <c r="U485" s="681">
        <f t="shared" si="251"/>
        <v>0.64838873896351457</v>
      </c>
      <c r="V485" s="682">
        <f t="shared" si="252"/>
        <v>-1.142048167911049</v>
      </c>
      <c r="W485" s="683">
        <f t="shared" si="240"/>
        <v>-24.890766909070287</v>
      </c>
      <c r="X485" s="684">
        <f t="shared" si="241"/>
        <v>-219.48812015343145</v>
      </c>
      <c r="Y485" s="687">
        <f t="shared" si="242"/>
        <v>-39.488120153431453</v>
      </c>
      <c r="AA485" s="170">
        <f t="shared" si="243"/>
        <v>58884</v>
      </c>
      <c r="AB485" s="170">
        <f t="shared" si="244"/>
        <v>3467325456</v>
      </c>
      <c r="AD485" s="686">
        <f t="shared" si="245"/>
        <v>23.979422074931787</v>
      </c>
      <c r="AE485" s="687">
        <f t="shared" si="246"/>
        <v>-45.003679007643143</v>
      </c>
      <c r="AG485" s="686">
        <f t="shared" si="247"/>
        <v>3.8373806514171021</v>
      </c>
      <c r="AH485" s="687">
        <f t="shared" si="248"/>
        <v>-43.615360952346443</v>
      </c>
      <c r="AJ485" s="170">
        <f t="shared" si="249"/>
        <v>0</v>
      </c>
      <c r="AK485" s="170">
        <f t="shared" si="261"/>
        <v>0</v>
      </c>
      <c r="AM485" s="170" t="str">
        <f t="shared" si="253"/>
        <v>1.41890735853604+0.908028978042197i</v>
      </c>
      <c r="AN485" s="170" t="str">
        <f t="shared" si="254"/>
        <v>2.00303800116295i</v>
      </c>
      <c r="AO485" s="170" t="str">
        <f t="shared" si="255"/>
        <v>0.45332588673555-0.708377653200904i</v>
      </c>
      <c r="AP485" s="170" t="str">
        <f t="shared" si="256"/>
        <v>-0.0698178930893403-0.151338163007033i</v>
      </c>
      <c r="AQ485" s="170" t="str">
        <f t="shared" si="257"/>
        <v>1.06981789308934+0.151338163007033i</v>
      </c>
      <c r="AR485" s="170" t="str">
        <f t="shared" si="258"/>
        <v>0.763361273551777-0.107986315798503i</v>
      </c>
    </row>
    <row r="486" spans="7:44">
      <c r="G486" s="688">
        <v>59227</v>
      </c>
      <c r="H486" s="676">
        <f t="shared" si="250"/>
        <v>59.226999999999997</v>
      </c>
      <c r="I486" s="677">
        <f t="shared" si="230"/>
        <v>304.97560016796859</v>
      </c>
      <c r="J486" s="678">
        <f t="shared" si="231"/>
        <v>1.5675173700803999</v>
      </c>
      <c r="K486" s="678">
        <f t="shared" si="232"/>
        <v>1.0006116347092162</v>
      </c>
      <c r="L486" s="679">
        <f t="shared" si="233"/>
        <v>3.4966358813144E-2</v>
      </c>
      <c r="M486" s="678">
        <f t="shared" si="234"/>
        <v>1.073633370872213</v>
      </c>
      <c r="N486" s="679">
        <f t="shared" si="235"/>
        <v>-0.37251028228101124</v>
      </c>
      <c r="O486" s="677">
        <f t="shared" si="236"/>
        <v>1116402.6472897478</v>
      </c>
      <c r="P486" s="680">
        <f t="shared" si="237"/>
        <v>1.5707954310607255</v>
      </c>
      <c r="Q486" s="689">
        <f t="shared" si="259"/>
        <v>137.69329113921066</v>
      </c>
      <c r="R486" s="690">
        <f t="shared" si="260"/>
        <v>1.5635337449898605</v>
      </c>
      <c r="S486" s="677">
        <f t="shared" si="238"/>
        <v>1.4081213212287169</v>
      </c>
      <c r="T486" s="680">
        <f t="shared" si="239"/>
        <v>0.78106224672264113</v>
      </c>
      <c r="U486" s="681">
        <f t="shared" si="251"/>
        <v>0.64605561092389796</v>
      </c>
      <c r="V486" s="682">
        <f t="shared" si="252"/>
        <v>-1.1468992869819508</v>
      </c>
      <c r="W486" s="683">
        <f t="shared" si="240"/>
        <v>-24.990750906338754</v>
      </c>
      <c r="X486" s="684">
        <f t="shared" si="241"/>
        <v>-220.03209499432407</v>
      </c>
      <c r="Y486" s="687">
        <f t="shared" si="242"/>
        <v>-40.032094994324069</v>
      </c>
      <c r="AA486" s="170">
        <f t="shared" si="243"/>
        <v>59227</v>
      </c>
      <c r="AB486" s="170">
        <f t="shared" si="244"/>
        <v>3507837529</v>
      </c>
      <c r="AD486" s="686">
        <f t="shared" si="245"/>
        <v>23.954487070891858</v>
      </c>
      <c r="AE486" s="687">
        <f t="shared" si="246"/>
        <v>-45.167634289834197</v>
      </c>
      <c r="AG486" s="686">
        <f t="shared" si="247"/>
        <v>3.8249540941726625</v>
      </c>
      <c r="AH486" s="687">
        <f t="shared" si="248"/>
        <v>-43.439483213056576</v>
      </c>
      <c r="AJ486" s="170">
        <f t="shared" si="249"/>
        <v>0</v>
      </c>
      <c r="AK486" s="170">
        <f t="shared" si="261"/>
        <v>0</v>
      </c>
      <c r="AM486" s="170" t="str">
        <f t="shared" si="253"/>
        <v>1.42947323237532+0.903079588227469i</v>
      </c>
      <c r="AN486" s="170" t="str">
        <f t="shared" si="254"/>
        <v>2.0147057213314i</v>
      </c>
      <c r="AO486" s="170" t="str">
        <f t="shared" si="255"/>
        <v>0.448243919032839-0.709519617302057i</v>
      </c>
      <c r="AP486" s="170" t="str">
        <f t="shared" si="256"/>
        <v>-0.0715788720625533-0.150513264704578i</v>
      </c>
      <c r="AQ486" s="170" t="str">
        <f t="shared" si="257"/>
        <v>1.07157887206255+0.150513264704578i</v>
      </c>
      <c r="AR486" s="170" t="str">
        <f t="shared" si="258"/>
        <v>0.762317978856348-0.10707468272477i</v>
      </c>
    </row>
    <row r="487" spans="7:44">
      <c r="G487" s="688">
        <v>59570</v>
      </c>
      <c r="H487" s="676">
        <f t="shared" si="250"/>
        <v>59.57</v>
      </c>
      <c r="I487" s="677">
        <f t="shared" si="230"/>
        <v>306.74177960328279</v>
      </c>
      <c r="J487" s="678">
        <f t="shared" si="231"/>
        <v>1.5675362499555248</v>
      </c>
      <c r="K487" s="678">
        <f t="shared" si="232"/>
        <v>1.0006187373189308</v>
      </c>
      <c r="L487" s="679">
        <f t="shared" si="233"/>
        <v>3.5168692252992788E-2</v>
      </c>
      <c r="M487" s="678">
        <f t="shared" si="234"/>
        <v>1.0744590547705855</v>
      </c>
      <c r="N487" s="679">
        <f t="shared" si="235"/>
        <v>-0.37447198014617344</v>
      </c>
      <c r="O487" s="677">
        <f t="shared" si="236"/>
        <v>1122868.0449634453</v>
      </c>
      <c r="P487" s="680">
        <f t="shared" si="237"/>
        <v>1.5707954362183016</v>
      </c>
      <c r="Q487" s="689">
        <f t="shared" si="259"/>
        <v>138.49066927736288</v>
      </c>
      <c r="R487" s="690">
        <f t="shared" si="260"/>
        <v>1.5635755609831588</v>
      </c>
      <c r="S487" s="677">
        <f t="shared" si="238"/>
        <v>1.4121692597992908</v>
      </c>
      <c r="T487" s="680">
        <f t="shared" si="239"/>
        <v>0.78394948072597515</v>
      </c>
      <c r="U487" s="681">
        <f t="shared" si="251"/>
        <v>0.64373006839618807</v>
      </c>
      <c r="V487" s="682">
        <f t="shared" si="252"/>
        <v>-1.1517358766753514</v>
      </c>
      <c r="W487" s="683">
        <f t="shared" si="240"/>
        <v>-25.090427007612476</v>
      </c>
      <c r="X487" s="684">
        <f t="shared" si="241"/>
        <v>-220.57412780340294</v>
      </c>
      <c r="Y487" s="687">
        <f t="shared" si="242"/>
        <v>-40.574127803402945</v>
      </c>
      <c r="AA487" s="170">
        <f t="shared" si="243"/>
        <v>59570</v>
      </c>
      <c r="AB487" s="170">
        <f t="shared" si="244"/>
        <v>3548584900</v>
      </c>
      <c r="AD487" s="686">
        <f t="shared" si="245"/>
        <v>23.929550859599264</v>
      </c>
      <c r="AE487" s="687">
        <f t="shared" si="246"/>
        <v>-45.330665028453389</v>
      </c>
      <c r="AG487" s="686">
        <f t="shared" si="247"/>
        <v>3.8128584960532752</v>
      </c>
      <c r="AH487" s="687">
        <f t="shared" si="248"/>
        <v>-43.264252929546331</v>
      </c>
      <c r="AJ487" s="170">
        <f t="shared" si="249"/>
        <v>0</v>
      </c>
      <c r="AK487" s="170">
        <f t="shared" si="261"/>
        <v>0</v>
      </c>
      <c r="AM487" s="170" t="str">
        <f t="shared" si="253"/>
        <v>1.43998064024136+0.898007258441044i</v>
      </c>
      <c r="AN487" s="170" t="str">
        <f t="shared" si="254"/>
        <v>2.02637344149985i</v>
      </c>
      <c r="AO487" s="170" t="str">
        <f t="shared" si="255"/>
        <v>0.443159804629284-0.710619578183741i</v>
      </c>
      <c r="AP487" s="170" t="str">
        <f t="shared" si="256"/>
        <v>-0.073330106706894-0.149667876406841i</v>
      </c>
      <c r="AQ487" s="170" t="str">
        <f t="shared" si="257"/>
        <v>1.07333010670689+0.149667876406841i</v>
      </c>
      <c r="AR487" s="170" t="str">
        <f t="shared" si="258"/>
        <v>0.761286662720884-0.106155745966978i</v>
      </c>
    </row>
    <row r="488" spans="7:44">
      <c r="G488" s="688">
        <v>59913</v>
      </c>
      <c r="H488" s="676">
        <f t="shared" si="250"/>
        <v>59.912999999999997</v>
      </c>
      <c r="I488" s="677">
        <f t="shared" si="230"/>
        <v>308.50795914668311</v>
      </c>
      <c r="J488" s="678">
        <f t="shared" si="231"/>
        <v>1.5675549136595772</v>
      </c>
      <c r="K488" s="678">
        <f t="shared" si="232"/>
        <v>1.0006258808922142</v>
      </c>
      <c r="L488" s="679">
        <f t="shared" si="233"/>
        <v>3.5371022812165281E-2</v>
      </c>
      <c r="M488" s="678">
        <f t="shared" si="234"/>
        <v>1.0752888671059038</v>
      </c>
      <c r="N488" s="679">
        <f t="shared" si="235"/>
        <v>-0.37643065781119867</v>
      </c>
      <c r="O488" s="677">
        <f t="shared" si="236"/>
        <v>1129333.442637143</v>
      </c>
      <c r="P488" s="680">
        <f t="shared" si="237"/>
        <v>1.5707954413168241</v>
      </c>
      <c r="Q488" s="689">
        <f t="shared" si="259"/>
        <v>139.2880476549042</v>
      </c>
      <c r="R488" s="690">
        <f t="shared" si="260"/>
        <v>1.5636168982108418</v>
      </c>
      <c r="S488" s="677">
        <f t="shared" si="238"/>
        <v>1.4162289030307389</v>
      </c>
      <c r="T488" s="680">
        <f t="shared" si="239"/>
        <v>0.78682018593915282</v>
      </c>
      <c r="U488" s="681">
        <f t="shared" si="251"/>
        <v>0.64141213073383019</v>
      </c>
      <c r="V488" s="682">
        <f t="shared" si="252"/>
        <v>-1.1565581046422651</v>
      </c>
      <c r="W488" s="683">
        <f t="shared" si="240"/>
        <v>-25.189797316294133</v>
      </c>
      <c r="X488" s="684">
        <f t="shared" si="241"/>
        <v>-221.11423287875397</v>
      </c>
      <c r="Y488" s="687">
        <f t="shared" si="242"/>
        <v>-41.114232878753967</v>
      </c>
      <c r="AA488" s="170">
        <f t="shared" si="243"/>
        <v>59913</v>
      </c>
      <c r="AB488" s="170">
        <f t="shared" si="244"/>
        <v>3589567569</v>
      </c>
      <c r="AD488" s="686">
        <f t="shared" si="245"/>
        <v>23.904614276196181</v>
      </c>
      <c r="AE488" s="687">
        <f t="shared" si="246"/>
        <v>-45.492776165020729</v>
      </c>
      <c r="AG488" s="686">
        <f t="shared" si="247"/>
        <v>3.8010898130367874</v>
      </c>
      <c r="AH488" s="687">
        <f t="shared" si="248"/>
        <v>-43.089660246990384</v>
      </c>
      <c r="AJ488" s="170">
        <f t="shared" si="249"/>
        <v>0</v>
      </c>
      <c r="AK488" s="170">
        <f t="shared" si="261"/>
        <v>0</v>
      </c>
      <c r="AM488" s="170" t="str">
        <f t="shared" si="253"/>
        <v>1.45042815171714+0.892812679200223i</v>
      </c>
      <c r="AN488" s="170" t="str">
        <f t="shared" si="254"/>
        <v>2.0380411616683i</v>
      </c>
      <c r="AO488" s="170" t="str">
        <f t="shared" si="255"/>
        <v>0.438073919208474-0.711677555388454i</v>
      </c>
      <c r="AP488" s="170" t="str">
        <f t="shared" si="256"/>
        <v>-0.0750713586195235-0.148802113200037i</v>
      </c>
      <c r="AQ488" s="170" t="str">
        <f t="shared" si="257"/>
        <v>1.07507135861952+0.148802113200037i</v>
      </c>
      <c r="AR488" s="170" t="str">
        <f t="shared" si="258"/>
        <v>0.760267306255907-0.105229649046782i</v>
      </c>
    </row>
    <row r="489" spans="7:44">
      <c r="G489" s="688">
        <v>60256</v>
      </c>
      <c r="H489" s="676">
        <f t="shared" si="250"/>
        <v>60.256</v>
      </c>
      <c r="I489" s="677">
        <f t="shared" si="230"/>
        <v>310.27413879632388</v>
      </c>
      <c r="J489" s="678">
        <f t="shared" si="231"/>
        <v>1.5675733648840886</v>
      </c>
      <c r="K489" s="678">
        <f t="shared" si="232"/>
        <v>1.000633065428189</v>
      </c>
      <c r="L489" s="679">
        <f t="shared" si="233"/>
        <v>3.5573350474157488E-2</v>
      </c>
      <c r="M489" s="678">
        <f t="shared" si="234"/>
        <v>1.0761227983276933</v>
      </c>
      <c r="N489" s="679">
        <f t="shared" si="235"/>
        <v>-0.37838630725164923</v>
      </c>
      <c r="O489" s="677">
        <f t="shared" si="236"/>
        <v>1135798.8403108404</v>
      </c>
      <c r="P489" s="680">
        <f t="shared" si="237"/>
        <v>1.5707954463573011</v>
      </c>
      <c r="Q489" s="689">
        <f t="shared" si="259"/>
        <v>140.08542626774664</v>
      </c>
      <c r="R489" s="690">
        <f t="shared" si="260"/>
        <v>1.5636577648482959</v>
      </c>
      <c r="S489" s="677">
        <f t="shared" si="238"/>
        <v>1.4203001505567858</v>
      </c>
      <c r="T489" s="680">
        <f t="shared" si="239"/>
        <v>0.78967445698238048</v>
      </c>
      <c r="U489" s="681">
        <f t="shared" si="251"/>
        <v>0.63910181523535781</v>
      </c>
      <c r="V489" s="682">
        <f t="shared" si="252"/>
        <v>-1.1613661382619969</v>
      </c>
      <c r="W489" s="683">
        <f t="shared" si="240"/>
        <v>-25.288863913383224</v>
      </c>
      <c r="X489" s="684">
        <f t="shared" si="241"/>
        <v>-221.65242451617439</v>
      </c>
      <c r="Y489" s="687">
        <f t="shared" si="242"/>
        <v>-41.652424516174392</v>
      </c>
      <c r="AA489" s="170">
        <f t="shared" si="243"/>
        <v>60256</v>
      </c>
      <c r="AB489" s="170">
        <f t="shared" si="244"/>
        <v>3630785536</v>
      </c>
      <c r="AD489" s="686">
        <f t="shared" si="245"/>
        <v>23.879678141616832</v>
      </c>
      <c r="AE489" s="687">
        <f t="shared" si="246"/>
        <v>-45.653972652517311</v>
      </c>
      <c r="AG489" s="686">
        <f t="shared" si="247"/>
        <v>3.7896440789083514</v>
      </c>
      <c r="AH489" s="687">
        <f t="shared" si="248"/>
        <v>-42.915695327949351</v>
      </c>
      <c r="AJ489" s="170">
        <f t="shared" si="249"/>
        <v>0</v>
      </c>
      <c r="AK489" s="170">
        <f t="shared" si="261"/>
        <v>0</v>
      </c>
      <c r="AM489" s="170" t="str">
        <f t="shared" si="253"/>
        <v>1.46081434453955+0.887496557664638i</v>
      </c>
      <c r="AN489" s="170" t="str">
        <f t="shared" si="254"/>
        <v>2.04970888183674i</v>
      </c>
      <c r="AO489" s="170" t="str">
        <f t="shared" si="255"/>
        <v>0.432986638019226-0.712693571991803i</v>
      </c>
      <c r="AP489" s="170" t="str">
        <f t="shared" si="256"/>
        <v>-0.0768023907565923-0.147916092944106i</v>
      </c>
      <c r="AQ489" s="170" t="str">
        <f t="shared" si="257"/>
        <v>1.07680239075659+0.147916092944106i</v>
      </c>
      <c r="AR489" s="170" t="str">
        <f t="shared" si="258"/>
        <v>0.759259889564128-0.10429653328926i</v>
      </c>
    </row>
    <row r="490" spans="7:44">
      <c r="G490" s="688">
        <v>60607</v>
      </c>
      <c r="H490" s="676">
        <f t="shared" si="250"/>
        <v>60.606999999999999</v>
      </c>
      <c r="I490" s="677">
        <f t="shared" si="230"/>
        <v>312.08151224852099</v>
      </c>
      <c r="J490" s="678">
        <f t="shared" si="231"/>
        <v>1.5675920302505424</v>
      </c>
      <c r="K490" s="678">
        <f t="shared" si="232"/>
        <v>1.0006404599395256</v>
      </c>
      <c r="L490" s="679">
        <f t="shared" si="233"/>
        <v>3.5780394132129661E-2</v>
      </c>
      <c r="M490" s="678">
        <f t="shared" si="234"/>
        <v>1.0769804339654507</v>
      </c>
      <c r="N490" s="679">
        <f t="shared" si="235"/>
        <v>-0.3803844262663823</v>
      </c>
      <c r="O490" s="677">
        <f t="shared" si="236"/>
        <v>1142415.0344317378</v>
      </c>
      <c r="P490" s="680">
        <f t="shared" si="237"/>
        <v>1.5707954514562763</v>
      </c>
      <c r="Q490" s="689">
        <f t="shared" si="259"/>
        <v>140.90140287192165</v>
      </c>
      <c r="R490" s="690">
        <f t="shared" si="260"/>
        <v>1.5636991057966834</v>
      </c>
      <c r="S490" s="677">
        <f t="shared" si="238"/>
        <v>1.4244782639174687</v>
      </c>
      <c r="T490" s="680">
        <f t="shared" si="239"/>
        <v>0.79257838505679623</v>
      </c>
      <c r="U490" s="681">
        <f t="shared" si="251"/>
        <v>0.63674552167219445</v>
      </c>
      <c r="V490" s="682">
        <f t="shared" si="252"/>
        <v>-1.166271792132582</v>
      </c>
      <c r="W490" s="683">
        <f t="shared" si="240"/>
        <v>-25.389928830533371</v>
      </c>
      <c r="X490" s="684">
        <f t="shared" si="241"/>
        <v>-222.20120273775083</v>
      </c>
      <c r="Y490" s="687">
        <f t="shared" si="242"/>
        <v>-42.201202737750833</v>
      </c>
      <c r="AA490" s="170">
        <f t="shared" si="243"/>
        <v>60607</v>
      </c>
      <c r="AB490" s="170">
        <f t="shared" si="244"/>
        <v>3673208449</v>
      </c>
      <c r="AD490" s="686">
        <f t="shared" si="245"/>
        <v>23.854161712625334</v>
      </c>
      <c r="AE490" s="687">
        <f t="shared" si="246"/>
        <v>-45.817987105664379</v>
      </c>
      <c r="AG490" s="686">
        <f t="shared" si="247"/>
        <v>3.7782616661784534</v>
      </c>
      <c r="AH490" s="687">
        <f t="shared" si="248"/>
        <v>-42.738312570663268</v>
      </c>
      <c r="AJ490" s="170">
        <f t="shared" si="249"/>
        <v>0</v>
      </c>
      <c r="AK490" s="170">
        <f t="shared" si="261"/>
        <v>0</v>
      </c>
      <c r="AM490" s="170" t="str">
        <f t="shared" si="253"/>
        <v>1.47137782524066+0.881931372540621i</v>
      </c>
      <c r="AN490" s="170" t="str">
        <f t="shared" si="254"/>
        <v>2.0616487354202i</v>
      </c>
      <c r="AO490" s="170" t="str">
        <f t="shared" si="255"/>
        <v>0.427779649068525-0.713689873527736i</v>
      </c>
      <c r="AP490" s="170" t="str">
        <f t="shared" si="256"/>
        <v>-0.0785629708734437-0.146988562090103i</v>
      </c>
      <c r="AQ490" s="170" t="str">
        <f t="shared" si="257"/>
        <v>1.07856297087344+0.146988562090103i</v>
      </c>
      <c r="AR490" s="170" t="str">
        <f t="shared" si="258"/>
        <v>0.758241315250491-0.103334532758641i</v>
      </c>
    </row>
    <row r="491" spans="7:44">
      <c r="G491" s="688">
        <v>60958</v>
      </c>
      <c r="H491" s="676">
        <f t="shared" si="250"/>
        <v>60.957999999999998</v>
      </c>
      <c r="I491" s="677">
        <f t="shared" si="230"/>
        <v>313.888885808194</v>
      </c>
      <c r="J491" s="678">
        <f t="shared" si="231"/>
        <v>1.5676104806664815</v>
      </c>
      <c r="K491" s="678">
        <f t="shared" si="232"/>
        <v>1.0006478973447579</v>
      </c>
      <c r="L491" s="679">
        <f t="shared" si="233"/>
        <v>3.5987434721235841E-2</v>
      </c>
      <c r="M491" s="678">
        <f t="shared" si="234"/>
        <v>1.0778423625729032</v>
      </c>
      <c r="N491" s="679">
        <f t="shared" si="235"/>
        <v>-0.38237935752500524</v>
      </c>
      <c r="O491" s="677">
        <f t="shared" si="236"/>
        <v>1149031.2285526353</v>
      </c>
      <c r="P491" s="680">
        <f t="shared" si="237"/>
        <v>1.5707954564965312</v>
      </c>
      <c r="Q491" s="689">
        <f t="shared" si="259"/>
        <v>141.71737971413449</v>
      </c>
      <c r="R491" s="690">
        <f t="shared" si="260"/>
        <v>1.5637399706813488</v>
      </c>
      <c r="S491" s="677">
        <f t="shared" si="238"/>
        <v>1.4286683192973808</v>
      </c>
      <c r="T491" s="680">
        <f t="shared" si="239"/>
        <v>0.79546530384534941</v>
      </c>
      <c r="U491" s="681">
        <f t="shared" si="251"/>
        <v>0.6343972402453919</v>
      </c>
      <c r="V491" s="682">
        <f t="shared" si="252"/>
        <v>-1.171162935522033</v>
      </c>
      <c r="W491" s="683">
        <f t="shared" si="240"/>
        <v>-25.490680044782209</v>
      </c>
      <c r="X491" s="684">
        <f t="shared" si="241"/>
        <v>-222.74800749788702</v>
      </c>
      <c r="Y491" s="687">
        <f t="shared" si="242"/>
        <v>-42.748007497887016</v>
      </c>
      <c r="AA491" s="170">
        <f t="shared" si="243"/>
        <v>60958</v>
      </c>
      <c r="AB491" s="170">
        <f t="shared" si="244"/>
        <v>3715877764</v>
      </c>
      <c r="AD491" s="686">
        <f t="shared" si="245"/>
        <v>23.828647448169406</v>
      </c>
      <c r="AE491" s="687">
        <f t="shared" si="246"/>
        <v>-45.981054271595553</v>
      </c>
      <c r="AG491" s="686">
        <f t="shared" si="247"/>
        <v>3.7672092820441532</v>
      </c>
      <c r="AH491" s="687">
        <f t="shared" si="248"/>
        <v>-42.561566417810148</v>
      </c>
      <c r="AJ491" s="170">
        <f t="shared" si="249"/>
        <v>0</v>
      </c>
      <c r="AK491" s="170">
        <f t="shared" si="261"/>
        <v>0</v>
      </c>
      <c r="AM491" s="170" t="str">
        <f t="shared" si="253"/>
        <v>1.4818741070685+0.876240460682418i</v>
      </c>
      <c r="AN491" s="170" t="str">
        <f t="shared" si="254"/>
        <v>2.07358858900366i</v>
      </c>
      <c r="AO491" s="170" t="str">
        <f t="shared" si="255"/>
        <v>0.42257199201865-0.714642294487416i</v>
      </c>
      <c r="AP491" s="170" t="str">
        <f t="shared" si="256"/>
        <v>-0.0803123511780833-0.146040076780403i</v>
      </c>
      <c r="AQ491" s="170" t="str">
        <f t="shared" si="257"/>
        <v>1.08031235117808+0.146040076780403i</v>
      </c>
      <c r="AR491" s="170" t="str">
        <f t="shared" si="258"/>
        <v>0.757235198995814-0.102365474653305i</v>
      </c>
    </row>
    <row r="492" spans="7:44">
      <c r="G492" s="688">
        <v>61309</v>
      </c>
      <c r="H492" s="676">
        <f t="shared" si="250"/>
        <v>61.308999999999997</v>
      </c>
      <c r="I492" s="677">
        <f t="shared" si="230"/>
        <v>315.69625947349681</v>
      </c>
      <c r="J492" s="678">
        <f t="shared" si="231"/>
        <v>1.5676287198236936</v>
      </c>
      <c r="K492" s="678">
        <f t="shared" si="232"/>
        <v>1.0006553776429299</v>
      </c>
      <c r="L492" s="679">
        <f t="shared" si="233"/>
        <v>3.6194472223794731E-2</v>
      </c>
      <c r="M492" s="678">
        <f t="shared" si="234"/>
        <v>1.0787085738593192</v>
      </c>
      <c r="N492" s="679">
        <f t="shared" si="235"/>
        <v>-0.38437109280934972</v>
      </c>
      <c r="O492" s="677">
        <f t="shared" si="236"/>
        <v>1155647.4226735327</v>
      </c>
      <c r="P492" s="680">
        <f t="shared" si="237"/>
        <v>1.5707954614790742</v>
      </c>
      <c r="Q492" s="689">
        <f t="shared" si="259"/>
        <v>142.53335679029701</v>
      </c>
      <c r="R492" s="690">
        <f t="shared" si="260"/>
        <v>1.5637803676782849</v>
      </c>
      <c r="S492" s="677">
        <f t="shared" si="238"/>
        <v>1.4328702119325603</v>
      </c>
      <c r="T492" s="680">
        <f t="shared" si="239"/>
        <v>0.79833531465514063</v>
      </c>
      <c r="U492" s="681">
        <f t="shared" si="251"/>
        <v>0.63205698312857095</v>
      </c>
      <c r="V492" s="682">
        <f t="shared" si="252"/>
        <v>-1.1760397468258577</v>
      </c>
      <c r="W492" s="683">
        <f t="shared" si="240"/>
        <v>-25.591119719038083</v>
      </c>
      <c r="X492" s="684">
        <f t="shared" si="241"/>
        <v>-223.29285409564048</v>
      </c>
      <c r="Y492" s="687">
        <f t="shared" si="242"/>
        <v>-43.292854095640479</v>
      </c>
      <c r="AA492" s="170">
        <f t="shared" si="243"/>
        <v>61309</v>
      </c>
      <c r="AB492" s="170">
        <f t="shared" si="244"/>
        <v>3758793481</v>
      </c>
      <c r="AD492" s="686">
        <f t="shared" si="245"/>
        <v>23.80313618282656</v>
      </c>
      <c r="AE492" s="687">
        <f t="shared" si="246"/>
        <v>-46.143179486388021</v>
      </c>
      <c r="AG492" s="686">
        <f t="shared" si="247"/>
        <v>3.7564829194527909</v>
      </c>
      <c r="AH492" s="687">
        <f t="shared" si="248"/>
        <v>-42.385446389750861</v>
      </c>
      <c r="AJ492" s="170">
        <f t="shared" si="249"/>
        <v>0</v>
      </c>
      <c r="AK492" s="170">
        <f t="shared" si="261"/>
        <v>0</v>
      </c>
      <c r="AM492" s="170" t="str">
        <f t="shared" si="253"/>
        <v>1.49230169368981+0.870424633377378i</v>
      </c>
      <c r="AN492" s="170" t="str">
        <f t="shared" si="254"/>
        <v>2.08552844258711i</v>
      </c>
      <c r="AO492" s="170" t="str">
        <f t="shared" si="255"/>
        <v>0.417364067352451-0.715550871048587i</v>
      </c>
      <c r="AP492" s="170" t="str">
        <f t="shared" si="256"/>
        <v>-0.0820502822816353-0.145070772229563i</v>
      </c>
      <c r="AQ492" s="170" t="str">
        <f t="shared" si="257"/>
        <v>1.08205028228164+0.145070772229563i</v>
      </c>
      <c r="AR492" s="170" t="str">
        <f t="shared" si="258"/>
        <v>0.756241516537838-0.101389503420179i</v>
      </c>
    </row>
    <row r="493" spans="7:44">
      <c r="G493" s="688">
        <v>61660</v>
      </c>
      <c r="H493" s="676">
        <f t="shared" si="250"/>
        <v>61.66</v>
      </c>
      <c r="I493" s="677">
        <f t="shared" si="230"/>
        <v>317.50363324262571</v>
      </c>
      <c r="J493" s="678">
        <f t="shared" si="231"/>
        <v>1.5676467513299066</v>
      </c>
      <c r="K493" s="678">
        <f t="shared" si="232"/>
        <v>1.0006629008330794</v>
      </c>
      <c r="L493" s="679">
        <f t="shared" si="233"/>
        <v>3.6401506622126628E-2</v>
      </c>
      <c r="M493" s="678">
        <f t="shared" si="234"/>
        <v>1.0795790575159452</v>
      </c>
      <c r="N493" s="679">
        <f t="shared" si="235"/>
        <v>-0.38635962402898483</v>
      </c>
      <c r="O493" s="677">
        <f t="shared" si="236"/>
        <v>1162263.6167944302</v>
      </c>
      <c r="P493" s="680">
        <f t="shared" si="237"/>
        <v>1.5707954664048909</v>
      </c>
      <c r="Q493" s="689">
        <f t="shared" si="259"/>
        <v>143.34933409641417</v>
      </c>
      <c r="R493" s="690">
        <f t="shared" si="260"/>
        <v>1.5638203047773314</v>
      </c>
      <c r="S493" s="677">
        <f t="shared" si="238"/>
        <v>1.4370838379900797</v>
      </c>
      <c r="T493" s="680">
        <f t="shared" si="239"/>
        <v>0.80118851872428565</v>
      </c>
      <c r="U493" s="681">
        <f t="shared" si="251"/>
        <v>0.62972476045452519</v>
      </c>
      <c r="V493" s="682">
        <f t="shared" si="252"/>
        <v>-1.1809024040854295</v>
      </c>
      <c r="W493" s="683">
        <f t="shared" si="240"/>
        <v>-25.691249995399513</v>
      </c>
      <c r="X493" s="684">
        <f t="shared" si="241"/>
        <v>-223.83575781899253</v>
      </c>
      <c r="Y493" s="687">
        <f t="shared" si="242"/>
        <v>-43.835757818992533</v>
      </c>
      <c r="AA493" s="170">
        <f t="shared" si="243"/>
        <v>61660</v>
      </c>
      <c r="AB493" s="170">
        <f t="shared" si="244"/>
        <v>3801955600</v>
      </c>
      <c r="AD493" s="686">
        <f t="shared" si="245"/>
        <v>23.777628736310099</v>
      </c>
      <c r="AE493" s="687">
        <f t="shared" si="246"/>
        <v>-46.30436809283092</v>
      </c>
      <c r="AG493" s="686">
        <f t="shared" si="247"/>
        <v>3.7460786501648546</v>
      </c>
      <c r="AH493" s="687">
        <f t="shared" si="248"/>
        <v>-42.209942029639123</v>
      </c>
      <c r="AJ493" s="170">
        <f t="shared" si="249"/>
        <v>0</v>
      </c>
      <c r="AK493" s="170">
        <f t="shared" si="261"/>
        <v>0</v>
      </c>
      <c r="AM493" s="170" t="str">
        <f t="shared" si="253"/>
        <v>1.50265909856445+0.864484719720585i</v>
      </c>
      <c r="AN493" s="170" t="str">
        <f t="shared" si="254"/>
        <v>2.09746829617057i</v>
      </c>
      <c r="AO493" s="170" t="str">
        <f t="shared" si="255"/>
        <v>0.412156274923873-0.716415643234233i</v>
      </c>
      <c r="AP493" s="170" t="str">
        <f t="shared" si="256"/>
        <v>-0.0837765164274077-0.144080786620098i</v>
      </c>
      <c r="AQ493" s="170" t="str">
        <f t="shared" si="257"/>
        <v>1.08377651642741+0.144080786620098i</v>
      </c>
      <c r="AR493" s="170" t="str">
        <f t="shared" si="258"/>
        <v>0.755260242732517-0.100406761196948i</v>
      </c>
    </row>
    <row r="494" spans="7:44">
      <c r="G494" s="688">
        <v>62019</v>
      </c>
      <c r="H494" s="676">
        <f t="shared" si="250"/>
        <v>62.018999999999998</v>
      </c>
      <c r="I494" s="677">
        <f t="shared" si="230"/>
        <v>319.35220082145952</v>
      </c>
      <c r="J494" s="678">
        <f t="shared" si="231"/>
        <v>1.5676649826812536</v>
      </c>
      <c r="K494" s="678">
        <f t="shared" si="232"/>
        <v>1.0006706398604526</v>
      </c>
      <c r="L494" s="679">
        <f t="shared" si="233"/>
        <v>3.6613256523597315E-2</v>
      </c>
      <c r="M494" s="678">
        <f t="shared" si="234"/>
        <v>1.0804737900364891</v>
      </c>
      <c r="N494" s="679">
        <f t="shared" si="235"/>
        <v>-0.38839015516069653</v>
      </c>
      <c r="O494" s="677">
        <f t="shared" si="236"/>
        <v>1169030.6073625279</v>
      </c>
      <c r="P494" s="680">
        <f t="shared" si="237"/>
        <v>1.5707954713853003</v>
      </c>
      <c r="Q494" s="689">
        <f t="shared" si="259"/>
        <v>144.18390940969681</v>
      </c>
      <c r="R494" s="690">
        <f t="shared" si="260"/>
        <v>1.5638606845215799</v>
      </c>
      <c r="S494" s="677">
        <f t="shared" si="238"/>
        <v>1.4414055314661742</v>
      </c>
      <c r="T494" s="680">
        <f t="shared" si="239"/>
        <v>0.80408947281942</v>
      </c>
      <c r="U494" s="681">
        <f t="shared" si="251"/>
        <v>0.62734770139573914</v>
      </c>
      <c r="V494" s="682">
        <f t="shared" si="252"/>
        <v>-1.1858614347101177</v>
      </c>
      <c r="W494" s="683">
        <f t="shared" si="240"/>
        <v>-25.793344599158281</v>
      </c>
      <c r="X494" s="684">
        <f t="shared" si="241"/>
        <v>-224.38904153537851</v>
      </c>
      <c r="Y494" s="687">
        <f t="shared" si="242"/>
        <v>-44.38904153537851</v>
      </c>
      <c r="AA494" s="170">
        <f t="shared" si="243"/>
        <v>62019</v>
      </c>
      <c r="AB494" s="170">
        <f t="shared" si="244"/>
        <v>3846356361</v>
      </c>
      <c r="AD494" s="686">
        <f t="shared" si="245"/>
        <v>23.751544712869471</v>
      </c>
      <c r="AE494" s="687">
        <f t="shared" si="246"/>
        <v>-46.468267215663772</v>
      </c>
      <c r="AG494" s="686">
        <f t="shared" si="247"/>
        <v>3.7357664217980391</v>
      </c>
      <c r="AH494" s="687">
        <f t="shared" si="248"/>
        <v>-42.031063572001393</v>
      </c>
      <c r="AJ494" s="170">
        <f t="shared" si="249"/>
        <v>0</v>
      </c>
      <c r="AK494" s="170">
        <f t="shared" si="261"/>
        <v>0</v>
      </c>
      <c r="AM494" s="170" t="str">
        <f t="shared" si="253"/>
        <v>1.51317843135327+0.858281945280105i</v>
      </c>
      <c r="AN494" s="170" t="str">
        <f t="shared" si="254"/>
        <v>2.10968028316903i</v>
      </c>
      <c r="AO494" s="170" t="str">
        <f t="shared" si="255"/>
        <v>0.406830339235501-0.71725485772672i</v>
      </c>
      <c r="AP494" s="170" t="str">
        <f t="shared" si="256"/>
        <v>-0.0855297385588777-0.143046990880018i</v>
      </c>
      <c r="AQ494" s="170" t="str">
        <f t="shared" si="257"/>
        <v>1.08552973855888+0.143046990880018i</v>
      </c>
      <c r="AR494" s="170" t="str">
        <f t="shared" si="258"/>
        <v>0.754269412738879-0.0993947618131353i</v>
      </c>
    </row>
    <row r="495" spans="7:44">
      <c r="G495" s="688">
        <v>62378</v>
      </c>
      <c r="H495" s="676">
        <f t="shared" si="250"/>
        <v>62.378</v>
      </c>
      <c r="I495" s="677">
        <f t="shared" si="230"/>
        <v>321.20076850521849</v>
      </c>
      <c r="J495" s="678">
        <f t="shared" si="231"/>
        <v>1.5676830041832526</v>
      </c>
      <c r="K495" s="678">
        <f t="shared" si="232"/>
        <v>1.0006784237552215</v>
      </c>
      <c r="L495" s="679">
        <f t="shared" si="233"/>
        <v>3.6825003140319161E-2</v>
      </c>
      <c r="M495" s="678">
        <f t="shared" si="234"/>
        <v>1.0813729700290722</v>
      </c>
      <c r="N495" s="679">
        <f t="shared" si="235"/>
        <v>-0.39041731779670857</v>
      </c>
      <c r="O495" s="677">
        <f t="shared" si="236"/>
        <v>1175797.5979306255</v>
      </c>
      <c r="P495" s="680">
        <f t="shared" si="237"/>
        <v>1.5707954763083829</v>
      </c>
      <c r="Q495" s="689">
        <f t="shared" si="259"/>
        <v>145.01848495536885</v>
      </c>
      <c r="R495" s="690">
        <f t="shared" si="260"/>
        <v>1.5639005994982864</v>
      </c>
      <c r="S495" s="677">
        <f t="shared" si="238"/>
        <v>1.445739282560458</v>
      </c>
      <c r="T495" s="680">
        <f t="shared" si="239"/>
        <v>0.80697305924842067</v>
      </c>
      <c r="U495" s="681">
        <f t="shared" si="251"/>
        <v>0.62497906232163292</v>
      </c>
      <c r="V495" s="682">
        <f t="shared" si="252"/>
        <v>-1.1908060342977083</v>
      </c>
      <c r="W495" s="683">
        <f t="shared" si="240"/>
        <v>-25.895120010515718</v>
      </c>
      <c r="X495" s="684">
        <f t="shared" si="241"/>
        <v>-224.94032511034047</v>
      </c>
      <c r="Y495" s="687">
        <f t="shared" si="242"/>
        <v>-44.940325110340467</v>
      </c>
      <c r="AA495" s="170">
        <f t="shared" si="243"/>
        <v>62378</v>
      </c>
      <c r="AB495" s="170">
        <f t="shared" si="244"/>
        <v>3891014884</v>
      </c>
      <c r="AD495" s="686">
        <f t="shared" si="245"/>
        <v>23.725466372049425</v>
      </c>
      <c r="AE495" s="687">
        <f t="shared" si="246"/>
        <v>-46.631197870460085</v>
      </c>
      <c r="AG495" s="686">
        <f t="shared" si="247"/>
        <v>3.7257830698185397</v>
      </c>
      <c r="AH495" s="687">
        <f t="shared" si="248"/>
        <v>-41.852807116017431</v>
      </c>
      <c r="AJ495" s="170">
        <f t="shared" si="249"/>
        <v>0</v>
      </c>
      <c r="AK495" s="170">
        <f t="shared" si="261"/>
        <v>0</v>
      </c>
      <c r="AM495" s="170" t="str">
        <f t="shared" si="253"/>
        <v>1.52362123344589+0.851951174589604i</v>
      </c>
      <c r="AN495" s="170" t="str">
        <f t="shared" si="254"/>
        <v>2.12189227016749i</v>
      </c>
      <c r="AO495" s="170" t="str">
        <f t="shared" si="255"/>
        <v>0.401505385814123-0.718048345275146i</v>
      </c>
      <c r="AP495" s="170" t="str">
        <f t="shared" si="256"/>
        <v>-0.0872702055743148-0.141991862431601i</v>
      </c>
      <c r="AQ495" s="170" t="str">
        <f t="shared" si="257"/>
        <v>1.08727020557431+0.141991862431601i</v>
      </c>
      <c r="AR495" s="170" t="str">
        <f t="shared" si="258"/>
        <v>0.753291507676629-0.0983759727623686i</v>
      </c>
    </row>
    <row r="496" spans="7:44">
      <c r="G496" s="688">
        <v>62737</v>
      </c>
      <c r="H496" s="676">
        <f t="shared" si="250"/>
        <v>62.737000000000002</v>
      </c>
      <c r="I496" s="677">
        <f t="shared" si="230"/>
        <v>323.04933629210149</v>
      </c>
      <c r="J496" s="678">
        <f t="shared" si="231"/>
        <v>1.56770081943832</v>
      </c>
      <c r="K496" s="678">
        <f t="shared" si="232"/>
        <v>1.0006862525163391</v>
      </c>
      <c r="L496" s="679">
        <f t="shared" si="233"/>
        <v>3.703674645338105E-2</v>
      </c>
      <c r="M496" s="678">
        <f t="shared" si="234"/>
        <v>1.082276586408512</v>
      </c>
      <c r="N496" s="679">
        <f t="shared" si="235"/>
        <v>-0.39244110369290652</v>
      </c>
      <c r="O496" s="677">
        <f t="shared" si="236"/>
        <v>1182564.588498723</v>
      </c>
      <c r="P496" s="680">
        <f t="shared" si="237"/>
        <v>1.5707954811751226</v>
      </c>
      <c r="Q496" s="689">
        <f t="shared" si="259"/>
        <v>145.85306072944101</v>
      </c>
      <c r="R496" s="690">
        <f t="shared" si="260"/>
        <v>1.5639400576855655</v>
      </c>
      <c r="S496" s="677">
        <f t="shared" si="238"/>
        <v>1.4500849831660656</v>
      </c>
      <c r="T496" s="680">
        <f t="shared" si="239"/>
        <v>0.80983938598700866</v>
      </c>
      <c r="U496" s="681">
        <f t="shared" si="251"/>
        <v>0.62261884778015386</v>
      </c>
      <c r="V496" s="682">
        <f t="shared" si="252"/>
        <v>-1.1957363921161592</v>
      </c>
      <c r="W496" s="683">
        <f t="shared" si="240"/>
        <v>-25.996578459358307</v>
      </c>
      <c r="X496" s="684">
        <f t="shared" si="241"/>
        <v>-225.48962485276459</v>
      </c>
      <c r="Y496" s="687">
        <f t="shared" si="242"/>
        <v>-45.489624852764592</v>
      </c>
      <c r="AA496" s="170">
        <f t="shared" si="243"/>
        <v>62737</v>
      </c>
      <c r="AB496" s="170">
        <f t="shared" si="244"/>
        <v>3935931169</v>
      </c>
      <c r="AD496" s="686">
        <f t="shared" si="245"/>
        <v>23.699394543826745</v>
      </c>
      <c r="AE496" s="687">
        <f t="shared" si="246"/>
        <v>-46.793165786717061</v>
      </c>
      <c r="AG496" s="686">
        <f t="shared" si="247"/>
        <v>3.7161246371675993</v>
      </c>
      <c r="AH496" s="687">
        <f t="shared" si="248"/>
        <v>-41.675161552565861</v>
      </c>
      <c r="AJ496" s="170">
        <f t="shared" si="249"/>
        <v>0</v>
      </c>
      <c r="AK496" s="170">
        <f t="shared" si="261"/>
        <v>0</v>
      </c>
      <c r="AM496" s="170" t="str">
        <f t="shared" si="253"/>
        <v>1.53398594749918+0.845493351761803i</v>
      </c>
      <c r="AN496" s="170" t="str">
        <f t="shared" si="254"/>
        <v>2.13410425716596i</v>
      </c>
      <c r="AO496" s="170" t="str">
        <f t="shared" si="255"/>
        <v>0.396181840190225-0.71879616112864i</v>
      </c>
      <c r="AP496" s="170" t="str">
        <f t="shared" si="256"/>
        <v>-0.0889976579165292-0.140915558626967i</v>
      </c>
      <c r="AQ496" s="170" t="str">
        <f t="shared" si="257"/>
        <v>1.08899765791653+0.140915558626967i</v>
      </c>
      <c r="AR496" s="170" t="str">
        <f t="shared" si="258"/>
        <v>0.752326498120754-0.0973505388022439i</v>
      </c>
    </row>
    <row r="497" spans="7:44">
      <c r="G497" s="688">
        <v>63096</v>
      </c>
      <c r="H497" s="676">
        <f t="shared" si="250"/>
        <v>63.095999999999997</v>
      </c>
      <c r="I497" s="677">
        <f t="shared" si="230"/>
        <v>324.89790418034812</v>
      </c>
      <c r="J497" s="678">
        <f t="shared" si="231"/>
        <v>1.5677184319668871</v>
      </c>
      <c r="K497" s="678">
        <f t="shared" si="232"/>
        <v>1.0006941261427527</v>
      </c>
      <c r="L497" s="679">
        <f t="shared" si="233"/>
        <v>3.7248486443873616E-2</v>
      </c>
      <c r="M497" s="678">
        <f t="shared" si="234"/>
        <v>1.0831846280720145</v>
      </c>
      <c r="N497" s="679">
        <f t="shared" si="235"/>
        <v>-0.39446150474325831</v>
      </c>
      <c r="O497" s="677">
        <f t="shared" si="236"/>
        <v>1189331.5790668207</v>
      </c>
      <c r="P497" s="680">
        <f t="shared" si="237"/>
        <v>1.5707954859864814</v>
      </c>
      <c r="Q497" s="689">
        <f t="shared" si="259"/>
        <v>146.68763672801489</v>
      </c>
      <c r="R497" s="690">
        <f t="shared" si="260"/>
        <v>1.5639790668799729</v>
      </c>
      <c r="S497" s="677">
        <f t="shared" si="238"/>
        <v>1.4544425261718621</v>
      </c>
      <c r="T497" s="680">
        <f t="shared" si="239"/>
        <v>0.81268856085666186</v>
      </c>
      <c r="U497" s="681">
        <f t="shared" si="251"/>
        <v>0.62026706030640055</v>
      </c>
      <c r="V497" s="682">
        <f t="shared" si="252"/>
        <v>-1.2006526969965485</v>
      </c>
      <c r="W497" s="683">
        <f t="shared" si="240"/>
        <v>-26.097722156407048</v>
      </c>
      <c r="X497" s="684">
        <f t="shared" si="241"/>
        <v>-226.03695705128359</v>
      </c>
      <c r="Y497" s="687">
        <f t="shared" si="242"/>
        <v>-46.036957051283594</v>
      </c>
      <c r="AA497" s="170">
        <f t="shared" si="243"/>
        <v>63096</v>
      </c>
      <c r="AB497" s="170">
        <f t="shared" si="244"/>
        <v>3981105216</v>
      </c>
      <c r="AD497" s="686">
        <f t="shared" si="245"/>
        <v>23.673330042709257</v>
      </c>
      <c r="AE497" s="687">
        <f t="shared" si="246"/>
        <v>-46.954176695495725</v>
      </c>
      <c r="AG497" s="686">
        <f t="shared" si="247"/>
        <v>3.7067872464844358</v>
      </c>
      <c r="AH497" s="687">
        <f t="shared" si="248"/>
        <v>-41.498115800770719</v>
      </c>
      <c r="AJ497" s="170">
        <f t="shared" si="249"/>
        <v>0</v>
      </c>
      <c r="AK497" s="170">
        <f t="shared" si="261"/>
        <v>0</v>
      </c>
      <c r="AM497" s="170" t="str">
        <f t="shared" si="253"/>
        <v>1.54427102781529+0.838909439856824i</v>
      </c>
      <c r="AN497" s="170" t="str">
        <f t="shared" si="254"/>
        <v>2.14631624416442i</v>
      </c>
      <c r="AO497" s="170" t="str">
        <f t="shared" si="255"/>
        <v>0.390860127037532-0.719498364704633i</v>
      </c>
      <c r="AP497" s="170" t="str">
        <f t="shared" si="256"/>
        <v>-0.0907118379692147-0.139818239976137i</v>
      </c>
      <c r="AQ497" s="170" t="str">
        <f t="shared" si="257"/>
        <v>1.09071183796921+0.139818239976137i</v>
      </c>
      <c r="AR497" s="170" t="str">
        <f t="shared" si="258"/>
        <v>0.751374353906123-0.0963186022826744i</v>
      </c>
    </row>
    <row r="498" spans="7:44">
      <c r="G498" s="688">
        <v>63463.25</v>
      </c>
      <c r="H498" s="676">
        <f t="shared" si="250"/>
        <v>63.463250000000002</v>
      </c>
      <c r="I498" s="677">
        <f t="shared" si="230"/>
        <v>326.78895318861629</v>
      </c>
      <c r="J498" s="678">
        <f t="shared" si="231"/>
        <v>1.5677362430591104</v>
      </c>
      <c r="K498" s="678">
        <f t="shared" si="232"/>
        <v>1.0007022271316277</v>
      </c>
      <c r="L498" s="679">
        <f t="shared" si="233"/>
        <v>3.7465088867820288E-2</v>
      </c>
      <c r="M498" s="678">
        <f t="shared" si="234"/>
        <v>1.0841181043893033</v>
      </c>
      <c r="N498" s="679">
        <f t="shared" si="235"/>
        <v>-0.39652482489743607</v>
      </c>
      <c r="O498" s="677">
        <f t="shared" si="236"/>
        <v>1196254.078471093</v>
      </c>
      <c r="P498" s="680">
        <f t="shared" si="237"/>
        <v>1.5707954908520831</v>
      </c>
      <c r="Q498" s="689">
        <f t="shared" si="259"/>
        <v>147.54139192981384</v>
      </c>
      <c r="R498" s="690">
        <f t="shared" si="260"/>
        <v>1.5640185158808568</v>
      </c>
      <c r="S498" s="677">
        <f t="shared" si="238"/>
        <v>1.4589123508015505</v>
      </c>
      <c r="T498" s="680">
        <f t="shared" si="239"/>
        <v>0.81558557579780511</v>
      </c>
      <c r="U498" s="681">
        <f t="shared" si="251"/>
        <v>0.61786994794586003</v>
      </c>
      <c r="V498" s="682">
        <f t="shared" si="252"/>
        <v>-1.2056676363816645</v>
      </c>
      <c r="W498" s="683">
        <f t="shared" si="240"/>
        <v>-26.200866787498288</v>
      </c>
      <c r="X498" s="684">
        <f t="shared" si="241"/>
        <v>-226.59484829234492</v>
      </c>
      <c r="Y498" s="687">
        <f t="shared" si="242"/>
        <v>-46.594848292344921</v>
      </c>
      <c r="AA498" s="170">
        <f t="shared" si="243"/>
        <v>63463.25</v>
      </c>
      <c r="AB498" s="170">
        <f t="shared" si="244"/>
        <v>4027584100.5625</v>
      </c>
      <c r="AD498" s="686">
        <f t="shared" si="245"/>
        <v>23.646674981143228</v>
      </c>
      <c r="AE498" s="687">
        <f t="shared" si="246"/>
        <v>-47.117903442518447</v>
      </c>
      <c r="AG498" s="686">
        <f t="shared" si="247"/>
        <v>3.6975635103518112</v>
      </c>
      <c r="AH498" s="687">
        <f t="shared" si="248"/>
        <v>-41.317610571590521</v>
      </c>
      <c r="AJ498" s="170">
        <f t="shared" si="249"/>
        <v>0</v>
      </c>
      <c r="AK498" s="170">
        <f t="shared" si="261"/>
        <v>0</v>
      </c>
      <c r="AM498" s="170" t="str">
        <f t="shared" si="253"/>
        <v>1.55470846545035+0.832044781461745i</v>
      </c>
      <c r="AN498" s="170" t="str">
        <f t="shared" si="254"/>
        <v>2.15880886874711i</v>
      </c>
      <c r="AO498" s="170" t="str">
        <f t="shared" si="255"/>
        <v>0.385418456217772-0.720169574971518i</v>
      </c>
      <c r="AP498" s="170" t="str">
        <f t="shared" si="256"/>
        <v>-0.0924514109083908-0.138674130243624i</v>
      </c>
      <c r="AQ498" s="170" t="str">
        <f t="shared" si="257"/>
        <v>1.09245141090839+0.138674130243624i</v>
      </c>
      <c r="AR498" s="170" t="str">
        <f t="shared" si="258"/>
        <v>0.750413608984046-0.0952563688505941i</v>
      </c>
    </row>
    <row r="499" spans="7:44">
      <c r="G499" s="688">
        <v>63830.5</v>
      </c>
      <c r="H499" s="676">
        <f t="shared" si="250"/>
        <v>63.830500000000001</v>
      </c>
      <c r="I499" s="677">
        <f t="shared" si="230"/>
        <v>328.68000229936047</v>
      </c>
      <c r="J499" s="678">
        <f t="shared" si="231"/>
        <v>1.5677538492003238</v>
      </c>
      <c r="K499" s="678">
        <f t="shared" si="232"/>
        <v>1.0007103750692974</v>
      </c>
      <c r="L499" s="679">
        <f t="shared" si="233"/>
        <v>3.7681687774708462E-2</v>
      </c>
      <c r="M499" s="678">
        <f t="shared" si="234"/>
        <v>1.0850561881590828</v>
      </c>
      <c r="N499" s="679">
        <f t="shared" si="235"/>
        <v>-0.39858458612705733</v>
      </c>
      <c r="O499" s="677">
        <f t="shared" si="236"/>
        <v>1203176.5778753657</v>
      </c>
      <c r="P499" s="680">
        <f t="shared" si="237"/>
        <v>1.5707954956616961</v>
      </c>
      <c r="Q499" s="689">
        <f t="shared" si="259"/>
        <v>148.39514735857824</v>
      </c>
      <c r="R499" s="690">
        <f t="shared" si="260"/>
        <v>1.5640575109613157</v>
      </c>
      <c r="S499" s="677">
        <f t="shared" si="238"/>
        <v>1.4633943447807647</v>
      </c>
      <c r="T499" s="680">
        <f t="shared" si="239"/>
        <v>0.81846486918341577</v>
      </c>
      <c r="U499" s="681">
        <f t="shared" si="251"/>
        <v>0.61548165356451479</v>
      </c>
      <c r="V499" s="682">
        <f t="shared" si="252"/>
        <v>-1.2106682678368501</v>
      </c>
      <c r="W499" s="683">
        <f t="shared" si="240"/>
        <v>-26.303686656546745</v>
      </c>
      <c r="X499" s="684">
        <f t="shared" si="241"/>
        <v>-227.15071493091168</v>
      </c>
      <c r="Y499" s="687">
        <f t="shared" si="242"/>
        <v>-47.150714930911676</v>
      </c>
      <c r="AA499" s="170">
        <f t="shared" si="243"/>
        <v>63830.5</v>
      </c>
      <c r="AB499" s="170">
        <f t="shared" si="244"/>
        <v>4074332730.25</v>
      </c>
      <c r="AD499" s="686">
        <f t="shared" si="245"/>
        <v>23.620029262947398</v>
      </c>
      <c r="AE499" s="687">
        <f t="shared" si="246"/>
        <v>-47.280640823718265</v>
      </c>
      <c r="AG499" s="686">
        <f t="shared" si="247"/>
        <v>3.6886677813962505</v>
      </c>
      <c r="AH499" s="687">
        <f t="shared" si="248"/>
        <v>-41.137709673737625</v>
      </c>
      <c r="AJ499" s="170">
        <f t="shared" si="249"/>
        <v>0</v>
      </c>
      <c r="AK499" s="170">
        <f t="shared" si="261"/>
        <v>0</v>
      </c>
      <c r="AM499" s="170" t="str">
        <f t="shared" si="253"/>
        <v>1.56505933326355+0.825050271130038i</v>
      </c>
      <c r="AN499" s="170" t="str">
        <f t="shared" si="254"/>
        <v>2.1713014933298i</v>
      </c>
      <c r="AO499" s="170" t="str">
        <f t="shared" si="255"/>
        <v>0.379979599177994-0.720793191581816i</v>
      </c>
      <c r="AP499" s="170" t="str">
        <f t="shared" si="256"/>
        <v>-0.0941765555439253-0.137508378521673i</v>
      </c>
      <c r="AQ499" s="170" t="str">
        <f t="shared" si="257"/>
        <v>1.09417655554393+0.137508378521673i</v>
      </c>
      <c r="AR499" s="170" t="str">
        <f t="shared" si="258"/>
        <v>0.749466261496128-0.0941876243398409i</v>
      </c>
    </row>
    <row r="500" spans="7:44">
      <c r="G500" s="688">
        <v>64197.75</v>
      </c>
      <c r="H500" s="676">
        <f t="shared" si="250"/>
        <v>64.197749999999999</v>
      </c>
      <c r="I500" s="677">
        <f t="shared" si="230"/>
        <v>330.57105151082192</v>
      </c>
      <c r="J500" s="678">
        <f t="shared" si="231"/>
        <v>1.5677712539078155</v>
      </c>
      <c r="K500" s="678">
        <f t="shared" si="232"/>
        <v>1.0007185699546151</v>
      </c>
      <c r="L500" s="679">
        <f t="shared" si="233"/>
        <v>3.7898283144300784E-2</v>
      </c>
      <c r="M500" s="678">
        <f t="shared" si="234"/>
        <v>1.0859988674416261</v>
      </c>
      <c r="N500" s="679">
        <f t="shared" si="235"/>
        <v>-0.40064078019984467</v>
      </c>
      <c r="O500" s="677">
        <f t="shared" si="236"/>
        <v>1210099.0772796383</v>
      </c>
      <c r="P500" s="680">
        <f t="shared" si="237"/>
        <v>1.5707955004162812</v>
      </c>
      <c r="Q500" s="689">
        <f t="shared" si="259"/>
        <v>149.24890301041304</v>
      </c>
      <c r="R500" s="690">
        <f t="shared" si="260"/>
        <v>1.5640960599109777</v>
      </c>
      <c r="S500" s="677">
        <f t="shared" si="238"/>
        <v>1.4678883966372367</v>
      </c>
      <c r="T500" s="680">
        <f t="shared" si="239"/>
        <v>0.82132655582165404</v>
      </c>
      <c r="U500" s="681">
        <f t="shared" si="251"/>
        <v>0.61310217368021869</v>
      </c>
      <c r="V500" s="682">
        <f t="shared" si="252"/>
        <v>-1.2156547920285621</v>
      </c>
      <c r="W500" s="683">
        <f t="shared" si="240"/>
        <v>-26.406184073247253</v>
      </c>
      <c r="X500" s="684">
        <f t="shared" si="241"/>
        <v>-227.70457432710063</v>
      </c>
      <c r="Y500" s="687">
        <f t="shared" si="242"/>
        <v>-47.70457432710063</v>
      </c>
      <c r="AA500" s="170">
        <f t="shared" si="243"/>
        <v>64197.75</v>
      </c>
      <c r="AB500" s="170">
        <f t="shared" si="244"/>
        <v>4121351105.0625</v>
      </c>
      <c r="AD500" s="686">
        <f t="shared" si="245"/>
        <v>23.593393711141847</v>
      </c>
      <c r="AE500" s="687">
        <f t="shared" si="246"/>
        <v>-47.442394970860512</v>
      </c>
      <c r="AG500" s="686">
        <f t="shared" si="247"/>
        <v>3.6800961576877018</v>
      </c>
      <c r="AH500" s="687">
        <f t="shared" si="248"/>
        <v>-40.958401340881515</v>
      </c>
      <c r="AJ500" s="170">
        <f t="shared" si="249"/>
        <v>0</v>
      </c>
      <c r="AK500" s="170">
        <f t="shared" si="261"/>
        <v>0</v>
      </c>
      <c r="AM500" s="170" t="str">
        <f t="shared" si="253"/>
        <v>1.57532201586081+0.817927000450441i</v>
      </c>
      <c r="AN500" s="170" t="str">
        <f t="shared" si="254"/>
        <v>2.18379411791249i</v>
      </c>
      <c r="AO500" s="170" t="str">
        <f t="shared" si="255"/>
        <v>0.374544007487439-0.721369291610088i</v>
      </c>
      <c r="AP500" s="170" t="str">
        <f t="shared" si="256"/>
        <v>-0.095887002643468-0.13632116674174i</v>
      </c>
      <c r="AQ500" s="170" t="str">
        <f t="shared" si="257"/>
        <v>1.09588700264347+0.13632116674174i</v>
      </c>
      <c r="AR500" s="170" t="str">
        <f t="shared" si="258"/>
        <v>0.748532277086234-0.0931125135256707i</v>
      </c>
    </row>
    <row r="501" spans="7:44">
      <c r="G501" s="688">
        <v>64565</v>
      </c>
      <c r="H501" s="676">
        <f t="shared" si="250"/>
        <v>64.564999999999998</v>
      </c>
      <c r="I501" s="677">
        <f t="shared" si="230"/>
        <v>332.46210082128209</v>
      </c>
      <c r="J501" s="678">
        <f t="shared" si="231"/>
        <v>1.567788460618849</v>
      </c>
      <c r="K501" s="678">
        <f t="shared" si="232"/>
        <v>1.0007268117864274</v>
      </c>
      <c r="L501" s="679">
        <f t="shared" si="233"/>
        <v>3.8114874956361879E-2</v>
      </c>
      <c r="M501" s="678">
        <f t="shared" si="234"/>
        <v>1.0869461302802379</v>
      </c>
      <c r="N501" s="679">
        <f t="shared" si="235"/>
        <v>-0.40269339903266238</v>
      </c>
      <c r="O501" s="677">
        <f t="shared" si="236"/>
        <v>1217021.5766839108</v>
      </c>
      <c r="P501" s="680">
        <f t="shared" si="237"/>
        <v>1.5707955051167775</v>
      </c>
      <c r="Q501" s="689">
        <f t="shared" si="259"/>
        <v>150.10265888151201</v>
      </c>
      <c r="R501" s="690">
        <f t="shared" si="260"/>
        <v>1.5641341703422531</v>
      </c>
      <c r="S501" s="677">
        <f t="shared" si="238"/>
        <v>1.4723943959615742</v>
      </c>
      <c r="T501" s="680">
        <f t="shared" si="239"/>
        <v>0.824170750274415</v>
      </c>
      <c r="U501" s="681">
        <f t="shared" si="251"/>
        <v>0.61073150283393096</v>
      </c>
      <c r="V501" s="682">
        <f t="shared" si="252"/>
        <v>-1.2206274091035445</v>
      </c>
      <c r="W501" s="683">
        <f t="shared" si="240"/>
        <v>-26.508361329770519</v>
      </c>
      <c r="X501" s="684">
        <f t="shared" si="241"/>
        <v>-228.25644381125412</v>
      </c>
      <c r="Y501" s="687">
        <f t="shared" si="242"/>
        <v>-48.256443811254115</v>
      </c>
      <c r="AA501" s="170">
        <f t="shared" si="243"/>
        <v>64565</v>
      </c>
      <c r="AB501" s="170">
        <f t="shared" si="244"/>
        <v>4168639225</v>
      </c>
      <c r="AD501" s="686">
        <f t="shared" si="245"/>
        <v>23.566769132687678</v>
      </c>
      <c r="AE501" s="687">
        <f t="shared" si="246"/>
        <v>-47.603172011753031</v>
      </c>
      <c r="AG501" s="686">
        <f t="shared" si="247"/>
        <v>3.6718448179925227</v>
      </c>
      <c r="AH501" s="687">
        <f t="shared" si="248"/>
        <v>-40.779673840428956</v>
      </c>
      <c r="AJ501" s="170">
        <f t="shared" si="249"/>
        <v>0</v>
      </c>
      <c r="AK501" s="170">
        <f t="shared" si="261"/>
        <v>0</v>
      </c>
      <c r="AM501" s="170" t="str">
        <f t="shared" si="253"/>
        <v>1.58549491161052+0.810676081106498i</v>
      </c>
      <c r="AN501" s="170" t="str">
        <f t="shared" si="254"/>
        <v>2.19628674249518i</v>
      </c>
      <c r="AO501" s="170" t="str">
        <f t="shared" si="255"/>
        <v>0.369112131590567-0.721897956643518i</v>
      </c>
      <c r="AP501" s="170" t="str">
        <f t="shared" si="256"/>
        <v>-0.0975824852684198-0.135112680184416i</v>
      </c>
      <c r="AQ501" s="170" t="str">
        <f t="shared" si="257"/>
        <v>1.09758248526842+0.135112680184416i</v>
      </c>
      <c r="AR501" s="170" t="str">
        <f t="shared" si="258"/>
        <v>0.747611620812671-0.0920311786865953i</v>
      </c>
    </row>
    <row r="502" spans="7:44">
      <c r="G502" s="688">
        <v>64941</v>
      </c>
      <c r="H502" s="676">
        <f t="shared" si="250"/>
        <v>64.941000000000003</v>
      </c>
      <c r="I502" s="677">
        <f t="shared" si="230"/>
        <v>334.39820586622659</v>
      </c>
      <c r="J502" s="678">
        <f t="shared" si="231"/>
        <v>1.5678058756712805</v>
      </c>
      <c r="K502" s="678">
        <f t="shared" si="232"/>
        <v>1.0007352986223239</v>
      </c>
      <c r="L502" s="679">
        <f t="shared" si="233"/>
        <v>3.8336623520034301E-2</v>
      </c>
      <c r="M502" s="678">
        <f t="shared" si="234"/>
        <v>1.0879206985130752</v>
      </c>
      <c r="N502" s="679">
        <f t="shared" si="235"/>
        <v>-0.404791210697725</v>
      </c>
      <c r="O502" s="677">
        <f t="shared" si="236"/>
        <v>1224109.0097023086</v>
      </c>
      <c r="P502" s="680">
        <f t="shared" si="237"/>
        <v>1.5707955098741877</v>
      </c>
      <c r="Q502" s="689">
        <f t="shared" si="259"/>
        <v>150.97675633428841</v>
      </c>
      <c r="R502" s="690">
        <f t="shared" si="260"/>
        <v>1.5641727422359466</v>
      </c>
      <c r="S502" s="677">
        <f t="shared" si="238"/>
        <v>1.4770200176758217</v>
      </c>
      <c r="T502" s="680">
        <f t="shared" si="239"/>
        <v>0.82706470679855515</v>
      </c>
      <c r="U502" s="681">
        <f t="shared" si="251"/>
        <v>0.60831346766114547</v>
      </c>
      <c r="V502" s="682">
        <f t="shared" si="252"/>
        <v>-1.2257043027829324</v>
      </c>
      <c r="W502" s="683">
        <f t="shared" si="240"/>
        <v>-26.612643717107971</v>
      </c>
      <c r="X502" s="684">
        <f t="shared" si="241"/>
        <v>-228.81941846036784</v>
      </c>
      <c r="Y502" s="687">
        <f t="shared" si="242"/>
        <v>-48.819418460367842</v>
      </c>
      <c r="AA502" s="170">
        <f t="shared" si="243"/>
        <v>64941</v>
      </c>
      <c r="AB502" s="170">
        <f t="shared" si="244"/>
        <v>4217333481</v>
      </c>
      <c r="AD502" s="686">
        <f t="shared" si="245"/>
        <v>23.539522398839033</v>
      </c>
      <c r="AE502" s="687">
        <f t="shared" si="246"/>
        <v>-47.76677377273063</v>
      </c>
      <c r="AG502" s="686">
        <f t="shared" si="247"/>
        <v>3.6637247983157333</v>
      </c>
      <c r="AH502" s="687">
        <f t="shared" si="248"/>
        <v>-40.597277566169176</v>
      </c>
      <c r="AJ502" s="170">
        <f t="shared" si="249"/>
        <v>0</v>
      </c>
      <c r="AK502" s="170">
        <f t="shared" si="261"/>
        <v>0</v>
      </c>
      <c r="AM502" s="170" t="str">
        <f t="shared" si="253"/>
        <v>1.59581550507432+0.80312133822545i</v>
      </c>
      <c r="AN502" s="170" t="str">
        <f t="shared" si="254"/>
        <v>2.20907701300053i</v>
      </c>
      <c r="AO502" s="170" t="str">
        <f t="shared" si="255"/>
        <v>0.363555156067009-0.722390163712204i</v>
      </c>
      <c r="AP502" s="170" t="str">
        <f t="shared" si="256"/>
        <v>-0.0993025841790527-0.133853556370908i</v>
      </c>
      <c r="AQ502" s="170" t="str">
        <f t="shared" si="257"/>
        <v>1.09930258417905+0.133853556370908i</v>
      </c>
      <c r="AR502" s="170" t="str">
        <f t="shared" si="258"/>
        <v>0.746682800430667-0.0909177780140239i</v>
      </c>
    </row>
    <row r="503" spans="7:44">
      <c r="G503" s="688">
        <v>65317</v>
      </c>
      <c r="H503" s="676">
        <f t="shared" si="250"/>
        <v>65.316999999999993</v>
      </c>
      <c r="I503" s="677">
        <f t="shared" si="230"/>
        <v>336.33431101142105</v>
      </c>
      <c r="J503" s="678">
        <f t="shared" si="231"/>
        <v>1.567823090224562</v>
      </c>
      <c r="K503" s="678">
        <f t="shared" si="232"/>
        <v>1.0007438346659665</v>
      </c>
      <c r="L503" s="679">
        <f t="shared" si="233"/>
        <v>3.8558368311713311E-2</v>
      </c>
      <c r="M503" s="678">
        <f t="shared" si="234"/>
        <v>1.0889000458999663</v>
      </c>
      <c r="N503" s="679">
        <f t="shared" si="235"/>
        <v>-0.40688525805678744</v>
      </c>
      <c r="O503" s="677">
        <f t="shared" si="236"/>
        <v>1231196.4427207061</v>
      </c>
      <c r="P503" s="680">
        <f t="shared" si="237"/>
        <v>1.5707955145768253</v>
      </c>
      <c r="Q503" s="689">
        <f t="shared" si="259"/>
        <v>151.85085400910069</v>
      </c>
      <c r="R503" s="690">
        <f t="shared" si="260"/>
        <v>1.5642108700676221</v>
      </c>
      <c r="S503" s="677">
        <f t="shared" si="238"/>
        <v>1.4816579321129153</v>
      </c>
      <c r="T503" s="680">
        <f t="shared" si="239"/>
        <v>0.82994056984481479</v>
      </c>
      <c r="U503" s="681">
        <f t="shared" si="251"/>
        <v>0.60590464859450854</v>
      </c>
      <c r="V503" s="682">
        <f t="shared" si="252"/>
        <v>-1.2307670416460441</v>
      </c>
      <c r="W503" s="683">
        <f t="shared" si="240"/>
        <v>-26.716595316179554</v>
      </c>
      <c r="X503" s="684">
        <f t="shared" si="241"/>
        <v>-229.38034390758639</v>
      </c>
      <c r="Y503" s="687">
        <f t="shared" si="242"/>
        <v>-49.380343907586393</v>
      </c>
      <c r="AA503" s="170">
        <f t="shared" si="243"/>
        <v>65317</v>
      </c>
      <c r="AB503" s="170">
        <f t="shared" si="244"/>
        <v>4266310489</v>
      </c>
      <c r="AD503" s="686">
        <f t="shared" si="245"/>
        <v>23.51228882873956</v>
      </c>
      <c r="AE503" s="687">
        <f t="shared" si="246"/>
        <v>-47.929364293529026</v>
      </c>
      <c r="AG503" s="686">
        <f t="shared" si="247"/>
        <v>3.6559326525566158</v>
      </c>
      <c r="AH503" s="687">
        <f t="shared" si="248"/>
        <v>-40.415465352660071</v>
      </c>
      <c r="AJ503" s="170">
        <f t="shared" si="249"/>
        <v>0</v>
      </c>
      <c r="AK503" s="170">
        <f t="shared" si="261"/>
        <v>0</v>
      </c>
      <c r="AM503" s="170" t="str">
        <f t="shared" si="253"/>
        <v>1.60603862980091+0.795435213696899i</v>
      </c>
      <c r="AN503" s="170" t="str">
        <f t="shared" si="254"/>
        <v>2.22186728350589i</v>
      </c>
      <c r="AO503" s="170" t="str">
        <f t="shared" si="255"/>
        <v>0.358003027274329-0.722832836021933i</v>
      </c>
      <c r="AP503" s="170" t="str">
        <f t="shared" si="256"/>
        <v>-0.101006438300152-0.13257253561615i</v>
      </c>
      <c r="AQ503" s="170" t="str">
        <f t="shared" si="257"/>
        <v>1.10100643830015+0.13257253561615i</v>
      </c>
      <c r="AR503" s="170" t="str">
        <f t="shared" si="258"/>
        <v>0.745767875076132-0.0897981471684711i</v>
      </c>
    </row>
    <row r="504" spans="7:44">
      <c r="G504" s="688">
        <v>65693</v>
      </c>
      <c r="H504" s="676">
        <f t="shared" si="250"/>
        <v>65.692999999999998</v>
      </c>
      <c r="I504" s="677">
        <f t="shared" si="230"/>
        <v>338.27041625514426</v>
      </c>
      <c r="J504" s="678">
        <f t="shared" si="231"/>
        <v>1.5678401077213795</v>
      </c>
      <c r="K504" s="678">
        <f t="shared" si="232"/>
        <v>1.0007524199160958</v>
      </c>
      <c r="L504" s="679">
        <f t="shared" si="233"/>
        <v>3.878010930968899E-2</v>
      </c>
      <c r="M504" s="678">
        <f t="shared" si="234"/>
        <v>1.0898841595575641</v>
      </c>
      <c r="N504" s="679">
        <f t="shared" si="235"/>
        <v>-0.40897553291730282</v>
      </c>
      <c r="O504" s="677">
        <f t="shared" si="236"/>
        <v>1238283.8757391039</v>
      </c>
      <c r="P504" s="680">
        <f t="shared" si="237"/>
        <v>1.5707955192256311</v>
      </c>
      <c r="Q504" s="689">
        <f t="shared" si="259"/>
        <v>152.72495190213647</v>
      </c>
      <c r="R504" s="690">
        <f t="shared" si="260"/>
        <v>1.5642485614617307</v>
      </c>
      <c r="S504" s="677">
        <f t="shared" si="238"/>
        <v>1.4863080241972566</v>
      </c>
      <c r="T504" s="680">
        <f t="shared" si="239"/>
        <v>0.83279846144286607</v>
      </c>
      <c r="U504" s="681">
        <f t="shared" si="251"/>
        <v>0.60350503368814312</v>
      </c>
      <c r="V504" s="682">
        <f t="shared" si="252"/>
        <v>-1.2358158387442586</v>
      </c>
      <c r="W504" s="683">
        <f t="shared" si="240"/>
        <v>-26.820218534935702</v>
      </c>
      <c r="X504" s="684">
        <f t="shared" si="241"/>
        <v>-229.93923864394168</v>
      </c>
      <c r="Y504" s="687">
        <f t="shared" si="242"/>
        <v>-49.939238643941678</v>
      </c>
      <c r="AA504" s="170">
        <f t="shared" si="243"/>
        <v>65693</v>
      </c>
      <c r="AB504" s="170">
        <f t="shared" si="244"/>
        <v>4315570249</v>
      </c>
      <c r="AD504" s="686">
        <f t="shared" si="245"/>
        <v>23.485069237540927</v>
      </c>
      <c r="AE504" s="687">
        <f t="shared" si="246"/>
        <v>-48.09095012913847</v>
      </c>
      <c r="AG504" s="686">
        <f t="shared" si="247"/>
        <v>3.6484645326498102</v>
      </c>
      <c r="AH504" s="687">
        <f t="shared" si="248"/>
        <v>-40.23422472205371</v>
      </c>
      <c r="AJ504" s="170">
        <f t="shared" si="249"/>
        <v>0</v>
      </c>
      <c r="AK504" s="170">
        <f t="shared" si="261"/>
        <v>0</v>
      </c>
      <c r="AM504" s="170" t="str">
        <f t="shared" si="253"/>
        <v>1.6161626134017+0.787618964884664i</v>
      </c>
      <c r="AN504" s="170" t="str">
        <f t="shared" si="254"/>
        <v>2.23465755401124i</v>
      </c>
      <c r="AO504" s="170" t="str">
        <f t="shared" si="255"/>
        <v>0.352456224655486-0.723226075736153i</v>
      </c>
      <c r="AP504" s="170" t="str">
        <f t="shared" si="256"/>
        <v>-0.102693768900283-0.131269827480777i</v>
      </c>
      <c r="AQ504" s="170" t="str">
        <f t="shared" si="257"/>
        <v>1.10269376890028+0.131269827480777i</v>
      </c>
      <c r="AR504" s="170" t="str">
        <f t="shared" si="258"/>
        <v>0.744866805683023-0.0886724309467013i</v>
      </c>
    </row>
    <row r="505" spans="7:44">
      <c r="G505" s="688">
        <v>66069</v>
      </c>
      <c r="H505" s="676">
        <f t="shared" si="250"/>
        <v>66.069000000000003</v>
      </c>
      <c r="I505" s="677">
        <f t="shared" si="230"/>
        <v>340.20652159571392</v>
      </c>
      <c r="J505" s="678">
        <f t="shared" si="231"/>
        <v>1.5678569315260509</v>
      </c>
      <c r="K505" s="678">
        <f t="shared" si="232"/>
        <v>1.0007610543714454</v>
      </c>
      <c r="L505" s="679">
        <f t="shared" si="233"/>
        <v>3.9001846492253661E-2</v>
      </c>
      <c r="M505" s="678">
        <f t="shared" si="234"/>
        <v>1.0908730265864242</v>
      </c>
      <c r="N505" s="679">
        <f t="shared" si="235"/>
        <v>-0.4110620272480785</v>
      </c>
      <c r="O505" s="677">
        <f t="shared" si="236"/>
        <v>1245371.3087575014</v>
      </c>
      <c r="P505" s="680">
        <f t="shared" si="237"/>
        <v>1.5707955238215239</v>
      </c>
      <c r="Q505" s="689">
        <f t="shared" si="259"/>
        <v>153.59905000967018</v>
      </c>
      <c r="R505" s="690">
        <f t="shared" si="260"/>
        <v>1.564285823869173</v>
      </c>
      <c r="S505" s="677">
        <f t="shared" si="238"/>
        <v>1.4909701799885822</v>
      </c>
      <c r="T505" s="680">
        <f t="shared" si="239"/>
        <v>0.83563850327631561</v>
      </c>
      <c r="U505" s="681">
        <f t="shared" si="251"/>
        <v>0.60111460905830238</v>
      </c>
      <c r="V505" s="682">
        <f t="shared" si="252"/>
        <v>-1.2408509065258406</v>
      </c>
      <c r="W505" s="683">
        <f t="shared" si="240"/>
        <v>-26.923515765413146</v>
      </c>
      <c r="X505" s="684">
        <f t="shared" si="241"/>
        <v>-230.49612112077889</v>
      </c>
      <c r="Y505" s="687">
        <f t="shared" si="242"/>
        <v>-50.496121120778895</v>
      </c>
      <c r="AA505" s="170">
        <f t="shared" si="243"/>
        <v>66069</v>
      </c>
      <c r="AB505" s="170">
        <f t="shared" si="244"/>
        <v>4365112761</v>
      </c>
      <c r="AD505" s="686">
        <f t="shared" si="245"/>
        <v>23.457864423721844</v>
      </c>
      <c r="AE505" s="687">
        <f t="shared" si="246"/>
        <v>-48.251537824663536</v>
      </c>
      <c r="AG505" s="686">
        <f t="shared" si="247"/>
        <v>3.6413166725616435</v>
      </c>
      <c r="AH505" s="687">
        <f t="shared" si="248"/>
        <v>-40.053543235812668</v>
      </c>
      <c r="AJ505" s="170">
        <f t="shared" si="249"/>
        <v>0</v>
      </c>
      <c r="AK505" s="170">
        <f t="shared" si="261"/>
        <v>0</v>
      </c>
      <c r="AM505" s="170" t="str">
        <f t="shared" si="253"/>
        <v>1.62618579970646+0.779673870439421i</v>
      </c>
      <c r="AN505" s="170" t="str">
        <f t="shared" si="254"/>
        <v>2.24744782451659i</v>
      </c>
      <c r="AO505" s="170" t="str">
        <f t="shared" si="255"/>
        <v>0.346915226210924-0.723569989908994i</v>
      </c>
      <c r="AP505" s="170" t="str">
        <f t="shared" si="256"/>
        <v>-0.104364299951076-0.129945645073237i</v>
      </c>
      <c r="AQ505" s="170" t="str">
        <f t="shared" si="257"/>
        <v>1.10436429995108+0.129945645073237i</v>
      </c>
      <c r="AR505" s="170" t="str">
        <f t="shared" si="258"/>
        <v>0.743979552766503-0.0875407715640791i</v>
      </c>
    </row>
    <row r="506" spans="7:44">
      <c r="G506" s="688">
        <v>66453.75</v>
      </c>
      <c r="H506" s="676">
        <f t="shared" si="250"/>
        <v>66.453749999999999</v>
      </c>
      <c r="I506" s="677">
        <f t="shared" si="230"/>
        <v>342.18768267772089</v>
      </c>
      <c r="J506" s="678">
        <f t="shared" si="231"/>
        <v>1.5678739497661347</v>
      </c>
      <c r="K506" s="678">
        <f t="shared" si="232"/>
        <v>1.0007699406964112</v>
      </c>
      <c r="L506" s="679">
        <f t="shared" si="233"/>
        <v>3.9228739809853752E-2</v>
      </c>
      <c r="M506" s="678">
        <f t="shared" si="234"/>
        <v>1.091889812924296</v>
      </c>
      <c r="N506" s="679">
        <f t="shared" si="235"/>
        <v>-0.41319315523589784</v>
      </c>
      <c r="O506" s="677">
        <f t="shared" si="236"/>
        <v>1252623.6753900244</v>
      </c>
      <c r="P506" s="680">
        <f t="shared" si="237"/>
        <v>1.5707955284705317</v>
      </c>
      <c r="Q506" s="689">
        <f t="shared" si="259"/>
        <v>154.49348971428151</v>
      </c>
      <c r="R506" s="690">
        <f t="shared" si="260"/>
        <v>1.5643235169388863</v>
      </c>
      <c r="S506" s="677">
        <f t="shared" si="238"/>
        <v>1.495753200496251</v>
      </c>
      <c r="T506" s="680">
        <f t="shared" si="239"/>
        <v>0.83852628539055252</v>
      </c>
      <c r="U506" s="681">
        <f t="shared" si="251"/>
        <v>0.59867805330694568</v>
      </c>
      <c r="V506" s="682">
        <f t="shared" si="252"/>
        <v>-1.2459891554686211</v>
      </c>
      <c r="W506" s="683">
        <f t="shared" si="240"/>
        <v>-27.028881878020968</v>
      </c>
      <c r="X506" s="684">
        <f t="shared" si="241"/>
        <v>-231.06389912293037</v>
      </c>
      <c r="Y506" s="687">
        <f t="shared" si="242"/>
        <v>-51.063899122930366</v>
      </c>
      <c r="AA506" s="170">
        <f t="shared" si="243"/>
        <v>66453.75</v>
      </c>
      <c r="AB506" s="170">
        <f t="shared" si="244"/>
        <v>4416100889.0625</v>
      </c>
      <c r="AD506" s="686">
        <f t="shared" si="245"/>
        <v>23.430042632109132</v>
      </c>
      <c r="AE506" s="687">
        <f t="shared" si="246"/>
        <v>-48.41483616470633</v>
      </c>
      <c r="AG506" s="686">
        <f t="shared" si="247"/>
        <v>3.6343301541323529</v>
      </c>
      <c r="AH506" s="687">
        <f t="shared" si="248"/>
        <v>-39.86922294023077</v>
      </c>
      <c r="AJ506" s="170">
        <f t="shared" si="249"/>
        <v>0</v>
      </c>
      <c r="AK506" s="170">
        <f t="shared" si="261"/>
        <v>0</v>
      </c>
      <c r="AM506" s="170" t="str">
        <f t="shared" si="253"/>
        <v>1.63633618481362+0.771411861392373i</v>
      </c>
      <c r="AN506" s="170" t="str">
        <f t="shared" si="254"/>
        <v>2.26053574094461i</v>
      </c>
      <c r="AO506" s="170" t="str">
        <f t="shared" si="255"/>
        <v>0.341251787096285-0.723870963495514i</v>
      </c>
      <c r="AP506" s="170" t="str">
        <f t="shared" si="256"/>
        <v>-0.10605603080227-0.128568643565396i</v>
      </c>
      <c r="AQ506" s="170" t="str">
        <f t="shared" si="257"/>
        <v>1.10605603080227+0.128568643565396i</v>
      </c>
      <c r="AR506" s="170" t="str">
        <f t="shared" si="258"/>
        <v>0.743085913275394-0.0863767704906173i</v>
      </c>
    </row>
    <row r="507" spans="7:44">
      <c r="G507" s="688">
        <v>66838.5</v>
      </c>
      <c r="H507" s="676">
        <f t="shared" si="250"/>
        <v>66.838499999999996</v>
      </c>
      <c r="I507" s="677">
        <f t="shared" si="230"/>
        <v>344.16884385769146</v>
      </c>
      <c r="J507" s="678">
        <f t="shared" si="231"/>
        <v>1.5678907720798503</v>
      </c>
      <c r="K507" s="678">
        <f t="shared" si="232"/>
        <v>1.0007788785406753</v>
      </c>
      <c r="L507" s="679">
        <f t="shared" si="233"/>
        <v>3.9455629086416359E-2</v>
      </c>
      <c r="M507" s="678">
        <f t="shared" si="234"/>
        <v>1.0929115490648489</v>
      </c>
      <c r="N507" s="679">
        <f t="shared" si="235"/>
        <v>-0.41532030819127302</v>
      </c>
      <c r="O507" s="677">
        <f t="shared" si="236"/>
        <v>1259876.0420225468</v>
      </c>
      <c r="P507" s="680">
        <f t="shared" si="237"/>
        <v>1.5707955330660164</v>
      </c>
      <c r="Q507" s="689">
        <f t="shared" si="259"/>
        <v>155.38792963586525</v>
      </c>
      <c r="R507" s="690">
        <f t="shared" si="260"/>
        <v>1.564360776072935</v>
      </c>
      <c r="S507" s="677">
        <f t="shared" si="238"/>
        <v>1.5005486149374927</v>
      </c>
      <c r="T507" s="680">
        <f t="shared" si="239"/>
        <v>0.84139563390723193</v>
      </c>
      <c r="U507" s="681">
        <f t="shared" si="251"/>
        <v>0.59625108516045888</v>
      </c>
      <c r="V507" s="682">
        <f t="shared" si="252"/>
        <v>-1.2511134767822802</v>
      </c>
      <c r="W507" s="683">
        <f t="shared" si="240"/>
        <v>-27.133911673344436</v>
      </c>
      <c r="X507" s="684">
        <f t="shared" si="241"/>
        <v>-231.62960907618432</v>
      </c>
      <c r="Y507" s="687">
        <f t="shared" si="242"/>
        <v>-51.629609076184323</v>
      </c>
      <c r="AA507" s="170">
        <f t="shared" si="243"/>
        <v>66838.5</v>
      </c>
      <c r="AB507" s="170">
        <f t="shared" si="244"/>
        <v>4467385082.25</v>
      </c>
      <c r="AD507" s="686">
        <f t="shared" si="245"/>
        <v>23.402237952839258</v>
      </c>
      <c r="AE507" s="687">
        <f t="shared" si="246"/>
        <v>-48.57710319702219</v>
      </c>
      <c r="AG507" s="686">
        <f t="shared" si="247"/>
        <v>3.6276712525387689</v>
      </c>
      <c r="AH507" s="687">
        <f t="shared" si="248"/>
        <v>-39.685461892214697</v>
      </c>
      <c r="AJ507" s="170">
        <f t="shared" si="249"/>
        <v>0</v>
      </c>
      <c r="AK507" s="170">
        <f t="shared" si="261"/>
        <v>0</v>
      </c>
      <c r="AM507" s="170" t="str">
        <f t="shared" si="253"/>
        <v>1.64637757118852+0.763017716350304i</v>
      </c>
      <c r="AN507" s="170" t="str">
        <f t="shared" si="254"/>
        <v>2.27362365737263i</v>
      </c>
      <c r="AO507" s="170" t="str">
        <f t="shared" si="255"/>
        <v>0.335595433253029-0.724120531491589i</v>
      </c>
      <c r="AP507" s="170" t="str">
        <f t="shared" si="256"/>
        <v>-0.107729595198086-0.127169619391717i</v>
      </c>
      <c r="AQ507" s="170" t="str">
        <f t="shared" si="257"/>
        <v>1.10772959519809+0.127169619391717i</v>
      </c>
      <c r="AR507" s="170" t="str">
        <f t="shared" si="258"/>
        <v>0.742206656028986-0.0852068396171419i</v>
      </c>
    </row>
    <row r="508" spans="7:44">
      <c r="G508" s="688">
        <v>67223.25</v>
      </c>
      <c r="H508" s="676">
        <f t="shared" si="250"/>
        <v>67.223249999999993</v>
      </c>
      <c r="I508" s="677">
        <f t="shared" si="230"/>
        <v>346.15000513394358</v>
      </c>
      <c r="J508" s="678">
        <f t="shared" si="231"/>
        <v>1.5679074018312942</v>
      </c>
      <c r="K508" s="678">
        <f t="shared" si="232"/>
        <v>1.000787867902857</v>
      </c>
      <c r="L508" s="679">
        <f t="shared" si="233"/>
        <v>3.9682514298690116E-2</v>
      </c>
      <c r="M508" s="678">
        <f t="shared" si="234"/>
        <v>1.0939382211387654</v>
      </c>
      <c r="N508" s="679">
        <f t="shared" si="235"/>
        <v>-0.41744347802945159</v>
      </c>
      <c r="O508" s="677">
        <f t="shared" si="236"/>
        <v>1267128.4086550698</v>
      </c>
      <c r="P508" s="680">
        <f t="shared" si="237"/>
        <v>1.5707955376088969</v>
      </c>
      <c r="Q508" s="689">
        <f t="shared" si="259"/>
        <v>156.28236977069596</v>
      </c>
      <c r="R508" s="690">
        <f t="shared" si="260"/>
        <v>1.5643976087217575</v>
      </c>
      <c r="S508" s="677">
        <f t="shared" si="238"/>
        <v>1.5053563048671676</v>
      </c>
      <c r="T508" s="680">
        <f t="shared" si="239"/>
        <v>0.84424667796795527</v>
      </c>
      <c r="U508" s="681">
        <f t="shared" si="251"/>
        <v>0.593833683803065</v>
      </c>
      <c r="V508" s="682">
        <f t="shared" si="252"/>
        <v>-1.2562240960974989</v>
      </c>
      <c r="W508" s="683">
        <f t="shared" si="240"/>
        <v>-27.238607667503459</v>
      </c>
      <c r="X508" s="684">
        <f t="shared" si="241"/>
        <v>-232.19327061152779</v>
      </c>
      <c r="Y508" s="687">
        <f t="shared" si="242"/>
        <v>-52.193270611527794</v>
      </c>
      <c r="AA508" s="170">
        <f t="shared" si="243"/>
        <v>67223.25</v>
      </c>
      <c r="AB508" s="170">
        <f t="shared" si="244"/>
        <v>4518965340.5625</v>
      </c>
      <c r="AD508" s="686">
        <f t="shared" si="245"/>
        <v>23.374451188809417</v>
      </c>
      <c r="AE508" s="687">
        <f t="shared" si="246"/>
        <v>-48.738345894053772</v>
      </c>
      <c r="AG508" s="686">
        <f t="shared" si="247"/>
        <v>3.6213361893193325</v>
      </c>
      <c r="AH508" s="687">
        <f t="shared" si="248"/>
        <v>-39.502246894937258</v>
      </c>
      <c r="AJ508" s="170">
        <f t="shared" si="249"/>
        <v>0</v>
      </c>
      <c r="AK508" s="170">
        <f t="shared" si="261"/>
        <v>0</v>
      </c>
      <c r="AM508" s="170" t="str">
        <f t="shared" si="253"/>
        <v>1.65630823883092+0.754492873155647i</v>
      </c>
      <c r="AN508" s="170" t="str">
        <f t="shared" si="254"/>
        <v>2.28671157380065i</v>
      </c>
      <c r="AO508" s="170" t="str">
        <f t="shared" si="255"/>
        <v>0.32994667180594-0.724318824379779i</v>
      </c>
      <c r="AP508" s="170" t="str">
        <f t="shared" si="256"/>
        <v>-0.109384706471819-0.125748812192608i</v>
      </c>
      <c r="AQ508" s="170" t="str">
        <f t="shared" si="257"/>
        <v>1.10938470647182+0.125748812192608i</v>
      </c>
      <c r="AR508" s="170" t="str">
        <f t="shared" si="258"/>
        <v>0.741341737697238-0.0840311231986499i</v>
      </c>
    </row>
    <row r="509" spans="7:44">
      <c r="G509" s="688">
        <v>67608</v>
      </c>
      <c r="H509" s="676">
        <f t="shared" si="250"/>
        <v>67.608000000000004</v>
      </c>
      <c r="I509" s="677">
        <f t="shared" si="230"/>
        <v>348.13116650483352</v>
      </c>
      <c r="J509" s="678">
        <f t="shared" si="231"/>
        <v>1.5679238423079842</v>
      </c>
      <c r="K509" s="678">
        <f t="shared" si="232"/>
        <v>1.0007969087815685</v>
      </c>
      <c r="L509" s="679">
        <f t="shared" si="233"/>
        <v>3.9909395423426169E-2</v>
      </c>
      <c r="M509" s="678">
        <f t="shared" si="234"/>
        <v>1.0949698152618683</v>
      </c>
      <c r="N509" s="679">
        <f t="shared" si="235"/>
        <v>-0.41956265683957117</v>
      </c>
      <c r="O509" s="677">
        <f t="shared" si="236"/>
        <v>1274380.7752875923</v>
      </c>
      <c r="P509" s="680">
        <f t="shared" si="237"/>
        <v>1.5707955421000712</v>
      </c>
      <c r="Q509" s="689">
        <f t="shared" si="259"/>
        <v>157.17681011513318</v>
      </c>
      <c r="R509" s="690">
        <f t="shared" si="260"/>
        <v>1.5644340221662045</v>
      </c>
      <c r="S509" s="677">
        <f t="shared" si="238"/>
        <v>1.5101761530471518</v>
      </c>
      <c r="T509" s="680">
        <f t="shared" si="239"/>
        <v>0.84707954626225979</v>
      </c>
      <c r="U509" s="681">
        <f t="shared" si="251"/>
        <v>0.59142582653363807</v>
      </c>
      <c r="V509" s="682">
        <f t="shared" si="252"/>
        <v>-1.2613212383622254</v>
      </c>
      <c r="W509" s="683">
        <f t="shared" si="240"/>
        <v>-27.342972362392285</v>
      </c>
      <c r="X509" s="684">
        <f t="shared" si="241"/>
        <v>-232.75490331021959</v>
      </c>
      <c r="Y509" s="687">
        <f t="shared" si="242"/>
        <v>-52.754903310219589</v>
      </c>
      <c r="AA509" s="170">
        <f t="shared" si="243"/>
        <v>67608</v>
      </c>
      <c r="AB509" s="170">
        <f t="shared" si="244"/>
        <v>4570841664</v>
      </c>
      <c r="AD509" s="686">
        <f t="shared" si="245"/>
        <v>23.346683125699698</v>
      </c>
      <c r="AE509" s="687">
        <f t="shared" si="246"/>
        <v>-48.898571212057931</v>
      </c>
      <c r="AG509" s="686">
        <f t="shared" si="247"/>
        <v>3.6153212692931689</v>
      </c>
      <c r="AH509" s="687">
        <f t="shared" si="248"/>
        <v>-39.319564796264295</v>
      </c>
      <c r="AJ509" s="170">
        <f t="shared" si="249"/>
        <v>0</v>
      </c>
      <c r="AK509" s="170">
        <f t="shared" si="261"/>
        <v>0</v>
      </c>
      <c r="AM509" s="170" t="str">
        <f t="shared" si="253"/>
        <v>1.66612648670572+0.745838792038266i</v>
      </c>
      <c r="AN509" s="170" t="str">
        <f t="shared" si="254"/>
        <v>2.29979949022867i</v>
      </c>
      <c r="AO509" s="170" t="str">
        <f t="shared" si="255"/>
        <v>0.324306008070341-0.724465977918821i</v>
      </c>
      <c r="AP509" s="170" t="str">
        <f t="shared" si="256"/>
        <v>-0.111021081117619-0.124306465339711i</v>
      </c>
      <c r="AQ509" s="170" t="str">
        <f t="shared" si="257"/>
        <v>1.11102108111762+0.124306465339711i</v>
      </c>
      <c r="AR509" s="170" t="str">
        <f t="shared" si="258"/>
        <v>0.740491114713162-0.0828497628441588i</v>
      </c>
    </row>
    <row r="510" spans="7:44">
      <c r="G510" s="688">
        <v>68001.75</v>
      </c>
      <c r="H510" s="676">
        <f t="shared" si="250"/>
        <v>68.001750000000001</v>
      </c>
      <c r="I510" s="677">
        <f t="shared" si="230"/>
        <v>350.15867092807582</v>
      </c>
      <c r="J510" s="678">
        <f t="shared" si="231"/>
        <v>1.5679404747416945</v>
      </c>
      <c r="K510" s="678">
        <f t="shared" si="232"/>
        <v>1.0008062144795871</v>
      </c>
      <c r="L510" s="679">
        <f t="shared" si="233"/>
        <v>4.0141579452640352E-2</v>
      </c>
      <c r="M510" s="678">
        <f t="shared" si="234"/>
        <v>1.0960306218388447</v>
      </c>
      <c r="N510" s="679">
        <f t="shared" si="235"/>
        <v>-0.42172726685501927</v>
      </c>
      <c r="O510" s="677">
        <f t="shared" si="236"/>
        <v>1281802.7879232154</v>
      </c>
      <c r="P510" s="680">
        <f t="shared" si="237"/>
        <v>1.5707955466436836</v>
      </c>
      <c r="Q510" s="689">
        <f t="shared" si="259"/>
        <v>158.09217325403307</v>
      </c>
      <c r="R510" s="690">
        <f t="shared" si="260"/>
        <v>1.5644708607833</v>
      </c>
      <c r="S510" s="677">
        <f t="shared" si="238"/>
        <v>1.5151212133220422</v>
      </c>
      <c r="T510" s="680">
        <f t="shared" si="239"/>
        <v>0.84995999578343739</v>
      </c>
      <c r="U510" s="681">
        <f t="shared" si="251"/>
        <v>0.58897150109109542</v>
      </c>
      <c r="V510" s="682">
        <f t="shared" si="252"/>
        <v>-1.2665238924067159</v>
      </c>
      <c r="W510" s="683">
        <f t="shared" si="240"/>
        <v>-27.449437918661573</v>
      </c>
      <c r="X510" s="684">
        <f t="shared" si="241"/>
        <v>-233.3275934150883</v>
      </c>
      <c r="Y510" s="687">
        <f t="shared" si="242"/>
        <v>-53.327593415088302</v>
      </c>
      <c r="AA510" s="170">
        <f t="shared" si="243"/>
        <v>68001.75</v>
      </c>
      <c r="AB510" s="170">
        <f t="shared" si="244"/>
        <v>4624238003.0625</v>
      </c>
      <c r="AD510" s="686">
        <f t="shared" si="245"/>
        <v>23.318285681476773</v>
      </c>
      <c r="AE510" s="687">
        <f t="shared" si="246"/>
        <v>-49.061498375955175</v>
      </c>
      <c r="AG510" s="686">
        <f t="shared" si="247"/>
        <v>3.6094933433327459</v>
      </c>
      <c r="AH510" s="687">
        <f t="shared" si="248"/>
        <v>-39.133147498522547</v>
      </c>
      <c r="AJ510" s="170">
        <f t="shared" si="249"/>
        <v>0</v>
      </c>
      <c r="AK510" s="170">
        <f t="shared" si="261"/>
        <v>0</v>
      </c>
      <c r="AM510" s="170" t="str">
        <f t="shared" si="253"/>
        <v>1.67605625141333+0.736850015216774i</v>
      </c>
      <c r="AN510" s="170" t="str">
        <f t="shared" si="254"/>
        <v>2.31319355674857i</v>
      </c>
      <c r="AO510" s="170" t="str">
        <f t="shared" si="255"/>
        <v>0.318542308345564-0.724563773110798i</v>
      </c>
      <c r="AP510" s="170" t="str">
        <f t="shared" si="256"/>
        <v>-0.112676041902221-0.122808335869462i</v>
      </c>
      <c r="AQ510" s="170" t="str">
        <f t="shared" si="257"/>
        <v>1.11267604190222+0.122808335869462i</v>
      </c>
      <c r="AR510" s="170" t="str">
        <f t="shared" si="258"/>
        <v>0.73963534931191-0.0816350698483056i</v>
      </c>
    </row>
    <row r="511" spans="7:44">
      <c r="G511" s="688">
        <v>68395.5</v>
      </c>
      <c r="H511" s="676">
        <f t="shared" si="250"/>
        <v>68.395499999999998</v>
      </c>
      <c r="I511" s="677">
        <f t="shared" si="230"/>
        <v>352.1861754470699</v>
      </c>
      <c r="J511" s="678">
        <f t="shared" si="231"/>
        <v>1.5679569156725233</v>
      </c>
      <c r="K511" s="678">
        <f t="shared" si="232"/>
        <v>1.0008155741294869</v>
      </c>
      <c r="L511" s="679">
        <f t="shared" si="233"/>
        <v>4.037375915159043E-2</v>
      </c>
      <c r="M511" s="678">
        <f t="shared" si="234"/>
        <v>1.0970965539620672</v>
      </c>
      <c r="N511" s="679">
        <f t="shared" si="235"/>
        <v>-0.42388768073381633</v>
      </c>
      <c r="O511" s="677">
        <f t="shared" si="236"/>
        <v>1289224.8005588381</v>
      </c>
      <c r="P511" s="680">
        <f t="shared" si="237"/>
        <v>1.5707955511349809</v>
      </c>
      <c r="Q511" s="689">
        <f t="shared" si="259"/>
        <v>159.00753660500712</v>
      </c>
      <c r="R511" s="690">
        <f t="shared" si="260"/>
        <v>1.5645072752605487</v>
      </c>
      <c r="S511" s="677">
        <f t="shared" si="238"/>
        <v>1.52007876269043</v>
      </c>
      <c r="T511" s="680">
        <f t="shared" si="239"/>
        <v>0.85282168045767148</v>
      </c>
      <c r="U511" s="681">
        <f t="shared" si="251"/>
        <v>0.5865271175545923</v>
      </c>
      <c r="V511" s="682">
        <f t="shared" si="252"/>
        <v>-1.2717129060186074</v>
      </c>
      <c r="W511" s="683">
        <f t="shared" si="240"/>
        <v>-27.555561754450562</v>
      </c>
      <c r="X511" s="684">
        <f t="shared" si="241"/>
        <v>-233.89819998750718</v>
      </c>
      <c r="Y511" s="687">
        <f t="shared" si="242"/>
        <v>-53.898199987507184</v>
      </c>
      <c r="AA511" s="170">
        <f t="shared" si="243"/>
        <v>68395.5</v>
      </c>
      <c r="AB511" s="170">
        <f t="shared" si="244"/>
        <v>4677944420.25</v>
      </c>
      <c r="AD511" s="686">
        <f t="shared" si="245"/>
        <v>23.289909434192953</v>
      </c>
      <c r="AE511" s="687">
        <f t="shared" si="246"/>
        <v>-49.223374691743892</v>
      </c>
      <c r="AG511" s="686">
        <f t="shared" si="247"/>
        <v>3.6039931429468544</v>
      </c>
      <c r="AH511" s="687">
        <f t="shared" si="248"/>
        <v>-38.947260594878678</v>
      </c>
      <c r="AJ511" s="170">
        <f t="shared" si="249"/>
        <v>0</v>
      </c>
      <c r="AK511" s="170">
        <f t="shared" si="261"/>
        <v>0</v>
      </c>
      <c r="AM511" s="170" t="str">
        <f t="shared" si="253"/>
        <v>1.68586473275446+0.727729048728748i</v>
      </c>
      <c r="AN511" s="170" t="str">
        <f t="shared" si="254"/>
        <v>2.32658762326847i</v>
      </c>
      <c r="AO511" s="170" t="str">
        <f t="shared" si="255"/>
        <v>0.312788154398591-0.72460831300482i</v>
      </c>
      <c r="AP511" s="170" t="str">
        <f t="shared" si="256"/>
        <v>-0.114310788792411-0.121288174788125i</v>
      </c>
      <c r="AQ511" s="170" t="str">
        <f t="shared" si="257"/>
        <v>1.11431078879241+0.121288174788125i</v>
      </c>
      <c r="AR511" s="170" t="str">
        <f t="shared" si="258"/>
        <v>0.738794463004315-0.0804147575906308i</v>
      </c>
    </row>
    <row r="512" spans="7:44">
      <c r="G512" s="688">
        <v>68789.25</v>
      </c>
      <c r="H512" s="676">
        <f t="shared" si="250"/>
        <v>68.789249999999996</v>
      </c>
      <c r="I512" s="677">
        <f t="shared" si="230"/>
        <v>354.21368006017161</v>
      </c>
      <c r="J512" s="678">
        <f t="shared" si="231"/>
        <v>1.5679731683889255</v>
      </c>
      <c r="K512" s="678">
        <f t="shared" si="232"/>
        <v>1.0008249877297539</v>
      </c>
      <c r="L512" s="679">
        <f t="shared" si="233"/>
        <v>4.0605934495365821E-2</v>
      </c>
      <c r="M512" s="678">
        <f t="shared" si="234"/>
        <v>1.0981675967062614</v>
      </c>
      <c r="N512" s="679">
        <f t="shared" si="235"/>
        <v>-0.4260438905572963</v>
      </c>
      <c r="O512" s="677">
        <f t="shared" si="236"/>
        <v>1296646.8131944607</v>
      </c>
      <c r="P512" s="680">
        <f t="shared" si="237"/>
        <v>1.5707955555748621</v>
      </c>
      <c r="Q512" s="689">
        <f t="shared" si="259"/>
        <v>159.92290016441373</v>
      </c>
      <c r="R512" s="690">
        <f t="shared" si="260"/>
        <v>1.5645432728809032</v>
      </c>
      <c r="S512" s="677">
        <f t="shared" si="238"/>
        <v>1.5250486793556219</v>
      </c>
      <c r="T512" s="680">
        <f t="shared" si="239"/>
        <v>0.85566473664182408</v>
      </c>
      <c r="U512" s="681">
        <f t="shared" si="251"/>
        <v>0.58409264582662401</v>
      </c>
      <c r="V512" s="682">
        <f t="shared" si="252"/>
        <v>-1.2768885180646241</v>
      </c>
      <c r="W512" s="683">
        <f t="shared" si="240"/>
        <v>-27.661346509841401</v>
      </c>
      <c r="X512" s="684">
        <f t="shared" si="241"/>
        <v>-234.46674384510899</v>
      </c>
      <c r="Y512" s="687">
        <f t="shared" si="242"/>
        <v>-54.466743845108994</v>
      </c>
      <c r="AA512" s="170">
        <f t="shared" si="243"/>
        <v>68789.25</v>
      </c>
      <c r="AB512" s="170">
        <f t="shared" si="244"/>
        <v>4731960915.5625</v>
      </c>
      <c r="AD512" s="686">
        <f t="shared" si="245"/>
        <v>23.261555171677184</v>
      </c>
      <c r="AE512" s="687">
        <f t="shared" si="246"/>
        <v>-49.384207554865803</v>
      </c>
      <c r="AG512" s="686">
        <f t="shared" si="247"/>
        <v>3.5988169683463287</v>
      </c>
      <c r="AH512" s="687">
        <f t="shared" si="248"/>
        <v>-38.761890135413239</v>
      </c>
      <c r="AJ512" s="170">
        <f t="shared" si="249"/>
        <v>0</v>
      </c>
      <c r="AK512" s="170">
        <f t="shared" si="261"/>
        <v>0</v>
      </c>
      <c r="AM512" s="170" t="str">
        <f t="shared" si="253"/>
        <v>1.69555017110389+0.718477528860398i</v>
      </c>
      <c r="AN512" s="170" t="str">
        <f t="shared" si="254"/>
        <v>2.33998168978837i</v>
      </c>
      <c r="AO512" s="170" t="str">
        <f t="shared" si="255"/>
        <v>0.30704408158227-0.724599760119164i</v>
      </c>
      <c r="AP512" s="170" t="str">
        <f t="shared" si="256"/>
        <v>-0.115925028517316-0.119746254810066i</v>
      </c>
      <c r="AQ512" s="170" t="str">
        <f t="shared" si="257"/>
        <v>1.11592502851732+0.119746254810066i</v>
      </c>
      <c r="AR512" s="170" t="str">
        <f t="shared" si="258"/>
        <v>0.737968408655686-0.0791889695511844i</v>
      </c>
    </row>
    <row r="513" spans="7:44">
      <c r="G513" s="688">
        <v>69183</v>
      </c>
      <c r="H513" s="676">
        <f t="shared" si="250"/>
        <v>69.183000000000007</v>
      </c>
      <c r="I513" s="677">
        <f t="shared" si="230"/>
        <v>356.24118476577405</v>
      </c>
      <c r="J513" s="678">
        <f t="shared" si="231"/>
        <v>1.5679892361044934</v>
      </c>
      <c r="K513" s="678">
        <f t="shared" si="232"/>
        <v>1.0008344552788659</v>
      </c>
      <c r="L513" s="679">
        <f t="shared" si="233"/>
        <v>4.083810545905877E-2</v>
      </c>
      <c r="M513" s="678">
        <f t="shared" si="234"/>
        <v>1.0992437351329016</v>
      </c>
      <c r="N513" s="679">
        <f t="shared" si="235"/>
        <v>-0.42819588859394558</v>
      </c>
      <c r="O513" s="677">
        <f t="shared" si="236"/>
        <v>1304068.8258300836</v>
      </c>
      <c r="P513" s="680">
        <f t="shared" si="237"/>
        <v>1.5707955599642047</v>
      </c>
      <c r="Q513" s="689">
        <f t="shared" si="259"/>
        <v>160.83826392869423</v>
      </c>
      <c r="R513" s="690">
        <f t="shared" si="260"/>
        <v>1.5645788607615254</v>
      </c>
      <c r="S513" s="677">
        <f t="shared" si="238"/>
        <v>1.5300308428015534</v>
      </c>
      <c r="T513" s="680">
        <f t="shared" si="239"/>
        <v>0.85848930012791735</v>
      </c>
      <c r="U513" s="681">
        <f t="shared" si="251"/>
        <v>0.5816680539846576</v>
      </c>
      <c r="V513" s="682">
        <f t="shared" si="252"/>
        <v>-1.2820509666532021</v>
      </c>
      <c r="W513" s="683">
        <f t="shared" si="240"/>
        <v>-27.766794812430206</v>
      </c>
      <c r="X513" s="684">
        <f t="shared" si="241"/>
        <v>-235.0332457456482</v>
      </c>
      <c r="Y513" s="687">
        <f t="shared" si="242"/>
        <v>-55.033245745648202</v>
      </c>
      <c r="AA513" s="170">
        <f t="shared" si="243"/>
        <v>69183</v>
      </c>
      <c r="AB513" s="170">
        <f t="shared" si="244"/>
        <v>4786287489</v>
      </c>
      <c r="AD513" s="686">
        <f t="shared" si="245"/>
        <v>23.233223664028465</v>
      </c>
      <c r="AE513" s="687">
        <f t="shared" si="246"/>
        <v>-49.544004337897647</v>
      </c>
      <c r="AG513" s="686">
        <f t="shared" si="247"/>
        <v>3.5939612044268987</v>
      </c>
      <c r="AH513" s="687">
        <f t="shared" si="248"/>
        <v>-38.577022220087017</v>
      </c>
      <c r="AJ513" s="170">
        <f t="shared" si="249"/>
        <v>0</v>
      </c>
      <c r="AK513" s="170">
        <f t="shared" si="261"/>
        <v>0</v>
      </c>
      <c r="AM513" s="170" t="str">
        <f t="shared" si="253"/>
        <v>1.7051108289101+0.709097115318984i</v>
      </c>
      <c r="AN513" s="170" t="str">
        <f t="shared" si="254"/>
        <v>2.35337575630828i</v>
      </c>
      <c r="AO513" s="170" t="str">
        <f t="shared" si="255"/>
        <v>0.301310623013869-0.72453828265185i</v>
      </c>
      <c r="AP513" s="170" t="str">
        <f t="shared" si="256"/>
        <v>-0.117518471485017-0.118182852553164i</v>
      </c>
      <c r="AQ513" s="170" t="str">
        <f t="shared" si="257"/>
        <v>1.11751847148502+0.118182852553164i</v>
      </c>
      <c r="AR513" s="170" t="str">
        <f t="shared" si="258"/>
        <v>0.73715713908986-0.077957846514877i</v>
      </c>
    </row>
    <row r="514" spans="7:44">
      <c r="G514" s="688">
        <v>69586</v>
      </c>
      <c r="H514" s="676">
        <f t="shared" si="250"/>
        <v>69.585999999999999</v>
      </c>
      <c r="I514" s="677">
        <f t="shared" si="230"/>
        <v>358.31631983479815</v>
      </c>
      <c r="J514" s="678">
        <f t="shared" si="231"/>
        <v>1.5680054929903191</v>
      </c>
      <c r="K514" s="678">
        <f t="shared" si="232"/>
        <v>1.0008442011034311</v>
      </c>
      <c r="L514" s="679">
        <f t="shared" si="233"/>
        <v>4.1075726036143623E-2</v>
      </c>
      <c r="M514" s="678">
        <f t="shared" si="234"/>
        <v>1.1003504153191743</v>
      </c>
      <c r="N514" s="679">
        <f t="shared" si="235"/>
        <v>-0.43039407226742699</v>
      </c>
      <c r="O514" s="677">
        <f t="shared" si="236"/>
        <v>1311665.1968577811</v>
      </c>
      <c r="P514" s="680">
        <f t="shared" si="237"/>
        <v>1.5707955644052241</v>
      </c>
      <c r="Q514" s="689">
        <f t="shared" si="259"/>
        <v>161.7751316851639</v>
      </c>
      <c r="R514" s="690">
        <f t="shared" si="260"/>
        <v>1.564614867642196</v>
      </c>
      <c r="S514" s="677">
        <f t="shared" si="238"/>
        <v>1.5351426048201613</v>
      </c>
      <c r="T514" s="680">
        <f t="shared" si="239"/>
        <v>0.86136121009668432</v>
      </c>
      <c r="U514" s="681">
        <f t="shared" si="251"/>
        <v>0.57919669906757187</v>
      </c>
      <c r="V514" s="682">
        <f t="shared" si="252"/>
        <v>-1.2873213085659791</v>
      </c>
      <c r="W514" s="683">
        <f t="shared" si="240"/>
        <v>-27.874374641511928</v>
      </c>
      <c r="X514" s="684">
        <f t="shared" si="241"/>
        <v>-235.61096306884755</v>
      </c>
      <c r="Y514" s="687">
        <f t="shared" si="242"/>
        <v>-55.610963068847553</v>
      </c>
      <c r="AA514" s="170">
        <f t="shared" si="243"/>
        <v>69586</v>
      </c>
      <c r="AB514" s="170">
        <f t="shared" si="244"/>
        <v>4842211396</v>
      </c>
      <c r="AD514" s="686">
        <f t="shared" si="245"/>
        <v>23.20425093916959</v>
      </c>
      <c r="AE514" s="687">
        <f t="shared" si="246"/>
        <v>-49.706489870591021</v>
      </c>
      <c r="AG514" s="686">
        <f t="shared" si="247"/>
        <v>3.5893194727905269</v>
      </c>
      <c r="AH514" s="687">
        <f t="shared" si="248"/>
        <v>-38.388317313516815</v>
      </c>
      <c r="AJ514" s="170">
        <f t="shared" si="249"/>
        <v>0</v>
      </c>
      <c r="AK514" s="170">
        <f t="shared" si="261"/>
        <v>0</v>
      </c>
      <c r="AM514" s="170" t="str">
        <f t="shared" si="253"/>
        <v>1.71476508444511+0.69936462168041i</v>
      </c>
      <c r="AN514" s="170" t="str">
        <f t="shared" si="254"/>
        <v>2.36708447708928i</v>
      </c>
      <c r="AO514" s="170" t="str">
        <f t="shared" si="255"/>
        <v>0.29545401883603-0.724420738271959i</v>
      </c>
      <c r="AP514" s="170" t="str">
        <f t="shared" si="256"/>
        <v>-0.119127514074184-0.116560770280068i</v>
      </c>
      <c r="AQ514" s="170" t="str">
        <f t="shared" si="257"/>
        <v>1.11912751407418+0.116560770280068i</v>
      </c>
      <c r="AR514" s="170" t="str">
        <f t="shared" si="258"/>
        <v>0.736342071753692-0.0766924215461139i</v>
      </c>
    </row>
    <row r="515" spans="7:44">
      <c r="G515" s="688">
        <v>69989</v>
      </c>
      <c r="H515" s="676">
        <f t="shared" si="250"/>
        <v>69.989000000000004</v>
      </c>
      <c r="I515" s="677">
        <f t="shared" si="230"/>
        <v>360.39145499742983</v>
      </c>
      <c r="J515" s="678">
        <f t="shared" si="231"/>
        <v>1.5680215626617469</v>
      </c>
      <c r="K515" s="678">
        <f t="shared" si="232"/>
        <v>1.0008540034380988</v>
      </c>
      <c r="L515" s="679">
        <f t="shared" si="233"/>
        <v>4.1313341972147026E-2</v>
      </c>
      <c r="M515" s="678">
        <f t="shared" si="234"/>
        <v>1.1014624017121115</v>
      </c>
      <c r="N515" s="679">
        <f t="shared" si="235"/>
        <v>-0.43258782815065855</v>
      </c>
      <c r="O515" s="677">
        <f t="shared" si="236"/>
        <v>1319261.5678854792</v>
      </c>
      <c r="P515" s="680">
        <f t="shared" si="237"/>
        <v>1.5707955687951001</v>
      </c>
      <c r="Q515" s="689">
        <f t="shared" si="259"/>
        <v>162.71199964895902</v>
      </c>
      <c r="R515" s="690">
        <f t="shared" si="260"/>
        <v>1.5646504598799473</v>
      </c>
      <c r="S515" s="677">
        <f t="shared" si="238"/>
        <v>1.5402669443881816</v>
      </c>
      <c r="T515" s="680">
        <f t="shared" si="239"/>
        <v>0.86421403425548005</v>
      </c>
      <c r="U515" s="681">
        <f t="shared" si="251"/>
        <v>0.57673562041175608</v>
      </c>
      <c r="V515" s="682">
        <f t="shared" si="252"/>
        <v>-1.292578363563748</v>
      </c>
      <c r="W515" s="683">
        <f t="shared" si="240"/>
        <v>-27.981607556849767</v>
      </c>
      <c r="X515" s="684">
        <f t="shared" si="241"/>
        <v>-236.18658517151636</v>
      </c>
      <c r="Y515" s="687">
        <f t="shared" si="242"/>
        <v>-56.186585171516356</v>
      </c>
      <c r="AA515" s="170">
        <f t="shared" si="243"/>
        <v>69989</v>
      </c>
      <c r="AB515" s="170">
        <f t="shared" si="244"/>
        <v>4898460121</v>
      </c>
      <c r="AD515" s="686">
        <f t="shared" si="245"/>
        <v>23.175303627557998</v>
      </c>
      <c r="AE515" s="687">
        <f t="shared" si="246"/>
        <v>-49.867905621282212</v>
      </c>
      <c r="AG515" s="686">
        <f t="shared" si="247"/>
        <v>3.5850059850265521</v>
      </c>
      <c r="AH515" s="687">
        <f t="shared" si="248"/>
        <v>-38.200109536725542</v>
      </c>
      <c r="AJ515" s="170">
        <f t="shared" si="249"/>
        <v>0</v>
      </c>
      <c r="AK515" s="170">
        <f t="shared" si="261"/>
        <v>0</v>
      </c>
      <c r="AM515" s="170" t="str">
        <f t="shared" si="253"/>
        <v>1.72428501697798+0.689500699188334i</v>
      </c>
      <c r="AN515" s="170" t="str">
        <f t="shared" si="254"/>
        <v>2.38079319787029i</v>
      </c>
      <c r="AO515" s="170" t="str">
        <f t="shared" si="255"/>
        <v>0.289609656061315-0.724248128111429i</v>
      </c>
      <c r="AP515" s="170" t="str">
        <f t="shared" si="256"/>
        <v>-0.120714169496331-0.114916783198056i</v>
      </c>
      <c r="AQ515" s="170" t="str">
        <f t="shared" si="257"/>
        <v>1.12071416949633+0.114916783198056i</v>
      </c>
      <c r="AR515" s="170" t="str">
        <f t="shared" si="258"/>
        <v>0.735542392094613-0.075421697972556i</v>
      </c>
    </row>
    <row r="516" spans="7:44">
      <c r="G516" s="688">
        <v>70392</v>
      </c>
      <c r="H516" s="676">
        <f t="shared" si="250"/>
        <v>70.391999999999996</v>
      </c>
      <c r="I516" s="677">
        <f t="shared" si="230"/>
        <v>362.46659025206134</v>
      </c>
      <c r="J516" s="678">
        <f t="shared" si="231"/>
        <v>1.5680374483341974</v>
      </c>
      <c r="K516" s="678">
        <f t="shared" si="232"/>
        <v>1.0008638622812094</v>
      </c>
      <c r="L516" s="679">
        <f t="shared" si="233"/>
        <v>4.1550953240373487E-2</v>
      </c>
      <c r="M516" s="678">
        <f t="shared" si="234"/>
        <v>1.1025796782572832</v>
      </c>
      <c r="N516" s="679">
        <f t="shared" si="235"/>
        <v>-0.43477714855715888</v>
      </c>
      <c r="O516" s="677">
        <f t="shared" si="236"/>
        <v>1326857.9389131768</v>
      </c>
      <c r="P516" s="680">
        <f t="shared" si="237"/>
        <v>1.5707955731347114</v>
      </c>
      <c r="Q516" s="689">
        <f t="shared" si="259"/>
        <v>163.64886781651879</v>
      </c>
      <c r="R516" s="690">
        <f t="shared" si="260"/>
        <v>1.5646856445960167</v>
      </c>
      <c r="S516" s="677">
        <f t="shared" si="238"/>
        <v>1.5454037363895101</v>
      </c>
      <c r="T516" s="680">
        <f t="shared" si="239"/>
        <v>0.86704791625568378</v>
      </c>
      <c r="U516" s="681">
        <f t="shared" si="251"/>
        <v>0.57428477822395785</v>
      </c>
      <c r="V516" s="682">
        <f t="shared" si="252"/>
        <v>-1.2978223844674142</v>
      </c>
      <c r="W516" s="683">
        <f t="shared" si="240"/>
        <v>-28.088496339598525</v>
      </c>
      <c r="X516" s="684">
        <f t="shared" si="241"/>
        <v>-236.76013410723365</v>
      </c>
      <c r="Y516" s="687">
        <f t="shared" si="242"/>
        <v>-56.760134107233654</v>
      </c>
      <c r="AA516" s="170">
        <f t="shared" si="243"/>
        <v>70392</v>
      </c>
      <c r="AB516" s="170">
        <f t="shared" si="244"/>
        <v>4955033664</v>
      </c>
      <c r="AD516" s="686">
        <f t="shared" si="245"/>
        <v>23.146382499019722</v>
      </c>
      <c r="AE516" s="687">
        <f t="shared" si="246"/>
        <v>-50.028259412622489</v>
      </c>
      <c r="AG516" s="686">
        <f t="shared" si="247"/>
        <v>3.5810171307069369</v>
      </c>
      <c r="AH516" s="687">
        <f t="shared" si="248"/>
        <v>-38.012384149498935</v>
      </c>
      <c r="AJ516" s="170">
        <f t="shared" si="249"/>
        <v>0</v>
      </c>
      <c r="AK516" s="170">
        <f t="shared" si="261"/>
        <v>0</v>
      </c>
      <c r="AM516" s="170" t="str">
        <f t="shared" si="253"/>
        <v>1.7336688374651+0.679507201531083i</v>
      </c>
      <c r="AN516" s="170" t="str">
        <f t="shared" si="254"/>
        <v>2.39450191865129i</v>
      </c>
      <c r="AO516" s="170" t="str">
        <f t="shared" si="255"/>
        <v>0.2837780985842-0.724020650792209i</v>
      </c>
      <c r="AP516" s="170" t="str">
        <f t="shared" si="256"/>
        <v>-0.122278139577517-0.11325120025518i</v>
      </c>
      <c r="AQ516" s="170" t="str">
        <f t="shared" si="257"/>
        <v>1.12227813957752+0.11325120025518i</v>
      </c>
      <c r="AR516" s="170" t="str">
        <f t="shared" si="258"/>
        <v>0.734758049722972-0.0741458183081129i</v>
      </c>
    </row>
    <row r="517" spans="7:44">
      <c r="G517" s="688">
        <v>70795</v>
      </c>
      <c r="H517" s="676">
        <f t="shared" si="250"/>
        <v>70.795000000000002</v>
      </c>
      <c r="I517" s="677">
        <f t="shared" si="230"/>
        <v>364.54172559712157</v>
      </c>
      <c r="J517" s="678">
        <f t="shared" si="231"/>
        <v>1.5680531531498769</v>
      </c>
      <c r="K517" s="678">
        <f t="shared" si="232"/>
        <v>1.0008737776310923</v>
      </c>
      <c r="L517" s="679">
        <f t="shared" si="233"/>
        <v>4.1788559814130703E-2</v>
      </c>
      <c r="M517" s="678">
        <f t="shared" si="234"/>
        <v>1.1037022288890432</v>
      </c>
      <c r="N517" s="679">
        <f t="shared" si="235"/>
        <v>-0.43696202600157402</v>
      </c>
      <c r="O517" s="677">
        <f t="shared" si="236"/>
        <v>1334454.3099408748</v>
      </c>
      <c r="P517" s="680">
        <f t="shared" si="237"/>
        <v>1.5707955774249163</v>
      </c>
      <c r="Q517" s="689">
        <f t="shared" si="259"/>
        <v>164.58573618436364</v>
      </c>
      <c r="R517" s="690">
        <f t="shared" si="260"/>
        <v>1.5647204287495005</v>
      </c>
      <c r="S517" s="677">
        <f t="shared" si="238"/>
        <v>1.5505528570639857</v>
      </c>
      <c r="T517" s="680">
        <f t="shared" si="239"/>
        <v>0.86986299906441789</v>
      </c>
      <c r="U517" s="681">
        <f t="shared" si="251"/>
        <v>0.57184413095353781</v>
      </c>
      <c r="V517" s="682">
        <f t="shared" si="252"/>
        <v>-1.3030536232699357</v>
      </c>
      <c r="W517" s="683">
        <f t="shared" si="240"/>
        <v>-28.195043760248019</v>
      </c>
      <c r="X517" s="684">
        <f t="shared" si="241"/>
        <v>-237.33163185955252</v>
      </c>
      <c r="Y517" s="687">
        <f t="shared" si="242"/>
        <v>-57.331631859552516</v>
      </c>
      <c r="AA517" s="170">
        <f t="shared" si="243"/>
        <v>70795</v>
      </c>
      <c r="AB517" s="170">
        <f t="shared" si="244"/>
        <v>5011932025</v>
      </c>
      <c r="AD517" s="686">
        <f t="shared" si="245"/>
        <v>23.117488305175165</v>
      </c>
      <c r="AE517" s="687">
        <f t="shared" si="246"/>
        <v>-50.18755903734688</v>
      </c>
      <c r="AG517" s="686">
        <f t="shared" si="247"/>
        <v>3.5773493856754439</v>
      </c>
      <c r="AH517" s="687">
        <f t="shared" si="248"/>
        <v>-37.825126466389335</v>
      </c>
      <c r="AJ517" s="170">
        <f t="shared" si="249"/>
        <v>0</v>
      </c>
      <c r="AK517" s="170">
        <f t="shared" si="261"/>
        <v>0</v>
      </c>
      <c r="AM517" s="170" t="str">
        <f t="shared" si="253"/>
        <v>1.74291478244185+0.669386006747512i</v>
      </c>
      <c r="AN517" s="170" t="str">
        <f t="shared" si="254"/>
        <v>2.40821063943229i</v>
      </c>
      <c r="AO517" s="170" t="str">
        <f t="shared" si="255"/>
        <v>0.277959907570757-0.723738511035199i</v>
      </c>
      <c r="AP517" s="170" t="str">
        <f t="shared" si="256"/>
        <v>-0.123819130406975-0.111564334457919i</v>
      </c>
      <c r="AQ517" s="170" t="str">
        <f t="shared" si="257"/>
        <v>1.12381913040697+0.111564334457919i</v>
      </c>
      <c r="AR517" s="170" t="str">
        <f t="shared" si="258"/>
        <v>0.73398899441681-0.0728649223402122i</v>
      </c>
    </row>
    <row r="518" spans="7:44">
      <c r="G518" s="688">
        <v>71207.25</v>
      </c>
      <c r="H518" s="676">
        <f t="shared" si="250"/>
        <v>71.207250000000002</v>
      </c>
      <c r="I518" s="677">
        <f t="shared" si="230"/>
        <v>366.66449131191825</v>
      </c>
      <c r="J518" s="678">
        <f t="shared" si="231"/>
        <v>1.5680690345062152</v>
      </c>
      <c r="K518" s="678">
        <f t="shared" si="232"/>
        <v>1.0008839790319433</v>
      </c>
      <c r="L518" s="679">
        <f t="shared" si="233"/>
        <v>4.2031615251629947E-2</v>
      </c>
      <c r="M518" s="678">
        <f t="shared" si="234"/>
        <v>1.1048559855589084</v>
      </c>
      <c r="N518" s="679">
        <f t="shared" si="235"/>
        <v>-0.43919244792311646</v>
      </c>
      <c r="O518" s="677">
        <f t="shared" si="236"/>
        <v>1342225.0393606476</v>
      </c>
      <c r="P518" s="680">
        <f t="shared" si="237"/>
        <v>1.5707955817633477</v>
      </c>
      <c r="Q518" s="689">
        <f t="shared" si="259"/>
        <v>165.54410855838432</v>
      </c>
      <c r="R518" s="690">
        <f t="shared" si="260"/>
        <v>1.5647556039298161</v>
      </c>
      <c r="S518" s="677">
        <f t="shared" si="238"/>
        <v>1.5558327935146965</v>
      </c>
      <c r="T518" s="680">
        <f t="shared" si="239"/>
        <v>0.87272339299677104</v>
      </c>
      <c r="U518" s="681">
        <f t="shared" si="251"/>
        <v>0.56935796736726985</v>
      </c>
      <c r="V518" s="682">
        <f t="shared" si="252"/>
        <v>-1.308391970249418</v>
      </c>
      <c r="W518" s="683">
        <f t="shared" si="240"/>
        <v>-28.303686421470079</v>
      </c>
      <c r="X518" s="684">
        <f t="shared" si="241"/>
        <v>-237.91414761755823</v>
      </c>
      <c r="Y518" s="687">
        <f t="shared" si="242"/>
        <v>-57.914147617558228</v>
      </c>
      <c r="AA518" s="170">
        <f t="shared" si="243"/>
        <v>71207.25</v>
      </c>
      <c r="AB518" s="170">
        <f t="shared" si="244"/>
        <v>5070472452.5625</v>
      </c>
      <c r="AD518" s="686">
        <f t="shared" si="245"/>
        <v>23.087959541140805</v>
      </c>
      <c r="AE518" s="687">
        <f t="shared" si="246"/>
        <v>-50.34943239679864</v>
      </c>
      <c r="AG518" s="686">
        <f t="shared" si="247"/>
        <v>3.5739261193670653</v>
      </c>
      <c r="AH518" s="687">
        <f t="shared" si="248"/>
        <v>-37.634039361242792</v>
      </c>
      <c r="AJ518" s="170">
        <f t="shared" si="249"/>
        <v>0</v>
      </c>
      <c r="AK518" s="170">
        <f t="shared" si="261"/>
        <v>0</v>
      </c>
      <c r="AM518" s="170" t="str">
        <f t="shared" si="253"/>
        <v>1.75222847802311+0.658902357600147i</v>
      </c>
      <c r="AN518" s="170" t="str">
        <f t="shared" si="254"/>
        <v>2.4222340144744i</v>
      </c>
      <c r="AO518" s="170" t="str">
        <f t="shared" si="255"/>
        <v>0.272022584796838-0.723393556341965i</v>
      </c>
      <c r="AP518" s="170" t="str">
        <f t="shared" si="256"/>
        <v>-0.125371413003852-0.109817059600025i</v>
      </c>
      <c r="AQ518" s="170" t="str">
        <f t="shared" si="257"/>
        <v>1.12537141300385+0.109817059600025i</v>
      </c>
      <c r="AR518" s="170" t="str">
        <f t="shared" si="258"/>
        <v>0.733218052377589-0.071549578767813i</v>
      </c>
    </row>
    <row r="519" spans="7:44">
      <c r="G519" s="688">
        <v>71619.5</v>
      </c>
      <c r="H519" s="676">
        <f t="shared" si="250"/>
        <v>71.619500000000002</v>
      </c>
      <c r="I519" s="677">
        <f t="shared" si="230"/>
        <v>368.78725711812945</v>
      </c>
      <c r="J519" s="678">
        <f t="shared" si="231"/>
        <v>1.5680847330341134</v>
      </c>
      <c r="K519" s="678">
        <f t="shared" si="232"/>
        <v>1.0008942395597549</v>
      </c>
      <c r="L519" s="679">
        <f t="shared" si="233"/>
        <v>4.2274665720189487E-2</v>
      </c>
      <c r="M519" s="678">
        <f t="shared" si="234"/>
        <v>1.1060152271631107</v>
      </c>
      <c r="N519" s="679">
        <f t="shared" si="235"/>
        <v>-0.44141820537851384</v>
      </c>
      <c r="O519" s="677">
        <f t="shared" si="236"/>
        <v>1349995.7687804205</v>
      </c>
      <c r="P519" s="680">
        <f t="shared" si="237"/>
        <v>1.5707955860518341</v>
      </c>
      <c r="Q519" s="689">
        <f t="shared" si="259"/>
        <v>166.50248113487373</v>
      </c>
      <c r="R519" s="690">
        <f t="shared" si="260"/>
        <v>1.5647903741801341</v>
      </c>
      <c r="S519" s="677">
        <f t="shared" si="238"/>
        <v>1.561125373394378</v>
      </c>
      <c r="T519" s="680">
        <f t="shared" si="239"/>
        <v>0.87556441523501305</v>
      </c>
      <c r="U519" s="681">
        <f t="shared" si="251"/>
        <v>0.56688237873348002</v>
      </c>
      <c r="V519" s="682">
        <f t="shared" si="252"/>
        <v>-1.3137174724241194</v>
      </c>
      <c r="W519" s="683">
        <f t="shared" si="240"/>
        <v>-28.411977703925281</v>
      </c>
      <c r="X519" s="684">
        <f t="shared" si="241"/>
        <v>-238.49456325924001</v>
      </c>
      <c r="Y519" s="687">
        <f t="shared" si="242"/>
        <v>-58.49456325924001</v>
      </c>
      <c r="AA519" s="170">
        <f t="shared" si="243"/>
        <v>71619.5</v>
      </c>
      <c r="AB519" s="170">
        <f t="shared" si="244"/>
        <v>5129352780.25</v>
      </c>
      <c r="AD519" s="686">
        <f t="shared" si="245"/>
        <v>23.058460496536306</v>
      </c>
      <c r="AE519" s="687">
        <f t="shared" si="246"/>
        <v>-50.510219037852778</v>
      </c>
      <c r="AG519" s="686">
        <f t="shared" si="247"/>
        <v>3.5708316817588837</v>
      </c>
      <c r="AH519" s="687">
        <f t="shared" si="248"/>
        <v>-37.443410764376878</v>
      </c>
      <c r="AJ519" s="170">
        <f t="shared" si="249"/>
        <v>0</v>
      </c>
      <c r="AK519" s="170">
        <f t="shared" si="261"/>
        <v>0</v>
      </c>
      <c r="AM519" s="170" t="str">
        <f t="shared" si="253"/>
        <v>1.76139424650149+0.648289134101778i</v>
      </c>
      <c r="AN519" s="170" t="str">
        <f t="shared" si="254"/>
        <v>2.43625738951651i</v>
      </c>
      <c r="AO519" s="170" t="str">
        <f t="shared" si="255"/>
        <v>0.266100428013657-0.722991853849666i</v>
      </c>
      <c r="AP519" s="170" t="str">
        <f t="shared" si="256"/>
        <v>-0.126899041083581-0.108048189016963i</v>
      </c>
      <c r="AQ519" s="170" t="str">
        <f t="shared" si="257"/>
        <v>1.12689904108358+0.108048189016963i</v>
      </c>
      <c r="AR519" s="170" t="str">
        <f t="shared" si="258"/>
        <v>0.732463001654037-0.0702292734001694i</v>
      </c>
    </row>
    <row r="520" spans="7:44">
      <c r="G520" s="688">
        <v>72031.75</v>
      </c>
      <c r="H520" s="676">
        <f t="shared" si="250"/>
        <v>72.031750000000002</v>
      </c>
      <c r="I520" s="677">
        <f t="shared" si="230"/>
        <v>370.91002301418564</v>
      </c>
      <c r="J520" s="678">
        <f t="shared" si="231"/>
        <v>1.5681002518726161</v>
      </c>
      <c r="K520" s="678">
        <f t="shared" si="232"/>
        <v>1.0009045592127079</v>
      </c>
      <c r="L520" s="679">
        <f t="shared" si="233"/>
        <v>4.2517711191246893E-2</v>
      </c>
      <c r="M520" s="678">
        <f t="shared" si="234"/>
        <v>1.1071799364731116</v>
      </c>
      <c r="N520" s="679">
        <f t="shared" si="235"/>
        <v>-0.44363929100107025</v>
      </c>
      <c r="O520" s="677">
        <f t="shared" si="236"/>
        <v>1357766.4982001935</v>
      </c>
      <c r="P520" s="680">
        <f t="shared" si="237"/>
        <v>1.5707955902912332</v>
      </c>
      <c r="Q520" s="689">
        <f t="shared" si="259"/>
        <v>167.46085391035567</v>
      </c>
      <c r="R520" s="690">
        <f t="shared" si="260"/>
        <v>1.5648247464525717</v>
      </c>
      <c r="S520" s="677">
        <f t="shared" si="238"/>
        <v>1.5664304685460071</v>
      </c>
      <c r="T520" s="680">
        <f t="shared" si="239"/>
        <v>0.87838621650479987</v>
      </c>
      <c r="U520" s="681">
        <f t="shared" si="251"/>
        <v>0.56441731523806504</v>
      </c>
      <c r="V520" s="682">
        <f t="shared" si="252"/>
        <v>-1.3190303968751094</v>
      </c>
      <c r="W520" s="683">
        <f t="shared" si="240"/>
        <v>-28.519920543163444</v>
      </c>
      <c r="X520" s="684">
        <f t="shared" si="241"/>
        <v>-239.07290208429211</v>
      </c>
      <c r="Y520" s="687">
        <f t="shared" si="242"/>
        <v>-59.07290208429211</v>
      </c>
      <c r="AA520" s="170">
        <f t="shared" si="243"/>
        <v>72031.75</v>
      </c>
      <c r="AB520" s="170">
        <f t="shared" si="244"/>
        <v>5188573008.0625</v>
      </c>
      <c r="AD520" s="686">
        <f t="shared" si="245"/>
        <v>23.028991918804135</v>
      </c>
      <c r="AE520" s="687">
        <f t="shared" si="246"/>
        <v>-50.669927198175422</v>
      </c>
      <c r="AG520" s="686">
        <f t="shared" si="247"/>
        <v>3.5680625706116387</v>
      </c>
      <c r="AH520" s="687">
        <f t="shared" si="248"/>
        <v>-37.253225132583438</v>
      </c>
      <c r="AJ520" s="170">
        <f t="shared" si="249"/>
        <v>0</v>
      </c>
      <c r="AK520" s="170">
        <f t="shared" si="261"/>
        <v>0</v>
      </c>
      <c r="AM520" s="170" t="str">
        <f t="shared" si="253"/>
        <v>1.77041028541188+0.637548423362174i</v>
      </c>
      <c r="AN520" s="170" t="str">
        <f t="shared" si="254"/>
        <v>2.45028076455862i</v>
      </c>
      <c r="AO520" s="170" t="str">
        <f t="shared" si="255"/>
        <v>0.26019402861248-0.722533642274579i</v>
      </c>
      <c r="AP520" s="170" t="str">
        <f t="shared" si="256"/>
        <v>-0.128401714235312-0.106258070560362i</v>
      </c>
      <c r="AQ520" s="170" t="str">
        <f t="shared" si="257"/>
        <v>1.12840171423531+0.106258070560362i</v>
      </c>
      <c r="AR520" s="170" t="str">
        <f t="shared" si="258"/>
        <v>0.73172378934544-0.0689041473954633i</v>
      </c>
    </row>
    <row r="521" spans="7:44">
      <c r="G521" s="688">
        <v>72444</v>
      </c>
      <c r="H521" s="676">
        <f t="shared" si="250"/>
        <v>72.444000000000003</v>
      </c>
      <c r="I521" s="677">
        <f t="shared" si="230"/>
        <v>373.03278899855314</v>
      </c>
      <c r="J521" s="678">
        <f t="shared" si="231"/>
        <v>1.5681155940893161</v>
      </c>
      <c r="K521" s="678">
        <f t="shared" si="232"/>
        <v>1.0009149379889744</v>
      </c>
      <c r="L521" s="679">
        <f t="shared" si="233"/>
        <v>4.2760751636243252E-2</v>
      </c>
      <c r="M521" s="678">
        <f t="shared" si="234"/>
        <v>1.1083500962517012</v>
      </c>
      <c r="N521" s="679">
        <f t="shared" si="235"/>
        <v>-0.44585569763935845</v>
      </c>
      <c r="O521" s="677">
        <f t="shared" si="236"/>
        <v>1365537.227619966</v>
      </c>
      <c r="P521" s="680">
        <f t="shared" si="237"/>
        <v>1.5707955944823826</v>
      </c>
      <c r="Q521" s="689">
        <f t="shared" si="259"/>
        <v>168.4192268814331</v>
      </c>
      <c r="R521" s="690">
        <f t="shared" si="260"/>
        <v>1.5648587275410082</v>
      </c>
      <c r="S521" s="677">
        <f t="shared" si="238"/>
        <v>1.5717479522418112</v>
      </c>
      <c r="T521" s="680">
        <f t="shared" si="239"/>
        <v>0.88118894672366443</v>
      </c>
      <c r="U521" s="681">
        <f t="shared" si="251"/>
        <v>0.561962725387954</v>
      </c>
      <c r="V521" s="682">
        <f t="shared" si="252"/>
        <v>-1.3243310097960896</v>
      </c>
      <c r="W521" s="683">
        <f t="shared" si="240"/>
        <v>-28.627517866027485</v>
      </c>
      <c r="X521" s="684">
        <f t="shared" si="241"/>
        <v>-239.64918731256921</v>
      </c>
      <c r="Y521" s="687">
        <f t="shared" si="242"/>
        <v>-59.649187312569211</v>
      </c>
      <c r="AA521" s="170">
        <f t="shared" si="243"/>
        <v>72444</v>
      </c>
      <c r="AB521" s="170">
        <f t="shared" si="244"/>
        <v>5248133136</v>
      </c>
      <c r="AD521" s="686">
        <f t="shared" si="245"/>
        <v>22.99955453679306</v>
      </c>
      <c r="AE521" s="687">
        <f t="shared" si="246"/>
        <v>-50.828565078195915</v>
      </c>
      <c r="AG521" s="686">
        <f t="shared" si="247"/>
        <v>3.5656153715503396</v>
      </c>
      <c r="AH521" s="687">
        <f t="shared" si="248"/>
        <v>-37.063466981736632</v>
      </c>
      <c r="AJ521" s="170">
        <f t="shared" si="249"/>
        <v>0</v>
      </c>
      <c r="AK521" s="170">
        <f t="shared" si="261"/>
        <v>0</v>
      </c>
      <c r="AM521" s="170" t="str">
        <f t="shared" si="253"/>
        <v>1.77927482173377+0.626682337561709i</v>
      </c>
      <c r="AN521" s="170" t="str">
        <f t="shared" si="254"/>
        <v>2.46430413960072i</v>
      </c>
      <c r="AO521" s="170" t="str">
        <f t="shared" si="255"/>
        <v>0.254303974696584-0.722019166847667i</v>
      </c>
      <c r="AP521" s="170" t="str">
        <f t="shared" si="256"/>
        <v>-0.129879136955628-0.104447056260285i</v>
      </c>
      <c r="AQ521" s="170" t="str">
        <f t="shared" si="257"/>
        <v>1.12987913695563+0.104447056260285i</v>
      </c>
      <c r="AR521" s="170" t="str">
        <f t="shared" si="258"/>
        <v>0.731000362940791-0.0675743391811684i</v>
      </c>
    </row>
    <row r="522" spans="7:44">
      <c r="G522" s="688">
        <v>72865.75</v>
      </c>
      <c r="H522" s="676">
        <f t="shared" si="250"/>
        <v>72.865750000000006</v>
      </c>
      <c r="I522" s="677">
        <f t="shared" si="230"/>
        <v>375.20447266365204</v>
      </c>
      <c r="J522" s="678">
        <f t="shared" si="231"/>
        <v>1.5681311102083288</v>
      </c>
      <c r="K522" s="678">
        <f t="shared" si="232"/>
        <v>1.0009256171173295</v>
      </c>
      <c r="L522" s="679">
        <f t="shared" si="233"/>
        <v>4.300938753978837E-2</v>
      </c>
      <c r="M522" s="678">
        <f t="shared" si="234"/>
        <v>1.1095528438434035</v>
      </c>
      <c r="N522" s="679">
        <f t="shared" si="235"/>
        <v>-0.44811833055374889</v>
      </c>
      <c r="O522" s="677">
        <f t="shared" si="236"/>
        <v>1373487.027820789</v>
      </c>
      <c r="P522" s="680">
        <f t="shared" si="237"/>
        <v>1.570795598721038</v>
      </c>
      <c r="Q522" s="689">
        <f t="shared" si="259"/>
        <v>169.39968505624859</v>
      </c>
      <c r="R522" s="690">
        <f t="shared" si="260"/>
        <v>1.5648930938123904</v>
      </c>
      <c r="S522" s="677">
        <f t="shared" si="238"/>
        <v>1.5772006628595416</v>
      </c>
      <c r="T522" s="680">
        <f t="shared" si="239"/>
        <v>0.88403668395001711</v>
      </c>
      <c r="U522" s="681">
        <f t="shared" si="251"/>
        <v>0.55946235437475711</v>
      </c>
      <c r="V522" s="682">
        <f t="shared" si="252"/>
        <v>-1.3297413077625702</v>
      </c>
      <c r="W522" s="683">
        <f t="shared" si="240"/>
        <v>-28.737240182851554</v>
      </c>
      <c r="X522" s="684">
        <f t="shared" si="241"/>
        <v>-240.23665161421687</v>
      </c>
      <c r="Y522" s="687">
        <f t="shared" si="242"/>
        <v>-60.236651614216868</v>
      </c>
      <c r="AA522" s="170">
        <f t="shared" si="243"/>
        <v>72865.75</v>
      </c>
      <c r="AB522" s="170">
        <f t="shared" si="244"/>
        <v>5309417523.0625</v>
      </c>
      <c r="AD522" s="686">
        <f t="shared" si="245"/>
        <v>22.969471815028683</v>
      </c>
      <c r="AE522" s="687">
        <f t="shared" si="246"/>
        <v>-50.989759603161673</v>
      </c>
      <c r="AG522" s="686">
        <f t="shared" si="247"/>
        <v>3.5634414335570117</v>
      </c>
      <c r="AH522" s="687">
        <f t="shared" si="248"/>
        <v>-36.869762278934999</v>
      </c>
      <c r="AJ522" s="170">
        <f t="shared" si="249"/>
        <v>0</v>
      </c>
      <c r="AK522" s="170">
        <f t="shared" si="261"/>
        <v>0</v>
      </c>
      <c r="AM522" s="170" t="str">
        <f t="shared" si="253"/>
        <v>1.78818503747905+0.615438337036422i</v>
      </c>
      <c r="AN522" s="170" t="str">
        <f t="shared" si="254"/>
        <v>2.47865067307315i</v>
      </c>
      <c r="AO522" s="170" t="str">
        <f t="shared" si="255"/>
        <v>0.248295713358176-0.721434874589235i</v>
      </c>
      <c r="AP522" s="170" t="str">
        <f t="shared" si="256"/>
        <v>-0.131364172913174-0.102573056172737i</v>
      </c>
      <c r="AQ522" s="170" t="str">
        <f t="shared" si="257"/>
        <v>1.13136417291317+0.102573056172737i</v>
      </c>
      <c r="AR522" s="170" t="str">
        <f t="shared" si="258"/>
        <v>0.73027654716172-0.0662091827609964i</v>
      </c>
    </row>
    <row r="523" spans="7:44">
      <c r="G523" s="688">
        <v>73287.5</v>
      </c>
      <c r="H523" s="676">
        <f t="shared" si="250"/>
        <v>73.287499999999994</v>
      </c>
      <c r="I523" s="677">
        <f t="shared" si="230"/>
        <v>377.37615641804177</v>
      </c>
      <c r="J523" s="678">
        <f t="shared" si="231"/>
        <v>1.5681464477463565</v>
      </c>
      <c r="K523" s="678">
        <f t="shared" si="232"/>
        <v>1.0009363581213959</v>
      </c>
      <c r="L523" s="679">
        <f t="shared" si="233"/>
        <v>4.3258018122501608E-2</v>
      </c>
      <c r="M523" s="678">
        <f t="shared" si="234"/>
        <v>1.1107612594809428</v>
      </c>
      <c r="N523" s="679">
        <f t="shared" si="235"/>
        <v>-0.45037605189374152</v>
      </c>
      <c r="O523" s="677">
        <f t="shared" si="236"/>
        <v>1381436.828021612</v>
      </c>
      <c r="P523" s="680">
        <f t="shared" si="237"/>
        <v>1.5707956029109087</v>
      </c>
      <c r="Q523" s="689">
        <f t="shared" si="259"/>
        <v>170.38014342882937</v>
      </c>
      <c r="R523" s="690">
        <f t="shared" si="260"/>
        <v>1.5649270645600402</v>
      </c>
      <c r="S523" s="677">
        <f t="shared" si="238"/>
        <v>1.5826660757617532</v>
      </c>
      <c r="T523" s="680">
        <f t="shared" si="239"/>
        <v>0.88686477582575152</v>
      </c>
      <c r="U523" s="681">
        <f t="shared" si="251"/>
        <v>0.55697283112025964</v>
      </c>
      <c r="V523" s="682">
        <f t="shared" si="252"/>
        <v>-1.3351392810553162</v>
      </c>
      <c r="W523" s="683">
        <f t="shared" si="240"/>
        <v>-28.846607047709327</v>
      </c>
      <c r="X523" s="684">
        <f t="shared" si="241"/>
        <v>-240.82201548788186</v>
      </c>
      <c r="Y523" s="687">
        <f t="shared" si="242"/>
        <v>-60.822015487881856</v>
      </c>
      <c r="AA523" s="170">
        <f t="shared" si="243"/>
        <v>73287.5</v>
      </c>
      <c r="AB523" s="170">
        <f t="shared" si="244"/>
        <v>5371057656.25</v>
      </c>
      <c r="AD523" s="686">
        <f t="shared" si="245"/>
        <v>22.939423228380541</v>
      </c>
      <c r="AE523" s="687">
        <f t="shared" si="246"/>
        <v>-51.149851191494108</v>
      </c>
      <c r="AG523" s="686">
        <f t="shared" si="247"/>
        <v>3.5615974605701242</v>
      </c>
      <c r="AH523" s="687">
        <f t="shared" si="248"/>
        <v>-36.676472388363401</v>
      </c>
      <c r="AJ523" s="170">
        <f t="shared" si="249"/>
        <v>0</v>
      </c>
      <c r="AK523" s="170">
        <f t="shared" si="261"/>
        <v>0</v>
      </c>
      <c r="AM523" s="170" t="str">
        <f t="shared" si="253"/>
        <v>1.79693302937996+0.604067667304979i</v>
      </c>
      <c r="AN523" s="170" t="str">
        <f t="shared" si="254"/>
        <v>2.49299720654558i</v>
      </c>
      <c r="AO523" s="170" t="str">
        <f t="shared" si="255"/>
        <v>0.242305793892968-0.720792235411238i</v>
      </c>
      <c r="AP523" s="170" t="str">
        <f t="shared" si="256"/>
        <v>-0.132822171563327-0.10067794455083i</v>
      </c>
      <c r="AQ523" s="170" t="str">
        <f t="shared" si="257"/>
        <v>1.13282217156333+0.10067794455083i</v>
      </c>
      <c r="AR523" s="170" t="str">
        <f t="shared" si="258"/>
        <v>0.729569143484575-0.0648394104719642i</v>
      </c>
    </row>
    <row r="524" spans="7:44">
      <c r="G524" s="688">
        <v>73709.25</v>
      </c>
      <c r="H524" s="676">
        <f t="shared" si="250"/>
        <v>73.709249999999997</v>
      </c>
      <c r="I524" s="677">
        <f t="shared" si="230"/>
        <v>379.54784026018956</v>
      </c>
      <c r="J524" s="678">
        <f t="shared" si="231"/>
        <v>1.5681616097687872</v>
      </c>
      <c r="K524" s="678">
        <f t="shared" si="232"/>
        <v>1.000947160999182</v>
      </c>
      <c r="L524" s="679">
        <f t="shared" si="233"/>
        <v>4.3506643353815468E-2</v>
      </c>
      <c r="M524" s="678">
        <f t="shared" si="234"/>
        <v>1.1119753246854338</v>
      </c>
      <c r="N524" s="679">
        <f t="shared" si="235"/>
        <v>-0.45262885469297709</v>
      </c>
      <c r="O524" s="677">
        <f t="shared" si="236"/>
        <v>1389386.628222435</v>
      </c>
      <c r="P524" s="680">
        <f t="shared" si="237"/>
        <v>1.5707956070528322</v>
      </c>
      <c r="Q524" s="689">
        <f t="shared" si="259"/>
        <v>171.36060199578085</v>
      </c>
      <c r="R524" s="690">
        <f t="shared" si="260"/>
        <v>1.5649606465729762</v>
      </c>
      <c r="S524" s="677">
        <f t="shared" si="238"/>
        <v>1.5881440598081511</v>
      </c>
      <c r="T524" s="680">
        <f t="shared" si="239"/>
        <v>0.88967338016603692</v>
      </c>
      <c r="U524" s="681">
        <f t="shared" si="251"/>
        <v>0.55449409540376116</v>
      </c>
      <c r="V524" s="682">
        <f t="shared" si="252"/>
        <v>-1.3405252118639899</v>
      </c>
      <c r="W524" s="683">
        <f t="shared" si="240"/>
        <v>-28.955621570652511</v>
      </c>
      <c r="X524" s="684">
        <f t="shared" si="241"/>
        <v>-241.40530353329214</v>
      </c>
      <c r="Y524" s="687">
        <f t="shared" si="242"/>
        <v>-61.405303533292141</v>
      </c>
      <c r="AA524" s="170">
        <f t="shared" si="243"/>
        <v>73709.25</v>
      </c>
      <c r="AB524" s="170">
        <f t="shared" si="244"/>
        <v>5433053535.5625</v>
      </c>
      <c r="AD524" s="686">
        <f t="shared" si="245"/>
        <v>22.909409498983607</v>
      </c>
      <c r="AE524" s="687">
        <f t="shared" si="246"/>
        <v>-51.308848496402192</v>
      </c>
      <c r="AG524" s="686">
        <f t="shared" si="247"/>
        <v>3.5600800722620218</v>
      </c>
      <c r="AH524" s="687">
        <f t="shared" si="248"/>
        <v>-36.483580919987375</v>
      </c>
      <c r="AJ524" s="170">
        <f t="shared" si="249"/>
        <v>0</v>
      </c>
      <c r="AK524" s="170">
        <f t="shared" si="261"/>
        <v>0</v>
      </c>
      <c r="AM524" s="170" t="str">
        <f t="shared" si="253"/>
        <v>1.80551699692926+0.592572668672851i</v>
      </c>
      <c r="AN524" s="170" t="str">
        <f t="shared" si="254"/>
        <v>2.50734374001801i</v>
      </c>
      <c r="AO524" s="170" t="str">
        <f t="shared" si="255"/>
        <v>0.236334834835448-0.720091532769373i</v>
      </c>
      <c r="AP524" s="170" t="str">
        <f t="shared" si="256"/>
        <v>-0.134252832821544-0.0987621114454752i</v>
      </c>
      <c r="AQ524" s="170" t="str">
        <f t="shared" si="257"/>
        <v>1.13425283282154+0.0987621114454752i</v>
      </c>
      <c r="AR524" s="170" t="str">
        <f t="shared" si="258"/>
        <v>0.728878097252369-0.0634651620767258i</v>
      </c>
    </row>
    <row r="525" spans="7:44">
      <c r="G525" s="688">
        <v>74131</v>
      </c>
      <c r="H525" s="676">
        <f t="shared" si="250"/>
        <v>74.131</v>
      </c>
      <c r="I525" s="677">
        <f t="shared" ref="I525:I588" si="262">SQRT(1+(G525/pole1)^2)</f>
        <v>381.71952418859769</v>
      </c>
      <c r="J525" s="678">
        <f t="shared" ref="J525:J588" si="263">ATAN(G525/pole1)</f>
        <v>1.5681765992712513</v>
      </c>
      <c r="K525" s="678">
        <f t="shared" ref="K525:K588" si="264">SQRT(1+(G525/Zero1)^2)</f>
        <v>1.0009580257486841</v>
      </c>
      <c r="L525" s="679">
        <f t="shared" ref="L525:L588" si="265">ATAN(G525/Zero1)</f>
        <v>4.3755263203166431E-2</v>
      </c>
      <c r="M525" s="678">
        <f t="shared" ref="M525:M588" si="266">SQRT(1+(G525/z_RHP)^2)</f>
        <v>1.1131950209723986</v>
      </c>
      <c r="N525" s="679">
        <f t="shared" ref="N525:N588" si="267">-ATAN(G525/z_RHP)</f>
        <v>-0.45487673221511188</v>
      </c>
      <c r="O525" s="677">
        <f t="shared" ref="O525:O588" si="268">SQRT(1+(G525/Pole2)^2)</f>
        <v>1397336.428423258</v>
      </c>
      <c r="P525" s="680">
        <f t="shared" ref="P525:P588" si="269">ATAN(G525/Pole2)</f>
        <v>1.5707956111476269</v>
      </c>
      <c r="Q525" s="689">
        <f t="shared" si="259"/>
        <v>172.34106075378571</v>
      </c>
      <c r="R525" s="690">
        <f t="shared" si="260"/>
        <v>1.5649938464857285</v>
      </c>
      <c r="S525" s="677">
        <f t="shared" ref="S525:S588" si="270">SQRT(1+(G525/pole4)^2)</f>
        <v>1.5936344853619993</v>
      </c>
      <c r="T525" s="680">
        <f t="shared" ref="T525:T588" si="271">ATAN(G525/pole4)</f>
        <v>0.8924626538484709</v>
      </c>
      <c r="U525" s="681">
        <f t="shared" si="251"/>
        <v>0.55202608540914233</v>
      </c>
      <c r="V525" s="682">
        <f t="shared" si="252"/>
        <v>-1.3458993814422087</v>
      </c>
      <c r="W525" s="683">
        <f t="shared" ref="W525:W588" si="272">20*LOG10(((K525*Q525*M525*U525)/(I525*O525*S525))*Adc)</f>
        <v>-29.064286855136444</v>
      </c>
      <c r="X525" s="684">
        <f t="shared" ref="X525:X588" si="273">((L525+R525+N525+V525)-(J525+P525+T525))*radconv</f>
        <v>-241.98654026085765</v>
      </c>
      <c r="Y525" s="687">
        <f t="shared" ref="Y525:Y588" si="274">IF(X525&gt;0,X525,X525+180)</f>
        <v>-61.986540260857652</v>
      </c>
      <c r="AA525" s="170">
        <f t="shared" ref="AA525:AA588" si="275">IF(W525&lt;0,G525,1000000000)</f>
        <v>74131</v>
      </c>
      <c r="AB525" s="170">
        <f t="shared" ref="AB525:AB588" si="276">G525^2</f>
        <v>5495405161</v>
      </c>
      <c r="AD525" s="686">
        <f t="shared" ref="AD525:AD588" si="277">20*LOG10((Q525/(O525*S525))*Aea)</f>
        <v>22.879431330038358</v>
      </c>
      <c r="AE525" s="687">
        <f t="shared" ref="AE525:AE588" si="278">(R525-(P525+T525))*radconv</f>
        <v>-51.466760126226561</v>
      </c>
      <c r="AG525" s="686">
        <f t="shared" ref="AG525:AG588" si="279">20*LOG10((K525*M525/(I525*U525))*Acs*Am)</f>
        <v>3.5588859780300175</v>
      </c>
      <c r="AH525" s="687">
        <f t="shared" ref="AH525:AH588" si="280">(L525+N525-(J525+V525))*radconv</f>
        <v>-36.291071546585727</v>
      </c>
      <c r="AJ525" s="170">
        <f t="shared" ref="AJ525:AJ588" si="281">SUM((W526&lt;0)*(W525&gt;0))*G525</f>
        <v>0</v>
      </c>
      <c r="AK525" s="170">
        <f t="shared" si="261"/>
        <v>0</v>
      </c>
      <c r="AM525" s="170" t="str">
        <f t="shared" si="253"/>
        <v>1.8139351733791+0.580955707034824i</v>
      </c>
      <c r="AN525" s="170" t="str">
        <f t="shared" si="254"/>
        <v>2.52169027349044i</v>
      </c>
      <c r="AO525" s="170" t="str">
        <f t="shared" si="255"/>
        <v>0.230383450791791-0.719333057056334i</v>
      </c>
      <c r="AP525" s="170" t="str">
        <f t="shared" si="256"/>
        <v>-0.13565586222985-0.0968259511724707i</v>
      </c>
      <c r="AQ525" s="170" t="str">
        <f t="shared" si="257"/>
        <v>1.13565586222985+0.0968259511724707i</v>
      </c>
      <c r="AR525" s="170" t="str">
        <f t="shared" si="258"/>
        <v>0.728203354432567-0.0620865746261137i</v>
      </c>
    </row>
    <row r="526" spans="7:44">
      <c r="G526" s="688">
        <v>74562.75</v>
      </c>
      <c r="H526" s="676">
        <f t="shared" ref="H526:H589" si="282">G526/1000</f>
        <v>74.562749999999994</v>
      </c>
      <c r="I526" s="677">
        <f t="shared" si="262"/>
        <v>383.94270041415803</v>
      </c>
      <c r="J526" s="678">
        <f t="shared" si="263"/>
        <v>1.5681917685377849</v>
      </c>
      <c r="K526" s="678">
        <f t="shared" si="264"/>
        <v>1.0009692121968585</v>
      </c>
      <c r="L526" s="679">
        <f t="shared" si="265"/>
        <v>4.4009772403619127E-2</v>
      </c>
      <c r="M526" s="678">
        <f t="shared" si="266"/>
        <v>1.114449450785312</v>
      </c>
      <c r="N526" s="679">
        <f t="shared" si="267"/>
        <v>-0.45717279992479098</v>
      </c>
      <c r="O526" s="677">
        <f t="shared" si="268"/>
        <v>1405474.724183081</v>
      </c>
      <c r="P526" s="680">
        <f t="shared" si="269"/>
        <v>1.5707956152915286</v>
      </c>
      <c r="Q526" s="689">
        <f t="shared" si="259"/>
        <v>173.34476709831762</v>
      </c>
      <c r="R526" s="690">
        <f t="shared" si="260"/>
        <v>1.5650274445642529</v>
      </c>
      <c r="S526" s="677">
        <f t="shared" si="270"/>
        <v>1.599267846626818</v>
      </c>
      <c r="T526" s="680">
        <f t="shared" si="271"/>
        <v>0.89529820242494418</v>
      </c>
      <c r="U526" s="681">
        <f t="shared" ref="U526:U589" si="283">IMABS(IMPRODUCT(AO526, AR526))</f>
        <v>0.54951060115347194</v>
      </c>
      <c r="V526" s="682">
        <f t="shared" ref="V526:V589" si="284">IMARGUMENT(IMPRODUCT(AO526, AR526))</f>
        <v>-1.3513890863289975</v>
      </c>
      <c r="W526" s="683">
        <f t="shared" si="272"/>
        <v>-29.175170148981039</v>
      </c>
      <c r="X526" s="684">
        <f t="shared" si="273"/>
        <v>-242.57945917884396</v>
      </c>
      <c r="Y526" s="687">
        <f t="shared" si="274"/>
        <v>-62.579459178843962</v>
      </c>
      <c r="AA526" s="170">
        <f t="shared" si="275"/>
        <v>74562.75</v>
      </c>
      <c r="AB526" s="170">
        <f t="shared" si="276"/>
        <v>5559603687.5625</v>
      </c>
      <c r="AD526" s="686">
        <f t="shared" si="277"/>
        <v>22.848779906694322</v>
      </c>
      <c r="AE526" s="687">
        <f t="shared" si="278"/>
        <v>-51.627300301775129</v>
      </c>
      <c r="AG526" s="686">
        <f t="shared" si="279"/>
        <v>3.5579951113403401</v>
      </c>
      <c r="AH526" s="687">
        <f t="shared" si="280"/>
        <v>-36.094376446734003</v>
      </c>
      <c r="AJ526" s="170">
        <f t="shared" si="281"/>
        <v>0</v>
      </c>
      <c r="AK526" s="170">
        <f t="shared" si="261"/>
        <v>0</v>
      </c>
      <c r="AM526" s="170" t="str">
        <f t="shared" ref="AM526:AM589" si="285">IMSUB(1,IMEXP(COMPLEX(0,-2*Pi*G526*Tsw)))</f>
        <v>1.82237940797889+0.568939460164509i</v>
      </c>
      <c r="AN526" s="170" t="str">
        <f t="shared" ref="AN526:AN589" si="286">COMPLEX(0, 2*Pi*G526*Tsw)</f>
        <v>2.53637697373162i</v>
      </c>
      <c r="AO526" s="170" t="str">
        <f t="shared" ref="AO526:AO589" si="287">IMDIV(AM526, AN526)</f>
        <v>0.224311869275277-0.718497063667051i</v>
      </c>
      <c r="AP526" s="170" t="str">
        <f t="shared" ref="AP526:AP589" si="288">IMDIV(IMEXP(COMPLEX(0,-2*Pi*G526*Tsw)),6)</f>
        <v>-0.137063234663149-0.0948232433607515i</v>
      </c>
      <c r="AQ526" s="170" t="str">
        <f t="shared" ref="AQ526:AQ589" si="289">IMSUB(1, AP526)</f>
        <v>1.13706323466315+0.0948232433607515i</v>
      </c>
      <c r="AR526" s="170" t="str">
        <f t="shared" ref="AR526:AR589" si="290">IMDIV(0.833, AQ526)</f>
        <v>0.727529445104179-0.0606709455746875i</v>
      </c>
    </row>
    <row r="527" spans="7:44">
      <c r="G527" s="688">
        <v>74994.5</v>
      </c>
      <c r="H527" s="676">
        <f t="shared" si="282"/>
        <v>74.994500000000002</v>
      </c>
      <c r="I527" s="677">
        <f t="shared" si="262"/>
        <v>386.16587672704895</v>
      </c>
      <c r="J527" s="678">
        <f t="shared" si="263"/>
        <v>1.5682067631438656</v>
      </c>
      <c r="K527" s="678">
        <f t="shared" si="264"/>
        <v>1.0009804634812951</v>
      </c>
      <c r="L527" s="679">
        <f t="shared" si="265"/>
        <v>4.426427589905587E-2</v>
      </c>
      <c r="M527" s="678">
        <f t="shared" si="266"/>
        <v>1.1157097426646654</v>
      </c>
      <c r="N527" s="679">
        <f t="shared" si="267"/>
        <v>-0.45946369247002722</v>
      </c>
      <c r="O527" s="677">
        <f t="shared" si="268"/>
        <v>1413613.0199429039</v>
      </c>
      <c r="P527" s="680">
        <f t="shared" si="269"/>
        <v>1.5707956193877166</v>
      </c>
      <c r="Q527" s="689">
        <f t="shared" si="259"/>
        <v>174.34847363627347</v>
      </c>
      <c r="R527" s="690">
        <f t="shared" si="260"/>
        <v>1.5650606558013311</v>
      </c>
      <c r="S527" s="677">
        <f t="shared" si="270"/>
        <v>1.6049139762124405</v>
      </c>
      <c r="T527" s="680">
        <f t="shared" si="271"/>
        <v>0.89811382243856841</v>
      </c>
      <c r="U527" s="681">
        <f t="shared" si="283"/>
        <v>0.54700622130000942</v>
      </c>
      <c r="V527" s="682">
        <f t="shared" si="284"/>
        <v>-1.3568670591693526</v>
      </c>
      <c r="W527" s="683">
        <f t="shared" si="272"/>
        <v>-29.285694010269548</v>
      </c>
      <c r="X527" s="684">
        <f t="shared" si="273"/>
        <v>-243.17028004367327</v>
      </c>
      <c r="Y527" s="687">
        <f t="shared" si="274"/>
        <v>-63.170280043673273</v>
      </c>
      <c r="AA527" s="170">
        <f t="shared" si="275"/>
        <v>74994.5</v>
      </c>
      <c r="AB527" s="170">
        <f t="shared" si="276"/>
        <v>5624175030.25</v>
      </c>
      <c r="AD527" s="686">
        <f t="shared" si="277"/>
        <v>22.818167182199144</v>
      </c>
      <c r="AE527" s="687">
        <f t="shared" si="278"/>
        <v>-51.786720816427824</v>
      </c>
      <c r="AG527" s="686">
        <f t="shared" si="279"/>
        <v>3.5574363543637908</v>
      </c>
      <c r="AH527" s="687">
        <f t="shared" si="280"/>
        <v>-35.898047348114083</v>
      </c>
      <c r="AJ527" s="170">
        <f t="shared" si="281"/>
        <v>0</v>
      </c>
      <c r="AK527" s="170">
        <f t="shared" si="261"/>
        <v>0</v>
      </c>
      <c r="AM527" s="170" t="str">
        <f t="shared" si="285"/>
        <v>1.83064625921641+0.556800495734139i</v>
      </c>
      <c r="AN527" s="170" t="str">
        <f t="shared" si="286"/>
        <v>2.55106367397281i</v>
      </c>
      <c r="AO527" s="170" t="str">
        <f t="shared" si="287"/>
        <v>0.218262092559621-0.717601162955496i</v>
      </c>
      <c r="AP527" s="170" t="str">
        <f t="shared" si="288"/>
        <v>-0.138441043202735-0.0928000826223565i</v>
      </c>
      <c r="AQ527" s="170" t="str">
        <f t="shared" si="289"/>
        <v>1.13844104320273+0.0928000826223565i</v>
      </c>
      <c r="AR527" s="170" t="str">
        <f t="shared" si="290"/>
        <v>0.726872509089989-0.0592510515166473i</v>
      </c>
    </row>
    <row r="528" spans="7:44">
      <c r="G528" s="688">
        <v>75426.25</v>
      </c>
      <c r="H528" s="676">
        <f t="shared" si="282"/>
        <v>75.426249999999996</v>
      </c>
      <c r="I528" s="677">
        <f t="shared" si="262"/>
        <v>388.38905312577072</v>
      </c>
      <c r="J528" s="678">
        <f t="shared" si="263"/>
        <v>1.5682215860888071</v>
      </c>
      <c r="K528" s="678">
        <f t="shared" si="264"/>
        <v>1.0009917795998076</v>
      </c>
      <c r="L528" s="679">
        <f t="shared" si="265"/>
        <v>4.4518773656700178E-2</v>
      </c>
      <c r="M528" s="678">
        <f t="shared" si="266"/>
        <v>1.1169758767678239</v>
      </c>
      <c r="N528" s="679">
        <f t="shared" si="267"/>
        <v>-0.46174940336303566</v>
      </c>
      <c r="O528" s="677">
        <f t="shared" si="268"/>
        <v>1421751.3157027268</v>
      </c>
      <c r="P528" s="680">
        <f t="shared" si="269"/>
        <v>1.5707956234370104</v>
      </c>
      <c r="Q528" s="689">
        <f t="shared" si="259"/>
        <v>175.35218036433179</v>
      </c>
      <c r="R528" s="690">
        <f t="shared" si="260"/>
        <v>1.56509348683967</v>
      </c>
      <c r="S528" s="677">
        <f t="shared" si="270"/>
        <v>1.61057273983448</v>
      </c>
      <c r="T528" s="680">
        <f t="shared" si="271"/>
        <v>0.90090967906863928</v>
      </c>
      <c r="U528" s="681">
        <f t="shared" si="283"/>
        <v>0.54451287470134069</v>
      </c>
      <c r="V528" s="682">
        <f t="shared" si="284"/>
        <v>-1.3623335987295448</v>
      </c>
      <c r="W528" s="683">
        <f t="shared" si="272"/>
        <v>-29.395861751477117</v>
      </c>
      <c r="X528" s="684">
        <f t="shared" si="273"/>
        <v>-243.75902885891972</v>
      </c>
      <c r="Y528" s="687">
        <f t="shared" si="274"/>
        <v>-63.75902885891972</v>
      </c>
      <c r="AA528" s="170">
        <f t="shared" si="275"/>
        <v>75426.25</v>
      </c>
      <c r="AB528" s="170">
        <f t="shared" si="276"/>
        <v>5689119189.0625</v>
      </c>
      <c r="AD528" s="686">
        <f t="shared" si="277"/>
        <v>22.787593851592934</v>
      </c>
      <c r="AE528" s="687">
        <f t="shared" si="278"/>
        <v>-51.945030753709069</v>
      </c>
      <c r="AG528" s="686">
        <f t="shared" si="279"/>
        <v>3.5572064592654145</v>
      </c>
      <c r="AH528" s="687">
        <f t="shared" si="280"/>
        <v>-35.702066934682826</v>
      </c>
      <c r="AJ528" s="170">
        <f t="shared" si="281"/>
        <v>0</v>
      </c>
      <c r="AK528" s="170">
        <f t="shared" si="261"/>
        <v>0</v>
      </c>
      <c r="AM528" s="170" t="str">
        <f t="shared" si="285"/>
        <v>1.8387339439708+0.544541432061138i</v>
      </c>
      <c r="AN528" s="170" t="str">
        <f t="shared" si="286"/>
        <v>2.565750374214i</v>
      </c>
      <c r="AO528" s="170" t="str">
        <f t="shared" si="287"/>
        <v>0.212234766691968-0.716645688703868i</v>
      </c>
      <c r="AP528" s="170" t="str">
        <f t="shared" si="288"/>
        <v>-0.139788990661799-0.090756905343523i</v>
      </c>
      <c r="AQ528" s="170" t="str">
        <f t="shared" si="289"/>
        <v>1.1397889906618+0.090756905343523i</v>
      </c>
      <c r="AR528" s="170" t="str">
        <f t="shared" si="290"/>
        <v>0.726232490744438-0.0578270311082879i</v>
      </c>
    </row>
    <row r="529" spans="7:44">
      <c r="G529" s="688">
        <v>75858</v>
      </c>
      <c r="H529" s="676">
        <f t="shared" si="282"/>
        <v>75.858000000000004</v>
      </c>
      <c r="I529" s="677">
        <f t="shared" si="262"/>
        <v>390.61222960885783</v>
      </c>
      <c r="J529" s="678">
        <f t="shared" si="263"/>
        <v>1.5682362403036398</v>
      </c>
      <c r="K529" s="678">
        <f t="shared" si="264"/>
        <v>1.0010031605501968</v>
      </c>
      <c r="L529" s="679">
        <f t="shared" si="265"/>
        <v>4.4773265643780029E-2</v>
      </c>
      <c r="M529" s="678">
        <f t="shared" si="266"/>
        <v>1.1182478332502461</v>
      </c>
      <c r="N529" s="679">
        <f t="shared" si="267"/>
        <v>-0.46402992636191637</v>
      </c>
      <c r="O529" s="677">
        <f t="shared" si="268"/>
        <v>1429889.6114625498</v>
      </c>
      <c r="P529" s="680">
        <f t="shared" si="269"/>
        <v>1.5707956274402108</v>
      </c>
      <c r="Q529" s="689">
        <f t="shared" si="259"/>
        <v>176.35588727924682</v>
      </c>
      <c r="R529" s="690">
        <f t="shared" si="260"/>
        <v>1.5651259441707552</v>
      </c>
      <c r="S529" s="677">
        <f t="shared" si="270"/>
        <v>1.6162440047907782</v>
      </c>
      <c r="T529" s="680">
        <f t="shared" si="271"/>
        <v>0.90368593641970374</v>
      </c>
      <c r="U529" s="681">
        <f t="shared" si="283"/>
        <v>0.54203048869893766</v>
      </c>
      <c r="V529" s="682">
        <f t="shared" si="284"/>
        <v>-1.3677890028024051</v>
      </c>
      <c r="W529" s="683">
        <f t="shared" si="272"/>
        <v>-29.505676680792625</v>
      </c>
      <c r="X529" s="684">
        <f t="shared" si="273"/>
        <v>-244.34573152964344</v>
      </c>
      <c r="Y529" s="687">
        <f t="shared" si="274"/>
        <v>-64.345731529643444</v>
      </c>
      <c r="AA529" s="170">
        <f t="shared" si="275"/>
        <v>75858</v>
      </c>
      <c r="AB529" s="170">
        <f t="shared" si="276"/>
        <v>5754436164</v>
      </c>
      <c r="AD529" s="686">
        <f t="shared" si="277"/>
        <v>22.757060590648678</v>
      </c>
      <c r="AE529" s="687">
        <f t="shared" si="278"/>
        <v>-52.102239144227909</v>
      </c>
      <c r="AG529" s="686">
        <f t="shared" si="279"/>
        <v>3.557302270330442</v>
      </c>
      <c r="AH529" s="687">
        <f t="shared" si="280"/>
        <v>-35.506417956346688</v>
      </c>
      <c r="AJ529" s="170">
        <f t="shared" si="281"/>
        <v>0</v>
      </c>
      <c r="AK529" s="170">
        <f t="shared" si="261"/>
        <v>0</v>
      </c>
      <c r="AM529" s="170" t="str">
        <f t="shared" si="285"/>
        <v>1.84664071776657+0.53216491336776i</v>
      </c>
      <c r="AN529" s="170" t="str">
        <f t="shared" si="286"/>
        <v>2.58043707445519i</v>
      </c>
      <c r="AO529" s="170" t="str">
        <f t="shared" si="287"/>
        <v>0.206230533050342-0.715630982071692i</v>
      </c>
      <c r="AP529" s="170" t="str">
        <f t="shared" si="288"/>
        <v>-0.141106786294427-0.08869415222796i</v>
      </c>
      <c r="AQ529" s="170" t="str">
        <f t="shared" si="289"/>
        <v>1.14110678629443+0.08869415222796i</v>
      </c>
      <c r="AR529" s="170" t="str">
        <f t="shared" si="290"/>
        <v>0.725609335296164-0.0563990203333882i</v>
      </c>
    </row>
    <row r="530" spans="7:44">
      <c r="G530" s="688">
        <v>76299.75</v>
      </c>
      <c r="H530" s="676">
        <f t="shared" si="282"/>
        <v>76.299750000000003</v>
      </c>
      <c r="I530" s="677">
        <f t="shared" si="262"/>
        <v>392.88689839509703</v>
      </c>
      <c r="J530" s="678">
        <f t="shared" si="263"/>
        <v>1.5682510622828594</v>
      </c>
      <c r="K530" s="678">
        <f t="shared" si="264"/>
        <v>1.0010148722004293</v>
      </c>
      <c r="L530" s="679">
        <f t="shared" si="265"/>
        <v>4.5033646053435697E-2</v>
      </c>
      <c r="M530" s="678">
        <f t="shared" si="266"/>
        <v>1.1195552557438702</v>
      </c>
      <c r="N530" s="679">
        <f t="shared" si="267"/>
        <v>-0.46635789403303707</v>
      </c>
      <c r="O530" s="677">
        <f t="shared" si="268"/>
        <v>1438216.4027813727</v>
      </c>
      <c r="P530" s="680">
        <f t="shared" si="269"/>
        <v>1.5707956314892402</v>
      </c>
      <c r="Q530" s="689">
        <f t="shared" si="259"/>
        <v>177.382841793978</v>
      </c>
      <c r="R530" s="690">
        <f t="shared" si="260"/>
        <v>1.565158773089544</v>
      </c>
      <c r="S530" s="677">
        <f t="shared" si="270"/>
        <v>1.6220594272902336</v>
      </c>
      <c r="T530" s="680">
        <f t="shared" si="271"/>
        <v>0.90650638076252643</v>
      </c>
      <c r="U530" s="681">
        <f t="shared" si="283"/>
        <v>0.53950187380819459</v>
      </c>
      <c r="V530" s="682">
        <f t="shared" si="284"/>
        <v>-1.3733595467462563</v>
      </c>
      <c r="W530" s="683">
        <f t="shared" si="272"/>
        <v>-29.617673376942875</v>
      </c>
      <c r="X530" s="684">
        <f t="shared" si="273"/>
        <v>-244.94393227930718</v>
      </c>
      <c r="Y530" s="687">
        <f t="shared" si="274"/>
        <v>-64.943932279307177</v>
      </c>
      <c r="AA530" s="170">
        <f t="shared" si="275"/>
        <v>76299.75</v>
      </c>
      <c r="AB530" s="170">
        <f t="shared" si="276"/>
        <v>5821651850.0625</v>
      </c>
      <c r="AD530" s="686">
        <f t="shared" si="277"/>
        <v>22.725862289535137</v>
      </c>
      <c r="AE530" s="687">
        <f t="shared" si="278"/>
        <v>-52.26195797510541</v>
      </c>
      <c r="AG530" s="686">
        <f t="shared" si="279"/>
        <v>3.5577342135001588</v>
      </c>
      <c r="AH530" s="687">
        <f t="shared" si="280"/>
        <v>-35.306562559253756</v>
      </c>
      <c r="AJ530" s="170">
        <f t="shared" si="281"/>
        <v>0</v>
      </c>
      <c r="AK530" s="170">
        <f t="shared" si="261"/>
        <v>0</v>
      </c>
      <c r="AM530" s="170" t="str">
        <f t="shared" si="285"/>
        <v>1.85454160140817+0.519382952610839i</v>
      </c>
      <c r="AN530" s="170" t="str">
        <f t="shared" si="286"/>
        <v>2.59546394146513i</v>
      </c>
      <c r="AO530" s="170" t="str">
        <f t="shared" si="287"/>
        <v>0.200111796705467-0.714531830621884i</v>
      </c>
      <c r="AP530" s="170" t="str">
        <f t="shared" si="288"/>
        <v>-0.142423600234696-0.0865638254351398i</v>
      </c>
      <c r="AQ530" s="170" t="str">
        <f t="shared" si="289"/>
        <v>1.1424236002347+0.0865638254351398i</v>
      </c>
      <c r="AR530" s="170" t="str">
        <f t="shared" si="290"/>
        <v>0.724989143712838-0.0549339436491303i</v>
      </c>
    </row>
    <row r="531" spans="7:44">
      <c r="G531" s="688">
        <v>76741.5</v>
      </c>
      <c r="H531" s="676">
        <f t="shared" si="282"/>
        <v>76.741500000000002</v>
      </c>
      <c r="I531" s="677">
        <f t="shared" si="262"/>
        <v>395.16156726665628</v>
      </c>
      <c r="J531" s="678">
        <f t="shared" si="263"/>
        <v>1.5682657136225386</v>
      </c>
      <c r="K531" s="678">
        <f t="shared" si="264"/>
        <v>1.0010266517158346</v>
      </c>
      <c r="L531" s="679">
        <f t="shared" si="265"/>
        <v>4.5294020352725117E-2</v>
      </c>
      <c r="M531" s="678">
        <f t="shared" si="266"/>
        <v>1.1208687314191998</v>
      </c>
      <c r="N531" s="679">
        <f t="shared" si="267"/>
        <v>-0.4686804182681702</v>
      </c>
      <c r="O531" s="677">
        <f t="shared" si="268"/>
        <v>1446543.1941001958</v>
      </c>
      <c r="P531" s="680">
        <f t="shared" si="269"/>
        <v>1.5707956354916546</v>
      </c>
      <c r="Q531" s="689">
        <f t="shared" si="259"/>
        <v>178.40979649768056</v>
      </c>
      <c r="R531" s="690">
        <f t="shared" si="260"/>
        <v>1.5651912240715813</v>
      </c>
      <c r="S531" s="677">
        <f t="shared" si="270"/>
        <v>1.6278876608697732</v>
      </c>
      <c r="T531" s="680">
        <f t="shared" si="271"/>
        <v>0.90930665149579615</v>
      </c>
      <c r="U531" s="681">
        <f t="shared" si="283"/>
        <v>0.53698457462929072</v>
      </c>
      <c r="V531" s="682">
        <f t="shared" si="284"/>
        <v>-1.378919061062184</v>
      </c>
      <c r="W531" s="683">
        <f t="shared" si="272"/>
        <v>-29.729307724496394</v>
      </c>
      <c r="X531" s="684">
        <f t="shared" si="273"/>
        <v>-245.54004555392837</v>
      </c>
      <c r="Y531" s="687">
        <f t="shared" si="274"/>
        <v>-65.540045553928366</v>
      </c>
      <c r="AA531" s="170">
        <f t="shared" si="275"/>
        <v>76741.5</v>
      </c>
      <c r="AB531" s="170">
        <f t="shared" si="276"/>
        <v>5889257822.25</v>
      </c>
      <c r="AD531" s="686">
        <f t="shared" si="277"/>
        <v>22.694707306832932</v>
      </c>
      <c r="AE531" s="687">
        <f t="shared" si="278"/>
        <v>-52.420542594806641</v>
      </c>
      <c r="AG531" s="686">
        <f t="shared" si="279"/>
        <v>3.5585007305291021</v>
      </c>
      <c r="AH531" s="687">
        <f t="shared" si="280"/>
        <v>-35.107017800555376</v>
      </c>
      <c r="AJ531" s="170">
        <f t="shared" si="281"/>
        <v>0</v>
      </c>
      <c r="AK531" s="170">
        <f t="shared" si="261"/>
        <v>0</v>
      </c>
      <c r="AM531" s="170" t="str">
        <f t="shared" si="285"/>
        <v>1.86224952743427+0.506483713893525i</v>
      </c>
      <c r="AN531" s="170" t="str">
        <f t="shared" si="286"/>
        <v>2.61049080847508i</v>
      </c>
      <c r="AO531" s="170" t="str">
        <f t="shared" si="287"/>
        <v>0.194018577751434-0.713371417125236i</v>
      </c>
      <c r="AP531" s="170" t="str">
        <f t="shared" si="288"/>
        <v>-0.143708254572378-0.0844139523155875i</v>
      </c>
      <c r="AQ531" s="170" t="str">
        <f t="shared" si="289"/>
        <v>1.14370825457238+0.0844139523155875i</v>
      </c>
      <c r="AR531" s="170" t="str">
        <f t="shared" si="290"/>
        <v>0.724386492195054-0.0534649693798631i</v>
      </c>
    </row>
    <row r="532" spans="7:44">
      <c r="G532" s="688">
        <v>77183.25</v>
      </c>
      <c r="H532" s="676">
        <f t="shared" si="282"/>
        <v>77.183250000000001</v>
      </c>
      <c r="I532" s="677">
        <f t="shared" si="262"/>
        <v>397.4362362220707</v>
      </c>
      <c r="J532" s="678">
        <f t="shared" si="263"/>
        <v>1.5682801972525633</v>
      </c>
      <c r="K532" s="678">
        <f t="shared" si="264"/>
        <v>1.0010384990940178</v>
      </c>
      <c r="L532" s="679">
        <f t="shared" si="265"/>
        <v>4.5554388506560579E-2</v>
      </c>
      <c r="M532" s="678">
        <f t="shared" si="266"/>
        <v>1.1221882390212266</v>
      </c>
      <c r="N532" s="679">
        <f t="shared" si="267"/>
        <v>-0.47099749316938916</v>
      </c>
      <c r="O532" s="677">
        <f t="shared" si="268"/>
        <v>1454869.9854190189</v>
      </c>
      <c r="P532" s="680">
        <f t="shared" si="269"/>
        <v>1.5707956394482538</v>
      </c>
      <c r="Q532" s="689">
        <f t="shared" si="259"/>
        <v>179.43675138710992</v>
      </c>
      <c r="R532" s="690">
        <f t="shared" si="260"/>
        <v>1.5652233036058363</v>
      </c>
      <c r="S532" s="677">
        <f t="shared" si="270"/>
        <v>1.6337285684210079</v>
      </c>
      <c r="T532" s="680">
        <f t="shared" si="271"/>
        <v>0.91208692084112319</v>
      </c>
      <c r="U532" s="681">
        <f t="shared" si="283"/>
        <v>0.53447850878459491</v>
      </c>
      <c r="V532" s="682">
        <f t="shared" si="284"/>
        <v>-1.3844678616606803</v>
      </c>
      <c r="W532" s="683">
        <f t="shared" si="272"/>
        <v>-29.840583257495929</v>
      </c>
      <c r="X532" s="684">
        <f t="shared" si="273"/>
        <v>-246.13409878162599</v>
      </c>
      <c r="Y532" s="687">
        <f t="shared" si="274"/>
        <v>-66.134098781625994</v>
      </c>
      <c r="AA532" s="170">
        <f t="shared" si="275"/>
        <v>77183.25</v>
      </c>
      <c r="AB532" s="170">
        <f t="shared" si="276"/>
        <v>5957254080.5625</v>
      </c>
      <c r="AD532" s="686">
        <f t="shared" si="277"/>
        <v>22.663596306163257</v>
      </c>
      <c r="AE532" s="687">
        <f t="shared" si="278"/>
        <v>-52.578002499158295</v>
      </c>
      <c r="AG532" s="686">
        <f t="shared" si="279"/>
        <v>3.5595987312086712</v>
      </c>
      <c r="AH532" s="687">
        <f t="shared" si="280"/>
        <v>-34.907765411867793</v>
      </c>
      <c r="AJ532" s="170">
        <f t="shared" si="281"/>
        <v>0</v>
      </c>
      <c r="AK532" s="170">
        <f t="shared" si="261"/>
        <v>0</v>
      </c>
      <c r="AM532" s="170" t="str">
        <f t="shared" si="285"/>
        <v>1.86976275537601+0.493470109895959i</v>
      </c>
      <c r="AN532" s="170" t="str">
        <f t="shared" si="286"/>
        <v>2.62551767548503i</v>
      </c>
      <c r="AO532" s="170" t="str">
        <f t="shared" si="287"/>
        <v>0.187951547423804-0.712150130556861i</v>
      </c>
      <c r="AP532" s="170" t="str">
        <f t="shared" si="288"/>
        <v>-0.144960459229335-0.0822450183159932i</v>
      </c>
      <c r="AQ532" s="170" t="str">
        <f t="shared" si="289"/>
        <v>1.14496045922933+0.0822450183159932i</v>
      </c>
      <c r="AR532" s="170" t="str">
        <f t="shared" si="290"/>
        <v>0.723801325190731-0.0519922349873294i</v>
      </c>
    </row>
    <row r="533" spans="7:44">
      <c r="G533" s="688">
        <v>77625</v>
      </c>
      <c r="H533" s="676">
        <f t="shared" si="282"/>
        <v>77.625</v>
      </c>
      <c r="I533" s="677">
        <f t="shared" si="262"/>
        <v>399.71090525990849</v>
      </c>
      <c r="J533" s="678">
        <f t="shared" si="263"/>
        <v>1.5682945160361266</v>
      </c>
      <c r="K533" s="678">
        <f t="shared" si="264"/>
        <v>1.0010504143325689</v>
      </c>
      <c r="L533" s="679">
        <f t="shared" si="265"/>
        <v>4.5814750479859383E-2</v>
      </c>
      <c r="M533" s="678">
        <f t="shared" si="266"/>
        <v>1.1235137572974121</v>
      </c>
      <c r="N533" s="679">
        <f t="shared" si="267"/>
        <v>-0.47330911310046192</v>
      </c>
      <c r="O533" s="677">
        <f t="shared" si="268"/>
        <v>1463196.776737842</v>
      </c>
      <c r="P533" s="680">
        <f t="shared" si="269"/>
        <v>1.5707956433598209</v>
      </c>
      <c r="Q533" s="689">
        <f t="shared" si="259"/>
        <v>180.46370645909536</v>
      </c>
      <c r="R533" s="690">
        <f t="shared" si="260"/>
        <v>1.5652550180335763</v>
      </c>
      <c r="S533" s="677">
        <f t="shared" si="270"/>
        <v>1.6395820144932682</v>
      </c>
      <c r="T533" s="680">
        <f t="shared" si="271"/>
        <v>0.91484735980560516</v>
      </c>
      <c r="U533" s="681">
        <f t="shared" si="283"/>
        <v>0.53198359247623994</v>
      </c>
      <c r="V533" s="682">
        <f t="shared" si="284"/>
        <v>-1.390006263460299</v>
      </c>
      <c r="W533" s="683">
        <f t="shared" si="272"/>
        <v>-29.951503508309468</v>
      </c>
      <c r="X533" s="684">
        <f t="shared" si="273"/>
        <v>-246.72611928373266</v>
      </c>
      <c r="Y533" s="687">
        <f t="shared" si="274"/>
        <v>-66.726119283732658</v>
      </c>
      <c r="AA533" s="170">
        <f t="shared" si="275"/>
        <v>77625</v>
      </c>
      <c r="AB533" s="170">
        <f t="shared" si="276"/>
        <v>6025640625</v>
      </c>
      <c r="AD533" s="686">
        <f t="shared" si="277"/>
        <v>22.632529931650147</v>
      </c>
      <c r="AE533" s="687">
        <f t="shared" si="278"/>
        <v>-52.734347122862339</v>
      </c>
      <c r="AG533" s="686">
        <f t="shared" si="279"/>
        <v>3.5610252200296455</v>
      </c>
      <c r="AH533" s="687">
        <f t="shared" si="280"/>
        <v>-34.708787192813617</v>
      </c>
      <c r="AJ533" s="170">
        <f t="shared" si="281"/>
        <v>0</v>
      </c>
      <c r="AK533" s="170">
        <f t="shared" si="261"/>
        <v>0</v>
      </c>
      <c r="AM533" s="170" t="str">
        <f t="shared" si="285"/>
        <v>1.87707958872787+0.480345079122238i</v>
      </c>
      <c r="AN533" s="170" t="str">
        <f t="shared" si="286"/>
        <v>2.64054454249498i</v>
      </c>
      <c r="AO533" s="170" t="str">
        <f t="shared" si="287"/>
        <v>0.181911371458394-0.710868367686866i</v>
      </c>
      <c r="AP533" s="170" t="str">
        <f t="shared" si="288"/>
        <v>-0.146179931454645-0.0800575131870397i</v>
      </c>
      <c r="AQ533" s="170" t="str">
        <f t="shared" si="289"/>
        <v>1.14617993145465+0.0800575131870397i</v>
      </c>
      <c r="AR533" s="170" t="str">
        <f t="shared" si="290"/>
        <v>0.723233588283116-0.050515875337132i</v>
      </c>
    </row>
    <row r="534" spans="7:44">
      <c r="G534" s="688">
        <v>78077</v>
      </c>
      <c r="H534" s="676">
        <f t="shared" si="282"/>
        <v>78.076999999999998</v>
      </c>
      <c r="I534" s="677">
        <f t="shared" si="262"/>
        <v>402.03835391219081</v>
      </c>
      <c r="J534" s="678">
        <f t="shared" si="263"/>
        <v>1.568308999351127</v>
      </c>
      <c r="K534" s="678">
        <f t="shared" si="264"/>
        <v>1.0010626762803878</v>
      </c>
      <c r="L534" s="679">
        <f t="shared" si="265"/>
        <v>4.6081147242180077E-2</v>
      </c>
      <c r="M534" s="678">
        <f t="shared" si="266"/>
        <v>1.1248762311263691</v>
      </c>
      <c r="N534" s="679">
        <f t="shared" si="267"/>
        <v>-0.47566871803587885</v>
      </c>
      <c r="O534" s="677">
        <f t="shared" si="268"/>
        <v>1471716.7760046399</v>
      </c>
      <c r="P534" s="680">
        <f t="shared" si="269"/>
        <v>1.5707956473163336</v>
      </c>
      <c r="Q534" s="689">
        <f t="shared" si="259"/>
        <v>181.51449032911762</v>
      </c>
      <c r="R534" s="690">
        <f t="shared" si="260"/>
        <v>1.5652870968881982</v>
      </c>
      <c r="S534" s="677">
        <f t="shared" si="270"/>
        <v>1.6455841177949351</v>
      </c>
      <c r="T534" s="680">
        <f t="shared" si="271"/>
        <v>0.91765150088406677</v>
      </c>
      <c r="U534" s="681">
        <f t="shared" si="283"/>
        <v>0.52944223795680023</v>
      </c>
      <c r="V534" s="682">
        <f t="shared" si="284"/>
        <v>-1.3956627376746531</v>
      </c>
      <c r="W534" s="683">
        <f t="shared" si="272"/>
        <v>-30.064633400687228</v>
      </c>
      <c r="X534" s="684">
        <f t="shared" si="273"/>
        <v>-247.32980090327834</v>
      </c>
      <c r="Y534" s="687">
        <f t="shared" si="274"/>
        <v>-67.32980090327834</v>
      </c>
      <c r="AA534" s="170">
        <f t="shared" si="275"/>
        <v>78077</v>
      </c>
      <c r="AB534" s="170">
        <f t="shared" si="276"/>
        <v>6096017929</v>
      </c>
      <c r="AD534" s="686">
        <f t="shared" si="277"/>
        <v>22.600789561997008</v>
      </c>
      <c r="AE534" s="687">
        <f t="shared" si="278"/>
        <v>-52.893174815708953</v>
      </c>
      <c r="AG534" s="686">
        <f t="shared" si="279"/>
        <v>3.562821790707237</v>
      </c>
      <c r="AH534" s="687">
        <f t="shared" si="280"/>
        <v>-34.505456919957794</v>
      </c>
      <c r="AJ534" s="170">
        <f t="shared" si="281"/>
        <v>0</v>
      </c>
      <c r="AK534" s="170">
        <f t="shared" si="261"/>
        <v>0</v>
      </c>
      <c r="AM534" s="170" t="str">
        <f t="shared" si="285"/>
        <v>1.88436118981534+0.46680326257256i</v>
      </c>
      <c r="AN534" s="170" t="str">
        <f t="shared" si="286"/>
        <v>2.6559200804429i</v>
      </c>
      <c r="AO534" s="170" t="str">
        <f t="shared" si="287"/>
        <v>0.175759529064864-0.709494688372214i</v>
      </c>
      <c r="AP534" s="170" t="str">
        <f t="shared" si="288"/>
        <v>-0.147393531635891-0.0778005437620933i</v>
      </c>
      <c r="AQ534" s="170" t="str">
        <f t="shared" si="289"/>
        <v>1.14739353163589+0.0778005437620933i</v>
      </c>
      <c r="AR534" s="170" t="str">
        <f t="shared" si="290"/>
        <v>0.722670663991198-0.0490016450931764i</v>
      </c>
    </row>
    <row r="535" spans="7:44">
      <c r="G535" s="688">
        <v>78529</v>
      </c>
      <c r="H535" s="676">
        <f t="shared" si="282"/>
        <v>78.528999999999996</v>
      </c>
      <c r="I535" s="677">
        <f t="shared" si="262"/>
        <v>404.36580264783646</v>
      </c>
      <c r="J535" s="678">
        <f t="shared" si="263"/>
        <v>1.5683233159399981</v>
      </c>
      <c r="K535" s="678">
        <f t="shared" si="264"/>
        <v>1.0010750092691136</v>
      </c>
      <c r="L535" s="679">
        <f t="shared" si="265"/>
        <v>4.6347537459525058E-2</v>
      </c>
      <c r="M535" s="678">
        <f t="shared" si="266"/>
        <v>1.1262449527949339</v>
      </c>
      <c r="N535" s="679">
        <f t="shared" si="267"/>
        <v>-0.47802260081087539</v>
      </c>
      <c r="O535" s="677">
        <f t="shared" si="268"/>
        <v>1480236.7752714381</v>
      </c>
      <c r="P535" s="680">
        <f t="shared" si="269"/>
        <v>1.5707956512273005</v>
      </c>
      <c r="Q535" s="689">
        <f t="shared" ref="Q535:Q598" si="291">SQRT(1+(G535/Zero2)^2)</f>
        <v>182.56527438377773</v>
      </c>
      <c r="R535" s="690">
        <f t="shared" ref="R535:R598" si="292">ATAN(G535/Zero2)</f>
        <v>1.5653188064727488</v>
      </c>
      <c r="S535" s="677">
        <f t="shared" si="270"/>
        <v>1.6515990665585636</v>
      </c>
      <c r="T535" s="680">
        <f t="shared" si="271"/>
        <v>0.92043523894984647</v>
      </c>
      <c r="U535" s="681">
        <f t="shared" si="283"/>
        <v>0.52691237456582507</v>
      </c>
      <c r="V535" s="682">
        <f t="shared" si="284"/>
        <v>-1.4013089888865562</v>
      </c>
      <c r="W535" s="683">
        <f t="shared" si="272"/>
        <v>-30.177398812200906</v>
      </c>
      <c r="X535" s="684">
        <f t="shared" si="273"/>
        <v>-247.93141190307227</v>
      </c>
      <c r="Y535" s="687">
        <f t="shared" si="274"/>
        <v>-67.931411903072274</v>
      </c>
      <c r="AA535" s="170">
        <f t="shared" si="275"/>
        <v>78529</v>
      </c>
      <c r="AB535" s="170">
        <f t="shared" si="276"/>
        <v>6166803841</v>
      </c>
      <c r="AD535" s="686">
        <f t="shared" si="277"/>
        <v>22.569097217017188</v>
      </c>
      <c r="AE535" s="687">
        <f t="shared" si="278"/>
        <v>-53.050854657045257</v>
      </c>
      <c r="AG535" s="686">
        <f t="shared" si="279"/>
        <v>3.5649562227319667</v>
      </c>
      <c r="AH535" s="687">
        <f t="shared" si="280"/>
        <v>-34.302375348650813</v>
      </c>
      <c r="AJ535" s="170">
        <f t="shared" si="281"/>
        <v>0</v>
      </c>
      <c r="AK535" s="170">
        <f t="shared" ref="AK535:AK598" si="293">IF(AJ535&gt;0,Y535,0)</f>
        <v>0</v>
      </c>
      <c r="AM535" s="170" t="str">
        <f t="shared" si="285"/>
        <v>1.89143372569793+0.45315109255999i</v>
      </c>
      <c r="AN535" s="170" t="str">
        <f t="shared" si="286"/>
        <v>2.67129561839083i</v>
      </c>
      <c r="AO535" s="170" t="str">
        <f t="shared" si="287"/>
        <v>0.169637193817195-0.708058558804254i</v>
      </c>
      <c r="AP535" s="170" t="str">
        <f t="shared" si="288"/>
        <v>-0.148572287616321-0.0755251820933317i</v>
      </c>
      <c r="AQ535" s="170" t="str">
        <f t="shared" si="289"/>
        <v>1.14857228761632+0.0755251820933317i</v>
      </c>
      <c r="AR535" s="170" t="str">
        <f t="shared" si="290"/>
        <v>0.722125876592311-0.0474838971059692i</v>
      </c>
    </row>
    <row r="536" spans="7:44">
      <c r="G536" s="688">
        <v>78981</v>
      </c>
      <c r="H536" s="676">
        <f t="shared" si="282"/>
        <v>78.980999999999995</v>
      </c>
      <c r="I536" s="677">
        <f t="shared" si="262"/>
        <v>406.69325146541416</v>
      </c>
      <c r="J536" s="678">
        <f t="shared" si="263"/>
        <v>1.568337468665185</v>
      </c>
      <c r="K536" s="678">
        <f t="shared" si="264"/>
        <v>1.0010874132961207</v>
      </c>
      <c r="L536" s="679">
        <f t="shared" si="265"/>
        <v>4.6613921094328832E-2</v>
      </c>
      <c r="M536" s="678">
        <f t="shared" si="266"/>
        <v>1.1276198995519473</v>
      </c>
      <c r="N536" s="679">
        <f t="shared" si="267"/>
        <v>-0.48037075622531872</v>
      </c>
      <c r="O536" s="677">
        <f t="shared" si="268"/>
        <v>1488756.774538236</v>
      </c>
      <c r="P536" s="680">
        <f t="shared" si="269"/>
        <v>1.5707956550935032</v>
      </c>
      <c r="Q536" s="689">
        <f t="shared" si="291"/>
        <v>183.6160586199058</v>
      </c>
      <c r="R536" s="690">
        <f t="shared" si="292"/>
        <v>1.5653501531268565</v>
      </c>
      <c r="S536" s="677">
        <f t="shared" si="270"/>
        <v>1.6576267209490665</v>
      </c>
      <c r="T536" s="680">
        <f t="shared" si="271"/>
        <v>0.92319875319922662</v>
      </c>
      <c r="U536" s="681">
        <f t="shared" si="283"/>
        <v>0.52439390826776255</v>
      </c>
      <c r="V536" s="682">
        <f t="shared" si="284"/>
        <v>-1.406945351363573</v>
      </c>
      <c r="W536" s="683">
        <f t="shared" si="272"/>
        <v>-30.289803526130889</v>
      </c>
      <c r="X536" s="684">
        <f t="shared" si="273"/>
        <v>-248.53098120744957</v>
      </c>
      <c r="Y536" s="687">
        <f t="shared" si="274"/>
        <v>-68.530981207449571</v>
      </c>
      <c r="AA536" s="170">
        <f t="shared" si="275"/>
        <v>78981</v>
      </c>
      <c r="AB536" s="170">
        <f t="shared" si="276"/>
        <v>6237998361</v>
      </c>
      <c r="AD536" s="686">
        <f t="shared" si="277"/>
        <v>22.537453525892971</v>
      </c>
      <c r="AE536" s="687">
        <f t="shared" si="278"/>
        <v>-53.207396550872737</v>
      </c>
      <c r="AG536" s="686">
        <f t="shared" si="279"/>
        <v>3.5674256058485638</v>
      </c>
      <c r="AH536" s="687">
        <f t="shared" si="280"/>
        <v>-34.099523194984663</v>
      </c>
      <c r="AJ536" s="170">
        <f t="shared" si="281"/>
        <v>0</v>
      </c>
      <c r="AK536" s="170">
        <f t="shared" si="293"/>
        <v>0</v>
      </c>
      <c r="AM536" s="170" t="str">
        <f t="shared" si="285"/>
        <v>1.89829552441037+0.4393917964918i</v>
      </c>
      <c r="AN536" s="170" t="str">
        <f t="shared" si="286"/>
        <v>2.68667115633875i</v>
      </c>
      <c r="AO536" s="170" t="str">
        <f t="shared" si="287"/>
        <v>0.16354506038267-0.706560428853252i</v>
      </c>
      <c r="AP536" s="170" t="str">
        <f t="shared" si="288"/>
        <v>-0.149715920735062-0.0732319660819667i</v>
      </c>
      <c r="AQ536" s="170" t="str">
        <f t="shared" si="289"/>
        <v>1.14971592073506+0.0732319660819667i</v>
      </c>
      <c r="AR536" s="170" t="str">
        <f t="shared" si="290"/>
        <v>0.721599171738238-0.0459627679468199i</v>
      </c>
    </row>
    <row r="537" spans="7:44">
      <c r="G537" s="688">
        <v>79433</v>
      </c>
      <c r="H537" s="676">
        <f t="shared" si="282"/>
        <v>79.433000000000007</v>
      </c>
      <c r="I537" s="677">
        <f t="shared" si="262"/>
        <v>409.02070036352535</v>
      </c>
      <c r="J537" s="678">
        <f t="shared" si="263"/>
        <v>1.5683514603239805</v>
      </c>
      <c r="K537" s="678">
        <f t="shared" si="264"/>
        <v>1.0010998883587683</v>
      </c>
      <c r="L537" s="679">
        <f t="shared" si="265"/>
        <v>4.6880298109031493E-2</v>
      </c>
      <c r="M537" s="678">
        <f t="shared" si="266"/>
        <v>1.129001048653856</v>
      </c>
      <c r="N537" s="679">
        <f t="shared" si="267"/>
        <v>-0.48271317935698627</v>
      </c>
      <c r="O537" s="677">
        <f t="shared" si="268"/>
        <v>1497276.7738050341</v>
      </c>
      <c r="P537" s="680">
        <f t="shared" si="269"/>
        <v>1.5707956589157059</v>
      </c>
      <c r="Q537" s="689">
        <f t="shared" si="291"/>
        <v>184.66684303440405</v>
      </c>
      <c r="R537" s="690">
        <f t="shared" si="292"/>
        <v>1.5653811430458595</v>
      </c>
      <c r="S537" s="677">
        <f t="shared" si="270"/>
        <v>1.6636669428646589</v>
      </c>
      <c r="T537" s="680">
        <f t="shared" si="271"/>
        <v>0.92594222146990246</v>
      </c>
      <c r="U537" s="681">
        <f t="shared" si="283"/>
        <v>0.52188674369893351</v>
      </c>
      <c r="V537" s="682">
        <f t="shared" si="284"/>
        <v>-1.4125721583830746</v>
      </c>
      <c r="W537" s="683">
        <f t="shared" si="272"/>
        <v>-30.401851327070368</v>
      </c>
      <c r="X537" s="684">
        <f t="shared" si="273"/>
        <v>-249.12853762662593</v>
      </c>
      <c r="Y537" s="687">
        <f t="shared" si="274"/>
        <v>-69.128537626625928</v>
      </c>
      <c r="AA537" s="170">
        <f t="shared" si="275"/>
        <v>79433</v>
      </c>
      <c r="AB537" s="170">
        <f t="shared" si="276"/>
        <v>6309601489</v>
      </c>
      <c r="AD537" s="686">
        <f t="shared" si="277"/>
        <v>22.505859098141158</v>
      </c>
      <c r="AE537" s="687">
        <f t="shared" si="278"/>
        <v>-53.362810331617872</v>
      </c>
      <c r="AG537" s="686">
        <f t="shared" si="279"/>
        <v>3.5702271275696482</v>
      </c>
      <c r="AH537" s="687">
        <f t="shared" si="280"/>
        <v>-33.896881243975066</v>
      </c>
      <c r="AJ537" s="170">
        <f t="shared" si="281"/>
        <v>0</v>
      </c>
      <c r="AK537" s="170">
        <f t="shared" si="293"/>
        <v>0</v>
      </c>
      <c r="AM537" s="170" t="str">
        <f t="shared" si="285"/>
        <v>1.90494496380626+0.425528627100097i</v>
      </c>
      <c r="AN537" s="170" t="str">
        <f t="shared" si="286"/>
        <v>2.70204669428668i</v>
      </c>
      <c r="AO537" s="170" t="str">
        <f t="shared" si="287"/>
        <v>0.157483816989489-0.705000756587277i</v>
      </c>
      <c r="AP537" s="170" t="str">
        <f t="shared" si="288"/>
        <v>-0.150824160634376-0.0709214378500162i</v>
      </c>
      <c r="AQ537" s="170" t="str">
        <f t="shared" si="289"/>
        <v>1.15082416063438+0.0709214378500162i</v>
      </c>
      <c r="AR537" s="170" t="str">
        <f t="shared" si="290"/>
        <v>0.721090496490155-0.0444383917025803i</v>
      </c>
    </row>
    <row r="538" spans="7:44">
      <c r="G538" s="688">
        <v>79895.5</v>
      </c>
      <c r="H538" s="676">
        <f t="shared" si="282"/>
        <v>79.895499999999998</v>
      </c>
      <c r="I538" s="677">
        <f t="shared" si="262"/>
        <v>411.40221618744414</v>
      </c>
      <c r="J538" s="678">
        <f t="shared" si="263"/>
        <v>1.5683656131395447</v>
      </c>
      <c r="K538" s="678">
        <f t="shared" si="264"/>
        <v>1.0011127267455089</v>
      </c>
      <c r="L538" s="679">
        <f t="shared" si="265"/>
        <v>4.7152856193619259E-2</v>
      </c>
      <c r="M538" s="678">
        <f t="shared" si="266"/>
        <v>1.1304206783963235</v>
      </c>
      <c r="N538" s="679">
        <f t="shared" si="267"/>
        <v>-0.48510407876834</v>
      </c>
      <c r="O538" s="677">
        <f t="shared" si="268"/>
        <v>1505994.6934087821</v>
      </c>
      <c r="P538" s="680">
        <f t="shared" si="269"/>
        <v>1.5707956627819326</v>
      </c>
      <c r="Q538" s="689">
        <f t="shared" si="291"/>
        <v>185.74203744531673</v>
      </c>
      <c r="R538" s="690">
        <f t="shared" si="292"/>
        <v>1.5654124899170403</v>
      </c>
      <c r="S538" s="677">
        <f t="shared" si="270"/>
        <v>1.6698603462414612</v>
      </c>
      <c r="T538" s="680">
        <f t="shared" si="271"/>
        <v>0.92872885493626489</v>
      </c>
      <c r="U538" s="681">
        <f t="shared" si="283"/>
        <v>0.5193329352493149</v>
      </c>
      <c r="V538" s="682">
        <f t="shared" si="284"/>
        <v>-1.4183201322711949</v>
      </c>
      <c r="W538" s="683">
        <f t="shared" si="272"/>
        <v>-30.516136512379287</v>
      </c>
      <c r="X538" s="684">
        <f t="shared" si="273"/>
        <v>-249.73792170082621</v>
      </c>
      <c r="Y538" s="687">
        <f t="shared" si="274"/>
        <v>-69.737921700826206</v>
      </c>
      <c r="AA538" s="170">
        <f t="shared" si="275"/>
        <v>79895.5</v>
      </c>
      <c r="AB538" s="170">
        <f t="shared" si="276"/>
        <v>6383290920.25</v>
      </c>
      <c r="AD538" s="686">
        <f t="shared" si="277"/>
        <v>22.473582337898836</v>
      </c>
      <c r="AE538" s="687">
        <f t="shared" si="278"/>
        <v>-53.5206768465696</v>
      </c>
      <c r="AG538" s="686">
        <f t="shared" si="279"/>
        <v>3.5734346978579676</v>
      </c>
      <c r="AH538" s="687">
        <f t="shared" si="280"/>
        <v>-33.689729513389551</v>
      </c>
      <c r="AJ538" s="170">
        <f t="shared" si="281"/>
        <v>0</v>
      </c>
      <c r="AK538" s="170">
        <f t="shared" si="293"/>
        <v>0</v>
      </c>
      <c r="AM538" s="170" t="str">
        <f t="shared" si="285"/>
        <v>1.91152741452761+0.411239313009596i</v>
      </c>
      <c r="AN538" s="170" t="str">
        <f t="shared" si="286"/>
        <v>2.7177794073418i</v>
      </c>
      <c r="AO538" s="170" t="str">
        <f t="shared" si="287"/>
        <v>0.151314456169134-0.70334163595611i</v>
      </c>
      <c r="AP538" s="170" t="str">
        <f t="shared" si="288"/>
        <v>-0.151921235754602-0.0685398855015993i</v>
      </c>
      <c r="AQ538" s="170" t="str">
        <f t="shared" si="289"/>
        <v>1.1519212357546+0.0685398855015993i</v>
      </c>
      <c r="AR538" s="170" t="str">
        <f t="shared" si="290"/>
        <v>0.720588613681249-0.042875380314623i</v>
      </c>
    </row>
    <row r="539" spans="7:44">
      <c r="G539" s="688">
        <v>80358</v>
      </c>
      <c r="H539" s="676">
        <f t="shared" si="282"/>
        <v>80.358000000000004</v>
      </c>
      <c r="I539" s="677">
        <f t="shared" si="262"/>
        <v>413.78373209281921</v>
      </c>
      <c r="J539" s="678">
        <f t="shared" si="263"/>
        <v>1.5683796030431714</v>
      </c>
      <c r="K539" s="678">
        <f t="shared" si="264"/>
        <v>1.0011256395009103</v>
      </c>
      <c r="L539" s="679">
        <f t="shared" si="265"/>
        <v>4.7425407267416501E-2</v>
      </c>
      <c r="M539" s="678">
        <f t="shared" si="266"/>
        <v>1.1318467538441417</v>
      </c>
      <c r="N539" s="679">
        <f t="shared" si="267"/>
        <v>-0.48748896693501165</v>
      </c>
      <c r="O539" s="677">
        <f t="shared" si="268"/>
        <v>1514712.6130125304</v>
      </c>
      <c r="P539" s="680">
        <f t="shared" si="269"/>
        <v>1.5707956666036555</v>
      </c>
      <c r="Q539" s="689">
        <f t="shared" si="291"/>
        <v>186.81723203664353</v>
      </c>
      <c r="R539" s="690">
        <f t="shared" si="292"/>
        <v>1.5654434759651519</v>
      </c>
      <c r="S539" s="677">
        <f t="shared" si="270"/>
        <v>1.6760666207384443</v>
      </c>
      <c r="T539" s="680">
        <f t="shared" si="271"/>
        <v>0.93149487260767183</v>
      </c>
      <c r="U539" s="681">
        <f t="shared" si="283"/>
        <v>0.51679075366266447</v>
      </c>
      <c r="V539" s="682">
        <f t="shared" si="284"/>
        <v>-1.4240588045251288</v>
      </c>
      <c r="W539" s="683">
        <f t="shared" si="272"/>
        <v>-30.630056034346886</v>
      </c>
      <c r="X539" s="684">
        <f t="shared" si="273"/>
        <v>-250.3452589522619</v>
      </c>
      <c r="Y539" s="687">
        <f t="shared" si="274"/>
        <v>-70.345258952261901</v>
      </c>
      <c r="AA539" s="170">
        <f t="shared" si="275"/>
        <v>80358</v>
      </c>
      <c r="AB539" s="170">
        <f t="shared" si="276"/>
        <v>6457408164</v>
      </c>
      <c r="AD539" s="686">
        <f t="shared" si="277"/>
        <v>22.441358386274317</v>
      </c>
      <c r="AE539" s="687">
        <f t="shared" si="278"/>
        <v>-53.677382834566913</v>
      </c>
      <c r="AG539" s="686">
        <f t="shared" si="279"/>
        <v>3.5769843670428845</v>
      </c>
      <c r="AH539" s="687">
        <f t="shared" si="280"/>
        <v>-33.482757375758048</v>
      </c>
      <c r="AJ539" s="170">
        <f t="shared" si="281"/>
        <v>0</v>
      </c>
      <c r="AK539" s="170">
        <f t="shared" si="293"/>
        <v>0</v>
      </c>
      <c r="AM539" s="170" t="str">
        <f t="shared" si="285"/>
        <v>1.91788425022303+0.396848211779395i</v>
      </c>
      <c r="AN539" s="170" t="str">
        <f t="shared" si="286"/>
        <v>2.73351212039693i</v>
      </c>
      <c r="AO539" s="170" t="str">
        <f t="shared" si="287"/>
        <v>0.14517887402737-0.701619076759219i</v>
      </c>
      <c r="AP539" s="170" t="str">
        <f t="shared" si="288"/>
        <v>-0.152980708370505-0.0661413686298992i</v>
      </c>
      <c r="AQ539" s="170" t="str">
        <f t="shared" si="289"/>
        <v>1.15298070837051+0.0661413686298992i</v>
      </c>
      <c r="AR539" s="170" t="str">
        <f t="shared" si="290"/>
        <v>0.720105500400436-0.0413092456869606i</v>
      </c>
    </row>
    <row r="540" spans="7:44">
      <c r="G540" s="688">
        <v>80820.5</v>
      </c>
      <c r="H540" s="676">
        <f t="shared" si="282"/>
        <v>80.820499999999996</v>
      </c>
      <c r="I540" s="677">
        <f t="shared" si="262"/>
        <v>416.16524807825203</v>
      </c>
      <c r="J540" s="678">
        <f t="shared" si="263"/>
        <v>1.5683934328316573</v>
      </c>
      <c r="K540" s="678">
        <f t="shared" si="264"/>
        <v>1.0011386266220952</v>
      </c>
      <c r="L540" s="679">
        <f t="shared" si="265"/>
        <v>4.7697951290202864E-2</v>
      </c>
      <c r="M540" s="678">
        <f t="shared" si="266"/>
        <v>1.1332792506642204</v>
      </c>
      <c r="N540" s="679">
        <f t="shared" si="267"/>
        <v>-0.48986783947221918</v>
      </c>
      <c r="O540" s="677">
        <f t="shared" si="268"/>
        <v>1523430.5326162784</v>
      </c>
      <c r="P540" s="680">
        <f t="shared" si="269"/>
        <v>1.5707956703816381</v>
      </c>
      <c r="Q540" s="689">
        <f t="shared" si="291"/>
        <v>187.8924268052873</v>
      </c>
      <c r="R540" s="690">
        <f t="shared" si="292"/>
        <v>1.5654741073844509</v>
      </c>
      <c r="S540" s="677">
        <f t="shared" si="270"/>
        <v>1.6822856239035178</v>
      </c>
      <c r="T540" s="680">
        <f t="shared" si="271"/>
        <v>0.93424046055907284</v>
      </c>
      <c r="U540" s="681">
        <f t="shared" si="283"/>
        <v>0.51426009279116836</v>
      </c>
      <c r="V540" s="682">
        <f t="shared" si="284"/>
        <v>-1.4297885291486483</v>
      </c>
      <c r="W540" s="683">
        <f t="shared" si="272"/>
        <v>-30.743613956764566</v>
      </c>
      <c r="X540" s="684">
        <f t="shared" si="273"/>
        <v>-250.95057988162299</v>
      </c>
      <c r="Y540" s="687">
        <f t="shared" si="274"/>
        <v>-70.950579881622986</v>
      </c>
      <c r="AA540" s="170">
        <f t="shared" si="275"/>
        <v>80820.5</v>
      </c>
      <c r="AB540" s="170">
        <f t="shared" si="276"/>
        <v>6531953220.25</v>
      </c>
      <c r="AD540" s="686">
        <f t="shared" si="277"/>
        <v>22.409187835004406</v>
      </c>
      <c r="AE540" s="687">
        <f t="shared" si="278"/>
        <v>-53.832938602058043</v>
      </c>
      <c r="AG540" s="686">
        <f t="shared" si="279"/>
        <v>3.580873431125013</v>
      </c>
      <c r="AH540" s="687">
        <f t="shared" si="280"/>
        <v>-33.275944459478076</v>
      </c>
      <c r="AJ540" s="170">
        <f t="shared" si="281"/>
        <v>0</v>
      </c>
      <c r="AK540" s="170">
        <f t="shared" si="293"/>
        <v>0</v>
      </c>
      <c r="AM540" s="170" t="str">
        <f t="shared" si="285"/>
        <v>1.92401389749205+0.382358885396378i</v>
      </c>
      <c r="AN540" s="170" t="str">
        <f t="shared" si="286"/>
        <v>2.74924483345205i</v>
      </c>
      <c r="AO540" s="170" t="str">
        <f t="shared" si="287"/>
        <v>0.139077786286598-0.699833595786443i</v>
      </c>
      <c r="AP540" s="170" t="str">
        <f t="shared" si="288"/>
        <v>-0.154002316248674-0.0637264808993963i</v>
      </c>
      <c r="AQ540" s="170" t="str">
        <f t="shared" si="289"/>
        <v>1.15400231624867+0.0637264808993963i</v>
      </c>
      <c r="AR540" s="170" t="str">
        <f t="shared" si="290"/>
        <v>0.719641104749356-0.039740123975928i</v>
      </c>
    </row>
    <row r="541" spans="7:44">
      <c r="G541" s="688">
        <v>81283</v>
      </c>
      <c r="H541" s="676">
        <f t="shared" si="282"/>
        <v>81.283000000000001</v>
      </c>
      <c r="I541" s="677">
        <f t="shared" si="262"/>
        <v>418.54676414237605</v>
      </c>
      <c r="J541" s="678">
        <f t="shared" si="263"/>
        <v>1.5684071052381459</v>
      </c>
      <c r="K541" s="678">
        <f t="shared" si="264"/>
        <v>1.0011516881061693</v>
      </c>
      <c r="L541" s="679">
        <f t="shared" si="265"/>
        <v>4.7970488221764251E-2</v>
      </c>
      <c r="M541" s="678">
        <f t="shared" si="266"/>
        <v>1.1347181445370524</v>
      </c>
      <c r="N541" s="679">
        <f t="shared" si="267"/>
        <v>-0.49224069228961159</v>
      </c>
      <c r="O541" s="677">
        <f t="shared" si="268"/>
        <v>1532148.4522200266</v>
      </c>
      <c r="P541" s="680">
        <f t="shared" si="269"/>
        <v>1.5707956741166273</v>
      </c>
      <c r="Q541" s="689">
        <f t="shared" si="291"/>
        <v>188.96762174822129</v>
      </c>
      <c r="R541" s="690">
        <f t="shared" si="292"/>
        <v>1.56550439022822</v>
      </c>
      <c r="S541" s="677">
        <f t="shared" si="270"/>
        <v>1.6885172150932402</v>
      </c>
      <c r="T541" s="680">
        <f t="shared" si="271"/>
        <v>0.93696580335899315</v>
      </c>
      <c r="U541" s="681">
        <f t="shared" si="283"/>
        <v>0.51174084525030383</v>
      </c>
      <c r="V541" s="682">
        <f t="shared" si="284"/>
        <v>-1.4355096591813028</v>
      </c>
      <c r="W541" s="683">
        <f t="shared" si="272"/>
        <v>-30.856814348218016</v>
      </c>
      <c r="X541" s="684">
        <f t="shared" si="273"/>
        <v>-251.55391486934033</v>
      </c>
      <c r="Y541" s="687">
        <f t="shared" si="274"/>
        <v>-71.553914869340332</v>
      </c>
      <c r="AA541" s="170">
        <f t="shared" si="275"/>
        <v>81283</v>
      </c>
      <c r="AB541" s="170">
        <f t="shared" si="276"/>
        <v>6606926089</v>
      </c>
      <c r="AD541" s="686">
        <f t="shared" si="277"/>
        <v>22.377071256057842</v>
      </c>
      <c r="AE541" s="687">
        <f t="shared" si="278"/>
        <v>-53.987354377255762</v>
      </c>
      <c r="AG541" s="686">
        <f t="shared" si="279"/>
        <v>3.5850992875479486</v>
      </c>
      <c r="AH541" s="687">
        <f t="shared" si="280"/>
        <v>-33.06927046141525</v>
      </c>
      <c r="AJ541" s="170">
        <f t="shared" si="281"/>
        <v>0</v>
      </c>
      <c r="AK541" s="170">
        <f t="shared" si="293"/>
        <v>0</v>
      </c>
      <c r="AM541" s="170" t="str">
        <f t="shared" si="285"/>
        <v>1.92991483916633+0.367774920159418i</v>
      </c>
      <c r="AN541" s="170" t="str">
        <f t="shared" si="286"/>
        <v>2.76497754650717i</v>
      </c>
      <c r="AO541" s="170" t="str">
        <f t="shared" si="287"/>
        <v>0.13301190117222-0.697985718402768i</v>
      </c>
      <c r="AP541" s="170" t="str">
        <f t="shared" si="288"/>
        <v>-0.154985806527721-0.0612958200265697i</v>
      </c>
      <c r="AQ541" s="170" t="str">
        <f t="shared" si="289"/>
        <v>1.15498580652772+0.0612958200265697i</v>
      </c>
      <c r="AR541" s="170" t="str">
        <f t="shared" si="290"/>
        <v>0.719195376525901-0.0381681490060931i</v>
      </c>
    </row>
    <row r="542" spans="7:44">
      <c r="G542" s="688">
        <v>81756.25</v>
      </c>
      <c r="H542" s="676">
        <f t="shared" si="282"/>
        <v>81.756249999999994</v>
      </c>
      <c r="I542" s="677">
        <f t="shared" si="262"/>
        <v>420.98363444372916</v>
      </c>
      <c r="J542" s="678">
        <f t="shared" si="263"/>
        <v>1.5684209353102938</v>
      </c>
      <c r="K542" s="678">
        <f t="shared" si="264"/>
        <v>1.0011651301540871</v>
      </c>
      <c r="L542" s="679">
        <f t="shared" si="265"/>
        <v>4.8249352413200726E-2</v>
      </c>
      <c r="M542" s="678">
        <f t="shared" si="266"/>
        <v>1.1361970794298972</v>
      </c>
      <c r="N542" s="679">
        <f t="shared" si="267"/>
        <v>-0.49466246271891612</v>
      </c>
      <c r="O542" s="677">
        <f t="shared" si="268"/>
        <v>1541069.0045496996</v>
      </c>
      <c r="P542" s="680">
        <f t="shared" si="269"/>
        <v>1.570795677894687</v>
      </c>
      <c r="Q542" s="689">
        <f t="shared" si="291"/>
        <v>190.06780788607628</v>
      </c>
      <c r="R542" s="690">
        <f t="shared" si="292"/>
        <v>1.5655350222915665</v>
      </c>
      <c r="S542" s="677">
        <f t="shared" si="270"/>
        <v>1.6949065341383924</v>
      </c>
      <c r="T542" s="680">
        <f t="shared" si="271"/>
        <v>0.93973372645034969</v>
      </c>
      <c r="U542" s="681">
        <f t="shared" si="283"/>
        <v>0.50917474330037704</v>
      </c>
      <c r="V542" s="682">
        <f t="shared" si="284"/>
        <v>-1.441355237566591</v>
      </c>
      <c r="W542" s="683">
        <f t="shared" si="272"/>
        <v>-30.97228004116436</v>
      </c>
      <c r="X542" s="684">
        <f t="shared" si="273"/>
        <v>-252.16924916809077</v>
      </c>
      <c r="Y542" s="687">
        <f t="shared" si="274"/>
        <v>-72.169249168090772</v>
      </c>
      <c r="AA542" s="170">
        <f t="shared" si="275"/>
        <v>81756.25</v>
      </c>
      <c r="AB542" s="170">
        <f t="shared" si="276"/>
        <v>6684084414.0625</v>
      </c>
      <c r="AD542" s="686">
        <f t="shared" si="277"/>
        <v>22.344264628662565</v>
      </c>
      <c r="AE542" s="687">
        <f t="shared" si="278"/>
        <v>-54.144189817105854</v>
      </c>
      <c r="AG542" s="686">
        <f t="shared" si="279"/>
        <v>3.589769382316768</v>
      </c>
      <c r="AH542" s="687">
        <f t="shared" si="280"/>
        <v>-32.857915378970368</v>
      </c>
      <c r="AJ542" s="170">
        <f t="shared" si="281"/>
        <v>0</v>
      </c>
      <c r="AK542" s="170">
        <f t="shared" si="293"/>
        <v>0</v>
      </c>
      <c r="AM542" s="170" t="str">
        <f t="shared" si="285"/>
        <v>1.9357146734538+0.352757777920281i</v>
      </c>
      <c r="AN542" s="170" t="str">
        <f t="shared" si="286"/>
        <v>2.78107593883871i</v>
      </c>
      <c r="AO542" s="170" t="str">
        <f t="shared" si="287"/>
        <v>0.126842195494878-0.696030858568391i</v>
      </c>
      <c r="AP542" s="170" t="str">
        <f t="shared" si="288"/>
        <v>-0.155952445575633-0.0587929629867135i</v>
      </c>
      <c r="AQ542" s="170" t="str">
        <f t="shared" si="289"/>
        <v>1.15595244557563+0.0587929629867135i</v>
      </c>
      <c r="AR542" s="170" t="str">
        <f t="shared" si="290"/>
        <v>0.718758560886858-0.0365568199871417i</v>
      </c>
    </row>
    <row r="543" spans="7:44">
      <c r="G543" s="688">
        <v>82229.5</v>
      </c>
      <c r="H543" s="676">
        <f t="shared" si="282"/>
        <v>82.229500000000002</v>
      </c>
      <c r="I543" s="677">
        <f t="shared" si="262"/>
        <v>423.42050482467738</v>
      </c>
      <c r="J543" s="678">
        <f t="shared" si="263"/>
        <v>1.568434606192737</v>
      </c>
      <c r="K543" s="678">
        <f t="shared" si="264"/>
        <v>1.0011786500557549</v>
      </c>
      <c r="L543" s="679">
        <f t="shared" si="265"/>
        <v>4.8528209094766246E-2</v>
      </c>
      <c r="M543" s="678">
        <f t="shared" si="266"/>
        <v>1.1376826607388784</v>
      </c>
      <c r="N543" s="679">
        <f t="shared" si="267"/>
        <v>-0.49707792260846884</v>
      </c>
      <c r="O543" s="677">
        <f t="shared" si="268"/>
        <v>1549989.5568793728</v>
      </c>
      <c r="P543" s="680">
        <f t="shared" si="269"/>
        <v>1.5707956816292594</v>
      </c>
      <c r="Q543" s="689">
        <f t="shared" si="291"/>
        <v>191.16799420022352</v>
      </c>
      <c r="R543" s="690">
        <f t="shared" si="292"/>
        <v>1.5655653017752431</v>
      </c>
      <c r="S543" s="677">
        <f t="shared" si="270"/>
        <v>1.7013087409458818</v>
      </c>
      <c r="T543" s="680">
        <f t="shared" si="271"/>
        <v>0.94248083847530095</v>
      </c>
      <c r="U543" s="681">
        <f t="shared" si="283"/>
        <v>0.50662036017818524</v>
      </c>
      <c r="V543" s="682">
        <f t="shared" si="284"/>
        <v>-1.4471925621092494</v>
      </c>
      <c r="W543" s="683">
        <f t="shared" si="272"/>
        <v>-31.087380027424125</v>
      </c>
      <c r="X543" s="684">
        <f t="shared" si="273"/>
        <v>-252.78256811114613</v>
      </c>
      <c r="Y543" s="687">
        <f t="shared" si="274"/>
        <v>-72.782568111146134</v>
      </c>
      <c r="AA543" s="170">
        <f t="shared" si="275"/>
        <v>82229.5</v>
      </c>
      <c r="AB543" s="170">
        <f t="shared" si="276"/>
        <v>6761690670.25</v>
      </c>
      <c r="AD543" s="686">
        <f t="shared" si="277"/>
        <v>22.31151566185984</v>
      </c>
      <c r="AE543" s="687">
        <f t="shared" si="278"/>
        <v>-54.299853069517823</v>
      </c>
      <c r="AG543" s="686">
        <f t="shared" si="279"/>
        <v>3.5947869141899358</v>
      </c>
      <c r="AH543" s="687">
        <f t="shared" si="280"/>
        <v>-32.646662948964511</v>
      </c>
      <c r="AJ543" s="170">
        <f t="shared" si="281"/>
        <v>0</v>
      </c>
      <c r="AK543" s="170">
        <f t="shared" si="293"/>
        <v>0</v>
      </c>
      <c r="AM543" s="170" t="str">
        <f t="shared" si="285"/>
        <v>1.94127201481448+0.337649217572141i</v>
      </c>
      <c r="AN543" s="170" t="str">
        <f t="shared" si="286"/>
        <v>2.79717433117025i</v>
      </c>
      <c r="AO543" s="170" t="str">
        <f t="shared" si="287"/>
        <v>0.12071082370861-0.694011807981347i</v>
      </c>
      <c r="AP543" s="170" t="str">
        <f t="shared" si="288"/>
        <v>-0.156878669135747-0.0562748695953568i</v>
      </c>
      <c r="AQ543" s="170" t="str">
        <f t="shared" si="289"/>
        <v>1.15687866913575+0.0562748695953568i</v>
      </c>
      <c r="AR543" s="170" t="str">
        <f t="shared" si="290"/>
        <v>0.718341189776713-0.0349427799631376i</v>
      </c>
    </row>
    <row r="544" spans="7:44">
      <c r="G544" s="688">
        <v>82702.75</v>
      </c>
      <c r="H544" s="676">
        <f t="shared" si="282"/>
        <v>82.702749999999995</v>
      </c>
      <c r="I544" s="677">
        <f t="shared" si="262"/>
        <v>425.8573752838542</v>
      </c>
      <c r="J544" s="678">
        <f t="shared" si="263"/>
        <v>1.5684481206182486</v>
      </c>
      <c r="K544" s="678">
        <f t="shared" si="264"/>
        <v>1.0011922478080182</v>
      </c>
      <c r="L544" s="679">
        <f t="shared" si="265"/>
        <v>4.8807058223397544E-2</v>
      </c>
      <c r="M544" s="678">
        <f t="shared" si="266"/>
        <v>1.1391748624615134</v>
      </c>
      <c r="N544" s="679">
        <f t="shared" si="267"/>
        <v>-0.49948706851617075</v>
      </c>
      <c r="O544" s="677">
        <f t="shared" si="268"/>
        <v>1558910.1092090458</v>
      </c>
      <c r="P544" s="680">
        <f t="shared" si="269"/>
        <v>1.5707956853210912</v>
      </c>
      <c r="Q544" s="689">
        <f t="shared" si="291"/>
        <v>192.26818068763671</v>
      </c>
      <c r="R544" s="690">
        <f t="shared" si="292"/>
        <v>1.5655952347317297</v>
      </c>
      <c r="S544" s="677">
        <f t="shared" si="270"/>
        <v>1.7077236905681681</v>
      </c>
      <c r="T544" s="680">
        <f t="shared" si="271"/>
        <v>0.94520733226304743</v>
      </c>
      <c r="U544" s="681">
        <f t="shared" si="283"/>
        <v>0.50407757713368595</v>
      </c>
      <c r="V544" s="682">
        <f t="shared" si="284"/>
        <v>-1.4530220081228105</v>
      </c>
      <c r="W544" s="683">
        <f t="shared" si="272"/>
        <v>-31.202118686949838</v>
      </c>
      <c r="X544" s="684">
        <f t="shared" si="273"/>
        <v>-253.39390386577438</v>
      </c>
      <c r="Y544" s="687">
        <f t="shared" si="274"/>
        <v>-73.393903865774377</v>
      </c>
      <c r="AA544" s="170">
        <f t="shared" si="275"/>
        <v>82702.75</v>
      </c>
      <c r="AB544" s="170">
        <f t="shared" si="276"/>
        <v>6839744857.5625</v>
      </c>
      <c r="AD544" s="686">
        <f t="shared" si="277"/>
        <v>22.278824906970712</v>
      </c>
      <c r="AE544" s="687">
        <f t="shared" si="278"/>
        <v>-54.454354836052211</v>
      </c>
      <c r="AG544" s="686">
        <f t="shared" si="279"/>
        <v>3.6001494164891996</v>
      </c>
      <c r="AH544" s="687">
        <f t="shared" si="280"/>
        <v>-32.435491629342216</v>
      </c>
      <c r="AJ544" s="170">
        <f t="shared" si="281"/>
        <v>0</v>
      </c>
      <c r="AK544" s="170">
        <f t="shared" si="293"/>
        <v>0</v>
      </c>
      <c r="AM544" s="170" t="str">
        <f t="shared" si="285"/>
        <v>1.94658542304871+0.322453154538281i</v>
      </c>
      <c r="AN544" s="170" t="str">
        <f t="shared" si="286"/>
        <v>2.81327272350179i</v>
      </c>
      <c r="AO544" s="170" t="str">
        <f t="shared" si="287"/>
        <v>0.114618519507384-0.691929156667655i</v>
      </c>
      <c r="AP544" s="170" t="str">
        <f t="shared" si="288"/>
        <v>-0.157764237174785-0.0537421924230468i</v>
      </c>
      <c r="AQ544" s="170" t="str">
        <f t="shared" si="289"/>
        <v>1.15776423717478+0.0537421924230468i</v>
      </c>
      <c r="AR544" s="170" t="str">
        <f t="shared" si="290"/>
        <v>0.71794321513749-0.0333261653606555i</v>
      </c>
    </row>
    <row r="545" spans="7:44">
      <c r="G545" s="688">
        <v>83176</v>
      </c>
      <c r="H545" s="676">
        <f t="shared" si="282"/>
        <v>83.176000000000002</v>
      </c>
      <c r="I545" s="677">
        <f t="shared" si="262"/>
        <v>428.29424581992453</v>
      </c>
      <c r="J545" s="678">
        <f t="shared" si="263"/>
        <v>1.5684614812574085</v>
      </c>
      <c r="K545" s="678">
        <f t="shared" si="264"/>
        <v>1.0012059234077053</v>
      </c>
      <c r="L545" s="679">
        <f t="shared" si="265"/>
        <v>4.9085899756038415E-2</v>
      </c>
      <c r="M545" s="678">
        <f t="shared" si="266"/>
        <v>1.1406736586158071</v>
      </c>
      <c r="N545" s="679">
        <f t="shared" si="267"/>
        <v>-0.50188989731106248</v>
      </c>
      <c r="O545" s="677">
        <f t="shared" si="268"/>
        <v>1567830.661538719</v>
      </c>
      <c r="P545" s="680">
        <f t="shared" si="269"/>
        <v>1.5707956889709118</v>
      </c>
      <c r="Q545" s="689">
        <f t="shared" si="291"/>
        <v>193.36836734535845</v>
      </c>
      <c r="R545" s="690">
        <f t="shared" si="292"/>
        <v>1.5656248270757649</v>
      </c>
      <c r="S545" s="677">
        <f t="shared" si="270"/>
        <v>1.7141512399411329</v>
      </c>
      <c r="T545" s="680">
        <f t="shared" si="271"/>
        <v>0.94791339898537164</v>
      </c>
      <c r="U545" s="681">
        <f t="shared" si="283"/>
        <v>0.50154627426879395</v>
      </c>
      <c r="V545" s="682">
        <f t="shared" si="284"/>
        <v>-1.458843950011278</v>
      </c>
      <c r="W545" s="683">
        <f t="shared" si="272"/>
        <v>-31.316500408609038</v>
      </c>
      <c r="X545" s="684">
        <f t="shared" si="273"/>
        <v>-254.00328847432246</v>
      </c>
      <c r="Y545" s="687">
        <f t="shared" si="274"/>
        <v>-74.00328847432246</v>
      </c>
      <c r="AA545" s="170">
        <f t="shared" si="275"/>
        <v>83176</v>
      </c>
      <c r="AB545" s="170">
        <f t="shared" si="276"/>
        <v>6918246976</v>
      </c>
      <c r="AD545" s="686">
        <f t="shared" si="277"/>
        <v>22.246192895514927</v>
      </c>
      <c r="AE545" s="687">
        <f t="shared" si="278"/>
        <v>-54.607705731197619</v>
      </c>
      <c r="AG545" s="686">
        <f t="shared" si="279"/>
        <v>3.6058545284061063</v>
      </c>
      <c r="AH545" s="687">
        <f t="shared" si="280"/>
        <v>-32.224379944423355</v>
      </c>
      <c r="AJ545" s="170">
        <f t="shared" si="281"/>
        <v>0</v>
      </c>
      <c r="AK545" s="170">
        <f t="shared" si="293"/>
        <v>0</v>
      </c>
      <c r="AM545" s="170" t="str">
        <f t="shared" si="285"/>
        <v>1.95165352117272+0.307173526918535i</v>
      </c>
      <c r="AN545" s="170" t="str">
        <f t="shared" si="286"/>
        <v>2.82937111583333i</v>
      </c>
      <c r="AO545" s="170" t="str">
        <f t="shared" si="287"/>
        <v>0.108566007901747-0.689783503567683i</v>
      </c>
      <c r="AP545" s="170" t="str">
        <f t="shared" si="288"/>
        <v>-0.158608920195453-0.0511955878197558i</v>
      </c>
      <c r="AQ545" s="170" t="str">
        <f t="shared" si="289"/>
        <v>1.15860892019545+0.0511955878197558i</v>
      </c>
      <c r="AR545" s="170" t="str">
        <f t="shared" si="290"/>
        <v>0.717564590906922-0.0317071104751423i</v>
      </c>
    </row>
    <row r="546" spans="7:44">
      <c r="G546" s="688">
        <v>83660.5</v>
      </c>
      <c r="H546" s="676">
        <f t="shared" si="282"/>
        <v>83.660499999999999</v>
      </c>
      <c r="I546" s="677">
        <f t="shared" si="262"/>
        <v>430.78904521089942</v>
      </c>
      <c r="J546" s="678">
        <f t="shared" si="263"/>
        <v>1.5684750029144303</v>
      </c>
      <c r="K546" s="678">
        <f t="shared" si="264"/>
        <v>1.0012200047428352</v>
      </c>
      <c r="L546" s="679">
        <f t="shared" si="265"/>
        <v>4.937136193732005E-2</v>
      </c>
      <c r="M546" s="678">
        <f t="shared" si="266"/>
        <v>1.1422148881697187</v>
      </c>
      <c r="N546" s="679">
        <f t="shared" si="267"/>
        <v>-0.50434329855257398</v>
      </c>
      <c r="O546" s="677">
        <f t="shared" si="268"/>
        <v>1576963.2713722673</v>
      </c>
      <c r="P546" s="680">
        <f t="shared" si="269"/>
        <v>1.5707956926647186</v>
      </c>
      <c r="Q546" s="689">
        <f t="shared" si="291"/>
        <v>194.49470758356929</v>
      </c>
      <c r="R546" s="690">
        <f t="shared" si="292"/>
        <v>1.5656547760639705</v>
      </c>
      <c r="S546" s="677">
        <f t="shared" si="270"/>
        <v>1.720744488833964</v>
      </c>
      <c r="T546" s="680">
        <f t="shared" si="271"/>
        <v>0.95066283041208555</v>
      </c>
      <c r="U546" s="681">
        <f t="shared" si="283"/>
        <v>0.49896656423390967</v>
      </c>
      <c r="V546" s="682">
        <f t="shared" si="284"/>
        <v>-1.4647969060785404</v>
      </c>
      <c r="W546" s="683">
        <f t="shared" si="272"/>
        <v>-31.433236015295599</v>
      </c>
      <c r="X546" s="684">
        <f t="shared" si="273"/>
        <v>-254.62517130341206</v>
      </c>
      <c r="Y546" s="687">
        <f t="shared" si="274"/>
        <v>-74.62517130341206</v>
      </c>
      <c r="AA546" s="170">
        <f t="shared" si="275"/>
        <v>83660.5</v>
      </c>
      <c r="AB546" s="170">
        <f t="shared" si="276"/>
        <v>6999079260.25</v>
      </c>
      <c r="AD546" s="686">
        <f t="shared" si="277"/>
        <v>22.212846552059023</v>
      </c>
      <c r="AE546" s="687">
        <f t="shared" si="278"/>
        <v>-54.763520809201673</v>
      </c>
      <c r="AG546" s="686">
        <f t="shared" si="279"/>
        <v>3.6120478290519782</v>
      </c>
      <c r="AH546" s="687">
        <f t="shared" si="280"/>
        <v>-32.008289178167601</v>
      </c>
      <c r="AJ546" s="170">
        <f t="shared" si="281"/>
        <v>0</v>
      </c>
      <c r="AK546" s="170">
        <f t="shared" si="293"/>
        <v>0</v>
      </c>
      <c r="AM546" s="170" t="str">
        <f t="shared" si="285"/>
        <v>1.9565865994513+0.291448241974785i</v>
      </c>
      <c r="AN546" s="170" t="str">
        <f t="shared" si="286"/>
        <v>2.84585219577972i</v>
      </c>
      <c r="AO546" s="170" t="str">
        <f t="shared" si="287"/>
        <v>0.102411587786249-0.687522212978185i</v>
      </c>
      <c r="AP546" s="170" t="str">
        <f t="shared" si="288"/>
        <v>-0.159431099908551-0.0485747069957975i</v>
      </c>
      <c r="AQ546" s="170" t="str">
        <f t="shared" si="289"/>
        <v>1.15943109990855+0.0485747069957975i</v>
      </c>
      <c r="AR546" s="170" t="str">
        <f t="shared" si="290"/>
        <v>0.717196965998862-0.0300471778654355i</v>
      </c>
    </row>
    <row r="547" spans="7:44">
      <c r="G547" s="688">
        <v>84145</v>
      </c>
      <c r="H547" s="676">
        <f t="shared" si="282"/>
        <v>84.144999999999996</v>
      </c>
      <c r="I547" s="677">
        <f t="shared" si="262"/>
        <v>433.28384467973075</v>
      </c>
      <c r="J547" s="678">
        <f t="shared" si="263"/>
        <v>1.5684883688591051</v>
      </c>
      <c r="K547" s="678">
        <f t="shared" si="264"/>
        <v>1.0012341676637397</v>
      </c>
      <c r="L547" s="679">
        <f t="shared" si="265"/>
        <v>4.9656816065872952E-2</v>
      </c>
      <c r="M547" s="678">
        <f t="shared" si="266"/>
        <v>1.1437629743650999</v>
      </c>
      <c r="N547" s="679">
        <f t="shared" si="267"/>
        <v>-0.50679007311844526</v>
      </c>
      <c r="O547" s="677">
        <f t="shared" si="268"/>
        <v>1586095.8812058154</v>
      </c>
      <c r="P547" s="680">
        <f t="shared" si="269"/>
        <v>1.5707956963159881</v>
      </c>
      <c r="Q547" s="689">
        <f t="shared" si="291"/>
        <v>195.6210479942217</v>
      </c>
      <c r="R547" s="690">
        <f t="shared" si="292"/>
        <v>1.5656843801736116</v>
      </c>
      <c r="S547" s="677">
        <f t="shared" si="270"/>
        <v>1.72735064611898</v>
      </c>
      <c r="T547" s="680">
        <f t="shared" si="271"/>
        <v>0.95339125223508003</v>
      </c>
      <c r="U547" s="681">
        <f t="shared" si="283"/>
        <v>0.49639862886874975</v>
      </c>
      <c r="V547" s="682">
        <f t="shared" si="284"/>
        <v>-1.4707427884154403</v>
      </c>
      <c r="W547" s="683">
        <f t="shared" si="272"/>
        <v>-31.549606854269886</v>
      </c>
      <c r="X547" s="684">
        <f t="shared" si="273"/>
        <v>-255.24507669281164</v>
      </c>
      <c r="Y547" s="687">
        <f t="shared" si="274"/>
        <v>-75.245076692811637</v>
      </c>
      <c r="AA547" s="170">
        <f t="shared" si="275"/>
        <v>84145</v>
      </c>
      <c r="AB547" s="170">
        <f t="shared" si="276"/>
        <v>7080381025</v>
      </c>
      <c r="AD547" s="686">
        <f t="shared" si="277"/>
        <v>22.179562843882987</v>
      </c>
      <c r="AE547" s="687">
        <f t="shared" si="278"/>
        <v>-54.918151883230998</v>
      </c>
      <c r="AG547" s="686">
        <f t="shared" si="279"/>
        <v>3.6185955491406254</v>
      </c>
      <c r="AH547" s="687">
        <f t="shared" si="280"/>
        <v>-31.792215565987746</v>
      </c>
      <c r="AJ547" s="170">
        <f t="shared" si="281"/>
        <v>0</v>
      </c>
      <c r="AK547" s="170">
        <f t="shared" si="293"/>
        <v>0</v>
      </c>
      <c r="AM547" s="170" t="str">
        <f t="shared" si="285"/>
        <v>1.96125984982328+0.275643793903879i</v>
      </c>
      <c r="AN547" s="170" t="str">
        <f t="shared" si="286"/>
        <v>2.86233327572612i</v>
      </c>
      <c r="AO547" s="170" t="str">
        <f t="shared" si="287"/>
        <v>0.0963003841102163-0.685196188178243i</v>
      </c>
      <c r="AP547" s="170" t="str">
        <f t="shared" si="288"/>
        <v>-0.160209974970547-0.0459406323173132i</v>
      </c>
      <c r="AQ547" s="170" t="str">
        <f t="shared" si="289"/>
        <v>1.16020997497055+0.0459406323173132i</v>
      </c>
      <c r="AR547" s="170" t="str">
        <f t="shared" si="290"/>
        <v>0.716849531252132-0.0283849660428307i</v>
      </c>
    </row>
    <row r="548" spans="7:44">
      <c r="G548" s="688">
        <v>84629.5</v>
      </c>
      <c r="H548" s="676">
        <f t="shared" si="282"/>
        <v>84.629499999999993</v>
      </c>
      <c r="I548" s="677">
        <f t="shared" si="262"/>
        <v>435.77864422508128</v>
      </c>
      <c r="J548" s="678">
        <f t="shared" si="263"/>
        <v>1.5685015817657517</v>
      </c>
      <c r="K548" s="678">
        <f t="shared" si="264"/>
        <v>1.0012484121669569</v>
      </c>
      <c r="L548" s="679">
        <f t="shared" si="265"/>
        <v>4.9942262095519906E-2</v>
      </c>
      <c r="M548" s="678">
        <f t="shared" si="266"/>
        <v>1.1453178893983027</v>
      </c>
      <c r="N548" s="679">
        <f t="shared" si="267"/>
        <v>-0.50923021864303142</v>
      </c>
      <c r="O548" s="677">
        <f t="shared" si="268"/>
        <v>1595228.4910393634</v>
      </c>
      <c r="P548" s="680">
        <f t="shared" si="269"/>
        <v>1.5707956999254509</v>
      </c>
      <c r="Q548" s="689">
        <f t="shared" si="291"/>
        <v>196.74738857435409</v>
      </c>
      <c r="R548" s="690">
        <f t="shared" si="292"/>
        <v>1.5657136453277241</v>
      </c>
      <c r="S548" s="677">
        <f t="shared" si="270"/>
        <v>1.7339695642592223</v>
      </c>
      <c r="T548" s="680">
        <f t="shared" si="271"/>
        <v>0.95609886419285994</v>
      </c>
      <c r="U548" s="681">
        <f t="shared" si="283"/>
        <v>0.49384233607943462</v>
      </c>
      <c r="V548" s="682">
        <f t="shared" si="284"/>
        <v>-1.4766819960619695</v>
      </c>
      <c r="W548" s="683">
        <f t="shared" si="272"/>
        <v>-31.665617669983526</v>
      </c>
      <c r="X548" s="684">
        <f t="shared" si="273"/>
        <v>-255.86303863101014</v>
      </c>
      <c r="Y548" s="687">
        <f t="shared" si="274"/>
        <v>-75.863038631010141</v>
      </c>
      <c r="AA548" s="170">
        <f t="shared" si="275"/>
        <v>84629.5</v>
      </c>
      <c r="AB548" s="170">
        <f t="shared" si="276"/>
        <v>7162152270.25</v>
      </c>
      <c r="AD548" s="686">
        <f t="shared" si="277"/>
        <v>22.146342279752691</v>
      </c>
      <c r="AE548" s="687">
        <f t="shared" si="278"/>
        <v>-55.071610058135825</v>
      </c>
      <c r="AG548" s="686">
        <f t="shared" si="279"/>
        <v>3.6254954928087031</v>
      </c>
      <c r="AH548" s="687">
        <f t="shared" si="280"/>
        <v>-31.576136264907824</v>
      </c>
      <c r="AJ548" s="170">
        <f t="shared" si="281"/>
        <v>0</v>
      </c>
      <c r="AK548" s="170">
        <f t="shared" si="293"/>
        <v>0</v>
      </c>
      <c r="AM548" s="170" t="str">
        <f t="shared" si="285"/>
        <v>1.96567200294109+0.259764475507618i</v>
      </c>
      <c r="AN548" s="170" t="str">
        <f t="shared" si="286"/>
        <v>2.87881435567251i</v>
      </c>
      <c r="AO548" s="170" t="str">
        <f t="shared" si="287"/>
        <v>0.090233145807325-0.682806100041799i</v>
      </c>
      <c r="AP548" s="170" t="str">
        <f t="shared" si="288"/>
        <v>-0.160945333823515-0.0432940792512697i</v>
      </c>
      <c r="AQ548" s="170" t="str">
        <f t="shared" si="289"/>
        <v>1.16094533382351+0.0432940792512697i</v>
      </c>
      <c r="AR548" s="170" t="str">
        <f t="shared" si="290"/>
        <v>0.716522243928291-0.0267206128575947i</v>
      </c>
    </row>
    <row r="549" spans="7:44">
      <c r="G549" s="688">
        <v>85114</v>
      </c>
      <c r="H549" s="676">
        <f t="shared" si="282"/>
        <v>85.114000000000004</v>
      </c>
      <c r="I549" s="677">
        <f t="shared" si="262"/>
        <v>438.27344384564429</v>
      </c>
      <c r="J549" s="678">
        <f t="shared" si="263"/>
        <v>1.5685146442477973</v>
      </c>
      <c r="K549" s="678">
        <f t="shared" si="264"/>
        <v>1.0012627382490047</v>
      </c>
      <c r="L549" s="679">
        <f t="shared" si="265"/>
        <v>5.0227699980091613E-2</v>
      </c>
      <c r="M549" s="678">
        <f t="shared" si="266"/>
        <v>1.1468796054941468</v>
      </c>
      <c r="N549" s="679">
        <f t="shared" si="267"/>
        <v>-0.51166373308925694</v>
      </c>
      <c r="O549" s="677">
        <f t="shared" si="268"/>
        <v>1604361.1008729117</v>
      </c>
      <c r="P549" s="680">
        <f t="shared" si="269"/>
        <v>1.5707957034938209</v>
      </c>
      <c r="Q549" s="689">
        <f t="shared" si="291"/>
        <v>197.87372932107235</v>
      </c>
      <c r="R549" s="690">
        <f t="shared" si="292"/>
        <v>1.5657425773144857</v>
      </c>
      <c r="S549" s="677">
        <f t="shared" si="270"/>
        <v>1.7406010976790285</v>
      </c>
      <c r="T549" s="680">
        <f t="shared" si="271"/>
        <v>0.9587858642092747</v>
      </c>
      <c r="U549" s="681">
        <f t="shared" si="283"/>
        <v>0.49129755270528885</v>
      </c>
      <c r="V549" s="682">
        <f t="shared" si="284"/>
        <v>-1.4826149272353661</v>
      </c>
      <c r="W549" s="683">
        <f t="shared" si="272"/>
        <v>-31.781273220779035</v>
      </c>
      <c r="X549" s="684">
        <f t="shared" si="273"/>
        <v>-256.47909097844649</v>
      </c>
      <c r="Y549" s="687">
        <f t="shared" si="274"/>
        <v>-76.479090978446493</v>
      </c>
      <c r="AA549" s="170">
        <f t="shared" si="275"/>
        <v>85114</v>
      </c>
      <c r="AB549" s="170">
        <f t="shared" si="276"/>
        <v>7244392996</v>
      </c>
      <c r="AD549" s="686">
        <f t="shared" si="277"/>
        <v>22.113185348631571</v>
      </c>
      <c r="AE549" s="687">
        <f t="shared" si="278"/>
        <v>-55.223906342520166</v>
      </c>
      <c r="AG549" s="686">
        <f t="shared" si="279"/>
        <v>3.6327455756555715</v>
      </c>
      <c r="AH549" s="687">
        <f t="shared" si="280"/>
        <v>-31.360028494428569</v>
      </c>
      <c r="AJ549" s="170">
        <f t="shared" si="281"/>
        <v>0</v>
      </c>
      <c r="AK549" s="170">
        <f t="shared" si="293"/>
        <v>0</v>
      </c>
      <c r="AM549" s="170" t="str">
        <f t="shared" si="285"/>
        <v>1.96982186037637+0.243814599924039i</v>
      </c>
      <c r="AN549" s="170" t="str">
        <f t="shared" si="286"/>
        <v>2.8952954356189i</v>
      </c>
      <c r="AO549" s="170" t="str">
        <f t="shared" si="287"/>
        <v>0.0842106117823244-0.680352628661987i</v>
      </c>
      <c r="AP549" s="170" t="str">
        <f t="shared" si="288"/>
        <v>-0.161636976729395-0.0406357666540065i</v>
      </c>
      <c r="AQ549" s="170" t="str">
        <f t="shared" si="289"/>
        <v>1.1616369767294+0.0406357666540065i</v>
      </c>
      <c r="AR549" s="170" t="str">
        <f t="shared" si="290"/>
        <v>0.716215063600809-0.0250542542821849i</v>
      </c>
    </row>
    <row r="550" spans="7:44">
      <c r="G550" s="688">
        <v>85609.5</v>
      </c>
      <c r="H550" s="676">
        <f t="shared" si="282"/>
        <v>85.609499999999997</v>
      </c>
      <c r="I550" s="677">
        <f t="shared" si="262"/>
        <v>440.8248850201233</v>
      </c>
      <c r="J550" s="678">
        <f t="shared" si="263"/>
        <v>1.5685278503734281</v>
      </c>
      <c r="K550" s="678">
        <f t="shared" si="264"/>
        <v>1.0012774739622503</v>
      </c>
      <c r="L550" s="679">
        <f t="shared" si="265"/>
        <v>5.0519609921882827E-2</v>
      </c>
      <c r="M550" s="678">
        <f t="shared" si="266"/>
        <v>1.1484837840249156</v>
      </c>
      <c r="N550" s="679">
        <f t="shared" si="267"/>
        <v>-0.51414563720977158</v>
      </c>
      <c r="O550" s="677">
        <f t="shared" si="268"/>
        <v>1613701.0558213601</v>
      </c>
      <c r="P550" s="680">
        <f t="shared" si="269"/>
        <v>1.5707957071014309</v>
      </c>
      <c r="Q550" s="689">
        <f t="shared" si="291"/>
        <v>199.02564247288069</v>
      </c>
      <c r="R550" s="690">
        <f t="shared" si="292"/>
        <v>1.5657718274631205</v>
      </c>
      <c r="S550" s="677">
        <f t="shared" si="270"/>
        <v>1.7473960906997454</v>
      </c>
      <c r="T550" s="680">
        <f t="shared" si="271"/>
        <v>0.96151275454385532</v>
      </c>
      <c r="U550" s="681">
        <f t="shared" si="283"/>
        <v>0.48870675753013842</v>
      </c>
      <c r="V550" s="682">
        <f t="shared" si="284"/>
        <v>-1.4886764809445567</v>
      </c>
      <c r="W550" s="683">
        <f t="shared" si="272"/>
        <v>-31.899192113428605</v>
      </c>
      <c r="X550" s="684">
        <f t="shared" si="273"/>
        <v>-257.10719010685455</v>
      </c>
      <c r="Y550" s="687">
        <f t="shared" si="274"/>
        <v>-77.107190106854546</v>
      </c>
      <c r="AA550" s="170">
        <f t="shared" si="275"/>
        <v>85609.5</v>
      </c>
      <c r="AB550" s="170">
        <f t="shared" si="276"/>
        <v>7328986490.25</v>
      </c>
      <c r="AD550" s="686">
        <f t="shared" si="277"/>
        <v>22.079341934355639</v>
      </c>
      <c r="AE550" s="687">
        <f t="shared" si="278"/>
        <v>-55.378469946697187</v>
      </c>
      <c r="AG550" s="686">
        <f t="shared" si="279"/>
        <v>3.6405203602088299</v>
      </c>
      <c r="AH550" s="687">
        <f t="shared" si="280"/>
        <v>-31.138961128208905</v>
      </c>
      <c r="AJ550" s="170">
        <f t="shared" si="281"/>
        <v>0</v>
      </c>
      <c r="AK550" s="170">
        <f t="shared" si="293"/>
        <v>0</v>
      </c>
      <c r="AM550" s="170" t="str">
        <f t="shared" si="285"/>
        <v>1.9737934652049+0.227434137992168i</v>
      </c>
      <c r="AN550" s="170" t="str">
        <f t="shared" si="286"/>
        <v>2.91215069901093i</v>
      </c>
      <c r="AO550" s="170" t="str">
        <f t="shared" si="287"/>
        <v>0.0780983408823632-0.677778614230119i</v>
      </c>
      <c r="AP550" s="170" t="str">
        <f t="shared" si="288"/>
        <v>-0.162298910867483-0.0379056896653613i</v>
      </c>
      <c r="AQ550" s="170" t="str">
        <f t="shared" si="289"/>
        <v>1.16229891086748+0.0379056896653613i</v>
      </c>
      <c r="AR550" s="170" t="str">
        <f t="shared" si="290"/>
        <v>0.715921666363585-0.0233481286579133i</v>
      </c>
    </row>
    <row r="551" spans="7:44">
      <c r="G551" s="688">
        <v>86105</v>
      </c>
      <c r="H551" s="676">
        <f t="shared" si="282"/>
        <v>86.105000000000004</v>
      </c>
      <c r="I551" s="677">
        <f t="shared" si="262"/>
        <v>443.37632627059804</v>
      </c>
      <c r="J551" s="678">
        <f t="shared" si="263"/>
        <v>1.5685409045078442</v>
      </c>
      <c r="K551" s="678">
        <f t="shared" si="264"/>
        <v>1.0012922949932499</v>
      </c>
      <c r="L551" s="679">
        <f t="shared" si="265"/>
        <v>5.0811511246901711E-2</v>
      </c>
      <c r="M551" s="678">
        <f t="shared" si="266"/>
        <v>1.1500950172806126</v>
      </c>
      <c r="N551" s="679">
        <f t="shared" si="267"/>
        <v>-0.51662060246005437</v>
      </c>
      <c r="O551" s="677">
        <f t="shared" si="268"/>
        <v>1623041.0107698082</v>
      </c>
      <c r="P551" s="680">
        <f t="shared" si="269"/>
        <v>1.5707957106675201</v>
      </c>
      <c r="Q551" s="689">
        <f t="shared" si="291"/>
        <v>200.1775557930099</v>
      </c>
      <c r="R551" s="690">
        <f t="shared" si="292"/>
        <v>1.5658007409742809</v>
      </c>
      <c r="S551" s="677">
        <f t="shared" si="270"/>
        <v>1.7542039765189177</v>
      </c>
      <c r="T551" s="680">
        <f t="shared" si="271"/>
        <v>0.96421849930460146</v>
      </c>
      <c r="U551" s="681">
        <f t="shared" si="283"/>
        <v>0.48612771537360039</v>
      </c>
      <c r="V551" s="682">
        <f t="shared" si="284"/>
        <v>-1.4947323099752712</v>
      </c>
      <c r="W551" s="683">
        <f t="shared" si="272"/>
        <v>-32.016749541976132</v>
      </c>
      <c r="X551" s="684">
        <f t="shared" si="273"/>
        <v>-257.73336318600678</v>
      </c>
      <c r="Y551" s="687">
        <f t="shared" si="274"/>
        <v>-77.733363186006784</v>
      </c>
      <c r="AA551" s="170">
        <f t="shared" si="275"/>
        <v>86105</v>
      </c>
      <c r="AB551" s="170">
        <f t="shared" si="276"/>
        <v>7414071025</v>
      </c>
      <c r="AD551" s="686">
        <f t="shared" si="277"/>
        <v>22.045566048374553</v>
      </c>
      <c r="AE551" s="687">
        <f t="shared" si="278"/>
        <v>-55.531841284264317</v>
      </c>
      <c r="AG551" s="686">
        <f t="shared" si="279"/>
        <v>3.6486573060872054</v>
      </c>
      <c r="AH551" s="687">
        <f t="shared" si="280"/>
        <v>-30.917815979175604</v>
      </c>
      <c r="AJ551" s="170">
        <f t="shared" si="281"/>
        <v>0</v>
      </c>
      <c r="AK551" s="170">
        <f t="shared" si="293"/>
        <v>0</v>
      </c>
      <c r="AM551" s="170" t="str">
        <f t="shared" si="285"/>
        <v>1.97748842195316+0.210989063573246i</v>
      </c>
      <c r="AN551" s="170" t="str">
        <f t="shared" si="286"/>
        <v>2.92900596240296i</v>
      </c>
      <c r="AO551" s="170" t="str">
        <f t="shared" si="287"/>
        <v>0.0720343578270323-0.675139773471416i</v>
      </c>
      <c r="AP551" s="170" t="str">
        <f t="shared" si="288"/>
        <v>-0.162914736992194-0.0351648439288743i</v>
      </c>
      <c r="AQ551" s="170" t="str">
        <f t="shared" si="289"/>
        <v>1.16291473699219+0.0351648439288743i</v>
      </c>
      <c r="AR551" s="170" t="str">
        <f t="shared" si="290"/>
        <v>0.715649221480905-0.0216401876944874i</v>
      </c>
    </row>
    <row r="552" spans="7:44">
      <c r="G552" s="688">
        <v>86600.5</v>
      </c>
      <c r="H552" s="676">
        <f t="shared" si="282"/>
        <v>86.600499999999997</v>
      </c>
      <c r="I552" s="677">
        <f t="shared" si="262"/>
        <v>445.92776759576424</v>
      </c>
      <c r="J552" s="678">
        <f t="shared" si="263"/>
        <v>1.5685538092599616</v>
      </c>
      <c r="K552" s="678">
        <f t="shared" si="264"/>
        <v>1.0013072013382149</v>
      </c>
      <c r="L552" s="679">
        <f t="shared" si="265"/>
        <v>5.1103403905788304E-2</v>
      </c>
      <c r="M552" s="678">
        <f t="shared" si="266"/>
        <v>1.1517132756528086</v>
      </c>
      <c r="N552" s="679">
        <f t="shared" si="267"/>
        <v>-0.51908862770541109</v>
      </c>
      <c r="O552" s="677">
        <f t="shared" si="268"/>
        <v>1632380.9657182565</v>
      </c>
      <c r="P552" s="680">
        <f t="shared" si="269"/>
        <v>1.5707957141928013</v>
      </c>
      <c r="Q552" s="689">
        <f t="shared" si="291"/>
        <v>201.3294692785708</v>
      </c>
      <c r="R552" s="690">
        <f t="shared" si="292"/>
        <v>1.5658293236261673</v>
      </c>
      <c r="S552" s="677">
        <f t="shared" si="270"/>
        <v>1.7610246056110437</v>
      </c>
      <c r="T552" s="680">
        <f t="shared" si="271"/>
        <v>0.96690330433989025</v>
      </c>
      <c r="U552" s="681">
        <f t="shared" si="283"/>
        <v>0.48356028061056033</v>
      </c>
      <c r="V552" s="682">
        <f t="shared" si="284"/>
        <v>-1.5007828379216388</v>
      </c>
      <c r="W552" s="683">
        <f t="shared" si="272"/>
        <v>-32.133950648232243</v>
      </c>
      <c r="X552" s="684">
        <f t="shared" si="273"/>
        <v>-258.35764603657145</v>
      </c>
      <c r="Y552" s="687">
        <f t="shared" si="274"/>
        <v>-78.357646036571452</v>
      </c>
      <c r="AA552" s="170">
        <f t="shared" si="275"/>
        <v>86600.5</v>
      </c>
      <c r="AB552" s="170">
        <f t="shared" si="276"/>
        <v>7499646600.25</v>
      </c>
      <c r="AD552" s="686">
        <f t="shared" si="277"/>
        <v>22.011858152485825</v>
      </c>
      <c r="AE552" s="687">
        <f t="shared" si="278"/>
        <v>-55.684031818439088</v>
      </c>
      <c r="AG552" s="686">
        <f t="shared" si="279"/>
        <v>3.6571545388644804</v>
      </c>
      <c r="AH552" s="687">
        <f t="shared" si="280"/>
        <v>-30.696568864467572</v>
      </c>
      <c r="AJ552" s="170">
        <f t="shared" si="281"/>
        <v>0</v>
      </c>
      <c r="AK552" s="170">
        <f t="shared" si="293"/>
        <v>0</v>
      </c>
      <c r="AM552" s="170" t="str">
        <f t="shared" si="285"/>
        <v>1.98090568090916+0.194484048600727i</v>
      </c>
      <c r="AN552" s="170" t="str">
        <f t="shared" si="286"/>
        <v>2.94586122579499i</v>
      </c>
      <c r="AO552" s="170" t="str">
        <f t="shared" si="287"/>
        <v>0.066019419685407-0.672436862797086i</v>
      </c>
      <c r="AP552" s="170" t="str">
        <f t="shared" si="288"/>
        <v>-0.163484280151527-0.0324140081001212i</v>
      </c>
      <c r="AQ552" s="170" t="str">
        <f t="shared" si="289"/>
        <v>1.16348428015153+0.0324140081001212i</v>
      </c>
      <c r="AR552" s="170" t="str">
        <f t="shared" si="290"/>
        <v>0.715397693371283-0.019930571494034i</v>
      </c>
    </row>
    <row r="553" spans="7:44">
      <c r="G553" s="688">
        <v>87096</v>
      </c>
      <c r="H553" s="676">
        <f t="shared" si="282"/>
        <v>87.096000000000004</v>
      </c>
      <c r="I553" s="677">
        <f t="shared" si="262"/>
        <v>448.47920899434689</v>
      </c>
      <c r="J553" s="678">
        <f t="shared" si="263"/>
        <v>1.5685665671793263</v>
      </c>
      <c r="K553" s="678">
        <f t="shared" si="264"/>
        <v>1.0013221929933354</v>
      </c>
      <c r="L553" s="679">
        <f t="shared" si="265"/>
        <v>5.1395287849191458E-2</v>
      </c>
      <c r="M553" s="678">
        <f t="shared" si="266"/>
        <v>1.1533385295705143</v>
      </c>
      <c r="N553" s="679">
        <f t="shared" si="267"/>
        <v>-0.52154971215568036</v>
      </c>
      <c r="O553" s="677">
        <f t="shared" si="268"/>
        <v>1641720.9206667047</v>
      </c>
      <c r="P553" s="680">
        <f t="shared" si="269"/>
        <v>1.570795717677971</v>
      </c>
      <c r="Q553" s="689">
        <f t="shared" si="291"/>
        <v>202.48138292673997</v>
      </c>
      <c r="R553" s="690">
        <f t="shared" si="292"/>
        <v>1.5658575810654931</v>
      </c>
      <c r="S553" s="677">
        <f t="shared" si="270"/>
        <v>1.7678578304804369</v>
      </c>
      <c r="T553" s="680">
        <f t="shared" si="271"/>
        <v>0.96956737353189104</v>
      </c>
      <c r="U553" s="681">
        <f t="shared" si="283"/>
        <v>0.48100430662672378</v>
      </c>
      <c r="V553" s="682">
        <f t="shared" si="284"/>
        <v>-1.5068284876843845</v>
      </c>
      <c r="W553" s="683">
        <f t="shared" si="272"/>
        <v>-32.250800593876043</v>
      </c>
      <c r="X553" s="684">
        <f t="shared" si="273"/>
        <v>-258.98007435070303</v>
      </c>
      <c r="Y553" s="687">
        <f t="shared" si="274"/>
        <v>-78.980074350703035</v>
      </c>
      <c r="AA553" s="170">
        <f t="shared" si="275"/>
        <v>87096</v>
      </c>
      <c r="AB553" s="170">
        <f t="shared" si="276"/>
        <v>7585713216</v>
      </c>
      <c r="AD553" s="686">
        <f t="shared" si="277"/>
        <v>21.978218688840123</v>
      </c>
      <c r="AE553" s="687">
        <f t="shared" si="278"/>
        <v>-55.835052907316417</v>
      </c>
      <c r="AG553" s="686">
        <f t="shared" si="279"/>
        <v>3.6660103018809758</v>
      </c>
      <c r="AH553" s="687">
        <f t="shared" si="280"/>
        <v>-30.47519565729106</v>
      </c>
      <c r="AJ553" s="170">
        <f t="shared" si="281"/>
        <v>0</v>
      </c>
      <c r="AK553" s="170">
        <f t="shared" si="293"/>
        <v>0</v>
      </c>
      <c r="AM553" s="170" t="str">
        <f t="shared" si="285"/>
        <v>1.98404427125294+0.177923782036767i</v>
      </c>
      <c r="AN553" s="170" t="str">
        <f t="shared" si="286"/>
        <v>2.96271648918702i</v>
      </c>
      <c r="AO553" s="170" t="str">
        <f t="shared" si="287"/>
        <v>0.0600542720459864-0.669670648033342i</v>
      </c>
      <c r="AP553" s="170" t="str">
        <f t="shared" si="288"/>
        <v>-0.164007378542157-0.0296539636727945i</v>
      </c>
      <c r="AQ553" s="170" t="str">
        <f t="shared" si="289"/>
        <v>1.16400737854216+0.0296539636727945i</v>
      </c>
      <c r="AR553" s="170" t="str">
        <f t="shared" si="290"/>
        <v>0.715167049082654-0.0182194186088731i</v>
      </c>
    </row>
    <row r="554" spans="7:44">
      <c r="G554" s="688">
        <v>87603.25</v>
      </c>
      <c r="H554" s="676">
        <f t="shared" si="282"/>
        <v>87.603250000000003</v>
      </c>
      <c r="I554" s="677">
        <f t="shared" si="262"/>
        <v>451.09115387117578</v>
      </c>
      <c r="J554" s="678">
        <f t="shared" si="263"/>
        <v>1.5685794781369518</v>
      </c>
      <c r="K554" s="678">
        <f t="shared" si="264"/>
        <v>1.0013376285165161</v>
      </c>
      <c r="L554" s="679">
        <f t="shared" si="265"/>
        <v>5.1694084279905538E-2</v>
      </c>
      <c r="M554" s="678">
        <f t="shared" si="266"/>
        <v>1.1550095393307973</v>
      </c>
      <c r="N554" s="679">
        <f t="shared" si="267"/>
        <v>-0.5240619672384299</v>
      </c>
      <c r="O554" s="677">
        <f t="shared" si="268"/>
        <v>1651282.357896978</v>
      </c>
      <c r="P554" s="680">
        <f t="shared" si="269"/>
        <v>1.570795721204947</v>
      </c>
      <c r="Q554" s="689">
        <f t="shared" si="291"/>
        <v>203.66061255351593</v>
      </c>
      <c r="R554" s="690">
        <f t="shared" si="292"/>
        <v>1.5658861774747399</v>
      </c>
      <c r="S554" s="677">
        <f t="shared" si="270"/>
        <v>1.7748659899491299</v>
      </c>
      <c r="T554" s="680">
        <f t="shared" si="271"/>
        <v>0.97227334847035751</v>
      </c>
      <c r="U554" s="681">
        <f t="shared" si="283"/>
        <v>0.47839943935064749</v>
      </c>
      <c r="V554" s="682">
        <f t="shared" si="284"/>
        <v>-1.513012888264111</v>
      </c>
      <c r="W554" s="683">
        <f t="shared" si="272"/>
        <v>-32.370063112410492</v>
      </c>
      <c r="X554" s="684">
        <f t="shared" si="273"/>
        <v>-259.61537867769943</v>
      </c>
      <c r="Y554" s="687">
        <f t="shared" si="274"/>
        <v>-79.615378677699425</v>
      </c>
      <c r="AA554" s="170">
        <f t="shared" si="275"/>
        <v>87603.25</v>
      </c>
      <c r="AB554" s="170">
        <f t="shared" si="276"/>
        <v>7674329410.5625</v>
      </c>
      <c r="AD554" s="686">
        <f t="shared" si="277"/>
        <v>21.943852845565083</v>
      </c>
      <c r="AE554" s="687">
        <f t="shared" si="278"/>
        <v>-55.988455599455783</v>
      </c>
      <c r="AG554" s="686">
        <f t="shared" si="279"/>
        <v>3.6754457380954397</v>
      </c>
      <c r="AH554" s="687">
        <f t="shared" si="280"/>
        <v>-30.248417187265105</v>
      </c>
      <c r="AJ554" s="170">
        <f t="shared" si="281"/>
        <v>0</v>
      </c>
      <c r="AK554" s="170">
        <f t="shared" si="293"/>
        <v>0</v>
      </c>
      <c r="AM554" s="170" t="str">
        <f t="shared" si="285"/>
        <v>1.98696769863913+0.16091849440937i</v>
      </c>
      <c r="AN554" s="170" t="str">
        <f t="shared" si="286"/>
        <v>2.97997144853234i</v>
      </c>
      <c r="AO554" s="170" t="str">
        <f t="shared" si="287"/>
        <v>0.0540000121439498-0.666774072489093i</v>
      </c>
      <c r="AP554" s="170" t="str">
        <f t="shared" si="288"/>
        <v>-0.164494616439855-0.0268197490682283i</v>
      </c>
      <c r="AQ554" s="170" t="str">
        <f t="shared" si="289"/>
        <v>1.16449461643986+0.0268197490682283i</v>
      </c>
      <c r="AR554" s="170" t="str">
        <f t="shared" si="290"/>
        <v>0.714952536341757-0.016466239817408i</v>
      </c>
    </row>
    <row r="555" spans="7:44">
      <c r="G555" s="688">
        <v>88110.5</v>
      </c>
      <c r="H555" s="676">
        <f t="shared" si="282"/>
        <v>88.110500000000002</v>
      </c>
      <c r="I555" s="677">
        <f t="shared" si="262"/>
        <v>453.70309882233249</v>
      </c>
      <c r="J555" s="678">
        <f t="shared" si="263"/>
        <v>1.568592240439167</v>
      </c>
      <c r="K555" s="678">
        <f t="shared" si="264"/>
        <v>1.0013531534356659</v>
      </c>
      <c r="L555" s="679">
        <f t="shared" si="265"/>
        <v>5.1992871472250617E-2</v>
      </c>
      <c r="M555" s="678">
        <f t="shared" si="266"/>
        <v>1.1566878177587592</v>
      </c>
      <c r="N555" s="679">
        <f t="shared" si="267"/>
        <v>-0.52656694785717051</v>
      </c>
      <c r="O555" s="677">
        <f t="shared" si="268"/>
        <v>1660843.7951272512</v>
      </c>
      <c r="P555" s="680">
        <f t="shared" si="269"/>
        <v>1.5707957246913136</v>
      </c>
      <c r="Q555" s="689">
        <f t="shared" si="291"/>
        <v>204.83984234491871</v>
      </c>
      <c r="R555" s="690">
        <f t="shared" si="292"/>
        <v>1.5659144446342177</v>
      </c>
      <c r="S555" s="677">
        <f t="shared" si="270"/>
        <v>1.7818870432371512</v>
      </c>
      <c r="T555" s="680">
        <f t="shared" si="271"/>
        <v>0.97495801858490883</v>
      </c>
      <c r="U555" s="681">
        <f t="shared" si="283"/>
        <v>0.47580626889373934</v>
      </c>
      <c r="V555" s="682">
        <f t="shared" si="284"/>
        <v>-1.5191930714652735</v>
      </c>
      <c r="W555" s="683">
        <f t="shared" si="272"/>
        <v>-32.488968634480436</v>
      </c>
      <c r="X555" s="684">
        <f t="shared" si="273"/>
        <v>-260.24881476840915</v>
      </c>
      <c r="Y555" s="687">
        <f t="shared" si="274"/>
        <v>-80.248814768409147</v>
      </c>
      <c r="AA555" s="170">
        <f t="shared" si="275"/>
        <v>88110.5</v>
      </c>
      <c r="AB555" s="170">
        <f t="shared" si="276"/>
        <v>7763460210.25</v>
      </c>
      <c r="AD555" s="686">
        <f t="shared" si="277"/>
        <v>21.909559595264525</v>
      </c>
      <c r="AE555" s="687">
        <f t="shared" si="278"/>
        <v>-56.140656477395567</v>
      </c>
      <c r="AG555" s="686">
        <f t="shared" si="279"/>
        <v>3.6852535590046784</v>
      </c>
      <c r="AH555" s="687">
        <f t="shared" si="280"/>
        <v>-30.02145557113727</v>
      </c>
      <c r="AJ555" s="170">
        <f t="shared" si="281"/>
        <v>0</v>
      </c>
      <c r="AK555" s="170">
        <f t="shared" si="293"/>
        <v>0</v>
      </c>
      <c r="AM555" s="170" t="str">
        <f t="shared" si="285"/>
        <v>1.98959727984836+0.143865297124495i</v>
      </c>
      <c r="AN555" s="170" t="str">
        <f t="shared" si="286"/>
        <v>2.99722640787766i</v>
      </c>
      <c r="AO555" s="170" t="str">
        <f t="shared" si="287"/>
        <v>0.0479994760310304-0.663812808608342i</v>
      </c>
      <c r="AP555" s="170" t="str">
        <f t="shared" si="288"/>
        <v>-0.164932879974727-0.0239775495207492i</v>
      </c>
      <c r="AQ555" s="170" t="str">
        <f t="shared" si="289"/>
        <v>1.16493287997473+0.0239775495207492i</v>
      </c>
      <c r="AR555" s="170" t="str">
        <f t="shared" si="290"/>
        <v>0.714759848261369-0.014711740008147i</v>
      </c>
    </row>
    <row r="556" spans="7:44">
      <c r="G556" s="688">
        <v>88617.75</v>
      </c>
      <c r="H556" s="676">
        <f t="shared" si="282"/>
        <v>88.617750000000001</v>
      </c>
      <c r="I556" s="677">
        <f t="shared" si="262"/>
        <v>456.31504384654085</v>
      </c>
      <c r="J556" s="678">
        <f t="shared" si="263"/>
        <v>1.5686048566386763</v>
      </c>
      <c r="K556" s="678">
        <f t="shared" si="264"/>
        <v>1.0013687677466263</v>
      </c>
      <c r="L556" s="679">
        <f t="shared" si="265"/>
        <v>5.2291649373309886E-2</v>
      </c>
      <c r="M556" s="678">
        <f t="shared" si="266"/>
        <v>1.1583733332613519</v>
      </c>
      <c r="N556" s="679">
        <f t="shared" si="267"/>
        <v>-0.52906465426136606</v>
      </c>
      <c r="O556" s="677">
        <f t="shared" si="268"/>
        <v>1670405.2323575246</v>
      </c>
      <c r="P556" s="680">
        <f t="shared" si="269"/>
        <v>1.570795728137768</v>
      </c>
      <c r="Q556" s="689">
        <f t="shared" si="291"/>
        <v>206.01907229812147</v>
      </c>
      <c r="R556" s="690">
        <f t="shared" si="292"/>
        <v>1.5659423881976469</v>
      </c>
      <c r="S556" s="677">
        <f t="shared" si="270"/>
        <v>1.788920838529753</v>
      </c>
      <c r="T556" s="680">
        <f t="shared" si="271"/>
        <v>0.97762159625046896</v>
      </c>
      <c r="U556" s="681">
        <f t="shared" si="283"/>
        <v>0.47322463498873402</v>
      </c>
      <c r="V556" s="682">
        <f t="shared" si="284"/>
        <v>-1.5253694890878018</v>
      </c>
      <c r="W556" s="683">
        <f t="shared" si="272"/>
        <v>-32.607522770451482</v>
      </c>
      <c r="X556" s="684">
        <f t="shared" si="273"/>
        <v>-260.88042051693816</v>
      </c>
      <c r="Y556" s="687">
        <f t="shared" si="274"/>
        <v>-80.880420516938159</v>
      </c>
      <c r="AA556" s="170">
        <f t="shared" si="275"/>
        <v>88617.75</v>
      </c>
      <c r="AB556" s="170">
        <f t="shared" si="276"/>
        <v>7853105615.0625</v>
      </c>
      <c r="AD556" s="686">
        <f t="shared" si="277"/>
        <v>21.875339351451121</v>
      </c>
      <c r="AE556" s="687">
        <f t="shared" si="278"/>
        <v>-56.291667385428276</v>
      </c>
      <c r="AG556" s="686">
        <f t="shared" si="279"/>
        <v>3.6954322581857828</v>
      </c>
      <c r="AH556" s="687">
        <f t="shared" si="280"/>
        <v>-29.7942850862627</v>
      </c>
      <c r="AJ556" s="170">
        <f t="shared" si="281"/>
        <v>0</v>
      </c>
      <c r="AK556" s="170">
        <f t="shared" si="293"/>
        <v>0</v>
      </c>
      <c r="AM556" s="170" t="str">
        <f t="shared" si="285"/>
        <v>1.99193223198533+0.126769267366364i</v>
      </c>
      <c r="AN556" s="170" t="str">
        <f t="shared" si="286"/>
        <v>3.01448136722298i</v>
      </c>
      <c r="AO556" s="170" t="str">
        <f t="shared" si="287"/>
        <v>0.0420534254232751-0.660787707512139i</v>
      </c>
      <c r="AP556" s="170" t="str">
        <f t="shared" si="288"/>
        <v>-0.165322038664221-0.0211282112277273i</v>
      </c>
      <c r="AQ556" s="170" t="str">
        <f t="shared" si="289"/>
        <v>1.16532203866422+0.0211282112277273i</v>
      </c>
      <c r="AR556" s="170" t="str">
        <f t="shared" si="290"/>
        <v>0.714588958178528-0.012956063601701i</v>
      </c>
    </row>
    <row r="557" spans="7:44">
      <c r="G557" s="688">
        <v>89125</v>
      </c>
      <c r="H557" s="676">
        <f t="shared" si="282"/>
        <v>89.125</v>
      </c>
      <c r="I557" s="677">
        <f t="shared" si="262"/>
        <v>458.92698894255335</v>
      </c>
      <c r="J557" s="678">
        <f t="shared" si="263"/>
        <v>1.5686173292300705</v>
      </c>
      <c r="K557" s="678">
        <f t="shared" si="264"/>
        <v>1.001384471445216</v>
      </c>
      <c r="L557" s="679">
        <f t="shared" si="265"/>
        <v>5.2590417930176492E-2</v>
      </c>
      <c r="M557" s="678">
        <f t="shared" si="266"/>
        <v>1.1600660542932997</v>
      </c>
      <c r="N557" s="679">
        <f t="shared" si="267"/>
        <v>-0.53155508706207499</v>
      </c>
      <c r="O557" s="677">
        <f t="shared" si="268"/>
        <v>1679966.6695877977</v>
      </c>
      <c r="P557" s="680">
        <f t="shared" si="269"/>
        <v>1.5707957315449919</v>
      </c>
      <c r="Q557" s="689">
        <f t="shared" si="291"/>
        <v>207.19830241036163</v>
      </c>
      <c r="R557" s="690">
        <f t="shared" si="292"/>
        <v>1.5659700136900412</v>
      </c>
      <c r="S557" s="677">
        <f t="shared" si="270"/>
        <v>1.7959672261171076</v>
      </c>
      <c r="T557" s="680">
        <f t="shared" si="271"/>
        <v>0.98026429171520035</v>
      </c>
      <c r="U557" s="681">
        <f t="shared" si="283"/>
        <v>0.47065437644158192</v>
      </c>
      <c r="V557" s="682">
        <f t="shared" si="284"/>
        <v>-1.5315425924100217</v>
      </c>
      <c r="W557" s="683">
        <f t="shared" si="272"/>
        <v>-32.72573115797401</v>
      </c>
      <c r="X557" s="684">
        <f t="shared" si="273"/>
        <v>-261.51023369041349</v>
      </c>
      <c r="Y557" s="687">
        <f t="shared" si="274"/>
        <v>-81.510233690413486</v>
      </c>
      <c r="AA557" s="170">
        <f t="shared" si="275"/>
        <v>89125</v>
      </c>
      <c r="AB557" s="170">
        <f t="shared" si="276"/>
        <v>7943265625</v>
      </c>
      <c r="AD557" s="686">
        <f t="shared" si="277"/>
        <v>21.841192508143955</v>
      </c>
      <c r="AE557" s="687">
        <f t="shared" si="278"/>
        <v>-56.441500053365331</v>
      </c>
      <c r="AG557" s="686">
        <f t="shared" si="279"/>
        <v>3.7059804552313524</v>
      </c>
      <c r="AH557" s="687">
        <f t="shared" si="280"/>
        <v>-29.566880057269838</v>
      </c>
      <c r="AJ557" s="170">
        <f t="shared" si="281"/>
        <v>0</v>
      </c>
      <c r="AK557" s="170">
        <f t="shared" si="293"/>
        <v>0</v>
      </c>
      <c r="AM557" s="170" t="str">
        <f t="shared" si="285"/>
        <v>1.99397185987352+0.10963549507154i</v>
      </c>
      <c r="AN557" s="170" t="str">
        <f t="shared" si="286"/>
        <v>3.03173632656831i</v>
      </c>
      <c r="AO557" s="170" t="str">
        <f t="shared" si="287"/>
        <v>0.0361626089019552-0.657699629878612i</v>
      </c>
      <c r="AP557" s="170" t="str">
        <f t="shared" si="288"/>
        <v>-0.165661976645586-0.0182725825119233i</v>
      </c>
      <c r="AQ557" s="170" t="str">
        <f t="shared" si="289"/>
        <v>1.16566197664559+0.0182725825119233i</v>
      </c>
      <c r="AR557" s="170" t="str">
        <f t="shared" si="290"/>
        <v>0.714439842396543-0.0111993538706337i</v>
      </c>
    </row>
    <row r="558" spans="7:44">
      <c r="G558" s="688">
        <v>89644</v>
      </c>
      <c r="H558" s="676">
        <f t="shared" si="282"/>
        <v>89.644000000000005</v>
      </c>
      <c r="I558" s="677">
        <f t="shared" si="262"/>
        <v>461.59943752191987</v>
      </c>
      <c r="J558" s="678">
        <f t="shared" si="263"/>
        <v>1.5686299446442362</v>
      </c>
      <c r="K558" s="678">
        <f t="shared" si="264"/>
        <v>1.0014006314192718</v>
      </c>
      <c r="L558" s="679">
        <f t="shared" si="265"/>
        <v>5.2896097471276819E-2</v>
      </c>
      <c r="M558" s="678">
        <f t="shared" si="266"/>
        <v>1.1618054106958258</v>
      </c>
      <c r="N558" s="679">
        <f t="shared" si="267"/>
        <v>-0.53409568127501161</v>
      </c>
      <c r="O558" s="677">
        <f t="shared" si="268"/>
        <v>1689749.5890998961</v>
      </c>
      <c r="P558" s="680">
        <f t="shared" si="269"/>
        <v>1.5707957349912314</v>
      </c>
      <c r="Q558" s="689">
        <f t="shared" si="291"/>
        <v>208.4048485125218</v>
      </c>
      <c r="R558" s="690">
        <f t="shared" si="292"/>
        <v>1.5659979555259831</v>
      </c>
      <c r="S558" s="677">
        <f t="shared" si="270"/>
        <v>1.8031897163088657</v>
      </c>
      <c r="T558" s="680">
        <f t="shared" si="271"/>
        <v>0.98294680658489519</v>
      </c>
      <c r="U558" s="681">
        <f t="shared" si="283"/>
        <v>0.46803618471412206</v>
      </c>
      <c r="V558" s="682">
        <f t="shared" si="284"/>
        <v>-1.537855730094992</v>
      </c>
      <c r="W558" s="683">
        <f t="shared" si="272"/>
        <v>-32.846325794386239</v>
      </c>
      <c r="X558" s="684">
        <f t="shared" si="273"/>
        <v>-262.15281985293637</v>
      </c>
      <c r="Y558" s="687">
        <f t="shared" si="274"/>
        <v>-82.152819852936375</v>
      </c>
      <c r="AA558" s="170">
        <f t="shared" si="275"/>
        <v>89644</v>
      </c>
      <c r="AB558" s="170">
        <f t="shared" si="276"/>
        <v>8036046736</v>
      </c>
      <c r="AD558" s="686">
        <f t="shared" si="277"/>
        <v>21.80633104487892</v>
      </c>
      <c r="AE558" s="687">
        <f t="shared" si="278"/>
        <v>-56.593596082237411</v>
      </c>
      <c r="AG558" s="686">
        <f t="shared" si="279"/>
        <v>3.7171541193754059</v>
      </c>
      <c r="AH558" s="687">
        <f t="shared" si="280"/>
        <v>-29.333937900426466</v>
      </c>
      <c r="AJ558" s="170">
        <f t="shared" si="281"/>
        <v>0</v>
      </c>
      <c r="AK558" s="170">
        <f t="shared" si="293"/>
        <v>0</v>
      </c>
      <c r="AM558" s="170" t="str">
        <f t="shared" si="285"/>
        <v>1.99575243624267+0.0920710905594048i</v>
      </c>
      <c r="AN558" s="170" t="str">
        <f t="shared" si="286"/>
        <v>3.04939098186692i</v>
      </c>
      <c r="AO558" s="170" t="str">
        <f t="shared" si="287"/>
        <v>0.0301932717407842-0.654475745521099i</v>
      </c>
      <c r="AP558" s="170" t="str">
        <f t="shared" si="288"/>
        <v>-0.165958739373778-0.0153451817599008i</v>
      </c>
      <c r="AQ558" s="170" t="str">
        <f t="shared" si="289"/>
        <v>1.16595873937378+0.0153451817599008i</v>
      </c>
      <c r="AR558" s="170" t="str">
        <f t="shared" si="290"/>
        <v>0.714309787606631-0.00940103037401393i</v>
      </c>
    </row>
    <row r="559" spans="7:44">
      <c r="G559" s="688">
        <v>90163</v>
      </c>
      <c r="H559" s="676">
        <f t="shared" si="282"/>
        <v>90.162999999999997</v>
      </c>
      <c r="I559" s="677">
        <f t="shared" si="262"/>
        <v>464.27188617390351</v>
      </c>
      <c r="J559" s="678">
        <f t="shared" si="263"/>
        <v>1.5686424148243392</v>
      </c>
      <c r="K559" s="678">
        <f t="shared" si="264"/>
        <v>1.0014168849611595</v>
      </c>
      <c r="L559" s="679">
        <f t="shared" si="265"/>
        <v>5.3201767118246999E-2</v>
      </c>
      <c r="M559" s="678">
        <f t="shared" si="266"/>
        <v>1.1635522436613348</v>
      </c>
      <c r="N559" s="679">
        <f t="shared" si="267"/>
        <v>-0.53662866344340754</v>
      </c>
      <c r="O559" s="677">
        <f t="shared" si="268"/>
        <v>1699532.5086119946</v>
      </c>
      <c r="P559" s="680">
        <f t="shared" si="269"/>
        <v>1.5707957383977962</v>
      </c>
      <c r="Q559" s="689">
        <f t="shared" si="291"/>
        <v>209.61139477552004</v>
      </c>
      <c r="R559" s="690">
        <f t="shared" si="292"/>
        <v>1.5660255756893788</v>
      </c>
      <c r="S559" s="677">
        <f t="shared" si="270"/>
        <v>1.8104250784650728</v>
      </c>
      <c r="T559" s="680">
        <f t="shared" si="271"/>
        <v>0.98560789913986158</v>
      </c>
      <c r="U559" s="681">
        <f t="shared" si="283"/>
        <v>0.46542955721841911</v>
      </c>
      <c r="V559" s="682">
        <f t="shared" si="284"/>
        <v>-1.5441663525472273</v>
      </c>
      <c r="W559" s="683">
        <f t="shared" si="272"/>
        <v>-32.966570512978336</v>
      </c>
      <c r="X559" s="684">
        <f t="shared" si="273"/>
        <v>-262.79360903078918</v>
      </c>
      <c r="Y559" s="687">
        <f t="shared" si="274"/>
        <v>-82.793609030789185</v>
      </c>
      <c r="AA559" s="170">
        <f t="shared" si="275"/>
        <v>90163</v>
      </c>
      <c r="AB559" s="170">
        <f t="shared" si="276"/>
        <v>8129366569</v>
      </c>
      <c r="AD559" s="686">
        <f t="shared" si="277"/>
        <v>21.771547196195353</v>
      </c>
      <c r="AE559" s="687">
        <f t="shared" si="278"/>
        <v>-56.744483131092821</v>
      </c>
      <c r="AG559" s="686">
        <f t="shared" si="279"/>
        <v>3.7287120754896859</v>
      </c>
      <c r="AH559" s="687">
        <f t="shared" si="280"/>
        <v>-29.10069596337037</v>
      </c>
      <c r="AJ559" s="170">
        <f t="shared" si="281"/>
        <v>0</v>
      </c>
      <c r="AK559" s="170">
        <f t="shared" si="293"/>
        <v>0</v>
      </c>
      <c r="AM559" s="170" t="str">
        <f t="shared" si="285"/>
        <v>1.99722265772914+0.0744779894441098i</v>
      </c>
      <c r="AN559" s="170" t="str">
        <f t="shared" si="286"/>
        <v>3.06704563716553i</v>
      </c>
      <c r="AO559" s="170" t="str">
        <f t="shared" si="287"/>
        <v>0.0242833000401455-0.651187785902955i</v>
      </c>
      <c r="AP559" s="170" t="str">
        <f t="shared" si="288"/>
        <v>-0.166203776288189-0.012412998240685i</v>
      </c>
      <c r="AQ559" s="170" t="str">
        <f t="shared" si="289"/>
        <v>1.16620377628819+0.012412998240685i</v>
      </c>
      <c r="AR559" s="170" t="str">
        <f t="shared" si="290"/>
        <v>0.714202486947217-0.00760192549040234i</v>
      </c>
    </row>
    <row r="560" spans="7:44">
      <c r="G560" s="688">
        <v>90682</v>
      </c>
      <c r="H560" s="676">
        <f t="shared" si="282"/>
        <v>90.682000000000002</v>
      </c>
      <c r="I560" s="677">
        <f t="shared" si="262"/>
        <v>466.94433489725753</v>
      </c>
      <c r="J560" s="678">
        <f t="shared" si="263"/>
        <v>1.5686547422640171</v>
      </c>
      <c r="K560" s="678">
        <f t="shared" si="264"/>
        <v>1.0014332320663228</v>
      </c>
      <c r="L560" s="679">
        <f t="shared" si="265"/>
        <v>5.3507426814450365E-2</v>
      </c>
      <c r="M560" s="678">
        <f t="shared" si="266"/>
        <v>1.1653065195669829</v>
      </c>
      <c r="N560" s="679">
        <f t="shared" si="267"/>
        <v>-0.53915403536928608</v>
      </c>
      <c r="O560" s="677">
        <f t="shared" si="268"/>
        <v>1709315.4281240925</v>
      </c>
      <c r="P560" s="680">
        <f t="shared" si="269"/>
        <v>1.5707957417653675</v>
      </c>
      <c r="Q560" s="689">
        <f t="shared" si="291"/>
        <v>210.81794119659494</v>
      </c>
      <c r="R560" s="690">
        <f t="shared" si="292"/>
        <v>1.5660528797031441</v>
      </c>
      <c r="S560" s="677">
        <f t="shared" si="270"/>
        <v>1.8176731588727471</v>
      </c>
      <c r="T560" s="680">
        <f t="shared" si="271"/>
        <v>0.98824778773366395</v>
      </c>
      <c r="U560" s="681">
        <f t="shared" si="283"/>
        <v>0.4628343185017379</v>
      </c>
      <c r="V560" s="682">
        <f t="shared" si="284"/>
        <v>-1.550474941847543</v>
      </c>
      <c r="W560" s="683">
        <f t="shared" si="272"/>
        <v>-33.086471450489043</v>
      </c>
      <c r="X560" s="684">
        <f t="shared" si="273"/>
        <v>-263.43264128887324</v>
      </c>
      <c r="Y560" s="687">
        <f t="shared" si="274"/>
        <v>-83.432641288873242</v>
      </c>
      <c r="AA560" s="170">
        <f t="shared" si="275"/>
        <v>90682</v>
      </c>
      <c r="AB560" s="170">
        <f t="shared" si="276"/>
        <v>8223225124</v>
      </c>
      <c r="AD560" s="686">
        <f t="shared" si="277"/>
        <v>21.736841323997137</v>
      </c>
      <c r="AE560" s="687">
        <f t="shared" si="278"/>
        <v>-56.894173394268563</v>
      </c>
      <c r="AG560" s="686">
        <f t="shared" si="279"/>
        <v>3.7406532508535779</v>
      </c>
      <c r="AH560" s="687">
        <f t="shared" si="280"/>
        <v>-28.867126874273708</v>
      </c>
      <c r="AJ560" s="170">
        <f t="shared" si="281"/>
        <v>0</v>
      </c>
      <c r="AK560" s="170">
        <f t="shared" si="293"/>
        <v>0</v>
      </c>
      <c r="AM560" s="170" t="str">
        <f t="shared" si="285"/>
        <v>1.99838206609613+0.0568616751215509i</v>
      </c>
      <c r="AN560" s="170" t="str">
        <f t="shared" si="286"/>
        <v>3.08470029246415i</v>
      </c>
      <c r="AO560" s="170" t="str">
        <f t="shared" si="287"/>
        <v>0.0184334521121753-0.647836702637896i</v>
      </c>
      <c r="AP560" s="170" t="str">
        <f t="shared" si="288"/>
        <v>-0.166397011016021-0.00947694585359182i</v>
      </c>
      <c r="AQ560" s="170" t="str">
        <f t="shared" si="289"/>
        <v>1.16639701101602+0.00947694585359182i</v>
      </c>
      <c r="AR560" s="170" t="str">
        <f t="shared" si="290"/>
        <v>0.714117924766747-0.00580218985660695i</v>
      </c>
    </row>
    <row r="561" spans="7:44">
      <c r="G561" s="688">
        <v>91201</v>
      </c>
      <c r="H561" s="676">
        <f t="shared" si="282"/>
        <v>91.200999999999993</v>
      </c>
      <c r="I561" s="677">
        <f t="shared" si="262"/>
        <v>469.61678369076355</v>
      </c>
      <c r="J561" s="678">
        <f t="shared" si="263"/>
        <v>1.5686669294001452</v>
      </c>
      <c r="K561" s="678">
        <f t="shared" si="264"/>
        <v>1.0014496727301805</v>
      </c>
      <c r="L561" s="679">
        <f t="shared" si="265"/>
        <v>5.381307650326133E-2</v>
      </c>
      <c r="M561" s="678">
        <f t="shared" si="266"/>
        <v>1.1670682048492551</v>
      </c>
      <c r="N561" s="679">
        <f t="shared" si="267"/>
        <v>-0.54167179923213105</v>
      </c>
      <c r="O561" s="677">
        <f t="shared" si="268"/>
        <v>1719098.3476361909</v>
      </c>
      <c r="P561" s="680">
        <f t="shared" si="269"/>
        <v>1.5707957450946108</v>
      </c>
      <c r="Q561" s="689">
        <f t="shared" si="291"/>
        <v>212.02448777304778</v>
      </c>
      <c r="R561" s="690">
        <f t="shared" si="292"/>
        <v>1.5660798729644811</v>
      </c>
      <c r="S561" s="677">
        <f t="shared" si="270"/>
        <v>1.8249338059928484</v>
      </c>
      <c r="T561" s="680">
        <f t="shared" si="271"/>
        <v>0.99086668843623349</v>
      </c>
      <c r="U561" s="681">
        <f t="shared" si="283"/>
        <v>0.46025029223439534</v>
      </c>
      <c r="V561" s="682">
        <f t="shared" si="284"/>
        <v>-1.556781979780012</v>
      </c>
      <c r="W561" s="683">
        <f t="shared" si="272"/>
        <v>-33.206034780053386</v>
      </c>
      <c r="X561" s="684">
        <f t="shared" si="273"/>
        <v>-264.06995656982139</v>
      </c>
      <c r="Y561" s="687">
        <f t="shared" si="274"/>
        <v>-84.069956569821386</v>
      </c>
      <c r="AA561" s="170">
        <f t="shared" si="275"/>
        <v>91201</v>
      </c>
      <c r="AB561" s="170">
        <f t="shared" si="276"/>
        <v>8317622401</v>
      </c>
      <c r="AD561" s="686">
        <f t="shared" si="277"/>
        <v>21.702213770966353</v>
      </c>
      <c r="AE561" s="687">
        <f t="shared" si="278"/>
        <v>-57.042678942461023</v>
      </c>
      <c r="AG561" s="686">
        <f t="shared" si="279"/>
        <v>3.7529767086162047</v>
      </c>
      <c r="AH561" s="687">
        <f t="shared" si="280"/>
        <v>-28.63320329668473</v>
      </c>
      <c r="AJ561" s="170">
        <f t="shared" si="281"/>
        <v>0</v>
      </c>
      <c r="AK561" s="170">
        <f t="shared" si="293"/>
        <v>0</v>
      </c>
      <c r="AM561" s="170" t="str">
        <f t="shared" si="285"/>
        <v>1.99923029998067+0.0392276382227184i</v>
      </c>
      <c r="AN561" s="170" t="str">
        <f t="shared" si="286"/>
        <v>3.10235494776276i</v>
      </c>
      <c r="AO561" s="170" t="str">
        <f t="shared" si="287"/>
        <v>0.0126444713397502-0.644423456904053i</v>
      </c>
      <c r="AP561" s="170" t="str">
        <f t="shared" si="288"/>
        <v>-0.166538383330112-0.0065379397037864i</v>
      </c>
      <c r="AQ561" s="170" t="str">
        <f t="shared" si="289"/>
        <v>1.16653838333011+0.0065379397037864i</v>
      </c>
      <c r="AR561" s="170" t="str">
        <f t="shared" si="290"/>
        <v>0.714056088716876-0.00400197346256663i</v>
      </c>
    </row>
    <row r="562" spans="7:44">
      <c r="G562" s="688">
        <v>91732</v>
      </c>
      <c r="H562" s="676">
        <f t="shared" si="282"/>
        <v>91.731999999999999</v>
      </c>
      <c r="I562" s="677">
        <f t="shared" si="262"/>
        <v>472.35102327918071</v>
      </c>
      <c r="J562" s="678">
        <f t="shared" si="263"/>
        <v>1.568679255596328</v>
      </c>
      <c r="K562" s="678">
        <f t="shared" si="264"/>
        <v>1.001466590348701</v>
      </c>
      <c r="L562" s="679">
        <f t="shared" si="265"/>
        <v>5.4125782820711232E-2</v>
      </c>
      <c r="M562" s="678">
        <f t="shared" si="266"/>
        <v>1.1688782561287083</v>
      </c>
      <c r="N562" s="679">
        <f t="shared" si="267"/>
        <v>-0.54423990599219307</v>
      </c>
      <c r="O562" s="677">
        <f t="shared" si="268"/>
        <v>1729107.4618190893</v>
      </c>
      <c r="P562" s="680">
        <f t="shared" si="269"/>
        <v>1.570795748461842</v>
      </c>
      <c r="Q562" s="689">
        <f t="shared" si="291"/>
        <v>213.25893153822796</v>
      </c>
      <c r="R562" s="690">
        <f t="shared" si="292"/>
        <v>1.5661071742351966</v>
      </c>
      <c r="S562" s="677">
        <f t="shared" si="270"/>
        <v>1.8323751794602683</v>
      </c>
      <c r="T562" s="680">
        <f t="shared" si="271"/>
        <v>0.9935246433147098</v>
      </c>
      <c r="U562" s="681">
        <f t="shared" si="283"/>
        <v>0.45761793922463784</v>
      </c>
      <c r="V562" s="682">
        <f t="shared" si="284"/>
        <v>-1.5632337418196334</v>
      </c>
      <c r="W562" s="683">
        <f t="shared" si="272"/>
        <v>-33.32801965063873</v>
      </c>
      <c r="X562" s="684">
        <f t="shared" si="273"/>
        <v>-264.72027201336351</v>
      </c>
      <c r="Y562" s="687">
        <f t="shared" si="274"/>
        <v>-84.720272013363513</v>
      </c>
      <c r="AA562" s="170">
        <f t="shared" si="275"/>
        <v>91732</v>
      </c>
      <c r="AB562" s="170">
        <f t="shared" si="276"/>
        <v>8414759824</v>
      </c>
      <c r="AD562" s="686">
        <f t="shared" si="277"/>
        <v>21.666866975013491</v>
      </c>
      <c r="AE562" s="687">
        <f t="shared" si="278"/>
        <v>-57.193404484646969</v>
      </c>
      <c r="AG562" s="686">
        <f t="shared" si="279"/>
        <v>3.7659799098575353</v>
      </c>
      <c r="AH562" s="687">
        <f t="shared" si="280"/>
        <v>-28.39347572661012</v>
      </c>
      <c r="AJ562" s="170">
        <f t="shared" si="281"/>
        <v>0</v>
      </c>
      <c r="AK562" s="170">
        <f t="shared" si="293"/>
        <v>0</v>
      </c>
      <c r="AM562" s="170" t="str">
        <f t="shared" si="285"/>
        <v>1.99977582123166+0.0211732680649594i</v>
      </c>
      <c r="AN562" s="170" t="str">
        <f t="shared" si="286"/>
        <v>3.12041780318389i</v>
      </c>
      <c r="AO562" s="170" t="str">
        <f t="shared" si="287"/>
        <v>0.00678539522603526-0.640867969408201i</v>
      </c>
      <c r="AP562" s="170" t="str">
        <f t="shared" si="288"/>
        <v>-0.166629303538611-0.00352887801082657i</v>
      </c>
      <c r="AQ562" s="170" t="str">
        <f t="shared" si="289"/>
        <v>1.16662930353861+0.00352887801082657i</v>
      </c>
      <c r="AR562" s="170" t="str">
        <f t="shared" si="290"/>
        <v>0.714016333921298-0.0021597919171953i</v>
      </c>
    </row>
    <row r="563" spans="7:44">
      <c r="G563" s="688">
        <v>92263</v>
      </c>
      <c r="H563" s="676">
        <f t="shared" si="282"/>
        <v>92.263000000000005</v>
      </c>
      <c r="I563" s="677">
        <f t="shared" si="262"/>
        <v>475.08526293853845</v>
      </c>
      <c r="J563" s="678">
        <f t="shared" si="263"/>
        <v>1.5686914399115615</v>
      </c>
      <c r="K563" s="678">
        <f t="shared" si="264"/>
        <v>1.0014836058925594</v>
      </c>
      <c r="L563" s="679">
        <f t="shared" si="265"/>
        <v>5.4438478542765928E-2</v>
      </c>
      <c r="M563" s="678">
        <f t="shared" si="266"/>
        <v>1.1706959924939604</v>
      </c>
      <c r="N563" s="679">
        <f t="shared" si="267"/>
        <v>-0.54680005460904746</v>
      </c>
      <c r="O563" s="677">
        <f t="shared" si="268"/>
        <v>1739116.5760019878</v>
      </c>
      <c r="P563" s="680">
        <f t="shared" si="269"/>
        <v>1.5707957517903146</v>
      </c>
      <c r="Q563" s="689">
        <f t="shared" si="291"/>
        <v>214.49337546053306</v>
      </c>
      <c r="R563" s="690">
        <f t="shared" si="292"/>
        <v>1.5661341612595119</v>
      </c>
      <c r="S563" s="677">
        <f t="shared" si="270"/>
        <v>1.8398293933832381</v>
      </c>
      <c r="T563" s="680">
        <f t="shared" si="271"/>
        <v>0.99616107886567662</v>
      </c>
      <c r="U563" s="681">
        <f t="shared" si="283"/>
        <v>0.4549969470424251</v>
      </c>
      <c r="V563" s="682">
        <f t="shared" si="284"/>
        <v>-1.569684899575285</v>
      </c>
      <c r="W563" s="683">
        <f t="shared" si="272"/>
        <v>-33.449664318148535</v>
      </c>
      <c r="X563" s="684">
        <f t="shared" si="273"/>
        <v>-265.36887437998342</v>
      </c>
      <c r="Y563" s="687">
        <f t="shared" si="274"/>
        <v>-85.368874379983424</v>
      </c>
      <c r="AA563" s="170">
        <f t="shared" si="275"/>
        <v>92263</v>
      </c>
      <c r="AB563" s="170">
        <f t="shared" si="276"/>
        <v>8512461169</v>
      </c>
      <c r="AD563" s="686">
        <f t="shared" si="277"/>
        <v>21.631602828091019</v>
      </c>
      <c r="AE563" s="687">
        <f t="shared" si="278"/>
        <v>-57.342915062959001</v>
      </c>
      <c r="AG563" s="686">
        <f t="shared" si="279"/>
        <v>3.7793817258123052</v>
      </c>
      <c r="AH563" s="687">
        <f t="shared" si="280"/>
        <v>-28.153319289329385</v>
      </c>
      <c r="AJ563" s="170">
        <f t="shared" si="281"/>
        <v>0</v>
      </c>
      <c r="AK563" s="170">
        <f t="shared" si="293"/>
        <v>0</v>
      </c>
      <c r="AM563" s="170" t="str">
        <f t="shared" si="285"/>
        <v>1.99999515774752+0.00311198996175978i</v>
      </c>
      <c r="AN563" s="170" t="str">
        <f t="shared" si="286"/>
        <v>3.13848065860501i</v>
      </c>
      <c r="AO563" s="170" t="str">
        <f t="shared" si="287"/>
        <v>0.000991559388211427-0.637249476833315i</v>
      </c>
      <c r="AP563" s="170" t="str">
        <f t="shared" si="288"/>
        <v>-0.166665859624586-0.00051866499362663i</v>
      </c>
      <c r="AQ563" s="170" t="str">
        <f t="shared" si="289"/>
        <v>1.16666585962459+0.00051866499362663i</v>
      </c>
      <c r="AR563" s="170" t="str">
        <f t="shared" si="290"/>
        <v>0.714000352793097-0.000317423352518438i</v>
      </c>
    </row>
    <row r="564" spans="7:44">
      <c r="G564" s="688">
        <v>92794</v>
      </c>
      <c r="H564" s="676">
        <f t="shared" si="282"/>
        <v>92.793999999999997</v>
      </c>
      <c r="I564" s="677">
        <f t="shared" si="262"/>
        <v>477.81950266761902</v>
      </c>
      <c r="J564" s="678">
        <f t="shared" si="263"/>
        <v>1.56870348478151</v>
      </c>
      <c r="K564" s="678">
        <f t="shared" si="264"/>
        <v>1.001500719356764</v>
      </c>
      <c r="L564" s="679">
        <f t="shared" si="265"/>
        <v>5.475116360881712E-2</v>
      </c>
      <c r="M564" s="678">
        <f t="shared" si="266"/>
        <v>1.1725213782029091</v>
      </c>
      <c r="N564" s="679">
        <f t="shared" si="267"/>
        <v>-0.54935224861254028</v>
      </c>
      <c r="O564" s="677">
        <f t="shared" si="268"/>
        <v>1749125.6901848861</v>
      </c>
      <c r="P564" s="680">
        <f t="shared" si="269"/>
        <v>1.5707957550806935</v>
      </c>
      <c r="Q564" s="689">
        <f t="shared" si="291"/>
        <v>215.72781953726576</v>
      </c>
      <c r="R564" s="690">
        <f t="shared" si="292"/>
        <v>1.5661608394319571</v>
      </c>
      <c r="S564" s="677">
        <f t="shared" si="270"/>
        <v>1.8472962923202634</v>
      </c>
      <c r="T564" s="680">
        <f t="shared" si="271"/>
        <v>0.99877621916335269</v>
      </c>
      <c r="U564" s="681">
        <f t="shared" si="283"/>
        <v>0.45238712417447319</v>
      </c>
      <c r="V564" s="682">
        <f t="shared" si="284"/>
        <v>-1.5761359685244498</v>
      </c>
      <c r="W564" s="683">
        <f t="shared" si="272"/>
        <v>-33.570975523589674</v>
      </c>
      <c r="X564" s="684">
        <f t="shared" si="273"/>
        <v>-266.01580607909779</v>
      </c>
      <c r="Y564" s="687">
        <f t="shared" si="274"/>
        <v>-86.015806079097786</v>
      </c>
      <c r="AA564" s="170">
        <f t="shared" si="275"/>
        <v>92794</v>
      </c>
      <c r="AB564" s="170">
        <f t="shared" si="276"/>
        <v>8610726436</v>
      </c>
      <c r="AD564" s="686">
        <f t="shared" si="277"/>
        <v>21.596421638038841</v>
      </c>
      <c r="AE564" s="687">
        <f t="shared" si="278"/>
        <v>-57.491223206858479</v>
      </c>
      <c r="AG564" s="686">
        <f t="shared" si="279"/>
        <v>3.7931815929703228</v>
      </c>
      <c r="AH564" s="687">
        <f t="shared" si="280"/>
        <v>-27.912704795429477</v>
      </c>
      <c r="AJ564" s="170">
        <f t="shared" si="281"/>
        <v>0</v>
      </c>
      <c r="AK564" s="170">
        <f t="shared" si="293"/>
        <v>0</v>
      </c>
      <c r="AM564" s="170" t="str">
        <f t="shared" si="285"/>
        <v>1.99988823796796-0.0149503034526823i</v>
      </c>
      <c r="AN564" s="170" t="str">
        <f t="shared" si="286"/>
        <v>3.15654351402614i</v>
      </c>
      <c r="AO564" s="170" t="str">
        <f t="shared" si="287"/>
        <v>-0.0047362893577264-0.63356903812079i</v>
      </c>
      <c r="AP564" s="170" t="str">
        <f t="shared" si="288"/>
        <v>-0.166648039661327+0.00249171724211372i</v>
      </c>
      <c r="AQ564" s="170" t="str">
        <f t="shared" si="289"/>
        <v>1.16664803966133-0.00249171724211372i</v>
      </c>
      <c r="AR564" s="170" t="str">
        <f t="shared" si="290"/>
        <v>0.714008142885206+0.00152497269112382i</v>
      </c>
    </row>
    <row r="565" spans="7:44">
      <c r="G565" s="688">
        <v>93325</v>
      </c>
      <c r="H565" s="676">
        <f t="shared" si="282"/>
        <v>93.325000000000003</v>
      </c>
      <c r="I565" s="677">
        <f t="shared" si="262"/>
        <v>480.55374246523223</v>
      </c>
      <c r="J565" s="678">
        <f t="shared" si="263"/>
        <v>1.5687153925864044</v>
      </c>
      <c r="K565" s="678">
        <f t="shared" si="264"/>
        <v>1.0015179307362958</v>
      </c>
      <c r="L565" s="679">
        <f t="shared" si="265"/>
        <v>5.5063837958268996E-2</v>
      </c>
      <c r="M565" s="678">
        <f t="shared" si="266"/>
        <v>1.1743543775857364</v>
      </c>
      <c r="N565" s="679">
        <f t="shared" si="267"/>
        <v>-0.55189649192512591</v>
      </c>
      <c r="O565" s="677">
        <f t="shared" si="268"/>
        <v>1759134.8043677844</v>
      </c>
      <c r="P565" s="680">
        <f t="shared" si="269"/>
        <v>1.5707957583336294</v>
      </c>
      <c r="Q565" s="689">
        <f t="shared" si="291"/>
        <v>216.96226376579011</v>
      </c>
      <c r="R565" s="690">
        <f t="shared" si="292"/>
        <v>1.5661872140242921</v>
      </c>
      <c r="S565" s="677">
        <f t="shared" si="270"/>
        <v>1.8547757230705353</v>
      </c>
      <c r="T565" s="680">
        <f t="shared" si="271"/>
        <v>1.001370285841932</v>
      </c>
      <c r="U565" s="681">
        <f t="shared" si="283"/>
        <v>0.44978827826205897</v>
      </c>
      <c r="V565" s="682">
        <f t="shared" si="284"/>
        <v>-1.5825874641309987</v>
      </c>
      <c r="W565" s="683">
        <f t="shared" si="272"/>
        <v>-33.69196005569065</v>
      </c>
      <c r="X565" s="684">
        <f t="shared" si="273"/>
        <v>-266.66110940589164</v>
      </c>
      <c r="Y565" s="687">
        <f t="shared" si="274"/>
        <v>-86.661109405891636</v>
      </c>
      <c r="AA565" s="170">
        <f t="shared" si="275"/>
        <v>93325</v>
      </c>
      <c r="AB565" s="170">
        <f t="shared" si="276"/>
        <v>8709555625</v>
      </c>
      <c r="AD565" s="686">
        <f t="shared" si="277"/>
        <v>21.561323693825791</v>
      </c>
      <c r="AE565" s="687">
        <f t="shared" si="278"/>
        <v>-57.63834131303701</v>
      </c>
      <c r="AG565" s="686">
        <f t="shared" si="279"/>
        <v>3.8073790958676024</v>
      </c>
      <c r="AH565" s="687">
        <f t="shared" si="280"/>
        <v>-27.671603075595193</v>
      </c>
      <c r="AJ565" s="170">
        <f t="shared" si="281"/>
        <v>0</v>
      </c>
      <c r="AK565" s="170">
        <f t="shared" si="293"/>
        <v>0</v>
      </c>
      <c r="AM565" s="170" t="str">
        <f t="shared" si="285"/>
        <v>1.99945509677642-0.0330077192128761i</v>
      </c>
      <c r="AN565" s="170" t="str">
        <f t="shared" si="286"/>
        <v>3.17460636944726i</v>
      </c>
      <c r="AO565" s="170" t="str">
        <f t="shared" si="287"/>
        <v>-0.0103974210883421-0.62982772164114i</v>
      </c>
      <c r="AP565" s="170" t="str">
        <f t="shared" si="288"/>
        <v>-0.166575849462737+0.00550128653547935i</v>
      </c>
      <c r="AQ565" s="170" t="str">
        <f t="shared" si="289"/>
        <v>1.16657584946274-0.00550128653547935i</v>
      </c>
      <c r="AR565" s="170" t="str">
        <f t="shared" si="290"/>
        <v>0.714039705390515+0.00336723670292983i</v>
      </c>
    </row>
    <row r="566" spans="7:44">
      <c r="G566" s="688">
        <v>93868.5</v>
      </c>
      <c r="H566" s="676">
        <f t="shared" si="282"/>
        <v>93.868499999999997</v>
      </c>
      <c r="I566" s="677">
        <f t="shared" si="262"/>
        <v>483.3523476762382</v>
      </c>
      <c r="J566" s="678">
        <f t="shared" si="263"/>
        <v>1.5687274411916938</v>
      </c>
      <c r="K566" s="678">
        <f t="shared" si="264"/>
        <v>1.0015356486747791</v>
      </c>
      <c r="L566" s="679">
        <f t="shared" si="265"/>
        <v>5.5383861653794324E-2</v>
      </c>
      <c r="M566" s="678">
        <f t="shared" si="266"/>
        <v>1.1762383741480724</v>
      </c>
      <c r="N566" s="679">
        <f t="shared" si="267"/>
        <v>-0.55449239883299184</v>
      </c>
      <c r="O566" s="677">
        <f t="shared" si="268"/>
        <v>1769379.5379994328</v>
      </c>
      <c r="P566" s="680">
        <f t="shared" si="269"/>
        <v>1.5707957616250285</v>
      </c>
      <c r="Q566" s="689">
        <f t="shared" si="291"/>
        <v>218.22576757039505</v>
      </c>
      <c r="R566" s="690">
        <f t="shared" si="292"/>
        <v>1.5662139004805622</v>
      </c>
      <c r="S566" s="677">
        <f t="shared" si="270"/>
        <v>1.8624440434941154</v>
      </c>
      <c r="T566" s="680">
        <f t="shared" si="271"/>
        <v>1.0040038233161119</v>
      </c>
      <c r="U566" s="681">
        <f t="shared" si="283"/>
        <v>0.4471394202153941</v>
      </c>
      <c r="V566" s="682">
        <f t="shared" si="284"/>
        <v>-1.5891918110100283</v>
      </c>
      <c r="W566" s="683">
        <f t="shared" si="272"/>
        <v>-33.815461461782313</v>
      </c>
      <c r="X566" s="684">
        <f t="shared" si="273"/>
        <v>-267.31996119594612</v>
      </c>
      <c r="Y566" s="687">
        <f t="shared" si="274"/>
        <v>-87.319961195946121</v>
      </c>
      <c r="AA566" s="170">
        <f t="shared" si="275"/>
        <v>93868.5</v>
      </c>
      <c r="AB566" s="170">
        <f t="shared" si="276"/>
        <v>8811295292.25</v>
      </c>
      <c r="AD566" s="686">
        <f t="shared" si="277"/>
        <v>21.525486017536597</v>
      </c>
      <c r="AE566" s="687">
        <f t="shared" si="278"/>
        <v>-57.787703062936586</v>
      </c>
      <c r="AG566" s="686">
        <f t="shared" si="279"/>
        <v>3.8223223235203019</v>
      </c>
      <c r="AH566" s="687">
        <f t="shared" si="280"/>
        <v>-27.424290709667705</v>
      </c>
      <c r="AJ566" s="170">
        <f t="shared" si="281"/>
        <v>0</v>
      </c>
      <c r="AK566" s="170">
        <f t="shared" si="293"/>
        <v>0</v>
      </c>
      <c r="AM566" s="170" t="str">
        <f t="shared" si="285"/>
        <v>1.99867407645768-0.0514790152527485i</v>
      </c>
      <c r="AN566" s="170" t="str">
        <f t="shared" si="286"/>
        <v>3.19309443332934i</v>
      </c>
      <c r="AO566" s="170" t="str">
        <f t="shared" si="287"/>
        <v>-0.0161219833386114-0.62593641315322i</v>
      </c>
      <c r="AP566" s="170" t="str">
        <f t="shared" si="288"/>
        <v>-0.166445679409614+0.00857983587545808i</v>
      </c>
      <c r="AQ566" s="170" t="str">
        <f t="shared" si="289"/>
        <v>1.16644567940961-0.00857983587545808i</v>
      </c>
      <c r="AR566" s="170" t="str">
        <f t="shared" si="290"/>
        <v>0.714096634379669+0.00525256514756488i</v>
      </c>
    </row>
    <row r="567" spans="7:44">
      <c r="G567" s="688">
        <v>94412</v>
      </c>
      <c r="H567" s="676">
        <f t="shared" si="282"/>
        <v>94.412000000000006</v>
      </c>
      <c r="I567" s="677">
        <f t="shared" si="262"/>
        <v>486.15095295660399</v>
      </c>
      <c r="J567" s="678">
        <f t="shared" si="263"/>
        <v>1.5687393510775598</v>
      </c>
      <c r="K567" s="678">
        <f t="shared" si="264"/>
        <v>1.0015534691820667</v>
      </c>
      <c r="L567" s="679">
        <f t="shared" si="265"/>
        <v>5.5703873993814948E-2</v>
      </c>
      <c r="M567" s="678">
        <f t="shared" si="266"/>
        <v>1.1781302716845492</v>
      </c>
      <c r="N567" s="679">
        <f t="shared" si="267"/>
        <v>-0.55707998587019347</v>
      </c>
      <c r="O567" s="677">
        <f t="shared" si="268"/>
        <v>1779624.2716310809</v>
      </c>
      <c r="P567" s="680">
        <f t="shared" si="269"/>
        <v>1.5707957648785327</v>
      </c>
      <c r="Q567" s="689">
        <f t="shared" si="291"/>
        <v>219.48927152862385</v>
      </c>
      <c r="R567" s="690">
        <f t="shared" si="292"/>
        <v>1.5662402796922839</v>
      </c>
      <c r="S567" s="677">
        <f t="shared" si="270"/>
        <v>1.8701251749522125</v>
      </c>
      <c r="T567" s="680">
        <f t="shared" si="271"/>
        <v>1.0066157454195213</v>
      </c>
      <c r="U567" s="681">
        <f t="shared" si="283"/>
        <v>0.4445016516113125</v>
      </c>
      <c r="V567" s="682">
        <f t="shared" si="284"/>
        <v>-1.595797697915299</v>
      </c>
      <c r="W567" s="683">
        <f t="shared" si="272"/>
        <v>-33.938635187248636</v>
      </c>
      <c r="X567" s="684">
        <f t="shared" si="273"/>
        <v>-267.97719636423938</v>
      </c>
      <c r="Y567" s="687">
        <f t="shared" si="274"/>
        <v>-87.977196364239376</v>
      </c>
      <c r="AA567" s="170">
        <f t="shared" si="275"/>
        <v>94412</v>
      </c>
      <c r="AB567" s="170">
        <f t="shared" si="276"/>
        <v>8913625744</v>
      </c>
      <c r="AD567" s="686">
        <f t="shared" si="277"/>
        <v>21.489736106787575</v>
      </c>
      <c r="AE567" s="687">
        <f t="shared" si="278"/>
        <v>-57.935843944961682</v>
      </c>
      <c r="AG567" s="686">
        <f t="shared" si="279"/>
        <v>3.8376817230268605</v>
      </c>
      <c r="AH567" s="687">
        <f t="shared" si="280"/>
        <v>-27.176406115845435</v>
      </c>
      <c r="AJ567" s="170">
        <f t="shared" si="281"/>
        <v>0</v>
      </c>
      <c r="AK567" s="170">
        <f t="shared" si="293"/>
        <v>0</v>
      </c>
      <c r="AM567" s="170" t="str">
        <f t="shared" si="285"/>
        <v>1.99755171056785-0.0699327158285106i</v>
      </c>
      <c r="AN567" s="170" t="str">
        <f t="shared" si="286"/>
        <v>3.21158249721141i</v>
      </c>
      <c r="AO567" s="170" t="str">
        <f t="shared" si="287"/>
        <v>-0.0217751578510696-0.621983620941485i</v>
      </c>
      <c r="AP567" s="170" t="str">
        <f t="shared" si="288"/>
        <v>-0.166258618427975+0.0116554526380851i</v>
      </c>
      <c r="AQ567" s="170" t="str">
        <f t="shared" si="289"/>
        <v>1.16625861842798-0.0116554526380851i</v>
      </c>
      <c r="AR567" s="170" t="str">
        <f t="shared" si="290"/>
        <v>0.714178482387575+0.00713741647442488i</v>
      </c>
    </row>
    <row r="568" spans="7:44">
      <c r="G568" s="688">
        <v>94955.5</v>
      </c>
      <c r="H568" s="676">
        <f t="shared" si="282"/>
        <v>94.955500000000001</v>
      </c>
      <c r="I568" s="677">
        <f t="shared" si="262"/>
        <v>488.94955830513868</v>
      </c>
      <c r="J568" s="678">
        <f t="shared" si="263"/>
        <v>1.568751124625968</v>
      </c>
      <c r="K568" s="678">
        <f t="shared" si="264"/>
        <v>1.0015713922526834</v>
      </c>
      <c r="L568" s="679">
        <f t="shared" si="265"/>
        <v>5.6023874913395159E-2</v>
      </c>
      <c r="M568" s="678">
        <f t="shared" si="266"/>
        <v>1.1800300321931678</v>
      </c>
      <c r="N568" s="679">
        <f t="shared" si="267"/>
        <v>-0.55965925848595532</v>
      </c>
      <c r="O568" s="677">
        <f t="shared" si="268"/>
        <v>1789869.0052627295</v>
      </c>
      <c r="P568" s="680">
        <f t="shared" si="269"/>
        <v>1.5707957680947924</v>
      </c>
      <c r="Q568" s="689">
        <f t="shared" si="291"/>
        <v>220.75277563783865</v>
      </c>
      <c r="R568" s="690">
        <f t="shared" si="292"/>
        <v>1.566266356935069</v>
      </c>
      <c r="S568" s="677">
        <f t="shared" si="270"/>
        <v>1.877818960236004</v>
      </c>
      <c r="T568" s="680">
        <f t="shared" si="271"/>
        <v>1.0092062819815502</v>
      </c>
      <c r="U568" s="681">
        <f t="shared" si="283"/>
        <v>0.44187476357725114</v>
      </c>
      <c r="V568" s="682">
        <f t="shared" si="284"/>
        <v>-1.6024056780514615</v>
      </c>
      <c r="W568" s="683">
        <f t="shared" si="272"/>
        <v>-34.061488680894733</v>
      </c>
      <c r="X568" s="684">
        <f t="shared" si="273"/>
        <v>-268.63285992549902</v>
      </c>
      <c r="Y568" s="687">
        <f t="shared" si="274"/>
        <v>-88.632859925499019</v>
      </c>
      <c r="AA568" s="170">
        <f t="shared" si="275"/>
        <v>94955.5</v>
      </c>
      <c r="AB568" s="170">
        <f t="shared" si="276"/>
        <v>9016546980.25</v>
      </c>
      <c r="AD568" s="686">
        <f t="shared" si="277"/>
        <v>21.454074213396076</v>
      </c>
      <c r="AE568" s="687">
        <f t="shared" si="278"/>
        <v>-58.082776825133337</v>
      </c>
      <c r="AG568" s="686">
        <f t="shared" si="279"/>
        <v>3.8534573315812177</v>
      </c>
      <c r="AH568" s="687">
        <f t="shared" si="280"/>
        <v>-26.927918050251357</v>
      </c>
      <c r="AJ568" s="170">
        <f t="shared" si="281"/>
        <v>0</v>
      </c>
      <c r="AK568" s="170">
        <f t="shared" si="293"/>
        <v>0</v>
      </c>
      <c r="AM568" s="170" t="str">
        <f t="shared" si="285"/>
        <v>1.99608838273021-0.0883625134880102i</v>
      </c>
      <c r="AN568" s="170" t="str">
        <f t="shared" si="286"/>
        <v>3.23007056109348i</v>
      </c>
      <c r="AO568" s="170" t="str">
        <f t="shared" si="287"/>
        <v>-0.0273562177100233-0.617970519521552i</v>
      </c>
      <c r="AP568" s="170" t="str">
        <f t="shared" si="288"/>
        <v>-0.166014730455035+0.014727085581335i</v>
      </c>
      <c r="AQ568" s="170" t="str">
        <f t="shared" si="289"/>
        <v>1.16601473045504-0.014727085581335i</v>
      </c>
      <c r="AR568" s="170" t="str">
        <f t="shared" si="290"/>
        <v>0.714285262524629+0.0090216186090388i</v>
      </c>
    </row>
    <row r="569" spans="7:44">
      <c r="G569" s="688">
        <v>95499</v>
      </c>
      <c r="H569" s="676">
        <f t="shared" si="282"/>
        <v>95.498999999999995</v>
      </c>
      <c r="I569" s="677">
        <f t="shared" si="262"/>
        <v>491.74816372067829</v>
      </c>
      <c r="J569" s="678">
        <f t="shared" si="263"/>
        <v>1.56876276416466</v>
      </c>
      <c r="K569" s="678">
        <f t="shared" si="264"/>
        <v>1.0015894178811235</v>
      </c>
      <c r="L569" s="679">
        <f t="shared" si="265"/>
        <v>5.6343864347613265E-2</v>
      </c>
      <c r="M569" s="678">
        <f t="shared" si="266"/>
        <v>1.1819376177588214</v>
      </c>
      <c r="N569" s="679">
        <f t="shared" si="267"/>
        <v>-0.56223022253704169</v>
      </c>
      <c r="O569" s="677">
        <f t="shared" si="268"/>
        <v>1800113.7388943778</v>
      </c>
      <c r="P569" s="680">
        <f t="shared" si="269"/>
        <v>1.5707957712744434</v>
      </c>
      <c r="Q569" s="689">
        <f t="shared" si="291"/>
        <v>222.01627989546174</v>
      </c>
      <c r="R569" s="690">
        <f t="shared" si="292"/>
        <v>1.5662921373644372</v>
      </c>
      <c r="S569" s="677">
        <f t="shared" si="270"/>
        <v>1.8855252444457116</v>
      </c>
      <c r="T569" s="680">
        <f t="shared" si="271"/>
        <v>1.0117756602316705</v>
      </c>
      <c r="U569" s="681">
        <f t="shared" si="283"/>
        <v>0.43925854640292999</v>
      </c>
      <c r="V569" s="682">
        <f t="shared" si="284"/>
        <v>-1.6090163049582791</v>
      </c>
      <c r="W569" s="683">
        <f t="shared" si="272"/>
        <v>-34.184029453516459</v>
      </c>
      <c r="X569" s="684">
        <f t="shared" si="273"/>
        <v>-269.2869967918113</v>
      </c>
      <c r="Y569" s="687">
        <f t="shared" si="274"/>
        <v>-89.286996791811305</v>
      </c>
      <c r="AA569" s="170">
        <f t="shared" si="275"/>
        <v>95499</v>
      </c>
      <c r="AB569" s="170">
        <f t="shared" si="276"/>
        <v>9120059001</v>
      </c>
      <c r="AD569" s="686">
        <f t="shared" si="277"/>
        <v>21.418500570704566</v>
      </c>
      <c r="AE569" s="687">
        <f t="shared" si="278"/>
        <v>-58.228514427388234</v>
      </c>
      <c r="AG569" s="686">
        <f t="shared" si="279"/>
        <v>3.8696493498343285</v>
      </c>
      <c r="AH569" s="687">
        <f t="shared" si="280"/>
        <v>-26.678795270050578</v>
      </c>
      <c r="AJ569" s="170">
        <f t="shared" si="281"/>
        <v>0</v>
      </c>
      <c r="AK569" s="170">
        <f t="shared" si="293"/>
        <v>0</v>
      </c>
      <c r="AM569" s="170" t="str">
        <f t="shared" si="285"/>
        <v>1.9942845931084-0.106762108949084i</v>
      </c>
      <c r="AN569" s="170" t="str">
        <f t="shared" si="286"/>
        <v>3.24855862497556i</v>
      </c>
      <c r="AO569" s="170" t="str">
        <f t="shared" si="287"/>
        <v>-0.0328644550627087-0.613898292546099i</v>
      </c>
      <c r="AP569" s="170" t="str">
        <f t="shared" si="288"/>
        <v>-0.165714098851401+0.0177936848248473i</v>
      </c>
      <c r="AQ569" s="170" t="str">
        <f t="shared" si="289"/>
        <v>1.1657140988514-0.0177936848248473i</v>
      </c>
      <c r="AR569" s="170" t="str">
        <f t="shared" si="290"/>
        <v>0.714416991876366+0.0109049987466816i</v>
      </c>
    </row>
    <row r="570" spans="7:44">
      <c r="G570" s="688">
        <v>96611.5</v>
      </c>
      <c r="H570" s="676">
        <f t="shared" si="282"/>
        <v>96.611500000000007</v>
      </c>
      <c r="I570" s="677">
        <f t="shared" si="262"/>
        <v>497.47668006983338</v>
      </c>
      <c r="J570" s="678">
        <f t="shared" si="263"/>
        <v>1.5687861809659351</v>
      </c>
      <c r="K570" s="678">
        <f t="shared" si="264"/>
        <v>1.0016266346592366</v>
      </c>
      <c r="L570" s="679">
        <f t="shared" si="265"/>
        <v>5.6998820430837101E-2</v>
      </c>
      <c r="M570" s="678">
        <f t="shared" si="266"/>
        <v>1.1858665318290578</v>
      </c>
      <c r="N570" s="679">
        <f t="shared" si="267"/>
        <v>-0.56746689281564022</v>
      </c>
      <c r="O570" s="677">
        <f t="shared" si="268"/>
        <v>1821083.8698331246</v>
      </c>
      <c r="P570" s="680">
        <f t="shared" si="269"/>
        <v>1.5707957776713684</v>
      </c>
      <c r="Q570" s="689">
        <f t="shared" si="291"/>
        <v>224.60257011148522</v>
      </c>
      <c r="R570" s="690">
        <f t="shared" si="292"/>
        <v>1.5663440032824123</v>
      </c>
      <c r="S570" s="677">
        <f t="shared" si="270"/>
        <v>1.9013377142726358</v>
      </c>
      <c r="T570" s="680">
        <f t="shared" si="271"/>
        <v>1.0169699293479326</v>
      </c>
      <c r="U570" s="681">
        <f t="shared" si="283"/>
        <v>0.43393575350867419</v>
      </c>
      <c r="V570" s="682">
        <f t="shared" si="284"/>
        <v>-1.6225583015403235</v>
      </c>
      <c r="W570" s="683">
        <f t="shared" si="272"/>
        <v>-34.433917134666956</v>
      </c>
      <c r="X570" s="684">
        <f t="shared" si="273"/>
        <v>-270.62138898021391</v>
      </c>
      <c r="Y570" s="687">
        <f t="shared" si="274"/>
        <v>-90.621388980213908</v>
      </c>
      <c r="AA570" s="170">
        <f t="shared" si="275"/>
        <v>96611.5</v>
      </c>
      <c r="AB570" s="170">
        <f t="shared" si="276"/>
        <v>9333781932.25</v>
      </c>
      <c r="AD570" s="686">
        <f t="shared" si="277"/>
        <v>21.345960324322284</v>
      </c>
      <c r="AE570" s="687">
        <f t="shared" si="278"/>
        <v>-58.523152794058113</v>
      </c>
      <c r="AG570" s="686">
        <f t="shared" si="279"/>
        <v>3.9040933310850456</v>
      </c>
      <c r="AH570" s="687">
        <f t="shared" si="280"/>
        <v>-26.166750589346659</v>
      </c>
      <c r="AJ570" s="170">
        <f t="shared" si="281"/>
        <v>0</v>
      </c>
      <c r="AK570" s="170">
        <f t="shared" si="293"/>
        <v>0</v>
      </c>
      <c r="AM570" s="170" t="str">
        <f t="shared" si="285"/>
        <v>1.98953341020288-0.144303950369519i</v>
      </c>
      <c r="AN570" s="170" t="str">
        <f t="shared" si="286"/>
        <v>3.28640217800004i</v>
      </c>
      <c r="AO570" s="170" t="str">
        <f t="shared" si="287"/>
        <v>-0.0439094007834842-0.605383426143426i</v>
      </c>
      <c r="AP570" s="170" t="str">
        <f t="shared" si="288"/>
        <v>-0.164922235033814+0.0240506583949198i</v>
      </c>
      <c r="AQ570" s="170" t="str">
        <f t="shared" si="289"/>
        <v>1.16492223503381-0.0240506583949198i</v>
      </c>
      <c r="AR570" s="170" t="str">
        <f t="shared" si="290"/>
        <v>0.714764525495364+0.0147568283259672i</v>
      </c>
    </row>
    <row r="571" spans="7:44">
      <c r="G571" s="688">
        <v>97724</v>
      </c>
      <c r="H571" s="676">
        <f t="shared" si="282"/>
        <v>97.724000000000004</v>
      </c>
      <c r="I571" s="677">
        <f t="shared" si="262"/>
        <v>503.2051966855671</v>
      </c>
      <c r="J571" s="678">
        <f t="shared" si="263"/>
        <v>1.5688090646108239</v>
      </c>
      <c r="K571" s="678">
        <f t="shared" si="264"/>
        <v>1.001664281070558</v>
      </c>
      <c r="L571" s="679">
        <f t="shared" si="265"/>
        <v>5.7653727563420229E-2</v>
      </c>
      <c r="M571" s="678">
        <f t="shared" si="266"/>
        <v>1.1898277502961447</v>
      </c>
      <c r="N571" s="679">
        <f t="shared" si="267"/>
        <v>-0.5726688367260887</v>
      </c>
      <c r="O571" s="677">
        <f t="shared" si="268"/>
        <v>1842054.0007718715</v>
      </c>
      <c r="P571" s="680">
        <f t="shared" si="269"/>
        <v>1.5707957839226467</v>
      </c>
      <c r="Q571" s="689">
        <f t="shared" si="291"/>
        <v>227.18886091794991</v>
      </c>
      <c r="R571" s="690">
        <f t="shared" si="292"/>
        <v>1.566394688329714</v>
      </c>
      <c r="S571" s="677">
        <f t="shared" si="270"/>
        <v>1.9172006360175606</v>
      </c>
      <c r="T571" s="680">
        <f t="shared" si="271"/>
        <v>1.0220783796154298</v>
      </c>
      <c r="U571" s="681">
        <f t="shared" si="283"/>
        <v>0.42865497116132145</v>
      </c>
      <c r="V571" s="682">
        <f t="shared" si="284"/>
        <v>-1.6361184676042018</v>
      </c>
      <c r="W571" s="683">
        <f t="shared" si="272"/>
        <v>-34.68259223465617</v>
      </c>
      <c r="X571" s="684">
        <f t="shared" si="273"/>
        <v>-271.94995537868039</v>
      </c>
      <c r="Y571" s="687">
        <f t="shared" si="274"/>
        <v>-91.949955378680386</v>
      </c>
      <c r="AA571" s="170">
        <f t="shared" si="275"/>
        <v>97724</v>
      </c>
      <c r="AB571" s="170">
        <f t="shared" si="276"/>
        <v>9549980176</v>
      </c>
      <c r="AD571" s="686">
        <f t="shared" si="277"/>
        <v>21.2737923434482</v>
      </c>
      <c r="AE571" s="687">
        <f t="shared" si="278"/>
        <v>-58.812941753446374</v>
      </c>
      <c r="AG571" s="686">
        <f t="shared" si="279"/>
        <v>3.9402890125172223</v>
      </c>
      <c r="AH571" s="687">
        <f t="shared" si="280"/>
        <v>-25.651647456735773</v>
      </c>
      <c r="AJ571" s="170">
        <f t="shared" si="281"/>
        <v>0</v>
      </c>
      <c r="AK571" s="170">
        <f t="shared" si="293"/>
        <v>0</v>
      </c>
      <c r="AM571" s="170" t="str">
        <f t="shared" si="285"/>
        <v>1.98336525147669-0.181639153786242i</v>
      </c>
      <c r="AN571" s="170" t="str">
        <f t="shared" si="286"/>
        <v>3.32424573102453i</v>
      </c>
      <c r="AO571" s="170" t="str">
        <f t="shared" si="287"/>
        <v>-0.0546407120541781-0.596636173122322i</v>
      </c>
      <c r="AP571" s="170" t="str">
        <f t="shared" si="288"/>
        <v>-0.163894208579449+0.030273192297707i</v>
      </c>
      <c r="AQ571" s="170" t="str">
        <f t="shared" si="289"/>
        <v>1.16389420857945-0.030273192297707i</v>
      </c>
      <c r="AR571" s="170" t="str">
        <f t="shared" si="290"/>
        <v>0.715216917748506+0.0186029787982194i</v>
      </c>
    </row>
    <row r="572" spans="7:44">
      <c r="G572" s="688">
        <v>98862</v>
      </c>
      <c r="H572" s="676">
        <f t="shared" si="282"/>
        <v>98.861999999999995</v>
      </c>
      <c r="I572" s="677">
        <f t="shared" si="262"/>
        <v>509.06501889240803</v>
      </c>
      <c r="J572" s="678">
        <f t="shared" si="263"/>
        <v>1.5688319399169453</v>
      </c>
      <c r="K572" s="678">
        <f t="shared" si="264"/>
        <v>1.0017032348556107</v>
      </c>
      <c r="L572" s="679">
        <f t="shared" si="265"/>
        <v>5.8323594824082406E-2</v>
      </c>
      <c r="M572" s="678">
        <f t="shared" si="266"/>
        <v>1.1939128535647592</v>
      </c>
      <c r="N572" s="679">
        <f t="shared" si="267"/>
        <v>-0.57795415512635728</v>
      </c>
      <c r="O572" s="677">
        <f t="shared" si="268"/>
        <v>1863504.7953860683</v>
      </c>
      <c r="P572" s="680">
        <f t="shared" si="269"/>
        <v>1.5707957901716465</v>
      </c>
      <c r="Q572" s="689">
        <f t="shared" si="291"/>
        <v>229.83443358694873</v>
      </c>
      <c r="R572" s="690">
        <f t="shared" si="292"/>
        <v>1.5664453549254529</v>
      </c>
      <c r="S572" s="677">
        <f t="shared" si="270"/>
        <v>1.9334780624920953</v>
      </c>
      <c r="T572" s="680">
        <f t="shared" si="271"/>
        <v>1.0272170581327662</v>
      </c>
      <c r="U572" s="681">
        <f t="shared" si="283"/>
        <v>0.42329470448870882</v>
      </c>
      <c r="V572" s="682">
        <f t="shared" si="284"/>
        <v>-1.6500132233236877</v>
      </c>
      <c r="W572" s="683">
        <f t="shared" si="272"/>
        <v>-34.935782723178676</v>
      </c>
      <c r="X572" s="684">
        <f t="shared" si="273"/>
        <v>-273.3033447369238</v>
      </c>
      <c r="Y572" s="687">
        <f t="shared" si="274"/>
        <v>-93.303344736923805</v>
      </c>
      <c r="AA572" s="170">
        <f t="shared" si="275"/>
        <v>98862</v>
      </c>
      <c r="AB572" s="170">
        <f t="shared" si="276"/>
        <v>9773695044</v>
      </c>
      <c r="AD572" s="686">
        <f t="shared" si="277"/>
        <v>21.200356727926284</v>
      </c>
      <c r="AE572" s="687">
        <f t="shared" si="278"/>
        <v>-59.104463721040581</v>
      </c>
      <c r="AG572" s="686">
        <f t="shared" si="279"/>
        <v>3.9791353102489162</v>
      </c>
      <c r="AH572" s="687">
        <f t="shared" si="280"/>
        <v>-25.121293125382063</v>
      </c>
      <c r="AJ572" s="170">
        <f t="shared" si="281"/>
        <v>0</v>
      </c>
      <c r="AK572" s="170">
        <f t="shared" si="293"/>
        <v>0</v>
      </c>
      <c r="AM572" s="170" t="str">
        <f t="shared" si="285"/>
        <v>1.9755988641567-0.219560598141295i</v>
      </c>
      <c r="AN572" s="170" t="str">
        <f t="shared" si="286"/>
        <v>3.36295670930935i</v>
      </c>
      <c r="AO572" s="170" t="str">
        <f t="shared" si="287"/>
        <v>-0.0652879644669545-0.587458904447934i</v>
      </c>
      <c r="AP572" s="170" t="str">
        <f t="shared" si="288"/>
        <v>-0.162599810692783+0.0365934330235492i</v>
      </c>
      <c r="AQ572" s="170" t="str">
        <f t="shared" si="289"/>
        <v>1.16259981069278-0.0365934330235492i</v>
      </c>
      <c r="AR572" s="170" t="str">
        <f t="shared" si="290"/>
        <v>0.71578848464576+0.0225298144133571i</v>
      </c>
    </row>
    <row r="573" spans="7:44">
      <c r="G573" s="688">
        <v>100000</v>
      </c>
      <c r="H573" s="676">
        <f t="shared" si="282"/>
        <v>100</v>
      </c>
      <c r="I573" s="677">
        <f t="shared" si="262"/>
        <v>514.92484135956943</v>
      </c>
      <c r="J573" s="678">
        <f t="shared" si="263"/>
        <v>1.5688542945830859</v>
      </c>
      <c r="K573" s="678">
        <f t="shared" si="264"/>
        <v>1.0017426380920147</v>
      </c>
      <c r="L573" s="679">
        <f t="shared" si="265"/>
        <v>5.8993409687243287E-2</v>
      </c>
      <c r="M573" s="678">
        <f t="shared" si="266"/>
        <v>1.1980310803119973</v>
      </c>
      <c r="N573" s="679">
        <f t="shared" si="267"/>
        <v>-0.58320328280388256</v>
      </c>
      <c r="O573" s="677">
        <f t="shared" si="268"/>
        <v>1884955.5900002653</v>
      </c>
      <c r="P573" s="680">
        <f t="shared" si="269"/>
        <v>1.5707957962784191</v>
      </c>
      <c r="Q573" s="689">
        <f t="shared" si="291"/>
        <v>232.48000683252809</v>
      </c>
      <c r="R573" s="690">
        <f t="shared" si="292"/>
        <v>1.5664948683710569</v>
      </c>
      <c r="S573" s="677">
        <f t="shared" si="270"/>
        <v>1.9498056911969519</v>
      </c>
      <c r="T573" s="680">
        <f t="shared" si="271"/>
        <v>1.0322698058646191</v>
      </c>
      <c r="U573" s="681">
        <f t="shared" si="283"/>
        <v>0.41797450872308406</v>
      </c>
      <c r="V573" s="682">
        <f t="shared" si="284"/>
        <v>-1.6639371050425749</v>
      </c>
      <c r="W573" s="683">
        <f t="shared" si="272"/>
        <v>-35.187848039251563</v>
      </c>
      <c r="X573" s="684">
        <f t="shared" si="273"/>
        <v>-274.65144507916091</v>
      </c>
      <c r="Y573" s="687">
        <f t="shared" si="274"/>
        <v>-94.651445079160908</v>
      </c>
      <c r="AA573" s="170">
        <f t="shared" si="275"/>
        <v>100000</v>
      </c>
      <c r="AB573" s="170">
        <f t="shared" si="276"/>
        <v>10000000000</v>
      </c>
      <c r="AD573" s="686">
        <f t="shared" si="277"/>
        <v>21.127313170827634</v>
      </c>
      <c r="AE573" s="687">
        <f t="shared" si="278"/>
        <v>-59.391128279777668</v>
      </c>
      <c r="AG573" s="686">
        <f t="shared" si="279"/>
        <v>4.0198351271883039</v>
      </c>
      <c r="AH573" s="687">
        <f t="shared" si="280"/>
        <v>-24.587169593195682</v>
      </c>
      <c r="AJ573" s="170">
        <f t="shared" si="281"/>
        <v>0</v>
      </c>
      <c r="AK573" s="170">
        <f t="shared" si="293"/>
        <v>0</v>
      </c>
      <c r="AM573" s="170" t="str">
        <f t="shared" si="285"/>
        <v>1.96637068563084-0.257153063278241i</v>
      </c>
      <c r="AN573" s="170" t="str">
        <f t="shared" si="286"/>
        <v>3.40166768759417i</v>
      </c>
      <c r="AO573" s="170" t="str">
        <f t="shared" si="287"/>
        <v>-0.0755961742577249-0.578060782598537i</v>
      </c>
      <c r="AP573" s="170" t="str">
        <f t="shared" si="288"/>
        <v>-0.161061780938473+0.0428588438797068i</v>
      </c>
      <c r="AQ573" s="170" t="str">
        <f t="shared" si="289"/>
        <v>1.16106178093847-0.0428588438797068i</v>
      </c>
      <c r="AR573" s="170" t="str">
        <f t="shared" si="290"/>
        <v>0.716470482034732+0.026447426862268i</v>
      </c>
    </row>
    <row r="574" spans="7:44">
      <c r="G574" s="688">
        <v>101165</v>
      </c>
      <c r="H574" s="676">
        <f t="shared" si="282"/>
        <v>101.16500000000001</v>
      </c>
      <c r="I574" s="677">
        <f t="shared" si="262"/>
        <v>520.92369326701794</v>
      </c>
      <c r="J574" s="678">
        <f t="shared" si="263"/>
        <v>1.5688766586609395</v>
      </c>
      <c r="K574" s="678">
        <f t="shared" si="264"/>
        <v>1.0017834417209857</v>
      </c>
      <c r="L574" s="679">
        <f t="shared" si="265"/>
        <v>5.967906156916622E-2</v>
      </c>
      <c r="M574" s="678">
        <f t="shared" si="266"/>
        <v>1.202280971658648</v>
      </c>
      <c r="N574" s="679">
        <f t="shared" si="267"/>
        <v>-0.58853954942728282</v>
      </c>
      <c r="O574" s="677">
        <f t="shared" si="268"/>
        <v>1906915.3226237623</v>
      </c>
      <c r="P574" s="680">
        <f t="shared" si="269"/>
        <v>1.5707958023877622</v>
      </c>
      <c r="Q574" s="689">
        <f t="shared" si="291"/>
        <v>235.18834908882562</v>
      </c>
      <c r="R574" s="690">
        <f t="shared" si="292"/>
        <v>1.566544402679507</v>
      </c>
      <c r="S574" s="677">
        <f t="shared" si="270"/>
        <v>1.9665714039726805</v>
      </c>
      <c r="T574" s="680">
        <f t="shared" si="271"/>
        <v>1.037355389867231</v>
      </c>
      <c r="U574" s="681">
        <f t="shared" si="283"/>
        <v>0.41256752004145336</v>
      </c>
      <c r="V574" s="682">
        <f t="shared" si="284"/>
        <v>-1.6782268824556044</v>
      </c>
      <c r="W574" s="683">
        <f t="shared" si="272"/>
        <v>-35.444806607598387</v>
      </c>
      <c r="X574" s="684">
        <f t="shared" si="273"/>
        <v>-276.0264757237149</v>
      </c>
      <c r="Y574" s="687">
        <f t="shared" si="274"/>
        <v>-96.026475723714896</v>
      </c>
      <c r="AA574" s="170">
        <f t="shared" si="275"/>
        <v>101165</v>
      </c>
      <c r="AB574" s="170">
        <f t="shared" si="276"/>
        <v>10234357225</v>
      </c>
      <c r="AD574" s="686">
        <f t="shared" si="277"/>
        <v>21.052943609311615</v>
      </c>
      <c r="AE574" s="687">
        <f t="shared" si="278"/>
        <v>-59.67967302304055</v>
      </c>
      <c r="AG574" s="686">
        <f t="shared" si="279"/>
        <v>4.0634365783764927</v>
      </c>
      <c r="AH574" s="687">
        <f t="shared" si="280"/>
        <v>-24.036167620719795</v>
      </c>
      <c r="AJ574" s="170">
        <f t="shared" si="281"/>
        <v>0</v>
      </c>
      <c r="AK574" s="170">
        <f t="shared" si="293"/>
        <v>0</v>
      </c>
      <c r="AM574" s="170" t="str">
        <f t="shared" si="285"/>
        <v>1.95542378468756-0.295237856064036i</v>
      </c>
      <c r="AN574" s="170" t="str">
        <f t="shared" si="286"/>
        <v>3.44129711615465i</v>
      </c>
      <c r="AO574" s="170" t="str">
        <f t="shared" si="287"/>
        <v>-0.0857926084551335-0.568222887674568i</v>
      </c>
      <c r="AP574" s="170" t="str">
        <f t="shared" si="288"/>
        <v>-0.159237297447928+0.049206309344006i</v>
      </c>
      <c r="AQ574" s="170" t="str">
        <f t="shared" si="289"/>
        <v>1.15923729744793-0.049206309344006i</v>
      </c>
      <c r="AR574" s="170" t="str">
        <f t="shared" si="290"/>
        <v>0.717283540868618+0.0304466357984229i</v>
      </c>
    </row>
    <row r="575" spans="7:44">
      <c r="G575" s="688">
        <v>102330</v>
      </c>
      <c r="H575" s="676">
        <f t="shared" si="282"/>
        <v>102.33</v>
      </c>
      <c r="I575" s="677">
        <f t="shared" si="262"/>
        <v>526.92254542907494</v>
      </c>
      <c r="J575" s="678">
        <f t="shared" si="263"/>
        <v>1.5688985135224194</v>
      </c>
      <c r="K575" s="678">
        <f t="shared" si="264"/>
        <v>1.001824716268396</v>
      </c>
      <c r="L575" s="679">
        <f t="shared" si="265"/>
        <v>6.0364657276526866E-2</v>
      </c>
      <c r="M575" s="678">
        <f t="shared" si="266"/>
        <v>1.2065648571028078</v>
      </c>
      <c r="N575" s="679">
        <f t="shared" si="267"/>
        <v>-0.59383807341656814</v>
      </c>
      <c r="O575" s="677">
        <f t="shared" si="268"/>
        <v>1928875.0552472593</v>
      </c>
      <c r="P575" s="680">
        <f t="shared" si="269"/>
        <v>1.5707958083579987</v>
      </c>
      <c r="Q575" s="689">
        <f t="shared" si="291"/>
        <v>237.89669190905317</v>
      </c>
      <c r="R575" s="690">
        <f t="shared" si="292"/>
        <v>1.5665928091381014</v>
      </c>
      <c r="S575" s="677">
        <f t="shared" si="270"/>
        <v>1.9833871178725262</v>
      </c>
      <c r="T575" s="680">
        <f t="shared" si="271"/>
        <v>1.0423548673302296</v>
      </c>
      <c r="U575" s="681">
        <f t="shared" si="283"/>
        <v>0.40719829546622183</v>
      </c>
      <c r="V575" s="682">
        <f t="shared" si="284"/>
        <v>-1.6925581165609225</v>
      </c>
      <c r="W575" s="683">
        <f t="shared" si="272"/>
        <v>-35.700746996848977</v>
      </c>
      <c r="X575" s="684">
        <f t="shared" si="273"/>
        <v>-277.39682428249625</v>
      </c>
      <c r="Y575" s="687">
        <f t="shared" si="274"/>
        <v>-97.396824282496254</v>
      </c>
      <c r="AA575" s="170">
        <f t="shared" si="275"/>
        <v>102330</v>
      </c>
      <c r="AB575" s="170">
        <f t="shared" si="276"/>
        <v>10471428900</v>
      </c>
      <c r="AD575" s="686">
        <f t="shared" si="277"/>
        <v>20.978986464010063</v>
      </c>
      <c r="AE575" s="687">
        <f t="shared" si="278"/>
        <v>-59.963348838056007</v>
      </c>
      <c r="AG575" s="686">
        <f t="shared" si="279"/>
        <v>4.1090166610169438</v>
      </c>
      <c r="AH575" s="687">
        <f t="shared" si="280"/>
        <v>-23.480601903711758</v>
      </c>
      <c r="AJ575" s="170">
        <f t="shared" si="281"/>
        <v>0</v>
      </c>
      <c r="AK575" s="170">
        <f t="shared" si="293"/>
        <v>0</v>
      </c>
      <c r="AM575" s="170" t="str">
        <f t="shared" si="285"/>
        <v>1.94297659507298-0.332859040953624i</v>
      </c>
      <c r="AN575" s="170" t="str">
        <f t="shared" si="286"/>
        <v>3.48092654471512i</v>
      </c>
      <c r="AO575" s="170" t="str">
        <f t="shared" si="287"/>
        <v>-0.0956236900370632-0.558177993736433i</v>
      </c>
      <c r="AP575" s="170" t="str">
        <f t="shared" si="288"/>
        <v>-0.157162765845497+0.055476506825604i</v>
      </c>
      <c r="AQ575" s="170" t="str">
        <f t="shared" si="289"/>
        <v>1.1571627658455-0.055476506825604i</v>
      </c>
      <c r="AR575" s="170" t="str">
        <f t="shared" si="290"/>
        <v>0.718213402164124+0.0344324686927561i</v>
      </c>
    </row>
    <row r="576" spans="7:44">
      <c r="G576" s="688">
        <v>103520</v>
      </c>
      <c r="H576" s="676">
        <f t="shared" si="282"/>
        <v>103.52</v>
      </c>
      <c r="I576" s="677">
        <f t="shared" si="262"/>
        <v>533.05012857814825</v>
      </c>
      <c r="J576" s="678">
        <f t="shared" si="263"/>
        <v>1.568920329523817</v>
      </c>
      <c r="K576" s="678">
        <f t="shared" si="264"/>
        <v>1.0018673626603725</v>
      </c>
      <c r="L576" s="679">
        <f t="shared" si="265"/>
        <v>6.1064906679523724E-2</v>
      </c>
      <c r="M576" s="678">
        <f t="shared" si="266"/>
        <v>1.2109753924310573</v>
      </c>
      <c r="N576" s="679">
        <f t="shared" si="267"/>
        <v>-0.59921144227815037</v>
      </c>
      <c r="O576" s="677">
        <f t="shared" si="268"/>
        <v>1951306.0267682564</v>
      </c>
      <c r="P576" s="680">
        <f t="shared" si="269"/>
        <v>1.5707958143176193</v>
      </c>
      <c r="Q576" s="689">
        <f t="shared" si="291"/>
        <v>240.66315423633628</v>
      </c>
      <c r="R576" s="690">
        <f t="shared" si="292"/>
        <v>1.5666411295409186</v>
      </c>
      <c r="S576" s="677">
        <f t="shared" si="270"/>
        <v>2.0006139950910011</v>
      </c>
      <c r="T576" s="680">
        <f t="shared" si="271"/>
        <v>1.0473747328534679</v>
      </c>
      <c r="U576" s="681">
        <f t="shared" si="283"/>
        <v>0.40175058997714236</v>
      </c>
      <c r="V576" s="682">
        <f t="shared" si="284"/>
        <v>-1.7072454826212238</v>
      </c>
      <c r="W576" s="683">
        <f t="shared" si="272"/>
        <v>-35.961216360258348</v>
      </c>
      <c r="X576" s="684">
        <f t="shared" si="273"/>
        <v>-278.7921972529731</v>
      </c>
      <c r="Y576" s="687">
        <f t="shared" si="274"/>
        <v>-98.792197252973097</v>
      </c>
      <c r="AA576" s="170">
        <f t="shared" si="275"/>
        <v>103520</v>
      </c>
      <c r="AB576" s="170">
        <f t="shared" si="276"/>
        <v>10716390400</v>
      </c>
      <c r="AD576" s="686">
        <f t="shared" si="277"/>
        <v>20.903868422203288</v>
      </c>
      <c r="AE576" s="687">
        <f t="shared" si="278"/>
        <v>-60.248197732901602</v>
      </c>
      <c r="AG576" s="686">
        <f t="shared" si="279"/>
        <v>4.1576424662048375</v>
      </c>
      <c r="AH576" s="687">
        <f t="shared" si="280"/>
        <v>-22.908077802581939</v>
      </c>
      <c r="AJ576" s="170">
        <f t="shared" si="281"/>
        <v>0</v>
      </c>
      <c r="AK576" s="170">
        <f t="shared" si="293"/>
        <v>0</v>
      </c>
      <c r="AM576" s="170" t="str">
        <f t="shared" si="285"/>
        <v>1.92873370837145-0.370747486754282i</v>
      </c>
      <c r="AN576" s="170" t="str">
        <f t="shared" si="286"/>
        <v>3.52140639019749i</v>
      </c>
      <c r="AO576" s="170" t="str">
        <f t="shared" si="287"/>
        <v>-0.105283925134665-0.547716876342489i</v>
      </c>
      <c r="AP576" s="170" t="str">
        <f t="shared" si="288"/>
        <v>-0.154788951395241+0.0617912477923803i</v>
      </c>
      <c r="AQ576" s="170" t="str">
        <f t="shared" si="289"/>
        <v>1.15478895139524-0.0617912477923803i</v>
      </c>
      <c r="AR576" s="170" t="str">
        <f t="shared" si="290"/>
        <v>0.719284488404383+0.0384879730642649i</v>
      </c>
    </row>
    <row r="577" spans="7:44">
      <c r="G577" s="688">
        <v>104710</v>
      </c>
      <c r="H577" s="676">
        <f t="shared" si="282"/>
        <v>104.71</v>
      </c>
      <c r="I577" s="677">
        <f t="shared" si="262"/>
        <v>539.17771197515378</v>
      </c>
      <c r="J577" s="678">
        <f t="shared" si="263"/>
        <v>1.5689416496613751</v>
      </c>
      <c r="K577" s="678">
        <f t="shared" si="264"/>
        <v>1.0019105002752733</v>
      </c>
      <c r="L577" s="679">
        <f t="shared" si="265"/>
        <v>6.1765096126856468E-2</v>
      </c>
      <c r="M577" s="678">
        <f t="shared" si="266"/>
        <v>1.2154206380178383</v>
      </c>
      <c r="N577" s="679">
        <f t="shared" si="267"/>
        <v>-0.6045456594017119</v>
      </c>
      <c r="O577" s="677">
        <f t="shared" si="268"/>
        <v>1973736.9982892536</v>
      </c>
      <c r="P577" s="680">
        <f t="shared" si="269"/>
        <v>1.5707958201417809</v>
      </c>
      <c r="Q577" s="689">
        <f t="shared" si="291"/>
        <v>243.42961711276266</v>
      </c>
      <c r="R577" s="690">
        <f t="shared" si="292"/>
        <v>1.5666883516666323</v>
      </c>
      <c r="S577" s="677">
        <f t="shared" si="270"/>
        <v>2.0178904243790385</v>
      </c>
      <c r="T577" s="680">
        <f t="shared" si="271"/>
        <v>1.0523087644907672</v>
      </c>
      <c r="U577" s="681">
        <f t="shared" si="283"/>
        <v>0.39633770603866053</v>
      </c>
      <c r="V577" s="682">
        <f t="shared" si="284"/>
        <v>-1.7219878917257643</v>
      </c>
      <c r="W577" s="683">
        <f t="shared" si="272"/>
        <v>-36.220804061279914</v>
      </c>
      <c r="X577" s="684">
        <f t="shared" si="273"/>
        <v>-280.18360075200189</v>
      </c>
      <c r="Y577" s="687">
        <f t="shared" si="274"/>
        <v>-100.18360075200189</v>
      </c>
      <c r="AA577" s="170">
        <f t="shared" si="275"/>
        <v>104710</v>
      </c>
      <c r="AB577" s="170">
        <f t="shared" si="276"/>
        <v>10964184100</v>
      </c>
      <c r="AD577" s="686">
        <f t="shared" si="277"/>
        <v>20.829181189345203</v>
      </c>
      <c r="AE577" s="687">
        <f t="shared" si="278"/>
        <v>-60.528191627219663</v>
      </c>
      <c r="AG577" s="686">
        <f t="shared" si="279"/>
        <v>4.208387270233505</v>
      </c>
      <c r="AH577" s="687">
        <f t="shared" si="280"/>
        <v>-22.33013176227157</v>
      </c>
      <c r="AJ577" s="170">
        <f t="shared" si="281"/>
        <v>0</v>
      </c>
      <c r="AK577" s="170">
        <f t="shared" si="293"/>
        <v>0</v>
      </c>
      <c r="AM577" s="170" t="str">
        <f t="shared" si="285"/>
        <v>1.9129691897982-0.408028502042706i</v>
      </c>
      <c r="AN577" s="170" t="str">
        <f t="shared" si="286"/>
        <v>3.56188623567986i</v>
      </c>
      <c r="AO577" s="170" t="str">
        <f t="shared" si="287"/>
        <v>-0.114554052275851-0.537066335986744i</v>
      </c>
      <c r="AP577" s="170" t="str">
        <f t="shared" si="288"/>
        <v>-0.152161531633034+0.068004750340451i</v>
      </c>
      <c r="AQ577" s="170" t="str">
        <f t="shared" si="289"/>
        <v>1.15216153163303-0.068004750340451i</v>
      </c>
      <c r="AR577" s="170" t="str">
        <f t="shared" si="290"/>
        <v>0.720478905409482+0.0425252768320499i</v>
      </c>
    </row>
    <row r="578" spans="7:44">
      <c r="G578" s="688">
        <v>105930</v>
      </c>
      <c r="H578" s="676">
        <f t="shared" si="282"/>
        <v>105.93</v>
      </c>
      <c r="I578" s="677">
        <f t="shared" si="262"/>
        <v>545.45977251316026</v>
      </c>
      <c r="J578" s="678">
        <f t="shared" si="263"/>
        <v>1.5689630100031415</v>
      </c>
      <c r="K578" s="678">
        <f t="shared" si="264"/>
        <v>1.0019552352813255</v>
      </c>
      <c r="L578" s="679">
        <f t="shared" si="265"/>
        <v>6.2482874456477475E-2</v>
      </c>
      <c r="M578" s="678">
        <f t="shared" si="266"/>
        <v>1.2200135852720828</v>
      </c>
      <c r="N578" s="679">
        <f t="shared" si="267"/>
        <v>-0.60997383993390186</v>
      </c>
      <c r="O578" s="677">
        <f t="shared" si="268"/>
        <v>1996733.4564872507</v>
      </c>
      <c r="P578" s="680">
        <f t="shared" si="269"/>
        <v>1.5707958259769248</v>
      </c>
      <c r="Q578" s="689">
        <f t="shared" si="291"/>
        <v>246.26582330148952</v>
      </c>
      <c r="R578" s="690">
        <f t="shared" si="292"/>
        <v>1.5667356628555635</v>
      </c>
      <c r="S578" s="677">
        <f t="shared" si="270"/>
        <v>2.0356525147614279</v>
      </c>
      <c r="T578" s="680">
        <f t="shared" si="271"/>
        <v>1.0572801161205514</v>
      </c>
      <c r="U578" s="681">
        <f t="shared" si="283"/>
        <v>0.39082206175021011</v>
      </c>
      <c r="V578" s="682">
        <f t="shared" si="284"/>
        <v>-1.7371653960096227</v>
      </c>
      <c r="W578" s="683">
        <f t="shared" si="272"/>
        <v>-36.486120362748807</v>
      </c>
      <c r="X578" s="684">
        <f t="shared" si="273"/>
        <v>-281.60644478582486</v>
      </c>
      <c r="Y578" s="687">
        <f t="shared" si="274"/>
        <v>-101.60644478582486</v>
      </c>
      <c r="AA578" s="170">
        <f t="shared" si="275"/>
        <v>105930</v>
      </c>
      <c r="AB578" s="170">
        <f t="shared" si="276"/>
        <v>11221164900</v>
      </c>
      <c r="AD578" s="686">
        <f t="shared" si="277"/>
        <v>20.753058178768935</v>
      </c>
      <c r="AE578" s="687">
        <f t="shared" si="278"/>
        <v>-60.810318697283776</v>
      </c>
      <c r="AG578" s="686">
        <f t="shared" si="279"/>
        <v>4.2626467757261546</v>
      </c>
      <c r="AH578" s="687">
        <f t="shared" si="280"/>
        <v>-21.731634846029376</v>
      </c>
      <c r="AJ578" s="170">
        <f t="shared" si="281"/>
        <v>0</v>
      </c>
      <c r="AK578" s="170">
        <f t="shared" si="293"/>
        <v>0</v>
      </c>
      <c r="AM578" s="170" t="str">
        <f t="shared" si="285"/>
        <v>1.89525464523941-0.445554845307793i</v>
      </c>
      <c r="AN578" s="170" t="str">
        <f t="shared" si="286"/>
        <v>3.60338658146851i</v>
      </c>
      <c r="AO578" s="170" t="str">
        <f t="shared" si="287"/>
        <v>-0.123648916161034-0.525964839572396i</v>
      </c>
      <c r="AP578" s="170" t="str">
        <f t="shared" si="288"/>
        <v>-0.149209107539902+0.0742591408846322i</v>
      </c>
      <c r="AQ578" s="170" t="str">
        <f t="shared" si="289"/>
        <v>1.1492091075399-0.0742591408846322i</v>
      </c>
      <c r="AR578" s="170" t="str">
        <f t="shared" si="290"/>
        <v>0.721832362438409+0.0466430789189857i</v>
      </c>
    </row>
    <row r="579" spans="7:44">
      <c r="G579" s="688">
        <v>107150</v>
      </c>
      <c r="H579" s="676">
        <f t="shared" si="282"/>
        <v>107.15</v>
      </c>
      <c r="I579" s="677">
        <f t="shared" si="262"/>
        <v>551.74183329437324</v>
      </c>
      <c r="J579" s="678">
        <f t="shared" si="263"/>
        <v>1.5689838839327688</v>
      </c>
      <c r="K579" s="678">
        <f t="shared" si="264"/>
        <v>1.002000486454208</v>
      </c>
      <c r="L579" s="679">
        <f t="shared" si="265"/>
        <v>6.3200588324911919E-2</v>
      </c>
      <c r="M579" s="678">
        <f t="shared" si="266"/>
        <v>1.2246422101462791</v>
      </c>
      <c r="N579" s="679">
        <f t="shared" si="267"/>
        <v>-0.61536114579756018</v>
      </c>
      <c r="O579" s="677">
        <f t="shared" si="268"/>
        <v>2019729.9146852477</v>
      </c>
      <c r="P579" s="680">
        <f t="shared" si="269"/>
        <v>1.5707958316791919</v>
      </c>
      <c r="Q579" s="689">
        <f t="shared" si="291"/>
        <v>249.1020300288929</v>
      </c>
      <c r="R579" s="690">
        <f t="shared" si="292"/>
        <v>1.5667818967004066</v>
      </c>
      <c r="S579" s="677">
        <f t="shared" si="270"/>
        <v>2.053464043886934</v>
      </c>
      <c r="T579" s="680">
        <f t="shared" si="271"/>
        <v>1.0621653447957506</v>
      </c>
      <c r="U579" s="681">
        <f t="shared" si="283"/>
        <v>0.38533801484362395</v>
      </c>
      <c r="V579" s="682">
        <f t="shared" si="284"/>
        <v>-1.7524136020135834</v>
      </c>
      <c r="W579" s="683">
        <f t="shared" si="272"/>
        <v>-36.75071574283092</v>
      </c>
      <c r="X579" s="684">
        <f t="shared" si="273"/>
        <v>-283.02610084564475</v>
      </c>
      <c r="Y579" s="687">
        <f t="shared" si="274"/>
        <v>-103.02610084564475</v>
      </c>
      <c r="AA579" s="170">
        <f t="shared" si="275"/>
        <v>107150</v>
      </c>
      <c r="AB579" s="170">
        <f t="shared" si="276"/>
        <v>11481122500</v>
      </c>
      <c r="AD579" s="686">
        <f t="shared" si="277"/>
        <v>20.677387423197459</v>
      </c>
      <c r="AE579" s="687">
        <f t="shared" si="278"/>
        <v>-61.087573005181447</v>
      </c>
      <c r="AG579" s="686">
        <f t="shared" si="279"/>
        <v>4.3192107834375113</v>
      </c>
      <c r="AH579" s="687">
        <f t="shared" si="280"/>
        <v>-21.126720897609065</v>
      </c>
      <c r="AJ579" s="170">
        <f t="shared" si="281"/>
        <v>0</v>
      </c>
      <c r="AK579" s="170">
        <f t="shared" si="293"/>
        <v>0</v>
      </c>
      <c r="AM579" s="170" t="str">
        <f t="shared" si="285"/>
        <v>1.87599844395614-0.482313929081906i</v>
      </c>
      <c r="AN579" s="170" t="str">
        <f t="shared" si="286"/>
        <v>3.64488692725716i</v>
      </c>
      <c r="AO579" s="170" t="str">
        <f t="shared" si="287"/>
        <v>-0.132326170525365-0.514693180171672i</v>
      </c>
      <c r="AP579" s="170" t="str">
        <f t="shared" si="288"/>
        <v>-0.145999740659356+0.0803856548469843i</v>
      </c>
      <c r="AQ579" s="170" t="str">
        <f t="shared" si="289"/>
        <v>1.14599974065936-0.0803856548469843i</v>
      </c>
      <c r="AR579" s="170" t="str">
        <f t="shared" si="290"/>
        <v>0.723317345703293+0.0507367815485612i</v>
      </c>
    </row>
    <row r="580" spans="7:44">
      <c r="G580" s="688">
        <v>108400</v>
      </c>
      <c r="H580" s="676">
        <f t="shared" si="282"/>
        <v>108.4</v>
      </c>
      <c r="I580" s="677">
        <f t="shared" si="262"/>
        <v>558.17837122370645</v>
      </c>
      <c r="J580" s="678">
        <f t="shared" si="263"/>
        <v>1.5690047838285406</v>
      </c>
      <c r="K580" s="678">
        <f t="shared" si="264"/>
        <v>1.0020473856495493</v>
      </c>
      <c r="L580" s="679">
        <f t="shared" si="265"/>
        <v>6.3935883272683555E-2</v>
      </c>
      <c r="M580" s="678">
        <f t="shared" si="266"/>
        <v>1.2294212366523058</v>
      </c>
      <c r="N580" s="679">
        <f t="shared" si="267"/>
        <v>-0.62083868939036879</v>
      </c>
      <c r="O580" s="677">
        <f t="shared" si="268"/>
        <v>2043291.8595602449</v>
      </c>
      <c r="P580" s="680">
        <f t="shared" si="269"/>
        <v>1.570795837388552</v>
      </c>
      <c r="Q580" s="689">
        <f t="shared" si="291"/>
        <v>252.00798008436513</v>
      </c>
      <c r="R580" s="690">
        <f t="shared" si="292"/>
        <v>1.5668281880715744</v>
      </c>
      <c r="S580" s="677">
        <f t="shared" si="270"/>
        <v>2.0717635052868122</v>
      </c>
      <c r="T580" s="680">
        <f t="shared" si="271"/>
        <v>1.0670834585635829</v>
      </c>
      <c r="U580" s="681">
        <f t="shared" si="283"/>
        <v>0.37974920766169029</v>
      </c>
      <c r="V580" s="682">
        <f t="shared" si="284"/>
        <v>-1.7681169749838523</v>
      </c>
      <c r="W580" s="683">
        <f t="shared" si="272"/>
        <v>-37.021183992799372</v>
      </c>
      <c r="X580" s="684">
        <f t="shared" si="273"/>
        <v>-284.47788134019055</v>
      </c>
      <c r="Y580" s="687">
        <f t="shared" si="274"/>
        <v>-104.47788134019055</v>
      </c>
      <c r="AA580" s="170">
        <f t="shared" si="275"/>
        <v>108400</v>
      </c>
      <c r="AB580" s="170">
        <f t="shared" si="276"/>
        <v>11750560000</v>
      </c>
      <c r="AD580" s="686">
        <f t="shared" si="277"/>
        <v>20.600324302190785</v>
      </c>
      <c r="AE580" s="687">
        <f t="shared" si="278"/>
        <v>-61.366708194488808</v>
      </c>
      <c r="AG580" s="686">
        <f t="shared" si="279"/>
        <v>4.3796048262468465</v>
      </c>
      <c r="AH580" s="687">
        <f t="shared" si="280"/>
        <v>-20.499892210158826</v>
      </c>
      <c r="AJ580" s="170">
        <f t="shared" si="281"/>
        <v>0</v>
      </c>
      <c r="AK580" s="170">
        <f t="shared" si="293"/>
        <v>0</v>
      </c>
      <c r="AM580" s="170" t="str">
        <f t="shared" si="285"/>
        <v>1.85470443391471-0.519114949357593i</v>
      </c>
      <c r="AN580" s="170" t="str">
        <f t="shared" si="286"/>
        <v>3.68740777335208i</v>
      </c>
      <c r="AO580" s="170" t="str">
        <f t="shared" si="287"/>
        <v>-0.140780456424998-0.502983273864683i</v>
      </c>
      <c r="AP580" s="170" t="str">
        <f t="shared" si="288"/>
        <v>-0.142450738985785+0.0865191582262655i</v>
      </c>
      <c r="AQ580" s="170" t="str">
        <f t="shared" si="289"/>
        <v>1.14245073898578-0.0865191582262655i</v>
      </c>
      <c r="AR580" s="170" t="str">
        <f t="shared" si="290"/>
        <v>0.72497638810625+0.0549033272879277i</v>
      </c>
    </row>
    <row r="581" spans="7:44">
      <c r="G581" s="688">
        <v>109650</v>
      </c>
      <c r="H581" s="676">
        <f t="shared" si="282"/>
        <v>109.65</v>
      </c>
      <c r="I581" s="677">
        <f t="shared" si="262"/>
        <v>564.61490939129612</v>
      </c>
      <c r="J581" s="678">
        <f t="shared" si="263"/>
        <v>1.569025207212013</v>
      </c>
      <c r="K581" s="678">
        <f t="shared" si="264"/>
        <v>1.0020948265596064</v>
      </c>
      <c r="L581" s="679">
        <f t="shared" si="265"/>
        <v>6.4671108997649607E-2</v>
      </c>
      <c r="M581" s="678">
        <f t="shared" si="266"/>
        <v>1.2342368637798389</v>
      </c>
      <c r="N581" s="679">
        <f t="shared" si="267"/>
        <v>-0.62627365148639713</v>
      </c>
      <c r="O581" s="677">
        <f t="shared" si="268"/>
        <v>2066853.8044352422</v>
      </c>
      <c r="P581" s="680">
        <f t="shared" si="269"/>
        <v>1.5707958429677398</v>
      </c>
      <c r="Q581" s="689">
        <f t="shared" si="291"/>
        <v>254.91393066755069</v>
      </c>
      <c r="R581" s="690">
        <f t="shared" si="292"/>
        <v>1.566873424024354</v>
      </c>
      <c r="S581" s="677">
        <f t="shared" si="270"/>
        <v>2.090112199999814</v>
      </c>
      <c r="T581" s="680">
        <f t="shared" si="271"/>
        <v>1.0719153371444408</v>
      </c>
      <c r="U581" s="681">
        <f t="shared" si="283"/>
        <v>0.37418810337695563</v>
      </c>
      <c r="V581" s="682">
        <f t="shared" si="284"/>
        <v>-1.7839086134513864</v>
      </c>
      <c r="W581" s="683">
        <f t="shared" si="272"/>
        <v>-37.291131475455629</v>
      </c>
      <c r="X581" s="684">
        <f t="shared" si="273"/>
        <v>-285.92737555048558</v>
      </c>
      <c r="Y581" s="687">
        <f t="shared" si="274"/>
        <v>-105.92737555048558</v>
      </c>
      <c r="AA581" s="170">
        <f t="shared" si="275"/>
        <v>109650</v>
      </c>
      <c r="AB581" s="170">
        <f t="shared" si="276"/>
        <v>12023122500</v>
      </c>
      <c r="AD581" s="686">
        <f t="shared" si="277"/>
        <v>20.523734318650213</v>
      </c>
      <c r="AE581" s="687">
        <f t="shared" si="278"/>
        <v>-61.640962935092411</v>
      </c>
      <c r="AG581" s="686">
        <f t="shared" si="279"/>
        <v>4.4425233511854065</v>
      </c>
      <c r="AH581" s="687">
        <f t="shared" si="280"/>
        <v>-19.86554320621018</v>
      </c>
      <c r="AJ581" s="170">
        <f t="shared" si="281"/>
        <v>0</v>
      </c>
      <c r="AK581" s="170">
        <f t="shared" si="293"/>
        <v>0</v>
      </c>
      <c r="AM581" s="170" t="str">
        <f t="shared" si="285"/>
        <v>1.83186533196964-0.554977539605921i</v>
      </c>
      <c r="AN581" s="170" t="str">
        <f t="shared" si="286"/>
        <v>3.72992861944701i</v>
      </c>
      <c r="AO581" s="170" t="str">
        <f t="shared" si="287"/>
        <v>-0.148790391513766-0.491126109604003i</v>
      </c>
      <c r="AP581" s="170" t="str">
        <f t="shared" si="288"/>
        <v>-0.13864422199494+0.0924962566009868i</v>
      </c>
      <c r="AQ581" s="170" t="str">
        <f t="shared" si="289"/>
        <v>1.13864422199494-0.0924962566009868i</v>
      </c>
      <c r="AR581" s="170" t="str">
        <f t="shared" si="290"/>
        <v>0.726775868612318+0.0590386759411042i</v>
      </c>
    </row>
    <row r="582" spans="7:44">
      <c r="G582" s="688">
        <v>110925</v>
      </c>
      <c r="H582" s="676">
        <f t="shared" si="282"/>
        <v>110.925</v>
      </c>
      <c r="I582" s="677">
        <f t="shared" si="262"/>
        <v>571.18017855933624</v>
      </c>
      <c r="J582" s="678">
        <f t="shared" si="263"/>
        <v>1.5690455648665265</v>
      </c>
      <c r="K582" s="678">
        <f t="shared" si="264"/>
        <v>1.0021437742825747</v>
      </c>
      <c r="L582" s="679">
        <f t="shared" si="265"/>
        <v>6.5420967109710793E-2</v>
      </c>
      <c r="M582" s="678">
        <f t="shared" si="266"/>
        <v>1.2391860668730781</v>
      </c>
      <c r="N582" s="679">
        <f t="shared" si="267"/>
        <v>-0.63177362922779701</v>
      </c>
      <c r="O582" s="677">
        <f t="shared" si="268"/>
        <v>2090886.9882077393</v>
      </c>
      <c r="P582" s="680">
        <f t="shared" si="269"/>
        <v>1.5707958485289715</v>
      </c>
      <c r="Q582" s="689">
        <f t="shared" si="291"/>
        <v>257.87800078754901</v>
      </c>
      <c r="R582" s="690">
        <f t="shared" si="292"/>
        <v>1.5669185144061368</v>
      </c>
      <c r="S582" s="677">
        <f t="shared" si="270"/>
        <v>2.1088772560211027</v>
      </c>
      <c r="T582" s="680">
        <f t="shared" si="271"/>
        <v>1.0767571173067363</v>
      </c>
      <c r="U582" s="681">
        <f t="shared" si="283"/>
        <v>0.36854141126194401</v>
      </c>
      <c r="V582" s="682">
        <f t="shared" si="284"/>
        <v>-1.8001144848269832</v>
      </c>
      <c r="W582" s="683">
        <f t="shared" si="272"/>
        <v>-37.566071983368758</v>
      </c>
      <c r="X582" s="684">
        <f t="shared" si="273"/>
        <v>-287.40406219864622</v>
      </c>
      <c r="Y582" s="687">
        <f t="shared" si="274"/>
        <v>-107.40406219864622</v>
      </c>
      <c r="AA582" s="170">
        <f t="shared" si="275"/>
        <v>110925</v>
      </c>
      <c r="AB582" s="170">
        <f t="shared" si="276"/>
        <v>12304355625</v>
      </c>
      <c r="AD582" s="686">
        <f t="shared" si="277"/>
        <v>20.446098735334687</v>
      </c>
      <c r="AE582" s="687">
        <f t="shared" si="278"/>
        <v>-61.915793334098453</v>
      </c>
      <c r="AG582" s="686">
        <f t="shared" si="279"/>
        <v>4.5093656756655305</v>
      </c>
      <c r="AH582" s="687">
        <f t="shared" si="280"/>
        <v>-19.210343386935698</v>
      </c>
      <c r="AJ582" s="170">
        <f t="shared" si="281"/>
        <v>0</v>
      </c>
      <c r="AK582" s="170">
        <f t="shared" si="293"/>
        <v>0</v>
      </c>
      <c r="AM582" s="170" t="str">
        <f t="shared" si="285"/>
        <v>1.8070205263085-0.590523386595957i</v>
      </c>
      <c r="AN582" s="170" t="str">
        <f t="shared" si="286"/>
        <v>3.77329988246384i</v>
      </c>
      <c r="AO582" s="170" t="str">
        <f t="shared" si="287"/>
        <v>-0.156500518111581-0.478896611082121i</v>
      </c>
      <c r="AP582" s="170" t="str">
        <f t="shared" si="288"/>
        <v>-0.134503421051416+0.0984205644326595i</v>
      </c>
      <c r="AQ582" s="170" t="str">
        <f t="shared" si="289"/>
        <v>1.13450342105142-0.0984205644326595i</v>
      </c>
      <c r="AR582" s="170" t="str">
        <f t="shared" si="290"/>
        <v>0.728757370536082+0.0632212388360627i</v>
      </c>
    </row>
    <row r="583" spans="7:44">
      <c r="G583" s="688">
        <v>112200</v>
      </c>
      <c r="H583" s="676">
        <f t="shared" si="282"/>
        <v>112.2</v>
      </c>
      <c r="I583" s="677">
        <f t="shared" si="262"/>
        <v>577.74544795871293</v>
      </c>
      <c r="J583" s="678">
        <f t="shared" si="263"/>
        <v>1.5690654598484757</v>
      </c>
      <c r="K583" s="678">
        <f t="shared" si="264"/>
        <v>1.0021932854429207</v>
      </c>
      <c r="L583" s="679">
        <f t="shared" si="265"/>
        <v>6.6170751553142115E-2</v>
      </c>
      <c r="M583" s="678">
        <f t="shared" si="266"/>
        <v>1.2441724561587135</v>
      </c>
      <c r="N583" s="679">
        <f t="shared" si="267"/>
        <v>-0.63722968533993296</v>
      </c>
      <c r="O583" s="677">
        <f t="shared" si="268"/>
        <v>2114920.1719802367</v>
      </c>
      <c r="P583" s="680">
        <f t="shared" si="269"/>
        <v>1.5707958539638114</v>
      </c>
      <c r="Q583" s="689">
        <f t="shared" si="291"/>
        <v>260.84207141993437</v>
      </c>
      <c r="R583" s="690">
        <f t="shared" si="292"/>
        <v>1.5669625800217517</v>
      </c>
      <c r="S583" s="677">
        <f t="shared" si="270"/>
        <v>2.1276908774024879</v>
      </c>
      <c r="T583" s="680">
        <f t="shared" si="271"/>
        <v>1.0815133826599668</v>
      </c>
      <c r="U583" s="681">
        <f t="shared" si="283"/>
        <v>0.36291762838729619</v>
      </c>
      <c r="V583" s="682">
        <f t="shared" si="284"/>
        <v>-1.816427396150968</v>
      </c>
      <c r="W583" s="683">
        <f t="shared" si="272"/>
        <v>-37.840740390699402</v>
      </c>
      <c r="X583" s="684">
        <f t="shared" si="273"/>
        <v>-288.87950204170704</v>
      </c>
      <c r="Y583" s="687">
        <f t="shared" si="274"/>
        <v>-108.87950204170704</v>
      </c>
      <c r="AA583" s="170">
        <f t="shared" si="275"/>
        <v>112200</v>
      </c>
      <c r="AB583" s="170">
        <f t="shared" si="276"/>
        <v>12588840000</v>
      </c>
      <c r="AD583" s="686">
        <f t="shared" si="277"/>
        <v>20.368952689648737</v>
      </c>
      <c r="AE583" s="687">
        <f t="shared" si="278"/>
        <v>-62.185782802988392</v>
      </c>
      <c r="AG583" s="686">
        <f t="shared" si="279"/>
        <v>4.5789725298992661</v>
      </c>
      <c r="AH583" s="687">
        <f t="shared" si="280"/>
        <v>-18.546471818099562</v>
      </c>
      <c r="AJ583" s="170">
        <f t="shared" si="281"/>
        <v>0</v>
      </c>
      <c r="AK583" s="170">
        <f t="shared" si="293"/>
        <v>0</v>
      </c>
      <c r="AM583" s="170" t="str">
        <f t="shared" si="285"/>
        <v>1.78065789935555-0.624958593967455i</v>
      </c>
      <c r="AN583" s="170" t="str">
        <f t="shared" si="286"/>
        <v>3.81667114548066i</v>
      </c>
      <c r="AO583" s="170" t="str">
        <f t="shared" si="287"/>
        <v>-0.163744417620961-0.466547373740605i</v>
      </c>
      <c r="AP583" s="170" t="str">
        <f t="shared" si="288"/>
        <v>-0.130109649892592+0.104159765661243i</v>
      </c>
      <c r="AQ583" s="170" t="str">
        <f t="shared" si="289"/>
        <v>1.13010964989259-0.104159765661243i</v>
      </c>
      <c r="AR583" s="170" t="str">
        <f t="shared" si="290"/>
        <v>0.73088779063205+0.0673643491179229i</v>
      </c>
    </row>
    <row r="584" spans="7:44">
      <c r="G584" s="688">
        <v>113510</v>
      </c>
      <c r="H584" s="676">
        <f t="shared" si="282"/>
        <v>113.51</v>
      </c>
      <c r="I584" s="677">
        <f t="shared" si="262"/>
        <v>584.49094067239696</v>
      </c>
      <c r="J584" s="678">
        <f t="shared" si="263"/>
        <v>1.5690854354563448</v>
      </c>
      <c r="K584" s="678">
        <f t="shared" si="264"/>
        <v>1.0022447424954153</v>
      </c>
      <c r="L584" s="679">
        <f t="shared" si="265"/>
        <v>6.6941040710285518E-2</v>
      </c>
      <c r="M584" s="678">
        <f t="shared" si="266"/>
        <v>1.2493339900922487</v>
      </c>
      <c r="N584" s="679">
        <f t="shared" si="267"/>
        <v>-0.64278998231702056</v>
      </c>
      <c r="O584" s="677">
        <f t="shared" si="268"/>
        <v>2139613.090209234</v>
      </c>
      <c r="P584" s="680">
        <f t="shared" si="269"/>
        <v>1.5707958594206761</v>
      </c>
      <c r="Q584" s="689">
        <f t="shared" si="291"/>
        <v>263.88750921266063</v>
      </c>
      <c r="R584" s="690">
        <f t="shared" si="292"/>
        <v>1.5670068242285344</v>
      </c>
      <c r="S584" s="677">
        <f t="shared" si="270"/>
        <v>2.1470701926478957</v>
      </c>
      <c r="T584" s="680">
        <f t="shared" si="271"/>
        <v>1.0863132836313028</v>
      </c>
      <c r="U584" s="681">
        <f t="shared" si="283"/>
        <v>0.35716014905657323</v>
      </c>
      <c r="V584" s="682">
        <f t="shared" si="284"/>
        <v>-1.8333077919486278</v>
      </c>
      <c r="W584" s="683">
        <f t="shared" si="272"/>
        <v>-38.122817063990119</v>
      </c>
      <c r="X584" s="684">
        <f t="shared" si="273"/>
        <v>-290.39474860317335</v>
      </c>
      <c r="Y584" s="687">
        <f t="shared" si="274"/>
        <v>-110.39474860317335</v>
      </c>
      <c r="AA584" s="170">
        <f t="shared" si="275"/>
        <v>113510</v>
      </c>
      <c r="AB584" s="170">
        <f t="shared" si="276"/>
        <v>12884520100</v>
      </c>
      <c r="AD584" s="686">
        <f t="shared" si="277"/>
        <v>20.290197000264527</v>
      </c>
      <c r="AE584" s="687">
        <f t="shared" si="278"/>
        <v>-62.45826217737681</v>
      </c>
      <c r="AG584" s="686">
        <f t="shared" si="279"/>
        <v>4.653454290967062</v>
      </c>
      <c r="AH584" s="687">
        <f t="shared" si="280"/>
        <v>-17.854888131534612</v>
      </c>
      <c r="AJ584" s="170">
        <f t="shared" si="281"/>
        <v>0</v>
      </c>
      <c r="AK584" s="170">
        <f t="shared" si="293"/>
        <v>0</v>
      </c>
      <c r="AM584" s="170" t="str">
        <f t="shared" si="285"/>
        <v>1.75204283572571-0.659114233827208i</v>
      </c>
      <c r="AN584" s="170" t="str">
        <f t="shared" si="286"/>
        <v>3.86123299218815i</v>
      </c>
      <c r="AO584" s="170" t="str">
        <f t="shared" si="287"/>
        <v>-0.170700456346637-0.453752166541194i</v>
      </c>
      <c r="AP584" s="170" t="str">
        <f t="shared" si="288"/>
        <v>-0.125340472620952+0.109852372304535i</v>
      </c>
      <c r="AQ584" s="170" t="str">
        <f t="shared" si="289"/>
        <v>1.12534047262095-0.109852372304535i</v>
      </c>
      <c r="AR584" s="170" t="str">
        <f t="shared" si="290"/>
        <v>0.733233382364605+0.0715760505067704i</v>
      </c>
    </row>
    <row r="585" spans="7:44">
      <c r="G585" s="688">
        <v>114820</v>
      </c>
      <c r="H585" s="676">
        <f t="shared" si="282"/>
        <v>114.82</v>
      </c>
      <c r="I585" s="677">
        <f t="shared" si="262"/>
        <v>591.2364336139857</v>
      </c>
      <c r="J585" s="678">
        <f t="shared" si="263"/>
        <v>1.5691049552556342</v>
      </c>
      <c r="K585" s="678">
        <f t="shared" si="264"/>
        <v>1.0022967941639369</v>
      </c>
      <c r="L585" s="679">
        <f t="shared" si="265"/>
        <v>6.7711250318475261E-2</v>
      </c>
      <c r="M585" s="678">
        <f t="shared" si="266"/>
        <v>1.2545338310352163</v>
      </c>
      <c r="N585" s="679">
        <f t="shared" si="267"/>
        <v>-0.64830435553630883</v>
      </c>
      <c r="O585" s="677">
        <f t="shared" si="268"/>
        <v>2164306.008438231</v>
      </c>
      <c r="P585" s="680">
        <f t="shared" si="269"/>
        <v>1.5707958647530245</v>
      </c>
      <c r="Q585" s="689">
        <f t="shared" si="291"/>
        <v>266.93294751017265</v>
      </c>
      <c r="R585" s="690">
        <f t="shared" si="292"/>
        <v>1.5670500588709906</v>
      </c>
      <c r="S585" s="677">
        <f t="shared" si="270"/>
        <v>2.1664980887371517</v>
      </c>
      <c r="T585" s="680">
        <f t="shared" si="271"/>
        <v>1.0910272061452122</v>
      </c>
      <c r="U585" s="681">
        <f t="shared" si="283"/>
        <v>0.35142035092528984</v>
      </c>
      <c r="V585" s="682">
        <f t="shared" si="284"/>
        <v>-1.8503179514796859</v>
      </c>
      <c r="W585" s="683">
        <f t="shared" si="272"/>
        <v>-38.40492214293451</v>
      </c>
      <c r="X585" s="684">
        <f t="shared" si="273"/>
        <v>-291.90990891720855</v>
      </c>
      <c r="Y585" s="687">
        <f t="shared" si="274"/>
        <v>-111.90990891720855</v>
      </c>
      <c r="AA585" s="170">
        <f t="shared" si="275"/>
        <v>114820</v>
      </c>
      <c r="AB585" s="170">
        <f t="shared" si="276"/>
        <v>13183632400</v>
      </c>
      <c r="AD585" s="686">
        <f t="shared" si="277"/>
        <v>20.211954235508244</v>
      </c>
      <c r="AE585" s="687">
        <f t="shared" si="278"/>
        <v>-62.725873185660866</v>
      </c>
      <c r="AG585" s="686">
        <f t="shared" si="279"/>
        <v>4.731035474612673</v>
      </c>
      <c r="AH585" s="687">
        <f t="shared" si="280"/>
        <v>-17.153216735110686</v>
      </c>
      <c r="AJ585" s="170">
        <f t="shared" si="281"/>
        <v>0</v>
      </c>
      <c r="AK585" s="170">
        <f t="shared" si="293"/>
        <v>0</v>
      </c>
      <c r="AM585" s="170" t="str">
        <f t="shared" si="285"/>
        <v>1.72193464398879-0.691961248776826i</v>
      </c>
      <c r="AN585" s="170" t="str">
        <f t="shared" si="286"/>
        <v>3.90579483889563i</v>
      </c>
      <c r="AO585" s="170" t="str">
        <f t="shared" si="287"/>
        <v>-0.177162722907504-0.440866639189802i</v>
      </c>
      <c r="AP585" s="170" t="str">
        <f t="shared" si="288"/>
        <v>-0.120322440664798+0.115326874796138i</v>
      </c>
      <c r="AQ585" s="170" t="str">
        <f t="shared" si="289"/>
        <v>1.1203224406648-0.115326874796138i</v>
      </c>
      <c r="AR585" s="170" t="str">
        <f t="shared" si="290"/>
        <v>0.735739452755058+0.0757375989899045i</v>
      </c>
    </row>
    <row r="586" spans="7:44">
      <c r="G586" s="688">
        <v>116155</v>
      </c>
      <c r="H586" s="676">
        <f t="shared" si="282"/>
        <v>116.155</v>
      </c>
      <c r="I586" s="677">
        <f t="shared" si="262"/>
        <v>598.11065756338894</v>
      </c>
      <c r="J586" s="678">
        <f t="shared" si="263"/>
        <v>1.5691243945976558</v>
      </c>
      <c r="K586" s="678">
        <f t="shared" si="264"/>
        <v>1.0023504508347538</v>
      </c>
      <c r="L586" s="679">
        <f t="shared" si="265"/>
        <v>6.8496075809496348E-2</v>
      </c>
      <c r="M586" s="678">
        <f t="shared" si="266"/>
        <v>1.2598718250474521</v>
      </c>
      <c r="N586" s="679">
        <f t="shared" si="267"/>
        <v>-0.65387696188178857</v>
      </c>
      <c r="O586" s="677">
        <f t="shared" si="268"/>
        <v>2189470.1655647284</v>
      </c>
      <c r="P586" s="680">
        <f t="shared" si="269"/>
        <v>1.5707958700633935</v>
      </c>
      <c r="Q586" s="689">
        <f t="shared" si="291"/>
        <v>270.03650536080914</v>
      </c>
      <c r="R586" s="690">
        <f t="shared" si="292"/>
        <v>1.567093115318742</v>
      </c>
      <c r="S586" s="677">
        <f t="shared" si="270"/>
        <v>2.1863453856956077</v>
      </c>
      <c r="T586" s="680">
        <f t="shared" si="271"/>
        <v>1.0957447927809227</v>
      </c>
      <c r="U586" s="681">
        <f t="shared" si="283"/>
        <v>0.34558574680849485</v>
      </c>
      <c r="V586" s="682">
        <f t="shared" si="284"/>
        <v>-1.8677951706273006</v>
      </c>
      <c r="W586" s="683">
        <f t="shared" si="272"/>
        <v>-38.692616798239143</v>
      </c>
      <c r="X586" s="684">
        <f t="shared" si="273"/>
        <v>-293.45454439744373</v>
      </c>
      <c r="Y586" s="687">
        <f t="shared" si="274"/>
        <v>-113.45454439744373</v>
      </c>
      <c r="AA586" s="170">
        <f t="shared" si="275"/>
        <v>116155</v>
      </c>
      <c r="AB586" s="170">
        <f t="shared" si="276"/>
        <v>13491984025</v>
      </c>
      <c r="AD586" s="686">
        <f t="shared" si="277"/>
        <v>20.132743642041333</v>
      </c>
      <c r="AE586" s="687">
        <f t="shared" si="278"/>
        <v>-62.993704341205202</v>
      </c>
      <c r="AG586" s="686">
        <f t="shared" si="279"/>
        <v>4.8133948437791538</v>
      </c>
      <c r="AH586" s="687">
        <f t="shared" si="280"/>
        <v>-16.427279267946002</v>
      </c>
      <c r="AJ586" s="170">
        <f t="shared" si="281"/>
        <v>0</v>
      </c>
      <c r="AK586" s="170">
        <f t="shared" si="293"/>
        <v>0</v>
      </c>
      <c r="AM586" s="170" t="str">
        <f t="shared" si="285"/>
        <v>1.68977763138927-0.72402128368923i</v>
      </c>
      <c r="AN586" s="170" t="str">
        <f t="shared" si="286"/>
        <v>3.95120710252501i</v>
      </c>
      <c r="AO586" s="170" t="str">
        <f t="shared" si="287"/>
        <v>-0.183240530020951-0.427661114070538i</v>
      </c>
      <c r="AP586" s="170" t="str">
        <f t="shared" si="288"/>
        <v>-0.114962938564879+0.120670213948205i</v>
      </c>
      <c r="AQ586" s="170" t="str">
        <f t="shared" si="289"/>
        <v>1.11496293856488-0.120670213948205i</v>
      </c>
      <c r="AR586" s="170" t="str">
        <f t="shared" si="290"/>
        <v>0.738460228051754+0.0799220768951685i</v>
      </c>
    </row>
    <row r="587" spans="7:44">
      <c r="G587" s="688">
        <v>117490</v>
      </c>
      <c r="H587" s="676">
        <f t="shared" si="282"/>
        <v>117.49</v>
      </c>
      <c r="I587" s="677">
        <f t="shared" si="262"/>
        <v>604.98488173367468</v>
      </c>
      <c r="J587" s="678">
        <f t="shared" si="263"/>
        <v>1.5691433921752744</v>
      </c>
      <c r="K587" s="678">
        <f t="shared" si="264"/>
        <v>1.0024047248380665</v>
      </c>
      <c r="L587" s="679">
        <f t="shared" si="265"/>
        <v>6.9280816796963504E-2</v>
      </c>
      <c r="M587" s="678">
        <f t="shared" si="266"/>
        <v>1.2652486122177415</v>
      </c>
      <c r="N587" s="679">
        <f t="shared" si="267"/>
        <v>-0.65940237602545171</v>
      </c>
      <c r="O587" s="677">
        <f t="shared" si="268"/>
        <v>2214634.3226912259</v>
      </c>
      <c r="P587" s="680">
        <f t="shared" si="269"/>
        <v>1.5707958752530824</v>
      </c>
      <c r="Q587" s="689">
        <f t="shared" si="291"/>
        <v>273.14006370067847</v>
      </c>
      <c r="R587" s="690">
        <f t="shared" si="292"/>
        <v>1.567135193307418</v>
      </c>
      <c r="S587" s="677">
        <f t="shared" si="270"/>
        <v>2.2062404650476362</v>
      </c>
      <c r="T587" s="680">
        <f t="shared" si="271"/>
        <v>1.100377397992411</v>
      </c>
      <c r="U587" s="681">
        <f t="shared" si="283"/>
        <v>0.33976246871657539</v>
      </c>
      <c r="V587" s="682">
        <f t="shared" si="284"/>
        <v>-1.8854253501680296</v>
      </c>
      <c r="W587" s="683">
        <f t="shared" si="272"/>
        <v>-38.980707231129557</v>
      </c>
      <c r="X587" s="684">
        <f t="shared" si="273"/>
        <v>-295.00040645682566</v>
      </c>
      <c r="Y587" s="687">
        <f t="shared" si="274"/>
        <v>-115.00040645682566</v>
      </c>
      <c r="AA587" s="170">
        <f t="shared" si="275"/>
        <v>117490</v>
      </c>
      <c r="AB587" s="170">
        <f t="shared" si="276"/>
        <v>13803900100</v>
      </c>
      <c r="AD587" s="686">
        <f t="shared" si="277"/>
        <v>20.054060785579747</v>
      </c>
      <c r="AE587" s="687">
        <f t="shared" si="278"/>
        <v>-63.256722474460062</v>
      </c>
      <c r="AG587" s="686">
        <f t="shared" si="279"/>
        <v>4.8992040168874329</v>
      </c>
      <c r="AH587" s="687">
        <f t="shared" si="280"/>
        <v>-15.689853432281216</v>
      </c>
      <c r="AJ587" s="170">
        <f t="shared" si="281"/>
        <v>0</v>
      </c>
      <c r="AK587" s="170">
        <f t="shared" si="293"/>
        <v>0</v>
      </c>
      <c r="AM587" s="170" t="str">
        <f t="shared" si="285"/>
        <v>1.65619835298034-0.754588445144699i</v>
      </c>
      <c r="AN587" s="170" t="str">
        <f t="shared" si="286"/>
        <v>3.99661936615439i</v>
      </c>
      <c r="AO587" s="170" t="str">
        <f t="shared" si="287"/>
        <v>-0.188806682851756-0.41439982176085i</v>
      </c>
      <c r="AP587" s="170" t="str">
        <f t="shared" si="288"/>
        <v>-0.109366392163389+0.12576474085745i</v>
      </c>
      <c r="AQ587" s="170" t="str">
        <f t="shared" si="289"/>
        <v>1.10936639216339-0.12576474085745i</v>
      </c>
      <c r="AR587" s="170" t="str">
        <f t="shared" si="290"/>
        <v>0.74135128314668+0.0840442370238563i</v>
      </c>
    </row>
    <row r="588" spans="7:44">
      <c r="G588" s="688">
        <v>118860</v>
      </c>
      <c r="H588" s="676">
        <f t="shared" si="282"/>
        <v>118.86</v>
      </c>
      <c r="I588" s="677">
        <f t="shared" si="262"/>
        <v>612.0393292313878</v>
      </c>
      <c r="J588" s="678">
        <f t="shared" si="263"/>
        <v>1.5691624441387204</v>
      </c>
      <c r="K588" s="678">
        <f t="shared" si="264"/>
        <v>1.0024610634719349</v>
      </c>
      <c r="L588" s="679">
        <f t="shared" si="265"/>
        <v>7.0086042663258866E-2</v>
      </c>
      <c r="M588" s="678">
        <f t="shared" si="266"/>
        <v>1.2708061794758319</v>
      </c>
      <c r="N588" s="679">
        <f t="shared" si="267"/>
        <v>-0.66502386366131327</v>
      </c>
      <c r="O588" s="677">
        <f t="shared" si="268"/>
        <v>2240458.2142742234</v>
      </c>
      <c r="P588" s="680">
        <f t="shared" si="269"/>
        <v>1.5707958804576279</v>
      </c>
      <c r="Q588" s="689">
        <f t="shared" si="291"/>
        <v>276.3249892299491</v>
      </c>
      <c r="R588" s="690">
        <f t="shared" si="292"/>
        <v>1.567177391766357</v>
      </c>
      <c r="S588" s="677">
        <f t="shared" si="270"/>
        <v>2.2267054729004392</v>
      </c>
      <c r="T588" s="680">
        <f t="shared" si="271"/>
        <v>1.1050452879611028</v>
      </c>
      <c r="U588" s="681">
        <f t="shared" si="283"/>
        <v>0.33379451994200882</v>
      </c>
      <c r="V588" s="682">
        <f t="shared" si="284"/>
        <v>-1.9036865611861171</v>
      </c>
      <c r="W588" s="683">
        <f t="shared" si="272"/>
        <v>-39.276970244133459</v>
      </c>
      <c r="X588" s="684">
        <f t="shared" si="273"/>
        <v>-296.58877274733493</v>
      </c>
      <c r="Y588" s="687">
        <f t="shared" si="274"/>
        <v>-116.58877274733493</v>
      </c>
      <c r="AA588" s="170">
        <f t="shared" si="275"/>
        <v>118860</v>
      </c>
      <c r="AB588" s="170">
        <f t="shared" si="276"/>
        <v>14127699600</v>
      </c>
      <c r="AD588" s="686">
        <f t="shared" si="277"/>
        <v>19.973860836298446</v>
      </c>
      <c r="AE588" s="687">
        <f t="shared" si="278"/>
        <v>-63.521755373799735</v>
      </c>
      <c r="AG588" s="686">
        <f t="shared" si="279"/>
        <v>4.9909890008146016</v>
      </c>
      <c r="AH588" s="687">
        <f t="shared" si="280"/>
        <v>-14.920606180791253</v>
      </c>
      <c r="AJ588" s="170">
        <f t="shared" si="281"/>
        <v>0</v>
      </c>
      <c r="AK588" s="170">
        <f t="shared" si="293"/>
        <v>0</v>
      </c>
      <c r="AM588" s="170" t="str">
        <f t="shared" si="285"/>
        <v>1.62033266539542-0.784338819798829i</v>
      </c>
      <c r="AN588" s="170" t="str">
        <f t="shared" si="286"/>
        <v>4.04322221347443i</v>
      </c>
      <c r="AO588" s="170" t="str">
        <f t="shared" si="287"/>
        <v>-0.193988551305675-0.400752810467726i</v>
      </c>
      <c r="AP588" s="170" t="str">
        <f t="shared" si="288"/>
        <v>-0.103388777565902+0.130723136633138i</v>
      </c>
      <c r="AQ588" s="170" t="str">
        <f t="shared" si="289"/>
        <v>1.1033887775659-0.130723136633138i</v>
      </c>
      <c r="AR588" s="170" t="str">
        <f t="shared" si="290"/>
        <v>0.74449708912295+0.0882037199246213i</v>
      </c>
    </row>
    <row r="589" spans="7:44">
      <c r="G589" s="688">
        <v>120230</v>
      </c>
      <c r="H589" s="676">
        <f t="shared" si="282"/>
        <v>120.23</v>
      </c>
      <c r="I589" s="677">
        <f t="shared" ref="I589:I613" si="294">SQRT(1+(G589/pole1)^2)</f>
        <v>619.09377694619445</v>
      </c>
      <c r="J589" s="678">
        <f t="shared" ref="J589:J613" si="295">ATAN(G589/pole1)</f>
        <v>1.5691810619156732</v>
      </c>
      <c r="K589" s="678">
        <f t="shared" ref="K589:K613" si="296">SQRT(1+(G589/Zero1)^2)</f>
        <v>1.0025180520169246</v>
      </c>
      <c r="L589" s="679">
        <f t="shared" ref="L589:L613" si="297">ATAN(G589/Zero1)</f>
        <v>7.0891177504763897E-2</v>
      </c>
      <c r="M589" s="678">
        <f t="shared" ref="M589:M613" si="298">SQRT(1+(G589/z_RHP)^2)</f>
        <v>1.2764035551896744</v>
      </c>
      <c r="N589" s="679">
        <f t="shared" ref="N589:N613" si="299">-ATAN(G589/z_RHP)</f>
        <v>-0.6705962226139649</v>
      </c>
      <c r="O589" s="677">
        <f t="shared" ref="O589:O613" si="300">SQRT(1+(G589/Pole2)^2)</f>
        <v>2266282.1058572209</v>
      </c>
      <c r="P589" s="680">
        <f t="shared" ref="P589:P613" si="301">ATAN(G589/Pole2)</f>
        <v>1.5707958855435638</v>
      </c>
      <c r="Q589" s="689">
        <f t="shared" si="291"/>
        <v>279.50991524006082</v>
      </c>
      <c r="R589" s="690">
        <f t="shared" si="292"/>
        <v>1.5672186285495049</v>
      </c>
      <c r="S589" s="677">
        <f t="shared" ref="S589:S613" si="302">SQRT(1+(G589/pole4)^2)</f>
        <v>2.247218114575332</v>
      </c>
      <c r="T589" s="680">
        <f t="shared" ref="T589:T613" si="303">ATAN(G589/pole4)</f>
        <v>1.1096280591291559</v>
      </c>
      <c r="U589" s="681">
        <f t="shared" si="283"/>
        <v>0.32783078164301682</v>
      </c>
      <c r="V589" s="682">
        <f t="shared" si="284"/>
        <v>-1.9221288825727931</v>
      </c>
      <c r="W589" s="683">
        <f t="shared" ref="W589:W613" si="304">20*LOG10(((K589*Q589*M589*U589)/(I589*O589*S589))*Adc)</f>
        <v>-39.574084656233921</v>
      </c>
      <c r="X589" s="684">
        <f t="shared" ref="X589:X613" si="305">((L589+R589+N589+V589)-(J589+P589+T589))*radconv</f>
        <v>-298.17985951480966</v>
      </c>
      <c r="Y589" s="687">
        <f t="shared" ref="Y589:Y613" si="306">IF(X589&gt;0,X589,X589+180)</f>
        <v>-118.17985951480966</v>
      </c>
      <c r="AA589" s="170">
        <f t="shared" ref="AA589:AA613" si="307">IF(W589&lt;0,G589,1000000000)</f>
        <v>120230</v>
      </c>
      <c r="AB589" s="170">
        <f t="shared" ref="AB589:AB613" si="308">G589^2</f>
        <v>14455252900</v>
      </c>
      <c r="AD589" s="686">
        <f t="shared" ref="AD589:AD613" si="309">20*LOG10((Q589/(O589*S589))*Aea)</f>
        <v>19.894210538354191</v>
      </c>
      <c r="AE589" s="687">
        <f t="shared" ref="AE589:AE613" si="310">(R589-(P589+T589))*radconv</f>
        <v>-63.781966418268347</v>
      </c>
      <c r="AG589" s="686">
        <f t="shared" ref="AG589:AG613" si="311">20*LOG10((K589*M589/(I589*U589))*Acs*Am)</f>
        <v>5.0867038145665386</v>
      </c>
      <c r="AH589" s="687">
        <f t="shared" ref="AH589:AH613" si="312">(L589+N589-(J589+V589))*radconv</f>
        <v>-14.138147541621789</v>
      </c>
      <c r="AJ589" s="170">
        <f t="shared" ref="AJ589:AJ613" si="313">SUM((W590&lt;0)*(W589&gt;0))*G589</f>
        <v>0</v>
      </c>
      <c r="AK589" s="170">
        <f t="shared" si="293"/>
        <v>0</v>
      </c>
      <c r="AM589" s="170" t="str">
        <f t="shared" si="285"/>
        <v>1.58311996740054-0.812386055775699i</v>
      </c>
      <c r="AN589" s="170" t="str">
        <f t="shared" si="286"/>
        <v>4.08982506079447i</v>
      </c>
      <c r="AO589" s="170" t="str">
        <f t="shared" si="287"/>
        <v>-0.198635893638416-0.387087453342811i</v>
      </c>
      <c r="AP589" s="170" t="str">
        <f t="shared" si="288"/>
        <v>-0.0971866612334228+0.135397675962617i</v>
      </c>
      <c r="AQ589" s="170" t="str">
        <f t="shared" si="289"/>
        <v>1.09718666123342-0.135397675962617i</v>
      </c>
      <c r="AR589" s="170" t="str">
        <f t="shared" si="290"/>
        <v>0.747826098282371+0.0922850407402861i</v>
      </c>
    </row>
    <row r="590" spans="7:44">
      <c r="G590" s="688">
        <v>126030</v>
      </c>
      <c r="H590" s="676">
        <f t="shared" ref="H590:H613" si="314">G590/1000</f>
        <v>126.03</v>
      </c>
      <c r="I590" s="677">
        <f t="shared" si="294"/>
        <v>648.95932425825288</v>
      </c>
      <c r="J590" s="678">
        <f t="shared" si="295"/>
        <v>1.5692553975588663</v>
      </c>
      <c r="K590" s="678">
        <f t="shared" si="296"/>
        <v>1.0027665147740954</v>
      </c>
      <c r="L590" s="679">
        <f t="shared" si="297"/>
        <v>7.4298745501154395E-2</v>
      </c>
      <c r="M590" s="678">
        <f t="shared" si="298"/>
        <v>1.3005295874016454</v>
      </c>
      <c r="N590" s="679">
        <f t="shared" si="299"/>
        <v>-0.69364998510117015</v>
      </c>
      <c r="O590" s="677">
        <f t="shared" si="300"/>
        <v>2375609.5300772106</v>
      </c>
      <c r="P590" s="680">
        <f t="shared" si="301"/>
        <v>1.570795905850298</v>
      </c>
      <c r="Q590" s="689">
        <f t="shared" si="291"/>
        <v>292.99354857001657</v>
      </c>
      <c r="R590" s="690">
        <f t="shared" si="292"/>
        <v>1.567383275735003</v>
      </c>
      <c r="S590" s="677">
        <f t="shared" si="302"/>
        <v>2.3345587032818966</v>
      </c>
      <c r="T590" s="680">
        <f t="shared" si="303"/>
        <v>1.1281342418454123</v>
      </c>
      <c r="U590" s="681">
        <f t="shared" ref="U590:U613" si="315">IMABS(IMPRODUCT(AO590, AR590))</f>
        <v>0.30253773775424164</v>
      </c>
      <c r="V590" s="682">
        <f t="shared" ref="V590:V613" si="316">IMARGUMENT(IMPRODUCT(AO590, AR590))</f>
        <v>-2.0024512918033088</v>
      </c>
      <c r="W590" s="683">
        <f t="shared" si="304"/>
        <v>-40.847108269806007</v>
      </c>
      <c r="X590" s="684">
        <f t="shared" si="305"/>
        <v>-304.96279145742255</v>
      </c>
      <c r="Y590" s="687">
        <f t="shared" si="306"/>
        <v>-124.96279145742255</v>
      </c>
      <c r="AA590" s="170">
        <f t="shared" si="307"/>
        <v>126030</v>
      </c>
      <c r="AB590" s="170">
        <f t="shared" si="308"/>
        <v>15883560900</v>
      </c>
      <c r="AD590" s="686">
        <f t="shared" si="309"/>
        <v>19.563014101950067</v>
      </c>
      <c r="AE590" s="687">
        <f t="shared" si="310"/>
        <v>-64.832860158661035</v>
      </c>
      <c r="AG590" s="686">
        <f t="shared" si="311"/>
        <v>5.539683600752074</v>
      </c>
      <c r="AH590" s="687">
        <f t="shared" si="312"/>
        <v>-10.665915634862207</v>
      </c>
      <c r="AJ590" s="170">
        <f t="shared" si="313"/>
        <v>0</v>
      </c>
      <c r="AK590" s="170">
        <f t="shared" si="293"/>
        <v>0</v>
      </c>
      <c r="AM590" s="170" t="str">
        <f t="shared" ref="AM590:AM613" si="317">IMSUB(1,IMEXP(COMPLEX(0,-2*Pi*G590*Tsw)))</f>
        <v>1.41256419084101-0.910928530915407i</v>
      </c>
      <c r="AN590" s="170" t="str">
        <f t="shared" ref="AN590:AN613" si="318">COMPLEX(0, 2*Pi*G590*Tsw)</f>
        <v>4.28712178667494i</v>
      </c>
      <c r="AO590" s="170" t="str">
        <f t="shared" ref="AO590:AO613" si="319">IMDIV(AM590, AN590)</f>
        <v>-0.212480208457506-0.329490101081683i</v>
      </c>
      <c r="AP590" s="170" t="str">
        <f t="shared" ref="AP590:AP613" si="320">IMDIV(IMEXP(COMPLEX(0,-2*Pi*G590*Tsw)),6)</f>
        <v>-0.0687606984735018+0.151821421819234i</v>
      </c>
      <c r="AQ590" s="170" t="str">
        <f t="shared" ref="AQ590:AQ613" si="321">IMSUB(1, AP590)</f>
        <v>1.0687606984735-0.151821421819234i</v>
      </c>
      <c r="AR590" s="170" t="str">
        <f t="shared" ref="AR590:AR613" si="322">IMDIV(0.833, AQ590)</f>
        <v>0.763990639604368+0.108527704402855i</v>
      </c>
    </row>
    <row r="591" spans="7:44">
      <c r="G591" s="688">
        <v>131830</v>
      </c>
      <c r="H591" s="676">
        <f t="shared" si="314"/>
        <v>131.83000000000001</v>
      </c>
      <c r="I591" s="677">
        <f t="shared" si="294"/>
        <v>678.82487484078297</v>
      </c>
      <c r="J591" s="678">
        <f t="shared" si="295"/>
        <v>1.5693231922667574</v>
      </c>
      <c r="K591" s="678">
        <f t="shared" si="296"/>
        <v>1.0030266153269489</v>
      </c>
      <c r="L591" s="679">
        <f t="shared" si="297"/>
        <v>7.7704585755992206E-2</v>
      </c>
      <c r="M591" s="678">
        <f t="shared" si="298"/>
        <v>1.3253214452559905</v>
      </c>
      <c r="N591" s="679">
        <f t="shared" si="299"/>
        <v>-0.71585268589029205</v>
      </c>
      <c r="O591" s="677">
        <f t="shared" si="300"/>
        <v>2484936.9542972012</v>
      </c>
      <c r="P591" s="680">
        <f t="shared" si="301"/>
        <v>1.5707959243701999</v>
      </c>
      <c r="Q591" s="689">
        <f t="shared" si="291"/>
        <v>306.47718914376054</v>
      </c>
      <c r="R591" s="690">
        <f t="shared" si="292"/>
        <v>1.5675334354286385</v>
      </c>
      <c r="S591" s="677">
        <f t="shared" si="302"/>
        <v>2.4226410269392917</v>
      </c>
      <c r="T591" s="680">
        <f t="shared" si="303"/>
        <v>1.1453002590985566</v>
      </c>
      <c r="U591" s="681">
        <f t="shared" si="315"/>
        <v>0.27694247938440275</v>
      </c>
      <c r="V591" s="682">
        <f t="shared" si="316"/>
        <v>-2.0870064336192744</v>
      </c>
      <c r="W591" s="683">
        <f t="shared" si="304"/>
        <v>-42.161130560816879</v>
      </c>
      <c r="X591" s="684">
        <f t="shared" si="305"/>
        <v>-311.8632472389063</v>
      </c>
      <c r="Y591" s="687">
        <f t="shared" si="306"/>
        <v>-131.8632472389063</v>
      </c>
      <c r="AA591" s="170">
        <f t="shared" si="307"/>
        <v>131830</v>
      </c>
      <c r="AB591" s="170">
        <f t="shared" si="308"/>
        <v>17379148900</v>
      </c>
      <c r="AD591" s="686">
        <f t="shared" si="309"/>
        <v>19.241324373328723</v>
      </c>
      <c r="AE591" s="687">
        <f t="shared" si="310"/>
        <v>-65.807798043842894</v>
      </c>
      <c r="AG591" s="686">
        <f t="shared" si="311"/>
        <v>6.0829502028581235</v>
      </c>
      <c r="AH591" s="687">
        <f t="shared" si="312"/>
        <v>-6.9021279957224637</v>
      </c>
      <c r="AJ591" s="170">
        <f t="shared" si="313"/>
        <v>0</v>
      </c>
      <c r="AK591" s="170">
        <f t="shared" si="293"/>
        <v>0</v>
      </c>
      <c r="AM591" s="170" t="str">
        <f t="shared" si="317"/>
        <v>1.22600096809993-0.974127077140296i</v>
      </c>
      <c r="AN591" s="170" t="str">
        <f t="shared" si="318"/>
        <v>4.4844185125554i</v>
      </c>
      <c r="AO591" s="170" t="str">
        <f t="shared" si="319"/>
        <v>-0.217224836266497-0.27339129134968i</v>
      </c>
      <c r="AP591" s="170" t="str">
        <f t="shared" si="320"/>
        <v>-0.0376668280166543+0.162354512856716i</v>
      </c>
      <c r="AQ591" s="170" t="str">
        <f t="shared" si="321"/>
        <v>1.03766682801665-0.162354512856716i</v>
      </c>
      <c r="AR591" s="170" t="str">
        <f t="shared" si="322"/>
        <v>0.783580372067747+0.122599861686146i</v>
      </c>
    </row>
    <row r="592" spans="7:44">
      <c r="G592" s="688">
        <v>144540</v>
      </c>
      <c r="H592" s="676">
        <f t="shared" si="314"/>
        <v>144.54</v>
      </c>
      <c r="I592" s="677">
        <f t="shared" si="294"/>
        <v>744.27163399204198</v>
      </c>
      <c r="J592" s="678">
        <f t="shared" si="295"/>
        <v>1.5694527309151083</v>
      </c>
      <c r="K592" s="678">
        <f t="shared" si="296"/>
        <v>1.0036372440978583</v>
      </c>
      <c r="L592" s="679">
        <f t="shared" si="297"/>
        <v>8.5161653193811568E-2</v>
      </c>
      <c r="M592" s="678">
        <f t="shared" si="298"/>
        <v>1.3818015695499126</v>
      </c>
      <c r="N592" s="679">
        <f t="shared" si="299"/>
        <v>-0.76165781517142372</v>
      </c>
      <c r="O592" s="677">
        <f t="shared" si="300"/>
        <v>2724514.8097861838</v>
      </c>
      <c r="P592" s="680">
        <f t="shared" si="301"/>
        <v>1.570795959757068</v>
      </c>
      <c r="Q592" s="689">
        <f t="shared" si="291"/>
        <v>336.02498119484284</v>
      </c>
      <c r="R592" s="690">
        <f t="shared" si="292"/>
        <v>1.567820353185686</v>
      </c>
      <c r="S592" s="677">
        <f t="shared" si="302"/>
        <v>2.6178898161010888</v>
      </c>
      <c r="T592" s="680">
        <f t="shared" si="303"/>
        <v>1.178850889715082</v>
      </c>
      <c r="U592" s="681">
        <f t="shared" si="315"/>
        <v>0.21830116359886706</v>
      </c>
      <c r="V592" s="682">
        <f t="shared" si="316"/>
        <v>-2.2910531550545938</v>
      </c>
      <c r="W592" s="683">
        <f t="shared" si="304"/>
        <v>-45.332753778868529</v>
      </c>
      <c r="X592" s="684">
        <f t="shared" si="305"/>
        <v>-327.66473971795165</v>
      </c>
      <c r="Y592" s="687">
        <f t="shared" si="306"/>
        <v>-147.66473971795165</v>
      </c>
      <c r="AA592" s="170">
        <f t="shared" si="307"/>
        <v>144540</v>
      </c>
      <c r="AB592" s="170">
        <f t="shared" si="308"/>
        <v>20891811600</v>
      </c>
      <c r="AD592" s="686">
        <f t="shared" si="309"/>
        <v>18.56807067888402</v>
      </c>
      <c r="AE592" s="687">
        <f t="shared" si="310"/>
        <v>-67.713670431321972</v>
      </c>
      <c r="AG592" s="686">
        <f t="shared" si="311"/>
        <v>7.7179216946161775</v>
      </c>
      <c r="AH592" s="687">
        <f t="shared" si="312"/>
        <v>2.5842838628799321</v>
      </c>
      <c r="AJ592" s="170">
        <f t="shared" si="313"/>
        <v>0</v>
      </c>
      <c r="AK592" s="170">
        <f t="shared" si="293"/>
        <v>0</v>
      </c>
      <c r="AM592" s="170" t="str">
        <f t="shared" si="317"/>
        <v>0.797038432849555-0.979186704495029i</v>
      </c>
      <c r="AN592" s="170" t="str">
        <f t="shared" si="318"/>
        <v>4.91677047564862i</v>
      </c>
      <c r="AO592" s="170" t="str">
        <f t="shared" si="319"/>
        <v>-0.199152413020837-0.162106089108097i</v>
      </c>
      <c r="AP592" s="170" t="str">
        <f t="shared" si="320"/>
        <v>0.0338269278584075+0.163197784082505i</v>
      </c>
      <c r="AQ592" s="170" t="str">
        <f t="shared" si="321"/>
        <v>0.966173072141593-0.163197784082505i</v>
      </c>
      <c r="AR592" s="170" t="str">
        <f t="shared" si="322"/>
        <v>0.838248220465487+0.141589800042598i</v>
      </c>
    </row>
    <row r="593" spans="7:44">
      <c r="G593" s="688">
        <v>158490</v>
      </c>
      <c r="H593" s="676">
        <f t="shared" si="314"/>
        <v>158.49</v>
      </c>
      <c r="I593" s="677">
        <f t="shared" si="294"/>
        <v>816.10345477452393</v>
      </c>
      <c r="J593" s="678">
        <f t="shared" si="295"/>
        <v>1.5695709916435863</v>
      </c>
      <c r="K593" s="678">
        <f t="shared" si="296"/>
        <v>1.0043716051813796</v>
      </c>
      <c r="L593" s="679">
        <f t="shared" si="297"/>
        <v>9.3335294392882129E-2</v>
      </c>
      <c r="M593" s="678">
        <f t="shared" si="298"/>
        <v>1.4468515728471081</v>
      </c>
      <c r="N593" s="679">
        <f t="shared" si="299"/>
        <v>-0.80770908942543396</v>
      </c>
      <c r="O593" s="677">
        <f t="shared" si="300"/>
        <v>2987466.1145911678</v>
      </c>
      <c r="P593" s="680">
        <f t="shared" si="301"/>
        <v>1.5707959920630665</v>
      </c>
      <c r="Q593" s="689">
        <f t="shared" si="291"/>
        <v>368.455511151324</v>
      </c>
      <c r="R593" s="690">
        <f t="shared" si="292"/>
        <v>1.5680822915928152</v>
      </c>
      <c r="S593" s="677">
        <f t="shared" si="302"/>
        <v>2.8350870812186875</v>
      </c>
      <c r="T593" s="680">
        <f t="shared" si="303"/>
        <v>1.2103169375370291</v>
      </c>
      <c r="U593" s="681">
        <f t="shared" si="315"/>
        <v>0.14732237542655757</v>
      </c>
      <c r="V593" s="682">
        <f t="shared" si="316"/>
        <v>-2.5517813841870365</v>
      </c>
      <c r="W593" s="683">
        <f t="shared" si="304"/>
        <v>-49.835163655569545</v>
      </c>
      <c r="X593" s="684">
        <f t="shared" si="305"/>
        <v>-346.56823684530895</v>
      </c>
      <c r="Y593" s="687">
        <f t="shared" si="306"/>
        <v>-166.56823684530895</v>
      </c>
      <c r="AA593" s="170">
        <f t="shared" si="307"/>
        <v>158490</v>
      </c>
      <c r="AB593" s="170">
        <f t="shared" si="308"/>
        <v>25119080100</v>
      </c>
      <c r="AD593" s="686">
        <f t="shared" si="309"/>
        <v>17.875763418697083</v>
      </c>
      <c r="AE593" s="687">
        <f t="shared" si="310"/>
        <v>-69.501536057295809</v>
      </c>
      <c r="AG593" s="686">
        <f t="shared" si="311"/>
        <v>10.739312590358283</v>
      </c>
      <c r="AH593" s="687">
        <f t="shared" si="312"/>
        <v>15.345906654053861</v>
      </c>
      <c r="AJ593" s="170">
        <f t="shared" si="313"/>
        <v>0</v>
      </c>
      <c r="AK593" s="170">
        <f t="shared" si="293"/>
        <v>0</v>
      </c>
      <c r="AM593" s="170" t="str">
        <f t="shared" si="317"/>
        <v>0.372051683433322-0.778255042849755i</v>
      </c>
      <c r="AN593" s="170" t="str">
        <f t="shared" si="318"/>
        <v>5.391303118068i</v>
      </c>
      <c r="AO593" s="170" t="str">
        <f t="shared" si="319"/>
        <v>-0.14435379087508-0.0690096021843878i</v>
      </c>
      <c r="AP593" s="170" t="str">
        <f t="shared" si="320"/>
        <v>0.104658052761113+0.129709173808292i</v>
      </c>
      <c r="AQ593" s="170" t="str">
        <f t="shared" si="321"/>
        <v>0.895341947238887-0.129709173808292i</v>
      </c>
      <c r="AR593" s="170" t="str">
        <f t="shared" si="322"/>
        <v>0.911245898655988+0.13201319676283i</v>
      </c>
    </row>
    <row r="594" spans="7:44">
      <c r="G594" s="688">
        <v>173780</v>
      </c>
      <c r="H594" s="676">
        <f t="shared" si="314"/>
        <v>173.78</v>
      </c>
      <c r="I594" s="677">
        <f t="shared" si="294"/>
        <v>894.83526064458215</v>
      </c>
      <c r="J594" s="678">
        <f t="shared" si="295"/>
        <v>1.5696788024279833</v>
      </c>
      <c r="K594" s="678">
        <f t="shared" si="296"/>
        <v>1.005253463914443</v>
      </c>
      <c r="L594" s="679">
        <f t="shared" si="297"/>
        <v>0.10227968986714957</v>
      </c>
      <c r="M594" s="678">
        <f t="shared" si="298"/>
        <v>1.5213542351214493</v>
      </c>
      <c r="N594" s="679">
        <f t="shared" si="299"/>
        <v>-0.85355376344286182</v>
      </c>
      <c r="O594" s="677">
        <f t="shared" si="300"/>
        <v>3275675.8243021532</v>
      </c>
      <c r="P594" s="680">
        <f t="shared" si="301"/>
        <v>1.5707960215143824</v>
      </c>
      <c r="Q594" s="689">
        <f t="shared" si="291"/>
        <v>404.00125595239058</v>
      </c>
      <c r="R594" s="690">
        <f t="shared" si="292"/>
        <v>1.5683210844375906</v>
      </c>
      <c r="S594" s="677">
        <f t="shared" si="302"/>
        <v>3.0758930748333708</v>
      </c>
      <c r="T594" s="680">
        <f t="shared" si="303"/>
        <v>1.2396695189328339</v>
      </c>
      <c r="U594" s="681">
        <f t="shared" si="315"/>
        <v>6.1502910169353824E-2</v>
      </c>
      <c r="V594" s="682">
        <f t="shared" si="316"/>
        <v>-2.884158156834804</v>
      </c>
      <c r="W594" s="683">
        <f t="shared" si="304"/>
        <v>-58.486933667710559</v>
      </c>
      <c r="X594" s="684">
        <f t="shared" si="305"/>
        <v>-369.4005293756536</v>
      </c>
      <c r="Y594" s="687">
        <f t="shared" si="306"/>
        <v>-189.4005293756536</v>
      </c>
      <c r="AA594" s="170">
        <f t="shared" si="307"/>
        <v>173780</v>
      </c>
      <c r="AB594" s="170">
        <f t="shared" si="308"/>
        <v>30199488400</v>
      </c>
      <c r="AD594" s="686">
        <f t="shared" si="309"/>
        <v>17.167661411304554</v>
      </c>
      <c r="AE594" s="687">
        <f t="shared" si="310"/>
        <v>-71.169634956248274</v>
      </c>
      <c r="AG594" s="686">
        <f t="shared" si="311"/>
        <v>17.97056645666374</v>
      </c>
      <c r="AH594" s="687">
        <f t="shared" si="312"/>
        <v>32.269285627975833</v>
      </c>
      <c r="AJ594" s="170">
        <f t="shared" si="313"/>
        <v>0</v>
      </c>
      <c r="AK594" s="170">
        <f t="shared" si="293"/>
        <v>0</v>
      </c>
      <c r="AM594" s="170" t="str">
        <f t="shared" si="317"/>
        <v>0.068313156562731-0.363262475031344i</v>
      </c>
      <c r="AN594" s="170" t="str">
        <f t="shared" si="318"/>
        <v>5.91141810750115i</v>
      </c>
      <c r="AO594" s="170" t="str">
        <f t="shared" si="319"/>
        <v>-0.0614509866203493-0.011556136838984i</v>
      </c>
      <c r="AP594" s="170" t="str">
        <f t="shared" si="320"/>
        <v>0.155281140572878+0.0605437458385573i</v>
      </c>
      <c r="AQ594" s="170" t="str">
        <f t="shared" si="321"/>
        <v>0.844718859427122-0.0605437458385573i</v>
      </c>
      <c r="AR594" s="170" t="str">
        <f t="shared" si="322"/>
        <v>0.981087013885049+0.0703176946403789i</v>
      </c>
    </row>
    <row r="595" spans="7:44">
      <c r="G595" s="688">
        <v>190550</v>
      </c>
      <c r="H595" s="676">
        <f t="shared" si="314"/>
        <v>190.55</v>
      </c>
      <c r="I595" s="677">
        <f t="shared" si="294"/>
        <v>981.18794452538759</v>
      </c>
      <c r="J595" s="678">
        <f t="shared" si="295"/>
        <v>1.5697771538844481</v>
      </c>
      <c r="K595" s="678">
        <f t="shared" si="296"/>
        <v>1.0063129836635643</v>
      </c>
      <c r="L595" s="679">
        <f t="shared" si="297"/>
        <v>0.1120709608208408</v>
      </c>
      <c r="M595" s="678">
        <f t="shared" si="298"/>
        <v>1.6063828191606979</v>
      </c>
      <c r="N595" s="679">
        <f t="shared" si="299"/>
        <v>-0.89884203287067121</v>
      </c>
      <c r="O595" s="677">
        <f t="shared" si="300"/>
        <v>3591782.8767451397</v>
      </c>
      <c r="P595" s="680">
        <f t="shared" si="301"/>
        <v>1.570796048381631</v>
      </c>
      <c r="Q595" s="689">
        <f t="shared" si="291"/>
        <v>442.98768349954014</v>
      </c>
      <c r="R595" s="690">
        <f t="shared" si="292"/>
        <v>1.5685389257732463</v>
      </c>
      <c r="S595" s="677">
        <f t="shared" si="302"/>
        <v>3.3425933985517666</v>
      </c>
      <c r="T595" s="680">
        <f t="shared" si="303"/>
        <v>1.2669747800213904</v>
      </c>
      <c r="U595" s="681">
        <f t="shared" si="315"/>
        <v>3.0447464469066429E-2</v>
      </c>
      <c r="V595" s="682">
        <f t="shared" si="316"/>
        <v>-0.13864879448764408</v>
      </c>
      <c r="W595" s="683">
        <f t="shared" si="304"/>
        <v>-65.63473343610363</v>
      </c>
      <c r="X595" s="684">
        <f t="shared" si="305"/>
        <v>-215.6858898142971</v>
      </c>
      <c r="Y595" s="687">
        <f t="shared" si="306"/>
        <v>-35.685889814297099</v>
      </c>
      <c r="AA595" s="170">
        <f t="shared" si="307"/>
        <v>190550</v>
      </c>
      <c r="AB595" s="170">
        <f t="shared" si="308"/>
        <v>36309302500</v>
      </c>
      <c r="AD595" s="686">
        <f t="shared" si="309"/>
        <v>16.445410597369214</v>
      </c>
      <c r="AE595" s="687">
        <f t="shared" si="310"/>
        <v>-72.721631327142148</v>
      </c>
      <c r="AG595" s="686">
        <f t="shared" si="311"/>
        <v>23.758798849752068</v>
      </c>
      <c r="AH595" s="687">
        <f t="shared" si="312"/>
        <v>-127.07627695156282</v>
      </c>
      <c r="AJ595" s="170">
        <f t="shared" si="313"/>
        <v>0</v>
      </c>
      <c r="AK595" s="170">
        <f t="shared" si="293"/>
        <v>0</v>
      </c>
      <c r="AM595" s="170" t="str">
        <f t="shared" si="317"/>
        <v>0.0196744942027+0.197387696382699i</v>
      </c>
      <c r="AN595" s="170" t="str">
        <f t="shared" si="318"/>
        <v>6.4818777787107i</v>
      </c>
      <c r="AO595" s="170" t="str">
        <f t="shared" si="319"/>
        <v>0.0304522397862863-0.00303530780344541i</v>
      </c>
      <c r="AP595" s="170" t="str">
        <f t="shared" si="320"/>
        <v>0.16338758429955-0.0328979493971165i</v>
      </c>
      <c r="AQ595" s="170" t="str">
        <f t="shared" si="321"/>
        <v>0.83661241570045+0.0328979493971165i</v>
      </c>
      <c r="AR595" s="170" t="str">
        <f t="shared" si="322"/>
        <v>0.994144862163906-0.0390925675439434i</v>
      </c>
    </row>
    <row r="596" spans="7:44">
      <c r="G596" s="688">
        <v>208930</v>
      </c>
      <c r="H596" s="676">
        <f t="shared" si="314"/>
        <v>208.93</v>
      </c>
      <c r="I596" s="677">
        <f t="shared" si="294"/>
        <v>1075.8309070651123</v>
      </c>
      <c r="J596" s="678">
        <f t="shared" si="295"/>
        <v>1.569866812558568</v>
      </c>
      <c r="K596" s="678">
        <f t="shared" si="296"/>
        <v>1.0075847829322067</v>
      </c>
      <c r="L596" s="679">
        <f t="shared" si="297"/>
        <v>0.1227774442615866</v>
      </c>
      <c r="M596" s="678">
        <f t="shared" si="298"/>
        <v>1.7029581529335618</v>
      </c>
      <c r="N596" s="679">
        <f t="shared" si="299"/>
        <v>-0.94318435206703299</v>
      </c>
      <c r="O596" s="677">
        <f t="shared" si="300"/>
        <v>3938237.7141871275</v>
      </c>
      <c r="P596" s="680">
        <f t="shared" si="301"/>
        <v>1.5707960728742163</v>
      </c>
      <c r="Q596" s="689">
        <f t="shared" si="291"/>
        <v>485.71701415680297</v>
      </c>
      <c r="R596" s="690">
        <f t="shared" si="292"/>
        <v>1.5687375133761645</v>
      </c>
      <c r="S596" s="677">
        <f t="shared" si="302"/>
        <v>3.6373195797040121</v>
      </c>
      <c r="T596" s="680">
        <f t="shared" si="303"/>
        <v>1.2922817961464104</v>
      </c>
      <c r="U596" s="681">
        <f t="shared" si="315"/>
        <v>0.10485218119434063</v>
      </c>
      <c r="V596" s="682">
        <f t="shared" si="316"/>
        <v>-0.54901297291034912</v>
      </c>
      <c r="W596" s="683">
        <f t="shared" si="304"/>
        <v>-55.909935880772821</v>
      </c>
      <c r="X596" s="684">
        <f t="shared" si="305"/>
        <v>-242.56896221264986</v>
      </c>
      <c r="Y596" s="687">
        <f t="shared" si="306"/>
        <v>-62.568962212649865</v>
      </c>
      <c r="AA596" s="170">
        <f t="shared" si="307"/>
        <v>208930</v>
      </c>
      <c r="AB596" s="170">
        <f t="shared" si="308"/>
        <v>43651744900</v>
      </c>
      <c r="AD596" s="686">
        <f t="shared" si="309"/>
        <v>15.711448689159106</v>
      </c>
      <c r="AE596" s="687">
        <f t="shared" si="310"/>
        <v>-74.160239716630088</v>
      </c>
      <c r="AG596" s="686">
        <f t="shared" si="311"/>
        <v>12.736504833517998</v>
      </c>
      <c r="AH596" s="687">
        <f t="shared" si="312"/>
        <v>-105.49646993274563</v>
      </c>
      <c r="AJ596" s="170">
        <f t="shared" si="313"/>
        <v>0</v>
      </c>
      <c r="AK596" s="170">
        <f t="shared" si="293"/>
        <v>0</v>
      </c>
      <c r="AM596" s="170" t="str">
        <f t="shared" si="317"/>
        <v>0.320649379350169+0.73381382803998i</v>
      </c>
      <c r="AN596" s="170" t="str">
        <f t="shared" si="318"/>
        <v>7.1071042996905i</v>
      </c>
      <c r="AO596" s="170" t="str">
        <f t="shared" si="319"/>
        <v>0.103250747012667-0.0451167403529075i</v>
      </c>
      <c r="AP596" s="170" t="str">
        <f t="shared" si="320"/>
        <v>0.113225103441638-0.12230230467333i</v>
      </c>
      <c r="AQ596" s="170" t="str">
        <f t="shared" si="321"/>
        <v>0.886774896558362+0.12230230467333i</v>
      </c>
      <c r="AR596" s="170" t="str">
        <f t="shared" si="322"/>
        <v>0.92182462661124-0.127136296682217i</v>
      </c>
    </row>
    <row r="597" spans="7:44">
      <c r="G597" s="688">
        <v>229090</v>
      </c>
      <c r="H597" s="676">
        <f t="shared" si="314"/>
        <v>229.09</v>
      </c>
      <c r="I597" s="677">
        <f t="shared" si="294"/>
        <v>1179.6395184275168</v>
      </c>
      <c r="J597" s="678">
        <f t="shared" si="295"/>
        <v>1.5699486100948801</v>
      </c>
      <c r="K597" s="678">
        <f t="shared" si="296"/>
        <v>1.0091122057064332</v>
      </c>
      <c r="L597" s="679">
        <f t="shared" si="297"/>
        <v>0.13448825916901505</v>
      </c>
      <c r="M597" s="678">
        <f t="shared" si="298"/>
        <v>1.8123019593249403</v>
      </c>
      <c r="N597" s="679">
        <f t="shared" si="299"/>
        <v>-0.98629396377831813</v>
      </c>
      <c r="O597" s="677">
        <f t="shared" si="300"/>
        <v>4318244.7611311162</v>
      </c>
      <c r="P597" s="680">
        <f t="shared" si="301"/>
        <v>1.5707960952193247</v>
      </c>
      <c r="Q597" s="689">
        <f t="shared" si="291"/>
        <v>532.58445935854843</v>
      </c>
      <c r="R597" s="690">
        <f t="shared" si="292"/>
        <v>1.5689186892295952</v>
      </c>
      <c r="S597" s="677">
        <f t="shared" si="302"/>
        <v>3.9628484070421246</v>
      </c>
      <c r="T597" s="680">
        <f t="shared" si="303"/>
        <v>1.3156947050065047</v>
      </c>
      <c r="U597" s="681">
        <f t="shared" si="315"/>
        <v>0.14593994009554878</v>
      </c>
      <c r="V597" s="682">
        <f t="shared" si="316"/>
        <v>-0.92135756888429154</v>
      </c>
      <c r="W597" s="683">
        <f t="shared" si="304"/>
        <v>-54.028942135530514</v>
      </c>
      <c r="X597" s="684">
        <f t="shared" si="305"/>
        <v>-267.03752283901207</v>
      </c>
      <c r="Y597" s="687">
        <f t="shared" si="306"/>
        <v>-87.03752283901207</v>
      </c>
      <c r="AA597" s="170">
        <f t="shared" si="307"/>
        <v>229090</v>
      </c>
      <c r="AB597" s="170">
        <f t="shared" si="308"/>
        <v>52482228100</v>
      </c>
      <c r="AD597" s="686">
        <f t="shared" si="309"/>
        <v>14.966925613111918</v>
      </c>
      <c r="AE597" s="687">
        <f t="shared" si="310"/>
        <v>-75.49132125048807</v>
      </c>
      <c r="AG597" s="686">
        <f t="shared" si="311"/>
        <v>9.6181538821771362</v>
      </c>
      <c r="AH597" s="687">
        <f t="shared" si="312"/>
        <v>-85.96640122887365</v>
      </c>
      <c r="AJ597" s="170">
        <f t="shared" si="313"/>
        <v>0</v>
      </c>
      <c r="AK597" s="170">
        <f t="shared" si="293"/>
        <v>0</v>
      </c>
      <c r="AM597" s="170" t="str">
        <f t="shared" si="317"/>
        <v>0.93893688306707+0.998133906723159i</v>
      </c>
      <c r="AN597" s="170" t="str">
        <f t="shared" si="318"/>
        <v>7.79288050550949i</v>
      </c>
      <c r="AO597" s="170" t="str">
        <f t="shared" si="319"/>
        <v>0.128082793777922-0.120486498208621i</v>
      </c>
      <c r="AP597" s="170" t="str">
        <f t="shared" si="320"/>
        <v>0.0101771861554884-0.166355651120526i</v>
      </c>
      <c r="AQ597" s="170" t="str">
        <f t="shared" si="321"/>
        <v>0.989822813844512+0.166355651120526i</v>
      </c>
      <c r="AR597" s="170" t="str">
        <f t="shared" si="322"/>
        <v>0.818446741914266-0.137553144617668i</v>
      </c>
    </row>
    <row r="598" spans="7:44">
      <c r="G598" s="688">
        <v>251190</v>
      </c>
      <c r="H598" s="676">
        <f t="shared" si="314"/>
        <v>251.19</v>
      </c>
      <c r="I598" s="677">
        <f t="shared" si="294"/>
        <v>1293.437656481794</v>
      </c>
      <c r="J598" s="678">
        <f t="shared" si="295"/>
        <v>1.5700231932042583</v>
      </c>
      <c r="K598" s="678">
        <f t="shared" si="296"/>
        <v>1.0109451046787796</v>
      </c>
      <c r="L598" s="679">
        <f t="shared" si="297"/>
        <v>0.14728339240338381</v>
      </c>
      <c r="M598" s="678">
        <f t="shared" si="298"/>
        <v>1.9355751451241918</v>
      </c>
      <c r="N598" s="679">
        <f t="shared" si="299"/>
        <v>-1.027871658383136</v>
      </c>
      <c r="O598" s="677">
        <f t="shared" si="300"/>
        <v>4734819.9465211052</v>
      </c>
      <c r="P598" s="680">
        <f t="shared" si="301"/>
        <v>1.5707961155936236</v>
      </c>
      <c r="Q598" s="689">
        <f t="shared" si="291"/>
        <v>583.96198295833926</v>
      </c>
      <c r="R598" s="690">
        <f t="shared" si="292"/>
        <v>1.5690838857149541</v>
      </c>
      <c r="S598" s="677">
        <f t="shared" si="302"/>
        <v>4.3218039493371929</v>
      </c>
      <c r="T598" s="680">
        <f t="shared" si="303"/>
        <v>1.3372953945022175</v>
      </c>
      <c r="U598" s="681">
        <f t="shared" si="315"/>
        <v>0.15840309256031299</v>
      </c>
      <c r="V598" s="682">
        <f t="shared" si="316"/>
        <v>-1.2463529584834834</v>
      </c>
      <c r="W598" s="683">
        <f t="shared" si="304"/>
        <v>-54.282878840442677</v>
      </c>
      <c r="X598" s="684">
        <f t="shared" si="305"/>
        <v>-288.53994408495589</v>
      </c>
      <c r="Y598" s="687">
        <f t="shared" si="306"/>
        <v>-108.53994408495589</v>
      </c>
      <c r="AA598" s="170">
        <f t="shared" si="307"/>
        <v>251190</v>
      </c>
      <c r="AB598" s="170">
        <f t="shared" si="308"/>
        <v>63096416100</v>
      </c>
      <c r="AD598" s="686">
        <f t="shared" si="309"/>
        <v>14.213770983984226</v>
      </c>
      <c r="AE598" s="687">
        <f t="shared" si="310"/>
        <v>-76.719485700528239</v>
      </c>
      <c r="AG598" s="686">
        <f t="shared" si="311"/>
        <v>8.6937921034894252</v>
      </c>
      <c r="AH598" s="687">
        <f t="shared" si="312"/>
        <v>-68.998929611735264</v>
      </c>
      <c r="AJ598" s="170">
        <f t="shared" si="313"/>
        <v>0</v>
      </c>
      <c r="AK598" s="170">
        <f t="shared" si="293"/>
        <v>0</v>
      </c>
      <c r="AM598" s="170" t="str">
        <f t="shared" si="317"/>
        <v>1.63705179351498+0.77082099892215i</v>
      </c>
      <c r="AN598" s="170" t="str">
        <f t="shared" si="318"/>
        <v>8.5446490644678i</v>
      </c>
      <c r="AO598" s="170" t="str">
        <f t="shared" si="319"/>
        <v>0.0902109604626764-0.191587949506612i</v>
      </c>
      <c r="AP598" s="170" t="str">
        <f t="shared" si="320"/>
        <v>-0.106175298919164-0.128470166487025i</v>
      </c>
      <c r="AQ598" s="170" t="str">
        <f t="shared" si="321"/>
        <v>1.10617529891916+0.128470166487025i</v>
      </c>
      <c r="AR598" s="170" t="str">
        <f t="shared" si="322"/>
        <v>0.743023095122621-0.086294008578367i</v>
      </c>
    </row>
    <row r="599" spans="7:44">
      <c r="G599" s="688">
        <v>275420</v>
      </c>
      <c r="H599" s="676">
        <f t="shared" si="314"/>
        <v>275.42</v>
      </c>
      <c r="I599" s="677">
        <f t="shared" si="294"/>
        <v>1418.2036762578393</v>
      </c>
      <c r="J599" s="678">
        <f t="shared" si="295"/>
        <v>1.570091209399133</v>
      </c>
      <c r="K599" s="678">
        <f t="shared" si="296"/>
        <v>1.0131441202567497</v>
      </c>
      <c r="L599" s="679">
        <f t="shared" si="297"/>
        <v>0.16125596790872096</v>
      </c>
      <c r="M599" s="678">
        <f t="shared" si="298"/>
        <v>2.0740916170082193</v>
      </c>
      <c r="N599" s="679">
        <f t="shared" si="299"/>
        <v>-1.0677019853626744</v>
      </c>
      <c r="O599" s="677">
        <f t="shared" si="300"/>
        <v>5191544.685978096</v>
      </c>
      <c r="P599" s="680">
        <f t="shared" si="301"/>
        <v>1.5707961341739984</v>
      </c>
      <c r="Q599" s="689">
        <f t="shared" ref="Q599:Q613" si="323">SQRT(1+(G599/Zero2)^2)</f>
        <v>640.29129216567674</v>
      </c>
      <c r="R599" s="690">
        <f t="shared" ref="R599:R613" si="324">ATAN(G599/Zero2)</f>
        <v>1.5692345369989602</v>
      </c>
      <c r="S599" s="677">
        <f t="shared" si="302"/>
        <v>4.7173027577837603</v>
      </c>
      <c r="T599" s="680">
        <f t="shared" si="303"/>
        <v>1.357190091974549</v>
      </c>
      <c r="U599" s="681">
        <f t="shared" si="315"/>
        <v>0.15238922384427331</v>
      </c>
      <c r="V599" s="682">
        <f t="shared" si="316"/>
        <v>-1.5508277740692509</v>
      </c>
      <c r="W599" s="683">
        <f t="shared" si="304"/>
        <v>-55.56027376878972</v>
      </c>
      <c r="X599" s="684">
        <f t="shared" si="305"/>
        <v>-308.60175465872265</v>
      </c>
      <c r="Y599" s="687">
        <f t="shared" si="306"/>
        <v>-128.60175465872265</v>
      </c>
      <c r="AA599" s="170">
        <f t="shared" si="307"/>
        <v>275420</v>
      </c>
      <c r="AB599" s="170">
        <f t="shared" si="308"/>
        <v>75856176400</v>
      </c>
      <c r="AD599" s="686">
        <f t="shared" si="309"/>
        <v>13.453195076691877</v>
      </c>
      <c r="AE599" s="687">
        <f t="shared" si="310"/>
        <v>-77.850737283500365</v>
      </c>
      <c r="AG599" s="686">
        <f t="shared" si="311"/>
        <v>8.8493490476505734</v>
      </c>
      <c r="AH599" s="687">
        <f t="shared" si="312"/>
        <v>-53.039244760484898</v>
      </c>
      <c r="AJ599" s="170">
        <f t="shared" si="313"/>
        <v>0</v>
      </c>
      <c r="AK599" s="170">
        <f t="shared" ref="AK599:AK613" si="325">IF(AJ599&gt;0,Y599,0)</f>
        <v>0</v>
      </c>
      <c r="AM599" s="170" t="str">
        <f t="shared" si="317"/>
        <v>1.99843773274588+0.0558756998100028i</v>
      </c>
      <c r="AN599" s="170" t="str">
        <f t="shared" si="318"/>
        <v>9.36887314517187i</v>
      </c>
      <c r="AO599" s="170" t="str">
        <f t="shared" si="319"/>
        <v>0.00596397228825727-0.213306093676351i</v>
      </c>
      <c r="AP599" s="170" t="str">
        <f t="shared" si="320"/>
        <v>-0.166406288790981-0.00931261663500047i</v>
      </c>
      <c r="AQ599" s="170" t="str">
        <f t="shared" si="321"/>
        <v>1.16640628879098+0.00931261663500047i</v>
      </c>
      <c r="AR599" s="170" t="str">
        <f t="shared" si="322"/>
        <v>0.714113865893157-0.00570150275312245i</v>
      </c>
    </row>
    <row r="600" spans="7:44">
      <c r="G600" s="688">
        <v>302000</v>
      </c>
      <c r="H600" s="676">
        <f t="shared" si="314"/>
        <v>302</v>
      </c>
      <c r="I600" s="677">
        <f t="shared" si="294"/>
        <v>1555.0704099652212</v>
      </c>
      <c r="J600" s="678">
        <f t="shared" si="295"/>
        <v>1.5701532690513293</v>
      </c>
      <c r="K600" s="678">
        <f t="shared" si="296"/>
        <v>1.0157828555482298</v>
      </c>
      <c r="L600" s="679">
        <f t="shared" si="297"/>
        <v>0.1765108001292385</v>
      </c>
      <c r="M600" s="678">
        <f t="shared" si="298"/>
        <v>2.2293303371767861</v>
      </c>
      <c r="N600" s="679">
        <f t="shared" si="299"/>
        <v>-1.1056370104270645</v>
      </c>
      <c r="O600" s="677">
        <f t="shared" si="300"/>
        <v>5692565.8818000881</v>
      </c>
      <c r="P600" s="680">
        <f t="shared" si="301"/>
        <v>1.5707961511271888</v>
      </c>
      <c r="Q600" s="689">
        <f t="shared" si="323"/>
        <v>702.08383758802177</v>
      </c>
      <c r="R600" s="690">
        <f t="shared" si="324"/>
        <v>1.5693719949920799</v>
      </c>
      <c r="S600" s="677">
        <f t="shared" si="302"/>
        <v>5.1529612715137363</v>
      </c>
      <c r="T600" s="680">
        <f t="shared" si="303"/>
        <v>1.3754939520404126</v>
      </c>
      <c r="U600" s="681">
        <f t="shared" si="315"/>
        <v>0.13229410531041236</v>
      </c>
      <c r="V600" s="682">
        <f t="shared" si="316"/>
        <v>-1.8827876793390905</v>
      </c>
      <c r="W600" s="683">
        <f t="shared" si="304"/>
        <v>-57.706519601676334</v>
      </c>
      <c r="X600" s="684">
        <f t="shared" si="305"/>
        <v>-329.96555044635659</v>
      </c>
      <c r="Y600" s="687">
        <f t="shared" si="306"/>
        <v>-149.96555044635659</v>
      </c>
      <c r="AA600" s="170">
        <f t="shared" si="307"/>
        <v>302000</v>
      </c>
      <c r="AB600" s="170">
        <f t="shared" si="308"/>
        <v>91204000000</v>
      </c>
      <c r="AD600" s="686">
        <f t="shared" si="309"/>
        <v>12.685930731345778</v>
      </c>
      <c r="AE600" s="687">
        <f t="shared" si="310"/>
        <v>-78.891596423741902</v>
      </c>
      <c r="AG600" s="686">
        <f t="shared" si="311"/>
        <v>9.9269181014660681</v>
      </c>
      <c r="AH600" s="687">
        <f t="shared" si="312"/>
        <v>-35.322378285361616</v>
      </c>
      <c r="AJ600" s="170">
        <f t="shared" si="313"/>
        <v>0</v>
      </c>
      <c r="AK600" s="170">
        <f t="shared" si="325"/>
        <v>0</v>
      </c>
      <c r="AM600" s="170" t="str">
        <f t="shared" si="317"/>
        <v>1.66129053242565-0.750129876570852i</v>
      </c>
      <c r="AN600" s="170" t="str">
        <f t="shared" si="318"/>
        <v>10.2730364165344i</v>
      </c>
      <c r="AO600" s="170" t="str">
        <f t="shared" si="319"/>
        <v>-0.0730192949928146-0.161713680850173i</v>
      </c>
      <c r="AP600" s="170" t="str">
        <f t="shared" si="320"/>
        <v>-0.110215088737608+0.125021646095142i</v>
      </c>
      <c r="AQ600" s="170" t="str">
        <f t="shared" si="321"/>
        <v>1.11021508873761-0.125021646095142i</v>
      </c>
      <c r="AR600" s="170" t="str">
        <f t="shared" si="322"/>
        <v>0.740909529559103+0.0834340389828268i</v>
      </c>
    </row>
    <row r="601" spans="7:44">
      <c r="G601" s="688">
        <v>331130</v>
      </c>
      <c r="H601" s="676">
        <f t="shared" si="314"/>
        <v>331.13</v>
      </c>
      <c r="I601" s="677">
        <f t="shared" si="294"/>
        <v>1705.0677051108128</v>
      </c>
      <c r="J601" s="678">
        <f t="shared" si="295"/>
        <v>1.5702098397865916</v>
      </c>
      <c r="K601" s="678">
        <f t="shared" si="296"/>
        <v>1.0189447149204274</v>
      </c>
      <c r="L601" s="679">
        <f t="shared" si="297"/>
        <v>0.19313407968037402</v>
      </c>
      <c r="M601" s="678">
        <f t="shared" si="298"/>
        <v>2.4026446222133395</v>
      </c>
      <c r="N601" s="679">
        <f t="shared" si="299"/>
        <v>-1.1415253481777603</v>
      </c>
      <c r="O601" s="677">
        <f t="shared" si="300"/>
        <v>6241653.4451670805</v>
      </c>
      <c r="P601" s="680">
        <f t="shared" si="301"/>
        <v>1.5707961665809391</v>
      </c>
      <c r="Q601" s="689">
        <f t="shared" si="323"/>
        <v>769.80457441970009</v>
      </c>
      <c r="R601" s="690">
        <f t="shared" si="324"/>
        <v>1.5694972954374888</v>
      </c>
      <c r="S601" s="677">
        <f t="shared" si="302"/>
        <v>5.632076403265688</v>
      </c>
      <c r="T601" s="680">
        <f t="shared" si="303"/>
        <v>1.3922955113778344</v>
      </c>
      <c r="U601" s="681">
        <f t="shared" si="315"/>
        <v>9.2500304725960117E-2</v>
      </c>
      <c r="V601" s="682">
        <f t="shared" si="316"/>
        <v>-2.3238053175945486</v>
      </c>
      <c r="W601" s="683">
        <f t="shared" si="304"/>
        <v>-61.709235190805948</v>
      </c>
      <c r="X601" s="684">
        <f t="shared" si="305"/>
        <v>-357.29652776974945</v>
      </c>
      <c r="Y601" s="687">
        <f t="shared" si="306"/>
        <v>-177.29652776974945</v>
      </c>
      <c r="AA601" s="170">
        <f t="shared" si="307"/>
        <v>331130</v>
      </c>
      <c r="AB601" s="170">
        <f t="shared" si="308"/>
        <v>109647076900</v>
      </c>
      <c r="AD601" s="686">
        <f t="shared" si="309"/>
        <v>11.913696063685579</v>
      </c>
      <c r="AE601" s="687">
        <f t="shared" si="310"/>
        <v>-79.847076562848216</v>
      </c>
      <c r="AG601" s="686">
        <f t="shared" si="311"/>
        <v>12.912330384421224</v>
      </c>
      <c r="AH601" s="687">
        <f t="shared" si="312"/>
        <v>-11.160976686171351</v>
      </c>
      <c r="AJ601" s="170">
        <f t="shared" si="313"/>
        <v>0</v>
      </c>
      <c r="AK601" s="170">
        <f t="shared" si="325"/>
        <v>0</v>
      </c>
      <c r="AM601" s="170" t="str">
        <f t="shared" si="317"/>
        <v>0.734841862923163-0.964204937936921i</v>
      </c>
      <c r="AN601" s="170" t="str">
        <f t="shared" si="318"/>
        <v>11.2639422139306i</v>
      </c>
      <c r="AO601" s="170" t="str">
        <f t="shared" si="319"/>
        <v>-0.0856010195741636-0.0652384262069769i</v>
      </c>
      <c r="AP601" s="170" t="str">
        <f t="shared" si="320"/>
        <v>0.0441930228461395+0.160700822989487i</v>
      </c>
      <c r="AQ601" s="170" t="str">
        <f t="shared" si="321"/>
        <v>0.955806977153861-0.160700822989487i</v>
      </c>
      <c r="AR601" s="170" t="str">
        <f t="shared" si="322"/>
        <v>0.847556120386101+0.142500493647158i</v>
      </c>
    </row>
    <row r="602" spans="7:44">
      <c r="G602" s="688">
        <v>363080</v>
      </c>
      <c r="H602" s="676">
        <f t="shared" si="314"/>
        <v>363.08</v>
      </c>
      <c r="I602" s="677">
        <f t="shared" si="294"/>
        <v>1869.5858558808666</v>
      </c>
      <c r="J602" s="678">
        <f t="shared" si="295"/>
        <v>1.5702614489530811</v>
      </c>
      <c r="K602" s="678">
        <f t="shared" si="296"/>
        <v>1.0227342829635975</v>
      </c>
      <c r="L602" s="679">
        <f t="shared" si="297"/>
        <v>0.21124284686331915</v>
      </c>
      <c r="M602" s="678">
        <f t="shared" si="298"/>
        <v>2.5957945294803437</v>
      </c>
      <c r="N602" s="679">
        <f t="shared" si="299"/>
        <v>-1.1753300665951132</v>
      </c>
      <c r="O602" s="677">
        <f t="shared" si="300"/>
        <v>6843896.756172074</v>
      </c>
      <c r="P602" s="680">
        <f t="shared" si="301"/>
        <v>1.5707961806793085</v>
      </c>
      <c r="Q602" s="689">
        <f t="shared" si="323"/>
        <v>844.08119228816474</v>
      </c>
      <c r="R602" s="690">
        <f t="shared" si="324"/>
        <v>1.5696116063638961</v>
      </c>
      <c r="S602" s="677">
        <f t="shared" si="302"/>
        <v>6.1591031447453259</v>
      </c>
      <c r="T602" s="680">
        <f t="shared" si="303"/>
        <v>1.4077130889265692</v>
      </c>
      <c r="U602" s="681">
        <f t="shared" si="315"/>
        <v>1.7319315439473858E-2</v>
      </c>
      <c r="V602" s="682">
        <f t="shared" si="316"/>
        <v>-2.9912319296847878</v>
      </c>
      <c r="W602" s="683">
        <f t="shared" si="304"/>
        <v>-77.134680393592504</v>
      </c>
      <c r="X602" s="684">
        <f t="shared" si="305"/>
        <v>-397.31633796956328</v>
      </c>
      <c r="Y602" s="687">
        <f t="shared" si="306"/>
        <v>-217.31633796956328</v>
      </c>
      <c r="AA602" s="170">
        <f t="shared" si="307"/>
        <v>363080</v>
      </c>
      <c r="AB602" s="170">
        <f t="shared" si="308"/>
        <v>131827086400</v>
      </c>
      <c r="AD602" s="686">
        <f t="shared" si="309"/>
        <v>11.136716041466778</v>
      </c>
      <c r="AE602" s="687">
        <f t="shared" si="310"/>
        <v>-80.723889961849991</v>
      </c>
      <c r="AG602" s="686">
        <f t="shared" si="311"/>
        <v>27.368362855156651</v>
      </c>
      <c r="AH602" s="687">
        <f t="shared" si="312"/>
        <v>26.177482615381177</v>
      </c>
      <c r="AJ602" s="170">
        <f t="shared" si="313"/>
        <v>0</v>
      </c>
      <c r="AK602" s="170">
        <f t="shared" si="325"/>
        <v>0</v>
      </c>
      <c r="AM602" s="170" t="str">
        <f t="shared" si="317"/>
        <v>0.023150843289574-0.21392925240399i</v>
      </c>
      <c r="AN602" s="170" t="str">
        <f t="shared" si="318"/>
        <v>12.3507750401169i</v>
      </c>
      <c r="AO602" s="170" t="str">
        <f t="shared" si="319"/>
        <v>-0.0173211196632697-0.00187444457650448i</v>
      </c>
      <c r="AP602" s="170" t="str">
        <f t="shared" si="320"/>
        <v>0.162808192785071+0.035654875400665i</v>
      </c>
      <c r="AQ602" s="170" t="str">
        <f t="shared" si="321"/>
        <v>0.837191807214929-0.035654875400665i</v>
      </c>
      <c r="AR602" s="170" t="str">
        <f t="shared" si="322"/>
        <v>0.993191569843267+0.0422986959100298i</v>
      </c>
    </row>
    <row r="603" spans="7:44">
      <c r="G603" s="688">
        <v>398110</v>
      </c>
      <c r="H603" s="676">
        <f t="shared" si="314"/>
        <v>398.11</v>
      </c>
      <c r="I603" s="677">
        <f t="shared" si="294"/>
        <v>2049.9636641299244</v>
      </c>
      <c r="J603" s="678">
        <f t="shared" si="295"/>
        <v>1.5703085132510968</v>
      </c>
      <c r="K603" s="678">
        <f t="shared" si="296"/>
        <v>1.027271541844591</v>
      </c>
      <c r="L603" s="679">
        <f t="shared" si="297"/>
        <v>0.23093657148393235</v>
      </c>
      <c r="M603" s="678">
        <f t="shared" si="298"/>
        <v>2.8104798329726988</v>
      </c>
      <c r="N603" s="679">
        <f t="shared" si="299"/>
        <v>-1.2070144756356629</v>
      </c>
      <c r="O603" s="677">
        <f t="shared" si="300"/>
        <v>7504196.6993490681</v>
      </c>
      <c r="P603" s="680">
        <f t="shared" si="301"/>
        <v>1.5707961935361296</v>
      </c>
      <c r="Q603" s="689">
        <f t="shared" si="323"/>
        <v>925.51813315779725</v>
      </c>
      <c r="R603" s="690">
        <f t="shared" si="324"/>
        <v>1.5697158507256062</v>
      </c>
      <c r="S603" s="677">
        <f t="shared" si="302"/>
        <v>6.7383420156173335</v>
      </c>
      <c r="T603" s="680">
        <f t="shared" si="303"/>
        <v>1.4218416569463781</v>
      </c>
      <c r="U603" s="681">
        <f t="shared" si="315"/>
        <v>6.2896859781102404E-2</v>
      </c>
      <c r="V603" s="682">
        <f t="shared" si="316"/>
        <v>-0.63910805827676986</v>
      </c>
      <c r="W603" s="683">
        <f t="shared" si="304"/>
        <v>-66.784790984394121</v>
      </c>
      <c r="X603" s="684">
        <f t="shared" si="305"/>
        <v>-264.04281458277842</v>
      </c>
      <c r="Y603" s="687">
        <f t="shared" si="306"/>
        <v>-84.042814582778419</v>
      </c>
      <c r="AA603" s="170">
        <f t="shared" si="307"/>
        <v>398110</v>
      </c>
      <c r="AB603" s="170">
        <f t="shared" si="308"/>
        <v>158491572100</v>
      </c>
      <c r="AD603" s="686">
        <f t="shared" si="309"/>
        <v>10.356003548404599</v>
      </c>
      <c r="AE603" s="687">
        <f t="shared" si="310"/>
        <v>-81.527425255544273</v>
      </c>
      <c r="AG603" s="686">
        <f t="shared" si="311"/>
        <v>16.09503511638971</v>
      </c>
      <c r="AH603" s="687">
        <f t="shared" si="312"/>
        <v>-109.2790004594295</v>
      </c>
      <c r="AJ603" s="170">
        <f t="shared" si="313"/>
        <v>0</v>
      </c>
      <c r="AK603" s="170">
        <f t="shared" si="325"/>
        <v>0</v>
      </c>
      <c r="AM603" s="170" t="str">
        <f t="shared" si="317"/>
        <v>0.439667065714635+0.828267470540256i</v>
      </c>
      <c r="AN603" s="170" t="str">
        <f t="shared" si="318"/>
        <v>13.5423792310812i</v>
      </c>
      <c r="AO603" s="170" t="str">
        <f t="shared" si="319"/>
        <v>0.0611611487469864-0.0324660134096343i</v>
      </c>
      <c r="AP603" s="170" t="str">
        <f t="shared" si="320"/>
        <v>0.0933888223808942-0.138044578423376i</v>
      </c>
      <c r="AQ603" s="170" t="str">
        <f t="shared" si="321"/>
        <v>0.906611177619106+0.138044578423376i</v>
      </c>
      <c r="AR603" s="170" t="str">
        <f t="shared" si="322"/>
        <v>0.897986910237928-0.136731409796918i</v>
      </c>
    </row>
    <row r="604" spans="7:44">
      <c r="G604" s="688">
        <v>436520</v>
      </c>
      <c r="H604" s="676">
        <f t="shared" si="314"/>
        <v>436.52</v>
      </c>
      <c r="I604" s="677">
        <f t="shared" si="294"/>
        <v>2247.7459012670383</v>
      </c>
      <c r="J604" s="678">
        <f t="shared" si="295"/>
        <v>1.5703514366351929</v>
      </c>
      <c r="K604" s="678">
        <f t="shared" si="296"/>
        <v>1.0327001997924294</v>
      </c>
      <c r="L604" s="679">
        <f t="shared" si="297"/>
        <v>0.25232237710881056</v>
      </c>
      <c r="M604" s="678">
        <f t="shared" si="298"/>
        <v>3.048642095856656</v>
      </c>
      <c r="N604" s="679">
        <f t="shared" si="299"/>
        <v>-1.2365948946222052</v>
      </c>
      <c r="O604" s="677">
        <f t="shared" si="300"/>
        <v>8228208.1414680611</v>
      </c>
      <c r="P604" s="680">
        <f t="shared" si="301"/>
        <v>1.5707962052617532</v>
      </c>
      <c r="Q604" s="689">
        <f t="shared" si="323"/>
        <v>1014.8128301495331</v>
      </c>
      <c r="R604" s="690">
        <f t="shared" si="324"/>
        <v>1.5698109232484225</v>
      </c>
      <c r="S604" s="677">
        <f t="shared" si="302"/>
        <v>7.3747621737544655</v>
      </c>
      <c r="T604" s="680">
        <f t="shared" si="303"/>
        <v>1.4347797253210106</v>
      </c>
      <c r="U604" s="681">
        <f t="shared" si="315"/>
        <v>9.1401285331783794E-2</v>
      </c>
      <c r="V604" s="682">
        <f t="shared" si="316"/>
        <v>-1.2546158309352666</v>
      </c>
      <c r="W604" s="683">
        <f t="shared" si="304"/>
        <v>-64.369945989239199</v>
      </c>
      <c r="X604" s="684">
        <f t="shared" si="305"/>
        <v>-300.51663847484343</v>
      </c>
      <c r="Y604" s="687">
        <f t="shared" si="306"/>
        <v>-120.51663847484343</v>
      </c>
      <c r="AA604" s="170">
        <f t="shared" si="307"/>
        <v>436520</v>
      </c>
      <c r="AB604" s="170">
        <f t="shared" si="308"/>
        <v>190549710400</v>
      </c>
      <c r="AD604" s="686">
        <f t="shared" si="309"/>
        <v>9.5721033169376533</v>
      </c>
      <c r="AE604" s="687">
        <f t="shared" si="310"/>
        <v>-82.263275386826948</v>
      </c>
      <c r="AG604" s="686">
        <f t="shared" si="311"/>
        <v>12.800846748711514</v>
      </c>
      <c r="AH604" s="687">
        <f t="shared" si="312"/>
        <v>-74.484978877957886</v>
      </c>
      <c r="AJ604" s="170">
        <f t="shared" si="313"/>
        <v>0</v>
      </c>
      <c r="AK604" s="170">
        <f t="shared" si="325"/>
        <v>0</v>
      </c>
      <c r="AM604" s="170" t="str">
        <f t="shared" si="317"/>
        <v>1.65319235082444+0.757192018463242i</v>
      </c>
      <c r="AN604" s="170" t="str">
        <f t="shared" si="318"/>
        <v>14.8489597898861i</v>
      </c>
      <c r="AO604" s="170" t="str">
        <f t="shared" si="319"/>
        <v>0.0509929334564553-0.111333882926295i</v>
      </c>
      <c r="AP604" s="170" t="str">
        <f t="shared" si="320"/>
        <v>-0.108865391804074-0.126198669743874i</v>
      </c>
      <c r="AQ604" s="170" t="str">
        <f t="shared" si="321"/>
        <v>1.10886539180407+0.126198669743874i</v>
      </c>
      <c r="AR604" s="170" t="str">
        <f t="shared" si="322"/>
        <v>0.7416126231561-0.0844020628647247i</v>
      </c>
    </row>
    <row r="605" spans="7:44">
      <c r="G605" s="688">
        <v>478630</v>
      </c>
      <c r="H605" s="676">
        <f t="shared" si="314"/>
        <v>478.63</v>
      </c>
      <c r="I605" s="677">
        <f t="shared" si="294"/>
        <v>2464.5803234977639</v>
      </c>
      <c r="J605" s="678">
        <f t="shared" si="295"/>
        <v>1.5703905781901932</v>
      </c>
      <c r="K605" s="678">
        <f t="shared" si="296"/>
        <v>1.039188434627683</v>
      </c>
      <c r="L605" s="679">
        <f t="shared" si="297"/>
        <v>0.27549970051679362</v>
      </c>
      <c r="M605" s="678">
        <f t="shared" si="298"/>
        <v>3.3123480807349099</v>
      </c>
      <c r="N605" s="679">
        <f t="shared" si="299"/>
        <v>-1.2641106365028725</v>
      </c>
      <c r="O605" s="677">
        <f t="shared" si="300"/>
        <v>9021962.9404170569</v>
      </c>
      <c r="P605" s="680">
        <f t="shared" si="301"/>
        <v>1.5707962159542728</v>
      </c>
      <c r="Q605" s="689">
        <f t="shared" si="323"/>
        <v>1112.7092120052196</v>
      </c>
      <c r="R605" s="690">
        <f t="shared" si="324"/>
        <v>1.5698976192765051</v>
      </c>
      <c r="S605" s="677">
        <f t="shared" si="302"/>
        <v>8.0736721371721156</v>
      </c>
      <c r="T605" s="680">
        <f t="shared" si="303"/>
        <v>1.4466180526838335</v>
      </c>
      <c r="U605" s="681">
        <f t="shared" si="315"/>
        <v>8.5824772319475134E-2</v>
      </c>
      <c r="V605" s="682">
        <f t="shared" si="316"/>
        <v>-1.7783655179898361</v>
      </c>
      <c r="W605" s="683">
        <f t="shared" si="304"/>
        <v>-65.728125199090982</v>
      </c>
      <c r="X605" s="684">
        <f t="shared" si="305"/>
        <v>-331.44942030437574</v>
      </c>
      <c r="Y605" s="687">
        <f t="shared" si="306"/>
        <v>-151.44942030437574</v>
      </c>
      <c r="AA605" s="170">
        <f t="shared" si="307"/>
        <v>478630</v>
      </c>
      <c r="AB605" s="170">
        <f t="shared" si="308"/>
        <v>229086676900</v>
      </c>
      <c r="AD605" s="686">
        <f t="shared" si="309"/>
        <v>8.7856408123527601</v>
      </c>
      <c r="AE605" s="687">
        <f t="shared" si="310"/>
        <v>-82.93659487810686</v>
      </c>
      <c r="AG605" s="686">
        <f t="shared" si="311"/>
        <v>13.322715766199593</v>
      </c>
      <c r="AH605" s="687">
        <f t="shared" si="312"/>
        <v>-44.727147968581626</v>
      </c>
      <c r="AJ605" s="170">
        <f t="shared" si="313"/>
        <v>0</v>
      </c>
      <c r="AK605" s="170">
        <f t="shared" si="325"/>
        <v>0</v>
      </c>
      <c r="AM605" s="170" t="str">
        <f t="shared" si="317"/>
        <v>1.84004032228897-0.542523968989977i</v>
      </c>
      <c r="AN605" s="170" t="str">
        <f t="shared" si="318"/>
        <v>16.281402053132i</v>
      </c>
      <c r="AO605" s="170" t="str">
        <f t="shared" si="319"/>
        <v>-0.0333216984151321-0.113014856846128i</v>
      </c>
      <c r="AP605" s="170" t="str">
        <f t="shared" si="320"/>
        <v>-0.140006720381496+0.0904206614983295i</v>
      </c>
      <c r="AQ605" s="170" t="str">
        <f t="shared" si="321"/>
        <v>1.1400067203815-0.0904206614983295i</v>
      </c>
      <c r="AR605" s="170" t="str">
        <f t="shared" si="322"/>
        <v>0.726129358122906+0.0575936051261686i</v>
      </c>
    </row>
    <row r="606" spans="7:44">
      <c r="G606" s="688">
        <v>524810</v>
      </c>
      <c r="H606" s="676">
        <f t="shared" si="314"/>
        <v>524.80999999999995</v>
      </c>
      <c r="I606" s="677">
        <f t="shared" si="294"/>
        <v>2702.3721489705649</v>
      </c>
      <c r="J606" s="678">
        <f t="shared" si="295"/>
        <v>1.57042628152811</v>
      </c>
      <c r="K606" s="678">
        <f t="shared" si="296"/>
        <v>1.0469369833124382</v>
      </c>
      <c r="L606" s="679">
        <f t="shared" si="297"/>
        <v>0.30057189253841393</v>
      </c>
      <c r="M606" s="678">
        <f t="shared" si="298"/>
        <v>3.6039812122914956</v>
      </c>
      <c r="N606" s="679">
        <f t="shared" si="299"/>
        <v>-1.2896356625870089</v>
      </c>
      <c r="O606" s="677">
        <f t="shared" si="300"/>
        <v>9892435.431879051</v>
      </c>
      <c r="P606" s="680">
        <f t="shared" si="301"/>
        <v>1.5707962257075549</v>
      </c>
      <c r="Q606" s="689">
        <f t="shared" si="323"/>
        <v>1220.0674464118883</v>
      </c>
      <c r="R606" s="690">
        <f t="shared" si="324"/>
        <v>1.5699766998841831</v>
      </c>
      <c r="S606" s="677">
        <f t="shared" si="302"/>
        <v>8.8412179967175515</v>
      </c>
      <c r="T606" s="680">
        <f t="shared" si="303"/>
        <v>1.4574471759437235</v>
      </c>
      <c r="U606" s="681">
        <f t="shared" si="315"/>
        <v>4.8494680077625432E-2</v>
      </c>
      <c r="V606" s="682">
        <f t="shared" si="316"/>
        <v>-2.4902416773085108</v>
      </c>
      <c r="W606" s="683">
        <f t="shared" si="304"/>
        <v>-71.477904671888297</v>
      </c>
      <c r="X606" s="684">
        <f t="shared" si="305"/>
        <v>-372.88084358021905</v>
      </c>
      <c r="Y606" s="687">
        <f t="shared" si="306"/>
        <v>-192.88084358021905</v>
      </c>
      <c r="AA606" s="170">
        <f t="shared" si="307"/>
        <v>524810</v>
      </c>
      <c r="AB606" s="170">
        <f t="shared" si="308"/>
        <v>275425536100</v>
      </c>
      <c r="AD606" s="686">
        <f t="shared" si="309"/>
        <v>7.9968204257131177</v>
      </c>
      <c r="AE606" s="687">
        <f t="shared" si="310"/>
        <v>-83.552527511189936</v>
      </c>
      <c r="AG606" s="686">
        <f t="shared" si="311"/>
        <v>18.278499134858041</v>
      </c>
      <c r="AH606" s="687">
        <f t="shared" si="312"/>
        <v>-3.9676395882435469</v>
      </c>
      <c r="AJ606" s="170">
        <f t="shared" si="313"/>
        <v>0</v>
      </c>
      <c r="AK606" s="170">
        <f t="shared" si="325"/>
        <v>0</v>
      </c>
      <c r="AM606" s="170" t="str">
        <f t="shared" si="317"/>
        <v>0.457397228092381-0.839989423694232i</v>
      </c>
      <c r="AN606" s="170" t="str">
        <f t="shared" si="318"/>
        <v>17.852292191263i</v>
      </c>
      <c r="AO606" s="170" t="str">
        <f t="shared" si="319"/>
        <v>-0.0470521888559121-0.0256212044476974i</v>
      </c>
      <c r="AP606" s="170" t="str">
        <f t="shared" si="320"/>
        <v>0.0904337953179365+0.139998237282372i</v>
      </c>
      <c r="AQ606" s="170" t="str">
        <f t="shared" si="321"/>
        <v>0.909566204682064-0.139998237282372i</v>
      </c>
      <c r="AR606" s="170" t="str">
        <f t="shared" si="322"/>
        <v>0.89462691558486+0.137698817922798i</v>
      </c>
    </row>
    <row r="607" spans="7:44">
      <c r="G607" s="688">
        <v>575440</v>
      </c>
      <c r="H607" s="676">
        <f t="shared" si="314"/>
        <v>575.44000000000005</v>
      </c>
      <c r="I607" s="677">
        <f t="shared" si="294"/>
        <v>2963.0780882461186</v>
      </c>
      <c r="J607" s="678">
        <f t="shared" si="295"/>
        <v>1.5704588399014698</v>
      </c>
      <c r="K607" s="678">
        <f t="shared" si="296"/>
        <v>1.0561765590051411</v>
      </c>
      <c r="L607" s="679">
        <f t="shared" si="297"/>
        <v>0.32761842121234586</v>
      </c>
      <c r="M607" s="678">
        <f t="shared" si="298"/>
        <v>3.9259938756786297</v>
      </c>
      <c r="N607" s="679">
        <f t="shared" si="299"/>
        <v>-1.313245866279287</v>
      </c>
      <c r="O607" s="677">
        <f t="shared" si="300"/>
        <v>10846788.447096048</v>
      </c>
      <c r="P607" s="680">
        <f t="shared" si="301"/>
        <v>1.5707962346017093</v>
      </c>
      <c r="Q607" s="689">
        <f t="shared" si="323"/>
        <v>1337.7709488979528</v>
      </c>
      <c r="R607" s="690">
        <f t="shared" si="324"/>
        <v>1.57004881460385</v>
      </c>
      <c r="S607" s="677">
        <f t="shared" si="302"/>
        <v>9.6837195845048445</v>
      </c>
      <c r="T607" s="680">
        <f t="shared" si="303"/>
        <v>1.4673457994011245</v>
      </c>
      <c r="U607" s="681">
        <f t="shared" si="315"/>
        <v>3.4211373386442881E-2</v>
      </c>
      <c r="V607" s="682">
        <f t="shared" si="316"/>
        <v>-0.48811098245374351</v>
      </c>
      <c r="W607" s="683">
        <f t="shared" si="304"/>
        <v>-75.27927623976835</v>
      </c>
      <c r="X607" s="684">
        <f t="shared" si="305"/>
        <v>-258.53520112730234</v>
      </c>
      <c r="Y607" s="687">
        <f t="shared" si="306"/>
        <v>-78.535201127302344</v>
      </c>
      <c r="AA607" s="170">
        <f t="shared" si="307"/>
        <v>575440</v>
      </c>
      <c r="AB607" s="170">
        <f t="shared" si="308"/>
        <v>331131193600</v>
      </c>
      <c r="AD607" s="686">
        <f t="shared" si="309"/>
        <v>7.2062178176225711</v>
      </c>
      <c r="AE607" s="687">
        <f t="shared" si="310"/>
        <v>-84.1155454994514</v>
      </c>
      <c r="AG607" s="686">
        <f t="shared" si="311"/>
        <v>21.328673762762051</v>
      </c>
      <c r="AH607" s="687">
        <f t="shared" si="312"/>
        <v>-118.48625710677037</v>
      </c>
      <c r="AJ607" s="170">
        <f t="shared" si="313"/>
        <v>0</v>
      </c>
      <c r="AK607" s="170">
        <f t="shared" si="325"/>
        <v>0</v>
      </c>
      <c r="AM607" s="170" t="str">
        <f t="shared" si="317"/>
        <v>0.25150098914688+0.663135906697791i</v>
      </c>
      <c r="AN607" s="170" t="str">
        <f t="shared" si="318"/>
        <v>19.5745565414919i</v>
      </c>
      <c r="AO607" s="170" t="str">
        <f t="shared" si="319"/>
        <v>0.0338774421424134-0.0128483620363903i</v>
      </c>
      <c r="AP607" s="170" t="str">
        <f t="shared" si="320"/>
        <v>0.124749835142187-0.110522651116298i</v>
      </c>
      <c r="AQ607" s="170" t="str">
        <f t="shared" si="321"/>
        <v>0.875250164857813+0.110522651116298i</v>
      </c>
      <c r="AR607" s="170" t="str">
        <f t="shared" si="322"/>
        <v>0.936790307098208-0.118293663272105i</v>
      </c>
    </row>
    <row r="608" spans="7:44">
      <c r="G608" s="688">
        <v>630960</v>
      </c>
      <c r="H608" s="676">
        <f t="shared" si="314"/>
        <v>630.96</v>
      </c>
      <c r="I608" s="677">
        <f t="shared" si="294"/>
        <v>3248.9638062124159</v>
      </c>
      <c r="J608" s="678">
        <f t="shared" si="295"/>
        <v>1.5704885363498702</v>
      </c>
      <c r="K608" s="678">
        <f t="shared" si="296"/>
        <v>1.0671801205329607</v>
      </c>
      <c r="L608" s="679">
        <f t="shared" si="297"/>
        <v>0.3567151529479789</v>
      </c>
      <c r="M608" s="678">
        <f t="shared" si="298"/>
        <v>4.2812257414379395</v>
      </c>
      <c r="N608" s="679">
        <f t="shared" si="299"/>
        <v>-1.3350405056445289</v>
      </c>
      <c r="O608" s="677">
        <f t="shared" si="300"/>
        <v>11893315.790664043</v>
      </c>
      <c r="P608" s="680">
        <f t="shared" si="301"/>
        <v>1.5707962427140552</v>
      </c>
      <c r="Q608" s="689">
        <f t="shared" si="323"/>
        <v>1466.8426217167967</v>
      </c>
      <c r="R608" s="690">
        <f t="shared" si="324"/>
        <v>1.5701145903477443</v>
      </c>
      <c r="S608" s="677">
        <f t="shared" si="302"/>
        <v>10.608501599835799</v>
      </c>
      <c r="T608" s="680">
        <f t="shared" si="303"/>
        <v>1.4763921458972884</v>
      </c>
      <c r="U608" s="681">
        <f t="shared" si="315"/>
        <v>6.5326156658923343E-2</v>
      </c>
      <c r="V608" s="682">
        <f t="shared" si="316"/>
        <v>-1.3800704345065005</v>
      </c>
      <c r="W608" s="683">
        <f t="shared" si="304"/>
        <v>-70.410822771286163</v>
      </c>
      <c r="X608" s="684">
        <f t="shared" si="305"/>
        <v>-309.73858495848384</v>
      </c>
      <c r="Y608" s="687">
        <f t="shared" si="306"/>
        <v>-129.73858495848384</v>
      </c>
      <c r="AA608" s="170">
        <f t="shared" si="307"/>
        <v>630960</v>
      </c>
      <c r="AB608" s="170">
        <f t="shared" si="308"/>
        <v>398110521600</v>
      </c>
      <c r="AD608" s="686">
        <f t="shared" si="309"/>
        <v>6.4139805832092298</v>
      </c>
      <c r="AE608" s="687">
        <f t="shared" si="310"/>
        <v>-84.630094766566188</v>
      </c>
      <c r="AG608" s="686">
        <f t="shared" si="311"/>
        <v>15.752700500515548</v>
      </c>
      <c r="AH608" s="687">
        <f t="shared" si="312"/>
        <v>-66.964067355194999</v>
      </c>
      <c r="AJ608" s="170">
        <f t="shared" si="313"/>
        <v>0</v>
      </c>
      <c r="AK608" s="170">
        <f t="shared" si="325"/>
        <v>0</v>
      </c>
      <c r="AM608" s="170" t="str">
        <f t="shared" si="317"/>
        <v>1.86382339687024+0.503794738975667i</v>
      </c>
      <c r="AN608" s="170" t="str">
        <f t="shared" si="318"/>
        <v>21.4631624416442i</v>
      </c>
      <c r="AO608" s="170" t="str">
        <f t="shared" si="319"/>
        <v>0.0234725306834641-0.086838246783891i</v>
      </c>
      <c r="AP608" s="170" t="str">
        <f t="shared" si="320"/>
        <v>-0.14397056614504-0.0839657898292778i</v>
      </c>
      <c r="AQ608" s="170" t="str">
        <f t="shared" si="321"/>
        <v>1.14397056614504+0.0839657898292778i</v>
      </c>
      <c r="AR608" s="170" t="str">
        <f t="shared" si="322"/>
        <v>0.724263727082612-0.0531599131034615i</v>
      </c>
    </row>
    <row r="609" spans="7:44">
      <c r="G609" s="688">
        <v>691830</v>
      </c>
      <c r="H609" s="676">
        <f t="shared" si="314"/>
        <v>691.83</v>
      </c>
      <c r="I609" s="677">
        <f t="shared" si="294"/>
        <v>3562.3979525499731</v>
      </c>
      <c r="J609" s="678">
        <f t="shared" si="295"/>
        <v>1.5705156169959205</v>
      </c>
      <c r="K609" s="678">
        <f t="shared" si="296"/>
        <v>1.0802595462824742</v>
      </c>
      <c r="L609" s="679">
        <f t="shared" si="297"/>
        <v>0.38790516918765661</v>
      </c>
      <c r="M609" s="678">
        <f t="shared" si="298"/>
        <v>4.6726522364598537</v>
      </c>
      <c r="N609" s="679">
        <f t="shared" si="299"/>
        <v>-1.3551168428559723</v>
      </c>
      <c r="O609" s="677">
        <f t="shared" si="300"/>
        <v>13040688.258297039</v>
      </c>
      <c r="P609" s="680">
        <f t="shared" si="301"/>
        <v>1.5707962501118273</v>
      </c>
      <c r="Q609" s="689">
        <f t="shared" si="323"/>
        <v>1608.3518627339076</v>
      </c>
      <c r="R609" s="690">
        <f t="shared" si="324"/>
        <v>1.5701745722599592</v>
      </c>
      <c r="S609" s="677">
        <f t="shared" si="302"/>
        <v>11.623228380807253</v>
      </c>
      <c r="T609" s="680">
        <f t="shared" si="303"/>
        <v>1.4846552174766208</v>
      </c>
      <c r="U609" s="681">
        <f t="shared" si="315"/>
        <v>4.984006546558329E-2</v>
      </c>
      <c r="V609" s="682">
        <f t="shared" si="316"/>
        <v>-2.1777745292972073</v>
      </c>
      <c r="W609" s="683">
        <f t="shared" si="304"/>
        <v>-73.488684514020576</v>
      </c>
      <c r="X609" s="684">
        <f t="shared" si="305"/>
        <v>-355.27845048663062</v>
      </c>
      <c r="Y609" s="687">
        <f t="shared" si="306"/>
        <v>-175.27845048663062</v>
      </c>
      <c r="AA609" s="170">
        <f t="shared" si="307"/>
        <v>691830</v>
      </c>
      <c r="AB609" s="170">
        <f t="shared" si="308"/>
        <v>478628748900</v>
      </c>
      <c r="AD609" s="686">
        <f t="shared" si="309"/>
        <v>5.6205257441004104</v>
      </c>
      <c r="AE609" s="687">
        <f t="shared" si="310"/>
        <v>-85.100097607857592</v>
      </c>
      <c r="AG609" s="686">
        <f t="shared" si="311"/>
        <v>18.168633754593451</v>
      </c>
      <c r="AH609" s="687">
        <f t="shared" si="312"/>
        <v>-20.62377407397652</v>
      </c>
      <c r="AJ609" s="170">
        <f t="shared" si="313"/>
        <v>0</v>
      </c>
      <c r="AK609" s="170">
        <f t="shared" si="325"/>
        <v>0</v>
      </c>
      <c r="AM609" s="170" t="str">
        <f t="shared" si="317"/>
        <v>1.028183606393-0.999602763266831i</v>
      </c>
      <c r="AN609" s="170" t="str">
        <f t="shared" si="318"/>
        <v>23.5337575630828i</v>
      </c>
      <c r="AO609" s="170" t="str">
        <f t="shared" si="319"/>
        <v>-0.0424752724076201-0.0436897339337728i</v>
      </c>
      <c r="AP609" s="170" t="str">
        <f t="shared" si="320"/>
        <v>-0.00469726773216627+0.166600460544472i</v>
      </c>
      <c r="AQ609" s="170" t="str">
        <f t="shared" si="321"/>
        <v>1.00469726773217-0.166600460544472i</v>
      </c>
      <c r="AR609" s="170" t="str">
        <f t="shared" si="322"/>
        <v>0.806917821981552+0.133804365833615i</v>
      </c>
    </row>
    <row r="610" spans="7:44">
      <c r="G610" s="688">
        <v>758580</v>
      </c>
      <c r="H610" s="676">
        <f t="shared" si="314"/>
        <v>758.58</v>
      </c>
      <c r="I610" s="677">
        <f t="shared" si="294"/>
        <v>3906.1096236537328</v>
      </c>
      <c r="J610" s="678">
        <f t="shared" si="295"/>
        <v>1.5705403175920654</v>
      </c>
      <c r="K610" s="678">
        <f t="shared" si="296"/>
        <v>1.0957795139298427</v>
      </c>
      <c r="L610" s="679">
        <f t="shared" si="297"/>
        <v>0.42121619615505229</v>
      </c>
      <c r="M610" s="678">
        <f t="shared" si="298"/>
        <v>5.103706658585212</v>
      </c>
      <c r="N610" s="679">
        <f t="shared" si="299"/>
        <v>-1.3735844396849999</v>
      </c>
      <c r="O610" s="677">
        <f t="shared" si="300"/>
        <v>14298896.114622036</v>
      </c>
      <c r="P610" s="680">
        <f t="shared" si="301"/>
        <v>1.570796256859428</v>
      </c>
      <c r="Q610" s="689">
        <f t="shared" si="323"/>
        <v>1763.5308043255272</v>
      </c>
      <c r="R610" s="690">
        <f t="shared" si="324"/>
        <v>1.5702292825158077</v>
      </c>
      <c r="S610" s="677">
        <f t="shared" si="302"/>
        <v>12.736736956623282</v>
      </c>
      <c r="T610" s="680">
        <f t="shared" si="303"/>
        <v>1.492202394389879</v>
      </c>
      <c r="U610" s="681">
        <f t="shared" si="315"/>
        <v>2.4296018224256193E-2</v>
      </c>
      <c r="V610" s="682">
        <f t="shared" si="316"/>
        <v>-0.45452549803688941</v>
      </c>
      <c r="W610" s="683">
        <f t="shared" si="304"/>
        <v>-80.433876672047887</v>
      </c>
      <c r="X610" s="684">
        <f t="shared" si="305"/>
        <v>-256.12379027581187</v>
      </c>
      <c r="Y610" s="687">
        <f t="shared" si="306"/>
        <v>-76.123790275811871</v>
      </c>
      <c r="AA610" s="170">
        <f t="shared" si="307"/>
        <v>758580</v>
      </c>
      <c r="AB610" s="170">
        <f t="shared" si="308"/>
        <v>575443616400</v>
      </c>
      <c r="AD610" s="686">
        <f t="shared" si="309"/>
        <v>4.8258972913001488</v>
      </c>
      <c r="AE610" s="687">
        <f t="shared" si="310"/>
        <v>-85.529384712569239</v>
      </c>
      <c r="AG610" s="686">
        <f t="shared" si="311"/>
        <v>24.499810026635991</v>
      </c>
      <c r="AH610" s="687">
        <f t="shared" si="312"/>
        <v>-118.50962006653606</v>
      </c>
      <c r="AJ610" s="170">
        <f t="shared" si="313"/>
        <v>0</v>
      </c>
      <c r="AK610" s="170">
        <f t="shared" si="325"/>
        <v>0</v>
      </c>
      <c r="AM610" s="170" t="str">
        <f t="shared" si="317"/>
        <v>0.217191280818787+0.622262411827895i</v>
      </c>
      <c r="AN610" s="170" t="str">
        <f t="shared" si="318"/>
        <v>25.8043707445519i</v>
      </c>
      <c r="AO610" s="170" t="str">
        <f t="shared" si="319"/>
        <v>0.0241146129075546-0.0084168408123125i</v>
      </c>
      <c r="AP610" s="170" t="str">
        <f t="shared" si="320"/>
        <v>0.130468119863535-0.103710401971316i</v>
      </c>
      <c r="AQ610" s="170" t="str">
        <f t="shared" si="321"/>
        <v>0.869531880136465+0.103710401971316i</v>
      </c>
      <c r="AR610" s="170" t="str">
        <f t="shared" si="322"/>
        <v>0.944549845323819-0.112657909822816i</v>
      </c>
    </row>
    <row r="611" spans="7:44">
      <c r="G611" s="688">
        <v>831760</v>
      </c>
      <c r="H611" s="676">
        <f t="shared" si="314"/>
        <v>831.76</v>
      </c>
      <c r="I611" s="677">
        <f t="shared" si="294"/>
        <v>4282.9309007087413</v>
      </c>
      <c r="J611" s="678">
        <f t="shared" si="295"/>
        <v>1.5705628418211091</v>
      </c>
      <c r="K611" s="678">
        <f t="shared" si="296"/>
        <v>1.1141499480175947</v>
      </c>
      <c r="L611" s="679">
        <f t="shared" si="297"/>
        <v>0.45662604447390459</v>
      </c>
      <c r="M611" s="678">
        <f t="shared" si="298"/>
        <v>5.5779601599506847</v>
      </c>
      <c r="N611" s="679">
        <f t="shared" si="299"/>
        <v>-1.3905448246841463</v>
      </c>
      <c r="O611" s="677">
        <f t="shared" si="300"/>
        <v>15678306.615384033</v>
      </c>
      <c r="P611" s="680">
        <f t="shared" si="301"/>
        <v>1.5707962630124981</v>
      </c>
      <c r="Q611" s="689">
        <f t="shared" si="323"/>
        <v>1933.6580744746338</v>
      </c>
      <c r="R611" s="690">
        <f t="shared" si="324"/>
        <v>1.5702791722587481</v>
      </c>
      <c r="S611" s="677">
        <f t="shared" si="302"/>
        <v>13.958203585675786</v>
      </c>
      <c r="T611" s="680">
        <f t="shared" si="303"/>
        <v>1.499092441979859</v>
      </c>
      <c r="U611" s="681">
        <f t="shared" si="315"/>
        <v>5.0469370939155274E-2</v>
      </c>
      <c r="V611" s="682">
        <f t="shared" si="316"/>
        <v>-1.5777168885796979</v>
      </c>
      <c r="W611" s="683">
        <f t="shared" si="304"/>
        <v>-74.763177532754355</v>
      </c>
      <c r="X611" s="684">
        <f t="shared" si="305"/>
        <v>-319.81404330126577</v>
      </c>
      <c r="Y611" s="687">
        <f t="shared" si="306"/>
        <v>-139.81404330126577</v>
      </c>
      <c r="AA611" s="170">
        <f t="shared" si="307"/>
        <v>831760</v>
      </c>
      <c r="AB611" s="170">
        <f t="shared" si="308"/>
        <v>691824697600</v>
      </c>
      <c r="AD611" s="686">
        <f t="shared" si="309"/>
        <v>4.0304700828226583</v>
      </c>
      <c r="AE611" s="687">
        <f t="shared" si="310"/>
        <v>-85.921297241400652</v>
      </c>
      <c r="AG611" s="686">
        <f t="shared" si="311"/>
        <v>18.266224896068582</v>
      </c>
      <c r="AH611" s="687">
        <f t="shared" si="312"/>
        <v>-53.099707889021673</v>
      </c>
      <c r="AJ611" s="170">
        <f t="shared" si="313"/>
        <v>0</v>
      </c>
      <c r="AK611" s="170">
        <f t="shared" si="325"/>
        <v>0</v>
      </c>
      <c r="AM611" s="170" t="str">
        <f t="shared" si="317"/>
        <v>1.9998122664612-0.0193760634217823i</v>
      </c>
      <c r="AN611" s="170" t="str">
        <f t="shared" si="318"/>
        <v>28.2937111583333i</v>
      </c>
      <c r="AO611" s="170" t="str">
        <f t="shared" si="319"/>
        <v>-0.000684818732804357-0.0706804510468821i</v>
      </c>
      <c r="AP611" s="170" t="str">
        <f t="shared" si="320"/>
        <v>-0.166635377743533+0.00322934390363038i</v>
      </c>
      <c r="AQ611" s="170" t="str">
        <f t="shared" si="321"/>
        <v>1.16663537774353-0.00322934390363038i</v>
      </c>
      <c r="AR611" s="170" t="str">
        <f t="shared" si="322"/>
        <v>0.714013678358127+0.00197644933738793i</v>
      </c>
    </row>
    <row r="612" spans="7:44">
      <c r="G612" s="688">
        <v>912010</v>
      </c>
      <c r="H612" s="676">
        <f t="shared" si="314"/>
        <v>912.01</v>
      </c>
      <c r="I612" s="677">
        <f t="shared" si="294"/>
        <v>4696.1572963866674</v>
      </c>
      <c r="J612" s="678">
        <f t="shared" si="295"/>
        <v>1.5705833867367929</v>
      </c>
      <c r="K612" s="678">
        <f t="shared" si="296"/>
        <v>1.1358453684980865</v>
      </c>
      <c r="L612" s="679">
        <f t="shared" si="297"/>
        <v>0.4940880905147737</v>
      </c>
      <c r="M612" s="678">
        <f t="shared" si="298"/>
        <v>6.0995753521869283</v>
      </c>
      <c r="N612" s="679">
        <f t="shared" si="299"/>
        <v>-1.4061070305095424</v>
      </c>
      <c r="O612" s="677">
        <f t="shared" si="300"/>
        <v>17190983.476359032</v>
      </c>
      <c r="P612" s="680">
        <f t="shared" si="301"/>
        <v>1.570796268624868</v>
      </c>
      <c r="Q612" s="689">
        <f t="shared" si="323"/>
        <v>2120.2215312420371</v>
      </c>
      <c r="R612" s="690">
        <f t="shared" si="324"/>
        <v>1.5703246779495565</v>
      </c>
      <c r="S612" s="677">
        <f t="shared" si="302"/>
        <v>15.298311659315688</v>
      </c>
      <c r="T612" s="680">
        <f t="shared" si="303"/>
        <v>1.505382996940263</v>
      </c>
      <c r="U612" s="681">
        <f t="shared" si="315"/>
        <v>1.2338677173823072E-2</v>
      </c>
      <c r="V612" s="682">
        <f t="shared" si="316"/>
        <v>-2.8702139706948673</v>
      </c>
      <c r="W612" s="683">
        <f t="shared" si="304"/>
        <v>-87.650679193172195</v>
      </c>
      <c r="X612" s="684">
        <f t="shared" si="305"/>
        <v>-392.97289523120071</v>
      </c>
      <c r="Y612" s="687">
        <f t="shared" si="306"/>
        <v>-212.97289523120071</v>
      </c>
      <c r="AA612" s="170">
        <f t="shared" si="307"/>
        <v>912010</v>
      </c>
      <c r="AB612" s="170">
        <f t="shared" si="308"/>
        <v>831762240100</v>
      </c>
      <c r="AD612" s="686">
        <f t="shared" si="309"/>
        <v>3.2341903714423608</v>
      </c>
      <c r="AE612" s="687">
        <f t="shared" si="310"/>
        <v>-86.27911252937372</v>
      </c>
      <c r="AG612" s="686">
        <f t="shared" si="311"/>
        <v>30.645374548169066</v>
      </c>
      <c r="AH612" s="687">
        <f t="shared" si="312"/>
        <v>22.208511314601854</v>
      </c>
      <c r="AJ612" s="170">
        <f t="shared" si="313"/>
        <v>0</v>
      </c>
      <c r="AK612" s="170">
        <f t="shared" si="325"/>
        <v>0</v>
      </c>
      <c r="AM612" s="170" t="str">
        <f t="shared" si="317"/>
        <v>0.075997282362696-0.382385901673789i</v>
      </c>
      <c r="AN612" s="170" t="str">
        <f t="shared" si="318"/>
        <v>31.0235494776276i</v>
      </c>
      <c r="AO612" s="170" t="str">
        <f t="shared" si="319"/>
        <v>-0.0123256657639882-0.00244966432411291i</v>
      </c>
      <c r="AP612" s="170" t="str">
        <f t="shared" si="320"/>
        <v>0.154000452939551+0.0637309836122982i</v>
      </c>
      <c r="AQ612" s="170" t="str">
        <f t="shared" si="321"/>
        <v>0.845999547060449-0.0637309836122982i</v>
      </c>
      <c r="AR612" s="170" t="str">
        <f t="shared" si="322"/>
        <v>0.979077892350726+0.0737560644439791i</v>
      </c>
    </row>
    <row r="613" spans="7:44">
      <c r="G613" s="688">
        <v>1000000</v>
      </c>
      <c r="H613" s="676">
        <f t="shared" si="314"/>
        <v>1000</v>
      </c>
      <c r="I613" s="677">
        <f t="shared" si="294"/>
        <v>5149.238800533315</v>
      </c>
      <c r="J613" s="678">
        <f t="shared" si="295"/>
        <v>1.5706021233320115</v>
      </c>
      <c r="K613" s="678">
        <f t="shared" si="296"/>
        <v>1.1613919653393967</v>
      </c>
      <c r="L613" s="679">
        <f t="shared" si="297"/>
        <v>0.53349346058453129</v>
      </c>
      <c r="M613" s="678">
        <f t="shared" si="298"/>
        <v>6.6729189219825766</v>
      </c>
      <c r="N613" s="679">
        <f t="shared" si="299"/>
        <v>-1.4203702047339655</v>
      </c>
      <c r="O613" s="677">
        <f t="shared" si="300"/>
        <v>18849555.900000028</v>
      </c>
      <c r="P613" s="680">
        <f t="shared" si="301"/>
        <v>1.5707962737432488</v>
      </c>
      <c r="Q613" s="689">
        <f t="shared" si="323"/>
        <v>2324.7787760742376</v>
      </c>
      <c r="R613" s="690">
        <f t="shared" si="324"/>
        <v>1.570366178326092</v>
      </c>
      <c r="S613" s="677">
        <f t="shared" si="302"/>
        <v>16.768250455620059</v>
      </c>
      <c r="T613" s="680">
        <f t="shared" si="303"/>
        <v>1.511124406601589</v>
      </c>
      <c r="U613" s="681">
        <f t="shared" si="315"/>
        <v>4.1179894726827052E-2</v>
      </c>
      <c r="V613" s="682">
        <f t="shared" si="316"/>
        <v>-1.3753166055099633</v>
      </c>
      <c r="W613" s="683">
        <f t="shared" si="304"/>
        <v>-77.805722606817582</v>
      </c>
      <c r="X613" s="684">
        <f t="shared" si="305"/>
        <v>-306.20869815882321</v>
      </c>
      <c r="Y613" s="687">
        <f t="shared" si="306"/>
        <v>-126.20869815882321</v>
      </c>
      <c r="AA613" s="170">
        <f t="shared" si="307"/>
        <v>1000000</v>
      </c>
      <c r="AB613" s="170">
        <f t="shared" si="308"/>
        <v>1000000000000</v>
      </c>
      <c r="AD613" s="686">
        <f t="shared" si="309"/>
        <v>2.4373052504825492</v>
      </c>
      <c r="AE613" s="687">
        <f t="shared" si="310"/>
        <v>-86.605693568634422</v>
      </c>
      <c r="AG613" s="686">
        <f t="shared" si="311"/>
        <v>20.350551037789749</v>
      </c>
      <c r="AH613" s="687">
        <f t="shared" si="312"/>
        <v>-62.003330430145624</v>
      </c>
      <c r="AJ613" s="170">
        <f t="shared" si="313"/>
        <v>0</v>
      </c>
      <c r="AK613" s="170">
        <f t="shared" si="325"/>
        <v>0</v>
      </c>
      <c r="AM613" s="170" t="str">
        <f t="shared" si="317"/>
        <v>1.85727531343601+0.514858268820837i</v>
      </c>
      <c r="AN613" s="170" t="str">
        <f t="shared" si="318"/>
        <v>34.0166768759417i</v>
      </c>
      <c r="AO613" s="170" t="str">
        <f t="shared" si="319"/>
        <v>0.0151354663684086-0.0545989639202402i</v>
      </c>
      <c r="AP613" s="170" t="str">
        <f t="shared" si="320"/>
        <v>-0.142879218906002-0.0858097114701395i</v>
      </c>
      <c r="AQ613" s="170" t="str">
        <f t="shared" si="321"/>
        <v>1.142879218906+0.0858097114701395i</v>
      </c>
      <c r="AR613" s="170" t="str">
        <f t="shared" si="322"/>
        <v>0.724775136040876-0.0544176009814331i</v>
      </c>
    </row>
    <row r="614" spans="7:44">
      <c r="G614" s="692"/>
      <c r="H614" s="692"/>
      <c r="I614" s="693"/>
      <c r="J614" s="693"/>
      <c r="K614" s="693"/>
      <c r="L614" s="693"/>
      <c r="M614" s="678"/>
      <c r="N614" s="679"/>
      <c r="O614" s="693"/>
      <c r="P614" s="693"/>
      <c r="Q614" s="693"/>
      <c r="R614" s="693"/>
      <c r="S614" s="693"/>
      <c r="T614" s="693"/>
      <c r="U614" s="693"/>
      <c r="V614" s="694"/>
      <c r="W614" s="695"/>
      <c r="X614" s="684"/>
      <c r="Y614" s="696"/>
      <c r="AG614" s="686"/>
      <c r="AH614" s="687"/>
    </row>
    <row r="615" spans="7:44">
      <c r="G615" s="692"/>
      <c r="H615" s="692"/>
      <c r="I615" s="693"/>
      <c r="J615" s="693"/>
      <c r="K615" s="693"/>
      <c r="L615" s="693"/>
      <c r="M615" s="678"/>
      <c r="N615" s="679"/>
      <c r="O615" s="693"/>
      <c r="P615" s="693"/>
      <c r="Q615" s="693"/>
      <c r="R615" s="693"/>
      <c r="S615" s="693"/>
      <c r="T615" s="693"/>
      <c r="U615" s="693"/>
      <c r="V615" s="694"/>
      <c r="W615" s="696"/>
      <c r="X615" s="684"/>
      <c r="Y615" s="696"/>
      <c r="AG615" s="686"/>
      <c r="AH615" s="687"/>
    </row>
    <row r="616" spans="7:44">
      <c r="G616" s="170" t="s">
        <v>724</v>
      </c>
      <c r="M616" s="678"/>
      <c r="N616" s="679"/>
      <c r="W616" s="683"/>
      <c r="X616" s="684"/>
      <c r="Y616" s="697"/>
      <c r="AG616" s="686"/>
      <c r="AH616" s="687"/>
    </row>
    <row r="617" spans="7:44">
      <c r="G617" s="698">
        <f>W4*1000</f>
        <v>6606.9</v>
      </c>
      <c r="H617" s="698"/>
      <c r="I617" s="699">
        <f t="shared" ref="I617:I626" si="326">SQRT(1+(G617/pole1)^2)</f>
        <v>34.035199035154022</v>
      </c>
      <c r="J617" s="689">
        <f t="shared" ref="J617:J626" si="327">ATAN(G617/pole1)</f>
        <v>1.5414107506403956</v>
      </c>
      <c r="K617" s="689">
        <f t="shared" ref="K617:K626" si="328">SQRT(1+(G617/Zero1)^2)</f>
        <v>1.0000076134107512</v>
      </c>
      <c r="L617" s="690">
        <f t="shared" ref="L617:L626" si="329">ATAN(G617/Zero1)</f>
        <v>3.9021436283624379E-3</v>
      </c>
      <c r="M617" s="678">
        <v>1</v>
      </c>
      <c r="N617" s="679">
        <v>0</v>
      </c>
      <c r="O617" s="699">
        <f t="shared" ref="O617:O626" si="330">SQRT(1+(G617/Pole2)^2)</f>
        <v>124537.13087972488</v>
      </c>
      <c r="P617" s="700">
        <f t="shared" ref="P617:P626" si="331">ATAN(G617/Pole2)</f>
        <v>1.5707882970611702</v>
      </c>
      <c r="Q617" s="689">
        <f t="shared" ref="Q617:Q626" si="332">SQRT(1+(G617/Zero2)^2)</f>
        <v>15.392098025894054</v>
      </c>
      <c r="R617" s="690">
        <f t="shared" ref="R617:R626" si="333">ATAN(G617/Zero2)</f>
        <v>1.5057821344429936</v>
      </c>
      <c r="S617" s="699">
        <f t="shared" ref="S617:S626" si="334">SQRT(1+(G617/pole4)^2)</f>
        <v>1.0060963774788934</v>
      </c>
      <c r="T617" s="700">
        <f t="shared" ref="T617:T626" si="335">ATAN(G617/pole4)</f>
        <v>0.1101414203141587</v>
      </c>
      <c r="U617" s="699" t="e">
        <v>#DIV/0!</v>
      </c>
      <c r="V617" s="701" t="e">
        <v>#DIV/0!</v>
      </c>
      <c r="W617" s="683" t="e">
        <f>20*LOG10(((K617*Q617*M617)/(I617*O617*U617*S617))*Adc)</f>
        <v>#DIV/0!</v>
      </c>
      <c r="X617" s="684" t="e">
        <f>((L617+R617+N617)-(J617+P617+V617+T617))*radconv</f>
        <v>#DIV/0!</v>
      </c>
      <c r="Y617" s="687" t="e">
        <f t="shared" ref="Y617:Y626" si="336">IF(X617&gt;0,X617,X617+180)</f>
        <v>#DIV/0!</v>
      </c>
      <c r="Z617" s="170" t="s">
        <v>725</v>
      </c>
      <c r="AD617" s="686">
        <f>20*LOG10((Q617/(O617*S617))*Aea)</f>
        <v>26.892637684925155</v>
      </c>
      <c r="AE617" s="687">
        <f>(R617-(P617+T617))*radconv</f>
        <v>-10.035217305407286</v>
      </c>
      <c r="AG617" s="686" t="e">
        <f>20*LOG10((K617*M617/(I617*U617))*Acs*Am)</f>
        <v>#DIV/0!</v>
      </c>
      <c r="AH617" s="687" t="e">
        <f>(L617+N617-(J617+V617))*radconv</f>
        <v>#DIV/0!</v>
      </c>
    </row>
    <row r="618" spans="7:44">
      <c r="G618" s="698">
        <f>G617</f>
        <v>6606.9</v>
      </c>
      <c r="H618" s="698"/>
      <c r="I618" s="699"/>
      <c r="J618" s="689"/>
      <c r="K618" s="689"/>
      <c r="L618" s="690"/>
      <c r="M618" s="678"/>
      <c r="N618" s="679"/>
      <c r="O618" s="699"/>
      <c r="P618" s="700"/>
      <c r="Q618" s="689"/>
      <c r="R618" s="690"/>
      <c r="S618" s="677"/>
      <c r="T618" s="680"/>
      <c r="U618" s="699"/>
      <c r="V618" s="682"/>
      <c r="W618" s="683"/>
      <c r="X618" s="684">
        <v>-135</v>
      </c>
      <c r="Y618" s="687"/>
      <c r="AD618" s="686"/>
      <c r="AE618" s="687"/>
      <c r="AG618" s="686"/>
      <c r="AH618" s="687"/>
    </row>
    <row r="619" spans="7:44">
      <c r="G619" s="170">
        <f>G618</f>
        <v>6606.9</v>
      </c>
      <c r="H619" s="698"/>
      <c r="I619" s="699"/>
      <c r="J619" s="689"/>
      <c r="K619" s="689"/>
      <c r="L619" s="690"/>
      <c r="M619" s="678"/>
      <c r="N619" s="679"/>
      <c r="O619" s="699"/>
      <c r="P619" s="700"/>
      <c r="Q619" s="689"/>
      <c r="R619" s="690"/>
      <c r="S619" s="677"/>
      <c r="T619" s="680"/>
      <c r="U619" s="699"/>
      <c r="V619" s="682"/>
      <c r="W619" s="683"/>
      <c r="X619" s="684"/>
      <c r="Y619" s="687"/>
      <c r="AD619" s="686"/>
      <c r="AE619" s="687"/>
      <c r="AG619" s="686"/>
      <c r="AH619" s="687"/>
    </row>
    <row r="620" spans="7:44">
      <c r="G620" s="698">
        <v>1000000</v>
      </c>
      <c r="H620" s="698"/>
      <c r="I620" s="699"/>
      <c r="J620" s="689"/>
      <c r="K620" s="689"/>
      <c r="L620" s="690"/>
      <c r="M620" s="678"/>
      <c r="N620" s="679"/>
      <c r="O620" s="699"/>
      <c r="P620" s="700"/>
      <c r="Q620" s="689"/>
      <c r="R620" s="690"/>
      <c r="S620" s="677"/>
      <c r="T620" s="680"/>
      <c r="U620" s="699"/>
      <c r="V620" s="682"/>
      <c r="W620" s="683"/>
      <c r="X620" s="684" t="e">
        <f>X617</f>
        <v>#DIV/0!</v>
      </c>
      <c r="Y620" s="687"/>
      <c r="AD620" s="686"/>
      <c r="AE620" s="687"/>
      <c r="AG620" s="686"/>
      <c r="AH620" s="687"/>
    </row>
    <row r="621" spans="7:44">
      <c r="G621" s="698"/>
      <c r="H621" s="698"/>
      <c r="I621" s="699"/>
      <c r="J621" s="689"/>
      <c r="K621" s="689"/>
      <c r="L621" s="690"/>
      <c r="M621" s="678"/>
      <c r="N621" s="679"/>
      <c r="O621" s="699"/>
      <c r="P621" s="700"/>
      <c r="Q621" s="689"/>
      <c r="R621" s="690"/>
      <c r="S621" s="677"/>
      <c r="T621" s="680"/>
      <c r="U621" s="699"/>
      <c r="V621" s="682"/>
      <c r="W621" s="683"/>
      <c r="X621" s="684"/>
      <c r="Y621" s="687"/>
      <c r="AD621" s="686"/>
      <c r="AE621" s="687"/>
      <c r="AG621" s="686"/>
      <c r="AH621" s="687"/>
    </row>
    <row r="622" spans="7:44">
      <c r="G622" s="702">
        <f>pole1</f>
        <v>194.20346532654906</v>
      </c>
      <c r="H622" s="703"/>
      <c r="I622" s="699">
        <f t="shared" si="326"/>
        <v>1.4142135623730951</v>
      </c>
      <c r="J622" s="689">
        <f t="shared" si="327"/>
        <v>0.78539816339744828</v>
      </c>
      <c r="K622" s="689">
        <f t="shared" si="328"/>
        <v>1.0000000065780836</v>
      </c>
      <c r="L622" s="690">
        <f t="shared" si="329"/>
        <v>1.1470033720058468E-4</v>
      </c>
      <c r="M622" s="678">
        <v>1</v>
      </c>
      <c r="N622" s="679">
        <v>0</v>
      </c>
      <c r="O622" s="699">
        <f t="shared" si="330"/>
        <v>3660.6492122342952</v>
      </c>
      <c r="P622" s="700">
        <f t="shared" si="331"/>
        <v>1.5705231512037761</v>
      </c>
      <c r="Q622" s="689">
        <f t="shared" si="332"/>
        <v>1.0971938014556255</v>
      </c>
      <c r="R622" s="690">
        <f t="shared" si="333"/>
        <v>0.42408405720992121</v>
      </c>
      <c r="S622" s="677">
        <f t="shared" si="334"/>
        <v>1.0000052833694908</v>
      </c>
      <c r="T622" s="680">
        <f t="shared" si="335"/>
        <v>3.2506449296039429E-3</v>
      </c>
      <c r="U622" s="699" t="e">
        <f>SQRT((1-(G622^2/(pole3^2)))^2+(G622/(Q*pole3))^2)</f>
        <v>#DIV/0!</v>
      </c>
      <c r="V622" s="682" t="e">
        <f>ATAN((G622/(Q*pole3))/(1-G622^2/pole3^2))</f>
        <v>#NAME?</v>
      </c>
      <c r="W622" s="683" t="e">
        <f t="shared" ref="W622:W628" si="337">20*LOG10(((K622*Q622*M622)/(I622*O622*U622*S622))*Adc)</f>
        <v>#DIV/0!</v>
      </c>
      <c r="X622" s="684" t="e">
        <f t="shared" ref="X622:X628" si="338">((L622+R622+N622)-(J622+P622+V622+T622))*radconv</f>
        <v>#NAME?</v>
      </c>
      <c r="Y622" s="687" t="e">
        <f t="shared" si="336"/>
        <v>#NAME?</v>
      </c>
      <c r="Z622" s="170" t="s">
        <v>713</v>
      </c>
      <c r="AD622" s="686">
        <f>20*LOG10((Q622/(O622*S622))*Aea)</f>
        <v>34.63990884192301</v>
      </c>
      <c r="AE622" s="687">
        <f>(R622-(P622+T622))*radconv</f>
        <v>-65.872369865081822</v>
      </c>
      <c r="AG622" s="686" t="e">
        <f t="shared" ref="AG622:AG628" si="339">20*LOG10((K622*M622/(I622*U622))*Acs*Am)</f>
        <v>#DIV/0!</v>
      </c>
      <c r="AH622" s="687" t="e">
        <f t="shared" ref="AH622:AH628" si="340">(L622+N622-(J622+V622))*radconv</f>
        <v>#NAME?</v>
      </c>
    </row>
    <row r="623" spans="7:44">
      <c r="G623" s="702">
        <f>Zero1</f>
        <v>1693137.6944016635</v>
      </c>
      <c r="H623" s="703"/>
      <c r="I623" s="699">
        <f t="shared" si="326"/>
        <v>8718.3702036021314</v>
      </c>
      <c r="J623" s="689">
        <f t="shared" si="327"/>
        <v>1.5706816264576959</v>
      </c>
      <c r="K623" s="689">
        <f t="shared" si="328"/>
        <v>1.4142135623730951</v>
      </c>
      <c r="L623" s="690">
        <f t="shared" si="329"/>
        <v>0.78539816339744828</v>
      </c>
      <c r="M623" s="678">
        <v>1</v>
      </c>
      <c r="N623" s="679">
        <v>0</v>
      </c>
      <c r="O623" s="699">
        <f t="shared" si="330"/>
        <v>31914893.617021292</v>
      </c>
      <c r="P623" s="700">
        <f t="shared" si="331"/>
        <v>1.5707962954615633</v>
      </c>
      <c r="Q623" s="689">
        <f t="shared" si="332"/>
        <v>3936.1703397929823</v>
      </c>
      <c r="R623" s="690">
        <f t="shared" si="333"/>
        <v>1.5705422727463083</v>
      </c>
      <c r="S623" s="677">
        <f t="shared" si="334"/>
        <v>28.358062686474433</v>
      </c>
      <c r="T623" s="680">
        <f t="shared" si="335"/>
        <v>1.5355256745772634</v>
      </c>
      <c r="U623" s="699" t="e">
        <f>SQRT((1-(G623^2/(pole3^2)))^2+(G623/(Q*pole3))^2)</f>
        <v>#DIV/0!</v>
      </c>
      <c r="V623" s="682" t="e">
        <f>ATAN((G623/(Q*pole3))/(1-G623^2/pole3^2))</f>
        <v>#NAME?</v>
      </c>
      <c r="W623" s="683" t="e">
        <f t="shared" si="337"/>
        <v>#DIV/0!</v>
      </c>
      <c r="X623" s="684" t="e">
        <f t="shared" si="338"/>
        <v>#NAME?</v>
      </c>
      <c r="Y623" s="687" t="e">
        <f t="shared" si="336"/>
        <v>#NAME?</v>
      </c>
      <c r="Z623" s="170" t="s">
        <v>714</v>
      </c>
      <c r="AD623" s="686">
        <f>20*LOG10((Q623/(O623*S623))*Aea)</f>
        <v>-2.1264713946702059</v>
      </c>
      <c r="AE623" s="687">
        <f>(R623-(P623+T623))*radconv</f>
        <v>-87.993695017287877</v>
      </c>
      <c r="AG623" s="686" t="e">
        <f t="shared" si="339"/>
        <v>#DIV/0!</v>
      </c>
      <c r="AH623" s="687" t="e">
        <f t="shared" si="340"/>
        <v>#NAME?</v>
      </c>
    </row>
    <row r="624" spans="7:44">
      <c r="G624" s="702">
        <f>Pole2</f>
        <v>5.3051647757918791E-2</v>
      </c>
      <c r="H624" s="703"/>
      <c r="I624" s="699">
        <f t="shared" si="326"/>
        <v>1.0000000373124529</v>
      </c>
      <c r="J624" s="689">
        <f t="shared" si="327"/>
        <v>2.7317559112066057E-4</v>
      </c>
      <c r="K624" s="689">
        <f t="shared" si="328"/>
        <v>1.0000000000000004</v>
      </c>
      <c r="L624" s="690">
        <f t="shared" si="329"/>
        <v>3.1333333333333323E-8</v>
      </c>
      <c r="M624" s="678">
        <v>1</v>
      </c>
      <c r="N624" s="679">
        <v>0</v>
      </c>
      <c r="O624" s="699">
        <f t="shared" si="330"/>
        <v>1.4142135623730951</v>
      </c>
      <c r="P624" s="700">
        <f t="shared" si="331"/>
        <v>0.78539816339744828</v>
      </c>
      <c r="Q624" s="689">
        <f t="shared" si="332"/>
        <v>1.0000000076055555</v>
      </c>
      <c r="R624" s="690">
        <f t="shared" si="333"/>
        <v>1.2333333270798765E-4</v>
      </c>
      <c r="S624" s="677">
        <f t="shared" si="334"/>
        <v>1.0000000000003944</v>
      </c>
      <c r="T624" s="680">
        <f t="shared" si="335"/>
        <v>8.8799999999976655E-7</v>
      </c>
      <c r="U624" s="699" t="e">
        <f>SQRT((1-(G624^2/(pole3^2)))^2+(G624/(Q*pole3))^2)</f>
        <v>#DIV/0!</v>
      </c>
      <c r="V624" s="682" t="e">
        <f>ATAN((G624/(Q*pole3))/(1-G624^2/pole3^2))</f>
        <v>#NAME?</v>
      </c>
      <c r="W624" s="683" t="e">
        <f t="shared" si="337"/>
        <v>#DIV/0!</v>
      </c>
      <c r="X624" s="684" t="e">
        <f t="shared" si="338"/>
        <v>#NAME?</v>
      </c>
      <c r="Y624" s="687" t="e">
        <f t="shared" si="336"/>
        <v>#NAME?</v>
      </c>
      <c r="Z624" s="170" t="s">
        <v>715</v>
      </c>
      <c r="AC624" s="170">
        <f>Pole2</f>
        <v>5.3051647757918791E-2</v>
      </c>
      <c r="AD624" s="686">
        <f>20*LOG10((Q624/(O624*S624))*Aea)</f>
        <v>102.0951502114839</v>
      </c>
      <c r="AE624" s="687">
        <f>(R624-(P624+T624))*radconv</f>
        <v>-44.992984450626736</v>
      </c>
      <c r="AG624" s="686" t="e">
        <f t="shared" si="339"/>
        <v>#DIV/0!</v>
      </c>
      <c r="AH624" s="687" t="e">
        <f t="shared" si="340"/>
        <v>#NAME?</v>
      </c>
    </row>
    <row r="625" spans="7:34">
      <c r="G625" s="702">
        <f>Zero2</f>
        <v>430.14849533447671</v>
      </c>
      <c r="H625" s="703"/>
      <c r="I625" s="699">
        <f t="shared" si="326"/>
        <v>2.4302154546669255</v>
      </c>
      <c r="J625" s="689">
        <f t="shared" si="327"/>
        <v>1.1467122695849754</v>
      </c>
      <c r="K625" s="689">
        <f t="shared" si="328"/>
        <v>1.0000000322717306</v>
      </c>
      <c r="L625" s="690">
        <f t="shared" si="329"/>
        <v>2.540540485882115E-4</v>
      </c>
      <c r="M625" s="678">
        <v>1</v>
      </c>
      <c r="N625" s="679">
        <v>0</v>
      </c>
      <c r="O625" s="699">
        <f t="shared" si="330"/>
        <v>8108.108169774775</v>
      </c>
      <c r="P625" s="700">
        <f t="shared" si="331"/>
        <v>1.5706729934621886</v>
      </c>
      <c r="Q625" s="689">
        <f t="shared" si="332"/>
        <v>1.4142135623730951</v>
      </c>
      <c r="R625" s="690">
        <f t="shared" si="333"/>
        <v>0.78539816339744828</v>
      </c>
      <c r="S625" s="677">
        <f t="shared" si="334"/>
        <v>1.0000259196640855</v>
      </c>
      <c r="T625" s="680">
        <f t="shared" si="335"/>
        <v>7.1998755878696918E-3</v>
      </c>
      <c r="U625" s="699" t="e">
        <f>SQRT((1-(G625^2/(pole3^2)))^2+(G625/(Q*pole3))^2)</f>
        <v>#DIV/0!</v>
      </c>
      <c r="V625" s="682" t="e">
        <f>ATAN((G625/(Q*pole3))/(1-G625^2/pole3^2))</f>
        <v>#NAME?</v>
      </c>
      <c r="W625" s="683" t="e">
        <f t="shared" si="337"/>
        <v>#DIV/0!</v>
      </c>
      <c r="X625" s="684" t="e">
        <f t="shared" si="338"/>
        <v>#NAME?</v>
      </c>
      <c r="Y625" s="687" t="e">
        <f t="shared" si="336"/>
        <v>#NAME?</v>
      </c>
      <c r="Z625" s="170" t="s">
        <v>726</v>
      </c>
      <c r="AC625" s="170">
        <f>Zero2</f>
        <v>430.14849533447671</v>
      </c>
      <c r="AD625" s="686">
        <f>20*LOG10((Q625/(O625*S625))*Aea)</f>
        <v>29.937134247167528</v>
      </c>
      <c r="AE625" s="687">
        <f>(R625-(P625+T625))*radconv</f>
        <v>-45.405456056650053</v>
      </c>
      <c r="AG625" s="686" t="e">
        <f t="shared" si="339"/>
        <v>#DIV/0!</v>
      </c>
      <c r="AH625" s="687" t="e">
        <f t="shared" si="340"/>
        <v>#NAME?</v>
      </c>
    </row>
    <row r="626" spans="7:34">
      <c r="G626" s="702">
        <f>pole3</f>
        <v>0</v>
      </c>
      <c r="H626" s="703"/>
      <c r="I626" s="699">
        <f t="shared" si="326"/>
        <v>1</v>
      </c>
      <c r="J626" s="689">
        <f t="shared" si="327"/>
        <v>0</v>
      </c>
      <c r="K626" s="689">
        <f t="shared" si="328"/>
        <v>1</v>
      </c>
      <c r="L626" s="690">
        <f t="shared" si="329"/>
        <v>0</v>
      </c>
      <c r="M626" s="678">
        <v>1</v>
      </c>
      <c r="N626" s="679">
        <v>0</v>
      </c>
      <c r="O626" s="699">
        <f t="shared" si="330"/>
        <v>1</v>
      </c>
      <c r="P626" s="700">
        <f t="shared" si="331"/>
        <v>0</v>
      </c>
      <c r="Q626" s="689">
        <f t="shared" si="332"/>
        <v>1</v>
      </c>
      <c r="R626" s="690">
        <f t="shared" si="333"/>
        <v>0</v>
      </c>
      <c r="S626" s="677">
        <f t="shared" si="334"/>
        <v>1</v>
      </c>
      <c r="T626" s="680">
        <f t="shared" si="335"/>
        <v>0</v>
      </c>
      <c r="U626" s="699" t="e">
        <f>SQRT((1-(G626^2/(pole3^2)))^2+(G626/(Q*pole3))^2)</f>
        <v>#DIV/0!</v>
      </c>
      <c r="V626" s="682" t="e">
        <f>ATAN((G626/(Q*pole3))/(1-G626^2/pole3^2))</f>
        <v>#NAME?</v>
      </c>
      <c r="W626" s="683" t="e">
        <f t="shared" si="337"/>
        <v>#DIV/0!</v>
      </c>
      <c r="X626" s="684" t="e">
        <f t="shared" si="338"/>
        <v>#NAME?</v>
      </c>
      <c r="Y626" s="687" t="e">
        <f t="shared" si="336"/>
        <v>#NAME?</v>
      </c>
      <c r="Z626" s="170" t="s">
        <v>691</v>
      </c>
      <c r="AD626" s="686">
        <f>20*LOG10((Q626/(O626*S626))*Aea)</f>
        <v>105.10545010206611</v>
      </c>
      <c r="AE626" s="687">
        <f>(R626-(P626+T626))*radconv</f>
        <v>0</v>
      </c>
      <c r="AG626" s="686" t="e">
        <f t="shared" si="339"/>
        <v>#DIV/0!</v>
      </c>
      <c r="AH626" s="687" t="e">
        <f t="shared" si="340"/>
        <v>#NAME?</v>
      </c>
    </row>
    <row r="627" spans="7:34" ht="13" thickBot="1">
      <c r="G627" s="197">
        <v>195034.73926858415</v>
      </c>
      <c r="I627" s="699">
        <f>SQRT(1+(G627/pole1)^2)</f>
        <v>1004.2809258242658</v>
      </c>
      <c r="J627" s="689">
        <f>ATAN(G627/pole1)</f>
        <v>1.5698005893079696</v>
      </c>
      <c r="K627" s="689">
        <f>SQRT(1+(G627/Zero1)^2)</f>
        <v>1.0066126546847594</v>
      </c>
      <c r="L627" s="690">
        <f>ATAN(G627/Zero1)</f>
        <v>0.11468582992534669</v>
      </c>
      <c r="M627" s="678">
        <v>1</v>
      </c>
      <c r="N627" s="679">
        <v>0</v>
      </c>
      <c r="O627" s="699">
        <f>SQRT(1+(G627/Pole2)^2)</f>
        <v>3676318.2202852382</v>
      </c>
      <c r="P627" s="700">
        <f>ATAN(G627/Pole2)</f>
        <v>1.5707960547836233</v>
      </c>
      <c r="Q627" s="689">
        <f>SQRT(1+(G627/Zero2)^2)</f>
        <v>453.41368324889334</v>
      </c>
      <c r="R627" s="690">
        <f>ATAN(G627/Zero2)</f>
        <v>1.5685908335606935</v>
      </c>
      <c r="S627" s="677">
        <f>SQRT(1+(G627/pole4)^2)</f>
        <v>3.4142965701994714</v>
      </c>
      <c r="T627" s="680">
        <f>ATAN(G627/pole4)</f>
        <v>1.2735524128412969</v>
      </c>
      <c r="U627" s="699" t="e">
        <v>#DIV/0!</v>
      </c>
      <c r="V627" s="682" t="e">
        <v>#DIV/0!</v>
      </c>
      <c r="W627" s="683" t="e">
        <f t="shared" si="337"/>
        <v>#DIV/0!</v>
      </c>
      <c r="X627" s="684" t="e">
        <f t="shared" si="338"/>
        <v>#DIV/0!</v>
      </c>
      <c r="Y627" s="687" t="e">
        <f>IF(X627&gt;0,X627,X627+180)</f>
        <v>#DIV/0!</v>
      </c>
      <c r="Z627" s="170" t="s">
        <v>727</v>
      </c>
      <c r="AD627" s="704"/>
      <c r="AE627" s="705"/>
      <c r="AG627" s="686" t="e">
        <f t="shared" si="339"/>
        <v>#DIV/0!</v>
      </c>
      <c r="AH627" s="687" t="e">
        <f t="shared" si="340"/>
        <v>#DIV/0!</v>
      </c>
    </row>
    <row r="628" spans="7:34">
      <c r="G628" s="197">
        <f>z_RHP</f>
        <v>151571.10163536554</v>
      </c>
      <c r="I628" s="699">
        <f>SQRT(1+(G628/pole1)^2)</f>
        <v>780.47642349719138</v>
      </c>
      <c r="J628" s="689">
        <f>ATAN(G628/pole1)</f>
        <v>1.5695150577603656</v>
      </c>
      <c r="K628" s="689">
        <f>SQRT(1+(G628/Zero1)^2)</f>
        <v>1.0039989940501712</v>
      </c>
      <c r="L628" s="690">
        <f>ATAN(G628/Zero1)</f>
        <v>8.9282839799724609E-2</v>
      </c>
      <c r="M628" s="678">
        <v>1</v>
      </c>
      <c r="N628" s="679">
        <v>0</v>
      </c>
      <c r="O628" s="699">
        <f>SQRT(1+(G628/Pole2)^2)</f>
        <v>2857047.9531005798</v>
      </c>
      <c r="P628" s="700">
        <f>ATAN(G628/Pole2)</f>
        <v>1.5707959767832704</v>
      </c>
      <c r="Q628" s="689">
        <f>SQRT(1+(G628/Zero2)^2)</f>
        <v>352.37066651224472</v>
      </c>
      <c r="R628" s="690">
        <f>ATAN(G628/Zero2)</f>
        <v>1.5679584023098598</v>
      </c>
      <c r="S628" s="677">
        <f>SQRT(1+(G628/pole4)^2)</f>
        <v>2.7270251649538957</v>
      </c>
      <c r="T628" s="680">
        <f>ATAN(G628/pole4)</f>
        <v>1.1953369402903191</v>
      </c>
      <c r="U628" s="699" t="e">
        <v>#DIV/0!</v>
      </c>
      <c r="V628" s="682" t="e">
        <v>#DIV/0!</v>
      </c>
      <c r="W628" s="683" t="e">
        <f t="shared" si="337"/>
        <v>#DIV/0!</v>
      </c>
      <c r="X628" s="684" t="e">
        <f t="shared" si="338"/>
        <v>#DIV/0!</v>
      </c>
      <c r="Y628" s="687" t="e">
        <f>IF(X628&gt;0,X628,X628+180)</f>
        <v>#DIV/0!</v>
      </c>
      <c r="Z628" s="170" t="s">
        <v>712</v>
      </c>
      <c r="AD628" s="696"/>
      <c r="AE628" s="696"/>
      <c r="AG628" s="686" t="e">
        <f t="shared" si="339"/>
        <v>#DIV/0!</v>
      </c>
      <c r="AH628" s="687" t="e">
        <f t="shared" si="340"/>
        <v>#DIV/0!</v>
      </c>
    </row>
    <row r="629" spans="7:34">
      <c r="G629" s="197">
        <v>195034.73926858415</v>
      </c>
      <c r="W629" s="683">
        <v>-25</v>
      </c>
    </row>
    <row r="631" spans="7:34">
      <c r="J631" s="170" t="s">
        <v>728</v>
      </c>
      <c r="K631" s="170" t="s">
        <v>729</v>
      </c>
    </row>
    <row r="632" spans="7:34">
      <c r="G632" s="170" t="s">
        <v>713</v>
      </c>
      <c r="H632" s="170" t="s">
        <v>730</v>
      </c>
      <c r="I632" s="172">
        <f>pole1</f>
        <v>194.20346532654906</v>
      </c>
      <c r="J632" s="172" t="e">
        <f>W622</f>
        <v>#DIV/0!</v>
      </c>
      <c r="K632" s="172" t="e">
        <f>AG622</f>
        <v>#DIV/0!</v>
      </c>
    </row>
    <row r="633" spans="7:34">
      <c r="G633" s="170" t="s">
        <v>714</v>
      </c>
      <c r="H633" s="170" t="s">
        <v>731</v>
      </c>
      <c r="I633" s="172">
        <f>Zero1</f>
        <v>1693137.6944016635</v>
      </c>
      <c r="J633" s="172" t="e">
        <f>W623</f>
        <v>#DIV/0!</v>
      </c>
      <c r="K633" s="172" t="e">
        <f>AG623</f>
        <v>#DIV/0!</v>
      </c>
    </row>
    <row r="634" spans="7:34">
      <c r="G634" s="170" t="s">
        <v>715</v>
      </c>
      <c r="H634" s="170" t="s">
        <v>732</v>
      </c>
      <c r="I634" s="172">
        <f>Pole2</f>
        <v>5.3051647757918791E-2</v>
      </c>
      <c r="J634" s="172" t="e">
        <f>W624</f>
        <v>#DIV/0!</v>
      </c>
      <c r="K634" s="172" t="e">
        <f>AG624</f>
        <v>#DIV/0!</v>
      </c>
    </row>
    <row r="635" spans="7:34">
      <c r="G635" s="170" t="s">
        <v>726</v>
      </c>
      <c r="H635" s="170" t="s">
        <v>733</v>
      </c>
      <c r="I635" s="172">
        <f>Zero2</f>
        <v>430.14849533447671</v>
      </c>
      <c r="J635" s="172" t="e">
        <f>W625</f>
        <v>#DIV/0!</v>
      </c>
      <c r="K635" s="172" t="e">
        <f>AG625</f>
        <v>#DIV/0!</v>
      </c>
    </row>
    <row r="636" spans="7:34">
      <c r="G636" s="170" t="s">
        <v>691</v>
      </c>
      <c r="H636" s="170" t="s">
        <v>734</v>
      </c>
      <c r="I636" s="170">
        <f>pole3</f>
        <v>0</v>
      </c>
      <c r="J636" s="172" t="e">
        <f>W626</f>
        <v>#DIV/0!</v>
      </c>
      <c r="K636" s="172" t="e">
        <f>AG626</f>
        <v>#DIV/0!</v>
      </c>
    </row>
    <row r="637" spans="7:34">
      <c r="I637" s="197"/>
      <c r="J637" s="172"/>
      <c r="K637" s="172"/>
    </row>
    <row r="639" spans="7:34">
      <c r="G639" s="172">
        <f>W4*1000</f>
        <v>6606.9</v>
      </c>
    </row>
    <row r="640" spans="7:34">
      <c r="G640" s="172">
        <f>W4*1000</f>
        <v>6606.9</v>
      </c>
    </row>
    <row r="687" spans="36:37">
      <c r="AJ687" s="170" t="s">
        <v>705</v>
      </c>
      <c r="AK687" s="172">
        <f>SUM(AK689:AK1306)</f>
        <v>0</v>
      </c>
    </row>
  </sheetData>
  <sheetProtection algorithmName="SHA-512" hashValue="3wRbkLafQbWEivON440wq1tRtzjKSQuX0+eAYjdySUS0l8YP+HdKBoadk1H5JN48H/8nnVQKvlUIHNGXSS7ncQ==" saltValue="FWF0zQLVZY8DG1HaDs4a7Q==" spinCount="100000" sheet="1" selectLockedCells="1" selectUnlockedCells="1"/>
  <mergeCells count="20">
    <mergeCell ref="G10:G12"/>
    <mergeCell ref="H10:H11"/>
    <mergeCell ref="I10:N10"/>
    <mergeCell ref="O10:T10"/>
    <mergeCell ref="U10:V10"/>
    <mergeCell ref="G2:J2"/>
    <mergeCell ref="K2:M2"/>
    <mergeCell ref="P2:R2"/>
    <mergeCell ref="S2:U2"/>
    <mergeCell ref="V2:X2"/>
    <mergeCell ref="W10:Y10"/>
    <mergeCell ref="AD10:AE10"/>
    <mergeCell ref="AG10:AH10"/>
    <mergeCell ref="I11:J11"/>
    <mergeCell ref="K11:L11"/>
    <mergeCell ref="M11:N11"/>
    <mergeCell ref="O11:P11"/>
    <mergeCell ref="Q11:R11"/>
    <mergeCell ref="S11:T11"/>
    <mergeCell ref="U11:V11"/>
  </mergeCells>
  <phoneticPr fontId="83"/>
  <hyperlinks>
    <hyperlink ref="C50" r:id="rId1" display="Gpwr_@Fco" xr:uid="{4F4202D4-BC5C-4B6D-9289-7BEBC6947453}"/>
  </hyperlinks>
  <pageMargins left="0.75" right="0.75" top="1" bottom="1" header="0.5" footer="0.5"/>
  <pageSetup scale="48" orientation="portrait" horizontalDpi="300" verticalDpi="300" r:id="rId2"/>
  <headerFooter alignWithMargins="0"/>
  <colBreaks count="1" manualBreakCount="1">
    <brk id="25"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740353" r:id="rId5" name="Drop Down 1">
              <controlPr locked="0" defaultSize="0" autoLine="0" autoPict="0">
                <anchor moveWithCells="1">
                  <from>
                    <xdr:col>0</xdr:col>
                    <xdr:colOff>38100</xdr:colOff>
                    <xdr:row>2</xdr:row>
                    <xdr:rowOff>127000</xdr:rowOff>
                  </from>
                  <to>
                    <xdr:col>1</xdr:col>
                    <xdr:colOff>107950</xdr:colOff>
                    <xdr:row>4</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00FF"/>
  </sheetPr>
  <dimension ref="A1:Z315"/>
  <sheetViews>
    <sheetView zoomScale="70" zoomScaleNormal="70" workbookViewId="0">
      <pane ySplit="5" topLeftCell="A84" activePane="bottomLeft" state="frozenSplit"/>
      <selection pane="bottomLeft" activeCell="S122" sqref="S122"/>
    </sheetView>
  </sheetViews>
  <sheetFormatPr defaultRowHeight="13"/>
  <cols>
    <col min="1" max="1" width="40.453125" customWidth="1"/>
    <col min="2" max="2" width="11.81640625" customWidth="1"/>
    <col min="3" max="3" width="9.453125" style="3" customWidth="1"/>
    <col min="4" max="4" width="10.26953125" customWidth="1"/>
    <col min="5" max="5" width="11.54296875" customWidth="1"/>
    <col min="6" max="6" width="14.81640625" customWidth="1"/>
    <col min="7" max="7" width="12.453125" bestFit="1" customWidth="1"/>
    <col min="8" max="8" width="20.1796875" customWidth="1"/>
    <col min="9" max="9" width="14.453125" customWidth="1"/>
    <col min="10" max="10" width="12.453125" bestFit="1" customWidth="1"/>
    <col min="11" max="11" width="12" customWidth="1"/>
    <col min="12" max="12" width="8.81640625" customWidth="1"/>
    <col min="13" max="13" width="7" customWidth="1"/>
    <col min="14" max="14" width="9.26953125" customWidth="1"/>
    <col min="16" max="16" width="7.1796875" customWidth="1"/>
    <col min="17" max="17" width="11" customWidth="1"/>
    <col min="18" max="18" width="13.81640625" customWidth="1"/>
    <col min="19" max="19" width="5.453125" customWidth="1"/>
    <col min="20" max="20" width="16.26953125" customWidth="1"/>
    <col min="22" max="22" width="9.7265625" customWidth="1"/>
    <col min="23" max="23" width="11.26953125" customWidth="1"/>
    <col min="24" max="24" width="5.81640625" customWidth="1"/>
    <col min="25" max="25" width="12" bestFit="1" customWidth="1"/>
    <col min="26" max="26" width="7.81640625" customWidth="1"/>
  </cols>
  <sheetData>
    <row r="1" spans="1:26" ht="30.75" customHeight="1">
      <c r="A1" s="942" t="s">
        <v>171</v>
      </c>
      <c r="B1" s="942"/>
      <c r="C1" s="942"/>
      <c r="D1" s="942"/>
      <c r="E1" s="942"/>
      <c r="F1" s="942"/>
      <c r="G1" s="942"/>
      <c r="H1" s="942"/>
      <c r="I1" s="942"/>
    </row>
    <row r="2" spans="1:26" ht="12" customHeight="1">
      <c r="A2" s="19"/>
      <c r="B2" s="19" t="s">
        <v>81</v>
      </c>
      <c r="C2" s="20"/>
      <c r="E2" s="19"/>
      <c r="F2" s="19"/>
      <c r="G2" s="19"/>
      <c r="H2" s="19"/>
      <c r="I2" s="19"/>
    </row>
    <row r="3" spans="1:26" ht="11.25" customHeight="1">
      <c r="A3" s="19"/>
      <c r="B3" s="19" t="s">
        <v>100</v>
      </c>
      <c r="C3" s="21"/>
      <c r="E3" s="19"/>
      <c r="F3" s="19"/>
      <c r="G3" s="19"/>
      <c r="H3" s="19"/>
      <c r="I3" s="19"/>
    </row>
    <row r="4" spans="1:26" ht="11.25" customHeight="1">
      <c r="A4" s="19"/>
      <c r="B4" s="19" t="s">
        <v>82</v>
      </c>
      <c r="C4" s="22"/>
      <c r="E4" s="19"/>
      <c r="F4" s="19"/>
      <c r="G4" s="19"/>
      <c r="H4" s="19"/>
      <c r="I4" s="19"/>
    </row>
    <row r="5" spans="1:26">
      <c r="A5" s="3" t="s">
        <v>19</v>
      </c>
      <c r="B5" s="3" t="s">
        <v>6</v>
      </c>
      <c r="C5" s="3" t="s">
        <v>7</v>
      </c>
      <c r="E5" s="941" t="s">
        <v>9</v>
      </c>
      <c r="F5" s="941"/>
      <c r="G5" s="941"/>
      <c r="H5" s="941"/>
      <c r="I5" s="3" t="s">
        <v>173</v>
      </c>
    </row>
    <row r="6" spans="1:26" ht="16" thickBot="1">
      <c r="A6" s="50" t="s">
        <v>61</v>
      </c>
      <c r="B6" s="39"/>
      <c r="C6" s="39"/>
      <c r="D6" s="39"/>
      <c r="E6" s="51"/>
      <c r="F6" s="51"/>
      <c r="G6" s="51"/>
      <c r="H6" s="51"/>
      <c r="I6" s="39"/>
    </row>
    <row r="7" spans="1:26" ht="12.5">
      <c r="A7" s="109" t="s">
        <v>145</v>
      </c>
      <c r="B7" s="9">
        <f>'Design Converter'!E6</f>
        <v>9</v>
      </c>
      <c r="C7" s="31" t="s">
        <v>0</v>
      </c>
      <c r="D7" s="79" t="s">
        <v>146</v>
      </c>
      <c r="E7" s="31"/>
      <c r="F7" s="31"/>
      <c r="G7" s="31"/>
      <c r="H7" s="31"/>
      <c r="I7" s="32">
        <v>1</v>
      </c>
    </row>
    <row r="8" spans="1:26" ht="12.5">
      <c r="A8" s="110" t="s">
        <v>143</v>
      </c>
      <c r="B8" s="10">
        <f>'Design Converter'!E7</f>
        <v>24</v>
      </c>
      <c r="C8" s="7" t="s">
        <v>0</v>
      </c>
      <c r="D8" s="7" t="s">
        <v>10</v>
      </c>
      <c r="F8" s="7"/>
      <c r="G8" s="7"/>
      <c r="H8" s="7"/>
      <c r="I8" s="25"/>
    </row>
    <row r="9" spans="1:26" ht="12.5">
      <c r="A9" s="110" t="s">
        <v>144</v>
      </c>
      <c r="B9" s="10">
        <f>'Design Converter'!E8</f>
        <v>36</v>
      </c>
      <c r="C9" s="7" t="s">
        <v>0</v>
      </c>
      <c r="D9" s="77" t="s">
        <v>147</v>
      </c>
      <c r="F9" s="7"/>
      <c r="G9" s="7"/>
      <c r="H9" s="7"/>
      <c r="I9" s="25"/>
    </row>
    <row r="10" spans="1:26" thickBot="1">
      <c r="A10" s="110"/>
      <c r="B10" s="205"/>
      <c r="C10" s="60"/>
      <c r="D10" s="77"/>
      <c r="F10" s="7"/>
      <c r="G10" s="7"/>
      <c r="H10" s="7"/>
      <c r="I10" s="25"/>
    </row>
    <row r="11" spans="1:26">
      <c r="A11" s="24" t="s">
        <v>4</v>
      </c>
      <c r="B11" s="10">
        <f>'Design Converter'!E10</f>
        <v>24</v>
      </c>
      <c r="C11" s="7" t="s">
        <v>0</v>
      </c>
      <c r="D11" s="77" t="s">
        <v>563</v>
      </c>
      <c r="F11" s="7"/>
      <c r="G11" s="7">
        <f>(Vout+Vfwd2)*Nps</f>
        <v>16.474900000000002</v>
      </c>
      <c r="H11" s="7"/>
      <c r="I11" s="25">
        <v>1</v>
      </c>
      <c r="K11" t="str">
        <f>'Variable Mgmt'!B73&amp;" Output PSR Flyback Converter, "&amp;"VIN = "&amp;Vin&amp;" V, VOUT = "&amp;Vout&amp;" V, IOUT = "&amp;Iout&amp;" A"</f>
        <v>SINGLE Output PSR Flyback Converter, VIN = 24 V, VOUT = 24 V, IOUT = 1 A</v>
      </c>
      <c r="W11" s="751" t="s">
        <v>788</v>
      </c>
      <c r="X11" s="152"/>
      <c r="Y11" s="152"/>
      <c r="Z11" s="738"/>
    </row>
    <row r="12" spans="1:26" ht="12.5">
      <c r="A12" s="24" t="s">
        <v>5</v>
      </c>
      <c r="B12" s="572">
        <f>'Design Converter'!E11</f>
        <v>1</v>
      </c>
      <c r="C12" s="77" t="s">
        <v>1</v>
      </c>
      <c r="D12" s="77" t="s">
        <v>648</v>
      </c>
      <c r="F12" s="7"/>
      <c r="G12" s="7"/>
      <c r="H12" s="7"/>
      <c r="I12" s="25">
        <v>1</v>
      </c>
      <c r="K12" t="str">
        <f>'Variable Mgmt'!B73&amp;" Output PSR Flyback Converter, "&amp;"VIN = "&amp;Vin&amp;" V, VOUT1 = "&amp;Vout&amp;" V, IOUT1 = "&amp;Iout&amp;" A"&amp;", VOUT2 = "&amp;Vout2_actual&amp;" V, IOUT2 = "&amp;Iout2_actual&amp;" A"</f>
        <v>SINGLE Output PSR Flyback Converter, VIN = 24 V, VOUT1 = 24 V, IOUT1 = 1 A, VOUT2 = 18 V, IOUT2 = 0.1 A</v>
      </c>
      <c r="L12" s="76"/>
      <c r="W12" s="24"/>
      <c r="X12" s="7" t="s">
        <v>787</v>
      </c>
      <c r="Y12" s="7">
        <f>'Calculations - Single'!AQ105*1000</f>
        <v>184708.96857193537</v>
      </c>
      <c r="Z12" s="25" t="s">
        <v>8</v>
      </c>
    </row>
    <row r="13" spans="1:26" ht="12.5">
      <c r="A13" s="110" t="s">
        <v>168</v>
      </c>
      <c r="B13" s="153">
        <f>Vout/Iout</f>
        <v>24</v>
      </c>
      <c r="C13" s="113" t="s">
        <v>45</v>
      </c>
      <c r="D13" s="111" t="s">
        <v>169</v>
      </c>
      <c r="F13" s="7"/>
      <c r="G13" s="7"/>
      <c r="H13" s="7"/>
      <c r="I13" s="25"/>
      <c r="W13" s="24"/>
      <c r="X13" s="7" t="s">
        <v>789</v>
      </c>
      <c r="Y13" s="7">
        <f>Lmag</f>
        <v>1.0000000000000001E-5</v>
      </c>
      <c r="Z13" s="25" t="s">
        <v>11</v>
      </c>
    </row>
    <row r="14" spans="1:26" ht="12.5">
      <c r="A14" s="110" t="s">
        <v>152</v>
      </c>
      <c r="B14" s="571">
        <f>Vout*Iout</f>
        <v>24</v>
      </c>
      <c r="C14" s="60" t="s">
        <v>45</v>
      </c>
      <c r="D14" s="111" t="s">
        <v>158</v>
      </c>
      <c r="F14" s="7"/>
      <c r="G14" s="7"/>
      <c r="H14" s="7"/>
      <c r="I14" s="25"/>
      <c r="L14" s="76"/>
      <c r="W14" s="24"/>
      <c r="X14" s="7" t="s">
        <v>791</v>
      </c>
      <c r="Y14" s="7">
        <f>G11/(G11+VIN_nom/Npri_sec)</f>
        <v>0.31406539797098204</v>
      </c>
      <c r="Z14" s="25"/>
    </row>
    <row r="15" spans="1:26" ht="12.5">
      <c r="B15" s="372"/>
      <c r="C15" s="60"/>
      <c r="D15" s="111"/>
      <c r="F15" s="7"/>
      <c r="G15" s="7"/>
      <c r="H15" s="7"/>
      <c r="I15" s="25"/>
      <c r="L15" s="76"/>
      <c r="W15" s="24"/>
      <c r="X15" s="7" t="s">
        <v>790</v>
      </c>
      <c r="Y15" s="7">
        <f>VIN_nom/Lmag*Y14/Y12</f>
        <v>4.0807815719939144</v>
      </c>
      <c r="Z15" s="25" t="s">
        <v>1</v>
      </c>
    </row>
    <row r="16" spans="1:26" ht="12.5">
      <c r="A16" s="110" t="s">
        <v>608</v>
      </c>
      <c r="B16" s="573">
        <f>ABS('Design Converter'!E12)</f>
        <v>18</v>
      </c>
      <c r="C16" s="7" t="s">
        <v>0</v>
      </c>
      <c r="D16" s="77" t="s">
        <v>565</v>
      </c>
      <c r="F16" s="7"/>
      <c r="G16" s="7"/>
      <c r="H16" s="7"/>
      <c r="I16" s="25"/>
      <c r="L16" s="76"/>
      <c r="W16" s="24"/>
      <c r="X16" s="7" t="s">
        <v>792</v>
      </c>
      <c r="Y16" s="7">
        <f>0.5*Y15^2*Y13*Y12</f>
        <v>15.379587461291022</v>
      </c>
      <c r="Z16" s="25"/>
    </row>
    <row r="17" spans="1:26">
      <c r="A17" s="110" t="s">
        <v>609</v>
      </c>
      <c r="B17" s="611">
        <f>'Design Converter'!E12</f>
        <v>18</v>
      </c>
      <c r="C17" s="60" t="s">
        <v>0</v>
      </c>
      <c r="D17" s="77"/>
      <c r="F17" s="7"/>
      <c r="G17" s="7"/>
      <c r="H17" s="7"/>
      <c r="I17" s="25"/>
      <c r="L17" s="76"/>
      <c r="P17" s="3" t="s">
        <v>769</v>
      </c>
      <c r="W17" s="24"/>
      <c r="X17" s="7" t="s">
        <v>769</v>
      </c>
      <c r="Y17" s="39" t="str">
        <f>IF((Y16/(G11*Iout))&lt;1.01, "BCM", "DCM")</f>
        <v>BCM</v>
      </c>
      <c r="Z17" s="25"/>
    </row>
    <row r="18" spans="1:26">
      <c r="A18" s="110" t="s">
        <v>498</v>
      </c>
      <c r="B18" s="573">
        <f>ABS('Design Converter'!E13)</f>
        <v>0.1</v>
      </c>
      <c r="C18" s="77" t="s">
        <v>1</v>
      </c>
      <c r="D18" s="77" t="s">
        <v>564</v>
      </c>
      <c r="F18" s="7"/>
      <c r="G18" s="7"/>
      <c r="H18" s="7"/>
      <c r="I18" s="25"/>
      <c r="L18" s="76"/>
      <c r="P18" s="3" t="s">
        <v>768</v>
      </c>
      <c r="Q18">
        <v>1</v>
      </c>
      <c r="W18" s="24"/>
      <c r="X18" s="7"/>
      <c r="Y18" s="7"/>
      <c r="Z18" s="25"/>
    </row>
    <row r="19" spans="1:26" ht="13.5" thickBot="1">
      <c r="A19" s="111" t="s">
        <v>647</v>
      </c>
      <c r="B19">
        <f>Iout2*SIGN(Vout2_actual)</f>
        <v>0.1</v>
      </c>
      <c r="C19" s="76" t="s">
        <v>1</v>
      </c>
      <c r="F19" s="7"/>
      <c r="G19" s="7"/>
      <c r="H19" s="7"/>
      <c r="I19" s="25"/>
      <c r="L19" s="76"/>
      <c r="P19" s="3" t="s">
        <v>767</v>
      </c>
      <c r="Q19">
        <v>2</v>
      </c>
      <c r="W19" s="748"/>
      <c r="X19" s="180" t="s">
        <v>793</v>
      </c>
      <c r="Y19" s="180">
        <f>Vout*Iout</f>
        <v>24</v>
      </c>
      <c r="Z19" s="750"/>
    </row>
    <row r="20" spans="1:26">
      <c r="A20" s="110" t="s">
        <v>499</v>
      </c>
      <c r="B20" s="571">
        <f>ABS(Vout2/Iout2)</f>
        <v>180</v>
      </c>
      <c r="C20" s="113" t="s">
        <v>45</v>
      </c>
      <c r="D20" s="111" t="s">
        <v>501</v>
      </c>
      <c r="F20" s="7"/>
      <c r="G20" s="7"/>
      <c r="H20" s="7"/>
      <c r="I20" s="25"/>
      <c r="K20" s="76" t="s">
        <v>530</v>
      </c>
      <c r="L20" s="76" t="s">
        <v>531</v>
      </c>
      <c r="Q20" s="3">
        <v>2</v>
      </c>
    </row>
    <row r="21" spans="1:26" ht="12.5">
      <c r="A21" s="110" t="s">
        <v>500</v>
      </c>
      <c r="B21" s="571">
        <f>ABS(Vout2*Iout2)</f>
        <v>1.8</v>
      </c>
      <c r="C21" s="60" t="s">
        <v>45</v>
      </c>
      <c r="D21" s="111" t="s">
        <v>502</v>
      </c>
      <c r="F21" s="7"/>
      <c r="G21" s="7"/>
      <c r="H21" s="7"/>
      <c r="I21" s="25"/>
      <c r="K21">
        <v>5</v>
      </c>
      <c r="L21" s="76">
        <v>-5</v>
      </c>
    </row>
    <row r="22" spans="1:26" ht="12.5">
      <c r="A22" s="110" t="s">
        <v>503</v>
      </c>
      <c r="B22" s="571">
        <f>CHOOSE(MODE, Pout, Pout + Pout2)</f>
        <v>24</v>
      </c>
      <c r="C22" s="60" t="s">
        <v>45</v>
      </c>
      <c r="D22" s="111" t="s">
        <v>504</v>
      </c>
      <c r="F22" s="7"/>
      <c r="G22" s="7"/>
      <c r="H22" s="7"/>
      <c r="I22" s="25"/>
      <c r="K22">
        <v>0.2</v>
      </c>
      <c r="L22" s="76">
        <v>0.2</v>
      </c>
    </row>
    <row r="23" spans="1:26" ht="12.5">
      <c r="A23" s="110"/>
      <c r="B23" s="372"/>
      <c r="C23" s="60"/>
      <c r="D23" s="111"/>
      <c r="F23" s="7"/>
      <c r="G23" s="7"/>
      <c r="H23" s="7"/>
      <c r="I23" s="25"/>
      <c r="L23" s="76"/>
    </row>
    <row r="24" spans="1:26">
      <c r="A24" s="34" t="str">
        <f>CHOOSE(MODE, "Turns Ratio, PRI : SEC", "Turns Ratio, PRI : SEC1")</f>
        <v>Turns Ratio, PRI : SEC</v>
      </c>
      <c r="B24" s="556" t="str">
        <f>Nps</f>
        <v>0.667</v>
      </c>
      <c r="C24" s="60"/>
      <c r="D24" s="111" t="str">
        <f>CHOOSE(MODE, "TR primary-secondary (single output) = Np/Ns", "TR primary-secondary1 (dual output) = Np/Nsec1")</f>
        <v>TR primary-secondary (single output) = Np/Ns</v>
      </c>
      <c r="F24" s="7"/>
      <c r="G24" s="7"/>
      <c r="H24" s="7"/>
      <c r="I24" s="25"/>
      <c r="L24" s="76"/>
    </row>
    <row r="25" spans="1:26">
      <c r="A25" s="34" t="s">
        <v>576</v>
      </c>
      <c r="B25" s="173">
        <f>Npri_sec2</f>
        <v>0.89053513513513505</v>
      </c>
      <c r="D25" s="111" t="s">
        <v>577</v>
      </c>
      <c r="F25" s="7"/>
      <c r="G25" s="7"/>
      <c r="H25" s="7"/>
      <c r="I25" s="25"/>
      <c r="L25" s="76"/>
    </row>
    <row r="26" spans="1:26" ht="13.5" thickBot="1">
      <c r="A26" s="34" t="s">
        <v>589</v>
      </c>
      <c r="B26" s="610">
        <f>Nsec1sec2</f>
        <v>0.74898785425101222</v>
      </c>
      <c r="D26" s="76" t="s">
        <v>578</v>
      </c>
      <c r="F26" s="7"/>
      <c r="G26" s="7"/>
      <c r="H26" s="7"/>
      <c r="I26" s="25"/>
      <c r="L26" s="76"/>
      <c r="R26" s="157" t="s">
        <v>389</v>
      </c>
      <c r="V26" s="157" t="s">
        <v>389</v>
      </c>
    </row>
    <row r="27" spans="1:26">
      <c r="H27" s="7"/>
      <c r="I27" s="25"/>
      <c r="K27" s="157" t="s">
        <v>529</v>
      </c>
      <c r="P27" s="737"/>
      <c r="Q27" s="152"/>
      <c r="R27" s="155" t="s">
        <v>571</v>
      </c>
      <c r="S27" s="152"/>
      <c r="T27" s="152"/>
      <c r="U27" s="152"/>
      <c r="V27" s="155" t="s">
        <v>572</v>
      </c>
      <c r="W27" s="738"/>
    </row>
    <row r="28" spans="1:26" ht="12.5">
      <c r="A28" s="76" t="s">
        <v>610</v>
      </c>
      <c r="B28" s="5">
        <f>Vout+VIN_max/Nps</f>
        <v>77.973013493253376</v>
      </c>
      <c r="C28" s="76" t="s">
        <v>0</v>
      </c>
      <c r="G28" s="7"/>
      <c r="H28" s="7"/>
      <c r="I28" s="25"/>
      <c r="K28" s="76" t="s">
        <v>526</v>
      </c>
      <c r="L28">
        <v>1</v>
      </c>
      <c r="P28" s="24"/>
      <c r="Q28" s="7"/>
      <c r="R28" s="7" t="str">
        <f>"20 : 1"</f>
        <v>20 : 1</v>
      </c>
      <c r="S28" s="7">
        <v>1</v>
      </c>
      <c r="T28" s="7">
        <v>20</v>
      </c>
      <c r="U28" s="7"/>
      <c r="V28" s="7" t="str">
        <f>"20 : 1"</f>
        <v>20 : 1</v>
      </c>
      <c r="W28" s="7">
        <v>1</v>
      </c>
    </row>
    <row r="29" spans="1:26" ht="12.5">
      <c r="A29" s="76"/>
      <c r="B29" s="5"/>
      <c r="C29" s="76"/>
      <c r="G29" s="7"/>
      <c r="H29" s="7"/>
      <c r="I29" s="848"/>
      <c r="K29" s="76"/>
      <c r="P29" s="24"/>
      <c r="Q29" s="7"/>
      <c r="R29" s="7" t="str">
        <f>"15 : 1"</f>
        <v>15 : 1</v>
      </c>
      <c r="S29" s="7">
        <v>2</v>
      </c>
      <c r="T29" s="7">
        <v>15</v>
      </c>
      <c r="U29" s="7"/>
      <c r="V29" s="7" t="str">
        <f>"15 : 1"</f>
        <v>15 : 1</v>
      </c>
      <c r="W29" s="7">
        <v>2</v>
      </c>
    </row>
    <row r="30" spans="1:26" ht="12.5">
      <c r="A30" s="76"/>
      <c r="B30" s="5"/>
      <c r="C30" s="76"/>
      <c r="G30" s="7"/>
      <c r="H30" s="7"/>
      <c r="I30" s="848"/>
      <c r="K30" s="76"/>
      <c r="P30" s="24"/>
      <c r="Q30" s="7"/>
      <c r="R30" s="7" t="str">
        <f>"10 : 1"</f>
        <v>10 : 1</v>
      </c>
      <c r="S30" s="7">
        <v>3</v>
      </c>
      <c r="T30" s="7">
        <v>10</v>
      </c>
      <c r="U30" s="7"/>
      <c r="V30" s="7" t="str">
        <f>"10 : 1"</f>
        <v>10 : 1</v>
      </c>
      <c r="W30" s="7">
        <v>3</v>
      </c>
    </row>
    <row r="31" spans="1:26" ht="12.5">
      <c r="A31" s="76"/>
      <c r="B31" s="5"/>
      <c r="C31" s="76"/>
      <c r="G31" s="7"/>
      <c r="H31" s="7"/>
      <c r="I31" s="848"/>
      <c r="K31" s="76"/>
      <c r="P31" s="24"/>
      <c r="Q31" s="7"/>
      <c r="R31" s="7" t="str">
        <f>"8 : 1"</f>
        <v>8 : 1</v>
      </c>
      <c r="S31" s="7">
        <v>4</v>
      </c>
      <c r="T31" s="12">
        <v>8</v>
      </c>
      <c r="U31" s="7"/>
      <c r="V31" s="7" t="str">
        <f>"8 : 1"</f>
        <v>8 : 1</v>
      </c>
      <c r="W31" s="7">
        <v>4</v>
      </c>
    </row>
    <row r="32" spans="1:26" ht="12.5">
      <c r="A32" s="76"/>
      <c r="B32" s="5"/>
      <c r="C32" s="76"/>
      <c r="G32" s="7"/>
      <c r="H32" s="7"/>
      <c r="I32" s="848"/>
      <c r="K32" s="76"/>
      <c r="P32" s="24"/>
      <c r="Q32" s="7"/>
      <c r="R32" s="7" t="str">
        <f>"6 : 1"</f>
        <v>6 : 1</v>
      </c>
      <c r="S32" s="7">
        <v>5</v>
      </c>
      <c r="T32" s="12">
        <v>6</v>
      </c>
      <c r="U32" s="7"/>
      <c r="V32" s="7" t="str">
        <f>"6 : 1"</f>
        <v>6 : 1</v>
      </c>
      <c r="W32" s="7">
        <v>5</v>
      </c>
    </row>
    <row r="33" spans="1:23" ht="12.5">
      <c r="A33" s="76"/>
      <c r="B33" s="5"/>
      <c r="C33" s="76"/>
      <c r="G33" s="7"/>
      <c r="H33" s="7"/>
      <c r="I33" s="848"/>
      <c r="K33" s="76"/>
      <c r="P33" s="24"/>
      <c r="Q33" s="7"/>
      <c r="R33" s="7" t="str">
        <f>"5 : 1"</f>
        <v>5 : 1</v>
      </c>
      <c r="S33" s="7">
        <v>6</v>
      </c>
      <c r="T33" s="7">
        <v>5</v>
      </c>
      <c r="U33" s="7"/>
      <c r="V33" s="7" t="str">
        <f>"5 : 1"</f>
        <v>5 : 1</v>
      </c>
      <c r="W33" s="7">
        <v>6</v>
      </c>
    </row>
    <row r="34" spans="1:23">
      <c r="F34" s="7"/>
      <c r="G34" s="7"/>
      <c r="H34" s="7"/>
      <c r="I34" s="25"/>
      <c r="K34" s="76" t="s">
        <v>527</v>
      </c>
      <c r="L34">
        <v>2</v>
      </c>
      <c r="P34" s="24"/>
      <c r="Q34" s="7"/>
      <c r="R34" s="7" t="str">
        <f>"4 : 1"</f>
        <v>4 : 1</v>
      </c>
      <c r="S34" s="7">
        <v>7</v>
      </c>
      <c r="T34" s="7">
        <v>4</v>
      </c>
      <c r="U34" s="7"/>
      <c r="V34" s="7" t="str">
        <f>"4 : 1"</f>
        <v>4 : 1</v>
      </c>
      <c r="W34" s="7">
        <v>7</v>
      </c>
    </row>
    <row r="35" spans="1:23" ht="12.5">
      <c r="A35" s="110" t="s">
        <v>436</v>
      </c>
      <c r="B35" s="371">
        <f>1%*Vout*1000</f>
        <v>240</v>
      </c>
      <c r="C35" s="60" t="s">
        <v>149</v>
      </c>
      <c r="D35" s="111" t="s">
        <v>454</v>
      </c>
      <c r="F35" s="7"/>
      <c r="G35" s="7"/>
      <c r="H35" s="7"/>
      <c r="I35" s="25"/>
      <c r="K35" s="76" t="s">
        <v>528</v>
      </c>
      <c r="L35">
        <v>3</v>
      </c>
      <c r="P35" s="24"/>
      <c r="Q35" s="7"/>
      <c r="R35" s="7" t="str">
        <f>"3 : 1"</f>
        <v>3 : 1</v>
      </c>
      <c r="S35" s="7">
        <v>8</v>
      </c>
      <c r="T35" s="7">
        <v>3</v>
      </c>
      <c r="U35" s="7"/>
      <c r="V35" s="7" t="str">
        <f>"3 : 1"</f>
        <v>3 : 1</v>
      </c>
      <c r="W35" s="7">
        <v>8</v>
      </c>
    </row>
    <row r="36" spans="1:23" ht="12.5">
      <c r="A36" s="110" t="s">
        <v>547</v>
      </c>
      <c r="B36" s="371">
        <f>1%*Vout2*1000</f>
        <v>180</v>
      </c>
      <c r="C36" s="60" t="s">
        <v>149</v>
      </c>
      <c r="D36" s="111" t="s">
        <v>546</v>
      </c>
      <c r="F36" s="7"/>
      <c r="G36" s="7"/>
      <c r="H36" s="7"/>
      <c r="I36" s="25"/>
      <c r="P36" s="24"/>
      <c r="Q36" s="7"/>
      <c r="R36" s="7" t="str">
        <f>"2.5 : 1"</f>
        <v>2.5 : 1</v>
      </c>
      <c r="S36" s="7">
        <v>9</v>
      </c>
      <c r="T36" s="7">
        <v>2.5</v>
      </c>
      <c r="U36" s="7"/>
      <c r="V36" s="7" t="str">
        <f>"2.5 : 1"</f>
        <v>2.5 : 1</v>
      </c>
      <c r="W36" s="7">
        <v>9</v>
      </c>
    </row>
    <row r="37" spans="1:23">
      <c r="F37" s="7"/>
      <c r="G37" s="7"/>
      <c r="H37" s="7"/>
      <c r="I37" s="25"/>
      <c r="P37" s="24"/>
      <c r="Q37" s="739"/>
      <c r="R37" s="7" t="str">
        <f>"2 : 1"</f>
        <v>2 : 1</v>
      </c>
      <c r="S37" s="7">
        <v>10</v>
      </c>
      <c r="T37" s="12">
        <v>2</v>
      </c>
      <c r="U37" s="7"/>
      <c r="V37" s="7" t="str">
        <f>"2 : 1"</f>
        <v>2 : 1</v>
      </c>
      <c r="W37" s="7">
        <v>10</v>
      </c>
    </row>
    <row r="38" spans="1:23">
      <c r="F38" s="7"/>
      <c r="G38" s="7"/>
      <c r="H38" s="7"/>
      <c r="I38" s="25"/>
      <c r="P38" s="24"/>
      <c r="Q38" s="739"/>
      <c r="R38" s="7" t="str">
        <f>"1.8 :1"</f>
        <v>1.8 :1</v>
      </c>
      <c r="S38" s="7">
        <v>11</v>
      </c>
      <c r="T38" s="12">
        <v>1.8</v>
      </c>
      <c r="U38" s="7"/>
      <c r="V38" s="7" t="str">
        <f>"1.8 : 1"</f>
        <v>1.8 : 1</v>
      </c>
      <c r="W38" s="7">
        <v>11</v>
      </c>
    </row>
    <row r="39" spans="1:23" ht="12.5">
      <c r="A39" s="110" t="s">
        <v>47</v>
      </c>
      <c r="B39" s="612">
        <v>1</v>
      </c>
      <c r="C39" s="60"/>
      <c r="D39" s="77" t="s">
        <v>175</v>
      </c>
      <c r="F39" s="7"/>
      <c r="G39" s="7"/>
      <c r="H39" s="7"/>
      <c r="I39" s="25"/>
      <c r="P39" s="24"/>
      <c r="Q39" s="7"/>
      <c r="R39" s="7" t="str">
        <f>"1.5 : 1"</f>
        <v>1.5 : 1</v>
      </c>
      <c r="S39" s="7">
        <v>12</v>
      </c>
      <c r="T39" s="12">
        <v>1.5</v>
      </c>
      <c r="U39" s="7"/>
      <c r="V39" s="7" t="str">
        <f>"1.5 : 1"</f>
        <v>1.5 : 1</v>
      </c>
      <c r="W39" s="7">
        <v>12</v>
      </c>
    </row>
    <row r="40" spans="1:23" ht="12.5">
      <c r="A40" s="110"/>
      <c r="B40" s="612"/>
      <c r="C40" s="60"/>
      <c r="D40" s="77"/>
      <c r="F40" s="7"/>
      <c r="G40" s="7"/>
      <c r="H40" s="7"/>
      <c r="I40" s="25"/>
      <c r="P40" s="24"/>
      <c r="Q40" s="7"/>
      <c r="R40" s="7" t="str">
        <f>"1.2 : 1"</f>
        <v>1.2 : 1</v>
      </c>
      <c r="S40" s="7">
        <v>13</v>
      </c>
      <c r="T40" s="12">
        <v>1.2</v>
      </c>
      <c r="U40" s="7"/>
      <c r="V40" s="740" t="s">
        <v>785</v>
      </c>
      <c r="W40" s="7">
        <v>13</v>
      </c>
    </row>
    <row r="41" spans="1:23" ht="12.5">
      <c r="A41" s="110" t="s">
        <v>156</v>
      </c>
      <c r="B41" s="420">
        <f>Pout_total/Efficiency</f>
        <v>24</v>
      </c>
      <c r="C41" s="60" t="s">
        <v>45</v>
      </c>
      <c r="D41" s="111" t="s">
        <v>455</v>
      </c>
      <c r="F41" s="7"/>
      <c r="G41" s="7"/>
      <c r="H41" s="7"/>
      <c r="I41" s="25"/>
      <c r="P41" s="24"/>
      <c r="Q41" s="7"/>
      <c r="R41" s="7" t="str">
        <f>"1 : 1"</f>
        <v>1 : 1</v>
      </c>
      <c r="S41" s="7">
        <v>14</v>
      </c>
      <c r="T41" s="12">
        <v>1</v>
      </c>
      <c r="U41" s="7"/>
      <c r="V41" s="7" t="str">
        <f>"1 : 1"</f>
        <v>1 : 1</v>
      </c>
      <c r="W41" s="7">
        <v>14</v>
      </c>
    </row>
    <row r="42" spans="1:23" ht="12.5">
      <c r="A42" s="110"/>
      <c r="B42" s="420"/>
      <c r="C42" s="60"/>
      <c r="D42" s="111"/>
      <c r="F42" s="7"/>
      <c r="G42" s="7"/>
      <c r="H42" s="7"/>
      <c r="I42" s="25"/>
      <c r="P42" s="24"/>
      <c r="Q42" s="7"/>
      <c r="R42" s="7" t="str">
        <f>"1 : 1.2"</f>
        <v>1 : 1.2</v>
      </c>
      <c r="S42" s="7">
        <v>15</v>
      </c>
      <c r="T42" s="7">
        <f>0.833</f>
        <v>0.83299999999999996</v>
      </c>
      <c r="U42" s="7"/>
      <c r="V42" s="740" t="s">
        <v>786</v>
      </c>
      <c r="W42" s="7">
        <v>15</v>
      </c>
    </row>
    <row r="43" spans="1:23" ht="12.5">
      <c r="A43" s="110" t="s">
        <v>153</v>
      </c>
      <c r="B43" s="162">
        <f>Pin/VIN_min</f>
        <v>2.6666666666666665</v>
      </c>
      <c r="C43" s="60" t="s">
        <v>1</v>
      </c>
      <c r="D43" s="77"/>
      <c r="F43" s="7"/>
      <c r="G43" s="7"/>
      <c r="H43" s="7"/>
      <c r="I43" s="25"/>
      <c r="P43" s="24"/>
      <c r="Q43" s="7"/>
      <c r="R43" s="7" t="str">
        <f>"1 : 1.5"</f>
        <v>1 : 1.5</v>
      </c>
      <c r="S43" s="7">
        <v>16</v>
      </c>
      <c r="T43" s="7">
        <f>0.667</f>
        <v>0.66700000000000004</v>
      </c>
      <c r="U43" s="7"/>
      <c r="V43" s="7" t="str">
        <f>"1 : 1.5"</f>
        <v>1 : 1.5</v>
      </c>
      <c r="W43" s="7">
        <v>16</v>
      </c>
    </row>
    <row r="44" spans="1:23" ht="12.5">
      <c r="A44" s="110"/>
      <c r="B44" s="162"/>
      <c r="C44" s="60"/>
      <c r="D44" s="77"/>
      <c r="F44" s="7"/>
      <c r="G44" s="7"/>
      <c r="H44" s="7"/>
      <c r="I44" s="25"/>
      <c r="P44" s="24"/>
      <c r="Q44" s="7"/>
      <c r="R44" s="7" t="str">
        <f>"1 : 1.8"</f>
        <v>1 : 1.8</v>
      </c>
      <c r="S44" s="7">
        <v>17</v>
      </c>
      <c r="T44" s="7">
        <f>0.556</f>
        <v>0.55600000000000005</v>
      </c>
      <c r="U44" s="7"/>
      <c r="V44" s="7" t="str">
        <f>"1 : 1.8"</f>
        <v>1 : 1.8</v>
      </c>
      <c r="W44" s="7">
        <v>17</v>
      </c>
    </row>
    <row r="45" spans="1:23" ht="12.5">
      <c r="A45" s="110" t="s">
        <v>154</v>
      </c>
      <c r="B45" s="162">
        <f>Pin/VIN_nom</f>
        <v>1</v>
      </c>
      <c r="C45" s="60" t="s">
        <v>1</v>
      </c>
      <c r="D45" s="111" t="s">
        <v>159</v>
      </c>
      <c r="F45" s="7"/>
      <c r="G45" s="7"/>
      <c r="H45" s="7"/>
      <c r="I45" s="25">
        <v>1</v>
      </c>
      <c r="K45" s="76"/>
      <c r="P45" s="24"/>
      <c r="Q45" s="7"/>
      <c r="R45" s="7" t="str">
        <f>"1 : 2"</f>
        <v>1 : 2</v>
      </c>
      <c r="S45" s="12">
        <v>18</v>
      </c>
      <c r="T45" s="7">
        <f>1/2</f>
        <v>0.5</v>
      </c>
      <c r="U45" s="7"/>
      <c r="V45" s="7" t="str">
        <f>"1 : 2"</f>
        <v>1 : 2</v>
      </c>
      <c r="W45" s="12">
        <v>18</v>
      </c>
    </row>
    <row r="46" spans="1:23" ht="12.5">
      <c r="A46" s="110"/>
      <c r="B46" s="162"/>
      <c r="C46" s="60"/>
      <c r="D46" s="111"/>
      <c r="F46" s="7"/>
      <c r="G46" s="7"/>
      <c r="H46" s="7"/>
      <c r="I46" s="25"/>
      <c r="K46" s="76"/>
      <c r="P46" s="24"/>
      <c r="Q46" s="7"/>
      <c r="R46" s="7" t="str">
        <f>"1 : 2.5"</f>
        <v>1 : 2.5</v>
      </c>
      <c r="S46" s="12">
        <v>19</v>
      </c>
      <c r="T46" s="7">
        <f>1/2.5</f>
        <v>0.4</v>
      </c>
      <c r="U46" s="7"/>
      <c r="V46" s="7" t="str">
        <f>"1 : 2.5"</f>
        <v>1 : 2.5</v>
      </c>
      <c r="W46" s="12">
        <v>19</v>
      </c>
    </row>
    <row r="47" spans="1:23" ht="12.5">
      <c r="A47" s="110" t="s">
        <v>155</v>
      </c>
      <c r="B47" s="162">
        <f>Pin/VIN_max</f>
        <v>0.66666666666666663</v>
      </c>
      <c r="C47" s="60" t="s">
        <v>1</v>
      </c>
      <c r="D47" s="77"/>
      <c r="F47" s="7"/>
      <c r="G47" s="7"/>
      <c r="H47" s="7"/>
      <c r="I47" s="25"/>
      <c r="P47" s="24"/>
      <c r="Q47" s="7"/>
      <c r="R47" s="7" t="str">
        <f>"1 : 3"</f>
        <v>1 : 3</v>
      </c>
      <c r="S47" s="12">
        <v>20</v>
      </c>
      <c r="T47" s="7">
        <f>0.333</f>
        <v>0.33300000000000002</v>
      </c>
      <c r="U47" s="7"/>
      <c r="V47" s="7" t="str">
        <f>"1 : 3"</f>
        <v>1 : 3</v>
      </c>
      <c r="W47" s="12">
        <v>20</v>
      </c>
    </row>
    <row r="48" spans="1:23" ht="12.5">
      <c r="A48" s="110" t="s">
        <v>607</v>
      </c>
      <c r="B48" s="162">
        <f>CHOOSE(MODE,'Calculations - Single'!H212,'Calculations - Dual'!H212+'Calculations - Dual'!I212)*0+CHOOSE(MODE,'Calculations - Single'!H212,'Calculations - Dual'!O212+'Calculations - Dual'!P212)</f>
        <v>32.320867710688638</v>
      </c>
      <c r="C48" s="60" t="s">
        <v>45</v>
      </c>
      <c r="D48" s="77" t="b">
        <f>B48&lt;Pout_total</f>
        <v>0</v>
      </c>
      <c r="F48" s="7"/>
      <c r="G48" s="7"/>
      <c r="H48" s="7"/>
      <c r="I48" s="25"/>
      <c r="P48" s="24"/>
      <c r="Q48" s="7"/>
      <c r="R48" s="7" t="str">
        <f>"1 : 4"</f>
        <v>1 : 4</v>
      </c>
      <c r="S48" s="12">
        <v>21</v>
      </c>
      <c r="T48" s="7">
        <f>1/4</f>
        <v>0.25</v>
      </c>
      <c r="U48" s="7"/>
      <c r="V48" s="7" t="str">
        <f>R48</f>
        <v>1 : 4</v>
      </c>
      <c r="W48" s="12">
        <v>21</v>
      </c>
    </row>
    <row r="49" spans="1:23" ht="12.5">
      <c r="A49" s="110"/>
      <c r="B49" s="162"/>
      <c r="C49" s="60"/>
      <c r="D49" s="77"/>
      <c r="F49" s="7"/>
      <c r="G49" s="7"/>
      <c r="H49" s="7"/>
      <c r="I49" s="848"/>
      <c r="P49" s="24"/>
      <c r="Q49" s="7"/>
      <c r="R49" s="7" t="str">
        <f>"1 : 5"</f>
        <v>1 : 5</v>
      </c>
      <c r="S49" s="12">
        <v>22</v>
      </c>
      <c r="T49" s="7">
        <v>0.2</v>
      </c>
      <c r="U49" s="7"/>
      <c r="V49" s="7" t="str">
        <f>"1 : 5"</f>
        <v>1 : 5</v>
      </c>
      <c r="W49" s="12">
        <v>22</v>
      </c>
    </row>
    <row r="50" spans="1:23" ht="12.5">
      <c r="A50" s="110"/>
      <c r="B50" s="162"/>
      <c r="C50" s="60"/>
      <c r="D50" s="77"/>
      <c r="F50" s="7"/>
      <c r="G50" s="7"/>
      <c r="H50" s="7"/>
      <c r="I50" s="848"/>
      <c r="P50" s="24"/>
      <c r="Q50" s="7"/>
      <c r="R50" s="7" t="str">
        <f>"1 : 6"</f>
        <v>1 : 6</v>
      </c>
      <c r="S50" s="12">
        <v>23</v>
      </c>
      <c r="T50" s="7">
        <f>0.167</f>
        <v>0.16700000000000001</v>
      </c>
      <c r="U50" s="7"/>
      <c r="V50" s="7" t="str">
        <f>"1 : 6"</f>
        <v>1 : 6</v>
      </c>
      <c r="W50" s="12">
        <v>23</v>
      </c>
    </row>
    <row r="51" spans="1:23" ht="12.5">
      <c r="A51" s="110"/>
      <c r="B51" s="162"/>
      <c r="C51" s="60"/>
      <c r="D51" s="77"/>
      <c r="F51" s="7"/>
      <c r="G51" s="7"/>
      <c r="H51" s="7"/>
      <c r="I51" s="848"/>
      <c r="P51" s="24"/>
      <c r="Q51" s="7"/>
      <c r="R51" s="7" t="str">
        <f>"1 : 8"</f>
        <v>1 : 8</v>
      </c>
      <c r="S51" s="12">
        <v>24</v>
      </c>
      <c r="T51" s="7">
        <f>1/8</f>
        <v>0.125</v>
      </c>
      <c r="U51" s="7"/>
      <c r="V51" s="7" t="str">
        <f>"1 : 8"</f>
        <v>1 : 8</v>
      </c>
      <c r="W51" s="12">
        <v>24</v>
      </c>
    </row>
    <row r="52" spans="1:23" ht="12.5">
      <c r="A52" s="110"/>
      <c r="B52" s="162"/>
      <c r="C52" s="60"/>
      <c r="D52" s="77"/>
      <c r="F52" s="7"/>
      <c r="G52" s="7"/>
      <c r="H52" s="7"/>
      <c r="I52" s="848"/>
      <c r="P52" s="24"/>
      <c r="Q52" s="7"/>
      <c r="R52" s="7" t="str">
        <f>"1 : 10"</f>
        <v>1 : 10</v>
      </c>
      <c r="S52" s="12">
        <v>25</v>
      </c>
      <c r="T52" s="7">
        <f>1/10</f>
        <v>0.1</v>
      </c>
      <c r="U52" s="7"/>
      <c r="V52" s="7" t="str">
        <f>"1 : 10"</f>
        <v>1 : 10</v>
      </c>
      <c r="W52" s="12">
        <v>25</v>
      </c>
    </row>
    <row r="53" spans="1:23" ht="12.5">
      <c r="A53" s="110"/>
      <c r="B53" s="162"/>
      <c r="C53" s="60"/>
      <c r="D53" s="77"/>
      <c r="F53" s="7"/>
      <c r="G53" s="7"/>
      <c r="H53" s="7"/>
      <c r="I53" s="848"/>
      <c r="P53" s="24"/>
      <c r="Q53" s="7"/>
      <c r="R53" s="7" t="str">
        <f>"1 : 15"</f>
        <v>1 : 15</v>
      </c>
      <c r="S53" s="12">
        <v>26</v>
      </c>
      <c r="T53" s="7">
        <f>0.0667</f>
        <v>6.6699999999999995E-2</v>
      </c>
      <c r="U53" s="7"/>
      <c r="V53" s="7" t="str">
        <f>"1 : 15"</f>
        <v>1 : 15</v>
      </c>
      <c r="W53" s="12">
        <v>26</v>
      </c>
    </row>
    <row r="54" spans="1:23" ht="12.5">
      <c r="A54" s="110"/>
      <c r="B54" s="162"/>
      <c r="C54" s="60"/>
      <c r="D54" s="77"/>
      <c r="F54" s="7"/>
      <c r="G54" s="7"/>
      <c r="H54" s="7"/>
      <c r="I54" s="848"/>
      <c r="P54" s="24"/>
      <c r="Q54" s="7"/>
      <c r="R54" s="7" t="str">
        <f>"1 : 20"</f>
        <v>1 : 20</v>
      </c>
      <c r="S54" s="12">
        <v>27</v>
      </c>
      <c r="T54" s="7">
        <f>1/20</f>
        <v>0.05</v>
      </c>
      <c r="U54" s="7"/>
      <c r="V54" s="7" t="str">
        <f>"1 : 20"</f>
        <v>1 : 20</v>
      </c>
      <c r="W54" s="12">
        <v>27</v>
      </c>
    </row>
    <row r="55" spans="1:23" ht="12.5">
      <c r="A55" s="110"/>
      <c r="B55" s="162"/>
      <c r="C55" s="60"/>
      <c r="D55" s="77"/>
      <c r="F55" s="7"/>
      <c r="G55" s="7"/>
      <c r="H55" s="7"/>
      <c r="I55" s="848"/>
      <c r="P55" s="24"/>
      <c r="Q55" s="7"/>
      <c r="R55" s="7" t="str">
        <f>"1 : 30"</f>
        <v>1 : 30</v>
      </c>
      <c r="S55" s="12">
        <v>28</v>
      </c>
      <c r="T55" s="7">
        <f>0.0333</f>
        <v>3.3300000000000003E-2</v>
      </c>
      <c r="U55" s="7"/>
      <c r="V55" s="7" t="str">
        <f>"1 : 30"</f>
        <v>1 : 30</v>
      </c>
      <c r="W55" s="12">
        <v>28</v>
      </c>
    </row>
    <row r="56" spans="1:23" ht="12.5">
      <c r="A56" s="110"/>
      <c r="B56" s="162"/>
      <c r="C56" s="60"/>
      <c r="D56" s="77"/>
      <c r="F56" s="7"/>
      <c r="G56" s="7"/>
      <c r="H56" s="7"/>
      <c r="I56" s="848"/>
      <c r="P56" s="24"/>
      <c r="Q56" s="7"/>
      <c r="R56" s="7" t="str">
        <f>"1 : 40"</f>
        <v>1 : 40</v>
      </c>
      <c r="S56" s="7">
        <v>29</v>
      </c>
      <c r="T56" s="7">
        <f>1/40</f>
        <v>2.5000000000000001E-2</v>
      </c>
      <c r="U56" s="7"/>
      <c r="V56" s="7" t="str">
        <f>"1 : 40"</f>
        <v>1 : 40</v>
      </c>
      <c r="W56" s="7">
        <v>29</v>
      </c>
    </row>
    <row r="57" spans="1:23" ht="12.5">
      <c r="A57" s="110"/>
      <c r="B57" s="162"/>
      <c r="C57" s="60"/>
      <c r="D57" s="77"/>
      <c r="F57" s="7"/>
      <c r="G57" s="7"/>
      <c r="H57" s="7"/>
      <c r="I57" s="848"/>
      <c r="P57" s="24"/>
      <c r="Q57" s="7"/>
      <c r="R57" s="7" t="str">
        <f>"1 : 50"</f>
        <v>1 : 50</v>
      </c>
      <c r="S57" s="12">
        <v>30</v>
      </c>
      <c r="T57" s="7">
        <f>1/50</f>
        <v>0.02</v>
      </c>
      <c r="U57" s="7"/>
      <c r="V57" s="7" t="str">
        <f>"1 : 50"</f>
        <v>1 : 50</v>
      </c>
      <c r="W57" s="12">
        <v>30</v>
      </c>
    </row>
    <row r="58" spans="1:23" ht="12.5">
      <c r="A58" s="110"/>
      <c r="B58" s="162"/>
      <c r="C58" s="60"/>
      <c r="D58" s="77"/>
      <c r="F58" s="7"/>
      <c r="G58" s="7"/>
      <c r="H58" s="7"/>
      <c r="I58" s="848"/>
      <c r="P58" s="24"/>
      <c r="Q58" s="7"/>
      <c r="R58" s="7" t="str">
        <f>"1 : 60"</f>
        <v>1 : 60</v>
      </c>
      <c r="S58" s="12">
        <v>31</v>
      </c>
      <c r="T58" s="7">
        <f>0.0167</f>
        <v>1.67E-2</v>
      </c>
      <c r="U58" s="7"/>
      <c r="V58" s="7" t="str">
        <f>"1 : 60"</f>
        <v>1 : 60</v>
      </c>
      <c r="W58" s="12">
        <v>31</v>
      </c>
    </row>
    <row r="59" spans="1:23" ht="12.5">
      <c r="A59" s="110"/>
      <c r="B59" s="162"/>
      <c r="C59" s="60"/>
      <c r="D59" s="77"/>
      <c r="F59" s="7"/>
      <c r="G59" s="7"/>
      <c r="H59" s="7"/>
      <c r="I59" s="848"/>
      <c r="P59" s="24"/>
      <c r="Q59" s="7"/>
      <c r="R59" s="7" t="str">
        <f>"1 : 80"</f>
        <v>1 : 80</v>
      </c>
      <c r="S59" s="12">
        <v>32</v>
      </c>
      <c r="T59" s="7">
        <f>1/80</f>
        <v>1.2500000000000001E-2</v>
      </c>
      <c r="U59" s="7"/>
      <c r="V59" s="7" t="str">
        <f>"1 : 80"</f>
        <v>1 : 80</v>
      </c>
      <c r="W59" s="12">
        <v>32</v>
      </c>
    </row>
    <row r="60" spans="1:23">
      <c r="A60" s="110"/>
      <c r="B60" s="518"/>
      <c r="C60" s="111"/>
      <c r="D60" s="77"/>
      <c r="F60" s="7"/>
      <c r="G60" s="7"/>
      <c r="H60" s="7"/>
      <c r="I60" s="25"/>
      <c r="P60" s="24"/>
      <c r="Q60" s="7"/>
      <c r="R60" s="7" t="str">
        <f>"1 : 100"</f>
        <v>1 : 100</v>
      </c>
      <c r="S60" s="7">
        <v>33</v>
      </c>
      <c r="T60" s="7">
        <f>1/100</f>
        <v>0.01</v>
      </c>
      <c r="U60" s="741"/>
      <c r="V60" s="7" t="str">
        <f>"1 : 100"</f>
        <v>1 : 100</v>
      </c>
      <c r="W60" s="7">
        <v>33</v>
      </c>
    </row>
    <row r="61" spans="1:23">
      <c r="A61" s="110" t="s">
        <v>428</v>
      </c>
      <c r="B61" s="132">
        <v>350000</v>
      </c>
      <c r="C61" s="111" t="s">
        <v>8</v>
      </c>
      <c r="D61" s="77" t="s">
        <v>566</v>
      </c>
      <c r="F61" s="7"/>
      <c r="G61" s="7"/>
      <c r="H61" s="7"/>
      <c r="I61" s="25"/>
      <c r="P61" s="24"/>
      <c r="Q61" s="741" t="s">
        <v>388</v>
      </c>
      <c r="R61" s="374" t="str">
        <f>CHOOSE(Turns_Ratio,"20 : 1", "15 : 1", "10 : 1", "8 : 1", "6 : 1",  "5 : 1", "4 : 1", "3 : 1", "2.5 : 1", "2 : 1", "1.8 : 1", "1.5 : 1", "1.2 : 1", "1 : 1", "1 : 1.2", "1 : 1.5", "1 : 1.8", "1 : 2",  "1 : 2.5","1 : 3", "1 : 4", "1 : 5", "1 : 6", "1 : 8", "1 : 10", "1 : 15", "1 : 20", "1 : 30", "1 : 40", "1 : 50", "1 : 60", "1 : 80", "1 : 100")</f>
        <v>1 : 1.5</v>
      </c>
      <c r="S61" s="39">
        <v>16</v>
      </c>
      <c r="T61" s="7"/>
      <c r="U61" s="741" t="s">
        <v>570</v>
      </c>
      <c r="V61" s="596" t="str">
        <f>CHOOSE(Turns_Ratio2, "20 : 1", "15 : 1", "10 : 1", "8 : 1", "6 : 1",  "5 : 1", "4 : 1", "3 : 1", "2.5 : 1", "2 : 1", "1.8 : 1", "1.5 : 1", "1.2 : 1", "1 : 1", "1 : 1.2", "1 : 1.5", "1 : 1.8", "1 : 2",  "1 : 2.5","1 : 3", "1 : 4", "1 : 5", "1 : 6", "1 : 8", "1 : 10", "1 : 15", "1 : 20", "1 : 30", "1 : 40", "1 : 50", "1 : 60", "1 : 80", "1 : 100")</f>
        <v>2.5 : 1</v>
      </c>
      <c r="W61" s="25">
        <v>9</v>
      </c>
    </row>
    <row r="62" spans="1:23">
      <c r="A62" s="26" t="s">
        <v>18</v>
      </c>
      <c r="B62" s="731">
        <v>1</v>
      </c>
      <c r="C62" s="7" t="s">
        <v>0</v>
      </c>
      <c r="D62" s="732" t="s">
        <v>782</v>
      </c>
      <c r="F62" s="7"/>
      <c r="G62" s="7"/>
      <c r="H62" s="7"/>
      <c r="I62" s="25"/>
      <c r="P62" s="24"/>
      <c r="Q62" s="7"/>
      <c r="R62" s="7"/>
      <c r="S62" s="7"/>
      <c r="T62" s="7"/>
      <c r="U62" s="7"/>
      <c r="V62" s="7"/>
      <c r="W62" s="25"/>
    </row>
    <row r="63" spans="1:23">
      <c r="A63" s="110" t="s">
        <v>386</v>
      </c>
      <c r="B63" s="163">
        <f>'Design Converter'!E40*1000</f>
        <v>163400</v>
      </c>
      <c r="C63" s="113" t="s">
        <v>45</v>
      </c>
      <c r="D63" s="111" t="s">
        <v>567</v>
      </c>
      <c r="F63" s="7"/>
      <c r="G63" s="7"/>
      <c r="H63" s="7"/>
      <c r="I63" s="25"/>
      <c r="P63" s="24"/>
      <c r="Q63" s="77" t="s">
        <v>447</v>
      </c>
      <c r="R63" s="374" t="str">
        <f>CHOOSE(Turns_Ratio,"20", "15", "10", "8", "6", "5", "4 ", "3", "2.5", "2", "1.8", "1.5", "1.2", "1", "0.833",  "0.667", "0.556", "0.5", "0.4", "0.33", "0.25", "0.2", "0.167", "0.125", "0.1", "0.0667", "0.05", "0.0333", "0.025", "0.02", "0.0167", "0.0125", "0.01")</f>
        <v>0.667</v>
      </c>
      <c r="S63" s="7"/>
      <c r="T63" s="7"/>
      <c r="U63" s="7"/>
      <c r="V63" s="77" t="s">
        <v>574</v>
      </c>
      <c r="W63" s="742" t="str">
        <f>CHOOSE(Turns_Ratio,"1", "1", "1", "1", "1", "1", "1", "1", "1", "1", "1", "1", "1", "1", "1.2", "1.5", "1.8",  "2", "2.5", "3", "4", "5", "6", "8", "10", "15", "20", "30", "40", "50", "60", "80", "100")</f>
        <v>1.5</v>
      </c>
    </row>
    <row r="64" spans="1:23">
      <c r="A64" s="110"/>
      <c r="B64" s="371"/>
      <c r="C64" s="113"/>
      <c r="D64" s="60"/>
      <c r="F64" s="7"/>
      <c r="G64" s="7"/>
      <c r="H64" s="7"/>
      <c r="I64" s="25"/>
      <c r="K64" s="76" t="s">
        <v>390</v>
      </c>
      <c r="P64" s="24"/>
      <c r="Q64" s="77" t="s">
        <v>494</v>
      </c>
      <c r="R64" s="374" t="str">
        <f>CHOOSE(Turns_Ratio, "20", "15", "10", "8", "6", "5", "4 ", "3", "2.5", "2", "1.8", "1.5", "1.2", "1", "0.833",  "0.667", "0.556", "0.5", "0.4", "0.33", "0.25", "0.2", "0.167", "0.125", "0.1", "0.0667", "0.05", "0.0333", "0.025", "0.02", "0.0167", "0.0125", "0.01")</f>
        <v>0.667</v>
      </c>
      <c r="S64" s="7"/>
      <c r="T64" s="7"/>
      <c r="U64" s="7"/>
      <c r="V64" s="77" t="s">
        <v>573</v>
      </c>
      <c r="W64" s="743">
        <f>Nsec1sec2</f>
        <v>0.74898785425101222</v>
      </c>
    </row>
    <row r="65" spans="1:23" ht="15.5">
      <c r="A65" s="110" t="s">
        <v>387</v>
      </c>
      <c r="B65" s="518">
        <v>0.1</v>
      </c>
      <c r="C65" s="77" t="s">
        <v>45</v>
      </c>
      <c r="D65" s="111" t="s">
        <v>568</v>
      </c>
      <c r="F65" s="596" t="s">
        <v>569</v>
      </c>
      <c r="G65" s="7"/>
      <c r="H65" s="7"/>
      <c r="I65" s="25"/>
      <c r="P65" s="24"/>
      <c r="Q65" s="77" t="s">
        <v>573</v>
      </c>
      <c r="R65" s="744">
        <f>ABS((Vout2+Vfwd22)/(Vout+Vfwd2))</f>
        <v>0.74898785425101222</v>
      </c>
      <c r="S65" s="7"/>
      <c r="T65" s="7"/>
      <c r="U65" s="7"/>
      <c r="V65" s="39"/>
      <c r="W65" s="745">
        <f>W63*W64</f>
        <v>1.1234817813765183</v>
      </c>
    </row>
    <row r="66" spans="1:23" ht="13.5" thickBot="1">
      <c r="A66" s="28"/>
      <c r="B66" s="29"/>
      <c r="C66" s="80"/>
      <c r="D66" s="29"/>
      <c r="E66" s="29"/>
      <c r="F66" s="29"/>
      <c r="G66" s="29"/>
      <c r="H66" s="29"/>
      <c r="I66" s="30"/>
      <c r="K66" s="441" t="str">
        <f>"SCH_"&amp;B73&amp;"_"&amp;F78&amp;"_"&amp;I78&amp;"_"&amp;F72</f>
        <v>SCH_SINGLE_UVLOadj_SSadj_TCyes</v>
      </c>
      <c r="P66" s="24"/>
      <c r="Q66" s="386" t="s">
        <v>495</v>
      </c>
      <c r="R66" s="746">
        <f>Nps/Nsec1sec2</f>
        <v>0.89053513513513505</v>
      </c>
      <c r="S66" s="7"/>
      <c r="T66" s="7"/>
      <c r="U66" s="7"/>
      <c r="V66" s="377" t="s">
        <v>575</v>
      </c>
      <c r="W66" s="747" t="str">
        <f>CHOOSE(MODE, R61, R61&amp;" : "&amp;ROUND(W65,2))</f>
        <v>1 : 1.5</v>
      </c>
    </row>
    <row r="67" spans="1:23" ht="13.5" thickBot="1">
      <c r="A67" s="7"/>
      <c r="B67" s="7"/>
      <c r="C67" s="39"/>
      <c r="D67" s="7"/>
      <c r="E67" s="7"/>
      <c r="F67" s="7"/>
      <c r="G67" s="7"/>
      <c r="H67" s="7"/>
      <c r="I67" s="7"/>
      <c r="P67" s="748"/>
      <c r="Q67" s="180"/>
      <c r="R67" s="749">
        <f>ROUND(Nsec1sec2,1)</f>
        <v>0.7</v>
      </c>
      <c r="S67" s="180"/>
      <c r="T67" s="180"/>
      <c r="U67" s="180"/>
      <c r="V67" s="180"/>
      <c r="W67" s="750"/>
    </row>
    <row r="68" spans="1:23" ht="16" thickBot="1">
      <c r="A68" s="50" t="s">
        <v>557</v>
      </c>
      <c r="B68" s="7"/>
      <c r="C68" s="39"/>
      <c r="D68" s="7"/>
      <c r="E68" s="7"/>
      <c r="F68" s="7"/>
      <c r="G68" s="7"/>
      <c r="H68" s="7"/>
      <c r="I68" s="7"/>
    </row>
    <row r="69" spans="1:23" ht="15.5">
      <c r="A69" s="380"/>
      <c r="B69" s="381"/>
      <c r="C69" s="382"/>
      <c r="D69" s="381"/>
      <c r="E69" s="381"/>
      <c r="F69" s="381"/>
      <c r="G69" s="381"/>
      <c r="H69" s="381"/>
      <c r="I69" s="433"/>
      <c r="J69" s="433"/>
      <c r="K69" s="433"/>
      <c r="L69" s="433"/>
      <c r="M69" s="433"/>
      <c r="N69" s="433"/>
      <c r="O69" s="24"/>
    </row>
    <row r="70" spans="1:23">
      <c r="A70" s="377" t="s">
        <v>361</v>
      </c>
      <c r="B70" s="77" t="s">
        <v>362</v>
      </c>
      <c r="C70" s="434">
        <v>1</v>
      </c>
      <c r="D70" s="7"/>
      <c r="E70" s="377" t="s">
        <v>375</v>
      </c>
      <c r="F70" s="77" t="s">
        <v>364</v>
      </c>
      <c r="G70" s="160" t="b">
        <v>1</v>
      </c>
      <c r="I70" s="154" t="s">
        <v>300</v>
      </c>
      <c r="J70" s="160">
        <v>1</v>
      </c>
      <c r="K70" t="str">
        <f>B73&amp;", "&amp;F72&amp;", "&amp;I72&amp;", "&amp;F78&amp;", "&amp;I78</f>
        <v>SINGLE, TCyes, IlimRes, UVLOadj, SSadj</v>
      </c>
      <c r="O70" s="24"/>
    </row>
    <row r="71" spans="1:23">
      <c r="A71" s="376"/>
      <c r="B71" s="77" t="s">
        <v>363</v>
      </c>
      <c r="C71" s="434">
        <v>2</v>
      </c>
      <c r="D71" s="7"/>
      <c r="E71" s="37"/>
      <c r="F71" s="77" t="s">
        <v>365</v>
      </c>
      <c r="G71" s="160" t="b">
        <v>0</v>
      </c>
      <c r="I71" s="154" t="s">
        <v>301</v>
      </c>
      <c r="J71" s="160">
        <v>2</v>
      </c>
      <c r="K71" t="str">
        <f>C73&amp;", "&amp;G72&amp;", "&amp;J72&amp;", "&amp;G78&amp;", "&amp;J78</f>
        <v>1, 1, 2, 1, 1</v>
      </c>
      <c r="O71" s="24"/>
      <c r="Q71" s="395" t="s">
        <v>333</v>
      </c>
      <c r="R71" s="3" t="s">
        <v>328</v>
      </c>
      <c r="S71" s="368">
        <v>1</v>
      </c>
    </row>
    <row r="72" spans="1:23">
      <c r="B72" s="76" t="s">
        <v>506</v>
      </c>
      <c r="C72" s="576">
        <v>3</v>
      </c>
      <c r="D72" s="7"/>
      <c r="E72" s="440" t="s">
        <v>376</v>
      </c>
      <c r="F72" s="379" t="str">
        <f>CHOOSE(G72, "TCyes", "TCno")</f>
        <v>TCyes</v>
      </c>
      <c r="G72" s="374">
        <v>1</v>
      </c>
      <c r="H72" s="440" t="s">
        <v>299</v>
      </c>
      <c r="I72" s="436" t="str">
        <f>CHOOSE(J72, "IlimGND", "IlimRes")</f>
        <v>IlimRes</v>
      </c>
      <c r="J72" s="374">
        <f>IF(C78=4, 1, 2)</f>
        <v>2</v>
      </c>
      <c r="K72" t="str">
        <f>C73&amp;G72&amp;J72&amp;G78&amp;J78</f>
        <v>11211</v>
      </c>
      <c r="O72" s="24"/>
      <c r="Q72" s="395" t="s">
        <v>335</v>
      </c>
      <c r="R72" s="3" t="s">
        <v>329</v>
      </c>
      <c r="S72" s="368">
        <v>2</v>
      </c>
    </row>
    <row r="73" spans="1:23">
      <c r="A73" s="437" t="s">
        <v>286</v>
      </c>
      <c r="B73" s="435" t="str">
        <f>CHOOSE(C73,"SINGLE", IF(Vout2_actual&gt;0, "DUAL", "BIPOLAR"))</f>
        <v>SINGLE</v>
      </c>
      <c r="C73" s="378">
        <v>1</v>
      </c>
      <c r="D73" s="7"/>
      <c r="E73" s="7"/>
      <c r="G73" s="78">
        <f>TC</f>
        <v>1</v>
      </c>
      <c r="I73" s="374"/>
      <c r="J73" s="7"/>
      <c r="O73" s="24"/>
      <c r="Q73" s="395" t="s">
        <v>336</v>
      </c>
      <c r="R73" s="3" t="s">
        <v>330</v>
      </c>
      <c r="S73" s="368">
        <v>3</v>
      </c>
    </row>
    <row r="74" spans="1:23">
      <c r="A74" s="376"/>
      <c r="B74" s="3" t="b">
        <f>CHOOSE(C73, TRUE, FALSE)</f>
        <v>1</v>
      </c>
      <c r="C74" s="78" t="str">
        <f>CHOOSE(C73,"1", IF(Vout2&gt;0, "2", "3"))</f>
        <v>1</v>
      </c>
      <c r="O74" s="24"/>
      <c r="Q74" s="395" t="s">
        <v>334</v>
      </c>
      <c r="R74" s="3" t="s">
        <v>331</v>
      </c>
      <c r="S74" s="368">
        <v>4</v>
      </c>
    </row>
    <row r="75" spans="1:23">
      <c r="O75" s="24"/>
      <c r="Q75" s="395" t="s">
        <v>338</v>
      </c>
      <c r="R75" s="3" t="s">
        <v>337</v>
      </c>
      <c r="S75" s="368">
        <v>5</v>
      </c>
    </row>
    <row r="76" spans="1:23">
      <c r="A76" s="383" t="s">
        <v>188</v>
      </c>
      <c r="B76" s="111" t="s">
        <v>364</v>
      </c>
      <c r="C76" s="434">
        <v>1</v>
      </c>
      <c r="D76" s="7"/>
      <c r="E76" s="157" t="s">
        <v>318</v>
      </c>
      <c r="F76" s="474" t="s">
        <v>534</v>
      </c>
      <c r="G76" s="160">
        <v>1</v>
      </c>
      <c r="H76" s="377" t="s">
        <v>296</v>
      </c>
      <c r="I76" s="77" t="s">
        <v>534</v>
      </c>
      <c r="J76" s="160">
        <v>1</v>
      </c>
      <c r="L76" s="154" t="s">
        <v>316</v>
      </c>
      <c r="M76" s="160">
        <v>1</v>
      </c>
      <c r="O76" s="24"/>
      <c r="Q76" s="439" t="s">
        <v>332</v>
      </c>
      <c r="R76" s="445" t="str">
        <f>CHOOSE(S76,"6.3V","10V","16V","25V","50V")</f>
        <v>50V</v>
      </c>
      <c r="S76" s="458">
        <f>IF(Vout&lt;=5, 1, IF(Vout&lt;=8, 2, IF(Vout&lt;=12, 3, IF(Vout&lt;=20, 4, 5))))</f>
        <v>5</v>
      </c>
    </row>
    <row r="77" spans="1:23">
      <c r="A77" s="384"/>
      <c r="B77" s="111" t="s">
        <v>365</v>
      </c>
      <c r="C77" s="434">
        <v>2</v>
      </c>
      <c r="D77" s="7"/>
      <c r="F77" s="474" t="s">
        <v>535</v>
      </c>
      <c r="G77" s="160">
        <v>2</v>
      </c>
      <c r="H77" s="37"/>
      <c r="I77" s="77" t="s">
        <v>649</v>
      </c>
      <c r="J77" s="160">
        <v>2</v>
      </c>
      <c r="L77" s="154" t="s">
        <v>317</v>
      </c>
      <c r="M77" s="160">
        <v>2</v>
      </c>
      <c r="O77" s="24"/>
      <c r="T77" s="3" t="s">
        <v>116</v>
      </c>
      <c r="U77" s="3" t="s">
        <v>634</v>
      </c>
    </row>
    <row r="78" spans="1:23">
      <c r="A78" s="438" t="s">
        <v>287</v>
      </c>
      <c r="B78" s="435" t="str">
        <f>CHOOSE(C78, "YES", "NO")</f>
        <v>YES</v>
      </c>
      <c r="C78" s="378">
        <v>1</v>
      </c>
      <c r="D78" s="7"/>
      <c r="E78" s="439" t="s">
        <v>304</v>
      </c>
      <c r="F78" s="436" t="str">
        <f>CHOOSE(G78, "UVLOadj", "UVLOint")</f>
        <v>UVLOadj</v>
      </c>
      <c r="G78" s="374">
        <v>1</v>
      </c>
      <c r="H78" s="440" t="s">
        <v>288</v>
      </c>
      <c r="I78" s="379" t="str">
        <f>CHOOSE(J78, "SSadj", "SSint")</f>
        <v>SSadj</v>
      </c>
      <c r="J78" s="374">
        <v>1</v>
      </c>
      <c r="L78" s="375" t="s">
        <v>297</v>
      </c>
      <c r="M78" s="374">
        <v>1</v>
      </c>
      <c r="O78" s="24"/>
      <c r="R78" s="3" t="s">
        <v>633</v>
      </c>
      <c r="S78" s="3"/>
      <c r="T78" s="76" t="s">
        <v>347</v>
      </c>
      <c r="U78" s="460">
        <v>0.5</v>
      </c>
    </row>
    <row r="79" spans="1:23" ht="13.5" thickBot="1">
      <c r="A79" s="28"/>
      <c r="B79" s="29"/>
      <c r="C79" s="159"/>
      <c r="D79" s="29"/>
      <c r="E79" s="29"/>
      <c r="F79" s="29"/>
      <c r="G79" s="29"/>
      <c r="H79" s="29"/>
      <c r="I79" s="29"/>
      <c r="J79" s="29"/>
      <c r="K79" s="29"/>
      <c r="L79" s="29"/>
      <c r="M79" s="29"/>
      <c r="N79" s="29"/>
      <c r="O79" s="24"/>
      <c r="R79" s="457" t="s">
        <v>341</v>
      </c>
      <c r="S79" s="368">
        <v>1</v>
      </c>
      <c r="T79" s="76" t="s">
        <v>351</v>
      </c>
      <c r="U79" s="460">
        <v>1.3</v>
      </c>
    </row>
    <row r="80" spans="1:23">
      <c r="A80" s="7"/>
      <c r="B80" s="7" t="b">
        <f>(CONFIG="2")</f>
        <v>0</v>
      </c>
      <c r="C80" s="39" t="str">
        <f>CONFIG</f>
        <v>1</v>
      </c>
      <c r="D80" s="7"/>
      <c r="E80" s="7"/>
      <c r="F80" s="7"/>
      <c r="G80" s="7"/>
      <c r="H80" s="7"/>
      <c r="I80" s="7"/>
      <c r="R80" s="457" t="s">
        <v>119</v>
      </c>
      <c r="S80" s="368">
        <v>2</v>
      </c>
      <c r="T80" s="76" t="s">
        <v>352</v>
      </c>
      <c r="U80" s="460">
        <v>2.5</v>
      </c>
    </row>
    <row r="81" spans="1:26" ht="16" thickBot="1">
      <c r="A81" s="50" t="s">
        <v>558</v>
      </c>
      <c r="B81" s="39"/>
      <c r="C81" s="39"/>
      <c r="E81" s="7"/>
      <c r="F81" s="7"/>
      <c r="G81" s="7"/>
      <c r="H81" s="7"/>
      <c r="I81" s="7"/>
      <c r="R81" s="457" t="s">
        <v>342</v>
      </c>
      <c r="S81" s="368">
        <v>3</v>
      </c>
      <c r="T81" s="76" t="s">
        <v>350</v>
      </c>
      <c r="U81" s="460">
        <v>5.0999999999999996</v>
      </c>
    </row>
    <row r="82" spans="1:26">
      <c r="A82" s="109"/>
      <c r="B82" s="594"/>
      <c r="C82" s="595"/>
      <c r="D82" s="152"/>
      <c r="E82" s="79"/>
      <c r="F82" s="31"/>
      <c r="G82" s="31"/>
      <c r="H82" s="31"/>
      <c r="I82" s="32">
        <v>1</v>
      </c>
      <c r="K82" s="76"/>
      <c r="R82" s="457" t="s">
        <v>343</v>
      </c>
      <c r="S82" s="368">
        <v>4</v>
      </c>
      <c r="T82" s="76" t="s">
        <v>353</v>
      </c>
      <c r="U82" s="460">
        <v>8</v>
      </c>
    </row>
    <row r="83" spans="1:26">
      <c r="A83" s="110" t="s">
        <v>150</v>
      </c>
      <c r="B83" s="161">
        <f>Nps*(Vout+Vfwd2)/(VIN_min+Nps*(Vout+Vfwd2))*0+IF(H83="BAD",'Calculations - Single'!CQ210,CHOOSE(MODE,'Calculations - Single'!M210,'Calculations - Dual'!N210))</f>
        <v>0.65331635212738448</v>
      </c>
      <c r="C83" s="7"/>
      <c r="D83" t="b">
        <f>B83&gt;0.75</f>
        <v>0</v>
      </c>
      <c r="E83" s="77"/>
      <c r="F83" s="7"/>
      <c r="G83" s="7">
        <f>Vfwd2</f>
        <v>0.7</v>
      </c>
      <c r="H83" s="7">
        <f>'Calculations - Single'!DT210</f>
        <v>1000</v>
      </c>
      <c r="I83" s="25">
        <v>1</v>
      </c>
      <c r="R83" s="457" t="s">
        <v>344</v>
      </c>
      <c r="S83" s="368">
        <v>5</v>
      </c>
      <c r="T83" s="445" t="str">
        <f>CHOOSE(S85,T78,T79, T80,T81,T82)</f>
        <v>3.2 x 2.5</v>
      </c>
      <c r="U83" s="460">
        <v>8</v>
      </c>
    </row>
    <row r="84" spans="1:26">
      <c r="A84" s="110"/>
      <c r="B84" s="161"/>
      <c r="C84" s="7"/>
      <c r="E84" s="77"/>
      <c r="F84" s="7"/>
      <c r="G84" s="7"/>
      <c r="H84" s="7"/>
      <c r="I84" s="848"/>
      <c r="R84" s="457" t="s">
        <v>943</v>
      </c>
      <c r="S84" s="368">
        <v>6</v>
      </c>
      <c r="T84" s="445" t="s">
        <v>944</v>
      </c>
      <c r="U84" s="460">
        <v>25.1</v>
      </c>
    </row>
    <row r="85" spans="1:26">
      <c r="A85" s="110" t="s">
        <v>157</v>
      </c>
      <c r="B85" s="161">
        <f>Nps*(Vout+Vfwd1)/(VIN_nom+Nps*(Vout+Vfwd1))</f>
        <v>0.40507913686898112</v>
      </c>
      <c r="C85" s="7"/>
      <c r="F85" s="7"/>
      <c r="G85" s="7"/>
      <c r="H85" s="7"/>
      <c r="I85" s="25"/>
      <c r="Q85" s="439" t="s">
        <v>345</v>
      </c>
      <c r="R85" s="445" t="str">
        <f>CHOOSE(S85,"0402","0603","0805","1206","1210")</f>
        <v>1210</v>
      </c>
      <c r="S85" s="458">
        <v>5</v>
      </c>
    </row>
    <row r="86" spans="1:26">
      <c r="A86" s="110" t="s">
        <v>151</v>
      </c>
      <c r="B86" s="161">
        <f>Nps*(Vout+Vfwd1)/(VIN_max+Nps*(Vout+Vfwd1))*0+CHOOSE(MODE, 'Calculations - Single'!M316, 'Calculations - Dual'!N316)</f>
        <v>0.31352262000068609</v>
      </c>
      <c r="C86" s="7"/>
      <c r="E86" s="77"/>
      <c r="F86" s="7"/>
      <c r="G86" s="7"/>
      <c r="H86" s="7"/>
      <c r="I86" s="25"/>
    </row>
    <row r="87" spans="1:26">
      <c r="A87" s="76"/>
      <c r="B87" s="7"/>
      <c r="C87" s="7"/>
      <c r="D87" s="7"/>
      <c r="E87" s="77"/>
      <c r="F87" s="7"/>
      <c r="G87" s="7"/>
      <c r="H87" s="7"/>
      <c r="I87" s="25"/>
      <c r="T87" s="3" t="s">
        <v>116</v>
      </c>
      <c r="U87" s="3" t="s">
        <v>634</v>
      </c>
      <c r="W87" s="3" t="s">
        <v>633</v>
      </c>
      <c r="X87" s="3"/>
      <c r="Y87" s="3" t="s">
        <v>116</v>
      </c>
      <c r="Z87" s="3" t="s">
        <v>634</v>
      </c>
    </row>
    <row r="88" spans="1:26">
      <c r="A88" s="110" t="s">
        <v>832</v>
      </c>
      <c r="B88" s="784">
        <f>MIN(0.667*VIN_nom/Vout, 1.857*VIN_min/Vout*1+0*3.33*VIN_min/Vout)</f>
        <v>0.66700000000000015</v>
      </c>
      <c r="C88" s="77"/>
      <c r="D88" s="77" t="s">
        <v>834</v>
      </c>
      <c r="F88" s="7"/>
      <c r="G88" s="7"/>
      <c r="H88" s="7"/>
      <c r="I88" s="25"/>
      <c r="R88" s="3" t="s">
        <v>633</v>
      </c>
      <c r="S88" s="3"/>
      <c r="T88" s="474" t="s">
        <v>621</v>
      </c>
      <c r="U88" s="460">
        <v>36</v>
      </c>
      <c r="W88" s="76" t="s">
        <v>639</v>
      </c>
      <c r="X88" s="368">
        <v>1</v>
      </c>
      <c r="Y88" s="76" t="s">
        <v>351</v>
      </c>
      <c r="Z88">
        <v>1.3</v>
      </c>
    </row>
    <row r="89" spans="1:26">
      <c r="A89" s="110"/>
      <c r="B89" s="629"/>
      <c r="C89" s="7"/>
      <c r="D89" s="77"/>
      <c r="F89" s="7"/>
      <c r="G89" s="7"/>
      <c r="H89" s="7"/>
      <c r="I89" s="25"/>
      <c r="R89" s="76" t="s">
        <v>348</v>
      </c>
      <c r="S89" s="368">
        <v>1</v>
      </c>
      <c r="T89" s="474" t="s">
        <v>620</v>
      </c>
      <c r="U89" s="460">
        <v>49</v>
      </c>
      <c r="W89" s="76" t="s">
        <v>630</v>
      </c>
      <c r="X89" s="368">
        <v>2</v>
      </c>
      <c r="Y89" s="76" t="s">
        <v>638</v>
      </c>
      <c r="Z89">
        <v>3.2</v>
      </c>
    </row>
    <row r="90" spans="1:26">
      <c r="A90" s="110"/>
      <c r="B90" s="629"/>
      <c r="C90" s="77"/>
      <c r="D90" s="77"/>
      <c r="F90" s="7"/>
      <c r="G90" s="7"/>
      <c r="H90" s="7"/>
      <c r="I90" s="25"/>
      <c r="R90" s="76" t="s">
        <v>349</v>
      </c>
      <c r="S90" s="368">
        <v>2</v>
      </c>
      <c r="T90" s="474" t="s">
        <v>619</v>
      </c>
      <c r="U90" s="460">
        <v>64</v>
      </c>
      <c r="W90" s="76" t="s">
        <v>631</v>
      </c>
      <c r="X90" s="368">
        <v>3</v>
      </c>
      <c r="Y90" s="76" t="s">
        <v>637</v>
      </c>
      <c r="Z90">
        <v>6.5</v>
      </c>
    </row>
    <row r="91" spans="1:26" ht="12.5">
      <c r="A91" s="76"/>
      <c r="B91" s="11"/>
      <c r="C91"/>
      <c r="I91" s="25">
        <v>1</v>
      </c>
      <c r="R91" s="76" t="s">
        <v>611</v>
      </c>
      <c r="S91" s="368">
        <v>3</v>
      </c>
      <c r="T91" s="474" t="s">
        <v>618</v>
      </c>
      <c r="U91" s="460">
        <v>81</v>
      </c>
      <c r="W91" s="76" t="s">
        <v>632</v>
      </c>
      <c r="X91" s="368">
        <v>4</v>
      </c>
      <c r="Y91" s="76" t="s">
        <v>636</v>
      </c>
      <c r="Z91">
        <v>12.5</v>
      </c>
    </row>
    <row r="92" spans="1:26">
      <c r="A92" s="111" t="s">
        <v>850</v>
      </c>
      <c r="B92" s="630">
        <f>VIN_max+Nps*(Vout+Vfwd2)*1.5</f>
        <v>60.712350000000001</v>
      </c>
      <c r="C92" s="77"/>
      <c r="D92" s="77"/>
      <c r="E92" s="77"/>
      <c r="F92" s="7"/>
      <c r="G92" s="7"/>
      <c r="H92" s="7"/>
      <c r="I92" s="25"/>
      <c r="R92" s="76" t="s">
        <v>612</v>
      </c>
      <c r="S92" s="368">
        <v>4</v>
      </c>
      <c r="T92" s="474" t="s">
        <v>617</v>
      </c>
      <c r="U92" s="460">
        <v>100</v>
      </c>
      <c r="W92" s="439" t="s">
        <v>635</v>
      </c>
    </row>
    <row r="93" spans="1:26">
      <c r="A93" s="111"/>
      <c r="B93" s="630"/>
      <c r="C93" s="7"/>
      <c r="D93" s="77">
        <f>Isw_min</f>
        <v>2.2222222222222223</v>
      </c>
      <c r="E93" s="77"/>
      <c r="F93" s="7"/>
      <c r="G93" s="7"/>
      <c r="H93" s="7"/>
      <c r="I93" s="25"/>
      <c r="R93" s="76" t="s">
        <v>613</v>
      </c>
      <c r="S93" s="368">
        <v>5</v>
      </c>
      <c r="T93" s="474" t="s">
        <v>616</v>
      </c>
      <c r="U93" s="460">
        <v>120</v>
      </c>
    </row>
    <row r="94" spans="1:26">
      <c r="A94" s="111"/>
      <c r="B94" s="630"/>
      <c r="C94" s="77"/>
      <c r="D94" s="77"/>
      <c r="E94" s="77"/>
      <c r="F94" s="7"/>
      <c r="G94" s="7"/>
      <c r="H94" s="7"/>
      <c r="I94" s="25"/>
      <c r="R94" s="76" t="s">
        <v>614</v>
      </c>
      <c r="S94" s="368">
        <v>6</v>
      </c>
      <c r="T94" s="474" t="s">
        <v>622</v>
      </c>
      <c r="U94" s="460">
        <v>143</v>
      </c>
    </row>
    <row r="95" spans="1:26" ht="15.5">
      <c r="A95" s="76"/>
      <c r="B95" s="7"/>
      <c r="C95" s="77"/>
      <c r="D95" s="7"/>
      <c r="E95" s="77"/>
      <c r="F95" s="7"/>
      <c r="G95" s="7"/>
      <c r="H95" s="7"/>
      <c r="I95" s="25"/>
      <c r="K95" s="76" t="s">
        <v>320</v>
      </c>
      <c r="R95" s="76" t="s">
        <v>615</v>
      </c>
      <c r="S95" s="368">
        <v>7</v>
      </c>
      <c r="T95" s="474" t="s">
        <v>955</v>
      </c>
      <c r="U95">
        <f>11*14</f>
        <v>154</v>
      </c>
    </row>
    <row r="96" spans="1:26">
      <c r="A96" s="110" t="s">
        <v>680</v>
      </c>
      <c r="B96" s="41">
        <f>'Design Converter'!L7/1000000</f>
        <v>1.0000000000000001E-5</v>
      </c>
      <c r="C96" s="7" t="s">
        <v>11</v>
      </c>
      <c r="D96" s="77" t="s">
        <v>452</v>
      </c>
      <c r="F96" s="7"/>
      <c r="G96" s="7"/>
      <c r="H96" s="7"/>
      <c r="I96" s="25"/>
      <c r="Q96" s="439" t="s">
        <v>453</v>
      </c>
      <c r="R96" s="76" t="s">
        <v>954</v>
      </c>
      <c r="S96" s="368">
        <v>8</v>
      </c>
      <c r="T96" s="474" t="s">
        <v>956</v>
      </c>
      <c r="U96">
        <f>23*17</f>
        <v>391</v>
      </c>
    </row>
    <row r="97" spans="1:17" ht="12.5">
      <c r="A97" s="110" t="s">
        <v>661</v>
      </c>
      <c r="B97" s="132">
        <f>'Design Converter'!L11</f>
        <v>400</v>
      </c>
      <c r="C97" s="7" t="s">
        <v>662</v>
      </c>
      <c r="D97" s="77"/>
      <c r="F97" s="7"/>
      <c r="G97" s="7"/>
      <c r="H97" s="7"/>
      <c r="I97" s="25"/>
    </row>
    <row r="98" spans="1:17" ht="12.5">
      <c r="A98" s="110" t="s">
        <v>826</v>
      </c>
      <c r="B98" s="41">
        <f>Lmag/(Nps)^2</f>
        <v>2.2477516863757027E-5</v>
      </c>
      <c r="C98" s="7" t="s">
        <v>11</v>
      </c>
      <c r="D98" s="77"/>
      <c r="F98" s="7"/>
      <c r="G98" s="7"/>
      <c r="H98" s="7"/>
      <c r="I98" s="25"/>
    </row>
    <row r="99" spans="1:17" ht="12.5">
      <c r="A99" s="110" t="s">
        <v>827</v>
      </c>
      <c r="B99" s="41">
        <f>Lmag/(Nps/Nsec1sec2)^2</f>
        <v>1.2609500477996435E-5</v>
      </c>
      <c r="C99" s="12" t="s">
        <v>11</v>
      </c>
      <c r="D99" s="77"/>
      <c r="F99" s="7"/>
      <c r="G99" s="7"/>
      <c r="H99" s="7"/>
      <c r="I99" s="25"/>
    </row>
    <row r="100" spans="1:17" ht="12.5">
      <c r="A100" s="110"/>
      <c r="B100" s="132"/>
      <c r="C100" s="7"/>
      <c r="D100" s="77"/>
      <c r="F100" s="7"/>
      <c r="G100" s="7"/>
      <c r="H100" s="7"/>
      <c r="I100" s="25"/>
    </row>
    <row r="101" spans="1:17" ht="12.5">
      <c r="A101" s="110" t="s">
        <v>385</v>
      </c>
      <c r="B101" s="10">
        <f>'Design Converter'!L8/1000</f>
        <v>0.03</v>
      </c>
      <c r="C101" s="113" t="s">
        <v>45</v>
      </c>
      <c r="D101" s="77" t="s">
        <v>450</v>
      </c>
      <c r="F101" s="7"/>
      <c r="G101" s="7"/>
      <c r="H101" s="7"/>
      <c r="I101" s="25"/>
    </row>
    <row r="102" spans="1:17" thickBot="1">
      <c r="A102" s="110" t="s">
        <v>448</v>
      </c>
      <c r="B102" s="10">
        <f>'Design Converter'!L9/1000</f>
        <v>0.03</v>
      </c>
      <c r="C102" s="113" t="s">
        <v>45</v>
      </c>
      <c r="D102" s="77" t="s">
        <v>451</v>
      </c>
      <c r="F102" s="7"/>
      <c r="G102" s="7"/>
      <c r="H102" s="7"/>
      <c r="I102" s="25">
        <v>2</v>
      </c>
    </row>
    <row r="103" spans="1:17" ht="12.5">
      <c r="A103" s="110" t="s">
        <v>449</v>
      </c>
      <c r="B103" s="10">
        <f>'Design Converter'!L10/1000</f>
        <v>5.0000000000000001E-3</v>
      </c>
      <c r="C103" s="113" t="s">
        <v>45</v>
      </c>
      <c r="D103" s="77" t="s">
        <v>540</v>
      </c>
      <c r="E103" s="77"/>
      <c r="F103" s="7"/>
      <c r="G103" s="7"/>
      <c r="H103" s="7"/>
      <c r="I103" s="25">
        <v>1</v>
      </c>
      <c r="K103" s="847" t="s">
        <v>880</v>
      </c>
      <c r="L103" s="738"/>
    </row>
    <row r="104" spans="1:17" ht="12.5">
      <c r="A104" s="110"/>
      <c r="B104" s="7"/>
      <c r="C104" s="7"/>
      <c r="D104" s="7"/>
      <c r="E104" s="7"/>
      <c r="F104" s="7"/>
      <c r="G104" s="7"/>
      <c r="H104" s="7"/>
      <c r="I104" s="25"/>
      <c r="K104" s="110" t="s">
        <v>644</v>
      </c>
      <c r="L104" s="848">
        <f>Vfwd1</f>
        <v>0.5</v>
      </c>
      <c r="Q104">
        <f>ktr_rcmd</f>
        <v>0.66700000000000015</v>
      </c>
    </row>
    <row r="105" spans="1:17" ht="15.75" customHeight="1">
      <c r="A105" s="77" t="s">
        <v>539</v>
      </c>
      <c r="B105" s="191">
        <v>100</v>
      </c>
      <c r="C105" s="111" t="s">
        <v>102</v>
      </c>
      <c r="D105" s="77"/>
      <c r="E105" s="7"/>
      <c r="F105" s="7"/>
      <c r="H105" s="7"/>
      <c r="I105" s="25"/>
      <c r="K105" s="110" t="s">
        <v>645</v>
      </c>
      <c r="L105" s="848">
        <f>Vfwd2</f>
        <v>0.7</v>
      </c>
      <c r="M105" s="76"/>
      <c r="Q105" t="str">
        <f>Nps</f>
        <v>0.667</v>
      </c>
    </row>
    <row r="106" spans="1:17" ht="13.5" thickBot="1">
      <c r="A106" s="110" t="s">
        <v>536</v>
      </c>
      <c r="B106" s="183">
        <f>Rdcr_pri*(1+0.0039*(B105-25))</f>
        <v>3.8774999999999997E-2</v>
      </c>
      <c r="C106" s="113" t="s">
        <v>45</v>
      </c>
      <c r="D106" s="7"/>
      <c r="H106" s="7"/>
      <c r="I106" s="25"/>
      <c r="K106" s="849" t="s">
        <v>881</v>
      </c>
      <c r="L106" s="750">
        <f>'Design Converter'!S31</f>
        <v>0.5</v>
      </c>
      <c r="M106" s="76"/>
    </row>
    <row r="107" spans="1:17">
      <c r="A107" s="110" t="s">
        <v>537</v>
      </c>
      <c r="B107" s="183">
        <f>Rdcr_sec*(1+0.0039*(B105-25))</f>
        <v>3.8774999999999997E-2</v>
      </c>
      <c r="C107" s="113" t="s">
        <v>45</v>
      </c>
      <c r="D107" s="7"/>
      <c r="H107" s="7"/>
      <c r="I107" s="25"/>
    </row>
    <row r="108" spans="1:17">
      <c r="A108" s="110" t="s">
        <v>538</v>
      </c>
      <c r="B108" s="183">
        <f>Rdcr_sec2*(1+0.0039*(B105-25))</f>
        <v>6.4625000000000004E-3</v>
      </c>
      <c r="C108" s="113" t="s">
        <v>45</v>
      </c>
      <c r="D108" s="7"/>
      <c r="H108" s="7"/>
      <c r="I108" s="25"/>
    </row>
    <row r="109" spans="1:17">
      <c r="A109" s="912" t="s">
        <v>957</v>
      </c>
      <c r="B109" s="911">
        <v>3.9999999999999998E-7</v>
      </c>
      <c r="C109" s="3" t="s">
        <v>51</v>
      </c>
      <c r="I109" s="25"/>
      <c r="K109" t="s">
        <v>883</v>
      </c>
    </row>
    <row r="110" spans="1:17">
      <c r="A110" s="441" t="s">
        <v>660</v>
      </c>
      <c r="B110" s="623">
        <f>(Vout+Vfwd1)*Nps*0.00000045/Isw_min*1000000*0+0.32*VIN_nom^2/Pin*0+MAX(2*(Vout+Vfwd2)^2*VIN_nom^2/(Pin*(Vout+Vfwd2+VIN_nom/ktr_rcmd)^2),B111)</f>
        <v>7.9527117747302301</v>
      </c>
      <c r="C110" s="3" t="s">
        <v>833</v>
      </c>
      <c r="I110" s="25"/>
      <c r="K110" t="s">
        <v>884</v>
      </c>
      <c r="L110">
        <f>MAX('Calculations - Single'!BM316,'Calculations - Single'!BM210,'Calculations - Single'!BM105)</f>
        <v>1.4957641296135862</v>
      </c>
    </row>
    <row r="111" spans="1:17">
      <c r="A111" s="913" t="s">
        <v>846</v>
      </c>
      <c r="B111" s="623">
        <f>(Vout+Vfwd1)*Nps*toff_max/(0.02/RCS/1000)</f>
        <v>2.9414699999999998</v>
      </c>
      <c r="C111" s="3" t="s">
        <v>833</v>
      </c>
      <c r="I111" s="25"/>
      <c r="K111" t="s">
        <v>885</v>
      </c>
      <c r="L111">
        <f>MAX('Calculations - Dual'!BK316,'Calculations - Dual'!BK210,'Calculations - Dual'!BK105)</f>
        <v>1.5160619283912928</v>
      </c>
    </row>
    <row r="112" spans="1:17">
      <c r="A112" t="s">
        <v>837</v>
      </c>
      <c r="B112" s="623">
        <f>MIN(350000,('Calculations - Single'!CQ210*VIN_min)^2/(2*Pin*Lmag))</f>
        <v>70171.859057894311</v>
      </c>
      <c r="C112" s="3" t="s">
        <v>8</v>
      </c>
      <c r="D112" s="76" t="s">
        <v>845</v>
      </c>
      <c r="I112" s="25"/>
      <c r="K112" t="s">
        <v>886</v>
      </c>
      <c r="L112">
        <f>CHOOSE(MODE,L110,L111)</f>
        <v>1.4957641296135862</v>
      </c>
    </row>
    <row r="113" spans="1:12">
      <c r="A113" t="s">
        <v>838</v>
      </c>
      <c r="B113" s="623">
        <f>VIN_min/Lmag*'Calculations - Single'!CQ210/B112*1.2</f>
        <v>9.9247682281308283</v>
      </c>
      <c r="C113" s="3" t="s">
        <v>1</v>
      </c>
      <c r="I113" s="25"/>
    </row>
    <row r="114" spans="1:12">
      <c r="A114" t="s">
        <v>839</v>
      </c>
      <c r="B114" s="183">
        <f>0.1/B113</f>
        <v>1.0075802044077901E-2</v>
      </c>
      <c r="C114" s="113" t="s">
        <v>45</v>
      </c>
      <c r="D114" t="s">
        <v>841</v>
      </c>
      <c r="I114" s="25"/>
    </row>
    <row r="115" spans="1:12">
      <c r="A115" t="s">
        <v>840</v>
      </c>
      <c r="B115" s="183">
        <f>0.02*Lmag/((Vout+Vfwd1)*0.00000045*Nps)</f>
        <v>2.7197285710886053E-2</v>
      </c>
      <c r="C115" s="113"/>
      <c r="D115" t="s">
        <v>842</v>
      </c>
      <c r="I115" s="25"/>
    </row>
    <row r="116" spans="1:12">
      <c r="B116" s="183"/>
      <c r="C116" s="113"/>
      <c r="I116" s="25"/>
    </row>
    <row r="117" spans="1:12" ht="13.5" thickBot="1">
      <c r="A117" s="165" t="s">
        <v>773</v>
      </c>
      <c r="B117" s="166">
        <f>Iout*((Vout+Parameters!B49)/VIN_min+1/'Variable Mgmt'!B24)*0+CHOOSE(MODE, 'Calculations - Single'!U210,'Calculations - Dual'!T210)*1.1</f>
        <v>9.514007495962554</v>
      </c>
      <c r="C117" s="29" t="s">
        <v>1</v>
      </c>
      <c r="D117" s="29"/>
      <c r="E117" s="29"/>
      <c r="F117" s="29"/>
      <c r="G117" s="29"/>
      <c r="H117" s="29"/>
      <c r="I117" s="30"/>
    </row>
    <row r="118" spans="1:12">
      <c r="A118" s="39" t="s">
        <v>774</v>
      </c>
      <c r="B118" s="727">
        <f>MIN(B114,B115)</f>
        <v>1.0075802044077901E-2</v>
      </c>
      <c r="C118" s="113" t="s">
        <v>45</v>
      </c>
      <c r="D118" s="7"/>
      <c r="E118" s="7"/>
      <c r="F118" s="7"/>
      <c r="G118" s="7"/>
      <c r="H118" s="7"/>
      <c r="I118" s="7"/>
    </row>
    <row r="120" spans="1:12" ht="16" thickBot="1">
      <c r="A120" s="50" t="s">
        <v>559</v>
      </c>
      <c r="B120" s="7"/>
      <c r="D120" s="39"/>
      <c r="E120" s="7"/>
      <c r="F120" s="7"/>
      <c r="G120" s="7"/>
      <c r="H120" s="7"/>
      <c r="I120" s="7"/>
    </row>
    <row r="121" spans="1:12" ht="12.5">
      <c r="A121" s="109" t="s">
        <v>164</v>
      </c>
      <c r="B121" s="419"/>
      <c r="C121" s="164" t="s">
        <v>1</v>
      </c>
      <c r="D121" s="79" t="s">
        <v>163</v>
      </c>
      <c r="E121" s="31"/>
      <c r="F121" s="31"/>
      <c r="G121" s="31"/>
      <c r="H121" s="31"/>
      <c r="I121" s="32"/>
      <c r="L121" s="5"/>
    </row>
    <row r="122" spans="1:12" ht="12.5">
      <c r="A122" s="110" t="s">
        <v>165</v>
      </c>
      <c r="B122" s="420"/>
      <c r="C122" s="111" t="s">
        <v>1</v>
      </c>
      <c r="D122" s="7"/>
      <c r="E122" s="77"/>
      <c r="F122" s="7"/>
      <c r="G122" s="7"/>
      <c r="H122" s="7"/>
      <c r="I122" s="25"/>
      <c r="L122" s="5"/>
    </row>
    <row r="123" spans="1:12" ht="12.5">
      <c r="A123" s="110" t="s">
        <v>166</v>
      </c>
      <c r="B123" s="420"/>
      <c r="C123" s="111" t="s">
        <v>1</v>
      </c>
      <c r="D123" s="7"/>
      <c r="E123" s="77"/>
      <c r="F123" s="7"/>
      <c r="G123" s="7"/>
      <c r="H123" s="7"/>
      <c r="I123" s="25"/>
      <c r="L123" s="5"/>
    </row>
    <row r="124" spans="1:12" ht="12.5">
      <c r="A124" s="110"/>
      <c r="B124" s="167"/>
      <c r="C124" s="111"/>
      <c r="D124" s="7"/>
      <c r="E124" s="77"/>
      <c r="F124" s="7"/>
      <c r="G124" s="7"/>
      <c r="H124" s="7"/>
      <c r="I124" s="25"/>
      <c r="L124" s="5"/>
    </row>
    <row r="125" spans="1:12" ht="12.5">
      <c r="A125" s="110" t="s">
        <v>174</v>
      </c>
      <c r="B125" s="549">
        <f>Vout_ripple</f>
        <v>240</v>
      </c>
      <c r="C125" s="111" t="s">
        <v>149</v>
      </c>
      <c r="D125" s="77" t="s">
        <v>594</v>
      </c>
      <c r="F125" s="7"/>
      <c r="G125" s="7"/>
      <c r="H125" s="7"/>
      <c r="I125" s="25"/>
      <c r="L125" s="5"/>
    </row>
    <row r="126" spans="1:12">
      <c r="A126" s="499" t="s">
        <v>12</v>
      </c>
      <c r="B126" s="192">
        <f>MAX(4.7, CHOOSE(MODE, 'Calculations - Single'!EE212, 'Calculations - Dual'!AW105))</f>
        <v>38.290000880134386</v>
      </c>
      <c r="C126" s="201" t="s">
        <v>97</v>
      </c>
      <c r="D126" s="77" t="s">
        <v>593</v>
      </c>
      <c r="E126" s="77"/>
      <c r="F126" s="7"/>
      <c r="G126" s="7"/>
      <c r="H126" s="7"/>
      <c r="I126" s="25"/>
    </row>
    <row r="127" spans="1:12" ht="12.5">
      <c r="A127" s="110" t="s">
        <v>14</v>
      </c>
      <c r="B127" s="591">
        <f>'Design Converter'!E34</f>
        <v>47</v>
      </c>
      <c r="C127" s="201" t="s">
        <v>97</v>
      </c>
      <c r="D127" s="77" t="s">
        <v>167</v>
      </c>
      <c r="F127" s="7"/>
      <c r="G127" s="7"/>
      <c r="H127" s="7"/>
      <c r="I127" s="25"/>
    </row>
    <row r="128" spans="1:12" ht="12.5">
      <c r="A128" s="200" t="s">
        <v>181</v>
      </c>
      <c r="B128" s="550">
        <f>(Vripple1_spec-Iout*B130/Cout*1000)/Iout</f>
        <v>194.80605803326387</v>
      </c>
      <c r="C128" s="113" t="s">
        <v>258</v>
      </c>
      <c r="D128" s="77" t="s">
        <v>107</v>
      </c>
      <c r="F128" s="7"/>
      <c r="G128" s="7"/>
      <c r="H128" s="7"/>
      <c r="I128" s="25"/>
    </row>
    <row r="129" spans="1:9" ht="12.5">
      <c r="A129" s="110" t="s">
        <v>54</v>
      </c>
      <c r="B129" s="193">
        <f>'Design Converter'!E35</f>
        <v>2</v>
      </c>
      <c r="C129" s="113" t="s">
        <v>258</v>
      </c>
      <c r="D129" s="77" t="s">
        <v>108</v>
      </c>
      <c r="F129" s="7"/>
      <c r="G129" s="7"/>
      <c r="H129" s="7"/>
      <c r="I129" s="25"/>
    </row>
    <row r="130" spans="1:9" ht="12.5">
      <c r="A130" s="110" t="s">
        <v>438</v>
      </c>
      <c r="B130" s="192">
        <f>CHOOSE(MODE, 'Calculations - Single'!AT105, 'Calculations - Dual'!AR105)</f>
        <v>2.1241152724365979</v>
      </c>
      <c r="C130" s="201" t="s">
        <v>247</v>
      </c>
      <c r="D130" s="77"/>
      <c r="F130" s="7"/>
      <c r="G130" s="7"/>
      <c r="H130" s="7"/>
      <c r="I130" s="25"/>
    </row>
    <row r="131" spans="1:9">
      <c r="A131" s="34" t="s">
        <v>437</v>
      </c>
      <c r="B131" s="588">
        <f>Iout*B130/Cout*1000+Iout*CoutEsr</f>
        <v>47.193941966736126</v>
      </c>
      <c r="C131" s="77" t="s">
        <v>443</v>
      </c>
      <c r="D131" s="77" t="s">
        <v>596</v>
      </c>
      <c r="F131" s="7"/>
      <c r="G131" s="7"/>
      <c r="H131" s="445" t="s">
        <v>562</v>
      </c>
      <c r="I131" s="25"/>
    </row>
    <row r="132" spans="1:9">
      <c r="A132" s="34"/>
      <c r="B132" s="192"/>
      <c r="C132" s="77"/>
      <c r="D132" s="77"/>
      <c r="F132" s="7"/>
      <c r="G132" s="7"/>
      <c r="H132" s="7"/>
      <c r="I132" s="25"/>
    </row>
    <row r="133" spans="1:9">
      <c r="A133" s="34"/>
      <c r="B133" s="192"/>
      <c r="C133" s="77"/>
      <c r="D133" s="77"/>
      <c r="F133" s="7"/>
      <c r="G133" s="7"/>
      <c r="H133" s="7"/>
      <c r="I133" s="25"/>
    </row>
    <row r="134" spans="1:9" ht="15.5">
      <c r="A134" s="634" t="s">
        <v>560</v>
      </c>
      <c r="B134" s="192"/>
      <c r="C134" s="201"/>
      <c r="D134" s="77"/>
      <c r="F134" s="7"/>
      <c r="G134" s="7"/>
      <c r="H134" s="7"/>
      <c r="I134" s="25"/>
    </row>
    <row r="135" spans="1:9" ht="12.5">
      <c r="A135" s="110" t="s">
        <v>541</v>
      </c>
      <c r="B135" s="549">
        <f>Vout_ripple2</f>
        <v>180</v>
      </c>
      <c r="C135" s="111" t="s">
        <v>149</v>
      </c>
      <c r="D135" s="77" t="s">
        <v>597</v>
      </c>
      <c r="F135" s="7"/>
      <c r="G135" s="7"/>
      <c r="H135" s="7"/>
      <c r="I135" s="25"/>
    </row>
    <row r="136" spans="1:9">
      <c r="A136" s="499" t="s">
        <v>543</v>
      </c>
      <c r="B136" s="192">
        <f>MAX(4.7, 'Calculations - Dual'!AX105)</f>
        <v>4.7</v>
      </c>
      <c r="C136" s="201" t="s">
        <v>97</v>
      </c>
      <c r="D136" s="77" t="s">
        <v>593</v>
      </c>
      <c r="F136" s="7"/>
      <c r="G136" s="7"/>
      <c r="H136" s="7"/>
      <c r="I136" s="25"/>
    </row>
    <row r="137" spans="1:9" ht="12.5">
      <c r="A137" s="110" t="s">
        <v>542</v>
      </c>
      <c r="B137" s="591">
        <f>MAX(4.7,'Design Converter'!L34)</f>
        <v>55</v>
      </c>
      <c r="C137" s="201" t="s">
        <v>97</v>
      </c>
      <c r="D137" s="77" t="s">
        <v>167</v>
      </c>
      <c r="F137" s="7"/>
      <c r="G137" s="7"/>
      <c r="H137" s="7"/>
      <c r="I137" s="25"/>
    </row>
    <row r="138" spans="1:9">
      <c r="A138" s="200" t="s">
        <v>544</v>
      </c>
      <c r="B138" s="550">
        <f>(Vout_ripple2-Iout2*B140/Cout2*1000)/Iout2</f>
        <v>1697.5225865233363</v>
      </c>
      <c r="C138" s="113" t="s">
        <v>258</v>
      </c>
      <c r="D138" s="77" t="s">
        <v>107</v>
      </c>
      <c r="F138" s="7"/>
      <c r="G138" s="7"/>
      <c r="H138" s="445" t="s">
        <v>561</v>
      </c>
      <c r="I138" s="25"/>
    </row>
    <row r="139" spans="1:9" ht="12.5">
      <c r="A139" s="110" t="s">
        <v>545</v>
      </c>
      <c r="B139" s="193">
        <f>'Design Converter'!L35</f>
        <v>8</v>
      </c>
      <c r="C139" s="113" t="s">
        <v>258</v>
      </c>
      <c r="D139" s="77" t="s">
        <v>108</v>
      </c>
      <c r="F139" s="7"/>
      <c r="G139" s="7"/>
      <c r="I139" s="25"/>
    </row>
    <row r="140" spans="1:9">
      <c r="A140" s="110" t="s">
        <v>438</v>
      </c>
      <c r="B140" s="192">
        <f>'Calculations - Dual'!AR105</f>
        <v>5.6362577412165082</v>
      </c>
      <c r="C140" s="201" t="s">
        <v>247</v>
      </c>
      <c r="D140" s="77"/>
      <c r="F140" s="7"/>
      <c r="G140" s="7"/>
      <c r="H140" s="445" t="s">
        <v>561</v>
      </c>
      <c r="I140" s="25"/>
    </row>
    <row r="141" spans="1:9">
      <c r="A141" s="34" t="s">
        <v>437</v>
      </c>
      <c r="B141" s="588">
        <f>Iout2*B140/Cout2*1000+Iout2*CoutEsr2</f>
        <v>11.047741347666378</v>
      </c>
      <c r="C141" s="77" t="s">
        <v>443</v>
      </c>
      <c r="D141" s="77" t="s">
        <v>595</v>
      </c>
      <c r="F141" s="7"/>
      <c r="G141" s="7"/>
      <c r="H141" s="7"/>
      <c r="I141" s="25"/>
    </row>
    <row r="142" spans="1:9">
      <c r="A142" s="39"/>
      <c r="B142" s="192"/>
      <c r="C142" s="77"/>
      <c r="D142" s="77"/>
      <c r="F142" s="7"/>
      <c r="G142" s="7"/>
      <c r="H142" s="7"/>
      <c r="I142" s="25"/>
    </row>
    <row r="143" spans="1:9" thickBot="1">
      <c r="A143" s="29"/>
      <c r="B143" s="29"/>
      <c r="C143" s="29"/>
      <c r="D143" s="29"/>
      <c r="E143" s="29"/>
      <c r="F143" s="29"/>
      <c r="G143" s="29"/>
      <c r="H143" s="29"/>
      <c r="I143" s="30"/>
    </row>
    <row r="145" spans="1:9" ht="13.5" thickBot="1">
      <c r="A145" s="7"/>
      <c r="B145" s="7"/>
      <c r="C145" s="39"/>
      <c r="D145" s="7"/>
      <c r="E145" s="7"/>
      <c r="F145" s="7"/>
      <c r="G145" s="7"/>
      <c r="H145" s="7"/>
      <c r="I145" s="7"/>
    </row>
    <row r="146" spans="1:9" ht="15.5">
      <c r="A146" s="61" t="s">
        <v>55</v>
      </c>
      <c r="B146" s="62"/>
      <c r="C146" s="168"/>
      <c r="D146" s="62"/>
      <c r="E146" s="62"/>
      <c r="F146" s="62"/>
      <c r="G146" s="62"/>
      <c r="H146" s="62"/>
      <c r="I146" s="63"/>
    </row>
    <row r="147" spans="1:9" ht="12.5">
      <c r="A147" s="552" t="s">
        <v>507</v>
      </c>
      <c r="B147" s="555">
        <f>0.05*VIN_nom</f>
        <v>1.2000000000000002</v>
      </c>
      <c r="C147" s="111" t="s">
        <v>444</v>
      </c>
      <c r="D147" s="76" t="s">
        <v>439</v>
      </c>
      <c r="E147" s="7"/>
      <c r="F147" s="7"/>
      <c r="G147" s="7"/>
      <c r="H147" s="7"/>
      <c r="I147" s="65"/>
    </row>
    <row r="148" spans="1:9" ht="12.5">
      <c r="A148" s="64"/>
      <c r="B148" s="12"/>
      <c r="C148" s="60"/>
      <c r="E148" s="7"/>
      <c r="F148" s="7"/>
      <c r="G148" s="7"/>
      <c r="H148" s="7"/>
      <c r="I148" s="65"/>
    </row>
    <row r="149" spans="1:9" ht="12.5">
      <c r="A149" s="66" t="s">
        <v>58</v>
      </c>
      <c r="B149" s="421"/>
      <c r="C149" s="201" t="s">
        <v>30</v>
      </c>
      <c r="E149" s="7"/>
      <c r="F149" s="7"/>
      <c r="G149" s="7"/>
      <c r="H149" s="7"/>
      <c r="I149" s="65"/>
    </row>
    <row r="150" spans="1:9" ht="12.5">
      <c r="A150" s="66" t="s">
        <v>98</v>
      </c>
      <c r="B150" s="185">
        <f>'Calculations - Single'!BB105</f>
        <v>2.7621499544841077</v>
      </c>
      <c r="C150" s="201" t="s">
        <v>97</v>
      </c>
      <c r="E150" s="7"/>
      <c r="F150" s="7"/>
      <c r="G150" s="7"/>
      <c r="H150" s="7"/>
      <c r="I150" s="65"/>
    </row>
    <row r="151" spans="1:9" ht="12.5">
      <c r="A151" s="200" t="s">
        <v>180</v>
      </c>
      <c r="B151" s="597">
        <f>MAX(2.2,Cinmin)</f>
        <v>2.7621499544841077</v>
      </c>
      <c r="C151" s="201" t="s">
        <v>97</v>
      </c>
      <c r="E151" s="7"/>
      <c r="F151" s="7"/>
      <c r="G151" s="7"/>
      <c r="H151" s="7"/>
      <c r="I151" s="65"/>
    </row>
    <row r="152" spans="1:9" ht="12.5">
      <c r="A152" s="66" t="s">
        <v>28</v>
      </c>
      <c r="B152" s="553">
        <f>'Design Converter'!E30</f>
        <v>10</v>
      </c>
      <c r="C152" s="201" t="s">
        <v>97</v>
      </c>
      <c r="D152" s="7" t="s">
        <v>60</v>
      </c>
      <c r="F152" s="7"/>
      <c r="G152" s="7"/>
      <c r="H152" s="7"/>
      <c r="I152" s="65"/>
    </row>
    <row r="153" spans="1:9" ht="12.5">
      <c r="A153" s="66"/>
      <c r="B153" s="551"/>
      <c r="C153" s="58"/>
      <c r="D153" s="7"/>
      <c r="F153" s="7"/>
      <c r="G153" s="7"/>
      <c r="H153" s="7"/>
      <c r="I153" s="65"/>
    </row>
    <row r="154" spans="1:9" ht="12.5">
      <c r="A154" s="67" t="s">
        <v>99</v>
      </c>
      <c r="B154" s="420">
        <f>(Vinripple1-B157*B159/Cin)/B158</f>
        <v>0.17214583985693427</v>
      </c>
      <c r="C154" s="113" t="s">
        <v>45</v>
      </c>
      <c r="D154" s="7"/>
      <c r="F154" s="7"/>
      <c r="G154" s="7"/>
      <c r="H154" s="7"/>
      <c r="I154" s="65"/>
    </row>
    <row r="155" spans="1:9" ht="12.5">
      <c r="A155" s="66" t="s">
        <v>37</v>
      </c>
      <c r="B155" s="59">
        <f>'Design Converter'!E31/1000</f>
        <v>3.0000000000000001E-3</v>
      </c>
      <c r="C155" s="113" t="s">
        <v>45</v>
      </c>
      <c r="D155" s="77" t="s">
        <v>109</v>
      </c>
      <c r="F155" s="7"/>
      <c r="G155" s="7"/>
      <c r="H155" s="7"/>
      <c r="I155" s="65"/>
    </row>
    <row r="156" spans="1:9">
      <c r="A156" s="200" t="s">
        <v>182</v>
      </c>
      <c r="B156" s="369">
        <f>'Design Converter'!E31</f>
        <v>3</v>
      </c>
      <c r="C156" s="17" t="s">
        <v>161</v>
      </c>
      <c r="D156" s="77"/>
      <c r="F156" s="7"/>
      <c r="G156" s="7"/>
      <c r="H156" s="7"/>
      <c r="I156" s="65"/>
    </row>
    <row r="157" spans="1:9" ht="12.5">
      <c r="A157" s="200" t="s">
        <v>441</v>
      </c>
      <c r="B157" s="426">
        <f>Vout*Iout/VIN_nom/Efficiency</f>
        <v>1</v>
      </c>
      <c r="C157" s="77" t="s">
        <v>1</v>
      </c>
      <c r="D157" s="77"/>
      <c r="F157" s="7"/>
      <c r="G157" s="7"/>
      <c r="H157" s="7"/>
      <c r="I157" s="65"/>
    </row>
    <row r="158" spans="1:9" ht="12.5">
      <c r="A158" s="200" t="s">
        <v>445</v>
      </c>
      <c r="B158" s="426">
        <f>CHOOSE(MODE, 'Calculations - Single'!AJ105, 'Calculations - Dual'!$AI$105)</f>
        <v>5.0597754793977003</v>
      </c>
      <c r="C158" s="77" t="s">
        <v>1</v>
      </c>
      <c r="D158" s="77"/>
      <c r="F158" s="7"/>
      <c r="G158" s="7"/>
      <c r="H158" s="7"/>
      <c r="I158" s="65"/>
    </row>
    <row r="159" spans="1:9" ht="12.5">
      <c r="A159" s="200" t="s">
        <v>442</v>
      </c>
      <c r="B159" s="426">
        <f>CHOOSE(MODE, 'Calculations - Single'!AU105, 'Calculations - Dual'!$AT$105)</f>
        <v>3.2898070061156077</v>
      </c>
      <c r="C159" s="201" t="s">
        <v>247</v>
      </c>
      <c r="D159" s="77"/>
      <c r="F159" s="7"/>
      <c r="G159" s="7"/>
      <c r="H159" s="7"/>
      <c r="I159" s="65"/>
    </row>
    <row r="160" spans="1:9" ht="12.5">
      <c r="A160" s="200" t="s">
        <v>440</v>
      </c>
      <c r="B160" s="185">
        <f>B157*B159/Cin+B158*RCinEsr</f>
        <v>0.34416002704975385</v>
      </c>
      <c r="C160" s="201" t="s">
        <v>444</v>
      </c>
      <c r="D160" s="76" t="s">
        <v>446</v>
      </c>
      <c r="E160" s="554"/>
      <c r="F160" s="201"/>
      <c r="G160" s="7"/>
      <c r="H160" s="7"/>
      <c r="I160" s="65"/>
    </row>
    <row r="161" spans="1:9" thickBot="1">
      <c r="A161" s="68"/>
      <c r="B161" s="69"/>
      <c r="C161" s="69"/>
      <c r="D161" s="69"/>
      <c r="E161" s="70"/>
      <c r="F161" s="70"/>
      <c r="G161" s="70"/>
      <c r="H161" s="70"/>
      <c r="I161" s="71"/>
    </row>
    <row r="162" spans="1:9">
      <c r="A162" s="7"/>
      <c r="B162" s="7"/>
      <c r="C162" s="39"/>
      <c r="D162" s="7"/>
      <c r="E162" s="7"/>
      <c r="F162" s="7"/>
      <c r="G162" s="7"/>
      <c r="H162" s="7"/>
      <c r="I162" s="7"/>
    </row>
    <row r="163" spans="1:9" ht="16" thickBot="1">
      <c r="A163" s="50" t="s">
        <v>62</v>
      </c>
      <c r="B163" s="7"/>
      <c r="C163" s="39"/>
      <c r="D163" s="7"/>
      <c r="E163" s="7"/>
      <c r="F163" s="7"/>
      <c r="G163" s="7"/>
      <c r="H163" s="7"/>
      <c r="I163" s="7"/>
    </row>
    <row r="164" spans="1:9" ht="12.5">
      <c r="A164" s="52" t="s">
        <v>64</v>
      </c>
      <c r="B164" s="9">
        <f>'Design Converter'!E42/1000</f>
        <v>0.02</v>
      </c>
      <c r="C164" s="31" t="s">
        <v>51</v>
      </c>
      <c r="D164" s="79" t="s">
        <v>176</v>
      </c>
      <c r="E164" s="31"/>
      <c r="F164" s="31"/>
      <c r="G164" s="31"/>
      <c r="H164" s="31"/>
      <c r="I164" s="32"/>
    </row>
    <row r="165" spans="1:9" ht="12.5">
      <c r="A165" s="24" t="s">
        <v>65</v>
      </c>
      <c r="B165" s="195">
        <v>5.0000000000000004E-6</v>
      </c>
      <c r="C165" s="7" t="s">
        <v>1</v>
      </c>
      <c r="D165" s="77" t="s">
        <v>306</v>
      </c>
      <c r="E165" s="7"/>
      <c r="F165" s="7"/>
      <c r="G165" s="7"/>
      <c r="H165" s="7"/>
      <c r="I165" s="25"/>
    </row>
    <row r="166" spans="1:9" ht="12.5">
      <c r="A166" s="24" t="s">
        <v>66</v>
      </c>
      <c r="B166" s="195">
        <f>0.000005*Tss/1</f>
        <v>1.0000000000000001E-7</v>
      </c>
      <c r="C166" s="7" t="s">
        <v>13</v>
      </c>
      <c r="D166" s="77" t="s">
        <v>308</v>
      </c>
      <c r="E166" s="7"/>
      <c r="F166" s="7"/>
      <c r="G166" s="7"/>
      <c r="H166" s="7"/>
      <c r="I166" s="25"/>
    </row>
    <row r="167" spans="1:9" thickBot="1">
      <c r="A167" s="28" t="s">
        <v>72</v>
      </c>
      <c r="B167" s="196">
        <f>'Standard Value Calculator'!B4</f>
        <v>9.9999999999999995E-8</v>
      </c>
      <c r="C167" s="29" t="s">
        <v>13</v>
      </c>
      <c r="D167" s="80" t="s">
        <v>309</v>
      </c>
      <c r="E167" s="29"/>
      <c r="F167" s="29"/>
      <c r="G167" s="29"/>
      <c r="H167" s="29"/>
      <c r="I167" s="30"/>
    </row>
    <row r="169" spans="1:9" ht="16" thickBot="1">
      <c r="A169" s="50" t="s">
        <v>556</v>
      </c>
      <c r="B169" s="7"/>
      <c r="C169" s="39"/>
      <c r="D169" s="7"/>
      <c r="E169" s="7"/>
      <c r="F169" s="7"/>
      <c r="G169" s="7"/>
      <c r="H169" s="7"/>
      <c r="I169" s="7"/>
    </row>
    <row r="170" spans="1:9" ht="12.75" customHeight="1">
      <c r="A170" s="109"/>
      <c r="B170" s="53"/>
      <c r="C170" s="155"/>
      <c r="D170" s="79"/>
      <c r="E170" s="31"/>
      <c r="F170" s="31"/>
      <c r="G170" s="31"/>
      <c r="H170" s="31"/>
      <c r="I170" s="32"/>
    </row>
    <row r="171" spans="1:9" ht="12.75" customHeight="1">
      <c r="A171" s="110" t="s">
        <v>111</v>
      </c>
      <c r="B171" s="186">
        <v>1.5</v>
      </c>
      <c r="C171" s="77" t="s">
        <v>0</v>
      </c>
      <c r="D171" s="77"/>
      <c r="E171" s="7"/>
      <c r="F171" s="7"/>
      <c r="G171" s="7"/>
      <c r="H171" s="7"/>
      <c r="I171" s="25"/>
    </row>
    <row r="172" spans="1:9" ht="12.75" customHeight="1">
      <c r="A172" s="110" t="s">
        <v>112</v>
      </c>
      <c r="B172" s="186">
        <v>1.45</v>
      </c>
      <c r="C172" s="77" t="s">
        <v>0</v>
      </c>
      <c r="D172" s="77"/>
      <c r="E172" s="7"/>
      <c r="F172" s="7"/>
      <c r="G172" s="7"/>
      <c r="H172" s="7"/>
      <c r="I172" s="25"/>
    </row>
    <row r="173" spans="1:9" ht="12.75" customHeight="1">
      <c r="A173" s="110" t="s">
        <v>148</v>
      </c>
      <c r="B173" s="37">
        <f>B171-B172</f>
        <v>5.0000000000000044E-2</v>
      </c>
      <c r="C173" s="77" t="s">
        <v>0</v>
      </c>
      <c r="D173" s="77"/>
      <c r="E173" s="7"/>
      <c r="F173" s="7"/>
      <c r="G173" s="7"/>
      <c r="H173" s="7"/>
      <c r="I173" s="25"/>
    </row>
    <row r="174" spans="1:9" ht="12.75" customHeight="1">
      <c r="A174" s="110" t="s">
        <v>373</v>
      </c>
      <c r="B174" s="7">
        <v>0</v>
      </c>
      <c r="C174" s="111" t="s">
        <v>1</v>
      </c>
      <c r="D174" s="77"/>
      <c r="E174" s="7"/>
      <c r="F174" s="7"/>
      <c r="G174" s="7"/>
      <c r="H174" s="7"/>
      <c r="I174" s="25"/>
    </row>
    <row r="175" spans="1:9" ht="12.75" customHeight="1">
      <c r="A175" s="110" t="s">
        <v>372</v>
      </c>
      <c r="B175" s="519">
        <v>5.0000000000000001E-3</v>
      </c>
      <c r="C175" s="111" t="s">
        <v>30</v>
      </c>
      <c r="D175" s="77"/>
      <c r="E175" s="7"/>
      <c r="F175" s="7"/>
      <c r="G175" s="7"/>
      <c r="H175" s="7"/>
      <c r="I175" s="25"/>
    </row>
    <row r="176" spans="1:9" ht="12.75" customHeight="1">
      <c r="A176" s="110" t="s">
        <v>371</v>
      </c>
      <c r="B176" s="520">
        <f>Iuvlo2-Iuvlo1</f>
        <v>5.0000000000000001E-3</v>
      </c>
      <c r="C176" s="111" t="s">
        <v>30</v>
      </c>
      <c r="D176" s="77"/>
      <c r="F176" s="7"/>
      <c r="G176" s="7"/>
      <c r="H176" s="7"/>
      <c r="I176" s="25"/>
    </row>
    <row r="177" spans="1:9" ht="12.75" customHeight="1">
      <c r="A177" s="110"/>
      <c r="B177" s="37"/>
      <c r="C177" s="377"/>
      <c r="D177" s="77"/>
      <c r="E177" s="7"/>
      <c r="F177" s="7"/>
      <c r="G177" s="7"/>
      <c r="H177" s="7"/>
      <c r="I177" s="25"/>
    </row>
    <row r="178" spans="1:9" ht="12.75" customHeight="1">
      <c r="A178" s="110" t="s">
        <v>110</v>
      </c>
      <c r="B178" s="184">
        <f>'Design Converter'!E48</f>
        <v>8</v>
      </c>
      <c r="C178" s="111" t="s">
        <v>0</v>
      </c>
      <c r="E178" s="7"/>
      <c r="F178" s="7"/>
      <c r="G178" s="7"/>
      <c r="H178" s="7"/>
      <c r="I178" s="25"/>
    </row>
    <row r="179" spans="1:9" ht="12.75" customHeight="1">
      <c r="A179" s="110" t="s">
        <v>294</v>
      </c>
      <c r="B179" s="184">
        <f>'Design Converter'!E49</f>
        <v>6</v>
      </c>
      <c r="C179" s="111" t="s">
        <v>0</v>
      </c>
      <c r="E179" s="7"/>
      <c r="F179" s="7"/>
      <c r="G179" s="7"/>
      <c r="H179" s="7"/>
      <c r="I179" s="25"/>
    </row>
    <row r="180" spans="1:9" ht="12.75" customHeight="1">
      <c r="A180" s="110"/>
      <c r="B180" s="37"/>
      <c r="C180" s="111"/>
      <c r="E180" s="7"/>
      <c r="F180" s="7"/>
      <c r="G180" s="7"/>
      <c r="H180" s="7"/>
      <c r="I180" s="25"/>
    </row>
    <row r="181" spans="1:9" ht="12.75" customHeight="1">
      <c r="A181" s="110" t="s">
        <v>126</v>
      </c>
      <c r="B181" s="589">
        <f>(VINuvlo_off-VINuvlo_on*Vuvlo_off/Vuvlo_on)/(Iuvlo1*Vuvlo_off/Vuvlo_on-Iuvlo2)</f>
        <v>346.66666666666669</v>
      </c>
      <c r="C181" s="17" t="s">
        <v>113</v>
      </c>
      <c r="D181" s="7">
        <f>'Standard Value Calculator'!J16</f>
        <v>348</v>
      </c>
      <c r="E181" s="17" t="s">
        <v>113</v>
      </c>
      <c r="F181" s="37">
        <f>IF(Ruvlo1&lt;0,"N/A",D181)</f>
        <v>348</v>
      </c>
      <c r="G181" s="37" t="str">
        <f>IF(Ruvlo1&lt;0,"N/A",D181&amp;"kΩ")</f>
        <v>348kΩ</v>
      </c>
      <c r="I181" s="25"/>
    </row>
    <row r="182" spans="1:9" ht="12.75" customHeight="1">
      <c r="A182" s="110" t="s">
        <v>127</v>
      </c>
      <c r="B182" s="187">
        <f>D181*Vuvlo_on/(VINuvlo_on-Vuvlo_on+Ruvlo1*Iuvlo1)</f>
        <v>80.307692307692307</v>
      </c>
      <c r="C182" s="17" t="s">
        <v>113</v>
      </c>
      <c r="D182" s="7">
        <f>'Standard Value Calculator'!J17</f>
        <v>80.600000000000009</v>
      </c>
      <c r="E182" s="17" t="s">
        <v>113</v>
      </c>
      <c r="F182" s="37">
        <f>IF(F181="N/A","N/A",D182)</f>
        <v>80.600000000000009</v>
      </c>
      <c r="G182" s="37" t="str">
        <f>IF(G181="N/A","N/A",D182&amp;"kΩ")</f>
        <v>80.6kΩ</v>
      </c>
      <c r="I182" s="25"/>
    </row>
    <row r="183" spans="1:9" ht="12.75" customHeight="1">
      <c r="A183" s="110"/>
      <c r="B183" s="112"/>
      <c r="C183" s="17"/>
      <c r="D183" s="37"/>
      <c r="E183" s="17"/>
      <c r="F183" s="37"/>
      <c r="G183" s="37"/>
      <c r="I183" s="25"/>
    </row>
    <row r="184" spans="1:9" ht="12.75" customHeight="1">
      <c r="A184" s="110" t="s">
        <v>114</v>
      </c>
      <c r="B184" s="590">
        <f>(D181+D182)/D182*Vuvlo_on</f>
        <v>7.9764267990074433</v>
      </c>
      <c r="C184" s="3" t="s">
        <v>0</v>
      </c>
      <c r="E184" s="7"/>
      <c r="F184" s="17"/>
      <c r="G184" s="7"/>
      <c r="H184" s="7"/>
      <c r="I184" s="25"/>
    </row>
    <row r="185" spans="1:9" ht="12.75" customHeight="1">
      <c r="A185" s="110" t="s">
        <v>115</v>
      </c>
      <c r="B185" s="590">
        <f>(D181+D182)/D182*Vuvlo_off-Iuvlo2*D181</f>
        <v>5.970545905707195</v>
      </c>
      <c r="C185" s="3" t="s">
        <v>0</v>
      </c>
      <c r="E185" s="7"/>
      <c r="F185" s="17"/>
      <c r="G185" s="7"/>
      <c r="H185" s="7"/>
      <c r="I185" s="25"/>
    </row>
    <row r="186" spans="1:9" ht="12.75" customHeight="1" thickBot="1">
      <c r="A186" s="28"/>
      <c r="B186" s="38"/>
      <c r="C186" s="156"/>
      <c r="D186" s="29"/>
      <c r="E186" s="29"/>
      <c r="F186" s="29"/>
      <c r="G186" s="29"/>
      <c r="H186" s="29"/>
      <c r="I186" s="30"/>
    </row>
    <row r="187" spans="1:9">
      <c r="B187" s="16"/>
      <c r="C187" s="157"/>
    </row>
    <row r="188" spans="1:9" ht="16" thickBot="1">
      <c r="A188" s="50" t="s">
        <v>518</v>
      </c>
      <c r="B188" s="7"/>
      <c r="C188" s="39"/>
      <c r="D188" s="7"/>
      <c r="E188" s="7"/>
      <c r="F188" s="7"/>
      <c r="G188" s="7"/>
      <c r="H188" s="7"/>
      <c r="I188" s="7"/>
    </row>
    <row r="189" spans="1:9">
      <c r="A189" s="175" t="s">
        <v>16</v>
      </c>
      <c r="B189" s="176">
        <v>3.1415926500000002</v>
      </c>
      <c r="C189" s="177"/>
      <c r="D189" s="178" t="s">
        <v>170</v>
      </c>
      <c r="E189" s="31"/>
      <c r="F189" s="31"/>
      <c r="G189" s="31"/>
      <c r="H189" s="31"/>
      <c r="I189" s="32"/>
    </row>
    <row r="190" spans="1:9">
      <c r="A190" s="76" t="s">
        <v>185</v>
      </c>
      <c r="B190" s="204"/>
      <c r="C190" s="179" t="s">
        <v>184</v>
      </c>
      <c r="D190" s="181" t="s">
        <v>548</v>
      </c>
      <c r="I190" s="25"/>
    </row>
    <row r="191" spans="1:9">
      <c r="A191" s="76" t="s">
        <v>186</v>
      </c>
      <c r="B191" s="204"/>
      <c r="C191" s="179" t="s">
        <v>184</v>
      </c>
      <c r="D191" s="181"/>
      <c r="I191" s="25"/>
    </row>
    <row r="192" spans="1:9" ht="12.5">
      <c r="C192" s="7"/>
      <c r="D192" s="7"/>
      <c r="F192" s="7"/>
      <c r="G192" s="7"/>
      <c r="H192" s="7"/>
      <c r="I192" s="25"/>
    </row>
    <row r="193" spans="1:9">
      <c r="A193" s="110" t="s">
        <v>386</v>
      </c>
      <c r="B193" s="169">
        <f>(Vout+Vfwd1)*Nps*10</f>
        <v>163.41499999999999</v>
      </c>
      <c r="C193" s="17" t="s">
        <v>113</v>
      </c>
      <c r="D193" s="77" t="s">
        <v>520</v>
      </c>
      <c r="F193" s="7"/>
      <c r="G193" s="7"/>
      <c r="H193" s="7"/>
      <c r="I193" s="25">
        <v>1</v>
      </c>
    </row>
    <row r="194" spans="1:9">
      <c r="A194" s="34" t="s">
        <v>519</v>
      </c>
      <c r="B194" s="174">
        <f>Rfb/1000</f>
        <v>163.4</v>
      </c>
      <c r="C194" s="17" t="s">
        <v>113</v>
      </c>
      <c r="D194" s="77" t="s">
        <v>517</v>
      </c>
      <c r="F194" s="7"/>
      <c r="G194" s="7"/>
      <c r="H194" s="7"/>
      <c r="I194" s="25"/>
    </row>
    <row r="195" spans="1:9">
      <c r="A195" s="110" t="s">
        <v>53</v>
      </c>
      <c r="B195" s="36">
        <f>'Standard Value Calculator'!J10/1000</f>
        <v>162</v>
      </c>
      <c r="C195" s="17" t="s">
        <v>113</v>
      </c>
      <c r="D195" s="77" t="s">
        <v>359</v>
      </c>
      <c r="F195" s="7"/>
      <c r="G195" s="7"/>
      <c r="H195" s="7"/>
      <c r="I195" s="25"/>
    </row>
    <row r="196" spans="1:9">
      <c r="A196" s="77"/>
      <c r="B196" s="12"/>
      <c r="C196" s="17"/>
      <c r="D196" s="77"/>
      <c r="F196" s="7"/>
      <c r="G196" s="7"/>
      <c r="H196" s="7"/>
      <c r="I196" s="25"/>
    </row>
    <row r="197" spans="1:9">
      <c r="A197" s="111" t="s">
        <v>521</v>
      </c>
      <c r="B197" s="592">
        <f>'Design Converter'!E45</f>
        <v>4</v>
      </c>
      <c r="C197" s="111" t="s">
        <v>380</v>
      </c>
      <c r="D197" s="77"/>
      <c r="F197" s="7"/>
      <c r="G197" s="7"/>
      <c r="H197" s="7"/>
      <c r="I197" s="25"/>
    </row>
    <row r="198" spans="1:9" ht="15.5">
      <c r="A198" s="24" t="s">
        <v>516</v>
      </c>
      <c r="B198" s="371">
        <f>4*B194/Nps/ABS(Diode_TC)*1000</f>
        <v>244977.51124437782</v>
      </c>
      <c r="C198" s="17" t="s">
        <v>136</v>
      </c>
      <c r="D198" s="77"/>
      <c r="F198" s="7"/>
      <c r="G198" s="7"/>
      <c r="H198" s="7"/>
      <c r="I198" s="25"/>
    </row>
    <row r="199" spans="1:9">
      <c r="A199" s="12" t="s">
        <v>522</v>
      </c>
      <c r="B199" s="167">
        <f>'Standard Value Calculator'!J9/1000</f>
        <v>243</v>
      </c>
      <c r="C199" s="17" t="s">
        <v>113</v>
      </c>
      <c r="D199" s="77"/>
      <c r="F199" s="7"/>
      <c r="G199" s="7"/>
      <c r="H199" s="7"/>
      <c r="I199" s="25"/>
    </row>
    <row r="200" spans="1:9" ht="13.5" thickBot="1">
      <c r="A200" s="180"/>
      <c r="B200" s="180"/>
      <c r="C200" s="40"/>
      <c r="D200" s="29"/>
      <c r="E200" s="40"/>
      <c r="F200" s="29"/>
      <c r="G200" s="29"/>
      <c r="H200" s="29"/>
      <c r="I200" s="30"/>
    </row>
    <row r="201" spans="1:9">
      <c r="A201" s="2"/>
      <c r="B201" s="18"/>
      <c r="C201" s="18"/>
      <c r="E201" s="18"/>
    </row>
    <row r="202" spans="1:9">
      <c r="A202" s="2"/>
      <c r="B202" s="18"/>
      <c r="C202" s="18"/>
      <c r="E202" s="18"/>
    </row>
    <row r="203" spans="1:9" ht="16" thickBot="1">
      <c r="A203" s="54" t="s">
        <v>83</v>
      </c>
      <c r="B203" s="7"/>
      <c r="C203" s="39"/>
      <c r="D203" s="7"/>
      <c r="E203" s="7"/>
      <c r="F203" s="7"/>
      <c r="G203" s="7"/>
      <c r="H203" s="7"/>
      <c r="I203" s="7"/>
    </row>
    <row r="204" spans="1:9">
      <c r="A204" s="52"/>
      <c r="B204" s="31"/>
      <c r="C204" s="158"/>
      <c r="D204" s="31"/>
      <c r="E204" s="31"/>
      <c r="F204" s="31"/>
      <c r="G204" s="31"/>
      <c r="H204" s="31"/>
      <c r="I204" s="32"/>
    </row>
    <row r="205" spans="1:9">
      <c r="A205" s="34" t="s">
        <v>26</v>
      </c>
      <c r="B205" s="7"/>
      <c r="C205" s="39"/>
      <c r="D205" s="7"/>
      <c r="E205" s="7"/>
      <c r="F205" s="7"/>
      <c r="G205" s="7"/>
      <c r="H205" s="7"/>
      <c r="I205" s="25"/>
    </row>
    <row r="206" spans="1:9" ht="12.5">
      <c r="A206" s="24" t="s">
        <v>36</v>
      </c>
      <c r="B206" s="132">
        <f>'Design Converter'!E83</f>
        <v>85</v>
      </c>
      <c r="C206" s="77" t="s">
        <v>102</v>
      </c>
      <c r="D206" s="7" t="s">
        <v>40</v>
      </c>
      <c r="F206" s="7"/>
      <c r="G206" s="7"/>
      <c r="H206" s="7"/>
      <c r="I206" s="25"/>
    </row>
    <row r="207" spans="1:9">
      <c r="A207" s="34" t="s">
        <v>29</v>
      </c>
      <c r="B207" s="7"/>
      <c r="C207" s="7"/>
      <c r="D207" s="7"/>
      <c r="F207" s="7"/>
      <c r="G207" s="7"/>
      <c r="H207" s="7"/>
      <c r="I207" s="25"/>
    </row>
    <row r="208" spans="1:9" ht="12.5">
      <c r="A208" s="24" t="s">
        <v>35</v>
      </c>
      <c r="B208" s="27">
        <f>4000/1000000</f>
        <v>4.0000000000000001E-3</v>
      </c>
      <c r="C208" s="77" t="s">
        <v>138</v>
      </c>
      <c r="D208" s="77" t="s">
        <v>549</v>
      </c>
      <c r="F208" s="7"/>
      <c r="G208" s="7"/>
      <c r="H208" s="7"/>
      <c r="I208" s="25"/>
    </row>
    <row r="209" spans="1:9" ht="15.5">
      <c r="A209" s="110" t="s">
        <v>177</v>
      </c>
      <c r="B209" s="27">
        <v>20</v>
      </c>
      <c r="C209" s="111" t="s">
        <v>84</v>
      </c>
      <c r="D209" s="77" t="s">
        <v>550</v>
      </c>
      <c r="F209" s="7"/>
      <c r="G209" s="7"/>
      <c r="H209" s="7"/>
      <c r="I209" s="25"/>
    </row>
    <row r="210" spans="1:9" ht="12.5">
      <c r="A210" s="24" t="s">
        <v>37</v>
      </c>
      <c r="B210" s="10">
        <f>RCinEsr</f>
        <v>3.0000000000000001E-3</v>
      </c>
      <c r="C210" s="113" t="s">
        <v>45</v>
      </c>
      <c r="D210" s="77" t="s">
        <v>178</v>
      </c>
      <c r="F210" s="7"/>
      <c r="G210" s="7"/>
      <c r="H210" s="7"/>
      <c r="I210" s="25"/>
    </row>
    <row r="211" spans="1:9" ht="12.5">
      <c r="A211" s="24"/>
      <c r="B211" s="10"/>
      <c r="C211" s="113"/>
      <c r="D211" s="77"/>
      <c r="F211" s="7"/>
      <c r="G211" s="7"/>
      <c r="H211" s="7"/>
      <c r="I211" s="25"/>
    </row>
    <row r="212" spans="1:9">
      <c r="A212" s="33" t="s">
        <v>52</v>
      </c>
      <c r="B212" s="7"/>
      <c r="C212" s="7"/>
      <c r="D212" s="7"/>
      <c r="F212" s="7"/>
      <c r="G212" s="7"/>
      <c r="H212" s="7"/>
      <c r="I212" s="25"/>
    </row>
    <row r="213" spans="1:9">
      <c r="A213" s="110" t="s">
        <v>285</v>
      </c>
      <c r="B213" s="27">
        <f>Vdd</f>
        <v>5</v>
      </c>
      <c r="C213" s="60" t="s">
        <v>0</v>
      </c>
      <c r="D213" s="182"/>
      <c r="F213" s="7"/>
      <c r="G213" s="7"/>
      <c r="H213" s="7"/>
      <c r="I213" s="25"/>
    </row>
    <row r="214" spans="1:9" ht="12.5">
      <c r="A214" s="24" t="s">
        <v>49</v>
      </c>
      <c r="B214" s="35">
        <f>IQ</f>
        <v>4.4999999999999999E-4</v>
      </c>
      <c r="C214" s="7" t="s">
        <v>1</v>
      </c>
      <c r="D214" s="7" t="s">
        <v>50</v>
      </c>
      <c r="F214" s="7"/>
      <c r="G214" s="7"/>
      <c r="H214" s="7"/>
      <c r="I214" s="25"/>
    </row>
    <row r="215" spans="1:9" ht="12.5">
      <c r="A215" s="24"/>
      <c r="B215" s="7"/>
      <c r="C215" s="7"/>
      <c r="D215" s="7"/>
      <c r="F215" s="7"/>
      <c r="G215" s="7"/>
      <c r="H215" s="7"/>
      <c r="I215" s="25"/>
    </row>
    <row r="216" spans="1:9">
      <c r="A216" s="55" t="s">
        <v>172</v>
      </c>
      <c r="B216" s="42" t="s">
        <v>6</v>
      </c>
      <c r="C216" s="14" t="s">
        <v>33</v>
      </c>
      <c r="D216" s="7"/>
      <c r="F216" s="7"/>
      <c r="G216" s="7"/>
      <c r="H216" s="7"/>
      <c r="I216" s="25"/>
    </row>
    <row r="217" spans="1:9" ht="12.5">
      <c r="A217" s="56" t="s">
        <v>44</v>
      </c>
      <c r="B217" s="43"/>
      <c r="C217" s="44" t="s">
        <v>45</v>
      </c>
      <c r="D217" s="7"/>
      <c r="F217" s="7"/>
      <c r="G217" s="7"/>
      <c r="H217" s="7"/>
      <c r="I217" s="25"/>
    </row>
    <row r="218" spans="1:9" ht="12.5">
      <c r="A218" s="56" t="s">
        <v>46</v>
      </c>
      <c r="B218" s="13">
        <v>0</v>
      </c>
      <c r="C218" s="111" t="s">
        <v>102</v>
      </c>
      <c r="D218" s="7"/>
      <c r="F218" s="7"/>
      <c r="G218" s="7"/>
      <c r="H218" s="7"/>
      <c r="I218" s="25"/>
    </row>
    <row r="219" spans="1:9" ht="12.5">
      <c r="A219" s="56" t="s">
        <v>87</v>
      </c>
      <c r="B219" s="13" t="e">
        <v>#NAME?</v>
      </c>
      <c r="C219" s="12" t="s">
        <v>1</v>
      </c>
      <c r="D219" s="7"/>
      <c r="F219" s="7"/>
      <c r="G219" s="7"/>
      <c r="H219" s="7"/>
      <c r="I219" s="25"/>
    </row>
    <row r="220" spans="1:9" ht="12.5">
      <c r="A220" s="56" t="s">
        <v>88</v>
      </c>
      <c r="B220" s="12" t="e">
        <v>#NAME?</v>
      </c>
      <c r="C220" s="12" t="s">
        <v>1</v>
      </c>
      <c r="D220" s="7"/>
      <c r="F220" s="7"/>
      <c r="G220" s="7"/>
      <c r="H220" s="7"/>
      <c r="I220" s="25"/>
    </row>
    <row r="221" spans="1:9" ht="12.5">
      <c r="A221" s="56" t="s">
        <v>89</v>
      </c>
      <c r="B221" s="12" t="e">
        <f>C221/Vin</f>
        <v>#NAME?</v>
      </c>
      <c r="C221" s="12" t="e">
        <v>#NAME?</v>
      </c>
      <c r="D221" s="7"/>
      <c r="F221" s="7"/>
      <c r="G221" s="7"/>
      <c r="H221" s="7"/>
      <c r="I221" s="25"/>
    </row>
    <row r="222" spans="1:9" ht="12.5">
      <c r="A222" s="56" t="s">
        <v>91</v>
      </c>
      <c r="B222" s="12" t="e">
        <f>SUM(B219:B221)</f>
        <v>#NAME?</v>
      </c>
      <c r="C222" s="12" t="s">
        <v>1</v>
      </c>
      <c r="D222" s="7"/>
      <c r="F222" s="7"/>
      <c r="G222" s="7"/>
      <c r="H222" s="7"/>
      <c r="I222" s="25"/>
    </row>
    <row r="223" spans="1:9" ht="13.5" thickBot="1">
      <c r="A223" s="28"/>
      <c r="B223" s="29"/>
      <c r="C223" s="159"/>
      <c r="D223" s="29"/>
      <c r="E223" s="29"/>
      <c r="F223" s="29"/>
      <c r="G223" s="29"/>
      <c r="H223" s="29"/>
      <c r="I223" s="30"/>
    </row>
    <row r="224" spans="1:9">
      <c r="A224" s="2"/>
      <c r="B224" s="2"/>
      <c r="C224" s="2"/>
    </row>
    <row r="225" spans="1:9" ht="21.75" customHeight="1" thickBot="1">
      <c r="A225" s="50" t="s">
        <v>85</v>
      </c>
      <c r="B225" s="7"/>
      <c r="C225" s="39"/>
      <c r="D225" s="7"/>
      <c r="E225" s="7"/>
      <c r="F225" s="7"/>
      <c r="G225" s="7"/>
      <c r="H225" s="7"/>
      <c r="I225" s="7"/>
    </row>
    <row r="226" spans="1:9">
      <c r="A226" s="52"/>
      <c r="B226" s="31"/>
      <c r="C226" s="158"/>
      <c r="D226" s="31"/>
      <c r="E226" s="57"/>
      <c r="F226" s="57"/>
      <c r="G226" s="57"/>
      <c r="H226" s="57"/>
      <c r="I226" s="32"/>
    </row>
    <row r="227" spans="1:9">
      <c r="A227" s="24"/>
      <c r="B227" s="111"/>
      <c r="C227" s="39"/>
      <c r="D227" s="7"/>
      <c r="E227" s="199"/>
      <c r="F227" s="199"/>
      <c r="G227" s="199"/>
      <c r="H227" s="199"/>
      <c r="I227" s="25"/>
    </row>
    <row r="228" spans="1:9">
      <c r="A228" s="24" t="str">
        <f>"RUV1 = "&amp;'Design Converter'!E50&amp;"MΩ"</f>
        <v>RUV1 = 348MΩ</v>
      </c>
      <c r="B228" s="7" t="str">
        <f>C269</f>
        <v>348kΩ</v>
      </c>
      <c r="C228" s="39"/>
      <c r="D228" s="7"/>
      <c r="E228" s="199"/>
      <c r="F228" s="199"/>
      <c r="G228" s="199"/>
      <c r="H228" s="199"/>
      <c r="I228" s="25"/>
    </row>
    <row r="229" spans="1:9">
      <c r="A229" s="24" t="str">
        <f>"RUV2 = "&amp;'Design Converter'!E51&amp;"kΩ"</f>
        <v>RUV2 = 80.6kΩ</v>
      </c>
      <c r="B229" s="7" t="str">
        <f>C270</f>
        <v>80.6kΩ</v>
      </c>
      <c r="C229" s="39"/>
      <c r="D229" s="7"/>
      <c r="E229" s="199"/>
      <c r="F229" s="199"/>
      <c r="G229" s="199"/>
      <c r="H229" s="199"/>
      <c r="I229" s="25"/>
    </row>
    <row r="230" spans="1:9">
      <c r="A230" s="24"/>
      <c r="B230" s="7"/>
      <c r="C230" s="39"/>
      <c r="D230" s="7"/>
      <c r="E230" s="199"/>
      <c r="F230" s="199"/>
      <c r="G230" s="199"/>
      <c r="H230" s="199"/>
      <c r="I230" s="25"/>
    </row>
    <row r="231" spans="1:9">
      <c r="A231" s="24" t="str">
        <f>"Lmag = "&amp;'Design Converter'!L7&amp;"µH"</f>
        <v>Lmag = 10µH</v>
      </c>
      <c r="B231" s="7" t="str">
        <f>'Design Converter'!L7&amp;"µH"</f>
        <v>10µH</v>
      </c>
      <c r="C231" s="39"/>
      <c r="D231" s="7"/>
      <c r="E231" s="7"/>
      <c r="F231" s="7"/>
      <c r="G231" s="7"/>
      <c r="H231" s="7"/>
      <c r="I231" s="25"/>
    </row>
    <row r="232" spans="1:9">
      <c r="A232" s="24" t="str">
        <f>"Rdcr = "&amp;Rdcr_pri*1000&amp;"mΩ"</f>
        <v>Rdcr = 30mΩ</v>
      </c>
      <c r="B232" s="198" t="str">
        <f>Rdcr_pri*1000&amp;"mΩ"</f>
        <v>30mΩ</v>
      </c>
      <c r="C232" s="39"/>
      <c r="D232" s="7"/>
      <c r="E232" s="7"/>
      <c r="F232" s="7"/>
      <c r="G232" s="7"/>
      <c r="H232" s="7"/>
      <c r="I232" s="25"/>
    </row>
    <row r="233" spans="1:9">
      <c r="A233" s="110" t="s">
        <v>384</v>
      </c>
      <c r="B233" s="198" t="str">
        <f>W66</f>
        <v>1 : 1.5</v>
      </c>
      <c r="C233" s="39"/>
      <c r="D233" s="7"/>
      <c r="E233" s="7"/>
      <c r="F233" s="7"/>
      <c r="G233" s="7"/>
      <c r="H233" s="7"/>
      <c r="I233" s="25"/>
    </row>
    <row r="234" spans="1:9">
      <c r="A234" s="24"/>
      <c r="B234" s="198"/>
      <c r="C234" s="39"/>
      <c r="D234" s="7"/>
      <c r="E234" s="7"/>
      <c r="F234" s="7"/>
      <c r="G234" s="7"/>
      <c r="H234" s="7"/>
      <c r="I234" s="25"/>
    </row>
    <row r="235" spans="1:9">
      <c r="A235" s="24" t="str">
        <f>"Css = "&amp;ROUND(Css_u*1000000000,1)&amp;"nF"</f>
        <v>Css = 100nF</v>
      </c>
      <c r="B235" s="7" t="str">
        <f>ROUND(Css_u*1000000000,1)&amp;"nF"</f>
        <v>100nF</v>
      </c>
      <c r="C235" s="39"/>
      <c r="D235" s="7"/>
      <c r="E235" s="7"/>
      <c r="F235" s="7"/>
      <c r="G235" s="7"/>
      <c r="H235" s="7"/>
      <c r="I235" s="25"/>
    </row>
    <row r="236" spans="1:9">
      <c r="A236" s="24"/>
      <c r="B236" s="7"/>
      <c r="C236" s="39"/>
      <c r="D236" s="7"/>
      <c r="E236" s="7"/>
      <c r="F236" s="7"/>
      <c r="G236" s="7"/>
      <c r="H236" s="7"/>
      <c r="I236" s="25"/>
    </row>
    <row r="237" spans="1:9">
      <c r="A237" s="24" t="s">
        <v>57</v>
      </c>
      <c r="B237" s="7" t="str">
        <f>VIN_nom&amp;"V"</f>
        <v>24V</v>
      </c>
      <c r="C237" s="39"/>
      <c r="D237" s="7"/>
      <c r="E237" s="7"/>
      <c r="F237" s="7"/>
      <c r="G237" s="7"/>
      <c r="H237" s="7"/>
      <c r="I237" s="25"/>
    </row>
    <row r="238" spans="1:9">
      <c r="A238" s="110" t="s">
        <v>187</v>
      </c>
      <c r="B238" s="7" t="str">
        <f>VIN_min&amp;"V..."&amp;VIN_max&amp;"V"</f>
        <v>9V...36V</v>
      </c>
      <c r="C238" s="39"/>
      <c r="D238" s="7"/>
      <c r="E238" s="7"/>
      <c r="F238" s="7"/>
      <c r="G238" s="7"/>
      <c r="H238" s="7"/>
      <c r="I238" s="25"/>
    </row>
    <row r="239" spans="1:9">
      <c r="A239" s="110"/>
      <c r="B239" s="7"/>
      <c r="C239" s="39"/>
      <c r="D239" s="7"/>
      <c r="E239" s="7"/>
      <c r="F239" s="7"/>
      <c r="G239" s="7"/>
      <c r="H239" s="7"/>
      <c r="I239" s="25"/>
    </row>
    <row r="240" spans="1:9">
      <c r="A240" s="24" t="str">
        <f>"VOUT = "&amp;'Design Converter'!E10&amp;"V"</f>
        <v>VOUT = 24V</v>
      </c>
      <c r="B240" s="7" t="str">
        <f>'Design Converter'!E10&amp;"V"</f>
        <v>24V</v>
      </c>
      <c r="C240" s="39"/>
      <c r="D240" s="7">
        <f>MODE</f>
        <v>1</v>
      </c>
      <c r="E240" s="7"/>
      <c r="F240" s="7"/>
      <c r="G240" s="7"/>
      <c r="H240" s="7"/>
      <c r="I240" s="25"/>
    </row>
    <row r="241" spans="1:9">
      <c r="A241" s="24" t="str">
        <f>"VOUT2 = "&amp;'Design Converter'!E12&amp;"V"</f>
        <v>VOUT2 = 18V</v>
      </c>
      <c r="B241" s="7" t="str">
        <f>IF(MODE_TOP="DUAL", 'Design Converter'!E12&amp;"V", "")</f>
        <v/>
      </c>
      <c r="C241" s="39"/>
      <c r="D241" s="77" t="b">
        <f>MODE=2</f>
        <v>0</v>
      </c>
      <c r="E241" s="7"/>
      <c r="F241" s="7"/>
      <c r="G241" s="7"/>
      <c r="H241" s="7"/>
      <c r="I241" s="25"/>
    </row>
    <row r="242" spans="1:9">
      <c r="A242" s="24" t="str">
        <f>"VOUT2 = "&amp;'Design Converter'!E12&amp;"V"</f>
        <v>VOUT2 = 18V</v>
      </c>
      <c r="B242" s="7" t="str">
        <f>IF(MODE_TOP="BIPOLAR", 'Design Converter'!E12&amp;"V", "")</f>
        <v/>
      </c>
      <c r="C242" s="39"/>
      <c r="D242" s="7"/>
      <c r="E242" s="7"/>
      <c r="F242" s="7"/>
      <c r="G242" s="7"/>
      <c r="H242" s="7"/>
      <c r="I242" s="25"/>
    </row>
    <row r="243" spans="1:9">
      <c r="A243" s="24"/>
      <c r="B243" s="7"/>
      <c r="C243" s="39"/>
      <c r="D243" s="7"/>
      <c r="E243" s="7"/>
      <c r="F243" s="7"/>
      <c r="G243" s="7"/>
      <c r="H243" s="7"/>
      <c r="I243" s="25"/>
    </row>
    <row r="244" spans="1:9">
      <c r="A244" s="396" t="s">
        <v>510</v>
      </c>
      <c r="B244" s="77" t="str">
        <f>IF(MODE=1, "", "Co1")</f>
        <v/>
      </c>
      <c r="C244" s="77" t="str">
        <f>IF(MODE_TOP="DUAL", "Co2", "")</f>
        <v/>
      </c>
      <c r="D244" s="77" t="str">
        <f>IF(MODE_TOP="BIPOLAR", "Co2", "")</f>
        <v/>
      </c>
      <c r="E244" s="7"/>
      <c r="F244" s="77" t="str">
        <f>MODE_TOP</f>
        <v>SINGLE</v>
      </c>
      <c r="G244" s="7"/>
      <c r="H244" s="7"/>
      <c r="I244" s="25"/>
    </row>
    <row r="245" spans="1:9" ht="12.5">
      <c r="A245" s="24" t="str">
        <f>"COUT = "&amp;'Design Converter'!$E$34&amp;"µF"</f>
        <v>COUT = 47µF</v>
      </c>
      <c r="B245" s="7" t="str">
        <f>'Design Converter'!$E$34&amp;"µF"</f>
        <v>47µF</v>
      </c>
      <c r="C245" s="7" t="str">
        <f>IF(MODE_TOP="DUAL", 'Design Converter'!$L$34&amp;"µF", "")</f>
        <v/>
      </c>
      <c r="D245" s="7" t="str">
        <f>IF(MODE_TOP="BIPOLAR", 'Design Converter'!$L$34&amp;"µF", "")</f>
        <v/>
      </c>
      <c r="E245" s="7"/>
      <c r="F245" s="7" t="str">
        <f>'Design Converter'!$L$34&amp;"µF"</f>
        <v>55µF</v>
      </c>
      <c r="G245" s="7"/>
      <c r="H245" s="7"/>
      <c r="I245" s="25"/>
    </row>
    <row r="246" spans="1:9">
      <c r="A246" s="110" t="s">
        <v>134</v>
      </c>
      <c r="B246" s="7" t="str">
        <f>"22µF"</f>
        <v>22µF</v>
      </c>
      <c r="C246" s="39"/>
      <c r="D246" s="7"/>
      <c r="E246" s="7"/>
      <c r="F246" s="7"/>
      <c r="G246" s="7"/>
      <c r="H246" s="7"/>
      <c r="I246" s="25"/>
    </row>
    <row r="247" spans="1:9">
      <c r="A247" s="110" t="s">
        <v>135</v>
      </c>
      <c r="B247" s="78" t="str">
        <f>ROUNDUP(Cout/22,0)&amp;" x"</f>
        <v>3 x</v>
      </c>
      <c r="C247" s="160"/>
      <c r="D247" s="7"/>
      <c r="E247" s="7"/>
      <c r="F247" s="7"/>
      <c r="G247" s="7"/>
      <c r="H247" s="7"/>
      <c r="I247" s="25"/>
    </row>
    <row r="248" spans="1:9">
      <c r="A248" s="110"/>
      <c r="B248" s="78">
        <f>Cout</f>
        <v>47</v>
      </c>
      <c r="C248" s="160"/>
      <c r="D248" s="7"/>
      <c r="E248" s="7"/>
      <c r="F248" s="7"/>
      <c r="G248" s="7"/>
      <c r="H248" s="7"/>
      <c r="I248" s="25"/>
    </row>
    <row r="249" spans="1:9">
      <c r="A249" s="396" t="s">
        <v>511</v>
      </c>
      <c r="B249" s="7"/>
      <c r="C249" s="39"/>
      <c r="D249" s="7"/>
      <c r="E249" s="7"/>
      <c r="F249" s="7"/>
      <c r="G249" s="7"/>
      <c r="H249" s="7"/>
      <c r="I249" s="25"/>
    </row>
    <row r="250" spans="1:9">
      <c r="A250" s="24" t="s">
        <v>95</v>
      </c>
      <c r="B250" s="7" t="str">
        <f>Cin&amp;"µF"</f>
        <v>10µF</v>
      </c>
      <c r="E250" s="7"/>
      <c r="F250" s="7"/>
      <c r="G250" s="7"/>
      <c r="H250" s="7"/>
      <c r="I250" s="25"/>
    </row>
    <row r="251" spans="1:9">
      <c r="A251" s="110" t="s">
        <v>133</v>
      </c>
      <c r="B251" s="7" t="str">
        <f>"4.7µF"</f>
        <v>4.7µF</v>
      </c>
      <c r="C251" s="39"/>
      <c r="D251" s="7"/>
      <c r="E251" s="7"/>
      <c r="F251" s="7"/>
      <c r="G251" s="7"/>
      <c r="H251" s="7"/>
      <c r="I251" s="25"/>
    </row>
    <row r="252" spans="1:9">
      <c r="A252" s="110" t="s">
        <v>132</v>
      </c>
      <c r="B252" s="78" t="str">
        <f>ROUNDUP(Cin/4.7,0)&amp;" x"</f>
        <v>3 x</v>
      </c>
      <c r="C252" s="160"/>
      <c r="D252" s="7"/>
      <c r="E252" s="7"/>
      <c r="F252" s="7"/>
      <c r="G252" s="7"/>
      <c r="H252" s="7"/>
      <c r="I252" s="25"/>
    </row>
    <row r="253" spans="1:9">
      <c r="A253" s="110"/>
      <c r="B253" s="78"/>
      <c r="D253" s="7"/>
      <c r="E253" s="7"/>
      <c r="F253" s="7"/>
      <c r="G253" s="7"/>
      <c r="H253" s="7"/>
      <c r="I253" s="25"/>
    </row>
    <row r="254" spans="1:9" ht="15.5">
      <c r="A254" s="110" t="s">
        <v>512</v>
      </c>
      <c r="B254" s="577" t="s">
        <v>513</v>
      </c>
      <c r="C254" s="577" t="s">
        <v>551</v>
      </c>
      <c r="D254" s="7"/>
      <c r="E254" s="7"/>
      <c r="F254" s="7"/>
      <c r="G254" s="7"/>
      <c r="H254" s="7"/>
      <c r="I254" s="25"/>
    </row>
    <row r="255" spans="1:9">
      <c r="A255" s="110"/>
      <c r="B255" s="78"/>
      <c r="D255" s="7"/>
      <c r="E255" s="7"/>
      <c r="F255" s="7"/>
      <c r="G255" s="7"/>
      <c r="H255" s="7"/>
      <c r="I255" s="25"/>
    </row>
    <row r="256" spans="1:9">
      <c r="A256" s="396" t="s">
        <v>383</v>
      </c>
      <c r="B256" s="160" t="str">
        <f>IF(MODE_TC=1, "YES", "NO")</f>
        <v>YES</v>
      </c>
      <c r="D256" s="7"/>
      <c r="E256" s="7"/>
      <c r="F256" s="7"/>
      <c r="G256" s="7"/>
      <c r="H256" s="7"/>
      <c r="I256" s="25"/>
    </row>
    <row r="257" spans="1:9">
      <c r="A257" s="110" t="s">
        <v>298</v>
      </c>
      <c r="B257" s="160" t="str">
        <f>IF(MODE_TC=2, "YES", "NO")</f>
        <v>NO</v>
      </c>
      <c r="C257" s="386" t="str">
        <f>IF(MODE_TC=2, "R1", "")</f>
        <v/>
      </c>
      <c r="D257" s="386" t="str">
        <f>IF(MODE_TC=2, "R2", "")</f>
        <v/>
      </c>
      <c r="E257" s="386"/>
      <c r="F257" s="7"/>
      <c r="G257" s="7"/>
      <c r="H257" s="7"/>
      <c r="I257" s="25"/>
    </row>
    <row r="258" spans="1:9" ht="12.5">
      <c r="A258" s="24" t="str">
        <f>"RFB = "&amp;'Design Converter'!E39&amp;"kΩ"</f>
        <v>RFB = 163.415kΩ</v>
      </c>
      <c r="B258" s="7" t="str">
        <f>IF(MODE_TC=1, "", 'Design Converter'!E39&amp;"kΩ")</f>
        <v/>
      </c>
      <c r="C258" s="77" t="str">
        <f>'Design Converter'!E39&amp;"kΩ"</f>
        <v>163.415kΩ</v>
      </c>
      <c r="D258" s="7"/>
      <c r="E258" s="7"/>
      <c r="F258" s="7"/>
      <c r="G258" s="7"/>
      <c r="H258" s="7"/>
      <c r="I258" s="25"/>
    </row>
    <row r="259" spans="1:9" ht="12.5">
      <c r="A259" s="24" t="str">
        <f>"RFB2 = "&amp;IF(Vout=Vref,"OPEN",'Design Converter'!E40&amp;"kΩ")</f>
        <v>RFB2 = 163.4kΩ</v>
      </c>
      <c r="B259" s="7" t="str">
        <f>IF(MODE_TC=1, "", IF(Vout=Vref,"OPEN",Rfb2_u/1000&amp;"kΩ"))</f>
        <v/>
      </c>
      <c r="C259" s="77" t="str">
        <f>'Design Converter'!E40&amp;"kΩ"</f>
        <v>163.4kΩ</v>
      </c>
      <c r="D259" s="7"/>
      <c r="E259" s="7"/>
      <c r="F259" s="7"/>
      <c r="G259" s="7"/>
      <c r="H259" s="7"/>
      <c r="I259" s="25"/>
    </row>
    <row r="260" spans="1:9" ht="12.5">
      <c r="A260" s="24"/>
      <c r="B260" s="7"/>
      <c r="C260" s="77"/>
      <c r="D260" s="7"/>
      <c r="E260" s="7"/>
      <c r="F260" s="7"/>
      <c r="G260" s="7"/>
      <c r="H260" s="7"/>
      <c r="I260" s="25"/>
    </row>
    <row r="261" spans="1:9">
      <c r="A261" s="110" t="s">
        <v>302</v>
      </c>
      <c r="B261" s="39" t="str">
        <f>IF(MODE=1, "YES", "NO")</f>
        <v>YES</v>
      </c>
      <c r="C261" s="7" t="str">
        <f>IF(MODE=1,"Rt", "")</f>
        <v>Rt</v>
      </c>
      <c r="D261" s="7"/>
      <c r="E261" s="7"/>
      <c r="F261" s="7"/>
      <c r="G261" s="7"/>
      <c r="H261" s="7"/>
      <c r="I261" s="25"/>
    </row>
    <row r="262" spans="1:9">
      <c r="A262" s="110" t="s">
        <v>139</v>
      </c>
      <c r="B262" s="7" t="e">
        <f>IF(MODE=2, "", 'Standard Value Calculator'!J4/1000&amp;"kΩ")</f>
        <v>#NAME?</v>
      </c>
      <c r="C262" s="39"/>
      <c r="D262" s="7"/>
      <c r="E262" s="7"/>
      <c r="F262" s="7"/>
      <c r="G262" s="7"/>
      <c r="H262" s="7"/>
      <c r="I262" s="25"/>
    </row>
    <row r="263" spans="1:9">
      <c r="A263" s="110"/>
      <c r="B263" s="7"/>
      <c r="C263" s="39"/>
      <c r="D263" s="7"/>
      <c r="E263" s="7"/>
      <c r="F263" s="7"/>
      <c r="G263" s="7"/>
      <c r="H263" s="7"/>
      <c r="I263" s="25"/>
    </row>
    <row r="264" spans="1:9">
      <c r="A264" s="396" t="s">
        <v>374</v>
      </c>
      <c r="B264" s="160" t="str">
        <f>IF(MODE=1, "YES", "NO")</f>
        <v>YES</v>
      </c>
      <c r="C264" s="77" t="str">
        <f>IF(TC=1,"Rtc", "")</f>
        <v>Rtc</v>
      </c>
      <c r="D264" s="7"/>
      <c r="E264" s="7"/>
      <c r="F264" s="7"/>
      <c r="G264" s="7"/>
      <c r="H264" s="7"/>
      <c r="I264" s="25"/>
    </row>
    <row r="265" spans="1:9" ht="12.5">
      <c r="A265" s="521" t="str">
        <f>"RTC = "&amp;RTC&amp;"kΩ"</f>
        <v>RTC = 243kΩ</v>
      </c>
      <c r="B265" s="7" t="str">
        <f>IF(TC=1, RTC&amp;"kΩ", "")</f>
        <v>243kΩ</v>
      </c>
      <c r="C265" s="77" t="str">
        <f>CHOOSE(TC,"Rtc","")</f>
        <v>Rtc</v>
      </c>
      <c r="D265" s="7"/>
      <c r="E265" s="7"/>
      <c r="F265" s="8"/>
      <c r="G265" s="7"/>
      <c r="H265" s="7"/>
      <c r="I265" s="25"/>
    </row>
    <row r="266" spans="1:9" ht="12.5">
      <c r="A266" s="110" t="s">
        <v>377</v>
      </c>
      <c r="B266" s="368"/>
      <c r="C266" s="7"/>
      <c r="D266" s="7"/>
      <c r="E266" s="7"/>
      <c r="F266" s="8"/>
      <c r="G266" s="7"/>
      <c r="H266" s="7"/>
      <c r="I266" s="25"/>
    </row>
    <row r="267" spans="1:9">
      <c r="A267" s="24"/>
      <c r="B267" s="78"/>
      <c r="C267" s="160"/>
      <c r="D267" s="7"/>
      <c r="E267" s="113"/>
      <c r="F267" s="7"/>
      <c r="G267" s="7"/>
      <c r="H267" s="7"/>
      <c r="I267" s="25"/>
    </row>
    <row r="268" spans="1:9">
      <c r="A268" s="396" t="s">
        <v>305</v>
      </c>
      <c r="B268" s="160" t="str">
        <f>IF(MODE_UVLO=1, "YES", "NO")</f>
        <v>YES</v>
      </c>
      <c r="C268" s="386" t="str">
        <f>IF(MODE_UVLO=1, "Ruv1", "")</f>
        <v>Ruv1</v>
      </c>
      <c r="D268" s="386" t="str">
        <f>IF(MODE_UVLO=1, "Ruv2", "")</f>
        <v>Ruv2</v>
      </c>
      <c r="E268" s="386"/>
      <c r="F268" s="386" t="s">
        <v>6</v>
      </c>
      <c r="G268" s="386" t="s">
        <v>33</v>
      </c>
      <c r="H268" s="77" t="s">
        <v>339</v>
      </c>
      <c r="I268" s="25"/>
    </row>
    <row r="269" spans="1:9" ht="12.5">
      <c r="A269" s="24" t="str">
        <f>"RUV1 = "&amp;C269</f>
        <v>RUV1 = 348kΩ</v>
      </c>
      <c r="B269" s="7" t="str">
        <f>'Design Converter'!E50&amp;" kΩ"</f>
        <v>348 kΩ</v>
      </c>
      <c r="C269" s="386" t="str">
        <f>IF(MODE_UVLO=1,'Design Converter'!E50&amp;"kΩ", "")</f>
        <v>348kΩ</v>
      </c>
      <c r="F269" s="7">
        <f>IF(MODE_UVLO=1,'Design Converter'!E50, "")</f>
        <v>348</v>
      </c>
      <c r="G269" s="77" t="str">
        <f>IF(MODE_UVLO=1,"kΩ", "")</f>
        <v>kΩ</v>
      </c>
      <c r="H269" s="386" t="str">
        <f>IF(MODE_UVLO=1,'Design Converter'!E50&amp;"k", "")</f>
        <v>348k</v>
      </c>
      <c r="I269" s="25"/>
    </row>
    <row r="270" spans="1:9" ht="12.5">
      <c r="A270" s="24" t="str">
        <f>"RUV2 = "&amp;C270</f>
        <v>RUV2 = 80.6kΩ</v>
      </c>
      <c r="B270" s="7" t="str">
        <f>IF(D182&gt;=1000, D182/1000&amp;" MΩ", D182&amp;" kΩ")</f>
        <v>80.6 kΩ</v>
      </c>
      <c r="C270" s="386" t="str">
        <f>IF(MODE_UVLO=1, IF(D182&lt;1, D182*1000&amp;"Ω", IF(D182&lt;1000, D182&amp;"kΩ", D182/1000&amp;"MΩ")), "")</f>
        <v>80.6kΩ</v>
      </c>
      <c r="F270" s="7">
        <f>IF(MODE_UVLO=1, IF(D182&lt;1, D182*1000, IF(D182&lt;1000, D182, D182/1000)), "")</f>
        <v>80.600000000000009</v>
      </c>
      <c r="G270" s="77" t="str">
        <f>IF(MODE_UVLO=1, IF(D182&lt;1, "Ω", IF(D182&lt;1000,"kΩ", "MΩ")), "")</f>
        <v>kΩ</v>
      </c>
      <c r="H270" s="386" t="str">
        <f>IF(MODE_UVLO=1, IF(D182&lt;1, D182*1000, IF(D182&lt;1000, D182&amp;"k", D182/1000&amp;"M")), "")</f>
        <v>80.6k</v>
      </c>
      <c r="I270" s="25"/>
    </row>
    <row r="271" spans="1:9" ht="12.5">
      <c r="A271" s="24"/>
      <c r="B271" s="7"/>
      <c r="C271" s="386"/>
      <c r="F271" s="7"/>
      <c r="G271" s="77"/>
      <c r="H271" s="386"/>
      <c r="I271" s="25"/>
    </row>
    <row r="272" spans="1:9">
      <c r="A272" s="396" t="s">
        <v>378</v>
      </c>
      <c r="B272" s="7"/>
      <c r="C272" s="386"/>
      <c r="F272" s="7"/>
      <c r="G272" s="77"/>
      <c r="H272" s="386"/>
      <c r="I272" s="25"/>
    </row>
    <row r="273" spans="1:9" ht="12.5">
      <c r="A273" s="24" t="str">
        <f>"RSET = "&amp;C273</f>
        <v>RSET = 10kΩ</v>
      </c>
      <c r="B273" s="77" t="s">
        <v>783</v>
      </c>
      <c r="C273" s="77" t="s">
        <v>784</v>
      </c>
      <c r="F273" s="7">
        <f>IF(MODE_UVLO=1, IF(D183&lt;1, D183*1000, IF(D183&lt;1000, D183, D183/1000)), "")</f>
        <v>0</v>
      </c>
      <c r="G273" s="77" t="str">
        <f>IF(MODE_UVLO=1, IF(D183&lt;1, "Ω", IF(D183&lt;1000,"kΩ", "MΩ")), "")</f>
        <v>Ω</v>
      </c>
      <c r="H273" s="386">
        <f>IF(MODE_UVLO=1, IF(D183&lt;1, D183*1000, IF(D183&lt;1000, D183&amp;"k", D183&amp;"M")), "")</f>
        <v>0</v>
      </c>
      <c r="I273" s="25"/>
    </row>
    <row r="274" spans="1:9" ht="12.5">
      <c r="A274" s="24"/>
      <c r="B274" s="77"/>
      <c r="C274" s="77"/>
      <c r="F274" s="7"/>
      <c r="G274" s="77"/>
      <c r="H274" s="386"/>
      <c r="I274" s="25"/>
    </row>
    <row r="275" spans="1:9">
      <c r="A275" s="396" t="s">
        <v>379</v>
      </c>
      <c r="B275" s="78"/>
      <c r="C275" s="160"/>
      <c r="D275" s="7"/>
      <c r="E275" s="113"/>
      <c r="F275" s="7"/>
      <c r="G275" s="7"/>
      <c r="H275" s="7"/>
      <c r="I275" s="25"/>
    </row>
    <row r="276" spans="1:9">
      <c r="A276" s="24" t="str">
        <f>"Css = "&amp;Css*1000000000&amp;"nF"</f>
        <v>Css = 100nF</v>
      </c>
      <c r="B276" s="7" t="str">
        <f>Css*1000000000&amp;"nF"</f>
        <v>100nF</v>
      </c>
      <c r="D276" s="7"/>
      <c r="E276" s="7"/>
      <c r="F276" s="7"/>
      <c r="G276" s="7"/>
      <c r="H276" s="7"/>
      <c r="I276" s="25"/>
    </row>
    <row r="277" spans="1:9" ht="12.5">
      <c r="A277" s="24" t="s">
        <v>66</v>
      </c>
      <c r="B277" s="7" t="str">
        <f>CHOOSE(MODE_SS,'Standard Value Calculator'!B4*1000000000&amp;"nF","")</f>
        <v>100nF</v>
      </c>
      <c r="C277" s="7" t="str">
        <f>CHOOSE(MODE_SS,"Css","")</f>
        <v>Css</v>
      </c>
      <c r="D277" s="397" t="str">
        <f>B277</f>
        <v>100nF</v>
      </c>
      <c r="E277" s="7"/>
      <c r="F277" s="7"/>
      <c r="G277" s="7"/>
      <c r="H277" s="7"/>
      <c r="I277" s="25"/>
    </row>
    <row r="278" spans="1:9">
      <c r="A278" s="24"/>
      <c r="B278" s="7"/>
      <c r="C278" s="77" t="str">
        <f>C277</f>
        <v>Css</v>
      </c>
      <c r="D278" s="39"/>
      <c r="E278" s="7"/>
      <c r="F278" s="7"/>
      <c r="G278" s="7"/>
      <c r="H278" s="7"/>
      <c r="I278" s="25"/>
    </row>
    <row r="279" spans="1:9">
      <c r="A279" s="24"/>
      <c r="B279" s="7"/>
      <c r="C279" s="77"/>
      <c r="D279" s="39"/>
      <c r="E279" s="7"/>
      <c r="F279" s="7"/>
      <c r="G279" s="7"/>
      <c r="H279" s="7"/>
      <c r="I279" s="25"/>
    </row>
    <row r="280" spans="1:9" ht="12.5">
      <c r="A280" s="110" t="s">
        <v>640</v>
      </c>
      <c r="B280" s="77">
        <f>ROUND(Iout*2,1)</f>
        <v>2</v>
      </c>
      <c r="C280" s="77" t="s">
        <v>1</v>
      </c>
      <c r="D280" s="7"/>
      <c r="E280" s="7"/>
      <c r="F280" s="7"/>
      <c r="G280" s="7"/>
      <c r="H280" s="7"/>
      <c r="I280" s="25"/>
    </row>
    <row r="281" spans="1:9" ht="12.5">
      <c r="A281" s="110" t="s">
        <v>641</v>
      </c>
      <c r="B281">
        <f>ROUND(VRRM_DIODE,0)</f>
        <v>78</v>
      </c>
      <c r="C281" s="77" t="s">
        <v>0</v>
      </c>
      <c r="D281" s="7"/>
      <c r="E281" s="7"/>
      <c r="F281" s="7"/>
      <c r="G281" s="7"/>
      <c r="H281" s="7"/>
      <c r="I281" s="25"/>
    </row>
    <row r="282" spans="1:9">
      <c r="F282" s="7"/>
      <c r="G282" s="7"/>
      <c r="H282" s="7"/>
      <c r="I282" s="25"/>
    </row>
    <row r="283" spans="1:9" ht="12.5">
      <c r="A283" s="110"/>
      <c r="B283" s="368"/>
      <c r="C283" s="7"/>
      <c r="D283" s="7"/>
      <c r="E283" s="7"/>
      <c r="F283" s="7"/>
      <c r="G283" s="7"/>
      <c r="H283" s="7"/>
      <c r="I283" s="25"/>
    </row>
    <row r="284" spans="1:9" ht="12.5">
      <c r="A284" s="110" t="s">
        <v>129</v>
      </c>
      <c r="B284" s="77" t="s">
        <v>310</v>
      </c>
      <c r="C284" s="7"/>
      <c r="D284" s="7"/>
      <c r="E284" s="7"/>
      <c r="F284" s="7"/>
      <c r="G284" s="7"/>
      <c r="H284" s="7"/>
      <c r="I284" s="25"/>
    </row>
    <row r="285" spans="1:9" ht="12.5">
      <c r="A285" s="110"/>
      <c r="B285" s="77"/>
      <c r="C285" s="7"/>
      <c r="D285" s="7"/>
      <c r="E285" s="7"/>
      <c r="F285" s="7"/>
      <c r="G285" s="7"/>
      <c r="H285" s="7"/>
      <c r="I285" s="25"/>
    </row>
    <row r="286" spans="1:9" ht="12.5">
      <c r="A286" s="110" t="s">
        <v>183</v>
      </c>
      <c r="B286" s="353" t="str">
        <f>CHOOSE(MODE, ROUND('Calculations - Single'!$CB$105,1)&amp;"%", ROUND('Calculations - Dual'!CB105,1)&amp;"%")</f>
        <v>86.7%</v>
      </c>
      <c r="C286" s="7"/>
      <c r="D286" s="7"/>
      <c r="E286" s="7"/>
      <c r="F286" s="7"/>
      <c r="G286" s="7"/>
      <c r="H286" s="7"/>
      <c r="I286" s="25"/>
    </row>
    <row r="287" spans="1:9" ht="12.5">
      <c r="A287" s="110" t="s">
        <v>492</v>
      </c>
      <c r="B287" s="353" t="str">
        <f>ROUND('Calculations - Single'!$CB$55,1)&amp;"%"</f>
        <v>82.7%</v>
      </c>
      <c r="C287" s="7"/>
      <c r="D287" s="7"/>
      <c r="E287" s="7"/>
      <c r="F287" s="7"/>
      <c r="G287" s="7"/>
      <c r="H287" s="7"/>
      <c r="I287" s="25"/>
    </row>
    <row r="288" spans="1:9" ht="12.5">
      <c r="A288" s="110" t="s">
        <v>307</v>
      </c>
      <c r="B288" s="353" t="str">
        <f>ROUND('Calculations - Single'!$CB$15,1)&amp;"%"</f>
        <v>80.2%</v>
      </c>
      <c r="C288" s="77" t="s">
        <v>312</v>
      </c>
      <c r="D288" s="7"/>
      <c r="E288" s="7"/>
      <c r="F288" s="7"/>
      <c r="G288" s="7"/>
      <c r="H288" s="7"/>
      <c r="I288" s="25"/>
    </row>
    <row r="289" spans="1:9" ht="12.5">
      <c r="A289" s="110" t="s">
        <v>311</v>
      </c>
      <c r="B289" s="353" t="str">
        <f>ROUND(Parameters!BZ56,1)&amp;"%"</f>
        <v>0%</v>
      </c>
      <c r="C289" s="77" t="s">
        <v>313</v>
      </c>
      <c r="D289" s="7"/>
      <c r="E289" s="7"/>
      <c r="F289" s="7"/>
      <c r="G289" s="7"/>
      <c r="H289" s="7"/>
      <c r="I289" s="25"/>
    </row>
    <row r="290" spans="1:9">
      <c r="A290" s="24"/>
      <c r="B290" s="7"/>
      <c r="C290" s="39"/>
      <c r="D290" s="7"/>
      <c r="E290" s="7"/>
      <c r="F290" s="7"/>
      <c r="G290" s="7"/>
      <c r="H290" s="7"/>
      <c r="I290" s="25"/>
    </row>
    <row r="291" spans="1:9">
      <c r="A291" s="24"/>
      <c r="B291" s="7"/>
      <c r="C291" s="39"/>
      <c r="D291" s="7"/>
      <c r="E291" s="7"/>
      <c r="F291" s="7"/>
      <c r="G291" s="7"/>
      <c r="H291" s="7"/>
      <c r="I291" s="25"/>
    </row>
    <row r="292" spans="1:9">
      <c r="A292" s="24"/>
      <c r="B292" s="7"/>
      <c r="C292" s="39"/>
      <c r="D292" s="7"/>
      <c r="E292" s="7"/>
      <c r="F292" s="7"/>
      <c r="G292" s="7"/>
      <c r="H292" s="7"/>
      <c r="I292" s="25"/>
    </row>
    <row r="293" spans="1:9">
      <c r="A293" s="24" t="s">
        <v>80</v>
      </c>
      <c r="B293" s="7" t="str">
        <f>IF(C293="y","","|")</f>
        <v>|</v>
      </c>
      <c r="C293" s="39" t="s">
        <v>319</v>
      </c>
      <c r="D293" s="7"/>
      <c r="E293" s="7"/>
      <c r="F293" s="7"/>
      <c r="G293" s="7"/>
      <c r="H293" s="7"/>
      <c r="I293" s="25"/>
    </row>
    <row r="294" spans="1:9">
      <c r="A294" s="24"/>
      <c r="B294" s="7"/>
      <c r="C294" s="39"/>
      <c r="D294" s="7"/>
      <c r="E294" s="7"/>
      <c r="F294" s="7"/>
      <c r="G294" s="7"/>
      <c r="H294" s="7"/>
      <c r="I294" s="25"/>
    </row>
    <row r="295" spans="1:9">
      <c r="A295" s="499" t="s">
        <v>86</v>
      </c>
      <c r="B295" s="7" t="str">
        <f>'Design Converter'!$E$11&amp;"A"</f>
        <v>1A</v>
      </c>
      <c r="C295" s="39"/>
      <c r="D295" s="7"/>
      <c r="E295" s="7"/>
      <c r="F295" s="7"/>
      <c r="G295" s="7"/>
      <c r="H295" s="7"/>
      <c r="I295" s="25"/>
    </row>
    <row r="296" spans="1:9">
      <c r="A296" s="499" t="s">
        <v>509</v>
      </c>
      <c r="B296" s="7" t="str">
        <f>IF(MODE_TOP="DUAL", 'Design Converter'!$E$13&amp;"A", "")</f>
        <v/>
      </c>
      <c r="C296" s="39"/>
      <c r="D296" s="77">
        <f>MODE</f>
        <v>1</v>
      </c>
      <c r="E296" s="7"/>
      <c r="F296" s="7"/>
      <c r="G296" s="7"/>
      <c r="H296" s="7"/>
      <c r="I296" s="25"/>
    </row>
    <row r="297" spans="1:9">
      <c r="A297" s="499" t="s">
        <v>508</v>
      </c>
      <c r="B297" s="7" t="str">
        <f>IF(MODE_TOP="BIPOLAR", Iout2_actual&amp;"A", "")</f>
        <v/>
      </c>
      <c r="C297" s="39"/>
      <c r="D297" s="7"/>
      <c r="E297" s="7"/>
      <c r="F297" s="7"/>
      <c r="G297" s="7"/>
      <c r="H297" s="7"/>
      <c r="I297" s="25"/>
    </row>
    <row r="298" spans="1:9">
      <c r="A298" s="24"/>
      <c r="B298" s="7"/>
      <c r="C298" s="39"/>
      <c r="D298" s="7"/>
      <c r="E298" s="7"/>
      <c r="F298" s="7"/>
      <c r="G298" s="7"/>
      <c r="H298" s="7"/>
      <c r="I298" s="25"/>
    </row>
    <row r="299" spans="1:9">
      <c r="A299" s="110" t="s">
        <v>94</v>
      </c>
      <c r="B299" s="7">
        <v>1</v>
      </c>
      <c r="C299" s="39"/>
      <c r="D299" s="7"/>
      <c r="E299" s="7"/>
      <c r="F299" s="7"/>
      <c r="G299" s="7"/>
      <c r="H299" s="7"/>
      <c r="I299" s="25"/>
    </row>
    <row r="300" spans="1:9">
      <c r="A300" s="110" t="s">
        <v>93</v>
      </c>
      <c r="B300" s="7">
        <v>2</v>
      </c>
      <c r="C300" s="39"/>
      <c r="D300" s="7"/>
      <c r="E300" s="7"/>
      <c r="F300" s="7"/>
      <c r="G300" s="7"/>
      <c r="H300" s="7"/>
      <c r="I300" s="25"/>
    </row>
    <row r="301" spans="1:9">
      <c r="A301" s="593" t="s">
        <v>57</v>
      </c>
      <c r="B301" s="7">
        <v>3</v>
      </c>
      <c r="C301" s="39"/>
      <c r="D301" s="7"/>
      <c r="E301" s="7"/>
      <c r="F301" s="7"/>
      <c r="G301" s="7"/>
      <c r="H301" s="7"/>
      <c r="I301" s="25"/>
    </row>
    <row r="302" spans="1:9">
      <c r="A302" s="110" t="s">
        <v>552</v>
      </c>
      <c r="B302" s="7">
        <v>4</v>
      </c>
      <c r="C302" s="39"/>
      <c r="D302" s="7"/>
      <c r="E302" s="7"/>
      <c r="F302" s="7"/>
      <c r="G302" s="7"/>
      <c r="H302" s="7"/>
      <c r="I302" s="25"/>
    </row>
    <row r="303" spans="1:9">
      <c r="A303" s="110" t="s">
        <v>553</v>
      </c>
      <c r="B303" s="7">
        <v>5</v>
      </c>
      <c r="C303" s="39"/>
      <c r="D303" s="7"/>
      <c r="E303" s="7"/>
      <c r="F303" s="7"/>
      <c r="G303" s="7"/>
      <c r="H303" s="7"/>
      <c r="I303" s="25"/>
    </row>
    <row r="304" spans="1:9">
      <c r="A304" s="110" t="s">
        <v>554</v>
      </c>
      <c r="B304" s="7">
        <v>6</v>
      </c>
      <c r="C304" s="39"/>
      <c r="D304" s="7"/>
      <c r="E304" s="7"/>
      <c r="F304" s="7"/>
      <c r="G304" s="7"/>
      <c r="H304" s="7"/>
      <c r="I304" s="25"/>
    </row>
    <row r="305" spans="1:9">
      <c r="A305" s="110" t="s">
        <v>555</v>
      </c>
      <c r="B305" s="7">
        <v>7</v>
      </c>
      <c r="C305" s="39"/>
      <c r="D305" s="7"/>
      <c r="E305" s="7"/>
      <c r="F305" s="7"/>
      <c r="G305" s="7"/>
      <c r="H305" s="7"/>
      <c r="I305" s="25"/>
    </row>
    <row r="306" spans="1:9">
      <c r="A306" s="593" t="s">
        <v>92</v>
      </c>
      <c r="B306" s="7">
        <v>8</v>
      </c>
      <c r="C306" s="39"/>
      <c r="D306" s="7"/>
      <c r="E306" s="7"/>
      <c r="F306" s="7"/>
      <c r="G306" s="7"/>
      <c r="H306" s="7"/>
      <c r="I306" s="25"/>
    </row>
    <row r="307" spans="1:9" ht="13.5" thickBot="1">
      <c r="A307" s="207"/>
      <c r="B307" s="29"/>
      <c r="C307" s="159"/>
      <c r="D307" s="29"/>
      <c r="E307" s="29"/>
      <c r="F307" s="29"/>
      <c r="G307" s="29"/>
      <c r="H307" s="29"/>
      <c r="I307" s="30"/>
    </row>
    <row r="309" spans="1:9">
      <c r="A309" t="s">
        <v>743</v>
      </c>
      <c r="B309">
        <f>'Design Converter'!$E$60</f>
        <v>37</v>
      </c>
      <c r="C309" s="3" t="s">
        <v>866</v>
      </c>
      <c r="D309" t="str">
        <f>B309&amp;"kΩ"</f>
        <v>37kΩ</v>
      </c>
    </row>
    <row r="310" spans="1:9">
      <c r="A310" t="s">
        <v>865</v>
      </c>
      <c r="B310">
        <f>'Design Converter'!$E$62</f>
        <v>10</v>
      </c>
      <c r="C310" s="3" t="s">
        <v>319</v>
      </c>
      <c r="D310" t="str">
        <f>B310&amp;"nF"</f>
        <v>10nF</v>
      </c>
    </row>
    <row r="311" spans="1:9">
      <c r="A311" t="s">
        <v>750</v>
      </c>
      <c r="B311">
        <f>'Design Converter'!$E$64</f>
        <v>72</v>
      </c>
      <c r="C311" s="3" t="s">
        <v>170</v>
      </c>
      <c r="D311" t="str">
        <f>B311&amp;"pF"</f>
        <v>72pF</v>
      </c>
    </row>
    <row r="313" spans="1:9">
      <c r="A313" t="s">
        <v>771</v>
      </c>
      <c r="B313">
        <f>RCS</f>
        <v>9</v>
      </c>
      <c r="C313" s="3" t="s">
        <v>867</v>
      </c>
      <c r="D313" t="str">
        <f>B313&amp;"mΩ"</f>
        <v>9mΩ</v>
      </c>
    </row>
    <row r="314" spans="1:9">
      <c r="A314" t="s">
        <v>868</v>
      </c>
      <c r="B314">
        <v>100</v>
      </c>
      <c r="D314" t="s">
        <v>869</v>
      </c>
    </row>
    <row r="315" spans="1:9">
      <c r="A315" t="s">
        <v>870</v>
      </c>
      <c r="B315">
        <v>100</v>
      </c>
      <c r="D315" t="str">
        <f>100&amp;"Ω"</f>
        <v>100Ω</v>
      </c>
    </row>
  </sheetData>
  <sheetProtection selectLockedCells="1" selectUnlockedCells="1"/>
  <mergeCells count="2">
    <mergeCell ref="E5:H5"/>
    <mergeCell ref="A1:I1"/>
  </mergeCells>
  <phoneticPr fontId="6" type="noConversion"/>
  <pageMargins left="0.75" right="0.75" top="1" bottom="1" header="0.5" footer="0.5"/>
  <pageSetup orientation="portrait" r:id="rId1"/>
  <headerFooter alignWithMargins="0"/>
  <ignoredErrors>
    <ignoredError sqref="R79:R83" numberStoredAsText="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CC133"/>
  <sheetViews>
    <sheetView showWhiteSpace="0" zoomScale="70" zoomScaleNormal="70" workbookViewId="0">
      <pane ySplit="5" topLeftCell="A6" activePane="bottomLeft" state="frozen"/>
      <selection pane="bottomLeft" activeCell="F12" sqref="F12"/>
    </sheetView>
  </sheetViews>
  <sheetFormatPr defaultColWidth="9.1796875" defaultRowHeight="12.5"/>
  <cols>
    <col min="1" max="1" width="15.7265625" style="170" customWidth="1"/>
    <col min="2" max="2" width="11.54296875" style="170" customWidth="1"/>
    <col min="3" max="3" width="9.1796875" style="170"/>
    <col min="4" max="4" width="12.453125" style="170" bestFit="1" customWidth="1"/>
    <col min="5" max="5" width="51.453125" style="170" customWidth="1"/>
    <col min="6" max="6" width="13.453125" style="170" customWidth="1"/>
    <col min="7" max="7" width="10" style="170" customWidth="1"/>
    <col min="8" max="8" width="6.81640625" style="170" customWidth="1"/>
    <col min="9" max="9" width="12.453125" style="170" bestFit="1" customWidth="1"/>
    <col min="10" max="10" width="9.1796875" style="216" customWidth="1"/>
    <col min="11" max="11" width="8.81640625"/>
    <col min="13" max="13" width="10.81640625" customWidth="1"/>
    <col min="14" max="14" width="12" style="170" customWidth="1"/>
    <col min="15" max="15" width="12.7265625" style="216" customWidth="1"/>
    <col min="16" max="16" width="11.453125" style="216" customWidth="1"/>
    <col min="17" max="17" width="12.453125" style="216" customWidth="1"/>
    <col min="18" max="19" width="10.54296875" style="197" customWidth="1"/>
    <col min="20" max="20" width="10" style="197" customWidth="1"/>
    <col min="21" max="21" width="10.54296875" style="197" customWidth="1"/>
    <col min="22" max="22" width="8.453125" style="216" customWidth="1"/>
    <col min="23" max="23" width="9.26953125" style="216" customWidth="1"/>
    <col min="24" max="24" width="9.453125" style="170" customWidth="1"/>
    <col min="25" max="25" width="9.453125" style="216" customWidth="1"/>
    <col min="26" max="26" width="8.26953125" style="217" customWidth="1"/>
    <col min="27" max="27" width="9.54296875" style="216" customWidth="1"/>
    <col min="28" max="28" width="9.453125" style="216" bestFit="1" customWidth="1"/>
    <col min="29" max="29" width="8.54296875" style="216" customWidth="1"/>
    <col min="30" max="30" width="9.7265625" style="218" customWidth="1"/>
    <col min="31" max="31" width="9.1796875" style="218" customWidth="1"/>
    <col min="32" max="32" width="8.1796875" style="216" customWidth="1"/>
    <col min="33" max="33" width="10.26953125" style="216" customWidth="1"/>
    <col min="34" max="34" width="9.453125" style="216" customWidth="1"/>
    <col min="35" max="35" width="8.81640625"/>
    <col min="36" max="36" width="9.7265625" style="216" customWidth="1"/>
    <col min="37" max="37" width="11.54296875" style="216" customWidth="1"/>
    <col min="38" max="38" width="10.1796875" style="216" customWidth="1"/>
    <col min="39" max="39" width="11.1796875" style="216" customWidth="1"/>
    <col min="40" max="40" width="9.1796875" style="216"/>
    <col min="41" max="41" width="10.26953125" style="216" customWidth="1"/>
    <col min="42" max="42" width="9.81640625" style="216" customWidth="1"/>
    <col min="43" max="43" width="9.7265625" style="216" customWidth="1"/>
    <col min="44" max="44" width="10.26953125" style="216" customWidth="1"/>
    <col min="45" max="45" width="10.1796875" style="216" customWidth="1"/>
    <col min="46" max="46" width="10.453125" style="216" customWidth="1"/>
    <col min="47" max="47" width="11.26953125" style="216" customWidth="1"/>
    <col min="48" max="48" width="11.7265625" style="216" customWidth="1"/>
    <col min="49" max="49" width="10.453125" style="216" customWidth="1"/>
    <col min="50" max="50" width="11.453125" style="216" customWidth="1"/>
    <col min="51" max="51" width="10.1796875" style="216" customWidth="1"/>
    <col min="52" max="52" width="10" style="172" bestFit="1" customWidth="1"/>
    <col min="53" max="55" width="12.7265625" style="345" customWidth="1"/>
    <col min="56" max="56" width="14" style="345" customWidth="1"/>
    <col min="57" max="57" width="12.81640625" style="345" customWidth="1"/>
    <col min="58" max="58" width="10.453125" style="345" customWidth="1"/>
    <col min="59" max="59" width="9" style="345" customWidth="1"/>
    <col min="60" max="60" width="8.81640625" style="345" customWidth="1"/>
    <col min="61" max="61" width="10.81640625" style="345" customWidth="1"/>
    <col min="62" max="62" width="11.1796875" style="345" customWidth="1"/>
    <col min="63" max="64" width="9.1796875" style="345"/>
    <col min="65" max="65" width="8.81640625" style="172" customWidth="1"/>
    <col min="66" max="66" width="9.1796875" style="217"/>
    <col min="67" max="67" width="12.54296875" style="170" customWidth="1"/>
    <col min="68" max="68" width="13.54296875" style="172" customWidth="1"/>
    <col min="69" max="69" width="12.7265625" style="197" customWidth="1"/>
    <col min="70" max="70" width="3.7265625" style="170" customWidth="1"/>
    <col min="71" max="71" width="12.453125" style="170" bestFit="1" customWidth="1"/>
    <col min="72" max="72" width="3.54296875" style="170" customWidth="1"/>
    <col min="73" max="73" width="9.1796875" style="172"/>
    <col min="74" max="74" width="11.1796875" style="172" customWidth="1"/>
    <col min="75" max="75" width="9.1796875" style="172"/>
    <col min="76" max="76" width="4.7265625" style="170" customWidth="1"/>
    <col min="77" max="77" width="3.7265625" style="170" customWidth="1"/>
    <col min="78" max="78" width="12.453125" style="170" customWidth="1"/>
    <col min="79" max="79" width="11.81640625" style="170" customWidth="1"/>
    <col min="80" max="80" width="11.54296875" style="170" customWidth="1"/>
    <col min="81" max="81" width="11.7265625" style="170" customWidth="1"/>
    <col min="82" max="82" width="9.1796875" style="170"/>
    <col min="83" max="83" width="9.1796875" style="170" customWidth="1"/>
    <col min="84" max="16384" width="9.1796875" style="170"/>
  </cols>
  <sheetData>
    <row r="1" spans="1:81">
      <c r="A1" s="943" t="s">
        <v>794</v>
      </c>
      <c r="B1" s="943"/>
      <c r="C1" s="943"/>
      <c r="D1" s="943"/>
      <c r="E1" s="943"/>
    </row>
    <row r="2" spans="1:81" ht="15.5">
      <c r="A2" s="943"/>
      <c r="B2" s="943"/>
      <c r="C2" s="943"/>
      <c r="D2" s="943"/>
      <c r="E2" s="943"/>
      <c r="G2" s="944" t="s">
        <v>22</v>
      </c>
      <c r="H2" s="944"/>
      <c r="AF2" s="216">
        <v>1.9257738538542499E-2</v>
      </c>
      <c r="AG2" s="216">
        <v>7.417209872377299E-4</v>
      </c>
      <c r="AH2" s="216">
        <v>1.2403450565440797E-3</v>
      </c>
      <c r="AI2">
        <v>20</v>
      </c>
      <c r="AJ2" s="216">
        <v>7.1523178807947021</v>
      </c>
      <c r="AK2" s="216">
        <v>0</v>
      </c>
      <c r="AL2" s="216">
        <v>8.3629954314142624E-4</v>
      </c>
      <c r="AM2" s="216">
        <v>1.5780205303791562E-3</v>
      </c>
      <c r="AO2" s="268" t="e">
        <f>Ifb</f>
        <v>#NAME?</v>
      </c>
    </row>
    <row r="3" spans="1:81" ht="13" thickBot="1">
      <c r="A3" s="943"/>
      <c r="B3" s="943"/>
      <c r="C3" s="943"/>
      <c r="D3" s="943"/>
      <c r="E3" s="943"/>
    </row>
    <row r="4" spans="1:81" ht="13.5" thickBot="1">
      <c r="A4" s="945"/>
      <c r="B4" s="945"/>
      <c r="C4" s="945"/>
      <c r="D4" s="945"/>
      <c r="E4" s="945"/>
      <c r="H4" s="220" t="s">
        <v>23</v>
      </c>
      <c r="I4" s="221"/>
      <c r="J4" s="222"/>
      <c r="K4" s="946" t="s">
        <v>189</v>
      </c>
      <c r="L4" s="947"/>
      <c r="M4" s="948"/>
      <c r="N4" s="948"/>
      <c r="O4" s="948"/>
      <c r="P4" s="947"/>
      <c r="Q4" s="947"/>
      <c r="R4" s="948"/>
      <c r="S4" s="948"/>
      <c r="T4" s="948"/>
      <c r="U4" s="949"/>
      <c r="V4" s="223" t="s">
        <v>190</v>
      </c>
      <c r="W4" s="224"/>
      <c r="X4" s="225"/>
      <c r="Y4" s="226"/>
      <c r="Z4" s="227" t="s">
        <v>14</v>
      </c>
      <c r="AA4" s="228"/>
      <c r="AB4" s="222"/>
      <c r="AC4" s="229" t="s">
        <v>28</v>
      </c>
      <c r="AD4" s="230"/>
      <c r="AE4" s="231"/>
      <c r="AF4" s="223" t="s">
        <v>191</v>
      </c>
      <c r="AG4" s="224"/>
      <c r="AH4" s="224"/>
      <c r="AI4" s="442"/>
      <c r="AJ4" s="442"/>
      <c r="AK4" s="224"/>
      <c r="AL4" s="224"/>
      <c r="AM4" s="222"/>
      <c r="AN4" s="232" t="s">
        <v>192</v>
      </c>
      <c r="AO4" s="233"/>
      <c r="AP4" s="233"/>
      <c r="AQ4" s="451" t="s">
        <v>193</v>
      </c>
      <c r="AR4" s="452"/>
      <c r="AS4" s="452"/>
      <c r="AT4" s="233"/>
      <c r="AU4" s="234"/>
      <c r="AV4" s="235"/>
      <c r="AW4" s="236"/>
      <c r="AX4" s="223" t="s">
        <v>179</v>
      </c>
      <c r="AY4" s="224"/>
      <c r="AZ4" s="225"/>
      <c r="BA4" s="346"/>
      <c r="BB4" s="346"/>
      <c r="BC4" s="346"/>
      <c r="BD4" s="346"/>
      <c r="BE4" s="346"/>
      <c r="BF4" s="346"/>
      <c r="BG4" s="346"/>
      <c r="BH4" s="346"/>
      <c r="BI4" s="346"/>
      <c r="BJ4" s="346"/>
      <c r="BK4" s="346"/>
      <c r="BL4" s="346"/>
      <c r="BM4" s="339"/>
      <c r="BN4" s="343"/>
      <c r="BO4" s="225"/>
      <c r="BP4" s="341"/>
      <c r="BQ4" s="448"/>
      <c r="BR4" s="449"/>
      <c r="BS4" s="449"/>
      <c r="BT4" s="449"/>
      <c r="BU4" s="449"/>
      <c r="BV4" s="449"/>
      <c r="BW4" s="449"/>
      <c r="BX4" s="449"/>
      <c r="BY4" s="449"/>
      <c r="BZ4" s="449"/>
      <c r="CA4" s="449"/>
      <c r="CB4" s="449"/>
      <c r="CC4" s="450"/>
    </row>
    <row r="5" spans="1:81" ht="78" customHeight="1" thickBot="1">
      <c r="A5" s="237" t="s">
        <v>42</v>
      </c>
      <c r="B5" s="238"/>
      <c r="C5" s="238"/>
      <c r="D5" s="239"/>
      <c r="E5" s="240"/>
      <c r="F5" s="189"/>
      <c r="G5" s="189"/>
      <c r="H5" s="241" t="s">
        <v>25</v>
      </c>
      <c r="I5" s="242" t="s">
        <v>194</v>
      </c>
      <c r="J5" s="243" t="s">
        <v>195</v>
      </c>
      <c r="K5" s="251" t="s">
        <v>322</v>
      </c>
      <c r="L5" s="244" t="s">
        <v>48</v>
      </c>
      <c r="M5" s="244" t="s">
        <v>323</v>
      </c>
      <c r="N5" s="444" t="s">
        <v>196</v>
      </c>
      <c r="O5" s="525" t="s">
        <v>404</v>
      </c>
      <c r="P5" s="525" t="s">
        <v>405</v>
      </c>
      <c r="Q5" s="525" t="s">
        <v>406</v>
      </c>
      <c r="R5" s="245" t="s">
        <v>197</v>
      </c>
      <c r="S5" s="246" t="s">
        <v>198</v>
      </c>
      <c r="T5" s="246" t="s">
        <v>199</v>
      </c>
      <c r="U5" s="245" t="s">
        <v>327</v>
      </c>
      <c r="V5" s="247" t="s">
        <v>200</v>
      </c>
      <c r="W5" s="244" t="s">
        <v>201</v>
      </c>
      <c r="X5" s="242" t="s">
        <v>202</v>
      </c>
      <c r="Y5" s="243" t="s">
        <v>203</v>
      </c>
      <c r="Z5" s="248" t="s">
        <v>200</v>
      </c>
      <c r="AA5" s="244" t="s">
        <v>204</v>
      </c>
      <c r="AB5" s="243" t="s">
        <v>205</v>
      </c>
      <c r="AC5" s="247" t="s">
        <v>200</v>
      </c>
      <c r="AD5" s="249" t="s">
        <v>206</v>
      </c>
      <c r="AE5" s="250" t="s">
        <v>207</v>
      </c>
      <c r="AF5" s="247" t="s">
        <v>200</v>
      </c>
      <c r="AG5" s="244" t="s">
        <v>208</v>
      </c>
      <c r="AH5" s="244" t="s">
        <v>209</v>
      </c>
      <c r="AI5" s="244" t="s">
        <v>324</v>
      </c>
      <c r="AJ5" s="244" t="s">
        <v>321</v>
      </c>
      <c r="AK5" s="244" t="s">
        <v>210</v>
      </c>
      <c r="AL5" s="251" t="s">
        <v>211</v>
      </c>
      <c r="AM5" s="243" t="s">
        <v>212</v>
      </c>
      <c r="AN5" s="252" t="s">
        <v>200</v>
      </c>
      <c r="AO5" s="253" t="s">
        <v>213</v>
      </c>
      <c r="AP5" s="253" t="s">
        <v>214</v>
      </c>
      <c r="AQ5" s="253" t="s">
        <v>215</v>
      </c>
      <c r="AR5" s="253" t="s">
        <v>216</v>
      </c>
      <c r="AS5" s="254" t="s">
        <v>217</v>
      </c>
      <c r="AT5" s="252" t="s">
        <v>218</v>
      </c>
      <c r="AU5" s="252" t="s">
        <v>219</v>
      </c>
      <c r="AV5" s="252" t="s">
        <v>220</v>
      </c>
      <c r="AW5" s="255" t="s">
        <v>221</v>
      </c>
      <c r="AX5" s="247" t="s">
        <v>222</v>
      </c>
      <c r="AY5" s="244" t="s">
        <v>223</v>
      </c>
      <c r="AZ5" s="256" t="s">
        <v>224</v>
      </c>
      <c r="BA5" s="347" t="s">
        <v>225</v>
      </c>
      <c r="BB5" s="347" t="s">
        <v>226</v>
      </c>
      <c r="BC5" s="347" t="s">
        <v>227</v>
      </c>
      <c r="BD5" s="347" t="s">
        <v>228</v>
      </c>
      <c r="BE5" s="347" t="s">
        <v>229</v>
      </c>
      <c r="BF5" s="347" t="s">
        <v>230</v>
      </c>
      <c r="BG5" s="347" t="s">
        <v>231</v>
      </c>
      <c r="BH5" s="348" t="s">
        <v>232</v>
      </c>
      <c r="BI5" s="349" t="s">
        <v>233</v>
      </c>
      <c r="BJ5" s="350" t="s">
        <v>234</v>
      </c>
      <c r="BK5" s="351" t="s">
        <v>235</v>
      </c>
      <c r="BL5" s="350" t="s">
        <v>281</v>
      </c>
      <c r="BM5" s="340" t="s">
        <v>236</v>
      </c>
      <c r="BN5" s="344" t="s">
        <v>237</v>
      </c>
      <c r="BO5" s="257" t="s">
        <v>238</v>
      </c>
      <c r="BP5" s="342" t="s">
        <v>238</v>
      </c>
      <c r="BQ5" s="258" t="s">
        <v>239</v>
      </c>
      <c r="BR5" s="259"/>
      <c r="BS5" s="260" t="s">
        <v>240</v>
      </c>
      <c r="BT5" s="259"/>
      <c r="BU5" s="354" t="s">
        <v>283</v>
      </c>
      <c r="BV5" s="355" t="s">
        <v>284</v>
      </c>
      <c r="BW5" s="447" t="s">
        <v>282</v>
      </c>
      <c r="BX5" s="259"/>
      <c r="BY5" s="259"/>
      <c r="BZ5" s="446" t="s">
        <v>289</v>
      </c>
      <c r="CA5" s="255" t="s">
        <v>340</v>
      </c>
      <c r="CB5" s="355" t="s">
        <v>291</v>
      </c>
      <c r="CC5" s="447" t="s">
        <v>290</v>
      </c>
    </row>
    <row r="6" spans="1:81" ht="13">
      <c r="A6" s="261" t="s">
        <v>26</v>
      </c>
      <c r="B6" s="262" t="s">
        <v>43</v>
      </c>
      <c r="C6" s="263" t="s">
        <v>33</v>
      </c>
      <c r="D6" s="264" t="s">
        <v>90</v>
      </c>
      <c r="E6" s="265" t="s">
        <v>41</v>
      </c>
      <c r="F6" s="266"/>
      <c r="G6" s="266"/>
      <c r="H6" s="170">
        <v>0.1</v>
      </c>
      <c r="I6" s="456">
        <f t="shared" ref="I6:I37" si="0">IF(PLOT_TYPE=1, H6/100*Iout_max, min_I*EXP(H6*rr/100))</f>
        <v>1E-3</v>
      </c>
      <c r="J6" s="217"/>
      <c r="K6" s="217"/>
      <c r="L6" s="217"/>
      <c r="M6" s="217"/>
      <c r="N6" s="267"/>
      <c r="O6" s="172"/>
      <c r="P6" s="217"/>
      <c r="Q6" s="443"/>
      <c r="S6" s="268"/>
      <c r="T6" s="268"/>
      <c r="U6" s="268"/>
      <c r="AJ6" s="443"/>
      <c r="AY6" s="216">
        <f>Vout*I6</f>
        <v>2.4E-2</v>
      </c>
      <c r="AZ6" s="269">
        <f>AY6/(AY6+AX6)</f>
        <v>1</v>
      </c>
      <c r="BA6" s="345">
        <f>AG6/($AY6+$AX6)</f>
        <v>0</v>
      </c>
      <c r="BB6" s="345">
        <f>AO6/($AY6+$AX6)</f>
        <v>0</v>
      </c>
      <c r="BC6" s="345" t="e">
        <f>Vin*R6*(QgBot+Qg)/($AY6+$AX6)</f>
        <v>#NAME?</v>
      </c>
      <c r="BD6" s="345">
        <f>AK6/($AY6+$AX6)</f>
        <v>0</v>
      </c>
      <c r="BE6" s="345">
        <f>AQ6/(AX6+AY6)</f>
        <v>0</v>
      </c>
      <c r="BF6" s="345">
        <f>AR6/($AY6+$AX6)</f>
        <v>0</v>
      </c>
      <c r="BG6" s="345">
        <f t="shared" ref="BG6:BH9" si="1">W6/($AY6+$AX6)</f>
        <v>0</v>
      </c>
      <c r="BH6" s="345">
        <f t="shared" si="1"/>
        <v>0</v>
      </c>
      <c r="BI6" s="345">
        <f>(AB6+AE6)/($AY6+$AX6)</f>
        <v>0</v>
      </c>
      <c r="BJ6" s="219">
        <f>AT6/($AY6+$AX6)</f>
        <v>0</v>
      </c>
      <c r="BK6" s="219">
        <f>AX6/($AY6+$AX6)</f>
        <v>0</v>
      </c>
      <c r="BL6" s="219">
        <f>AZ6</f>
        <v>1</v>
      </c>
      <c r="BM6" s="172">
        <f>100*BL6</f>
        <v>100</v>
      </c>
      <c r="BN6" s="217">
        <f xml:space="preserve"> CHOOSE(MODE, I6*1000,#REF!)</f>
        <v>1</v>
      </c>
      <c r="BO6" s="172">
        <v>59.702372085750142</v>
      </c>
      <c r="BP6" s="219">
        <f>BO6/100</f>
        <v>0.59702372085750144</v>
      </c>
      <c r="BQ6" s="270">
        <f>R6/1000</f>
        <v>0</v>
      </c>
      <c r="BR6" s="271"/>
      <c r="BS6" s="219">
        <f>AL6/($AY6+$AX6)</f>
        <v>0</v>
      </c>
      <c r="BT6" s="272"/>
      <c r="BU6" s="172">
        <f>1000*AW6</f>
        <v>0</v>
      </c>
      <c r="BV6" s="172">
        <f>1000*AU6</f>
        <v>0</v>
      </c>
      <c r="BW6" s="172">
        <f>1000*Y6</f>
        <v>0</v>
      </c>
      <c r="BX6" s="219"/>
      <c r="BY6" s="219"/>
      <c r="BZ6" s="172">
        <f xml:space="preserve"> IF(MODE=1, BM6,#REF!)</f>
        <v>100</v>
      </c>
      <c r="CA6" s="172">
        <f xml:space="preserve"> IF(MODE=1, BU6,#REF!)</f>
        <v>0</v>
      </c>
      <c r="CB6" s="172">
        <f xml:space="preserve"> IF(MODE=1, BV6,#REF!)</f>
        <v>0</v>
      </c>
      <c r="CC6" s="172">
        <f xml:space="preserve"> IF(MODE=1, BW6,#REF!)</f>
        <v>0</v>
      </c>
    </row>
    <row r="7" spans="1:81" ht="13">
      <c r="A7" s="418"/>
      <c r="B7" s="262"/>
      <c r="C7" s="263"/>
      <c r="D7" s="264"/>
      <c r="E7" s="265"/>
      <c r="F7" s="266"/>
      <c r="G7" s="266"/>
      <c r="H7" s="170">
        <v>1</v>
      </c>
      <c r="I7" s="456">
        <f t="shared" si="0"/>
        <v>0.01</v>
      </c>
      <c r="J7" s="217"/>
      <c r="K7" s="217"/>
      <c r="L7" s="217"/>
      <c r="M7" s="217"/>
      <c r="N7" s="267"/>
      <c r="O7" s="172"/>
      <c r="P7" s="217"/>
      <c r="Q7" s="443"/>
      <c r="S7" s="268"/>
      <c r="T7" s="268"/>
      <c r="U7" s="268"/>
      <c r="AJ7" s="443"/>
      <c r="AY7" s="216">
        <f>Vout*I7</f>
        <v>0.24</v>
      </c>
      <c r="AZ7" s="269">
        <f>AY7/(AY7+AX7)</f>
        <v>1</v>
      </c>
      <c r="BA7" s="345">
        <f>AG7/($AY7+$AX7)</f>
        <v>0</v>
      </c>
      <c r="BB7" s="345">
        <f>AO7/($AY7+$AX7)</f>
        <v>0</v>
      </c>
      <c r="BC7" s="345" t="e">
        <f>Vin*R7*(QgBot+Qg)/($AY7+$AX7)</f>
        <v>#NAME?</v>
      </c>
      <c r="BD7" s="345">
        <f>AK7/($AY7+$AX7)</f>
        <v>0</v>
      </c>
      <c r="BE7" s="345">
        <f>AQ7/(AX7+AY7)</f>
        <v>0</v>
      </c>
      <c r="BF7" s="345">
        <f>AR7/($AY7+$AX7)</f>
        <v>0</v>
      </c>
      <c r="BG7" s="345">
        <f t="shared" si="1"/>
        <v>0</v>
      </c>
      <c r="BH7" s="345">
        <f t="shared" si="1"/>
        <v>0</v>
      </c>
      <c r="BI7" s="345">
        <f>(AB7+AE7)/($AY7+$AX7)</f>
        <v>0</v>
      </c>
      <c r="BJ7" s="219">
        <f>AT7/($AY7+$AX7)</f>
        <v>0</v>
      </c>
      <c r="BK7" s="219">
        <f>AX7/($AY7+$AX7)</f>
        <v>0</v>
      </c>
      <c r="BL7" s="219">
        <f>AZ7</f>
        <v>1</v>
      </c>
      <c r="BM7" s="172">
        <f>100*BL7</f>
        <v>100</v>
      </c>
      <c r="BN7" s="217">
        <f xml:space="preserve"> CHOOSE(MODE, I7*1000,#REF!)</f>
        <v>10</v>
      </c>
      <c r="BO7" s="172">
        <v>83.682599061581868</v>
      </c>
      <c r="BP7" s="219">
        <f>BO7/100</f>
        <v>0.83682599061581864</v>
      </c>
      <c r="BQ7" s="270">
        <f>R7/1000</f>
        <v>0</v>
      </c>
      <c r="BR7" s="271"/>
      <c r="BS7" s="219">
        <f>AL7/($AY7+$AX7)</f>
        <v>0</v>
      </c>
      <c r="BT7" s="272"/>
      <c r="BU7" s="172">
        <f>1000*AW7</f>
        <v>0</v>
      </c>
      <c r="BV7" s="172">
        <f>1000*AU7</f>
        <v>0</v>
      </c>
      <c r="BW7" s="172">
        <f>1000*Y7</f>
        <v>0</v>
      </c>
      <c r="BX7" s="219"/>
      <c r="BY7" s="219"/>
      <c r="BZ7" s="172">
        <f xml:space="preserve"> IF(MODE=1, BM7,#REF!)</f>
        <v>100</v>
      </c>
      <c r="CA7" s="172">
        <f xml:space="preserve"> IF(MODE=1, BU7,#REF!)</f>
        <v>0</v>
      </c>
      <c r="CB7" s="172">
        <f xml:space="preserve"> IF(MODE=1, BV7,#REF!)</f>
        <v>0</v>
      </c>
      <c r="CC7" s="172">
        <f xml:space="preserve"> IF(MODE=1, BW7,#REF!)</f>
        <v>0</v>
      </c>
    </row>
    <row r="8" spans="1:81" ht="13">
      <c r="A8" s="273" t="s">
        <v>3</v>
      </c>
      <c r="B8" s="274">
        <f>Vin</f>
        <v>24</v>
      </c>
      <c r="C8" s="275" t="s">
        <v>0</v>
      </c>
      <c r="D8" s="194">
        <f>B8</f>
        <v>24</v>
      </c>
      <c r="E8" s="188" t="s">
        <v>3</v>
      </c>
      <c r="F8" s="266"/>
      <c r="G8" s="266"/>
      <c r="H8" s="170">
        <v>2</v>
      </c>
      <c r="I8" s="456">
        <f t="shared" si="0"/>
        <v>0.02</v>
      </c>
      <c r="J8" s="217"/>
      <c r="K8" s="217"/>
      <c r="L8" s="217"/>
      <c r="M8" s="217"/>
      <c r="N8" s="267"/>
      <c r="O8" s="172"/>
      <c r="P8" s="217"/>
      <c r="Q8" s="443"/>
      <c r="S8" s="268"/>
      <c r="T8" s="268"/>
      <c r="U8" s="268"/>
      <c r="AJ8" s="443"/>
      <c r="AY8" s="216">
        <f>Vout*I8</f>
        <v>0.48</v>
      </c>
      <c r="AZ8" s="269">
        <f>AY8/(AY8+AX8)</f>
        <v>1</v>
      </c>
      <c r="BA8" s="345">
        <f>AG8/($AY8+$AX8)</f>
        <v>0</v>
      </c>
      <c r="BB8" s="345">
        <f>AO8/($AY8+$AX8)</f>
        <v>0</v>
      </c>
      <c r="BC8" s="345" t="e">
        <f>Vin*R8*(QgBot+Qg)/($AY8+$AX8)</f>
        <v>#NAME?</v>
      </c>
      <c r="BD8" s="345">
        <f>AK8/($AY8+$AX8)</f>
        <v>0</v>
      </c>
      <c r="BE8" s="345">
        <f>AQ8/(AX8+AY8)</f>
        <v>0</v>
      </c>
      <c r="BF8" s="345">
        <f>AR8/($AY8+$AX8)</f>
        <v>0</v>
      </c>
      <c r="BG8" s="345">
        <f t="shared" si="1"/>
        <v>0</v>
      </c>
      <c r="BH8" s="345">
        <f t="shared" si="1"/>
        <v>0</v>
      </c>
      <c r="BI8" s="345">
        <f>(AB8+AE8)/($AY8+$AX8)</f>
        <v>0</v>
      </c>
      <c r="BJ8" s="219">
        <f>AT8/($AY8+$AX8)</f>
        <v>0</v>
      </c>
      <c r="BK8" s="219">
        <f>AX8/($AY8+$AX8)</f>
        <v>0</v>
      </c>
      <c r="BL8" s="219">
        <f>AZ8</f>
        <v>1</v>
      </c>
      <c r="BM8" s="172">
        <f>100*BL8</f>
        <v>100</v>
      </c>
      <c r="BN8" s="217">
        <f xml:space="preserve"> CHOOSE(MODE, I8*1000,#REF!)</f>
        <v>20</v>
      </c>
      <c r="BO8" s="172">
        <v>85.591306536493136</v>
      </c>
      <c r="BP8" s="219">
        <f>BO8/100</f>
        <v>0.85591306536493139</v>
      </c>
      <c r="BQ8" s="270">
        <f>R8/1000</f>
        <v>0</v>
      </c>
      <c r="BR8" s="271"/>
      <c r="BS8" s="219">
        <f>AL8/($AY8+$AX8)</f>
        <v>0</v>
      </c>
      <c r="BT8" s="272"/>
      <c r="BU8" s="172">
        <f>1000*AW8</f>
        <v>0</v>
      </c>
      <c r="BV8" s="172">
        <f>1000*AU8</f>
        <v>0</v>
      </c>
      <c r="BW8" s="172">
        <f>1000*Y8</f>
        <v>0</v>
      </c>
      <c r="BX8" s="219"/>
      <c r="BY8" s="219"/>
      <c r="BZ8" s="172">
        <f xml:space="preserve"> IF(MODE=1, BM8,#REF!)</f>
        <v>100</v>
      </c>
      <c r="CA8" s="172">
        <f xml:space="preserve"> IF(MODE=1, BU8,#REF!)</f>
        <v>0</v>
      </c>
      <c r="CB8" s="172">
        <f xml:space="preserve"> IF(MODE=1, BV8,#REF!)</f>
        <v>0</v>
      </c>
      <c r="CC8" s="172">
        <f xml:space="preserve"> IF(MODE=1, BW8,#REF!)</f>
        <v>0</v>
      </c>
    </row>
    <row r="9" spans="1:81" ht="13">
      <c r="A9" s="276" t="s">
        <v>4</v>
      </c>
      <c r="B9" s="274">
        <f>Vout</f>
        <v>24</v>
      </c>
      <c r="C9" s="275" t="s">
        <v>0</v>
      </c>
      <c r="D9" s="194">
        <f>B9</f>
        <v>24</v>
      </c>
      <c r="E9" s="188" t="s">
        <v>4</v>
      </c>
      <c r="F9" s="266"/>
      <c r="G9" s="266"/>
      <c r="H9" s="170">
        <v>3</v>
      </c>
      <c r="I9" s="456">
        <f t="shared" si="0"/>
        <v>0.03</v>
      </c>
      <c r="J9" s="217"/>
      <c r="K9" s="217"/>
      <c r="L9" s="217"/>
      <c r="M9" s="217"/>
      <c r="N9" s="267"/>
      <c r="O9" s="172"/>
      <c r="P9" s="217"/>
      <c r="Q9" s="443"/>
      <c r="S9" s="268"/>
      <c r="T9" s="268"/>
      <c r="U9" s="268"/>
      <c r="AJ9" s="443"/>
      <c r="AY9" s="216">
        <f>Vout*I9</f>
        <v>0.72</v>
      </c>
      <c r="AZ9" s="269">
        <f>AY9/(AY9+AX9)</f>
        <v>1</v>
      </c>
      <c r="BA9" s="345">
        <f>AG9/($AY9+$AX9)</f>
        <v>0</v>
      </c>
      <c r="BB9" s="345">
        <f>AO9/($AY9+$AX9)</f>
        <v>0</v>
      </c>
      <c r="BC9" s="345" t="e">
        <f>Vin*R9*(QgBot+Qg)/($AY9+$AX9)</f>
        <v>#NAME?</v>
      </c>
      <c r="BD9" s="345">
        <f>AK9/($AY9+$AX9)</f>
        <v>0</v>
      </c>
      <c r="BE9" s="345">
        <f>AQ9/(AX9+AY9)</f>
        <v>0</v>
      </c>
      <c r="BF9" s="345">
        <f>AR9/($AY9+$AX9)</f>
        <v>0</v>
      </c>
      <c r="BG9" s="345">
        <f t="shared" si="1"/>
        <v>0</v>
      </c>
      <c r="BH9" s="345">
        <f t="shared" si="1"/>
        <v>0</v>
      </c>
      <c r="BI9" s="345">
        <f>(AB9+AE9)/($AY9+$AX9)</f>
        <v>0</v>
      </c>
      <c r="BJ9" s="219">
        <f>AT9/($AY9+$AX9)</f>
        <v>0</v>
      </c>
      <c r="BK9" s="219">
        <f>AX9/($AY9+$AX9)</f>
        <v>0</v>
      </c>
      <c r="BL9" s="219">
        <f>AZ9</f>
        <v>1</v>
      </c>
      <c r="BM9" s="172">
        <f>100*BL9</f>
        <v>100</v>
      </c>
      <c r="BN9" s="217">
        <f xml:space="preserve"> CHOOSE(MODE, I9*1000,#REF!)</f>
        <v>30</v>
      </c>
      <c r="BO9" s="172">
        <v>86.246143423411425</v>
      </c>
      <c r="BP9" s="219">
        <f>BO9/100</f>
        <v>0.86246143423411425</v>
      </c>
      <c r="BQ9" s="270">
        <f>R9/1000</f>
        <v>0</v>
      </c>
      <c r="BR9" s="271"/>
      <c r="BS9" s="219">
        <f>AL9/($AY9+$AX9)</f>
        <v>0</v>
      </c>
      <c r="BT9" s="272"/>
      <c r="BU9" s="172">
        <f>1000*AW9</f>
        <v>0</v>
      </c>
      <c r="BV9" s="172">
        <f>1000*AU9</f>
        <v>0</v>
      </c>
      <c r="BW9" s="172">
        <f>1000*Y9</f>
        <v>0</v>
      </c>
      <c r="BX9" s="219"/>
      <c r="BY9" s="219"/>
      <c r="BZ9" s="172">
        <f xml:space="preserve"> IF(MODE=1, BM9,#REF!)</f>
        <v>100</v>
      </c>
      <c r="CA9" s="172">
        <f xml:space="preserve"> IF(MODE=1, BU9,#REF!)</f>
        <v>0</v>
      </c>
      <c r="CB9" s="172">
        <f xml:space="preserve"> IF(MODE=1, BV9,#REF!)</f>
        <v>0</v>
      </c>
      <c r="CC9" s="172">
        <f xml:space="preserve"> IF(MODE=1, BW9,#REF!)</f>
        <v>0</v>
      </c>
    </row>
    <row r="10" spans="1:81" ht="13">
      <c r="A10" s="276" t="s">
        <v>5</v>
      </c>
      <c r="B10" s="274">
        <f>Iout</f>
        <v>1</v>
      </c>
      <c r="C10" s="275" t="s">
        <v>1</v>
      </c>
      <c r="D10" s="194">
        <f>B10</f>
        <v>1</v>
      </c>
      <c r="E10" s="277" t="s">
        <v>241</v>
      </c>
      <c r="F10" s="266"/>
      <c r="G10" s="266"/>
      <c r="H10" s="170">
        <v>4</v>
      </c>
      <c r="I10" s="456">
        <f t="shared" si="0"/>
        <v>0.04</v>
      </c>
      <c r="J10" s="217"/>
      <c r="K10" s="217"/>
      <c r="L10" s="217"/>
      <c r="M10" s="217"/>
      <c r="N10" s="267"/>
      <c r="O10" s="172"/>
      <c r="P10" s="217"/>
      <c r="Q10" s="443"/>
      <c r="S10" s="268"/>
      <c r="T10" s="268"/>
      <c r="U10" s="268"/>
      <c r="AJ10" s="443"/>
      <c r="AZ10" s="269"/>
      <c r="BJ10" s="219"/>
      <c r="BK10" s="219"/>
      <c r="BL10" s="219"/>
      <c r="BO10" s="172"/>
      <c r="BP10" s="219"/>
      <c r="BQ10" s="270"/>
      <c r="BR10" s="271"/>
      <c r="BS10" s="219"/>
      <c r="BT10" s="272"/>
      <c r="BX10" s="219"/>
      <c r="BY10" s="219"/>
      <c r="BZ10" s="172"/>
      <c r="CA10" s="172"/>
      <c r="CB10" s="172"/>
      <c r="CC10" s="172"/>
    </row>
    <row r="11" spans="1:81" ht="13">
      <c r="A11" s="276" t="s">
        <v>139</v>
      </c>
      <c r="B11" s="357">
        <f>Vout/(Fsw/1000)*100000/16</f>
        <v>12500</v>
      </c>
      <c r="C11" s="278" t="s">
        <v>242</v>
      </c>
      <c r="D11" s="292">
        <f>B11*1000</f>
        <v>12500000</v>
      </c>
      <c r="E11" s="277"/>
      <c r="F11" s="266"/>
      <c r="G11" s="266"/>
      <c r="H11" s="170">
        <v>5</v>
      </c>
      <c r="I11" s="456">
        <f t="shared" si="0"/>
        <v>0.05</v>
      </c>
      <c r="J11" s="217"/>
      <c r="K11" s="217"/>
      <c r="L11" s="217"/>
      <c r="M11" s="217"/>
      <c r="N11" s="267"/>
      <c r="O11" s="172"/>
      <c r="P11" s="217"/>
      <c r="Q11" s="443"/>
      <c r="S11" s="268"/>
      <c r="T11" s="268"/>
      <c r="U11" s="268"/>
      <c r="AJ11" s="443"/>
      <c r="AZ11" s="269"/>
      <c r="BJ11" s="219"/>
      <c r="BK11" s="219"/>
      <c r="BL11" s="219"/>
      <c r="BO11" s="172"/>
      <c r="BP11" s="219"/>
      <c r="BQ11" s="270"/>
      <c r="BR11" s="271"/>
      <c r="BS11" s="219"/>
      <c r="BT11" s="272"/>
      <c r="BX11" s="219"/>
      <c r="BY11" s="219"/>
      <c r="BZ11" s="172"/>
      <c r="CA11" s="172"/>
      <c r="CB11" s="172"/>
      <c r="CC11" s="172"/>
    </row>
    <row r="12" spans="1:81" ht="13">
      <c r="A12" s="276" t="s">
        <v>243</v>
      </c>
      <c r="B12" s="274">
        <v>25</v>
      </c>
      <c r="C12" s="275" t="s">
        <v>102</v>
      </c>
      <c r="D12" s="194">
        <f>B12</f>
        <v>25</v>
      </c>
      <c r="E12" s="277" t="s">
        <v>244</v>
      </c>
      <c r="F12" s="266">
        <f>Turns_Ratio</f>
        <v>16</v>
      </c>
      <c r="H12" s="170">
        <v>6</v>
      </c>
      <c r="I12" s="456">
        <f t="shared" si="0"/>
        <v>0.06</v>
      </c>
      <c r="J12" s="217"/>
      <c r="K12" s="217"/>
      <c r="L12" s="217"/>
      <c r="M12" s="217"/>
      <c r="N12" s="267"/>
      <c r="O12" s="172"/>
      <c r="P12" s="217"/>
      <c r="Q12" s="443"/>
      <c r="S12" s="268"/>
      <c r="T12" s="268"/>
      <c r="U12" s="268"/>
      <c r="AJ12" s="443"/>
      <c r="AZ12" s="269"/>
      <c r="BJ12" s="219"/>
      <c r="BK12" s="219"/>
      <c r="BL12" s="219"/>
      <c r="BO12" s="172"/>
      <c r="BP12" s="219"/>
      <c r="BQ12" s="270"/>
      <c r="BR12" s="271"/>
      <c r="BS12" s="219"/>
      <c r="BT12" s="272"/>
      <c r="BX12" s="219"/>
      <c r="BY12" s="219"/>
      <c r="BZ12" s="172"/>
      <c r="CA12" s="172"/>
      <c r="CB12" s="172"/>
      <c r="CC12" s="172"/>
    </row>
    <row r="13" spans="1:81" ht="13">
      <c r="A13" s="279" t="s">
        <v>245</v>
      </c>
      <c r="B13" s="280">
        <v>5</v>
      </c>
      <c r="C13" s="275" t="s">
        <v>0</v>
      </c>
      <c r="D13" s="194">
        <f>B13</f>
        <v>5</v>
      </c>
      <c r="E13" s="277"/>
      <c r="F13" s="266"/>
      <c r="G13" s="266"/>
      <c r="H13" s="170">
        <v>7</v>
      </c>
      <c r="I13" s="456">
        <f t="shared" si="0"/>
        <v>7.0000000000000007E-2</v>
      </c>
      <c r="J13" s="217"/>
      <c r="K13" s="217"/>
      <c r="L13" s="217"/>
      <c r="M13" s="217"/>
      <c r="N13" s="267"/>
      <c r="O13" s="172"/>
      <c r="P13" s="217"/>
      <c r="Q13" s="443"/>
      <c r="S13" s="268"/>
      <c r="T13" s="268"/>
      <c r="U13" s="268"/>
      <c r="AJ13" s="443"/>
      <c r="AZ13" s="269"/>
      <c r="BJ13" s="219"/>
      <c r="BK13" s="219"/>
      <c r="BL13" s="219"/>
      <c r="BO13" s="172"/>
      <c r="BP13" s="219"/>
      <c r="BQ13" s="270"/>
      <c r="BR13" s="271"/>
      <c r="BS13" s="219"/>
      <c r="BT13" s="272"/>
      <c r="BX13" s="219"/>
      <c r="BY13" s="219"/>
      <c r="BZ13" s="172"/>
      <c r="CA13" s="172"/>
      <c r="CB13" s="172"/>
      <c r="CC13" s="172"/>
    </row>
    <row r="14" spans="1:81" ht="13">
      <c r="F14" s="266"/>
      <c r="G14" s="266"/>
      <c r="H14" s="170">
        <v>8</v>
      </c>
      <c r="I14" s="456">
        <f t="shared" si="0"/>
        <v>0.08</v>
      </c>
      <c r="J14" s="217"/>
      <c r="K14" s="217"/>
      <c r="L14" s="217"/>
      <c r="M14" s="217"/>
      <c r="N14" s="267"/>
      <c r="O14" s="172"/>
      <c r="P14" s="217"/>
      <c r="Q14" s="443"/>
      <c r="S14" s="268"/>
      <c r="T14" s="268"/>
      <c r="U14" s="268"/>
      <c r="AJ14" s="443"/>
      <c r="AZ14" s="269"/>
      <c r="BJ14" s="219"/>
      <c r="BK14" s="219"/>
      <c r="BL14" s="219"/>
      <c r="BO14" s="172"/>
      <c r="BP14" s="219"/>
      <c r="BQ14" s="270"/>
      <c r="BR14" s="271"/>
      <c r="BS14" s="219"/>
      <c r="BT14" s="272"/>
      <c r="BX14" s="219"/>
      <c r="BY14" s="219"/>
      <c r="BZ14" s="172"/>
      <c r="CA14" s="172"/>
      <c r="CB14" s="172"/>
      <c r="CC14" s="172"/>
    </row>
    <row r="15" spans="1:81" ht="13">
      <c r="A15" s="281" t="s">
        <v>34</v>
      </c>
      <c r="B15" s="239"/>
      <c r="C15" s="239"/>
      <c r="D15" s="239"/>
      <c r="E15" s="240"/>
      <c r="F15" s="266"/>
      <c r="G15" s="266"/>
      <c r="H15" s="170">
        <v>9</v>
      </c>
      <c r="I15" s="456">
        <f t="shared" si="0"/>
        <v>0.09</v>
      </c>
      <c r="J15" s="217"/>
      <c r="K15" s="217"/>
      <c r="L15" s="217"/>
      <c r="M15" s="217"/>
      <c r="N15" s="267"/>
      <c r="O15" s="172"/>
      <c r="P15" s="217"/>
      <c r="Q15" s="443"/>
      <c r="S15" s="268"/>
      <c r="T15" s="268"/>
      <c r="U15" s="268"/>
      <c r="AJ15" s="443"/>
      <c r="AZ15" s="269"/>
      <c r="BJ15" s="219"/>
      <c r="BK15" s="219"/>
      <c r="BL15" s="219"/>
      <c r="BO15" s="172"/>
      <c r="BP15" s="219"/>
      <c r="BQ15" s="270"/>
      <c r="BR15" s="271"/>
      <c r="BS15" s="219"/>
      <c r="BT15" s="272"/>
      <c r="BX15" s="219"/>
      <c r="BY15" s="219"/>
      <c r="BZ15" s="172"/>
      <c r="CA15" s="172"/>
      <c r="CB15" s="172"/>
      <c r="CC15" s="172"/>
    </row>
    <row r="16" spans="1:81" ht="13">
      <c r="A16" s="282" t="s">
        <v>26</v>
      </c>
      <c r="B16" s="262" t="s">
        <v>6</v>
      </c>
      <c r="C16" s="283" t="s">
        <v>33</v>
      </c>
      <c r="D16" s="284" t="s">
        <v>90</v>
      </c>
      <c r="E16" s="265" t="s">
        <v>41</v>
      </c>
      <c r="F16" s="266"/>
      <c r="G16" s="266"/>
      <c r="H16" s="170">
        <v>10</v>
      </c>
      <c r="I16" s="456">
        <f t="shared" si="0"/>
        <v>0.1</v>
      </c>
      <c r="J16" s="217"/>
      <c r="K16" s="217"/>
      <c r="L16" s="217"/>
      <c r="M16" s="217"/>
      <c r="N16" s="267"/>
      <c r="O16" s="172"/>
      <c r="P16" s="217"/>
      <c r="Q16" s="443"/>
      <c r="S16" s="268"/>
      <c r="T16" s="268"/>
      <c r="U16" s="268"/>
      <c r="AJ16" s="443"/>
      <c r="AZ16" s="269"/>
      <c r="BJ16" s="219"/>
      <c r="BK16" s="219"/>
      <c r="BL16" s="219"/>
      <c r="BO16" s="172"/>
      <c r="BP16" s="219"/>
      <c r="BQ16" s="270"/>
      <c r="BR16" s="271"/>
      <c r="BS16" s="219"/>
      <c r="BT16" s="272"/>
      <c r="BX16" s="219"/>
      <c r="BY16" s="219"/>
      <c r="BZ16" s="172"/>
      <c r="CA16" s="172"/>
      <c r="CB16" s="172"/>
      <c r="CC16" s="172"/>
    </row>
    <row r="17" spans="1:81" ht="13">
      <c r="A17" s="285" t="s">
        <v>246</v>
      </c>
      <c r="B17" s="286">
        <f>Vout/Vin/Fsw*1000000</f>
        <v>83.333333333333329</v>
      </c>
      <c r="C17" s="287" t="s">
        <v>247</v>
      </c>
      <c r="D17" s="288">
        <f>B17/1000000</f>
        <v>8.3333333333333331E-5</v>
      </c>
      <c r="E17" s="277" t="s">
        <v>248</v>
      </c>
      <c r="F17" s="266"/>
      <c r="G17" s="266"/>
      <c r="H17" s="170">
        <v>11</v>
      </c>
      <c r="I17" s="456">
        <f t="shared" si="0"/>
        <v>0.11</v>
      </c>
      <c r="J17" s="217"/>
      <c r="K17" s="217"/>
      <c r="L17" s="217"/>
      <c r="M17" s="217"/>
      <c r="N17" s="267"/>
      <c r="O17" s="172"/>
      <c r="P17" s="217"/>
      <c r="Q17" s="443"/>
      <c r="S17" s="268"/>
      <c r="T17" s="268"/>
      <c r="U17" s="268"/>
      <c r="AJ17" s="443"/>
      <c r="AZ17" s="269"/>
      <c r="BJ17" s="219"/>
      <c r="BK17" s="219"/>
      <c r="BL17" s="219"/>
      <c r="BO17" s="172"/>
      <c r="BP17" s="219"/>
      <c r="BQ17" s="270"/>
      <c r="BR17" s="271"/>
      <c r="BS17" s="219"/>
      <c r="BT17" s="272"/>
      <c r="BX17" s="219"/>
      <c r="BY17" s="219"/>
      <c r="BZ17" s="172"/>
      <c r="CA17" s="172"/>
      <c r="CB17" s="172"/>
      <c r="CC17" s="172"/>
    </row>
    <row r="18" spans="1:81" ht="13">
      <c r="A18" s="285" t="s">
        <v>249</v>
      </c>
      <c r="B18" s="286"/>
      <c r="C18" s="287" t="s">
        <v>247</v>
      </c>
      <c r="D18" s="289">
        <f>B18/1000000</f>
        <v>0</v>
      </c>
      <c r="E18" s="275" t="s">
        <v>250</v>
      </c>
      <c r="F18" s="266"/>
      <c r="G18" s="266"/>
      <c r="H18" s="170">
        <v>12</v>
      </c>
      <c r="I18" s="456">
        <f t="shared" si="0"/>
        <v>0.12</v>
      </c>
      <c r="J18" s="217"/>
      <c r="K18" s="217"/>
      <c r="L18" s="217"/>
      <c r="M18" s="217"/>
      <c r="N18" s="267"/>
      <c r="O18" s="172"/>
      <c r="P18" s="217"/>
      <c r="Q18" s="443"/>
      <c r="S18" s="268"/>
      <c r="T18" s="268"/>
      <c r="U18" s="268"/>
      <c r="AJ18" s="443"/>
      <c r="AZ18" s="269"/>
      <c r="BJ18" s="219"/>
      <c r="BK18" s="219"/>
      <c r="BL18" s="219"/>
      <c r="BO18" s="172"/>
      <c r="BP18" s="219"/>
      <c r="BQ18" s="270"/>
      <c r="BR18" s="271"/>
      <c r="BS18" s="219"/>
      <c r="BT18" s="272"/>
      <c r="BX18" s="219"/>
      <c r="BY18" s="219"/>
      <c r="BZ18" s="172"/>
      <c r="CA18" s="172"/>
      <c r="CB18" s="172"/>
      <c r="CC18" s="172"/>
    </row>
    <row r="19" spans="1:81" ht="15.5">
      <c r="A19" s="279" t="s">
        <v>251</v>
      </c>
      <c r="B19" s="290">
        <f>(Vin-Vout-(Rdcr_pri+Rdson)*Iout)/L*OnTime*1000</f>
        <v>-583.33333333333326</v>
      </c>
      <c r="C19" s="277" t="s">
        <v>30</v>
      </c>
      <c r="D19" s="190">
        <f>B19/1000</f>
        <v>-0.58333333333333326</v>
      </c>
      <c r="E19" s="275" t="s">
        <v>252</v>
      </c>
      <c r="F19" s="266"/>
      <c r="G19" s="266"/>
      <c r="H19" s="170">
        <v>13</v>
      </c>
      <c r="I19" s="456">
        <f t="shared" si="0"/>
        <v>0.13</v>
      </c>
      <c r="J19" s="217"/>
      <c r="K19" s="217"/>
      <c r="L19" s="217"/>
      <c r="M19" s="217"/>
      <c r="N19" s="267"/>
      <c r="O19" s="172"/>
      <c r="P19" s="217"/>
      <c r="Q19" s="443"/>
      <c r="S19" s="268"/>
      <c r="T19" s="268"/>
      <c r="U19" s="268"/>
      <c r="AJ19" s="443"/>
      <c r="AZ19" s="269"/>
      <c r="BJ19" s="219"/>
      <c r="BK19" s="219"/>
      <c r="BL19" s="219"/>
      <c r="BO19" s="172"/>
      <c r="BP19" s="219"/>
      <c r="BQ19" s="270"/>
      <c r="BR19" s="271"/>
      <c r="BS19" s="219"/>
      <c r="BT19" s="272"/>
      <c r="BX19" s="219"/>
      <c r="BY19" s="219"/>
      <c r="BZ19" s="172"/>
      <c r="CA19" s="172"/>
      <c r="CB19" s="172"/>
      <c r="CC19" s="172"/>
    </row>
    <row r="20" spans="1:81" ht="13">
      <c r="A20" s="285" t="s">
        <v>253</v>
      </c>
      <c r="B20" s="291">
        <v>12</v>
      </c>
      <c r="C20" s="275" t="s">
        <v>2</v>
      </c>
      <c r="D20" s="292">
        <f>B20*1000</f>
        <v>12000</v>
      </c>
      <c r="E20" s="277" t="s">
        <v>254</v>
      </c>
      <c r="F20" s="359"/>
      <c r="G20" s="266"/>
      <c r="H20" s="170">
        <v>14</v>
      </c>
      <c r="I20" s="456">
        <f t="shared" si="0"/>
        <v>0.14000000000000001</v>
      </c>
      <c r="J20" s="217"/>
      <c r="K20" s="217"/>
      <c r="L20" s="217"/>
      <c r="M20" s="217"/>
      <c r="N20" s="267"/>
      <c r="O20" s="172"/>
      <c r="P20" s="217"/>
      <c r="Q20" s="443"/>
      <c r="S20" s="268"/>
      <c r="T20" s="268"/>
      <c r="U20" s="268"/>
      <c r="AJ20" s="443"/>
      <c r="AZ20" s="269"/>
      <c r="BJ20" s="219"/>
      <c r="BK20" s="219"/>
      <c r="BL20" s="219"/>
      <c r="BO20" s="172"/>
      <c r="BP20" s="219"/>
      <c r="BQ20" s="270"/>
      <c r="BR20" s="271"/>
      <c r="BS20" s="219"/>
      <c r="BT20" s="272"/>
      <c r="BX20" s="219"/>
      <c r="BY20" s="219"/>
      <c r="BZ20" s="172"/>
      <c r="CA20" s="172"/>
      <c r="CB20" s="172"/>
      <c r="CC20" s="172"/>
    </row>
    <row r="21" spans="1:81" ht="13">
      <c r="A21" s="285" t="s">
        <v>410</v>
      </c>
      <c r="B21" s="290">
        <v>350</v>
      </c>
      <c r="C21" s="277" t="s">
        <v>2</v>
      </c>
      <c r="D21" s="292">
        <f>B21*1000</f>
        <v>350000</v>
      </c>
      <c r="E21" s="277" t="s">
        <v>411</v>
      </c>
      <c r="F21" s="266"/>
      <c r="G21" s="266"/>
      <c r="H21" s="170">
        <v>15</v>
      </c>
      <c r="I21" s="456">
        <f t="shared" si="0"/>
        <v>0.15</v>
      </c>
      <c r="J21" s="217"/>
      <c r="K21" s="217"/>
      <c r="L21" s="217"/>
      <c r="M21" s="217"/>
      <c r="N21" s="267"/>
      <c r="O21" s="172"/>
      <c r="P21" s="217"/>
      <c r="Q21" s="443"/>
      <c r="S21" s="268"/>
      <c r="T21" s="268"/>
      <c r="U21" s="268"/>
      <c r="AJ21" s="443"/>
      <c r="AZ21" s="269"/>
      <c r="BJ21" s="219"/>
      <c r="BK21" s="219"/>
      <c r="BL21" s="219"/>
      <c r="BO21" s="172"/>
      <c r="BP21" s="219"/>
      <c r="BQ21" s="270"/>
      <c r="BR21" s="271"/>
      <c r="BS21" s="219"/>
      <c r="BT21" s="272"/>
      <c r="BX21" s="219"/>
      <c r="BY21" s="219"/>
      <c r="BZ21" s="172"/>
      <c r="CA21" s="172"/>
      <c r="CB21" s="172"/>
      <c r="CC21" s="172"/>
    </row>
    <row r="22" spans="1:81" ht="13">
      <c r="A22" s="293" t="s">
        <v>38</v>
      </c>
      <c r="B22" s="294">
        <f>B44+15</f>
        <v>55</v>
      </c>
      <c r="C22" s="275" t="s">
        <v>32</v>
      </c>
      <c r="D22" s="295">
        <f>B22/1000000000</f>
        <v>5.5000000000000003E-8</v>
      </c>
      <c r="E22" s="188" t="s">
        <v>255</v>
      </c>
      <c r="F22" s="266"/>
      <c r="G22" s="266"/>
      <c r="H22" s="170">
        <v>16</v>
      </c>
      <c r="I22" s="456">
        <f t="shared" si="0"/>
        <v>0.16</v>
      </c>
      <c r="J22" s="217"/>
      <c r="K22" s="217"/>
      <c r="L22" s="217"/>
      <c r="M22" s="217"/>
      <c r="N22" s="267"/>
      <c r="O22" s="172"/>
      <c r="P22" s="217"/>
      <c r="Q22" s="443"/>
      <c r="S22" s="268"/>
      <c r="T22" s="268"/>
      <c r="U22" s="268"/>
      <c r="AJ22" s="443"/>
      <c r="AZ22" s="269"/>
      <c r="BJ22" s="219"/>
      <c r="BK22" s="219"/>
      <c r="BL22" s="219"/>
      <c r="BO22" s="172"/>
      <c r="BP22" s="219"/>
      <c r="BQ22" s="270"/>
      <c r="BR22" s="271"/>
      <c r="BS22" s="219"/>
      <c r="BT22" s="272"/>
      <c r="BX22" s="219"/>
      <c r="BY22" s="219"/>
      <c r="BZ22" s="172"/>
      <c r="CA22" s="172"/>
      <c r="CB22" s="172"/>
      <c r="CC22" s="172"/>
    </row>
    <row r="23" spans="1:81" ht="13">
      <c r="A23" s="293" t="s">
        <v>39</v>
      </c>
      <c r="B23" s="294">
        <f>B44/2+25</f>
        <v>45</v>
      </c>
      <c r="C23" s="275" t="s">
        <v>32</v>
      </c>
      <c r="D23" s="295">
        <f>B23/1000000000</f>
        <v>4.4999999999999999E-8</v>
      </c>
      <c r="E23" s="188" t="s">
        <v>256</v>
      </c>
      <c r="F23" s="266"/>
      <c r="G23" s="266"/>
      <c r="H23" s="170">
        <v>17</v>
      </c>
      <c r="I23" s="456">
        <f t="shared" si="0"/>
        <v>0.17</v>
      </c>
      <c r="J23" s="217"/>
      <c r="K23" s="217"/>
      <c r="L23" s="217"/>
      <c r="M23" s="217"/>
      <c r="N23" s="267"/>
      <c r="O23" s="172"/>
      <c r="P23" s="217"/>
      <c r="Q23" s="443"/>
      <c r="S23" s="268"/>
      <c r="T23" s="268"/>
      <c r="U23" s="268"/>
      <c r="AJ23" s="443"/>
      <c r="AZ23" s="269"/>
      <c r="BJ23" s="219"/>
      <c r="BK23" s="219"/>
      <c r="BL23" s="219"/>
      <c r="BO23" s="172"/>
      <c r="BP23" s="219"/>
      <c r="BQ23" s="270"/>
      <c r="BR23" s="271"/>
      <c r="BS23" s="219"/>
      <c r="BT23" s="272"/>
      <c r="BX23" s="219"/>
      <c r="BY23" s="219"/>
      <c r="BZ23" s="172"/>
      <c r="CA23" s="172"/>
      <c r="CB23" s="172"/>
      <c r="CC23" s="172"/>
    </row>
    <row r="24" spans="1:81" ht="13">
      <c r="A24" s="240"/>
      <c r="B24" s="240"/>
      <c r="C24" s="240"/>
      <c r="D24" s="240"/>
      <c r="E24" s="240"/>
      <c r="F24" s="266"/>
      <c r="G24" s="266"/>
      <c r="H24" s="170">
        <v>18</v>
      </c>
      <c r="I24" s="456">
        <f t="shared" si="0"/>
        <v>0.18</v>
      </c>
      <c r="J24" s="217"/>
      <c r="K24" s="217"/>
      <c r="L24" s="217"/>
      <c r="M24" s="217"/>
      <c r="N24" s="267"/>
      <c r="O24" s="172"/>
      <c r="P24" s="217"/>
      <c r="Q24" s="443"/>
      <c r="S24" s="268"/>
      <c r="T24" s="268"/>
      <c r="U24" s="268"/>
      <c r="AJ24" s="443"/>
      <c r="AZ24" s="269"/>
      <c r="BJ24" s="219"/>
      <c r="BK24" s="219"/>
      <c r="BL24" s="219"/>
      <c r="BO24" s="172"/>
      <c r="BP24" s="219"/>
      <c r="BQ24" s="270"/>
      <c r="BR24" s="271"/>
      <c r="BS24" s="219"/>
      <c r="BT24" s="272"/>
      <c r="BX24" s="219"/>
      <c r="BY24" s="219"/>
      <c r="BZ24" s="172"/>
      <c r="CA24" s="172"/>
      <c r="CB24" s="172"/>
      <c r="CC24" s="172"/>
    </row>
    <row r="25" spans="1:81" ht="13">
      <c r="A25" s="282" t="s">
        <v>29</v>
      </c>
      <c r="B25" s="263" t="s">
        <v>43</v>
      </c>
      <c r="C25" s="283" t="s">
        <v>33</v>
      </c>
      <c r="D25" s="284" t="s">
        <v>90</v>
      </c>
      <c r="E25" s="265" t="s">
        <v>41</v>
      </c>
      <c r="F25" s="266"/>
      <c r="G25" s="266"/>
      <c r="H25" s="170">
        <v>19</v>
      </c>
      <c r="I25" s="456">
        <f t="shared" si="0"/>
        <v>0.19</v>
      </c>
      <c r="J25" s="217"/>
      <c r="K25" s="217"/>
      <c r="L25" s="217"/>
      <c r="M25" s="217"/>
      <c r="N25" s="267"/>
      <c r="O25" s="172"/>
      <c r="P25" s="217"/>
      <c r="Q25" s="443"/>
      <c r="S25" s="268"/>
      <c r="T25" s="268"/>
      <c r="U25" s="268"/>
      <c r="AJ25" s="443"/>
      <c r="AZ25" s="269"/>
      <c r="BJ25" s="219"/>
      <c r="BK25" s="219"/>
      <c r="BL25" s="219"/>
      <c r="BO25" s="172"/>
      <c r="BP25" s="219"/>
      <c r="BQ25" s="270"/>
      <c r="BR25" s="271"/>
      <c r="BS25" s="219"/>
      <c r="BT25" s="272"/>
      <c r="BX25" s="219"/>
      <c r="BY25" s="219"/>
      <c r="BZ25" s="172"/>
      <c r="CA25" s="172"/>
      <c r="CB25" s="172"/>
      <c r="CC25" s="172"/>
    </row>
    <row r="26" spans="1:81" ht="13.5" thickBot="1">
      <c r="A26" s="296" t="s">
        <v>27</v>
      </c>
      <c r="B26" s="277">
        <f>'Design Converter'!L7</f>
        <v>10</v>
      </c>
      <c r="C26" s="287" t="s">
        <v>96</v>
      </c>
      <c r="D26" s="194">
        <f>B26/1000000</f>
        <v>1.0000000000000001E-5</v>
      </c>
      <c r="E26" s="277" t="s">
        <v>257</v>
      </c>
      <c r="F26" s="297"/>
      <c r="G26" s="266"/>
      <c r="H26" s="170">
        <v>20</v>
      </c>
      <c r="I26" s="456">
        <f t="shared" si="0"/>
        <v>0.2</v>
      </c>
      <c r="J26" s="217"/>
      <c r="K26" s="217"/>
      <c r="L26" s="217"/>
      <c r="M26" s="217"/>
      <c r="N26" s="267"/>
      <c r="O26" s="172"/>
      <c r="P26" s="217"/>
      <c r="Q26" s="443"/>
      <c r="S26" s="268"/>
      <c r="T26" s="268"/>
      <c r="U26" s="268"/>
      <c r="AJ26" s="443"/>
      <c r="AZ26" s="269"/>
      <c r="BJ26" s="219"/>
      <c r="BK26" s="219"/>
      <c r="BL26" s="219"/>
      <c r="BO26" s="172"/>
      <c r="BP26" s="219"/>
      <c r="BQ26" s="270"/>
      <c r="BR26" s="271"/>
      <c r="BS26" s="219"/>
      <c r="BT26" s="272"/>
      <c r="BX26" s="219"/>
      <c r="BY26" s="219"/>
      <c r="BZ26" s="172"/>
      <c r="CA26" s="172"/>
      <c r="CB26" s="172"/>
      <c r="CC26" s="172"/>
    </row>
    <row r="27" spans="1:81" ht="13.5" thickBot="1">
      <c r="A27" s="298" t="s">
        <v>385</v>
      </c>
      <c r="B27" s="299">
        <f>'Design Converter'!L8</f>
        <v>30</v>
      </c>
      <c r="C27" s="300" t="s">
        <v>258</v>
      </c>
      <c r="D27" s="194">
        <f>B27/1000</f>
        <v>0.03</v>
      </c>
      <c r="E27" s="277" t="s">
        <v>480</v>
      </c>
      <c r="F27" s="266"/>
      <c r="G27" s="266"/>
      <c r="H27" s="170">
        <v>21</v>
      </c>
      <c r="I27" s="456">
        <f t="shared" si="0"/>
        <v>0.21</v>
      </c>
      <c r="J27" s="217"/>
      <c r="K27" s="217"/>
      <c r="L27" s="217"/>
      <c r="M27" s="217"/>
      <c r="N27" s="267"/>
      <c r="O27" s="172"/>
      <c r="P27" s="217"/>
      <c r="Q27" s="443"/>
      <c r="S27" s="268"/>
      <c r="T27" s="268"/>
      <c r="U27" s="268"/>
      <c r="AJ27" s="443"/>
      <c r="AZ27" s="269"/>
      <c r="BJ27" s="219"/>
      <c r="BK27" s="219"/>
      <c r="BL27" s="219"/>
      <c r="BO27" s="172"/>
      <c r="BP27" s="219"/>
      <c r="BQ27" s="270"/>
      <c r="BR27" s="271"/>
      <c r="BS27" s="219"/>
      <c r="BT27" s="272"/>
      <c r="BX27" s="219"/>
      <c r="BY27" s="219"/>
      <c r="BZ27" s="172"/>
      <c r="CA27" s="172"/>
      <c r="CB27" s="172"/>
      <c r="CC27" s="172"/>
    </row>
    <row r="28" spans="1:81" ht="13.5" thickBot="1">
      <c r="A28" s="298" t="s">
        <v>448</v>
      </c>
      <c r="B28" s="299">
        <f>'Design Converter'!L9</f>
        <v>30</v>
      </c>
      <c r="C28" s="300" t="s">
        <v>258</v>
      </c>
      <c r="D28" s="194">
        <f>B28/1000</f>
        <v>0.03</v>
      </c>
      <c r="E28" s="277" t="s">
        <v>646</v>
      </c>
      <c r="F28" s="266"/>
      <c r="G28" s="266"/>
      <c r="H28" s="170">
        <v>22</v>
      </c>
      <c r="I28" s="456">
        <f t="shared" si="0"/>
        <v>0.22</v>
      </c>
      <c r="J28" s="217"/>
      <c r="K28" s="217"/>
      <c r="L28" s="217"/>
      <c r="M28" s="217"/>
      <c r="N28" s="267"/>
      <c r="O28" s="172"/>
      <c r="P28" s="217"/>
      <c r="Q28" s="443"/>
      <c r="S28" s="268"/>
      <c r="T28" s="268"/>
      <c r="U28" s="268"/>
      <c r="AJ28" s="443"/>
      <c r="AZ28" s="269"/>
      <c r="BJ28" s="219"/>
      <c r="BK28" s="219"/>
      <c r="BL28" s="219"/>
      <c r="BO28" s="172"/>
      <c r="BP28" s="219"/>
      <c r="BQ28" s="270"/>
      <c r="BR28" s="271"/>
      <c r="BS28" s="219"/>
      <c r="BT28" s="272"/>
      <c r="BX28" s="219"/>
      <c r="BY28" s="219"/>
      <c r="BZ28" s="172"/>
      <c r="CA28" s="172"/>
      <c r="CB28" s="172"/>
      <c r="CC28" s="172"/>
    </row>
    <row r="29" spans="1:81" ht="13.5" thickBot="1">
      <c r="A29" s="301" t="s">
        <v>259</v>
      </c>
      <c r="B29" s="302">
        <f>0.00000005</f>
        <v>4.9999999999999998E-8</v>
      </c>
      <c r="C29" s="300"/>
      <c r="D29" s="303">
        <f>B29</f>
        <v>4.9999999999999998E-8</v>
      </c>
      <c r="E29" s="304" t="s">
        <v>479</v>
      </c>
      <c r="F29" s="266"/>
      <c r="G29" s="266"/>
      <c r="H29" s="170">
        <v>23</v>
      </c>
      <c r="I29" s="456">
        <f t="shared" si="0"/>
        <v>0.23</v>
      </c>
      <c r="J29" s="217"/>
      <c r="K29" s="217"/>
      <c r="L29" s="217"/>
      <c r="M29" s="217"/>
      <c r="N29" s="267"/>
      <c r="O29" s="172"/>
      <c r="P29" s="217"/>
      <c r="Q29" s="443"/>
      <c r="S29" s="268"/>
      <c r="T29" s="268"/>
      <c r="U29" s="268"/>
      <c r="AJ29" s="443"/>
      <c r="AZ29" s="269"/>
      <c r="BJ29" s="219"/>
      <c r="BK29" s="219"/>
      <c r="BL29" s="219"/>
      <c r="BO29" s="172"/>
      <c r="BP29" s="219"/>
      <c r="BQ29" s="270"/>
      <c r="BR29" s="271"/>
      <c r="BS29" s="219"/>
      <c r="BT29" s="272"/>
      <c r="BX29" s="219"/>
      <c r="BY29" s="219"/>
      <c r="BZ29" s="172"/>
      <c r="CA29" s="172"/>
      <c r="CB29" s="172"/>
      <c r="CC29" s="172"/>
    </row>
    <row r="30" spans="1:81" ht="13.5" thickBot="1">
      <c r="A30" s="305" t="s">
        <v>28</v>
      </c>
      <c r="B30" s="299">
        <f>'Design Converter'!E30</f>
        <v>10</v>
      </c>
      <c r="C30" s="306" t="s">
        <v>97</v>
      </c>
      <c r="D30" s="307">
        <f>B30/1000000</f>
        <v>1.0000000000000001E-5</v>
      </c>
      <c r="E30" s="308" t="s">
        <v>60</v>
      </c>
      <c r="F30" s="266"/>
      <c r="G30" s="266"/>
      <c r="H30" s="170">
        <v>24</v>
      </c>
      <c r="I30" s="456">
        <f t="shared" si="0"/>
        <v>0.24</v>
      </c>
      <c r="J30" s="217"/>
      <c r="K30" s="217"/>
      <c r="L30" s="217"/>
      <c r="M30" s="217"/>
      <c r="N30" s="267"/>
      <c r="O30" s="172"/>
      <c r="P30" s="217"/>
      <c r="Q30" s="443"/>
      <c r="S30" s="268"/>
      <c r="T30" s="268"/>
      <c r="U30" s="268"/>
      <c r="AJ30" s="443"/>
      <c r="AZ30" s="269"/>
      <c r="BJ30" s="219"/>
      <c r="BK30" s="219"/>
      <c r="BL30" s="219"/>
      <c r="BO30" s="172"/>
      <c r="BP30" s="219"/>
      <c r="BQ30" s="270"/>
      <c r="BR30" s="271"/>
      <c r="BS30" s="219"/>
      <c r="BT30" s="272"/>
      <c r="BX30" s="219"/>
      <c r="BY30" s="219"/>
      <c r="BZ30" s="172"/>
      <c r="CA30" s="172"/>
      <c r="CB30" s="172"/>
      <c r="CC30" s="172"/>
    </row>
    <row r="31" spans="1:81" ht="13.5" thickBot="1">
      <c r="A31" s="301" t="s">
        <v>260</v>
      </c>
      <c r="B31" s="299">
        <f>'Design Converter'!E31</f>
        <v>3</v>
      </c>
      <c r="C31" s="300" t="s">
        <v>258</v>
      </c>
      <c r="D31" s="194">
        <f>B31/1000</f>
        <v>3.0000000000000001E-3</v>
      </c>
      <c r="E31" s="277" t="s">
        <v>261</v>
      </c>
      <c r="F31" s="266"/>
      <c r="G31" s="266"/>
      <c r="H31" s="170">
        <v>25</v>
      </c>
      <c r="I31" s="456">
        <f t="shared" si="0"/>
        <v>0.25</v>
      </c>
      <c r="J31" s="217"/>
      <c r="K31" s="217"/>
      <c r="L31" s="217"/>
      <c r="M31" s="217"/>
      <c r="N31" s="267"/>
      <c r="O31" s="172"/>
      <c r="P31" s="217"/>
      <c r="Q31" s="443"/>
      <c r="S31" s="268"/>
      <c r="T31" s="268"/>
      <c r="U31" s="268"/>
      <c r="AJ31" s="443"/>
      <c r="AZ31" s="269"/>
      <c r="BJ31" s="219"/>
      <c r="BK31" s="219"/>
      <c r="BL31" s="219"/>
      <c r="BO31" s="172"/>
      <c r="BP31" s="219"/>
      <c r="BQ31" s="270"/>
      <c r="BR31" s="271"/>
      <c r="BS31" s="219"/>
      <c r="BT31" s="272"/>
      <c r="BX31" s="219"/>
      <c r="BY31" s="219"/>
      <c r="BZ31" s="172"/>
      <c r="CA31" s="172"/>
      <c r="CB31" s="172"/>
      <c r="CC31" s="172"/>
    </row>
    <row r="32" spans="1:81" ht="13.5" thickBot="1">
      <c r="A32" s="296" t="s">
        <v>14</v>
      </c>
      <c r="B32" s="358">
        <f>'Design Converter'!E34</f>
        <v>47</v>
      </c>
      <c r="C32" s="287" t="s">
        <v>97</v>
      </c>
      <c r="D32" s="288">
        <f>B32/1000000</f>
        <v>4.6999999999999997E-5</v>
      </c>
      <c r="E32" s="277" t="s">
        <v>262</v>
      </c>
      <c r="F32" s="266"/>
      <c r="G32" s="266"/>
      <c r="H32" s="170">
        <v>26</v>
      </c>
      <c r="I32" s="456">
        <f t="shared" si="0"/>
        <v>0.26</v>
      </c>
      <c r="J32" s="217"/>
      <c r="K32" s="217"/>
      <c r="L32" s="217"/>
      <c r="M32" s="217"/>
      <c r="N32" s="267"/>
      <c r="O32" s="172"/>
      <c r="P32" s="217"/>
      <c r="Q32" s="443"/>
      <c r="S32" s="268"/>
      <c r="T32" s="268"/>
      <c r="U32" s="268"/>
      <c r="AJ32" s="443"/>
      <c r="AZ32" s="269"/>
      <c r="BJ32" s="219"/>
      <c r="BK32" s="219"/>
      <c r="BL32" s="219"/>
      <c r="BO32" s="172"/>
      <c r="BP32" s="219"/>
      <c r="BQ32" s="270"/>
      <c r="BR32" s="271"/>
      <c r="BS32" s="219"/>
      <c r="BT32" s="272"/>
      <c r="BX32" s="219"/>
      <c r="BY32" s="219"/>
      <c r="BZ32" s="172"/>
      <c r="CA32" s="172"/>
      <c r="CB32" s="172"/>
      <c r="CC32" s="172"/>
    </row>
    <row r="33" spans="1:81" ht="13">
      <c r="A33" s="301" t="s">
        <v>263</v>
      </c>
      <c r="B33" s="358">
        <f>'Design Converter'!E35</f>
        <v>2</v>
      </c>
      <c r="C33" s="300" t="s">
        <v>258</v>
      </c>
      <c r="D33" s="194">
        <f>B33/1000</f>
        <v>2E-3</v>
      </c>
      <c r="E33" s="277" t="s">
        <v>264</v>
      </c>
      <c r="F33" s="266"/>
      <c r="G33" s="266"/>
      <c r="H33" s="170">
        <v>27</v>
      </c>
      <c r="I33" s="456">
        <f t="shared" si="0"/>
        <v>0.27</v>
      </c>
      <c r="J33" s="217"/>
      <c r="K33" s="217"/>
      <c r="L33" s="217"/>
      <c r="M33" s="217"/>
      <c r="N33" s="267"/>
      <c r="O33" s="172"/>
      <c r="P33" s="217"/>
      <c r="Q33" s="443"/>
      <c r="S33" s="268"/>
      <c r="T33" s="268"/>
      <c r="U33" s="268"/>
      <c r="AJ33" s="443"/>
      <c r="AZ33" s="269"/>
      <c r="BJ33" s="219"/>
      <c r="BK33" s="219"/>
      <c r="BL33" s="219"/>
      <c r="BO33" s="172"/>
      <c r="BP33" s="219"/>
      <c r="BQ33" s="270"/>
      <c r="BR33" s="271"/>
      <c r="BS33" s="219"/>
      <c r="BT33" s="272"/>
      <c r="BX33" s="219"/>
      <c r="BY33" s="219"/>
      <c r="BZ33" s="172"/>
      <c r="CA33" s="172"/>
      <c r="CB33" s="172"/>
      <c r="CC33" s="172"/>
    </row>
    <row r="34" spans="1:81" ht="13">
      <c r="A34" s="309" t="s">
        <v>394</v>
      </c>
      <c r="B34" s="263"/>
      <c r="C34" s="309" t="s">
        <v>33</v>
      </c>
      <c r="D34" s="310" t="s">
        <v>90</v>
      </c>
      <c r="E34" s="311" t="s">
        <v>41</v>
      </c>
      <c r="F34" s="266"/>
      <c r="G34" s="266"/>
      <c r="H34" s="170">
        <v>28</v>
      </c>
      <c r="I34" s="456">
        <f t="shared" si="0"/>
        <v>0.28000000000000003</v>
      </c>
      <c r="J34" s="217"/>
      <c r="K34" s="217"/>
      <c r="L34" s="217"/>
      <c r="M34" s="217"/>
      <c r="N34" s="267"/>
      <c r="O34" s="172"/>
      <c r="P34" s="217"/>
      <c r="Q34" s="443"/>
      <c r="S34" s="268"/>
      <c r="T34" s="268"/>
      <c r="U34" s="268"/>
      <c r="AJ34" s="443"/>
      <c r="AZ34" s="269"/>
      <c r="BJ34" s="219"/>
      <c r="BK34" s="219"/>
      <c r="BL34" s="219"/>
      <c r="BO34" s="172"/>
      <c r="BP34" s="219"/>
      <c r="BQ34" s="270"/>
      <c r="BR34" s="271"/>
      <c r="BS34" s="219"/>
      <c r="BT34" s="272"/>
      <c r="BX34" s="219"/>
      <c r="BY34" s="219"/>
      <c r="BZ34" s="172"/>
      <c r="CA34" s="172"/>
      <c r="CB34" s="172"/>
      <c r="CC34" s="172"/>
    </row>
    <row r="35" spans="1:81" ht="13">
      <c r="A35" s="298" t="s">
        <v>399</v>
      </c>
      <c r="B35" s="312">
        <f>100/RCS</f>
        <v>11.111111111111111</v>
      </c>
      <c r="C35" s="287" t="s">
        <v>1</v>
      </c>
      <c r="D35" s="269">
        <f>B35</f>
        <v>11.111111111111111</v>
      </c>
      <c r="E35" s="188" t="s">
        <v>398</v>
      </c>
      <c r="F35" s="266"/>
      <c r="G35" s="266"/>
      <c r="H35" s="170">
        <v>29</v>
      </c>
      <c r="I35" s="456">
        <f t="shared" si="0"/>
        <v>0.28999999999999998</v>
      </c>
      <c r="J35" s="217"/>
      <c r="K35" s="217"/>
      <c r="L35" s="217"/>
      <c r="M35" s="217"/>
      <c r="N35" s="267"/>
      <c r="O35" s="172"/>
      <c r="P35" s="217"/>
      <c r="Q35" s="443"/>
      <c r="S35" s="268"/>
      <c r="T35" s="268"/>
      <c r="U35" s="268"/>
      <c r="AJ35" s="443"/>
      <c r="AZ35" s="269"/>
      <c r="BJ35" s="219"/>
      <c r="BK35" s="219"/>
      <c r="BL35" s="219"/>
      <c r="BO35" s="172"/>
      <c r="BP35" s="219"/>
      <c r="BQ35" s="270"/>
      <c r="BR35" s="271"/>
      <c r="BS35" s="219"/>
      <c r="BT35" s="272"/>
      <c r="BX35" s="219"/>
      <c r="BY35" s="219"/>
      <c r="BZ35" s="172"/>
      <c r="CA35" s="172"/>
      <c r="CB35" s="172"/>
      <c r="CC35" s="172"/>
    </row>
    <row r="36" spans="1:81" ht="13">
      <c r="A36" s="298" t="s">
        <v>407</v>
      </c>
      <c r="B36" s="312">
        <f>B35/5</f>
        <v>2.2222222222222223</v>
      </c>
      <c r="C36" s="287" t="s">
        <v>1</v>
      </c>
      <c r="D36" s="269">
        <f>B36</f>
        <v>2.2222222222222223</v>
      </c>
      <c r="E36" s="188" t="s">
        <v>408</v>
      </c>
      <c r="F36" s="266"/>
      <c r="G36" s="266"/>
      <c r="H36" s="170">
        <v>30</v>
      </c>
      <c r="I36" s="456">
        <f t="shared" si="0"/>
        <v>0.3</v>
      </c>
      <c r="J36" s="217"/>
      <c r="K36" s="217"/>
      <c r="L36" s="217"/>
      <c r="M36" s="217"/>
      <c r="N36" s="267"/>
      <c r="O36" s="172"/>
      <c r="P36" s="217"/>
      <c r="Q36" s="443"/>
      <c r="S36" s="268"/>
      <c r="T36" s="268"/>
      <c r="U36" s="268"/>
      <c r="AJ36" s="443"/>
      <c r="AZ36" s="269"/>
      <c r="BJ36" s="219"/>
      <c r="BK36" s="219"/>
      <c r="BL36" s="219"/>
      <c r="BO36" s="172"/>
      <c r="BP36" s="219"/>
      <c r="BQ36" s="270"/>
      <c r="BR36" s="271"/>
      <c r="BS36" s="219"/>
      <c r="BT36" s="272"/>
      <c r="BX36" s="219"/>
      <c r="BY36" s="219"/>
      <c r="BZ36" s="172"/>
      <c r="CA36" s="172"/>
      <c r="CB36" s="172"/>
      <c r="CC36" s="172"/>
    </row>
    <row r="37" spans="1:81" ht="13.5" thickBot="1">
      <c r="A37" s="298" t="s">
        <v>678</v>
      </c>
      <c r="B37" s="635">
        <v>30</v>
      </c>
      <c r="C37" s="170" t="s">
        <v>32</v>
      </c>
      <c r="D37" s="170">
        <f>B37*0.000000001</f>
        <v>3.0000000000000004E-8</v>
      </c>
      <c r="E37" s="170" t="s">
        <v>679</v>
      </c>
      <c r="F37" s="266"/>
      <c r="G37" s="266"/>
      <c r="H37" s="170">
        <v>31</v>
      </c>
      <c r="I37" s="456">
        <f t="shared" si="0"/>
        <v>0.31</v>
      </c>
      <c r="J37" s="217"/>
      <c r="K37" s="217"/>
      <c r="L37" s="217"/>
      <c r="M37" s="217"/>
      <c r="N37" s="267"/>
      <c r="O37" s="172"/>
      <c r="P37" s="217"/>
      <c r="Q37" s="443"/>
      <c r="S37" s="268"/>
      <c r="T37" s="268"/>
      <c r="U37" s="268"/>
      <c r="AJ37" s="443"/>
      <c r="AZ37" s="269"/>
      <c r="BJ37" s="219"/>
      <c r="BK37" s="219"/>
      <c r="BL37" s="219"/>
      <c r="BO37" s="172"/>
      <c r="BP37" s="219"/>
      <c r="BQ37" s="270"/>
      <c r="BR37" s="271"/>
      <c r="BS37" s="219"/>
      <c r="BT37" s="272"/>
      <c r="BX37" s="219"/>
      <c r="BY37" s="219"/>
      <c r="BZ37" s="172"/>
      <c r="CA37" s="172"/>
      <c r="CB37" s="172"/>
      <c r="CC37" s="172"/>
    </row>
    <row r="38" spans="1:81" ht="13" thickBot="1">
      <c r="A38" s="313" t="s">
        <v>47</v>
      </c>
      <c r="B38" s="526">
        <v>1</v>
      </c>
      <c r="C38" s="287"/>
      <c r="D38" s="269">
        <f>B38</f>
        <v>1</v>
      </c>
      <c r="E38" s="188" t="s">
        <v>409</v>
      </c>
      <c r="H38" s="170">
        <v>32</v>
      </c>
      <c r="I38" s="456">
        <f t="shared" ref="I38:I69" si="2">IF(PLOT_TYPE=1, H38/100*Iout_max, min_I*EXP(H38*rr/100))</f>
        <v>0.32</v>
      </c>
      <c r="J38" s="217"/>
      <c r="K38" s="217"/>
      <c r="L38" s="217"/>
      <c r="M38" s="217"/>
      <c r="N38" s="267"/>
      <c r="O38" s="172"/>
      <c r="P38" s="217"/>
      <c r="Q38" s="443"/>
      <c r="S38" s="268"/>
      <c r="T38" s="268"/>
      <c r="U38" s="268"/>
      <c r="AJ38" s="443"/>
      <c r="AZ38" s="269"/>
      <c r="BJ38" s="219"/>
      <c r="BK38" s="219"/>
      <c r="BL38" s="219"/>
      <c r="BO38" s="172"/>
      <c r="BP38" s="219"/>
      <c r="BQ38" s="270"/>
      <c r="BR38" s="271"/>
      <c r="BS38" s="219"/>
      <c r="BT38" s="272"/>
      <c r="BX38" s="219"/>
      <c r="BY38" s="219"/>
      <c r="BZ38" s="172"/>
      <c r="CA38" s="172"/>
      <c r="CB38" s="172"/>
      <c r="CC38" s="172"/>
    </row>
    <row r="39" spans="1:81">
      <c r="A39" s="298" t="s">
        <v>24</v>
      </c>
      <c r="B39" s="314">
        <v>450</v>
      </c>
      <c r="C39" s="287" t="s">
        <v>265</v>
      </c>
      <c r="D39" s="289">
        <f>B39/1000000</f>
        <v>4.4999999999999999E-4</v>
      </c>
      <c r="E39" s="277" t="s">
        <v>775</v>
      </c>
      <c r="H39" s="170">
        <v>33</v>
      </c>
      <c r="I39" s="456">
        <f t="shared" si="2"/>
        <v>0.33</v>
      </c>
      <c r="J39" s="217"/>
      <c r="K39" s="217"/>
      <c r="L39" s="217"/>
      <c r="M39" s="217"/>
      <c r="N39" s="267"/>
      <c r="O39" s="172"/>
      <c r="P39" s="217"/>
      <c r="Q39" s="443"/>
      <c r="S39" s="268"/>
      <c r="T39" s="268"/>
      <c r="U39" s="268"/>
      <c r="AJ39" s="443"/>
      <c r="AZ39" s="269"/>
      <c r="BJ39" s="219"/>
      <c r="BK39" s="219"/>
      <c r="BL39" s="219"/>
      <c r="BO39" s="172"/>
      <c r="BP39" s="219"/>
      <c r="BQ39" s="270"/>
      <c r="BR39" s="271"/>
      <c r="BS39" s="219"/>
      <c r="BT39" s="272"/>
      <c r="BX39" s="219"/>
      <c r="BY39" s="219"/>
      <c r="BZ39" s="172"/>
      <c r="CA39" s="172"/>
      <c r="CB39" s="172"/>
      <c r="CC39" s="172"/>
    </row>
    <row r="40" spans="1:81" ht="13.5" thickBot="1">
      <c r="A40" s="309" t="s">
        <v>391</v>
      </c>
      <c r="B40" s="315"/>
      <c r="C40" s="309" t="s">
        <v>33</v>
      </c>
      <c r="D40" s="310" t="s">
        <v>90</v>
      </c>
      <c r="E40" s="316" t="s">
        <v>41</v>
      </c>
      <c r="H40" s="170">
        <v>34</v>
      </c>
      <c r="I40" s="456">
        <f t="shared" si="2"/>
        <v>0.34</v>
      </c>
      <c r="J40" s="217"/>
      <c r="K40" s="217"/>
      <c r="L40" s="217"/>
      <c r="M40" s="217"/>
      <c r="N40" s="267"/>
      <c r="O40" s="172"/>
      <c r="P40" s="217"/>
      <c r="Q40" s="443"/>
      <c r="S40" s="268"/>
      <c r="T40" s="268"/>
      <c r="U40" s="268"/>
      <c r="AJ40" s="443"/>
      <c r="AZ40" s="269"/>
      <c r="BJ40" s="219"/>
      <c r="BK40" s="219"/>
      <c r="BL40" s="219"/>
      <c r="BO40" s="172"/>
      <c r="BP40" s="219"/>
      <c r="BQ40" s="270"/>
      <c r="BR40" s="271"/>
      <c r="BS40" s="219"/>
      <c r="BT40" s="272"/>
      <c r="BX40" s="219"/>
      <c r="BY40" s="219"/>
      <c r="BZ40" s="172"/>
      <c r="CA40" s="172"/>
      <c r="CB40" s="172"/>
      <c r="CC40" s="172"/>
    </row>
    <row r="41" spans="1:81">
      <c r="A41" s="317" t="s">
        <v>392</v>
      </c>
      <c r="B41" s="318">
        <f>RON</f>
        <v>40</v>
      </c>
      <c r="C41" s="278" t="s">
        <v>258</v>
      </c>
      <c r="D41" s="171">
        <f>B41/1000</f>
        <v>0.04</v>
      </c>
      <c r="E41" s="277" t="s">
        <v>396</v>
      </c>
      <c r="H41" s="170">
        <v>35</v>
      </c>
      <c r="I41" s="456">
        <f t="shared" si="2"/>
        <v>0.35</v>
      </c>
      <c r="J41" s="217"/>
      <c r="K41" s="217"/>
      <c r="L41" s="217"/>
      <c r="M41" s="217"/>
      <c r="N41" s="267"/>
      <c r="O41" s="172"/>
      <c r="P41" s="217"/>
      <c r="Q41" s="443"/>
      <c r="S41" s="268"/>
      <c r="T41" s="268"/>
      <c r="U41" s="268"/>
      <c r="AJ41" s="443"/>
      <c r="AZ41" s="269"/>
      <c r="BJ41" s="219"/>
      <c r="BK41" s="219"/>
      <c r="BL41" s="219"/>
      <c r="BO41" s="172"/>
      <c r="BP41" s="219"/>
      <c r="BQ41" s="270"/>
      <c r="BR41" s="271"/>
      <c r="BS41" s="219"/>
      <c r="BT41" s="272"/>
      <c r="BX41" s="219"/>
      <c r="BY41" s="219"/>
      <c r="BZ41" s="172"/>
      <c r="CA41" s="172"/>
      <c r="CB41" s="172"/>
      <c r="CC41" s="172"/>
    </row>
    <row r="42" spans="1:81" ht="13" thickBot="1">
      <c r="A42" s="170" t="s">
        <v>668</v>
      </c>
      <c r="B42" s="170">
        <v>4500</v>
      </c>
      <c r="C42" s="631" t="s">
        <v>669</v>
      </c>
      <c r="D42" s="171">
        <f>B42/1000000</f>
        <v>4.4999999999999997E-3</v>
      </c>
      <c r="E42" s="632" t="s">
        <v>670</v>
      </c>
      <c r="H42" s="170">
        <v>36</v>
      </c>
      <c r="I42" s="456">
        <f t="shared" si="2"/>
        <v>0.36</v>
      </c>
      <c r="J42" s="217"/>
      <c r="K42" s="217"/>
      <c r="L42" s="217"/>
      <c r="M42" s="217"/>
      <c r="N42" s="267"/>
      <c r="O42" s="172"/>
      <c r="P42" s="217"/>
      <c r="Q42" s="443"/>
      <c r="S42" s="268"/>
      <c r="T42" s="268"/>
      <c r="U42" s="268"/>
      <c r="AJ42" s="443"/>
      <c r="AZ42" s="269"/>
      <c r="BJ42" s="219"/>
      <c r="BK42" s="219"/>
      <c r="BL42" s="219"/>
      <c r="BO42" s="172"/>
      <c r="BP42" s="219"/>
      <c r="BQ42" s="270"/>
      <c r="BR42" s="271"/>
      <c r="BS42" s="219"/>
      <c r="BT42" s="272"/>
      <c r="BX42" s="219"/>
      <c r="BY42" s="219"/>
      <c r="BZ42" s="172"/>
      <c r="CA42" s="172"/>
      <c r="CB42" s="172"/>
      <c r="CC42" s="172"/>
    </row>
    <row r="43" spans="1:81" ht="13.5" thickBot="1">
      <c r="A43" s="298" t="s">
        <v>266</v>
      </c>
      <c r="B43" s="319"/>
      <c r="C43" s="320" t="s">
        <v>267</v>
      </c>
      <c r="D43" s="171"/>
      <c r="E43" s="277" t="s">
        <v>266</v>
      </c>
      <c r="H43" s="170">
        <v>37</v>
      </c>
      <c r="I43" s="456">
        <f t="shared" si="2"/>
        <v>0.37</v>
      </c>
      <c r="J43" s="217"/>
      <c r="K43" s="217"/>
      <c r="L43" s="217"/>
      <c r="M43" s="217"/>
      <c r="N43" s="267"/>
      <c r="O43" s="172"/>
      <c r="P43" s="217"/>
      <c r="Q43" s="443"/>
      <c r="S43" s="268"/>
      <c r="T43" s="268"/>
      <c r="U43" s="268"/>
      <c r="AJ43" s="443"/>
      <c r="AZ43" s="269"/>
      <c r="BJ43" s="219"/>
      <c r="BK43" s="219"/>
      <c r="BL43" s="219"/>
      <c r="BO43" s="172"/>
      <c r="BP43" s="219"/>
      <c r="BQ43" s="270"/>
      <c r="BR43" s="271"/>
      <c r="BS43" s="219"/>
      <c r="BT43" s="272"/>
      <c r="BX43" s="219"/>
      <c r="BY43" s="219"/>
      <c r="BZ43" s="172"/>
      <c r="CA43" s="172"/>
      <c r="CB43" s="172"/>
      <c r="CC43" s="172"/>
    </row>
    <row r="44" spans="1:81" ht="13" thickBot="1">
      <c r="A44" s="298" t="s">
        <v>393</v>
      </c>
      <c r="B44" s="318">
        <f>'Design Converter'!L24</f>
        <v>40</v>
      </c>
      <c r="C44" s="287" t="s">
        <v>31</v>
      </c>
      <c r="D44" s="171">
        <f>B44/1000000000</f>
        <v>4.0000000000000001E-8</v>
      </c>
      <c r="E44" s="277" t="s">
        <v>395</v>
      </c>
      <c r="H44" s="170">
        <v>38</v>
      </c>
      <c r="I44" s="456">
        <f t="shared" si="2"/>
        <v>0.38</v>
      </c>
      <c r="J44" s="217"/>
      <c r="K44" s="217"/>
      <c r="L44" s="217"/>
      <c r="M44" s="217"/>
      <c r="N44" s="267"/>
      <c r="O44" s="172"/>
      <c r="P44" s="217"/>
      <c r="Q44" s="443"/>
      <c r="S44" s="268"/>
      <c r="T44" s="268"/>
      <c r="U44" s="268"/>
      <c r="AJ44" s="443"/>
      <c r="AZ44" s="269"/>
      <c r="BJ44" s="219"/>
      <c r="BK44" s="219"/>
      <c r="BL44" s="219"/>
      <c r="BO44" s="172"/>
      <c r="BP44" s="219"/>
      <c r="BQ44" s="270"/>
      <c r="BR44" s="271"/>
      <c r="BS44" s="219"/>
      <c r="BT44" s="272"/>
      <c r="BX44" s="219"/>
      <c r="BY44" s="219"/>
      <c r="BZ44" s="172"/>
      <c r="CA44" s="172"/>
      <c r="CB44" s="172"/>
      <c r="CC44" s="172"/>
    </row>
    <row r="45" spans="1:81" ht="13" thickBot="1">
      <c r="A45" s="301" t="s">
        <v>240</v>
      </c>
      <c r="B45" s="318">
        <f>'Design Converter'!L25</f>
        <v>300</v>
      </c>
      <c r="C45" s="287" t="s">
        <v>15</v>
      </c>
      <c r="D45" s="321">
        <f>B45/1000000000000</f>
        <v>3E-10</v>
      </c>
      <c r="E45" s="277" t="s">
        <v>326</v>
      </c>
      <c r="H45" s="170">
        <v>39</v>
      </c>
      <c r="I45" s="456">
        <f t="shared" si="2"/>
        <v>0.39</v>
      </c>
      <c r="J45" s="217"/>
      <c r="K45" s="217"/>
      <c r="L45" s="217"/>
      <c r="M45" s="217"/>
      <c r="N45" s="267"/>
      <c r="O45" s="172"/>
      <c r="P45" s="217"/>
      <c r="Q45" s="443"/>
      <c r="S45" s="268"/>
      <c r="T45" s="268"/>
      <c r="U45" s="268"/>
      <c r="AJ45" s="443"/>
      <c r="AZ45" s="269"/>
      <c r="BJ45" s="219"/>
      <c r="BK45" s="219"/>
      <c r="BL45" s="219"/>
      <c r="BO45" s="172"/>
      <c r="BP45" s="219"/>
      <c r="BQ45" s="270"/>
      <c r="BR45" s="271"/>
      <c r="BS45" s="219"/>
      <c r="BT45" s="272"/>
      <c r="BX45" s="219"/>
      <c r="BY45" s="219"/>
      <c r="BZ45" s="172"/>
      <c r="CA45" s="172"/>
      <c r="CB45" s="172"/>
      <c r="CC45" s="172"/>
    </row>
    <row r="46" spans="1:81">
      <c r="A46" s="324" t="s">
        <v>325</v>
      </c>
      <c r="B46" s="318">
        <f>CHOOSE(MODE, 50, 100)</f>
        <v>50</v>
      </c>
      <c r="C46" s="287" t="s">
        <v>15</v>
      </c>
      <c r="D46" s="289">
        <f>B46/1000000000000</f>
        <v>5.0000000000000002E-11</v>
      </c>
      <c r="E46" s="277" t="s">
        <v>472</v>
      </c>
      <c r="H46" s="170">
        <v>40</v>
      </c>
      <c r="I46" s="456">
        <f t="shared" si="2"/>
        <v>0.4</v>
      </c>
      <c r="J46" s="217"/>
      <c r="K46" s="217"/>
      <c r="L46" s="217"/>
      <c r="M46" s="217"/>
      <c r="N46" s="267"/>
      <c r="O46" s="172"/>
      <c r="P46" s="217"/>
      <c r="Q46" s="443"/>
      <c r="S46" s="268"/>
      <c r="T46" s="268"/>
      <c r="U46" s="268"/>
      <c r="AJ46" s="443"/>
      <c r="AZ46" s="269"/>
      <c r="BJ46" s="219"/>
      <c r="BK46" s="219"/>
      <c r="BL46" s="219"/>
      <c r="BO46" s="172"/>
      <c r="BP46" s="219"/>
      <c r="BQ46" s="270"/>
      <c r="BR46" s="271"/>
      <c r="BS46" s="219"/>
      <c r="BT46" s="272"/>
      <c r="BX46" s="219"/>
      <c r="BY46" s="219"/>
      <c r="BZ46" s="172"/>
      <c r="CA46" s="172"/>
      <c r="CB46" s="172"/>
      <c r="CC46" s="172"/>
    </row>
    <row r="47" spans="1:81" ht="13.5" thickBot="1">
      <c r="A47" s="309" t="s">
        <v>397</v>
      </c>
      <c r="B47" s="322"/>
      <c r="C47" s="309" t="s">
        <v>33</v>
      </c>
      <c r="D47" s="310" t="s">
        <v>90</v>
      </c>
      <c r="E47" s="323" t="s">
        <v>41</v>
      </c>
      <c r="H47" s="170">
        <v>41</v>
      </c>
      <c r="I47" s="456">
        <f t="shared" si="2"/>
        <v>0.41</v>
      </c>
      <c r="J47" s="217"/>
      <c r="K47" s="217"/>
      <c r="L47" s="217"/>
      <c r="M47" s="217"/>
      <c r="N47" s="267"/>
      <c r="O47" s="172"/>
      <c r="P47" s="217"/>
      <c r="Q47" s="443"/>
      <c r="S47" s="268"/>
      <c r="T47" s="268"/>
      <c r="U47" s="268"/>
      <c r="AJ47" s="443"/>
      <c r="AZ47" s="269"/>
      <c r="BJ47" s="219"/>
      <c r="BK47" s="219"/>
      <c r="BL47" s="219"/>
      <c r="BO47" s="172"/>
      <c r="BP47" s="219"/>
      <c r="BQ47" s="270"/>
      <c r="BR47" s="271"/>
      <c r="BS47" s="219"/>
      <c r="BT47" s="272"/>
      <c r="BX47" s="219"/>
      <c r="BY47" s="219"/>
      <c r="BZ47" s="172"/>
      <c r="CA47" s="172"/>
      <c r="CB47" s="172"/>
      <c r="CC47" s="172"/>
    </row>
    <row r="48" spans="1:81" ht="13" thickBot="1">
      <c r="A48" s="317" t="s">
        <v>644</v>
      </c>
      <c r="B48" s="318">
        <f>'Design Converter'!E80</f>
        <v>0.5</v>
      </c>
      <c r="C48" s="275" t="s">
        <v>0</v>
      </c>
      <c r="D48" s="171">
        <f>B48</f>
        <v>0.5</v>
      </c>
      <c r="E48" s="277" t="s">
        <v>643</v>
      </c>
      <c r="H48" s="170">
        <v>42</v>
      </c>
      <c r="I48" s="456">
        <f t="shared" si="2"/>
        <v>0.42</v>
      </c>
      <c r="J48" s="217"/>
      <c r="K48" s="217"/>
      <c r="L48" s="217"/>
      <c r="M48" s="217"/>
      <c r="N48" s="267"/>
      <c r="O48" s="172"/>
      <c r="P48" s="217"/>
      <c r="Q48" s="443"/>
      <c r="S48" s="268"/>
      <c r="T48" s="268"/>
      <c r="U48" s="268"/>
      <c r="AJ48" s="443"/>
      <c r="AZ48" s="269"/>
      <c r="BJ48" s="219"/>
      <c r="BK48" s="219"/>
      <c r="BL48" s="219"/>
      <c r="BO48" s="172"/>
      <c r="BP48" s="219"/>
      <c r="BQ48" s="270"/>
      <c r="BR48" s="271"/>
      <c r="BS48" s="219"/>
      <c r="BT48" s="272"/>
      <c r="BX48" s="219"/>
      <c r="BY48" s="219"/>
      <c r="BZ48" s="172"/>
      <c r="CA48" s="172"/>
      <c r="CB48" s="172"/>
      <c r="CC48" s="172"/>
    </row>
    <row r="49" spans="1:81" ht="13" thickBot="1">
      <c r="A49" s="317" t="s">
        <v>645</v>
      </c>
      <c r="B49" s="318">
        <f>'Design Converter'!E81</f>
        <v>0.7</v>
      </c>
      <c r="C49" s="275" t="s">
        <v>0</v>
      </c>
      <c r="D49" s="171">
        <f>B49</f>
        <v>0.7</v>
      </c>
      <c r="E49" s="277" t="s">
        <v>642</v>
      </c>
      <c r="H49" s="170">
        <v>43</v>
      </c>
      <c r="I49" s="456">
        <f t="shared" si="2"/>
        <v>0.43</v>
      </c>
      <c r="J49" s="217"/>
      <c r="K49" s="217"/>
      <c r="L49" s="217"/>
      <c r="M49" s="217"/>
      <c r="N49" s="267"/>
      <c r="O49" s="172"/>
      <c r="P49" s="217"/>
      <c r="Q49" s="443"/>
      <c r="S49" s="268"/>
      <c r="T49" s="268"/>
      <c r="U49" s="268"/>
      <c r="AJ49" s="443"/>
      <c r="AZ49" s="269"/>
      <c r="BJ49" s="219"/>
      <c r="BK49" s="219"/>
      <c r="BL49" s="219"/>
      <c r="BO49" s="172"/>
      <c r="BP49" s="219"/>
      <c r="BQ49" s="270"/>
      <c r="BR49" s="271"/>
      <c r="BS49" s="219"/>
      <c r="BT49" s="272"/>
      <c r="BX49" s="219"/>
      <c r="BY49" s="219"/>
      <c r="BZ49" s="172"/>
      <c r="CA49" s="172"/>
      <c r="CB49" s="172"/>
      <c r="CC49" s="172"/>
    </row>
    <row r="50" spans="1:81" ht="13" thickBot="1">
      <c r="A50" s="317" t="s">
        <v>268</v>
      </c>
      <c r="B50" s="318">
        <v>100</v>
      </c>
      <c r="C50" s="278" t="s">
        <v>258</v>
      </c>
      <c r="D50" s="171">
        <f>B50*0.001</f>
        <v>0.1</v>
      </c>
      <c r="E50" s="277" t="s">
        <v>269</v>
      </c>
      <c r="H50" s="170">
        <v>44</v>
      </c>
      <c r="I50" s="456">
        <f t="shared" si="2"/>
        <v>0.44</v>
      </c>
      <c r="J50" s="217"/>
      <c r="K50" s="217"/>
      <c r="L50" s="217"/>
      <c r="M50" s="217"/>
      <c r="N50" s="267"/>
      <c r="O50" s="172"/>
      <c r="P50" s="217"/>
      <c r="Q50" s="443"/>
      <c r="S50" s="268"/>
      <c r="T50" s="268"/>
      <c r="U50" s="268"/>
      <c r="AJ50" s="443"/>
      <c r="AZ50" s="269"/>
      <c r="BJ50" s="219"/>
      <c r="BK50" s="219"/>
      <c r="BL50" s="219"/>
      <c r="BO50" s="172"/>
      <c r="BP50" s="219"/>
      <c r="BQ50" s="270"/>
      <c r="BR50" s="271"/>
      <c r="BS50" s="219"/>
      <c r="BT50" s="272"/>
      <c r="BX50" s="219"/>
      <c r="BY50" s="219"/>
      <c r="BZ50" s="172"/>
      <c r="CA50" s="172"/>
      <c r="CB50" s="172"/>
      <c r="CC50" s="172"/>
    </row>
    <row r="51" spans="1:81" ht="13" thickBot="1">
      <c r="A51" s="298" t="s">
        <v>400</v>
      </c>
      <c r="B51" s="318">
        <v>2</v>
      </c>
      <c r="C51" s="287" t="s">
        <v>31</v>
      </c>
      <c r="D51" s="289">
        <f>B51*0.000000001</f>
        <v>2.0000000000000001E-9</v>
      </c>
      <c r="E51" s="277" t="s">
        <v>270</v>
      </c>
      <c r="H51" s="170">
        <v>45</v>
      </c>
      <c r="I51" s="456">
        <f t="shared" si="2"/>
        <v>0.45</v>
      </c>
      <c r="J51" s="217"/>
      <c r="K51" s="217"/>
      <c r="L51" s="217"/>
      <c r="M51" s="217"/>
      <c r="N51" s="267"/>
      <c r="O51" s="172"/>
      <c r="P51" s="217"/>
      <c r="Q51" s="443"/>
      <c r="S51" s="268"/>
      <c r="T51" s="268"/>
      <c r="U51" s="268"/>
      <c r="AJ51" s="443"/>
      <c r="AZ51" s="269"/>
      <c r="BJ51" s="219"/>
      <c r="BK51" s="219"/>
      <c r="BL51" s="219"/>
      <c r="BO51" s="172"/>
      <c r="BP51" s="219"/>
      <c r="BQ51" s="270"/>
      <c r="BR51" s="271"/>
      <c r="BS51" s="219"/>
      <c r="BT51" s="272"/>
      <c r="BX51" s="219"/>
      <c r="BY51" s="219"/>
      <c r="BZ51" s="172"/>
      <c r="CA51" s="172"/>
      <c r="CB51" s="172"/>
      <c r="CC51" s="172"/>
    </row>
    <row r="52" spans="1:81" ht="13" thickBot="1">
      <c r="A52" s="298" t="s">
        <v>401</v>
      </c>
      <c r="B52" s="318">
        <v>10</v>
      </c>
      <c r="C52" s="287" t="s">
        <v>32</v>
      </c>
      <c r="D52" s="289">
        <f>B52*0.000000001</f>
        <v>1E-8</v>
      </c>
      <c r="E52" s="277" t="s">
        <v>271</v>
      </c>
      <c r="H52" s="170">
        <v>46</v>
      </c>
      <c r="I52" s="456">
        <f t="shared" si="2"/>
        <v>0.46</v>
      </c>
      <c r="J52" s="217"/>
      <c r="K52" s="217"/>
      <c r="L52" s="217"/>
      <c r="M52" s="217"/>
      <c r="N52" s="267"/>
      <c r="O52" s="172"/>
      <c r="P52" s="217"/>
      <c r="Q52" s="443"/>
      <c r="S52" s="268"/>
      <c r="T52" s="268"/>
      <c r="U52" s="268"/>
      <c r="AJ52" s="443"/>
      <c r="AZ52" s="269"/>
      <c r="BJ52" s="219"/>
      <c r="BK52" s="219"/>
      <c r="BL52" s="219"/>
      <c r="BO52" s="172"/>
      <c r="BP52" s="219"/>
      <c r="BQ52" s="270"/>
      <c r="BR52" s="271"/>
      <c r="BS52" s="219"/>
      <c r="BT52" s="272"/>
      <c r="BX52" s="219"/>
      <c r="BY52" s="219"/>
      <c r="BZ52" s="172"/>
      <c r="CA52" s="172"/>
      <c r="CB52" s="172"/>
      <c r="CC52" s="172"/>
    </row>
    <row r="53" spans="1:81">
      <c r="A53" s="324" t="s">
        <v>488</v>
      </c>
      <c r="B53" s="318">
        <v>0</v>
      </c>
      <c r="C53" s="275" t="s">
        <v>272</v>
      </c>
      <c r="D53" s="289">
        <f>B53/1000000</f>
        <v>0</v>
      </c>
      <c r="E53" s="277" t="s">
        <v>273</v>
      </c>
      <c r="H53" s="170">
        <v>47</v>
      </c>
      <c r="I53" s="456">
        <f t="shared" si="2"/>
        <v>0.47</v>
      </c>
      <c r="J53" s="217"/>
      <c r="K53" s="217"/>
      <c r="L53" s="217"/>
      <c r="M53" s="217"/>
      <c r="N53" s="267"/>
      <c r="O53" s="172"/>
      <c r="P53" s="217"/>
      <c r="Q53" s="443"/>
      <c r="S53" s="268"/>
      <c r="T53" s="268"/>
      <c r="U53" s="268"/>
      <c r="AJ53" s="443"/>
      <c r="AZ53" s="269"/>
      <c r="BJ53" s="219"/>
      <c r="BK53" s="219"/>
      <c r="BL53" s="219"/>
      <c r="BO53" s="172"/>
      <c r="BP53" s="219"/>
      <c r="BQ53" s="270"/>
      <c r="BR53" s="271"/>
      <c r="BS53" s="219"/>
      <c r="BT53" s="272"/>
      <c r="BX53" s="219"/>
      <c r="BY53" s="219"/>
      <c r="BZ53" s="172"/>
      <c r="CA53" s="172"/>
      <c r="CB53" s="172"/>
      <c r="CC53" s="172"/>
    </row>
    <row r="54" spans="1:81">
      <c r="A54" s="170" t="s">
        <v>672</v>
      </c>
      <c r="B54" s="197">
        <f>'Design Converter'!E82</f>
        <v>52.8</v>
      </c>
      <c r="C54" s="631" t="s">
        <v>84</v>
      </c>
      <c r="D54" s="197">
        <f>B54</f>
        <v>52.8</v>
      </c>
      <c r="E54" s="170" t="s">
        <v>671</v>
      </c>
      <c r="H54" s="170">
        <v>48</v>
      </c>
      <c r="I54" s="456">
        <f t="shared" si="2"/>
        <v>0.48</v>
      </c>
      <c r="J54" s="217"/>
      <c r="K54" s="217"/>
      <c r="L54" s="217"/>
      <c r="M54" s="217"/>
      <c r="N54" s="267"/>
      <c r="O54" s="172"/>
      <c r="P54" s="217"/>
      <c r="Q54" s="443"/>
      <c r="S54" s="268"/>
      <c r="T54" s="268"/>
      <c r="U54" s="268"/>
      <c r="AJ54" s="443"/>
      <c r="AZ54" s="269"/>
      <c r="BJ54" s="219"/>
      <c r="BK54" s="219"/>
      <c r="BL54" s="219"/>
      <c r="BO54" s="172"/>
      <c r="BP54" s="219"/>
      <c r="BQ54" s="270"/>
      <c r="BR54" s="271"/>
      <c r="BS54" s="219"/>
      <c r="BT54" s="272"/>
      <c r="BX54" s="219"/>
      <c r="BY54" s="219"/>
      <c r="BZ54" s="172"/>
      <c r="CA54" s="172"/>
      <c r="CB54" s="172"/>
      <c r="CC54" s="172"/>
    </row>
    <row r="55" spans="1:81">
      <c r="H55" s="170">
        <v>49</v>
      </c>
      <c r="I55" s="456">
        <f t="shared" si="2"/>
        <v>0.49</v>
      </c>
      <c r="J55" s="217"/>
      <c r="K55" s="217"/>
      <c r="L55" s="217"/>
      <c r="M55" s="217"/>
      <c r="N55" s="267"/>
      <c r="O55" s="172"/>
      <c r="P55" s="217"/>
      <c r="Q55" s="443"/>
      <c r="S55" s="268"/>
      <c r="T55" s="268"/>
      <c r="U55" s="268"/>
      <c r="AJ55" s="443"/>
      <c r="AZ55" s="269"/>
      <c r="BJ55" s="219"/>
      <c r="BK55" s="219"/>
      <c r="BL55" s="219"/>
      <c r="BO55" s="172"/>
      <c r="BP55" s="219"/>
      <c r="BQ55" s="270"/>
      <c r="BR55" s="271"/>
      <c r="BS55" s="219"/>
      <c r="BT55" s="272"/>
      <c r="BX55" s="219"/>
      <c r="BY55" s="219"/>
      <c r="BZ55" s="172"/>
      <c r="CA55" s="172"/>
      <c r="CB55" s="172"/>
      <c r="CC55" s="172"/>
    </row>
    <row r="56" spans="1:81">
      <c r="H56" s="170">
        <v>50</v>
      </c>
      <c r="I56" s="456">
        <f t="shared" si="2"/>
        <v>0.5</v>
      </c>
      <c r="J56" s="217"/>
      <c r="K56" s="217"/>
      <c r="L56" s="217"/>
      <c r="M56" s="217"/>
      <c r="N56" s="267"/>
      <c r="O56" s="172"/>
      <c r="P56" s="217"/>
      <c r="Q56" s="443"/>
      <c r="S56" s="268"/>
      <c r="T56" s="268"/>
      <c r="U56" s="268"/>
      <c r="AJ56" s="443"/>
      <c r="AZ56" s="269"/>
      <c r="BJ56" s="219"/>
      <c r="BK56" s="219"/>
      <c r="BL56" s="219"/>
      <c r="BO56" s="172"/>
      <c r="BP56" s="219"/>
      <c r="BQ56" s="270"/>
      <c r="BR56" s="271"/>
      <c r="BS56" s="219"/>
      <c r="BT56" s="272"/>
      <c r="BX56" s="219"/>
      <c r="BY56" s="219"/>
      <c r="BZ56" s="172"/>
      <c r="CA56" s="172"/>
      <c r="CB56" s="172"/>
      <c r="CC56" s="172"/>
    </row>
    <row r="57" spans="1:81">
      <c r="H57" s="170">
        <v>51</v>
      </c>
      <c r="I57" s="456">
        <f t="shared" si="2"/>
        <v>0.51</v>
      </c>
      <c r="J57" s="217"/>
      <c r="K57" s="217"/>
      <c r="L57" s="217"/>
      <c r="M57" s="217"/>
      <c r="N57" s="267"/>
      <c r="O57" s="172"/>
      <c r="P57" s="217"/>
      <c r="Q57" s="443"/>
      <c r="S57" s="268"/>
      <c r="T57" s="268"/>
      <c r="U57" s="268"/>
      <c r="AJ57" s="443"/>
      <c r="AZ57" s="269"/>
      <c r="BJ57" s="219"/>
      <c r="BK57" s="219"/>
      <c r="BL57" s="219"/>
      <c r="BO57" s="172"/>
      <c r="BP57" s="219"/>
      <c r="BQ57" s="270"/>
      <c r="BR57" s="271"/>
      <c r="BS57" s="219"/>
      <c r="BT57" s="272"/>
      <c r="BX57" s="219"/>
      <c r="BY57" s="219"/>
      <c r="BZ57" s="172"/>
      <c r="CA57" s="172"/>
      <c r="CB57" s="172"/>
      <c r="CC57" s="172"/>
    </row>
    <row r="58" spans="1:81">
      <c r="H58" s="170">
        <v>52</v>
      </c>
      <c r="I58" s="456">
        <f t="shared" si="2"/>
        <v>0.52</v>
      </c>
      <c r="J58" s="217"/>
      <c r="K58" s="217"/>
      <c r="L58" s="217"/>
      <c r="M58" s="217"/>
      <c r="N58" s="267"/>
      <c r="O58" s="172"/>
      <c r="P58" s="217"/>
      <c r="Q58" s="443"/>
      <c r="S58" s="268"/>
      <c r="T58" s="268"/>
      <c r="U58" s="268"/>
      <c r="AJ58" s="443"/>
      <c r="AZ58" s="269"/>
      <c r="BJ58" s="219"/>
      <c r="BK58" s="219"/>
      <c r="BL58" s="219"/>
      <c r="BO58" s="172"/>
      <c r="BP58" s="219"/>
      <c r="BQ58" s="270"/>
      <c r="BR58" s="271"/>
      <c r="BS58" s="219"/>
      <c r="BT58" s="272"/>
      <c r="BX58" s="219"/>
      <c r="BY58" s="219"/>
      <c r="BZ58" s="172"/>
      <c r="CA58" s="172"/>
      <c r="CB58" s="172"/>
      <c r="CC58" s="172"/>
    </row>
    <row r="59" spans="1:81">
      <c r="H59" s="170">
        <v>53</v>
      </c>
      <c r="I59" s="456">
        <f t="shared" si="2"/>
        <v>0.53</v>
      </c>
      <c r="J59" s="217"/>
      <c r="K59" s="217"/>
      <c r="L59" s="217"/>
      <c r="M59" s="217"/>
      <c r="N59" s="267"/>
      <c r="O59" s="172"/>
      <c r="P59" s="217"/>
      <c r="Q59" s="443"/>
      <c r="S59" s="268"/>
      <c r="T59" s="268"/>
      <c r="U59" s="268"/>
      <c r="AJ59" s="443"/>
      <c r="AZ59" s="269"/>
      <c r="BJ59" s="219"/>
      <c r="BK59" s="219"/>
      <c r="BL59" s="219"/>
      <c r="BO59" s="172"/>
      <c r="BP59" s="219"/>
      <c r="BQ59" s="270"/>
      <c r="BR59" s="271"/>
      <c r="BS59" s="219"/>
      <c r="BT59" s="272"/>
      <c r="BX59" s="219"/>
      <c r="BY59" s="219"/>
      <c r="BZ59" s="172"/>
      <c r="CA59" s="172"/>
      <c r="CB59" s="172"/>
      <c r="CC59" s="172"/>
    </row>
    <row r="60" spans="1:81">
      <c r="H60" s="170">
        <v>54</v>
      </c>
      <c r="I60" s="456">
        <f t="shared" si="2"/>
        <v>0.54</v>
      </c>
      <c r="J60" s="217"/>
      <c r="K60" s="217"/>
      <c r="L60" s="217"/>
      <c r="M60" s="217"/>
      <c r="N60" s="267"/>
      <c r="O60" s="172"/>
      <c r="P60" s="217"/>
      <c r="Q60" s="443"/>
      <c r="S60" s="268"/>
      <c r="T60" s="268"/>
      <c r="U60" s="268"/>
      <c r="AJ60" s="443"/>
      <c r="AZ60" s="269"/>
      <c r="BJ60" s="219"/>
      <c r="BK60" s="219"/>
      <c r="BL60" s="219"/>
      <c r="BO60" s="172"/>
      <c r="BP60" s="219"/>
      <c r="BQ60" s="270"/>
      <c r="BR60" s="271"/>
      <c r="BS60" s="219"/>
      <c r="BT60" s="272"/>
      <c r="BX60" s="219"/>
      <c r="BY60" s="219"/>
      <c r="BZ60" s="172"/>
      <c r="CA60" s="172"/>
      <c r="CB60" s="172"/>
      <c r="CC60" s="172"/>
    </row>
    <row r="61" spans="1:81">
      <c r="H61" s="170">
        <v>55</v>
      </c>
      <c r="I61" s="456">
        <f t="shared" si="2"/>
        <v>0.55000000000000004</v>
      </c>
      <c r="J61" s="217"/>
      <c r="K61" s="217"/>
      <c r="L61" s="217"/>
      <c r="M61" s="217"/>
      <c r="N61" s="267"/>
      <c r="O61" s="172"/>
      <c r="P61" s="217"/>
      <c r="Q61" s="443"/>
      <c r="S61" s="268"/>
      <c r="T61" s="268"/>
      <c r="U61" s="268"/>
      <c r="AJ61" s="443"/>
      <c r="AZ61" s="269"/>
      <c r="BJ61" s="219"/>
      <c r="BK61" s="219"/>
      <c r="BL61" s="219"/>
      <c r="BO61" s="172"/>
      <c r="BP61" s="219"/>
      <c r="BQ61" s="270"/>
      <c r="BR61" s="271"/>
      <c r="BS61" s="219"/>
      <c r="BT61" s="272"/>
      <c r="BX61" s="219"/>
      <c r="BY61" s="219"/>
      <c r="BZ61" s="172"/>
      <c r="CA61" s="172"/>
      <c r="CB61" s="172"/>
      <c r="CC61" s="172"/>
    </row>
    <row r="62" spans="1:81">
      <c r="H62" s="170">
        <v>56</v>
      </c>
      <c r="I62" s="456">
        <f t="shared" si="2"/>
        <v>0.56000000000000005</v>
      </c>
      <c r="J62" s="217"/>
      <c r="K62" s="217"/>
      <c r="L62" s="217"/>
      <c r="M62" s="217"/>
      <c r="N62" s="267"/>
      <c r="O62" s="172"/>
      <c r="P62" s="217"/>
      <c r="Q62" s="443"/>
      <c r="S62" s="268"/>
      <c r="T62" s="268"/>
      <c r="U62" s="268"/>
      <c r="AJ62" s="443"/>
      <c r="AZ62" s="269"/>
      <c r="BJ62" s="219"/>
      <c r="BK62" s="219"/>
      <c r="BL62" s="219"/>
      <c r="BO62" s="172"/>
      <c r="BP62" s="219"/>
      <c r="BQ62" s="270"/>
      <c r="BR62" s="271"/>
      <c r="BS62" s="219"/>
      <c r="BT62" s="272"/>
      <c r="BX62" s="219"/>
      <c r="BY62" s="219"/>
      <c r="BZ62" s="172"/>
      <c r="CA62" s="172"/>
      <c r="CB62" s="172"/>
      <c r="CC62" s="172"/>
    </row>
    <row r="63" spans="1:81" ht="13">
      <c r="F63" s="325" t="s">
        <v>274</v>
      </c>
      <c r="G63" s="325" t="s">
        <v>275</v>
      </c>
      <c r="H63" s="170">
        <v>57</v>
      </c>
      <c r="I63" s="456">
        <f t="shared" si="2"/>
        <v>0.56999999999999995</v>
      </c>
      <c r="J63" s="217"/>
      <c r="K63" s="217"/>
      <c r="L63" s="217"/>
      <c r="M63" s="217"/>
      <c r="N63" s="267"/>
      <c r="O63" s="172"/>
      <c r="P63" s="217"/>
      <c r="Q63" s="443"/>
      <c r="S63" s="268"/>
      <c r="T63" s="268"/>
      <c r="U63" s="268"/>
      <c r="AJ63" s="443"/>
      <c r="AZ63" s="269"/>
      <c r="BJ63" s="219"/>
      <c r="BK63" s="219"/>
      <c r="BL63" s="219"/>
      <c r="BO63" s="172"/>
      <c r="BP63" s="219"/>
      <c r="BQ63" s="270"/>
      <c r="BR63" s="271"/>
      <c r="BS63" s="219"/>
      <c r="BT63" s="272"/>
      <c r="BX63" s="219"/>
      <c r="BY63" s="219"/>
      <c r="BZ63" s="172"/>
      <c r="CA63" s="172"/>
      <c r="CB63" s="172"/>
      <c r="CC63" s="172"/>
    </row>
    <row r="64" spans="1:81">
      <c r="F64" s="326">
        <f>BM56</f>
        <v>0</v>
      </c>
      <c r="G64" s="327">
        <f>I56*1000</f>
        <v>500</v>
      </c>
      <c r="H64" s="170">
        <v>58</v>
      </c>
      <c r="I64" s="456">
        <f t="shared" si="2"/>
        <v>0.57999999999999996</v>
      </c>
      <c r="J64" s="217"/>
      <c r="K64" s="217"/>
      <c r="L64" s="217"/>
      <c r="M64" s="217"/>
      <c r="N64" s="267"/>
      <c r="O64" s="172"/>
      <c r="P64" s="217"/>
      <c r="Q64" s="443"/>
      <c r="S64" s="268"/>
      <c r="T64" s="268"/>
      <c r="U64" s="268"/>
      <c r="AJ64" s="443"/>
      <c r="AZ64" s="269"/>
      <c r="BJ64" s="219"/>
      <c r="BK64" s="219"/>
      <c r="BL64" s="219"/>
      <c r="BO64" s="172"/>
      <c r="BP64" s="219"/>
      <c r="BQ64" s="270"/>
      <c r="BR64" s="271"/>
      <c r="BS64" s="219"/>
      <c r="BT64" s="272"/>
      <c r="BX64" s="219"/>
      <c r="BY64" s="219"/>
      <c r="BZ64" s="172"/>
      <c r="CA64" s="172"/>
      <c r="CB64" s="172"/>
      <c r="CC64" s="172"/>
    </row>
    <row r="65" spans="6:81">
      <c r="F65" s="326">
        <f>BM81</f>
        <v>0</v>
      </c>
      <c r="G65" s="327">
        <f>I81*1000</f>
        <v>750</v>
      </c>
      <c r="H65" s="170">
        <v>59</v>
      </c>
      <c r="I65" s="456">
        <f t="shared" si="2"/>
        <v>0.59</v>
      </c>
      <c r="J65" s="217"/>
      <c r="K65" s="217"/>
      <c r="L65" s="217"/>
      <c r="M65" s="217"/>
      <c r="N65" s="267"/>
      <c r="O65" s="172"/>
      <c r="P65" s="217"/>
      <c r="Q65" s="443"/>
      <c r="S65" s="268"/>
      <c r="T65" s="268"/>
      <c r="U65" s="268"/>
      <c r="AJ65" s="443"/>
      <c r="AZ65" s="269"/>
      <c r="BJ65" s="219"/>
      <c r="BK65" s="219"/>
      <c r="BL65" s="219"/>
      <c r="BO65" s="172"/>
      <c r="BP65" s="219"/>
      <c r="BQ65" s="270"/>
      <c r="BR65" s="271"/>
      <c r="BS65" s="219"/>
      <c r="BT65" s="272"/>
      <c r="BX65" s="219"/>
      <c r="BY65" s="219"/>
      <c r="BZ65" s="172"/>
      <c r="CA65" s="172"/>
      <c r="CB65" s="172"/>
      <c r="CC65" s="172"/>
    </row>
    <row r="66" spans="6:81">
      <c r="F66" s="326">
        <f>BM106</f>
        <v>100</v>
      </c>
      <c r="G66" s="327">
        <f>I106*1000</f>
        <v>1000</v>
      </c>
      <c r="H66" s="170">
        <v>60</v>
      </c>
      <c r="I66" s="456">
        <f t="shared" si="2"/>
        <v>0.6</v>
      </c>
      <c r="J66" s="217"/>
      <c r="K66" s="217"/>
      <c r="L66" s="217"/>
      <c r="M66" s="217"/>
      <c r="N66" s="267"/>
      <c r="O66" s="172"/>
      <c r="P66" s="217"/>
      <c r="Q66" s="443"/>
      <c r="S66" s="268"/>
      <c r="T66" s="268"/>
      <c r="U66" s="268"/>
      <c r="AJ66" s="443"/>
      <c r="AZ66" s="269"/>
      <c r="BJ66" s="219"/>
      <c r="BK66" s="219"/>
      <c r="BL66" s="219"/>
      <c r="BO66" s="172"/>
      <c r="BP66" s="219"/>
      <c r="BQ66" s="270"/>
      <c r="BR66" s="271"/>
      <c r="BS66" s="219"/>
      <c r="BT66" s="272"/>
      <c r="BX66" s="219"/>
      <c r="BY66" s="219"/>
      <c r="BZ66" s="172"/>
      <c r="CA66" s="172"/>
      <c r="CB66" s="172"/>
      <c r="CC66" s="172"/>
    </row>
    <row r="67" spans="6:81">
      <c r="H67" s="170">
        <v>61</v>
      </c>
      <c r="I67" s="456">
        <f t="shared" si="2"/>
        <v>0.61</v>
      </c>
      <c r="J67" s="217"/>
      <c r="K67" s="217"/>
      <c r="L67" s="217"/>
      <c r="M67" s="217"/>
      <c r="N67" s="267"/>
      <c r="O67" s="172"/>
      <c r="P67" s="217"/>
      <c r="Q67" s="443"/>
      <c r="S67" s="268"/>
      <c r="T67" s="268"/>
      <c r="U67" s="268"/>
      <c r="AJ67" s="443"/>
      <c r="AZ67" s="269"/>
      <c r="BJ67" s="219"/>
      <c r="BK67" s="219"/>
      <c r="BL67" s="219"/>
      <c r="BO67" s="172"/>
      <c r="BP67" s="219"/>
      <c r="BQ67" s="270"/>
      <c r="BR67" s="271"/>
      <c r="BS67" s="219"/>
      <c r="BT67" s="272"/>
      <c r="BX67" s="219"/>
      <c r="BY67" s="219"/>
      <c r="BZ67" s="172"/>
      <c r="CA67" s="172"/>
      <c r="CB67" s="172"/>
      <c r="CC67" s="172"/>
    </row>
    <row r="68" spans="6:81">
      <c r="H68" s="170">
        <v>62</v>
      </c>
      <c r="I68" s="456">
        <f t="shared" si="2"/>
        <v>0.62</v>
      </c>
      <c r="J68" s="217"/>
      <c r="K68" s="217"/>
      <c r="L68" s="217"/>
      <c r="M68" s="217"/>
      <c r="N68" s="267"/>
      <c r="O68" s="172"/>
      <c r="P68" s="217"/>
      <c r="Q68" s="443"/>
      <c r="S68" s="268"/>
      <c r="T68" s="268"/>
      <c r="U68" s="268"/>
      <c r="AJ68" s="443"/>
      <c r="AZ68" s="269"/>
      <c r="BJ68" s="219"/>
      <c r="BK68" s="219"/>
      <c r="BL68" s="219"/>
      <c r="BO68" s="172"/>
      <c r="BP68" s="219"/>
      <c r="BQ68" s="270"/>
      <c r="BR68" s="271"/>
      <c r="BS68" s="219"/>
      <c r="BT68" s="272"/>
      <c r="BX68" s="219"/>
      <c r="BY68" s="219"/>
      <c r="BZ68" s="172"/>
      <c r="CA68" s="172"/>
      <c r="CB68" s="172"/>
      <c r="CC68" s="172"/>
    </row>
    <row r="69" spans="6:81">
      <c r="H69" s="170">
        <v>63</v>
      </c>
      <c r="I69" s="456">
        <f t="shared" si="2"/>
        <v>0.63</v>
      </c>
      <c r="J69" s="217"/>
      <c r="K69" s="217"/>
      <c r="L69" s="217"/>
      <c r="M69" s="217"/>
      <c r="N69" s="267"/>
      <c r="O69" s="172"/>
      <c r="P69" s="217"/>
      <c r="Q69" s="443"/>
      <c r="S69" s="268"/>
      <c r="T69" s="268"/>
      <c r="U69" s="268"/>
      <c r="AJ69" s="443"/>
      <c r="AZ69" s="269"/>
      <c r="BJ69" s="219"/>
      <c r="BK69" s="219"/>
      <c r="BL69" s="219"/>
      <c r="BO69" s="172"/>
      <c r="BP69" s="219"/>
      <c r="BQ69" s="270"/>
      <c r="BR69" s="271"/>
      <c r="BS69" s="219"/>
      <c r="BT69" s="272"/>
      <c r="BX69" s="219"/>
      <c r="BY69" s="219"/>
      <c r="BZ69" s="172"/>
      <c r="CA69" s="172"/>
      <c r="CB69" s="172"/>
      <c r="CC69" s="172"/>
    </row>
    <row r="70" spans="6:81">
      <c r="H70" s="170">
        <v>64</v>
      </c>
      <c r="I70" s="456">
        <f t="shared" ref="I70:I101" si="3">IF(PLOT_TYPE=1, H70/100*Iout_max, min_I*EXP(H70*rr/100))</f>
        <v>0.64</v>
      </c>
      <c r="J70" s="217"/>
      <c r="K70" s="217"/>
      <c r="L70" s="217"/>
      <c r="M70" s="217"/>
      <c r="N70" s="267"/>
      <c r="O70" s="172"/>
      <c r="P70" s="217"/>
      <c r="Q70" s="443"/>
      <c r="S70" s="268"/>
      <c r="T70" s="268"/>
      <c r="U70" s="268"/>
      <c r="AJ70" s="443"/>
      <c r="AZ70" s="269"/>
      <c r="BJ70" s="219"/>
      <c r="BK70" s="219"/>
      <c r="BL70" s="219"/>
      <c r="BO70" s="172"/>
      <c r="BP70" s="219"/>
      <c r="BQ70" s="270"/>
      <c r="BR70" s="271"/>
      <c r="BS70" s="219"/>
      <c r="BT70" s="272"/>
      <c r="BX70" s="219"/>
      <c r="BY70" s="219"/>
      <c r="BZ70" s="172"/>
      <c r="CA70" s="172"/>
      <c r="CB70" s="172"/>
      <c r="CC70" s="172"/>
    </row>
    <row r="71" spans="6:81">
      <c r="H71" s="170">
        <v>65</v>
      </c>
      <c r="I71" s="456">
        <f t="shared" si="3"/>
        <v>0.65</v>
      </c>
      <c r="J71" s="217"/>
      <c r="K71" s="217"/>
      <c r="L71" s="217"/>
      <c r="M71" s="217"/>
      <c r="N71" s="267"/>
      <c r="O71" s="172"/>
      <c r="P71" s="217"/>
      <c r="Q71" s="443"/>
      <c r="S71" s="268"/>
      <c r="T71" s="268"/>
      <c r="U71" s="268"/>
      <c r="AJ71" s="443"/>
      <c r="AZ71" s="269"/>
      <c r="BJ71" s="219"/>
      <c r="BK71" s="219"/>
      <c r="BL71" s="219"/>
      <c r="BO71" s="172"/>
      <c r="BP71" s="219"/>
      <c r="BQ71" s="270"/>
      <c r="BR71" s="271"/>
      <c r="BS71" s="219"/>
      <c r="BT71" s="272"/>
      <c r="BX71" s="219"/>
      <c r="BY71" s="219"/>
      <c r="BZ71" s="172"/>
      <c r="CA71" s="172"/>
      <c r="CB71" s="172"/>
      <c r="CC71" s="172"/>
    </row>
    <row r="72" spans="6:81">
      <c r="H72" s="170">
        <v>66</v>
      </c>
      <c r="I72" s="456">
        <f t="shared" si="3"/>
        <v>0.66</v>
      </c>
      <c r="J72" s="217"/>
      <c r="K72" s="217"/>
      <c r="L72" s="217"/>
      <c r="M72" s="217"/>
      <c r="N72" s="267"/>
      <c r="O72" s="172"/>
      <c r="P72" s="217"/>
      <c r="Q72" s="443"/>
      <c r="S72" s="268"/>
      <c r="T72" s="268"/>
      <c r="U72" s="268"/>
      <c r="AJ72" s="443"/>
      <c r="AZ72" s="269"/>
      <c r="BJ72" s="219"/>
      <c r="BK72" s="219"/>
      <c r="BL72" s="219"/>
      <c r="BO72" s="172"/>
      <c r="BP72" s="219"/>
      <c r="BQ72" s="270"/>
      <c r="BR72" s="271"/>
      <c r="BS72" s="219"/>
      <c r="BT72" s="272"/>
      <c r="BX72" s="219"/>
      <c r="BY72" s="219"/>
      <c r="BZ72" s="172"/>
      <c r="CA72" s="172"/>
      <c r="CB72" s="172"/>
      <c r="CC72" s="172"/>
    </row>
    <row r="73" spans="6:81">
      <c r="H73" s="170">
        <v>67</v>
      </c>
      <c r="I73" s="456">
        <f t="shared" si="3"/>
        <v>0.67</v>
      </c>
      <c r="J73" s="217"/>
      <c r="K73" s="217"/>
      <c r="L73" s="217"/>
      <c r="M73" s="217"/>
      <c r="N73" s="267"/>
      <c r="O73" s="172"/>
      <c r="P73" s="217"/>
      <c r="Q73" s="443"/>
      <c r="S73" s="268"/>
      <c r="T73" s="268"/>
      <c r="U73" s="268"/>
      <c r="AJ73" s="443"/>
      <c r="AZ73" s="269"/>
      <c r="BJ73" s="219"/>
      <c r="BK73" s="219"/>
      <c r="BL73" s="219"/>
      <c r="BO73" s="172"/>
      <c r="BP73" s="219"/>
      <c r="BQ73" s="270"/>
      <c r="BR73" s="271"/>
      <c r="BS73" s="219"/>
      <c r="BT73" s="272"/>
      <c r="BX73" s="219"/>
      <c r="BY73" s="219"/>
      <c r="BZ73" s="172"/>
      <c r="CA73" s="172"/>
      <c r="CB73" s="172"/>
      <c r="CC73" s="172"/>
    </row>
    <row r="74" spans="6:81">
      <c r="H74" s="170">
        <v>68</v>
      </c>
      <c r="I74" s="456">
        <f t="shared" si="3"/>
        <v>0.68</v>
      </c>
      <c r="J74" s="217"/>
      <c r="K74" s="217"/>
      <c r="L74" s="217"/>
      <c r="M74" s="217"/>
      <c r="N74" s="267"/>
      <c r="O74" s="172"/>
      <c r="P74" s="217"/>
      <c r="Q74" s="443"/>
      <c r="S74" s="268"/>
      <c r="T74" s="268"/>
      <c r="U74" s="268"/>
      <c r="AJ74" s="443"/>
      <c r="AZ74" s="269"/>
      <c r="BJ74" s="219"/>
      <c r="BK74" s="219"/>
      <c r="BL74" s="219"/>
      <c r="BO74" s="172"/>
      <c r="BP74" s="219"/>
      <c r="BQ74" s="270"/>
      <c r="BR74" s="271"/>
      <c r="BS74" s="219"/>
      <c r="BT74" s="272"/>
      <c r="BX74" s="219"/>
      <c r="BY74" s="219"/>
      <c r="BZ74" s="172"/>
      <c r="CA74" s="172"/>
      <c r="CB74" s="172"/>
      <c r="CC74" s="172"/>
    </row>
    <row r="75" spans="6:81">
      <c r="H75" s="170">
        <v>69</v>
      </c>
      <c r="I75" s="456">
        <f t="shared" si="3"/>
        <v>0.69</v>
      </c>
      <c r="J75" s="217"/>
      <c r="K75" s="217"/>
      <c r="L75" s="217"/>
      <c r="M75" s="217"/>
      <c r="N75" s="267"/>
      <c r="O75" s="172"/>
      <c r="P75" s="217"/>
      <c r="Q75" s="443"/>
      <c r="S75" s="268"/>
      <c r="T75" s="268"/>
      <c r="U75" s="268"/>
      <c r="AJ75" s="443"/>
      <c r="AZ75" s="269"/>
      <c r="BJ75" s="219"/>
      <c r="BK75" s="219"/>
      <c r="BL75" s="219"/>
      <c r="BO75" s="172"/>
      <c r="BP75" s="219"/>
      <c r="BQ75" s="270"/>
      <c r="BR75" s="271"/>
      <c r="BS75" s="219"/>
      <c r="BT75" s="272"/>
      <c r="BX75" s="219"/>
      <c r="BY75" s="219"/>
      <c r="BZ75" s="172"/>
      <c r="CA75" s="172"/>
      <c r="CB75" s="172"/>
      <c r="CC75" s="172"/>
    </row>
    <row r="76" spans="6:81">
      <c r="H76" s="170">
        <v>70</v>
      </c>
      <c r="I76" s="456">
        <f t="shared" si="3"/>
        <v>0.7</v>
      </c>
      <c r="J76" s="217"/>
      <c r="K76" s="217"/>
      <c r="L76" s="217"/>
      <c r="M76" s="217"/>
      <c r="N76" s="267"/>
      <c r="O76" s="172"/>
      <c r="P76" s="217"/>
      <c r="Q76" s="443"/>
      <c r="S76" s="268"/>
      <c r="T76" s="268"/>
      <c r="U76" s="268"/>
      <c r="AJ76" s="443"/>
      <c r="AZ76" s="269"/>
      <c r="BJ76" s="219"/>
      <c r="BK76" s="219"/>
      <c r="BL76" s="219"/>
      <c r="BO76" s="172"/>
      <c r="BP76" s="219"/>
      <c r="BQ76" s="270"/>
      <c r="BR76" s="271"/>
      <c r="BS76" s="219"/>
      <c r="BT76" s="272"/>
      <c r="BX76" s="219"/>
      <c r="BY76" s="219"/>
      <c r="BZ76" s="172"/>
      <c r="CA76" s="172"/>
      <c r="CB76" s="172"/>
      <c r="CC76" s="172"/>
    </row>
    <row r="77" spans="6:81">
      <c r="H77" s="170">
        <v>71</v>
      </c>
      <c r="I77" s="456">
        <f t="shared" si="3"/>
        <v>0.71</v>
      </c>
      <c r="J77" s="217"/>
      <c r="K77" s="217"/>
      <c r="L77" s="217"/>
      <c r="M77" s="217"/>
      <c r="N77" s="267"/>
      <c r="O77" s="172"/>
      <c r="P77" s="217"/>
      <c r="Q77" s="443"/>
      <c r="S77" s="268"/>
      <c r="T77" s="268"/>
      <c r="U77" s="268"/>
      <c r="AJ77" s="443"/>
      <c r="AZ77" s="269"/>
      <c r="BJ77" s="219"/>
      <c r="BK77" s="219"/>
      <c r="BL77" s="219"/>
      <c r="BO77" s="172"/>
      <c r="BP77" s="219"/>
      <c r="BQ77" s="270"/>
      <c r="BR77" s="271"/>
      <c r="BS77" s="219"/>
      <c r="BT77" s="272"/>
      <c r="BX77" s="219"/>
      <c r="BY77" s="219"/>
      <c r="BZ77" s="172"/>
      <c r="CA77" s="172"/>
      <c r="CB77" s="172"/>
      <c r="CC77" s="172"/>
    </row>
    <row r="78" spans="6:81">
      <c r="H78" s="170">
        <v>72</v>
      </c>
      <c r="I78" s="456">
        <f t="shared" si="3"/>
        <v>0.72</v>
      </c>
      <c r="J78" s="217"/>
      <c r="K78" s="217"/>
      <c r="L78" s="217"/>
      <c r="M78" s="217"/>
      <c r="N78" s="267"/>
      <c r="O78" s="172"/>
      <c r="P78" s="217"/>
      <c r="Q78" s="443"/>
      <c r="S78" s="268"/>
      <c r="T78" s="268"/>
      <c r="U78" s="268"/>
      <c r="AJ78" s="443"/>
      <c r="AZ78" s="269"/>
      <c r="BJ78" s="219"/>
      <c r="BK78" s="219"/>
      <c r="BL78" s="219"/>
      <c r="BO78" s="172"/>
      <c r="BP78" s="219"/>
      <c r="BQ78" s="270"/>
      <c r="BR78" s="271"/>
      <c r="BS78" s="219"/>
      <c r="BT78" s="272"/>
      <c r="BX78" s="219"/>
      <c r="BY78" s="219"/>
      <c r="BZ78" s="172"/>
      <c r="CA78" s="172"/>
      <c r="CB78" s="172"/>
      <c r="CC78" s="172"/>
    </row>
    <row r="79" spans="6:81">
      <c r="H79" s="170">
        <v>73</v>
      </c>
      <c r="I79" s="456">
        <f t="shared" si="3"/>
        <v>0.73</v>
      </c>
      <c r="J79" s="217"/>
      <c r="K79" s="217"/>
      <c r="L79" s="217"/>
      <c r="M79" s="217"/>
      <c r="N79" s="267"/>
      <c r="O79" s="172"/>
      <c r="P79" s="217"/>
      <c r="Q79" s="443"/>
      <c r="S79" s="268"/>
      <c r="T79" s="268"/>
      <c r="U79" s="268"/>
      <c r="AJ79" s="443"/>
      <c r="AZ79" s="269"/>
      <c r="BJ79" s="219"/>
      <c r="BK79" s="219"/>
      <c r="BL79" s="219"/>
      <c r="BO79" s="172"/>
      <c r="BP79" s="219"/>
      <c r="BQ79" s="270"/>
      <c r="BR79" s="271"/>
      <c r="BS79" s="219"/>
      <c r="BT79" s="272"/>
      <c r="BX79" s="219"/>
      <c r="BY79" s="219"/>
      <c r="BZ79" s="172"/>
      <c r="CA79" s="172"/>
      <c r="CB79" s="172"/>
      <c r="CC79" s="172"/>
    </row>
    <row r="80" spans="6:81">
      <c r="H80" s="170">
        <v>74</v>
      </c>
      <c r="I80" s="456">
        <f t="shared" si="3"/>
        <v>0.74</v>
      </c>
      <c r="J80" s="217"/>
      <c r="K80" s="217"/>
      <c r="L80" s="217"/>
      <c r="M80" s="217"/>
      <c r="N80" s="267"/>
      <c r="O80" s="172"/>
      <c r="P80" s="217"/>
      <c r="Q80" s="443"/>
      <c r="S80" s="268"/>
      <c r="T80" s="268"/>
      <c r="U80" s="268"/>
      <c r="AJ80" s="443"/>
      <c r="AZ80" s="269"/>
      <c r="BJ80" s="219"/>
      <c r="BK80" s="219"/>
      <c r="BL80" s="219"/>
      <c r="BO80" s="172"/>
      <c r="BP80" s="219"/>
      <c r="BQ80" s="270"/>
      <c r="BR80" s="271"/>
      <c r="BS80" s="219"/>
      <c r="BT80" s="272"/>
      <c r="BX80" s="219"/>
      <c r="BY80" s="219"/>
      <c r="BZ80" s="172"/>
      <c r="CA80" s="172"/>
      <c r="CB80" s="172"/>
      <c r="CC80" s="172"/>
    </row>
    <row r="81" spans="6:81">
      <c r="H81" s="170">
        <v>75</v>
      </c>
      <c r="I81" s="456">
        <f t="shared" si="3"/>
        <v>0.75</v>
      </c>
      <c r="J81" s="217"/>
      <c r="K81" s="217"/>
      <c r="L81" s="217"/>
      <c r="M81" s="217"/>
      <c r="N81" s="267"/>
      <c r="O81" s="172"/>
      <c r="P81" s="217"/>
      <c r="Q81" s="443"/>
      <c r="S81" s="268"/>
      <c r="T81" s="268"/>
      <c r="U81" s="268"/>
      <c r="AJ81" s="443"/>
      <c r="AZ81" s="269"/>
      <c r="BJ81" s="219"/>
      <c r="BK81" s="219"/>
      <c r="BL81" s="219"/>
      <c r="BO81" s="172"/>
      <c r="BP81" s="219"/>
      <c r="BQ81" s="270"/>
      <c r="BR81" s="271"/>
      <c r="BS81" s="219"/>
      <c r="BT81" s="272"/>
      <c r="BX81" s="219"/>
      <c r="BY81" s="219"/>
      <c r="BZ81" s="172"/>
      <c r="CA81" s="172"/>
      <c r="CB81" s="172"/>
      <c r="CC81" s="172"/>
    </row>
    <row r="82" spans="6:81">
      <c r="H82" s="170">
        <v>76</v>
      </c>
      <c r="I82" s="456">
        <f t="shared" si="3"/>
        <v>0.76</v>
      </c>
      <c r="J82" s="217"/>
      <c r="K82" s="217"/>
      <c r="L82" s="217"/>
      <c r="M82" s="217"/>
      <c r="N82" s="267"/>
      <c r="O82" s="172"/>
      <c r="P82" s="217"/>
      <c r="Q82" s="443"/>
      <c r="S82" s="268"/>
      <c r="T82" s="268"/>
      <c r="U82" s="268"/>
      <c r="AJ82" s="443"/>
      <c r="AZ82" s="269"/>
      <c r="BJ82" s="219"/>
      <c r="BK82" s="219"/>
      <c r="BL82" s="219"/>
      <c r="BO82" s="172"/>
      <c r="BP82" s="219"/>
      <c r="BQ82" s="270"/>
      <c r="BR82" s="271"/>
      <c r="BS82" s="219"/>
      <c r="BT82" s="272"/>
      <c r="BX82" s="219"/>
      <c r="BY82" s="219"/>
      <c r="BZ82" s="172"/>
      <c r="CA82" s="172"/>
      <c r="CB82" s="172"/>
      <c r="CC82" s="172"/>
    </row>
    <row r="83" spans="6:81">
      <c r="H83" s="170">
        <v>77</v>
      </c>
      <c r="I83" s="456">
        <f t="shared" si="3"/>
        <v>0.77</v>
      </c>
      <c r="J83" s="217"/>
      <c r="K83" s="217"/>
      <c r="L83" s="217"/>
      <c r="M83" s="217"/>
      <c r="N83" s="267"/>
      <c r="O83" s="172"/>
      <c r="P83" s="217"/>
      <c r="Q83" s="443"/>
      <c r="S83" s="268"/>
      <c r="T83" s="268"/>
      <c r="U83" s="268"/>
      <c r="AJ83" s="443"/>
      <c r="AZ83" s="269"/>
      <c r="BJ83" s="219"/>
      <c r="BK83" s="219"/>
      <c r="BL83" s="219"/>
      <c r="BO83" s="172"/>
      <c r="BP83" s="219"/>
      <c r="BQ83" s="270"/>
      <c r="BR83" s="271"/>
      <c r="BS83" s="219"/>
      <c r="BT83" s="272"/>
      <c r="BX83" s="219"/>
      <c r="BY83" s="219"/>
      <c r="BZ83" s="172"/>
      <c r="CA83" s="172"/>
      <c r="CB83" s="172"/>
      <c r="CC83" s="172"/>
    </row>
    <row r="84" spans="6:81">
      <c r="H84" s="170">
        <v>78</v>
      </c>
      <c r="I84" s="456">
        <f t="shared" si="3"/>
        <v>0.78</v>
      </c>
      <c r="J84" s="217"/>
      <c r="K84" s="217"/>
      <c r="L84" s="217"/>
      <c r="M84" s="217"/>
      <c r="N84" s="267"/>
      <c r="O84" s="172"/>
      <c r="P84" s="217"/>
      <c r="Q84" s="443"/>
      <c r="S84" s="268"/>
      <c r="T84" s="268"/>
      <c r="U84" s="268"/>
      <c r="AJ84" s="443"/>
      <c r="AZ84" s="269"/>
      <c r="BJ84" s="219"/>
      <c r="BK84" s="219"/>
      <c r="BL84" s="219"/>
      <c r="BO84" s="172"/>
      <c r="BP84" s="219"/>
      <c r="BQ84" s="270"/>
      <c r="BR84" s="271"/>
      <c r="BS84" s="219"/>
      <c r="BT84" s="272"/>
      <c r="BX84" s="219"/>
      <c r="BY84" s="219"/>
      <c r="BZ84" s="172"/>
      <c r="CA84" s="172"/>
      <c r="CB84" s="172"/>
      <c r="CC84" s="172"/>
    </row>
    <row r="85" spans="6:81">
      <c r="H85" s="170">
        <v>79</v>
      </c>
      <c r="I85" s="456">
        <f t="shared" si="3"/>
        <v>0.79</v>
      </c>
      <c r="J85" s="217"/>
      <c r="K85" s="217"/>
      <c r="L85" s="217"/>
      <c r="M85" s="217"/>
      <c r="N85" s="267"/>
      <c r="O85" s="172"/>
      <c r="P85" s="217"/>
      <c r="Q85" s="443"/>
      <c r="S85" s="268"/>
      <c r="T85" s="268"/>
      <c r="U85" s="268"/>
      <c r="AJ85" s="443"/>
      <c r="AZ85" s="269"/>
      <c r="BJ85" s="219"/>
      <c r="BK85" s="219"/>
      <c r="BL85" s="219"/>
      <c r="BO85" s="172"/>
      <c r="BP85" s="219"/>
      <c r="BQ85" s="270"/>
      <c r="BR85" s="271"/>
      <c r="BS85" s="219"/>
      <c r="BT85" s="272"/>
      <c r="BX85" s="219"/>
      <c r="BY85" s="219"/>
      <c r="BZ85" s="172"/>
      <c r="CA85" s="172"/>
      <c r="CB85" s="172"/>
      <c r="CC85" s="172"/>
    </row>
    <row r="86" spans="6:81">
      <c r="H86" s="170">
        <v>80</v>
      </c>
      <c r="I86" s="456">
        <f t="shared" si="3"/>
        <v>0.8</v>
      </c>
      <c r="J86" s="217"/>
      <c r="K86" s="217"/>
      <c r="L86" s="217"/>
      <c r="M86" s="217"/>
      <c r="N86" s="267"/>
      <c r="O86" s="172"/>
      <c r="P86" s="217"/>
      <c r="Q86" s="443"/>
      <c r="S86" s="268"/>
      <c r="T86" s="268"/>
      <c r="U86" s="268"/>
      <c r="AJ86" s="443"/>
      <c r="AZ86" s="269"/>
      <c r="BJ86" s="219"/>
      <c r="BK86" s="219"/>
      <c r="BL86" s="219"/>
      <c r="BO86" s="172"/>
      <c r="BP86" s="219"/>
      <c r="BQ86" s="270"/>
      <c r="BR86" s="271"/>
      <c r="BS86" s="219"/>
      <c r="BT86" s="272"/>
      <c r="BX86" s="219"/>
      <c r="BY86" s="219"/>
      <c r="BZ86" s="172"/>
      <c r="CA86" s="172"/>
      <c r="CB86" s="172"/>
      <c r="CC86" s="172"/>
    </row>
    <row r="87" spans="6:81">
      <c r="H87" s="170">
        <v>81</v>
      </c>
      <c r="I87" s="456">
        <f t="shared" si="3"/>
        <v>0.81</v>
      </c>
      <c r="J87" s="217"/>
      <c r="K87" s="217"/>
      <c r="L87" s="217"/>
      <c r="M87" s="217"/>
      <c r="N87" s="267"/>
      <c r="O87" s="172"/>
      <c r="P87" s="217"/>
      <c r="Q87" s="443"/>
      <c r="S87" s="268"/>
      <c r="T87" s="268"/>
      <c r="U87" s="268"/>
      <c r="AJ87" s="443"/>
      <c r="AZ87" s="269"/>
      <c r="BJ87" s="219"/>
      <c r="BK87" s="219"/>
      <c r="BL87" s="219"/>
      <c r="BO87" s="172"/>
      <c r="BP87" s="219"/>
      <c r="BQ87" s="270"/>
      <c r="BR87" s="271"/>
      <c r="BS87" s="219"/>
      <c r="BT87" s="272"/>
      <c r="BX87" s="219"/>
      <c r="BY87" s="219"/>
      <c r="BZ87" s="172"/>
      <c r="CA87" s="172"/>
      <c r="CB87" s="172"/>
      <c r="CC87" s="172"/>
    </row>
    <row r="88" spans="6:81" ht="13">
      <c r="F88" s="325" t="s">
        <v>274</v>
      </c>
      <c r="G88" s="325" t="s">
        <v>275</v>
      </c>
      <c r="H88" s="170">
        <v>82</v>
      </c>
      <c r="I88" s="456">
        <f t="shared" si="3"/>
        <v>0.82</v>
      </c>
      <c r="J88" s="217"/>
      <c r="K88" s="217"/>
      <c r="L88" s="217"/>
      <c r="M88" s="217"/>
      <c r="N88" s="267"/>
      <c r="O88" s="172"/>
      <c r="P88" s="217"/>
      <c r="Q88" s="443"/>
      <c r="S88" s="268"/>
      <c r="T88" s="268"/>
      <c r="U88" s="268"/>
      <c r="AJ88" s="443"/>
      <c r="AZ88" s="269"/>
      <c r="BJ88" s="219"/>
      <c r="BK88" s="219"/>
      <c r="BL88" s="219"/>
      <c r="BO88" s="172"/>
      <c r="BP88" s="219"/>
      <c r="BQ88" s="270"/>
      <c r="BR88" s="271"/>
      <c r="BS88" s="219"/>
      <c r="BT88" s="272"/>
      <c r="BX88" s="219"/>
      <c r="BY88" s="219"/>
      <c r="BZ88" s="172"/>
      <c r="CA88" s="172"/>
      <c r="CB88" s="172"/>
      <c r="CC88" s="172"/>
    </row>
    <row r="89" spans="6:81">
      <c r="F89" s="326">
        <f>BO51</f>
        <v>0</v>
      </c>
      <c r="G89" s="327">
        <f>I56*1000</f>
        <v>500</v>
      </c>
      <c r="H89" s="170">
        <v>83</v>
      </c>
      <c r="I89" s="456">
        <f t="shared" si="3"/>
        <v>0.83</v>
      </c>
      <c r="J89" s="217"/>
      <c r="K89" s="217"/>
      <c r="L89" s="217"/>
      <c r="M89" s="217"/>
      <c r="N89" s="267"/>
      <c r="O89" s="172"/>
      <c r="P89" s="217"/>
      <c r="Q89" s="443"/>
      <c r="S89" s="268"/>
      <c r="T89" s="268"/>
      <c r="U89" s="268"/>
      <c r="AJ89" s="443"/>
      <c r="AZ89" s="269"/>
      <c r="BJ89" s="219"/>
      <c r="BK89" s="219"/>
      <c r="BL89" s="219"/>
      <c r="BO89" s="172"/>
      <c r="BP89" s="219"/>
      <c r="BQ89" s="270"/>
      <c r="BR89" s="271"/>
      <c r="BS89" s="219"/>
      <c r="BT89" s="272"/>
      <c r="BX89" s="219"/>
      <c r="BY89" s="219"/>
      <c r="BZ89" s="172"/>
      <c r="CA89" s="172"/>
      <c r="CB89" s="172"/>
      <c r="CC89" s="172"/>
    </row>
    <row r="90" spans="6:81">
      <c r="F90" s="326">
        <f>BO81</f>
        <v>0</v>
      </c>
      <c r="G90" s="327">
        <f>I81*1000</f>
        <v>750</v>
      </c>
      <c r="H90" s="170">
        <v>84</v>
      </c>
      <c r="I90" s="456">
        <f t="shared" si="3"/>
        <v>0.84</v>
      </c>
      <c r="J90" s="217"/>
      <c r="K90" s="217"/>
      <c r="L90" s="217"/>
      <c r="M90" s="217"/>
      <c r="N90" s="267"/>
      <c r="O90" s="172"/>
      <c r="P90" s="217"/>
      <c r="Q90" s="443"/>
      <c r="S90" s="268"/>
      <c r="T90" s="268"/>
      <c r="U90" s="268"/>
      <c r="AJ90" s="443"/>
      <c r="AZ90" s="269"/>
      <c r="BJ90" s="219"/>
      <c r="BK90" s="219"/>
      <c r="BL90" s="219"/>
      <c r="BO90" s="172"/>
      <c r="BP90" s="219"/>
      <c r="BQ90" s="270"/>
      <c r="BR90" s="271"/>
      <c r="BS90" s="219"/>
      <c r="BT90" s="272"/>
      <c r="BX90" s="219"/>
      <c r="BY90" s="219"/>
      <c r="BZ90" s="172"/>
      <c r="CA90" s="172"/>
      <c r="CB90" s="172"/>
      <c r="CC90" s="172"/>
    </row>
    <row r="91" spans="6:81">
      <c r="F91" s="326">
        <f>BO106</f>
        <v>88.698181382326453</v>
      </c>
      <c r="G91" s="327">
        <f>I106*1000</f>
        <v>1000</v>
      </c>
      <c r="H91" s="170">
        <v>85</v>
      </c>
      <c r="I91" s="456">
        <f t="shared" si="3"/>
        <v>0.85</v>
      </c>
      <c r="J91" s="217"/>
      <c r="K91" s="217"/>
      <c r="L91" s="217"/>
      <c r="M91" s="217"/>
      <c r="N91" s="267"/>
      <c r="O91" s="172"/>
      <c r="P91" s="217"/>
      <c r="Q91" s="443"/>
      <c r="S91" s="268"/>
      <c r="T91" s="268"/>
      <c r="U91" s="268"/>
      <c r="AJ91" s="443"/>
      <c r="AZ91" s="269"/>
      <c r="BJ91" s="219"/>
      <c r="BK91" s="219"/>
      <c r="BL91" s="219"/>
      <c r="BO91" s="172"/>
      <c r="BP91" s="219"/>
      <c r="BQ91" s="270"/>
      <c r="BR91" s="271"/>
      <c r="BS91" s="219"/>
      <c r="BT91" s="272"/>
      <c r="BX91" s="219"/>
      <c r="BY91" s="219"/>
      <c r="BZ91" s="172"/>
      <c r="CA91" s="172"/>
      <c r="CB91" s="172"/>
      <c r="CC91" s="172"/>
    </row>
    <row r="92" spans="6:81">
      <c r="H92" s="170">
        <v>86</v>
      </c>
      <c r="I92" s="456">
        <f t="shared" si="3"/>
        <v>0.86</v>
      </c>
      <c r="J92" s="217"/>
      <c r="K92" s="217"/>
      <c r="L92" s="217"/>
      <c r="M92" s="217"/>
      <c r="N92" s="267"/>
      <c r="O92" s="172"/>
      <c r="P92" s="217"/>
      <c r="Q92" s="443"/>
      <c r="S92" s="268"/>
      <c r="T92" s="268"/>
      <c r="U92" s="268"/>
      <c r="AJ92" s="443"/>
      <c r="AZ92" s="269"/>
      <c r="BJ92" s="219"/>
      <c r="BK92" s="219"/>
      <c r="BL92" s="219"/>
      <c r="BO92" s="172"/>
      <c r="BP92" s="219"/>
      <c r="BQ92" s="270"/>
      <c r="BR92" s="271"/>
      <c r="BS92" s="219"/>
      <c r="BT92" s="272"/>
      <c r="BX92" s="219"/>
      <c r="BY92" s="219"/>
      <c r="BZ92" s="172"/>
      <c r="CA92" s="172"/>
      <c r="CB92" s="172"/>
      <c r="CC92" s="172"/>
    </row>
    <row r="93" spans="6:81">
      <c r="H93" s="170">
        <v>87</v>
      </c>
      <c r="I93" s="456">
        <f t="shared" si="3"/>
        <v>0.87</v>
      </c>
      <c r="J93" s="217"/>
      <c r="K93" s="217"/>
      <c r="L93" s="217"/>
      <c r="M93" s="217"/>
      <c r="N93" s="267"/>
      <c r="O93" s="172"/>
      <c r="P93" s="217"/>
      <c r="Q93" s="443"/>
      <c r="S93" s="268"/>
      <c r="T93" s="268"/>
      <c r="U93" s="268"/>
      <c r="AJ93" s="443"/>
      <c r="AZ93" s="269"/>
      <c r="BJ93" s="219"/>
      <c r="BK93" s="219"/>
      <c r="BL93" s="219"/>
      <c r="BO93" s="172"/>
      <c r="BP93" s="219"/>
      <c r="BQ93" s="270"/>
      <c r="BR93" s="271"/>
      <c r="BS93" s="219"/>
      <c r="BT93" s="272"/>
      <c r="BX93" s="219"/>
      <c r="BY93" s="219"/>
      <c r="BZ93" s="172"/>
      <c r="CA93" s="172"/>
      <c r="CB93" s="172"/>
      <c r="CC93" s="172"/>
    </row>
    <row r="94" spans="6:81">
      <c r="H94" s="170">
        <v>88</v>
      </c>
      <c r="I94" s="456">
        <f t="shared" si="3"/>
        <v>0.88</v>
      </c>
      <c r="J94" s="217"/>
      <c r="K94" s="217"/>
      <c r="L94" s="217"/>
      <c r="M94" s="217"/>
      <c r="N94" s="267"/>
      <c r="O94" s="172"/>
      <c r="P94" s="217"/>
      <c r="Q94" s="443"/>
      <c r="S94" s="268"/>
      <c r="T94" s="268"/>
      <c r="U94" s="268"/>
      <c r="AJ94" s="443"/>
      <c r="AZ94" s="269"/>
      <c r="BJ94" s="219"/>
      <c r="BK94" s="219"/>
      <c r="BL94" s="219"/>
      <c r="BO94" s="172"/>
      <c r="BP94" s="219"/>
      <c r="BQ94" s="270"/>
      <c r="BR94" s="271"/>
      <c r="BS94" s="219"/>
      <c r="BT94" s="272"/>
      <c r="BX94" s="219"/>
      <c r="BY94" s="219"/>
      <c r="BZ94" s="172"/>
      <c r="CA94" s="172"/>
      <c r="CB94" s="172"/>
      <c r="CC94" s="172"/>
    </row>
    <row r="95" spans="6:81">
      <c r="H95" s="170">
        <v>89</v>
      </c>
      <c r="I95" s="456">
        <f t="shared" si="3"/>
        <v>0.89</v>
      </c>
      <c r="J95" s="217"/>
      <c r="K95" s="217"/>
      <c r="L95" s="217"/>
      <c r="M95" s="217"/>
      <c r="N95" s="267"/>
      <c r="O95" s="172"/>
      <c r="P95" s="217"/>
      <c r="Q95" s="443"/>
      <c r="S95" s="268"/>
      <c r="T95" s="268"/>
      <c r="U95" s="268"/>
      <c r="AJ95" s="443"/>
      <c r="AZ95" s="269"/>
      <c r="BJ95" s="219"/>
      <c r="BK95" s="219"/>
      <c r="BL95" s="219"/>
      <c r="BO95" s="172"/>
      <c r="BP95" s="219"/>
      <c r="BQ95" s="270"/>
      <c r="BR95" s="271"/>
      <c r="BS95" s="219"/>
      <c r="BT95" s="272"/>
      <c r="BX95" s="219"/>
      <c r="BY95" s="219"/>
      <c r="BZ95" s="172"/>
      <c r="CA95" s="172"/>
      <c r="CB95" s="172"/>
      <c r="CC95" s="172"/>
    </row>
    <row r="96" spans="6:81">
      <c r="H96" s="170">
        <v>90</v>
      </c>
      <c r="I96" s="456">
        <f t="shared" si="3"/>
        <v>0.9</v>
      </c>
      <c r="J96" s="217"/>
      <c r="K96" s="217"/>
      <c r="L96" s="217"/>
      <c r="M96" s="217"/>
      <c r="N96" s="267"/>
      <c r="O96" s="172"/>
      <c r="P96" s="217"/>
      <c r="Q96" s="443"/>
      <c r="S96" s="268"/>
      <c r="T96" s="268"/>
      <c r="U96" s="268"/>
      <c r="AJ96" s="443"/>
      <c r="AZ96" s="269"/>
      <c r="BJ96" s="219"/>
      <c r="BK96" s="219"/>
      <c r="BL96" s="219"/>
      <c r="BO96" s="172"/>
      <c r="BP96" s="219"/>
      <c r="BQ96" s="270"/>
      <c r="BR96" s="271"/>
      <c r="BS96" s="219"/>
      <c r="BT96" s="272"/>
      <c r="BX96" s="219"/>
      <c r="BY96" s="219"/>
      <c r="BZ96" s="172"/>
      <c r="CA96" s="172"/>
      <c r="CB96" s="172"/>
      <c r="CC96" s="172"/>
    </row>
    <row r="97" spans="8:81">
      <c r="H97" s="170">
        <v>91</v>
      </c>
      <c r="I97" s="456">
        <f t="shared" si="3"/>
        <v>0.91</v>
      </c>
      <c r="J97" s="217"/>
      <c r="K97" s="217"/>
      <c r="L97" s="217"/>
      <c r="M97" s="217"/>
      <c r="N97" s="267"/>
      <c r="O97" s="172"/>
      <c r="P97" s="217"/>
      <c r="Q97" s="443"/>
      <c r="S97" s="268"/>
      <c r="T97" s="268"/>
      <c r="U97" s="268"/>
      <c r="AJ97" s="443"/>
      <c r="AZ97" s="269"/>
      <c r="BJ97" s="219"/>
      <c r="BK97" s="219"/>
      <c r="BL97" s="219"/>
      <c r="BO97" s="172"/>
      <c r="BP97" s="219"/>
      <c r="BQ97" s="270"/>
      <c r="BR97" s="271"/>
      <c r="BS97" s="219"/>
      <c r="BT97" s="272"/>
      <c r="BX97" s="219"/>
      <c r="BY97" s="219"/>
      <c r="BZ97" s="172"/>
      <c r="CA97" s="172"/>
      <c r="CB97" s="172"/>
      <c r="CC97" s="172"/>
    </row>
    <row r="98" spans="8:81">
      <c r="H98" s="170">
        <v>92</v>
      </c>
      <c r="I98" s="456">
        <f t="shared" si="3"/>
        <v>0.92</v>
      </c>
      <c r="J98" s="217"/>
      <c r="K98" s="217"/>
      <c r="L98" s="217"/>
      <c r="M98" s="217"/>
      <c r="N98" s="267"/>
      <c r="O98" s="172"/>
      <c r="P98" s="217"/>
      <c r="Q98" s="443"/>
      <c r="S98" s="268"/>
      <c r="T98" s="268"/>
      <c r="U98" s="268"/>
      <c r="AJ98" s="443"/>
      <c r="AZ98" s="269"/>
      <c r="BJ98" s="219"/>
      <c r="BK98" s="219"/>
      <c r="BL98" s="219"/>
      <c r="BO98" s="172"/>
      <c r="BP98" s="219"/>
      <c r="BQ98" s="270"/>
      <c r="BR98" s="271"/>
      <c r="BS98" s="219"/>
      <c r="BT98" s="272"/>
      <c r="BX98" s="219"/>
      <c r="BY98" s="219"/>
      <c r="BZ98" s="172"/>
      <c r="CA98" s="172"/>
      <c r="CB98" s="172"/>
      <c r="CC98" s="172"/>
    </row>
    <row r="99" spans="8:81">
      <c r="H99" s="170">
        <v>93</v>
      </c>
      <c r="I99" s="456">
        <f t="shared" si="3"/>
        <v>0.93</v>
      </c>
      <c r="J99" s="217"/>
      <c r="K99" s="217"/>
      <c r="L99" s="217"/>
      <c r="M99" s="217"/>
      <c r="N99" s="267"/>
      <c r="O99" s="172"/>
      <c r="P99" s="217"/>
      <c r="Q99" s="443"/>
      <c r="S99" s="268"/>
      <c r="T99" s="268"/>
      <c r="U99" s="268"/>
      <c r="AJ99" s="443"/>
      <c r="AZ99" s="269"/>
      <c r="BJ99" s="219"/>
      <c r="BK99" s="219"/>
      <c r="BL99" s="219"/>
      <c r="BO99" s="172"/>
      <c r="BP99" s="219"/>
      <c r="BQ99" s="270"/>
      <c r="BR99" s="271"/>
      <c r="BS99" s="219"/>
      <c r="BT99" s="272"/>
      <c r="BX99" s="219"/>
      <c r="BY99" s="219"/>
      <c r="BZ99" s="172"/>
      <c r="CA99" s="172"/>
      <c r="CB99" s="172"/>
      <c r="CC99" s="172"/>
    </row>
    <row r="100" spans="8:81">
      <c r="H100" s="170">
        <v>94</v>
      </c>
      <c r="I100" s="456">
        <f t="shared" si="3"/>
        <v>0.94</v>
      </c>
      <c r="J100" s="217"/>
      <c r="K100" s="217"/>
      <c r="L100" s="217"/>
      <c r="M100" s="217"/>
      <c r="N100" s="267"/>
      <c r="O100" s="172"/>
      <c r="P100" s="217"/>
      <c r="Q100" s="443"/>
      <c r="S100" s="268"/>
      <c r="T100" s="268"/>
      <c r="U100" s="268"/>
      <c r="AJ100" s="443"/>
      <c r="AZ100" s="269"/>
      <c r="BJ100" s="219"/>
      <c r="BK100" s="219"/>
      <c r="BL100" s="219"/>
      <c r="BO100" s="172"/>
      <c r="BP100" s="219"/>
      <c r="BQ100" s="270"/>
      <c r="BR100" s="271"/>
      <c r="BS100" s="219"/>
      <c r="BT100" s="272"/>
      <c r="BX100" s="219"/>
      <c r="BY100" s="219"/>
      <c r="BZ100" s="172"/>
      <c r="CA100" s="172"/>
      <c r="CB100" s="172"/>
      <c r="CC100" s="172"/>
    </row>
    <row r="101" spans="8:81">
      <c r="H101" s="170">
        <v>95</v>
      </c>
      <c r="I101" s="456">
        <f t="shared" si="3"/>
        <v>0.95</v>
      </c>
      <c r="J101" s="217"/>
      <c r="K101" s="217"/>
      <c r="L101" s="217"/>
      <c r="M101" s="217"/>
      <c r="N101" s="267"/>
      <c r="O101" s="172"/>
      <c r="P101" s="217"/>
      <c r="Q101" s="443"/>
      <c r="S101" s="268"/>
      <c r="T101" s="268"/>
      <c r="U101" s="268"/>
      <c r="AJ101" s="443"/>
      <c r="AZ101" s="269"/>
      <c r="BJ101" s="219"/>
      <c r="BK101" s="219"/>
      <c r="BL101" s="219"/>
      <c r="BO101" s="172"/>
      <c r="BP101" s="219"/>
      <c r="BQ101" s="270"/>
      <c r="BR101" s="271"/>
      <c r="BS101" s="219"/>
      <c r="BT101" s="272"/>
      <c r="BX101" s="219"/>
      <c r="BY101" s="219"/>
      <c r="BZ101" s="172"/>
      <c r="CA101" s="172"/>
      <c r="CB101" s="172"/>
      <c r="CC101" s="172"/>
    </row>
    <row r="102" spans="8:81">
      <c r="H102" s="170">
        <v>96</v>
      </c>
      <c r="I102" s="456">
        <f>IF(PLOT_TYPE=1, H102/100*Iout_max, min_I*EXP(H102*rr/100))</f>
        <v>0.96</v>
      </c>
      <c r="J102" s="217"/>
      <c r="K102" s="217"/>
      <c r="L102" s="217"/>
      <c r="M102" s="217"/>
      <c r="N102" s="267"/>
      <c r="O102" s="172"/>
      <c r="P102" s="217"/>
      <c r="Q102" s="443"/>
      <c r="S102" s="268"/>
      <c r="T102" s="268"/>
      <c r="U102" s="268"/>
      <c r="AJ102" s="443"/>
      <c r="AZ102" s="269"/>
      <c r="BJ102" s="219"/>
      <c r="BK102" s="219"/>
      <c r="BL102" s="219"/>
      <c r="BO102" s="172"/>
      <c r="BP102" s="219"/>
      <c r="BQ102" s="270"/>
      <c r="BR102" s="271"/>
      <c r="BS102" s="219"/>
      <c r="BT102" s="272"/>
      <c r="BX102" s="219"/>
      <c r="BY102" s="219"/>
      <c r="BZ102" s="172"/>
      <c r="CA102" s="172"/>
      <c r="CB102" s="172"/>
      <c r="CC102" s="172"/>
    </row>
    <row r="103" spans="8:81">
      <c r="H103" s="170">
        <v>97</v>
      </c>
      <c r="I103" s="456">
        <f>IF(PLOT_TYPE=1, H103/100*Iout_max, min_I*EXP(H103*rr/100))</f>
        <v>0.97</v>
      </c>
      <c r="J103" s="217"/>
      <c r="K103" s="217"/>
      <c r="L103" s="217"/>
      <c r="M103" s="217"/>
      <c r="N103" s="267"/>
      <c r="O103" s="172"/>
      <c r="P103" s="217"/>
      <c r="Q103" s="443"/>
      <c r="S103" s="268"/>
      <c r="T103" s="268"/>
      <c r="U103" s="268"/>
      <c r="AJ103" s="443"/>
      <c r="AZ103" s="269"/>
      <c r="BJ103" s="219"/>
      <c r="BK103" s="219"/>
      <c r="BL103" s="219"/>
      <c r="BO103" s="172"/>
      <c r="BP103" s="219"/>
      <c r="BQ103" s="270"/>
      <c r="BR103" s="271"/>
      <c r="BS103" s="219"/>
      <c r="BT103" s="272"/>
      <c r="BX103" s="219"/>
      <c r="BY103" s="219"/>
      <c r="BZ103" s="172"/>
      <c r="CA103" s="172"/>
      <c r="CB103" s="172"/>
      <c r="CC103" s="172"/>
    </row>
    <row r="104" spans="8:81">
      <c r="H104" s="170">
        <v>98</v>
      </c>
      <c r="I104" s="456">
        <f>IF(PLOT_TYPE=1, H104/100*Iout_max, min_I*EXP(H104*rr/100))</f>
        <v>0.98</v>
      </c>
      <c r="J104" s="217"/>
      <c r="K104" s="217"/>
      <c r="L104" s="217"/>
      <c r="M104" s="217"/>
      <c r="N104" s="267"/>
      <c r="O104" s="172"/>
      <c r="P104" s="217"/>
      <c r="Q104" s="443"/>
      <c r="S104" s="268"/>
      <c r="T104" s="268"/>
      <c r="U104" s="268"/>
      <c r="AJ104" s="443"/>
      <c r="AZ104" s="269"/>
      <c r="BJ104" s="219"/>
      <c r="BK104" s="219"/>
      <c r="BL104" s="219"/>
      <c r="BO104" s="172"/>
      <c r="BP104" s="219"/>
      <c r="BQ104" s="270"/>
      <c r="BR104" s="271"/>
      <c r="BS104" s="219"/>
      <c r="BT104" s="272"/>
      <c r="BX104" s="219"/>
      <c r="BY104" s="219"/>
      <c r="BZ104" s="172"/>
      <c r="CA104" s="172"/>
      <c r="CB104" s="172"/>
      <c r="CC104" s="172"/>
    </row>
    <row r="105" spans="8:81">
      <c r="H105" s="170">
        <v>99</v>
      </c>
      <c r="I105" s="456">
        <f>IF(PLOT_TYPE=1, H105/100*Iout_max, min_I*EXP(H105*rr/100))</f>
        <v>0.99</v>
      </c>
      <c r="J105" s="217"/>
      <c r="K105" s="217"/>
      <c r="L105" s="217"/>
      <c r="M105" s="217"/>
      <c r="N105" s="267"/>
      <c r="O105" s="172"/>
      <c r="P105" s="217"/>
      <c r="Q105" s="443"/>
      <c r="S105" s="268"/>
      <c r="T105" s="268"/>
      <c r="U105" s="268"/>
      <c r="AJ105" s="443"/>
      <c r="AZ105" s="269"/>
      <c r="BJ105" s="219"/>
      <c r="BK105" s="219"/>
      <c r="BL105" s="219"/>
      <c r="BO105" s="172"/>
      <c r="BP105" s="219"/>
      <c r="BQ105" s="270"/>
      <c r="BR105" s="271"/>
      <c r="BS105" s="219"/>
      <c r="BT105" s="272"/>
      <c r="BX105" s="219"/>
      <c r="BY105" s="219"/>
      <c r="BZ105" s="172"/>
      <c r="CA105" s="172"/>
      <c r="CB105" s="172"/>
      <c r="CC105" s="172"/>
    </row>
    <row r="106" spans="8:81">
      <c r="H106" s="170">
        <v>100</v>
      </c>
      <c r="I106" s="456">
        <f>IF(PLOT_TYPE=1, H106/100*Iout_max, min_I*EXP(H106*rr/100))</f>
        <v>1</v>
      </c>
      <c r="J106" s="217"/>
      <c r="K106" s="217"/>
      <c r="L106" s="217"/>
      <c r="M106" s="217"/>
      <c r="N106" s="267"/>
      <c r="O106" s="172"/>
      <c r="P106" s="217"/>
      <c r="Q106" s="443"/>
      <c r="S106" s="268"/>
      <c r="T106" s="268"/>
      <c r="U106" s="268"/>
      <c r="AJ106" s="443"/>
      <c r="AY106" s="216">
        <f>Vout*I106</f>
        <v>24</v>
      </c>
      <c r="AZ106" s="269">
        <f>AY106/(AY106+AX106)</f>
        <v>1</v>
      </c>
      <c r="BA106" s="345">
        <f>AG106/($AY106+$AX106)</f>
        <v>0</v>
      </c>
      <c r="BB106" s="345">
        <f>AO106/($AY106+$AX106)</f>
        <v>0</v>
      </c>
      <c r="BC106" s="345" t="e">
        <f>Vin*R106*(QgBot+Qg)/($AY106+$AX106)</f>
        <v>#NAME?</v>
      </c>
      <c r="BD106" s="345">
        <f>AK106/($AY106+$AX106)</f>
        <v>0</v>
      </c>
      <c r="BE106" s="345">
        <f>AQ106/(AX106+AY106)</f>
        <v>0</v>
      </c>
      <c r="BF106" s="345">
        <f>AR106/($AY106+$AX106)</f>
        <v>0</v>
      </c>
      <c r="BG106" s="345">
        <f>W106/($AY106+$AX106)</f>
        <v>0</v>
      </c>
      <c r="BH106" s="345">
        <f>X106/($AY106+$AX106)</f>
        <v>0</v>
      </c>
      <c r="BI106" s="345">
        <f>(AB106+AE106)/($AY106+$AX106)</f>
        <v>0</v>
      </c>
      <c r="BJ106" s="219">
        <f>AT106/($AY106+$AX106)</f>
        <v>0</v>
      </c>
      <c r="BK106" s="219">
        <f>AX106/($AY106+$AX106)</f>
        <v>0</v>
      </c>
      <c r="BL106" s="219">
        <f>AZ106</f>
        <v>1</v>
      </c>
      <c r="BM106" s="172">
        <f>100*BL106</f>
        <v>100</v>
      </c>
      <c r="BN106" s="217">
        <f xml:space="preserve"> CHOOSE(MODE, I106*1000,#REF!)</f>
        <v>1000</v>
      </c>
      <c r="BO106" s="172">
        <v>88.698181382326453</v>
      </c>
      <c r="BP106" s="219">
        <f>BO106/100</f>
        <v>0.88698181382326458</v>
      </c>
      <c r="BQ106" s="270">
        <f>R106/1000</f>
        <v>0</v>
      </c>
      <c r="BR106" s="271"/>
      <c r="BS106" s="219">
        <f>AL106/($AY106+$AX106)</f>
        <v>0</v>
      </c>
      <c r="BT106" s="272"/>
      <c r="BU106" s="172">
        <f>1000*AW106</f>
        <v>0</v>
      </c>
      <c r="BV106" s="172">
        <f>1000*AU106</f>
        <v>0</v>
      </c>
      <c r="BW106" s="172">
        <f>1000*Y106</f>
        <v>0</v>
      </c>
      <c r="BX106" s="219"/>
      <c r="BY106" s="219"/>
      <c r="BZ106" s="172">
        <f xml:space="preserve"> IF(MODE=1, BM106,#REF!)</f>
        <v>100</v>
      </c>
      <c r="CA106" s="172">
        <f xml:space="preserve"> IF(MODE=1, BU106,#REF!)</f>
        <v>0</v>
      </c>
      <c r="CB106" s="172">
        <f xml:space="preserve"> IF(MODE=1, BV106,#REF!)</f>
        <v>0</v>
      </c>
      <c r="CC106" s="172">
        <f xml:space="preserve"> IF(MODE=1, BW106,#REF!)</f>
        <v>0</v>
      </c>
    </row>
    <row r="107" spans="8:81">
      <c r="BQ107" s="270"/>
      <c r="BR107" s="271"/>
      <c r="BS107" s="271"/>
      <c r="BT107" s="272"/>
      <c r="BX107" s="219"/>
      <c r="BY107" s="219"/>
    </row>
    <row r="108" spans="8:81" ht="13">
      <c r="H108" s="328">
        <v>1.0000000000000001E-5</v>
      </c>
      <c r="I108" s="329" t="s">
        <v>1</v>
      </c>
      <c r="J108" s="330" t="s">
        <v>276</v>
      </c>
      <c r="AG108" s="216">
        <v>4.9516878778202269E-3</v>
      </c>
      <c r="AH108" s="216">
        <v>3.7188236700537959E-3</v>
      </c>
      <c r="AI108">
        <v>20</v>
      </c>
      <c r="AJ108" s="216">
        <v>18.943591787921068</v>
      </c>
      <c r="AK108" s="216">
        <v>4.1453367485397245E-3</v>
      </c>
      <c r="AL108" s="216">
        <v>7.1640215182307235E-3</v>
      </c>
      <c r="AN108" s="216">
        <v>9.1940431932401354E-2</v>
      </c>
      <c r="AO108" s="216">
        <v>8.4530430239165271E-3</v>
      </c>
      <c r="AP108" s="216">
        <v>9.3281530185295868E-4</v>
      </c>
      <c r="AQ108" s="216">
        <v>9.1178757202630047E-3</v>
      </c>
      <c r="AR108" s="216">
        <v>1.2140752334887425E-3</v>
      </c>
      <c r="AS108" s="216">
        <v>1.8784993977668273E-2</v>
      </c>
      <c r="AZ108" s="332" t="s">
        <v>280</v>
      </c>
      <c r="BA108" s="352">
        <v>3.6409104085968987E-3</v>
      </c>
      <c r="BB108" s="352">
        <v>6.5692245841190103E-3</v>
      </c>
      <c r="BC108" s="352">
        <v>5.4394694205683519E-2</v>
      </c>
      <c r="BD108" s="352">
        <v>4.5907837520612008E-3</v>
      </c>
      <c r="BE108" s="352">
        <v>0</v>
      </c>
      <c r="BF108" s="352">
        <v>7.3751579484765363E-4</v>
      </c>
      <c r="BG108" s="352">
        <v>7.2151246180390156E-3</v>
      </c>
      <c r="BH108" s="352">
        <v>1.4929120352630757E-2</v>
      </c>
      <c r="BI108" s="352">
        <v>5.5024434421027814E-6</v>
      </c>
      <c r="BJ108" s="352">
        <v>8.2551506228875166E-2</v>
      </c>
    </row>
    <row r="109" spans="8:81" ht="13">
      <c r="H109" s="331">
        <f>Iout_max</f>
        <v>1</v>
      </c>
      <c r="I109" s="329" t="s">
        <v>1</v>
      </c>
      <c r="J109" s="330" t="s">
        <v>277</v>
      </c>
      <c r="AZ109" s="332" t="s">
        <v>278</v>
      </c>
      <c r="BA109" s="352">
        <v>8.1000709018000279E-3</v>
      </c>
      <c r="BB109" s="352">
        <v>1.4614802049391215E-2</v>
      </c>
      <c r="BC109" s="352">
        <v>2.4831534664325892E-2</v>
      </c>
      <c r="BD109" s="352">
        <v>9.9057039827182662E-3</v>
      </c>
      <c r="BE109" s="352">
        <v>1.1631608311305648E-2</v>
      </c>
      <c r="BF109" s="352">
        <v>1.6465542803473395E-3</v>
      </c>
      <c r="BG109" s="352">
        <v>1.6051760250250457E-2</v>
      </c>
      <c r="BH109" s="352">
        <v>6.8152413568584669E-3</v>
      </c>
      <c r="BI109" s="352">
        <v>1.7517781122613987E-5</v>
      </c>
      <c r="BJ109" s="352">
        <v>1.2837829865088564E-2</v>
      </c>
    </row>
    <row r="110" spans="8:81" ht="13">
      <c r="H110" s="331">
        <f>LOG(max_I/min_I,EXP(1))</f>
        <v>11.512925464970229</v>
      </c>
      <c r="I110" s="217"/>
      <c r="J110" s="330" t="s">
        <v>279</v>
      </c>
    </row>
    <row r="111" spans="8:81" ht="13">
      <c r="AZ111" s="332"/>
      <c r="BA111" s="352"/>
      <c r="BB111" s="352"/>
      <c r="BC111" s="352"/>
      <c r="BD111" s="352"/>
      <c r="BE111" s="352"/>
      <c r="BF111" s="352"/>
      <c r="BG111" s="352"/>
      <c r="BH111" s="352"/>
      <c r="BI111" s="352"/>
      <c r="BJ111" s="352"/>
    </row>
    <row r="112" spans="8:81" ht="13">
      <c r="J112" s="334"/>
      <c r="R112" s="335"/>
      <c r="S112" s="335"/>
      <c r="T112" s="335"/>
      <c r="U112" s="335"/>
      <c r="V112" s="336"/>
    </row>
    <row r="113" spans="10:22" ht="13">
      <c r="J113" s="334"/>
      <c r="R113" s="335"/>
      <c r="S113" s="335"/>
      <c r="T113" s="335"/>
      <c r="U113" s="335"/>
      <c r="V113" s="336"/>
    </row>
    <row r="114" spans="10:22" ht="13">
      <c r="R114" s="337"/>
      <c r="S114" s="337"/>
      <c r="T114" s="337"/>
      <c r="U114" s="337"/>
      <c r="V114" s="336"/>
    </row>
    <row r="116" spans="10:22" ht="13">
      <c r="R116" s="337"/>
      <c r="S116" s="337"/>
      <c r="T116" s="337"/>
      <c r="U116" s="337"/>
      <c r="V116" s="336"/>
    </row>
    <row r="121" spans="10:22">
      <c r="V121" s="330"/>
    </row>
    <row r="122" spans="10:22">
      <c r="O122" s="330"/>
      <c r="P122" s="330"/>
      <c r="Q122" s="330"/>
    </row>
    <row r="123" spans="10:22">
      <c r="O123" s="330"/>
      <c r="P123" s="330"/>
      <c r="Q123" s="330"/>
    </row>
    <row r="124" spans="10:22">
      <c r="O124" s="330"/>
      <c r="P124" s="330"/>
      <c r="Q124" s="330"/>
    </row>
    <row r="125" spans="10:22">
      <c r="O125" s="330"/>
      <c r="P125" s="330"/>
      <c r="Q125" s="330"/>
    </row>
    <row r="126" spans="10:22">
      <c r="J126" s="338"/>
      <c r="O126" s="330"/>
      <c r="P126" s="330"/>
      <c r="Q126" s="330"/>
    </row>
    <row r="127" spans="10:22">
      <c r="J127" s="338"/>
      <c r="O127" s="330"/>
      <c r="P127" s="330"/>
      <c r="Q127" s="330"/>
    </row>
    <row r="128" spans="10:22">
      <c r="J128" s="338"/>
      <c r="O128" s="330"/>
      <c r="P128" s="330"/>
      <c r="Q128" s="330"/>
    </row>
    <row r="129" spans="10:17">
      <c r="J129" s="329"/>
      <c r="O129" s="330"/>
      <c r="P129" s="330"/>
      <c r="Q129" s="330"/>
    </row>
    <row r="130" spans="10:17">
      <c r="J130" s="329"/>
    </row>
    <row r="131" spans="10:17">
      <c r="J131" s="329"/>
    </row>
    <row r="132" spans="10:17">
      <c r="J132" s="329"/>
    </row>
    <row r="133" spans="10:17">
      <c r="J133" s="329"/>
    </row>
  </sheetData>
  <sheetProtection algorithmName="SHA-512" hashValue="0cUnFa7ufQE2QFQ9eSByCEfmn6EpWCL2i4IB/IyFIfGoQvvqfVNOyvPgZhiw12bINkeNpez8XmCsyRLDVC5XpQ==" saltValue="Wk0yaZAbwsKsRJCgaB8scA==" spinCount="100000" sheet="1" selectLockedCells="1" selectUnlockedCells="1"/>
  <mergeCells count="4">
    <mergeCell ref="A1:E3"/>
    <mergeCell ref="G2:H2"/>
    <mergeCell ref="A4:E4"/>
    <mergeCell ref="K4:U4"/>
  </mergeCells>
  <phoneticPr fontId="83"/>
  <conditionalFormatting sqref="B26:B28">
    <cfRule type="cellIs" dxfId="12" priority="8" stopIfTrue="1" operator="notEqual">
      <formula>G28</formula>
    </cfRule>
  </conditionalFormatting>
  <conditionalFormatting sqref="B30:B33">
    <cfRule type="cellIs" dxfId="11" priority="6" stopIfTrue="1" operator="notEqual">
      <formula>G36</formula>
    </cfRule>
  </conditionalFormatting>
  <conditionalFormatting sqref="B35:B36">
    <cfRule type="cellIs" dxfId="10" priority="5" stopIfTrue="1" operator="notEqual">
      <formula>G42</formula>
    </cfRule>
  </conditionalFormatting>
  <conditionalFormatting sqref="B41">
    <cfRule type="cellIs" dxfId="9" priority="4" stopIfTrue="1" operator="notEqual">
      <formula>G53</formula>
    </cfRule>
  </conditionalFormatting>
  <conditionalFormatting sqref="B50:B53">
    <cfRule type="cellIs" dxfId="8" priority="9" stopIfTrue="1" operator="notEqual">
      <formula>G70</formula>
    </cfRule>
  </conditionalFormatting>
  <conditionalFormatting sqref="B48:B49">
    <cfRule type="cellIs" dxfId="7" priority="12" stopIfTrue="1" operator="notEqual">
      <formula>G68</formula>
    </cfRule>
  </conditionalFormatting>
  <conditionalFormatting sqref="B43:B45">
    <cfRule type="cellIs" dxfId="6" priority="13" stopIfTrue="1" operator="notEqual">
      <formula>G54</formula>
    </cfRule>
  </conditionalFormatting>
  <conditionalFormatting sqref="B46">
    <cfRule type="cellIs" dxfId="5" priority="2" stopIfTrue="1" operator="notEqual">
      <formula>G66</formula>
    </cfRule>
  </conditionalFormatting>
  <conditionalFormatting sqref="B29">
    <cfRule type="cellIs" dxfId="4" priority="145" stopIfTrue="1" operator="notEqual">
      <formula>G30</formula>
    </cfRule>
  </conditionalFormatting>
  <conditionalFormatting sqref="B38:B39">
    <cfRule type="cellIs" dxfId="3" priority="147" stopIfTrue="1" operator="notEqual">
      <formula>G43</formula>
    </cfRule>
  </conditionalFormatting>
  <pageMargins left="0.75" right="0.75" top="1" bottom="1" header="0.5" footer="0.5"/>
  <pageSetup scale="79" orientation="portrait" r:id="rId1"/>
  <headerFooter alignWithMargins="0"/>
  <colBreaks count="1" manualBreakCount="1">
    <brk id="7" max="1048575" man="1"/>
  </colBreaks>
  <ignoredErrors>
    <ignoredError sqref="B8:B9 BQ6:BQ7" unlockedFormula="1"/>
    <ignoredError sqref="D11 D37" formula="1"/>
  </ignoredErrors>
  <drawing r:id="rId2"/>
  <legacyDrawing r:id="rId3"/>
  <oleObjects>
    <mc:AlternateContent xmlns:mc="http://schemas.openxmlformats.org/markup-compatibility/2006">
      <mc:Choice Requires="x14">
        <oleObject progId="Visio.Drawing.11" shapeId="683009" r:id="rId4">
          <objectPr defaultSize="0" autoPict="0" r:id="rId5">
            <anchor moveWithCells="1">
              <from>
                <xdr:col>22</xdr:col>
                <xdr:colOff>184150</xdr:colOff>
                <xdr:row>111</xdr:row>
                <xdr:rowOff>146050</xdr:rowOff>
              </from>
              <to>
                <xdr:col>36</xdr:col>
                <xdr:colOff>12700</xdr:colOff>
                <xdr:row>125</xdr:row>
                <xdr:rowOff>146050</xdr:rowOff>
              </to>
            </anchor>
          </objectPr>
        </oleObject>
      </mc:Choice>
      <mc:Fallback>
        <oleObject progId="Visio.Drawing.11" shapeId="68300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rgb="FF7030A0"/>
  </sheetPr>
  <dimension ref="B1:FL329"/>
  <sheetViews>
    <sheetView topLeftCell="G1" zoomScale="70" zoomScaleNormal="70" workbookViewId="0">
      <pane ySplit="3" topLeftCell="A4" activePane="bottomLeft" state="frozen"/>
      <selection pane="bottomLeft" activeCell="U216" sqref="U216:U316"/>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8" width="7.81640625" customWidth="1"/>
    <col min="9" max="9" width="6.26953125" customWidth="1"/>
    <col min="10" max="10" width="9.54296875" customWidth="1"/>
    <col min="11" max="11" width="9.26953125" customWidth="1"/>
    <col min="12" max="12" width="1.81640625" customWidth="1"/>
    <col min="13" max="13" width="8.453125" customWidth="1"/>
    <col min="14" max="15" width="9.54296875" customWidth="1"/>
    <col min="16" max="16" width="8.81640625" customWidth="1"/>
    <col min="17" max="18" width="8.54296875" customWidth="1"/>
    <col min="19" max="19" width="15.453125" customWidth="1"/>
    <col min="20" max="20" width="10.453125" customWidth="1"/>
    <col min="21" max="21" width="7.54296875" customWidth="1"/>
    <col min="22" max="22" width="9" customWidth="1"/>
    <col min="23" max="23" width="8.81640625" customWidth="1"/>
    <col min="24" max="24" width="10" customWidth="1"/>
    <col min="25" max="25" width="9.54296875" customWidth="1"/>
    <col min="26" max="26" width="1.81640625" customWidth="1"/>
    <col min="27" max="27" width="9.81640625" customWidth="1"/>
    <col min="28" max="28" width="10.453125" customWidth="1"/>
    <col min="29" max="29" width="10.1796875" customWidth="1"/>
    <col min="30" max="30" width="2" customWidth="1"/>
    <col min="31" max="31" width="9.1796875" customWidth="1"/>
    <col min="32" max="32" width="9.453125" customWidth="1"/>
    <col min="33" max="33" width="10.453125" customWidth="1"/>
    <col min="34" max="34" width="2.1796875" customWidth="1"/>
    <col min="36" max="36" width="8" customWidth="1"/>
    <col min="38" max="38" width="2.26953125" customWidth="1"/>
    <col min="39" max="39" width="6.54296875" customWidth="1"/>
    <col min="40" max="40" width="7.54296875" customWidth="1"/>
    <col min="41" max="41" width="2" customWidth="1"/>
    <col min="42" max="42" width="6.453125" customWidth="1"/>
    <col min="43" max="43" width="7.54296875" customWidth="1"/>
    <col min="44" max="44" width="2.1796875" customWidth="1"/>
    <col min="45" max="48" width="7" customWidth="1"/>
    <col min="49" max="50" width="8.453125" customWidth="1"/>
    <col min="51" max="52" width="11" customWidth="1"/>
    <col min="53" max="53" width="9.453125" customWidth="1"/>
    <col min="54" max="54" width="9.81640625" customWidth="1"/>
    <col min="55" max="55" width="2" customWidth="1"/>
    <col min="58" max="58" width="2.1796875" customWidth="1"/>
    <col min="59" max="59" width="9" customWidth="1"/>
    <col min="60" max="61" width="8.1796875" customWidth="1"/>
    <col min="62" max="62" width="8.7265625" customWidth="1"/>
    <col min="63" max="64" width="7.54296875" customWidth="1"/>
    <col min="65" max="65" width="10.54296875" customWidth="1"/>
    <col min="66" max="66" width="8.7265625" customWidth="1"/>
    <col min="67" max="68" width="10.26953125" customWidth="1"/>
    <col min="69" max="70" width="10.54296875" customWidth="1"/>
    <col min="71" max="71" width="8.7265625" customWidth="1"/>
    <col min="73" max="73" width="9.81640625" customWidth="1"/>
    <col min="74" max="74" width="11.54296875" customWidth="1"/>
    <col min="75" max="75" width="12.1796875" customWidth="1"/>
    <col min="76" max="76" width="9.1796875" customWidth="1"/>
    <col min="78" max="78" width="7.7265625" customWidth="1"/>
    <col min="79" max="79" width="10.453125" customWidth="1"/>
    <col min="80" max="80" width="12.453125" bestFit="1" customWidth="1"/>
    <col min="81" max="81" width="4.54296875" customWidth="1"/>
    <col min="82" max="82" width="5" customWidth="1"/>
    <col min="83" max="83" width="9.54296875" customWidth="1"/>
    <col min="85" max="85" width="12.54296875" customWidth="1"/>
    <col min="86" max="86" width="11.54296875" customWidth="1"/>
    <col min="87" max="87" width="6.1796875" customWidth="1"/>
    <col min="88" max="89" width="7.7265625" customWidth="1"/>
    <col min="90" max="90" width="7.81640625" customWidth="1"/>
    <col min="91" max="91" width="6.26953125" customWidth="1"/>
    <col min="92" max="92" width="9.54296875" customWidth="1"/>
    <col min="93" max="93" width="9.26953125" customWidth="1"/>
    <col min="94" max="94" width="1.81640625" customWidth="1"/>
    <col min="95" max="95" width="8.453125" customWidth="1"/>
    <col min="96" max="97" width="9.54296875" customWidth="1"/>
    <col min="98" max="98" width="8.81640625" customWidth="1"/>
    <col min="99" max="100" width="8.54296875" customWidth="1"/>
    <col min="101" max="101" width="15.453125" customWidth="1"/>
    <col min="102" max="102" width="10.453125" customWidth="1"/>
    <col min="103" max="103" width="7.54296875" customWidth="1"/>
    <col min="104" max="104" width="9" customWidth="1"/>
    <col min="105" max="105" width="8.81640625" customWidth="1"/>
    <col min="106" max="106" width="10" customWidth="1"/>
    <col min="107" max="107" width="9.54296875" customWidth="1"/>
    <col min="108" max="108" width="1.81640625" customWidth="1"/>
    <col min="109" max="109" width="9.81640625" customWidth="1"/>
    <col min="110" max="110" width="10.453125" customWidth="1"/>
    <col min="111" max="111" width="10.1796875" customWidth="1"/>
    <col min="112" max="112" width="2" customWidth="1"/>
    <col min="113" max="113" width="9.1796875" customWidth="1"/>
    <col min="114" max="114" width="9.453125" customWidth="1"/>
    <col min="115" max="115" width="10.453125" customWidth="1"/>
    <col min="116" max="116" width="2.1796875" customWidth="1"/>
    <col min="118" max="118" width="8" customWidth="1"/>
    <col min="120" max="120" width="2.26953125" customWidth="1"/>
    <col min="121" max="121" width="6.54296875" customWidth="1"/>
    <col min="122" max="122" width="7.54296875" customWidth="1"/>
    <col min="123" max="123" width="2" customWidth="1"/>
    <col min="124" max="124" width="6.453125" customWidth="1"/>
    <col min="125" max="125" width="7.54296875" customWidth="1"/>
    <col min="126" max="126" width="2.1796875" customWidth="1"/>
    <col min="127" max="130" width="7" customWidth="1"/>
    <col min="131" max="132" width="8.453125" customWidth="1"/>
    <col min="133" max="134" width="11" customWidth="1"/>
    <col min="135" max="135" width="9.453125" customWidth="1"/>
    <col min="136" max="136" width="9.81640625" customWidth="1"/>
    <col min="137" max="137" width="2" customWidth="1"/>
    <col min="140" max="140" width="2.1796875" customWidth="1"/>
    <col min="141" max="141" width="9" customWidth="1"/>
    <col min="142" max="143" width="8.1796875" customWidth="1"/>
    <col min="145" max="146" width="7.54296875" customWidth="1"/>
    <col min="147" max="147" width="10.54296875" customWidth="1"/>
    <col min="149" max="150" width="10.26953125" customWidth="1"/>
    <col min="151" max="152" width="10.54296875" customWidth="1"/>
    <col min="155" max="155" width="9.81640625" customWidth="1"/>
    <col min="156" max="156" width="11.54296875" customWidth="1"/>
    <col min="157" max="157" width="12.1796875" customWidth="1"/>
    <col min="158" max="158" width="9.1796875" customWidth="1"/>
    <col min="160" max="160" width="7.7265625" customWidth="1"/>
    <col min="161" max="161" width="10.453125" customWidth="1"/>
    <col min="162" max="162" width="12.453125" bestFit="1" customWidth="1"/>
    <col min="163" max="163" width="4.54296875" customWidth="1"/>
    <col min="164" max="164" width="5" customWidth="1"/>
    <col min="165" max="165" width="9.54296875" customWidth="1"/>
    <col min="168" max="168" width="12.1796875" bestFit="1" customWidth="1"/>
  </cols>
  <sheetData>
    <row r="1" spans="2:168" ht="25">
      <c r="B1" s="445" t="s">
        <v>824</v>
      </c>
      <c r="M1">
        <f>Vfwd2</f>
        <v>0.7</v>
      </c>
      <c r="BB1">
        <f>Ltc</f>
        <v>4.0000000000000001E-3</v>
      </c>
      <c r="BT1">
        <f>Ta</f>
        <v>85</v>
      </c>
      <c r="CI1" s="779" t="s">
        <v>823</v>
      </c>
      <c r="CQ1">
        <f>Vfwd2</f>
        <v>0.7</v>
      </c>
      <c r="EF1">
        <f>Ltc</f>
        <v>4.0000000000000001E-3</v>
      </c>
      <c r="EX1">
        <f>Ta</f>
        <v>85</v>
      </c>
    </row>
    <row r="2" spans="2:168" ht="13" thickBot="1">
      <c r="M2">
        <f>Vfwd1</f>
        <v>0.5</v>
      </c>
      <c r="U2">
        <f>Isw_max</f>
        <v>11.111111111111111</v>
      </c>
      <c r="CQ2">
        <f>Vfwd1</f>
        <v>0.5</v>
      </c>
      <c r="CY2">
        <f>Isw_max</f>
        <v>11.111111111111111</v>
      </c>
    </row>
    <row r="3" spans="2:168" ht="13">
      <c r="E3" s="220" t="s">
        <v>421</v>
      </c>
      <c r="F3" s="540"/>
      <c r="G3" s="540"/>
      <c r="H3" s="540"/>
      <c r="I3" s="221"/>
      <c r="J3" s="222"/>
      <c r="K3" s="524"/>
      <c r="L3" s="524"/>
      <c r="M3" s="947" t="s">
        <v>189</v>
      </c>
      <c r="N3" s="948"/>
      <c r="O3" s="950"/>
      <c r="P3" s="947"/>
      <c r="Q3" s="947"/>
      <c r="R3" s="950"/>
      <c r="S3" s="950"/>
      <c r="T3" s="950"/>
      <c r="U3" s="947"/>
      <c r="V3" s="948"/>
      <c r="W3" s="948"/>
      <c r="X3" s="947"/>
      <c r="Y3" s="948"/>
      <c r="Z3" s="947"/>
      <c r="AA3" s="949"/>
      <c r="AB3" s="533"/>
      <c r="AC3" s="533"/>
      <c r="AD3" s="533"/>
      <c r="AE3" s="533"/>
      <c r="AF3" s="533"/>
      <c r="AG3" s="533"/>
      <c r="AH3" s="533"/>
      <c r="AI3" s="533"/>
      <c r="AJ3" s="533"/>
      <c r="AK3" s="533"/>
      <c r="AL3" s="533"/>
      <c r="AM3" s="533"/>
      <c r="AN3" s="533"/>
      <c r="AO3" s="533"/>
      <c r="AP3" s="533"/>
      <c r="AQ3" s="533"/>
      <c r="AR3" s="533"/>
      <c r="AS3" s="533" t="s">
        <v>460</v>
      </c>
      <c r="AT3" s="533"/>
      <c r="AU3" s="533"/>
      <c r="AV3" s="533"/>
      <c r="AW3" s="533"/>
      <c r="AX3" s="533"/>
      <c r="AY3" s="533"/>
      <c r="AZ3" s="533"/>
      <c r="BA3" s="533" t="s">
        <v>470</v>
      </c>
      <c r="BB3" s="533"/>
      <c r="BC3" s="533"/>
      <c r="BD3" s="558" t="s">
        <v>471</v>
      </c>
      <c r="BE3" s="533"/>
      <c r="BF3" s="533"/>
      <c r="BG3" s="558" t="s">
        <v>888</v>
      </c>
      <c r="BH3" s="533"/>
      <c r="BI3" s="533"/>
      <c r="BJ3" s="533"/>
      <c r="BK3" s="533"/>
      <c r="BL3" s="533"/>
      <c r="BM3" s="533"/>
      <c r="BN3" s="533"/>
      <c r="BO3" s="558" t="s">
        <v>489</v>
      </c>
      <c r="BP3" s="533"/>
      <c r="BQ3" s="533"/>
      <c r="BR3" s="533"/>
      <c r="BS3" s="559" t="s">
        <v>490</v>
      </c>
      <c r="BT3" s="533"/>
      <c r="BU3" s="533"/>
      <c r="BV3" s="533"/>
      <c r="BW3" s="533"/>
      <c r="BX3" s="533"/>
      <c r="BY3" s="558"/>
      <c r="BZ3" s="533"/>
      <c r="CA3" s="533"/>
      <c r="CB3" s="533"/>
      <c r="CC3" s="533"/>
      <c r="CI3" s="220" t="s">
        <v>421</v>
      </c>
      <c r="CJ3" s="540"/>
      <c r="CK3" s="540"/>
      <c r="CL3" s="540"/>
      <c r="CM3" s="221"/>
      <c r="CN3" s="222"/>
      <c r="CO3" s="524"/>
      <c r="CP3" s="524"/>
      <c r="CQ3" s="947" t="s">
        <v>189</v>
      </c>
      <c r="CR3" s="948"/>
      <c r="CS3" s="950"/>
      <c r="CT3" s="947"/>
      <c r="CU3" s="947"/>
      <c r="CV3" s="950"/>
      <c r="CW3" s="950"/>
      <c r="CX3" s="950"/>
      <c r="CY3" s="947"/>
      <c r="CZ3" s="948"/>
      <c r="DA3" s="948"/>
      <c r="DB3" s="947"/>
      <c r="DC3" s="948"/>
      <c r="DD3" s="947"/>
      <c r="DE3" s="949"/>
      <c r="DF3" s="533"/>
      <c r="DG3" s="533"/>
      <c r="DH3" s="533"/>
      <c r="DI3" s="533"/>
      <c r="DJ3" s="533"/>
      <c r="DK3" s="533"/>
      <c r="DL3" s="533"/>
      <c r="DM3" s="533"/>
      <c r="DN3" s="533"/>
      <c r="DO3" s="533"/>
      <c r="DP3" s="533"/>
      <c r="DQ3" s="533"/>
      <c r="DR3" s="533"/>
      <c r="DS3" s="533"/>
      <c r="DT3" s="533"/>
      <c r="DU3" s="533"/>
      <c r="DV3" s="533"/>
      <c r="DW3" s="533" t="s">
        <v>460</v>
      </c>
      <c r="DX3" s="533"/>
      <c r="DY3" s="533"/>
      <c r="DZ3" s="533"/>
      <c r="EA3" s="533"/>
      <c r="EB3" s="533"/>
      <c r="EC3" s="533"/>
      <c r="ED3" s="533"/>
      <c r="EE3" s="533" t="s">
        <v>470</v>
      </c>
      <c r="EF3" s="533"/>
      <c r="EG3" s="533"/>
      <c r="EH3" s="558" t="s">
        <v>471</v>
      </c>
      <c r="EI3" s="533"/>
      <c r="EJ3" s="533"/>
      <c r="EK3" s="558" t="s">
        <v>493</v>
      </c>
      <c r="EL3" s="533"/>
      <c r="EM3" s="533"/>
      <c r="EN3" s="533"/>
      <c r="EO3" s="533"/>
      <c r="EP3" s="533"/>
      <c r="EQ3" s="533"/>
      <c r="ER3" s="533"/>
      <c r="ES3" s="558" t="s">
        <v>489</v>
      </c>
      <c r="ET3" s="533"/>
      <c r="EU3" s="533"/>
      <c r="EV3" s="533"/>
      <c r="EW3" s="559" t="s">
        <v>490</v>
      </c>
      <c r="EX3" s="533"/>
      <c r="EY3" s="533"/>
      <c r="EZ3" s="533"/>
      <c r="FA3" s="533"/>
      <c r="FB3" s="533"/>
      <c r="FC3" s="558"/>
      <c r="FD3" s="533"/>
      <c r="FE3" s="533"/>
      <c r="FF3" s="533"/>
      <c r="FG3" s="533"/>
    </row>
    <row r="4" spans="2:168" ht="45" customHeight="1" thickBot="1">
      <c r="E4" s="241" t="s">
        <v>25</v>
      </c>
      <c r="F4" s="444" t="s">
        <v>194</v>
      </c>
      <c r="G4" s="260"/>
      <c r="H4" s="527" t="s">
        <v>223</v>
      </c>
      <c r="I4" s="242" t="s">
        <v>412</v>
      </c>
      <c r="J4" s="243" t="s">
        <v>418</v>
      </c>
      <c r="K4" s="527" t="s">
        <v>413</v>
      </c>
      <c r="L4" s="527"/>
      <c r="M4" s="244" t="s">
        <v>48</v>
      </c>
      <c r="N4" s="527" t="s">
        <v>402</v>
      </c>
      <c r="O4" s="527" t="s">
        <v>656</v>
      </c>
      <c r="P4" s="527" t="s">
        <v>403</v>
      </c>
      <c r="Q4" s="527" t="s">
        <v>433</v>
      </c>
      <c r="R4" s="527" t="s">
        <v>654</v>
      </c>
      <c r="S4" s="527" t="s">
        <v>657</v>
      </c>
      <c r="T4" s="527" t="s">
        <v>655</v>
      </c>
      <c r="U4" s="527" t="s">
        <v>414</v>
      </c>
      <c r="V4" s="527" t="s">
        <v>466</v>
      </c>
      <c r="W4" s="527" t="s">
        <v>465</v>
      </c>
      <c r="X4" s="546" t="s">
        <v>420</v>
      </c>
      <c r="Y4" s="542" t="s">
        <v>425</v>
      </c>
      <c r="AA4" s="245" t="s">
        <v>417</v>
      </c>
      <c r="AB4" s="245" t="s">
        <v>464</v>
      </c>
      <c r="AC4" s="245" t="s">
        <v>423</v>
      </c>
      <c r="AD4" s="544"/>
      <c r="AE4" s="245" t="s">
        <v>463</v>
      </c>
      <c r="AF4" s="245" t="s">
        <v>681</v>
      </c>
      <c r="AG4" s="245" t="s">
        <v>427</v>
      </c>
      <c r="AH4" s="544"/>
      <c r="AI4" s="245" t="s">
        <v>429</v>
      </c>
      <c r="AJ4" s="547" t="s">
        <v>430</v>
      </c>
      <c r="AK4" s="547" t="s">
        <v>431</v>
      </c>
      <c r="AM4" s="543" t="s">
        <v>275</v>
      </c>
      <c r="AN4" s="543" t="s">
        <v>432</v>
      </c>
      <c r="AP4" s="245" t="s">
        <v>275</v>
      </c>
      <c r="AQ4" s="245" t="s">
        <v>432</v>
      </c>
      <c r="AR4" s="548"/>
      <c r="AS4" s="245" t="s">
        <v>467</v>
      </c>
      <c r="AT4" s="245" t="s">
        <v>461</v>
      </c>
      <c r="AU4" s="245" t="s">
        <v>462</v>
      </c>
      <c r="AV4" s="245" t="s">
        <v>653</v>
      </c>
      <c r="AW4" s="245" t="s">
        <v>48</v>
      </c>
      <c r="AX4" s="548" t="s">
        <v>651</v>
      </c>
      <c r="AY4" s="544" t="s">
        <v>650</v>
      </c>
      <c r="AZ4" s="544" t="s">
        <v>652</v>
      </c>
      <c r="BA4" s="245" t="s">
        <v>481</v>
      </c>
      <c r="BB4" s="245" t="s">
        <v>514</v>
      </c>
      <c r="BC4" s="544"/>
      <c r="BD4" s="557" t="s">
        <v>456</v>
      </c>
      <c r="BE4" s="245" t="s">
        <v>457</v>
      </c>
      <c r="BF4" s="544"/>
      <c r="BG4" s="557" t="s">
        <v>474</v>
      </c>
      <c r="BH4" s="245" t="s">
        <v>475</v>
      </c>
      <c r="BI4" s="245" t="s">
        <v>473</v>
      </c>
      <c r="BJ4" s="245" t="s">
        <v>469</v>
      </c>
      <c r="BK4" s="245" t="s">
        <v>478</v>
      </c>
      <c r="BL4" s="245" t="s">
        <v>777</v>
      </c>
      <c r="BM4" s="245" t="s">
        <v>776</v>
      </c>
      <c r="BN4" s="245" t="s">
        <v>491</v>
      </c>
      <c r="BO4" s="557" t="s">
        <v>476</v>
      </c>
      <c r="BP4" s="245" t="s">
        <v>477</v>
      </c>
      <c r="BQ4" s="245" t="s">
        <v>483</v>
      </c>
      <c r="BR4" s="245" t="s">
        <v>487</v>
      </c>
      <c r="BS4" s="557" t="s">
        <v>458</v>
      </c>
      <c r="BT4" s="245" t="s">
        <v>459</v>
      </c>
      <c r="BU4" s="245" t="s">
        <v>468</v>
      </c>
      <c r="BV4" s="245" t="s">
        <v>666</v>
      </c>
      <c r="BW4" s="245" t="s">
        <v>484</v>
      </c>
      <c r="BX4" s="245" t="s">
        <v>667</v>
      </c>
      <c r="BY4" s="557" t="s">
        <v>482</v>
      </c>
      <c r="BZ4" s="245" t="s">
        <v>223</v>
      </c>
      <c r="CA4" s="245" t="s">
        <v>47</v>
      </c>
      <c r="CB4" s="245" t="s">
        <v>485</v>
      </c>
      <c r="CC4" s="245"/>
      <c r="CE4" s="569" t="s">
        <v>664</v>
      </c>
      <c r="CF4" s="569" t="s">
        <v>665</v>
      </c>
      <c r="CG4" s="781" t="s">
        <v>828</v>
      </c>
      <c r="CI4" s="241" t="s">
        <v>25</v>
      </c>
      <c r="CJ4" s="444" t="s">
        <v>194</v>
      </c>
      <c r="CK4" s="260"/>
      <c r="CL4" s="527" t="s">
        <v>223</v>
      </c>
      <c r="CM4" s="242" t="s">
        <v>412</v>
      </c>
      <c r="CN4" s="243" t="s">
        <v>418</v>
      </c>
      <c r="CO4" s="527" t="s">
        <v>413</v>
      </c>
      <c r="CP4" s="527"/>
      <c r="CQ4" s="244" t="s">
        <v>48</v>
      </c>
      <c r="CR4" s="527" t="s">
        <v>402</v>
      </c>
      <c r="CS4" s="527" t="s">
        <v>656</v>
      </c>
      <c r="CT4" s="527" t="s">
        <v>403</v>
      </c>
      <c r="CU4" s="527" t="s">
        <v>433</v>
      </c>
      <c r="CV4" s="527" t="s">
        <v>654</v>
      </c>
      <c r="CW4" s="527" t="s">
        <v>657</v>
      </c>
      <c r="CX4" s="527" t="s">
        <v>655</v>
      </c>
      <c r="CY4" s="527" t="s">
        <v>414</v>
      </c>
      <c r="CZ4" s="527" t="s">
        <v>466</v>
      </c>
      <c r="DA4" s="527" t="s">
        <v>465</v>
      </c>
      <c r="DB4" s="546" t="s">
        <v>420</v>
      </c>
      <c r="DC4" s="542" t="s">
        <v>425</v>
      </c>
      <c r="DE4" s="245" t="s">
        <v>417</v>
      </c>
      <c r="DF4" s="245" t="s">
        <v>464</v>
      </c>
      <c r="DG4" s="245" t="s">
        <v>423</v>
      </c>
      <c r="DH4" s="544"/>
      <c r="DI4" s="245" t="s">
        <v>463</v>
      </c>
      <c r="DJ4" s="245" t="s">
        <v>681</v>
      </c>
      <c r="DK4" s="245" t="s">
        <v>427</v>
      </c>
      <c r="DL4" s="544"/>
      <c r="DM4" s="245" t="s">
        <v>429</v>
      </c>
      <c r="DN4" s="547" t="s">
        <v>430</v>
      </c>
      <c r="DO4" s="547" t="s">
        <v>431</v>
      </c>
      <c r="DQ4" s="543" t="s">
        <v>275</v>
      </c>
      <c r="DR4" s="543" t="s">
        <v>432</v>
      </c>
      <c r="DT4" s="245" t="s">
        <v>275</v>
      </c>
      <c r="DU4" s="245" t="s">
        <v>432</v>
      </c>
      <c r="DV4" s="548"/>
      <c r="DW4" s="245" t="s">
        <v>467</v>
      </c>
      <c r="DX4" s="245" t="s">
        <v>461</v>
      </c>
      <c r="DY4" s="245" t="s">
        <v>462</v>
      </c>
      <c r="DZ4" s="245" t="s">
        <v>653</v>
      </c>
      <c r="EA4" s="245" t="s">
        <v>48</v>
      </c>
      <c r="EB4" s="548" t="s">
        <v>651</v>
      </c>
      <c r="EC4" s="544" t="s">
        <v>650</v>
      </c>
      <c r="ED4" s="544" t="s">
        <v>652</v>
      </c>
      <c r="EE4" s="245" t="s">
        <v>481</v>
      </c>
      <c r="EF4" s="245" t="s">
        <v>514</v>
      </c>
      <c r="EG4" s="544"/>
      <c r="EH4" s="557" t="s">
        <v>456</v>
      </c>
      <c r="EI4" s="245" t="s">
        <v>457</v>
      </c>
      <c r="EJ4" s="544"/>
      <c r="EK4" s="557" t="s">
        <v>474</v>
      </c>
      <c r="EL4" s="245" t="s">
        <v>475</v>
      </c>
      <c r="EM4" s="245" t="s">
        <v>473</v>
      </c>
      <c r="EN4" s="245" t="s">
        <v>469</v>
      </c>
      <c r="EO4" s="245" t="s">
        <v>478</v>
      </c>
      <c r="EP4" s="245" t="s">
        <v>777</v>
      </c>
      <c r="EQ4" s="245" t="s">
        <v>776</v>
      </c>
      <c r="ER4" s="245" t="s">
        <v>491</v>
      </c>
      <c r="ES4" s="557" t="s">
        <v>476</v>
      </c>
      <c r="ET4" s="245" t="s">
        <v>477</v>
      </c>
      <c r="EU4" s="245" t="s">
        <v>483</v>
      </c>
      <c r="EV4" s="245" t="s">
        <v>487</v>
      </c>
      <c r="EW4" s="557" t="s">
        <v>458</v>
      </c>
      <c r="EX4" s="245" t="s">
        <v>459</v>
      </c>
      <c r="EY4" s="245" t="s">
        <v>468</v>
      </c>
      <c r="EZ4" s="245" t="s">
        <v>666</v>
      </c>
      <c r="FA4" s="245" t="s">
        <v>484</v>
      </c>
      <c r="FB4" s="245" t="s">
        <v>667</v>
      </c>
      <c r="FC4" s="557" t="s">
        <v>482</v>
      </c>
      <c r="FD4" s="245" t="s">
        <v>223</v>
      </c>
      <c r="FE4" s="245" t="s">
        <v>47</v>
      </c>
      <c r="FF4" s="245" t="s">
        <v>485</v>
      </c>
      <c r="FG4" s="245"/>
      <c r="FI4" s="569" t="s">
        <v>664</v>
      </c>
      <c r="FJ4" s="569" t="s">
        <v>665</v>
      </c>
      <c r="FL4" t="s">
        <v>825</v>
      </c>
    </row>
    <row r="5" spans="2:168">
      <c r="E5" s="170">
        <v>0.1</v>
      </c>
      <c r="F5" s="217">
        <v>1.0000000000000001E-9</v>
      </c>
      <c r="G5" s="217"/>
      <c r="H5" s="217">
        <f t="shared" ref="H5:H36" si="0">F5*Vout</f>
        <v>2.4000000000000003E-8</v>
      </c>
      <c r="I5" s="541">
        <f t="shared" ref="I5:I36" si="1">Vin-F5*(Rdcr_pri+RON/1000)/CG5/Nps</f>
        <v>23.99997786405638</v>
      </c>
      <c r="J5" s="172">
        <f t="shared" ref="J5:J36" si="2">(T5+Vfwd1+F5/CG5*Rdcr_sec)*Nps</f>
        <v>16.341504220587641</v>
      </c>
      <c r="K5" s="172">
        <f t="shared" ref="K5:K36" si="3">(Vout+Vfwd1+F5/CG5*Rdcr_sec)*Nps+VIN_nom</f>
        <v>40.341504220587638</v>
      </c>
      <c r="L5" s="443"/>
      <c r="M5" s="217">
        <f t="shared" ref="M5:M36" si="4">(Vout+Vfwd1+F5/FL5*Rdcr_sec)*Nps/((Vout+Vfwd1+F5/FL5*Rdcr_sec)*Nps+I5)</f>
        <v>0.40507942202818981</v>
      </c>
      <c r="N5" s="172">
        <f t="shared" ref="N5:N36" si="5">M5*I5*(Isw_max+VIN_nom/Lmag*ILIM_delay)*0.5*Efficiency</f>
        <v>54.360528085945376</v>
      </c>
      <c r="O5" s="172">
        <f>T5*F5</f>
        <v>2.4000000000000003E-8</v>
      </c>
      <c r="P5" s="217">
        <f t="shared" ref="P5:P36" si="6">N5/Vout</f>
        <v>2.2650220035810573</v>
      </c>
      <c r="Q5" s="217">
        <f t="shared" ref="Q5:Q36" si="7">MIN(Vout,N5/F5)</f>
        <v>24</v>
      </c>
      <c r="R5" s="217">
        <f t="shared" ref="R5:R36" si="8">Isw_max/2*I5*Nps*(Q5+Vfwd1+F5/FL5*Rdcr_sec)/Q5/(I5+Nps*(Q5+Vfwd1+F5/FL5*Rdcr_sec))</f>
        <v>2.2504391578382656</v>
      </c>
      <c r="S5" s="172">
        <f t="shared" ref="S5:S36" si="9">(SQRT(Isw_max^2*Nps^2*I5^2+4*Isw_max*F5/Efficiency*(Nps^2*Vfwd1*I5-Nps*I5^2)+4*(F5/Efficiency)^2*Nps^2*Vfwd1^2+8*(F5/Efficiency)^2*Nps*Vfwd1*I5+4*(F5/Efficiency)^2*I5^2)-2*F5/Efficiency*I5-2*F5/Efficiency*Nps*Vfwd1+Isw_max*Nps*I5)/(4*F5/Efficiency*Nps)</f>
        <v>133333210319.8868</v>
      </c>
      <c r="T5" s="172">
        <f t="shared" ref="T5:T36" si="10">MIN(Vout, S5)</f>
        <v>24</v>
      </c>
      <c r="U5" s="217">
        <f>MIN(2*(Vout+Vfwd1+F5/FL5*Rdcr_sec)*F5/(I5*M5), Isw_max)</f>
        <v>5.0401698321608049E-9</v>
      </c>
      <c r="V5" s="217">
        <f t="shared" ref="V5:V68" si="11">L*U5/I5*1000000</f>
        <v>2.1000727003624563E-9</v>
      </c>
      <c r="W5" s="217">
        <f t="shared" ref="W5:W36" si="12">L*U5/J5*1000000</f>
        <v>3.0842753299362795E-9</v>
      </c>
      <c r="X5" s="197">
        <f t="shared" ref="X5:X36" si="13">IF(1/((350000*L)*(1/I5+1/J5))&gt;Isw_min, 350, 0.001/((Isw_min*L)*(1/I5+1/J5)))</f>
        <v>350</v>
      </c>
      <c r="Y5" s="443">
        <f t="shared" ref="Y5:Y68" si="14">MIN(1/(V5+W5+0.2)*1000, 350)</f>
        <v>350</v>
      </c>
      <c r="AA5" s="217">
        <f t="shared" ref="AA5:AA36" si="15">1/((X5*1000*L)*(1/I5+1/J5))</f>
        <v>2.777684898966045</v>
      </c>
      <c r="AB5" s="173">
        <f t="shared" ref="AB5:AB36" si="16">L*AA5/J5*1000000</f>
        <v>1.6997730817623344</v>
      </c>
      <c r="AC5" s="173">
        <f t="shared" ref="AC5:AC36" si="17">0.5*AB5*AA5*Nps*X5/1000</f>
        <v>0.55110938608724291</v>
      </c>
      <c r="AD5" s="173"/>
      <c r="AE5" s="173">
        <f t="shared" ref="AE5:AE36" si="18">L*Isw_min/J5*1000000</f>
        <v>1.3598639343265497</v>
      </c>
      <c r="AF5" s="545">
        <f>MAX(12, F5/(0.5*AE5/1000000*Isw_min*Nps)/1000)</f>
        <v>12</v>
      </c>
      <c r="AG5" s="528">
        <f t="shared" ref="AG5:AG36" si="19">0.5*AE5/1000000*Isw_min*Nps*X5*1000</f>
        <v>0.35273359496503681</v>
      </c>
      <c r="AI5" s="173">
        <f t="shared" ref="AI5:AI36" si="20">SQRT(F5/Efficiency/(0.5*L/J5*Fsw_DCM*Nps))</f>
        <v>1.1832161094169835E-4</v>
      </c>
      <c r="AJ5" s="173">
        <f t="shared" ref="AJ5:AJ36" si="21">MAX(IF(F5&gt;AC5,U5,AI5),Isw_min)</f>
        <v>2.2222222222222223</v>
      </c>
      <c r="AK5" s="173">
        <f t="shared" ref="AK5:AK36" si="22">IF(F5&gt;AG5, (AJ5-Isw_min)/1.08*0.8+1.2, AF5*0.2/350+1)</f>
        <v>1.0068571428571429</v>
      </c>
      <c r="AM5" s="545">
        <f t="shared" ref="AM5:AM36" si="23">F5*1000</f>
        <v>1.0000000000000002E-6</v>
      </c>
      <c r="AN5" s="460">
        <f t="shared" ref="AN5:AN36" si="24">IF(F5&gt;AG5, Y5, AF5)</f>
        <v>12</v>
      </c>
      <c r="AP5">
        <f t="shared" ref="AP5:AP36" si="25">IF(H5&gt;N5, "",AM5)</f>
        <v>1.0000000000000002E-6</v>
      </c>
      <c r="AQ5" s="460">
        <f t="shared" ref="AQ5:AQ36" si="26">IF(H5&gt;N5, "",AN5)</f>
        <v>12</v>
      </c>
      <c r="AR5" s="460"/>
      <c r="AS5" s="5">
        <f>1/AN5*1000</f>
        <v>83.333333333333329</v>
      </c>
      <c r="AT5" s="5">
        <f t="shared" ref="AT5:AT36" si="27">L*AJ5/I5*1000000</f>
        <v>0.92592677993688433</v>
      </c>
      <c r="AU5" s="5">
        <f>AS5-AT5</f>
        <v>82.407406553396441</v>
      </c>
      <c r="AV5" s="5">
        <f t="shared" ref="AV5:AV36" si="28">L*AJ5/J5*1000000</f>
        <v>1.3598639343265497</v>
      </c>
      <c r="AW5" s="173">
        <f>AT5/AS5</f>
        <v>1.1111121359242613E-2</v>
      </c>
      <c r="AX5" s="173">
        <f t="shared" ref="AX5:AX36" si="29">0.5*L*AJ5^2*AN5*1000</f>
        <v>0.29629629629629634</v>
      </c>
      <c r="AY5" s="173">
        <f t="shared" ref="AY5:AY36" si="30">AJ5*Nps/2*(1-AW5)</f>
        <v>0.73287653561487243</v>
      </c>
      <c r="AZ5" s="173">
        <f>AX5/AY5</f>
        <v>0.40429224009431303</v>
      </c>
      <c r="BA5" s="460">
        <f t="shared" ref="BA5:BA36" si="31">F5*AT5/Vout_ripple*1000</f>
        <v>3.8580282497370182E-9</v>
      </c>
      <c r="BB5" s="5">
        <f t="shared" ref="BB5:BB36" si="32">H5/Efficiency/I5*AU5/Vinripple1</f>
        <v>6.8672902133642447E-8</v>
      </c>
      <c r="BC5" s="5"/>
      <c r="BD5" s="173">
        <f>AJ5*SQRT(AW5/3)</f>
        <v>0.13524020002372436</v>
      </c>
      <c r="BE5" s="173">
        <f t="shared" ref="BE5:BE36" si="33">AJ5*Nps*SQRT((1-AW5)/3)</f>
        <v>0.85099388451919356</v>
      </c>
      <c r="BF5" s="173"/>
      <c r="BG5" s="528">
        <f t="shared" ref="BG5:BG36" si="34">Rdson*BD5^2</f>
        <v>7.3159646809827894E-4</v>
      </c>
      <c r="BH5" s="528">
        <f t="shared" ref="BH5:BH36" si="35">0.5*K5*AJ5*AN5*1000*Tfall</f>
        <v>2.4204902532352579E-2</v>
      </c>
      <c r="BI5" s="528">
        <f t="shared" ref="BI5:BI36" si="36">Qg*Vdd*AN5*1000*0+Qg*I5*AN5*1000</f>
        <v>1.1519989374747063E-2</v>
      </c>
      <c r="BJ5" s="528">
        <f t="shared" ref="BJ5:BJ36" si="37">0.5*(Coss+Csw)*K5^2*AN5*1000</f>
        <v>3.4176176218373494E-3</v>
      </c>
      <c r="BK5">
        <f t="shared" ref="BK5:BK36" si="38">I5*IQ</f>
        <v>1.0799990038825371E-2</v>
      </c>
      <c r="BL5" s="460">
        <f>(BK5+BI5)*1000</f>
        <v>22.319979413572433</v>
      </c>
      <c r="BM5" s="528">
        <f t="shared" ref="BM5:BM36" si="39">(BH5+BI5*0+BJ5+BK5*0+BG5*(1+RdsonTC*(Ta-25)))/(1-BG5*RdsonTC*ThetaJA)</f>
        <v>2.8556611587958781E-2</v>
      </c>
      <c r="BN5" s="460">
        <f>BM5*1000</f>
        <v>28.556611587958781</v>
      </c>
      <c r="BO5" s="528">
        <f>Vfwd2*F5*(1+Diode_TC/1000*(Ta-25))</f>
        <v>8.679999999999999E-10</v>
      </c>
      <c r="BP5" s="528"/>
      <c r="BR5" s="460">
        <f>SUM(BO5:BQ5)*1000</f>
        <v>8.6799999999999988E-7</v>
      </c>
      <c r="BS5" s="528">
        <f t="shared" ref="BS5:BS36" si="40">Rdcr_pri*BD5^2</f>
        <v>5.4869735107370917E-4</v>
      </c>
      <c r="BT5" s="528">
        <f t="shared" ref="BT5:BT36" si="41">Rdcr_sec*BE5^2</f>
        <v>2.1725717744671993E-2</v>
      </c>
      <c r="BU5" s="528">
        <f t="shared" ref="BU5:BU36" si="42">AJ5^2.5*AN5^2.5*k_core*0+BZ5*0.015</f>
        <v>3.6000000000000005E-10</v>
      </c>
      <c r="BV5" s="528">
        <f t="shared" ref="BV5:BV36" si="43">(BU5+(BS5+BT5)*(1+Ltc*(Ta-25)))/(1-(BS5+BT5)*Ltc*ThetaCa)</f>
        <v>2.766958097730177E-2</v>
      </c>
      <c r="BW5" s="528">
        <f t="shared" ref="BW5:BW36" si="44">0.5*Lleak*0.000000001*AJ5^2*AN5*1000</f>
        <v>1.1851851851851855E-2</v>
      </c>
      <c r="BX5" s="460">
        <f>1000*(BV5+BW5)</f>
        <v>39.521432829153625</v>
      </c>
      <c r="BY5" s="173">
        <f t="shared" ref="BY5:BY68" si="45">SUM(BM5,BO5:BQ5,BV5, BW5)+BK5+BI5</f>
        <v>9.0398024698684826E-2</v>
      </c>
      <c r="BZ5" s="5">
        <f>MIN(H5,O5)</f>
        <v>2.4000000000000003E-8</v>
      </c>
      <c r="CA5" s="173">
        <f>BZ5/(BZ5+BY5)</f>
        <v>2.6549245636923987E-7</v>
      </c>
      <c r="CB5" s="5">
        <f>CA5*100</f>
        <v>2.6549245636923988E-5</v>
      </c>
      <c r="CE5" s="562">
        <f t="shared" ref="CE5:CE36" si="46">IF(ABS(F5-Ioutmax_Vinnom)&lt;Iout/200, AN5, -50)</f>
        <v>-50</v>
      </c>
      <c r="CF5">
        <f t="shared" ref="CF5:CF36" si="47">IF(ABS(F5-Ioutmax_Vinnom)&lt;Iout/200, N5*CA5, -50)</f>
        <v>-50</v>
      </c>
      <c r="CG5" s="173">
        <f t="shared" ref="CG5:CG36" si="48">MIN(SQRT(2*DU5*1000*Ls1_*CL5)/CU5,1-EA5-0.00000005*DU5*1000)</f>
        <v>4.7410459672689351E-6</v>
      </c>
      <c r="CI5" s="170">
        <v>0.1</v>
      </c>
      <c r="CJ5" s="217">
        <v>1.0000000000000001E-9</v>
      </c>
      <c r="CK5" s="217"/>
      <c r="CL5" s="217">
        <f t="shared" ref="CL5:CL68" si="49">CJ5*Vout</f>
        <v>2.4000000000000003E-8</v>
      </c>
      <c r="CM5" s="541">
        <f t="shared" ref="CM5:CM68" si="50">Vin</f>
        <v>24</v>
      </c>
      <c r="CN5" s="172">
        <f t="shared" ref="CN5:CN68" si="51">(CX5+Vfwd1)*Nps</f>
        <v>16.3415</v>
      </c>
      <c r="CO5" s="443">
        <f t="shared" ref="CO5:CO68" si="52">(Vout+Vfwd1)*Nps+CM5</f>
        <v>40.341499999999996</v>
      </c>
      <c r="CP5" s="443"/>
      <c r="CQ5" s="217">
        <f t="shared" ref="CQ5:CQ68" si="53">(Vout+Vfwd1)*Nps/((Vout+Vfwd1)*Nps+CM5)</f>
        <v>0.40507913686898112</v>
      </c>
      <c r="CR5" s="172">
        <f t="shared" ref="CR5:CR68" si="54">CQ5*CM5*(Isw_max+VIN_nom/Lmag*ILIM_delay)*0.5*Efficiency</f>
        <v>54.360539956785601</v>
      </c>
      <c r="CS5" s="172">
        <f>CX5*CJ5</f>
        <v>2.4000000000000003E-8</v>
      </c>
      <c r="CT5" s="217">
        <f t="shared" ref="CT5:CT68" si="55">CR5/Vout</f>
        <v>2.2650224981994</v>
      </c>
      <c r="CU5" s="217">
        <f t="shared" ref="CU5:CU68" si="56">MIN(Vout,CR5/CJ5)</f>
        <v>24</v>
      </c>
      <c r="CV5" s="217">
        <f t="shared" ref="CV5:CV68" si="57">Isw_max/2*CM5*Nps*(CU5+Vfwd1)/CU5/(CM5+Nps*(CU5+Vfwd1))</f>
        <v>2.250439649272117</v>
      </c>
      <c r="CW5" s="172">
        <f t="shared" ref="CW5:CW68" si="58">(SQRT(Isw_max^2*Nps^2*CM5^2+4*Isw_max*CJ5/Efficiency*(Nps^2*Vfwd1*CM5-Nps*CM5^2)+4*(CJ5/Efficiency)^2*Nps^2*Vfwd1^2+8*(CJ5/Efficiency)^2*Nps*Vfwd1*CM5+4*(CJ5/Efficiency)^2*CM5^2)-2*CJ5/Efficiency*CM5-2*CJ5/Efficiency*Nps*Vfwd1+Isw_max*Nps*CM5)/(4*CJ5/Efficiency*Nps)</f>
        <v>133333333297.35132</v>
      </c>
      <c r="CX5" s="172">
        <f t="shared" ref="CX5:CX68" si="59">MIN(Vout, CW5)</f>
        <v>24</v>
      </c>
      <c r="CY5" s="217">
        <f t="shared" ref="CY5:CY68" si="60">MIN(2*Vout*CJ5/(CM5*CQ5), Isw_max)</f>
        <v>4.9373068567756945E-9</v>
      </c>
      <c r="CZ5" s="217">
        <f t="shared" ref="CZ5:CZ68" si="61">L*CY5/CM5*1000000</f>
        <v>2.0572111903232062E-9</v>
      </c>
      <c r="DA5" s="217">
        <f t="shared" ref="DA5:DA68" si="62">L*CY5/CN5*1000000</f>
        <v>3.0213302675860203E-9</v>
      </c>
      <c r="DB5" s="197">
        <f t="shared" ref="DB5:DB68" si="63">IF(1/((350000*L)*(1/CM5+1/CN5))&gt;Isw_min, 350, 0.001/((Isw_min*L)*(1/CM5+1/CN5)))</f>
        <v>350</v>
      </c>
      <c r="DC5" s="443">
        <f>MIN(1/(CZ5+DA5)*1000, 350)</f>
        <v>350</v>
      </c>
      <c r="DE5" s="217">
        <f t="shared" ref="DE5:DE68" si="64">1/((DB5*1000*L)*(1/CM5+1/CN5))</f>
        <v>2.7776855099587272</v>
      </c>
      <c r="DF5" s="173">
        <f t="shared" ref="DF5:DF68" si="65">L*DE5/CN5*1000000</f>
        <v>1.6997738946600542</v>
      </c>
      <c r="DG5" s="173">
        <f t="shared" ref="DG5:DG68" si="66">0.5*DF5*DE5*Nps*DB5/1000</f>
        <v>0.55110977087390545</v>
      </c>
      <c r="DH5" s="173"/>
      <c r="DI5" s="173">
        <f t="shared" ref="DI5:DI68" si="67">L*Isw_min/CN5*1000000</f>
        <v>1.3598642855443031</v>
      </c>
      <c r="DJ5" s="545">
        <f>MAX(12, CJ5/(0.5*DI5/1000000*Isw_min*Nps)/1000)</f>
        <v>12</v>
      </c>
      <c r="DK5" s="528">
        <f t="shared" ref="DK5:DK68" si="68">0.5*DI5/1000000*Isw_min*Nps*DB5*1000</f>
        <v>0.35273368606701955</v>
      </c>
      <c r="DM5" s="173">
        <f t="shared" ref="DM5:DM68" si="69">SQRT(CJ5/Efficiency/(0.5*L/CN5*Fsw_DCM*Nps))</f>
        <v>1.1832159566199231E-4</v>
      </c>
      <c r="DN5" s="173">
        <f t="shared" ref="DN5:DN68" si="70">MAX(IF(CJ5&gt;DG5,CY5,DM5),Isw_min)</f>
        <v>2.2222222222222223</v>
      </c>
      <c r="DO5" s="173">
        <f t="shared" ref="DO5:DO68" si="71">IF(CJ5&gt;DK5, (DN5-Isw_min)/1.08*0.8+1.2, DJ5*0.2/350+1)</f>
        <v>1.0068571428571429</v>
      </c>
      <c r="DQ5" s="545">
        <f t="shared" ref="DQ5:DQ68" si="72">CJ5*1000</f>
        <v>1.0000000000000002E-6</v>
      </c>
      <c r="DR5" s="460">
        <f t="shared" ref="DR5:DR68" si="73">IF(CJ5&gt;DK5, DC5, DJ5)</f>
        <v>12</v>
      </c>
      <c r="DT5">
        <f t="shared" ref="DT5:DT68" si="74">IF(CL5&gt;CR5, "",DQ5)</f>
        <v>1.0000000000000002E-6</v>
      </c>
      <c r="DU5" s="460">
        <f t="shared" ref="DU5:DU68" si="75">IF(CL5&gt;CR5, "",DR5)</f>
        <v>12</v>
      </c>
      <c r="DV5" s="460"/>
      <c r="DW5" s="5">
        <f>1/DR5*1000</f>
        <v>83.333333333333329</v>
      </c>
      <c r="DX5" s="5">
        <f t="shared" ref="DX5:DX68" si="76">L*DN5/CM5*1000000</f>
        <v>0.92592592592592615</v>
      </c>
      <c r="DY5" s="5">
        <f>DW5-DX5</f>
        <v>82.407407407407405</v>
      </c>
      <c r="DZ5" s="5">
        <f t="shared" ref="DZ5:DZ68" si="77">L*DN5/CN5*1000000</f>
        <v>1.3598642855443031</v>
      </c>
      <c r="EA5" s="173">
        <f>DX5/DW5</f>
        <v>1.1111111111111115E-2</v>
      </c>
      <c r="EB5" s="173">
        <f t="shared" ref="EB5:EB68" si="78">0.5*L*DN5^2*DR5*1000</f>
        <v>0.29629629629629634</v>
      </c>
      <c r="EC5" s="173">
        <f t="shared" ref="EC5:EC68" si="79">DN5*Nps/2*(1-EA5)</f>
        <v>0.73287654320987661</v>
      </c>
      <c r="ED5" s="173">
        <f>EB5/EC5</f>
        <v>0.40429223590451968</v>
      </c>
      <c r="EE5" s="460">
        <f t="shared" ref="EE5:EE68" si="80">CJ5*DX5/Vout_ripple*1000</f>
        <v>3.8580246913580265E-9</v>
      </c>
      <c r="EF5" s="5">
        <f t="shared" ref="EF5:EF68" si="81">CL5/Efficiency/CM5*DY5/Vinripple1</f>
        <v>6.8672839506172841E-8</v>
      </c>
      <c r="EG5" s="5"/>
      <c r="EH5" s="173">
        <f>DN5*SQRT(EA5/3)</f>
        <v>0.13524013765559662</v>
      </c>
      <c r="EI5" s="173">
        <f t="shared" ref="EI5:EI68" si="82">DN5*Nps*SQRT((1-EA5)/3)</f>
        <v>0.85099388892873729</v>
      </c>
      <c r="EJ5" s="173"/>
      <c r="EK5" s="528">
        <f t="shared" ref="EK5:EK68" si="83">Rdson*EH5^2</f>
        <v>7.3159579332418893E-4</v>
      </c>
      <c r="EL5" s="528">
        <f t="shared" ref="EL5:EL68" si="84">0.5*CO5*DN5*DR5*1000*Trise</f>
        <v>2.9583766666666667E-2</v>
      </c>
      <c r="EM5" s="528">
        <f t="shared" ref="EM5:EM68" si="85">Qg*Vdd*DR5*1000</f>
        <v>2.3999999999999998E-3</v>
      </c>
      <c r="EN5" s="528">
        <f t="shared" ref="EN5:EN68" si="86">0.5*(Coss+Csw)*CO5^2*DR5*1000</f>
        <v>3.4176169067249994E-3</v>
      </c>
      <c r="EO5">
        <f t="shared" ref="EO5:EO68" si="87">CM5*IQ</f>
        <v>1.0800000000000001E-2</v>
      </c>
      <c r="EP5" s="460">
        <f>(EO5+EM5)*1000</f>
        <v>13.2</v>
      </c>
      <c r="EQ5" s="528">
        <f t="shared" ref="EQ5:EQ68" si="88">(EL5+EM5+EN5+EO5+EK5*(1+RdsonTC*(Ta-25)))/(1-EK5*RdsonTC*ThetaJA)</f>
        <v>4.7138704218016962E-2</v>
      </c>
      <c r="ER5" s="460">
        <f>EQ5*1000</f>
        <v>47.138704218016962</v>
      </c>
      <c r="ES5" s="528">
        <f>Vfwd2*CJ5*(1+Diode_TC/1000*(Ta-25))</f>
        <v>8.679999999999999E-10</v>
      </c>
      <c r="ET5" s="528"/>
      <c r="EV5" s="460">
        <f>SUM(ES5:EU5)*1000</f>
        <v>8.6799999999999988E-7</v>
      </c>
      <c r="EW5" s="528">
        <f t="shared" ref="EW5:EW68" si="89">Rdcr_pri*EH5^2</f>
        <v>5.4869684499314164E-4</v>
      </c>
      <c r="EX5" s="528">
        <f t="shared" ref="EX5:EX68" si="90">Rdcr_sec*EI5^2</f>
        <v>2.172571796982168E-2</v>
      </c>
      <c r="EY5" s="528">
        <f t="shared" ref="EY5:EY68" si="91">DN5^2.5*DR5^2.5*k_core</f>
        <v>1.8360809937575901E-4</v>
      </c>
      <c r="EZ5" s="528">
        <f t="shared" ref="EZ5:EZ68" si="92">(EY5+(EW5+EX5)*(1+Ltc*(Ta-25)))/(1-(EW5+EX5)*Ltc*ThetaCa)</f>
        <v>2.7853516131535336E-2</v>
      </c>
      <c r="FA5" s="528">
        <f t="shared" ref="FA5:FA68" si="93">0.5*Lleak*0.000000001*DN5^2*DR5*1000</f>
        <v>1.1851851851851855E-2</v>
      </c>
      <c r="FB5" s="460">
        <f>1000*(EZ5+FA5)</f>
        <v>39.705367983387191</v>
      </c>
      <c r="FC5" s="173">
        <f>SUM(EQ5,ES5:EU5,EZ5, FA5)</f>
        <v>8.6844073069404143E-2</v>
      </c>
      <c r="FD5" s="5">
        <f>MIN(CL5,CS5)</f>
        <v>2.4000000000000003E-8</v>
      </c>
      <c r="FE5" s="173">
        <f>FD5/(FD5+FC5)</f>
        <v>2.7635729784627343E-7</v>
      </c>
      <c r="FF5" s="5">
        <f>FE5*100</f>
        <v>2.7635729784627344E-5</v>
      </c>
      <c r="FI5" s="562">
        <f t="shared" ref="FI5:FI68" si="94">IF(ABS(CJ5-Ioutmax_Vinnom)&lt;Iout/200, DR5, -50)</f>
        <v>-50</v>
      </c>
      <c r="FJ5">
        <f t="shared" ref="FJ5:FJ68" si="95">IF(ABS(CJ5-Ioutmax_Vinnom)&lt;Iout/200, CR5*FE5, -50)</f>
        <v>-50</v>
      </c>
      <c r="FL5">
        <f t="shared" ref="FL5:FL36" si="96">MIN(SQRT(2*L*DR5*1000*CJ5*(CX5+Vfwd1))/(Nps*(CX5+Vfwd1)), 1-EA5)</f>
        <v>4.6924185693310443E-6</v>
      </c>
    </row>
    <row r="6" spans="2:168">
      <c r="E6" s="170">
        <v>1</v>
      </c>
      <c r="F6" s="217">
        <f t="shared" ref="F6:F37" si="97">IF(PLOT_TYPE=1, E6/100*Iout_max, min_I*EXP(N6*rr/100))</f>
        <v>0.01</v>
      </c>
      <c r="G6" s="217"/>
      <c r="H6" s="217">
        <f t="shared" si="0"/>
        <v>0.24</v>
      </c>
      <c r="I6" s="541">
        <f t="shared" si="1"/>
        <v>23.93</v>
      </c>
      <c r="J6" s="172">
        <f t="shared" si="2"/>
        <v>16.354846670000001</v>
      </c>
      <c r="K6" s="172">
        <f t="shared" si="3"/>
        <v>40.354846670000001</v>
      </c>
      <c r="L6" s="443"/>
      <c r="M6" s="217">
        <f t="shared" si="4"/>
        <v>0.4059821541153828</v>
      </c>
      <c r="N6" s="172">
        <f t="shared" si="5"/>
        <v>54.322817439355703</v>
      </c>
      <c r="O6" s="172">
        <f t="shared" ref="O6:O69" si="98">T6*F6</f>
        <v>0.24</v>
      </c>
      <c r="P6" s="217">
        <f t="shared" si="6"/>
        <v>2.2634507266398209</v>
      </c>
      <c r="Q6" s="217">
        <f t="shared" si="7"/>
        <v>24</v>
      </c>
      <c r="R6" s="217">
        <f t="shared" si="8"/>
        <v>2.2488779972178494</v>
      </c>
      <c r="S6" s="172">
        <f t="shared" si="9"/>
        <v>13258.568735900566</v>
      </c>
      <c r="T6" s="172">
        <f t="shared" si="10"/>
        <v>24</v>
      </c>
      <c r="U6" s="217">
        <f t="shared" ref="U6:U36" si="99">MIN(2*(Vout+Vfwd1+F6/FL6*Rdcr_sec)*F6/(I6*M6), Isw_max)</f>
        <v>5.0478294051246722E-2</v>
      </c>
      <c r="V6" s="217">
        <f t="shared" si="11"/>
        <v>2.1094147117111044E-2</v>
      </c>
      <c r="W6" s="217">
        <f t="shared" si="12"/>
        <v>3.0864425127164294E-2</v>
      </c>
      <c r="X6" s="197">
        <f t="shared" si="13"/>
        <v>350</v>
      </c>
      <c r="Y6" s="443">
        <f t="shared" si="14"/>
        <v>350</v>
      </c>
      <c r="AA6" s="217">
        <f t="shared" si="15"/>
        <v>2.7757440410646876</v>
      </c>
      <c r="AB6" s="173">
        <f t="shared" si="16"/>
        <v>1.6971996724104339</v>
      </c>
      <c r="AC6" s="173">
        <f t="shared" si="17"/>
        <v>0.54989052686502637</v>
      </c>
      <c r="AD6" s="173"/>
      <c r="AE6" s="173">
        <f t="shared" si="18"/>
        <v>1.358754543568107</v>
      </c>
      <c r="AF6" s="545">
        <f t="shared" ref="AF6:AF36" si="100">MAX(12, F6/(0.5*AE6/1000000*Isw_min*Nps)/1000)</f>
        <v>12</v>
      </c>
      <c r="AG6" s="528">
        <f t="shared" si="19"/>
        <v>0.3524458313288607</v>
      </c>
      <c r="AI6" s="173">
        <f t="shared" si="20"/>
        <v>0.37431850456148019</v>
      </c>
      <c r="AJ6" s="173">
        <f t="shared" si="21"/>
        <v>2.2222222222222223</v>
      </c>
      <c r="AK6" s="173">
        <f t="shared" si="22"/>
        <v>1.0068571428571429</v>
      </c>
      <c r="AM6" s="545">
        <f t="shared" si="23"/>
        <v>10</v>
      </c>
      <c r="AN6" s="460">
        <f t="shared" si="24"/>
        <v>12</v>
      </c>
      <c r="AP6">
        <f t="shared" si="25"/>
        <v>10</v>
      </c>
      <c r="AQ6" s="460">
        <f t="shared" si="26"/>
        <v>12</v>
      </c>
      <c r="AR6" s="460"/>
      <c r="AS6" s="5">
        <f t="shared" ref="AS6:AS69" si="101">1/AN6*1000</f>
        <v>83.333333333333329</v>
      </c>
      <c r="AT6" s="5">
        <f t="shared" si="27"/>
        <v>0.9286344430514929</v>
      </c>
      <c r="AU6" s="5">
        <f t="shared" ref="AU6:AU69" si="102">AS6-AT6</f>
        <v>82.404698890281836</v>
      </c>
      <c r="AV6" s="5">
        <f t="shared" si="28"/>
        <v>1.358754543568107</v>
      </c>
      <c r="AW6" s="173">
        <f t="shared" ref="AW6:AW69" si="103">AT6/AS6</f>
        <v>1.1143613316617916E-2</v>
      </c>
      <c r="AX6" s="173">
        <f t="shared" si="29"/>
        <v>0.29629629629629634</v>
      </c>
      <c r="AY6" s="173">
        <f t="shared" si="30"/>
        <v>0.73285245546423983</v>
      </c>
      <c r="AZ6" s="173">
        <f t="shared" ref="AZ6:AZ69" si="104">AX6/AY6</f>
        <v>0.40430552437543738</v>
      </c>
      <c r="BA6" s="460">
        <f t="shared" si="31"/>
        <v>3.8693101793812204E-2</v>
      </c>
      <c r="BB6" s="5">
        <f t="shared" si="32"/>
        <v>0.68871457492922539</v>
      </c>
      <c r="BC6" s="5"/>
      <c r="BD6" s="173">
        <f t="shared" ref="BD6:BD69" si="105">AJ6*SQRT(AW6/3)</f>
        <v>0.13543779533776906</v>
      </c>
      <c r="BE6" s="173">
        <f t="shared" si="33"/>
        <v>0.85097990383604938</v>
      </c>
      <c r="BF6" s="173"/>
      <c r="BG6" s="528">
        <f t="shared" si="34"/>
        <v>7.3373585623821684E-4</v>
      </c>
      <c r="BH6" s="528">
        <f t="shared" si="35"/>
        <v>2.4212908002000003E-2</v>
      </c>
      <c r="BI6" s="528">
        <f t="shared" si="36"/>
        <v>1.1486399999999999E-2</v>
      </c>
      <c r="BJ6" s="528">
        <f t="shared" si="37"/>
        <v>3.419878664494341E-3</v>
      </c>
      <c r="BK6">
        <f t="shared" si="38"/>
        <v>1.07685E-2</v>
      </c>
      <c r="BL6" s="460">
        <f t="shared" ref="BL6:BL69" si="106">(BK6+BI6)*1000</f>
        <v>22.254900000000003</v>
      </c>
      <c r="BM6" s="528">
        <f t="shared" si="39"/>
        <v>2.8569611905477039E-2</v>
      </c>
      <c r="BN6" s="460">
        <f t="shared" ref="BN6:BN69" si="107">BM6*1000</f>
        <v>28.569611905477039</v>
      </c>
      <c r="BO6" s="528">
        <f t="shared" ref="BO6:BO36" si="108">Vfwd2*F6*(1+Diode_TC/1000*(Ta-25))</f>
        <v>8.6799999999999985E-3</v>
      </c>
      <c r="BP6" s="528"/>
      <c r="BR6" s="460">
        <f t="shared" ref="BR6:BR69" si="109">SUM(BO6:BQ6)*1000</f>
        <v>8.6799999999999979</v>
      </c>
      <c r="BS6" s="528">
        <f t="shared" si="40"/>
        <v>5.5030189217866255E-4</v>
      </c>
      <c r="BT6" s="528">
        <f t="shared" si="41"/>
        <v>2.1725003901984355E-2</v>
      </c>
      <c r="BU6" s="528">
        <f t="shared" si="42"/>
        <v>3.5999999999999999E-3</v>
      </c>
      <c r="BV6" s="528">
        <f t="shared" si="43"/>
        <v>3.1277115770213422E-2</v>
      </c>
      <c r="BW6" s="528">
        <f t="shared" si="44"/>
        <v>1.1851851851851855E-2</v>
      </c>
      <c r="BX6" s="460">
        <f t="shared" ref="BX6:BX69" si="110">1000*(BV6+BW6)</f>
        <v>43.128967622065275</v>
      </c>
      <c r="BY6" s="173">
        <f t="shared" si="45"/>
        <v>0.1026334795275423</v>
      </c>
      <c r="BZ6" s="5">
        <f t="shared" ref="BZ6:BZ69" si="111">MIN(H6,O6)</f>
        <v>0.24</v>
      </c>
      <c r="CA6" s="173">
        <f t="shared" ref="CA6:CA69" si="112">BZ6/(BZ6+BY6)</f>
        <v>0.70045694405268355</v>
      </c>
      <c r="CB6" s="5">
        <f t="shared" ref="CB6:CB69" si="113">CA6*100</f>
        <v>70.04569440526835</v>
      </c>
      <c r="CE6" s="562">
        <f t="shared" si="46"/>
        <v>-50</v>
      </c>
      <c r="CF6">
        <f t="shared" si="47"/>
        <v>-50</v>
      </c>
      <c r="CG6" s="173">
        <f t="shared" si="48"/>
        <v>1.4992503748125939E-2</v>
      </c>
      <c r="CI6" s="170">
        <v>1</v>
      </c>
      <c r="CJ6" s="217">
        <f t="shared" ref="CJ6:CJ69" si="114">IF(PLOT_TYPE=1, CI6/100*Iout_max, min_I*EXP(CR6*rr/100))</f>
        <v>0.01</v>
      </c>
      <c r="CK6" s="217"/>
      <c r="CL6" s="217">
        <f t="shared" si="49"/>
        <v>0.24</v>
      </c>
      <c r="CM6" s="541">
        <f t="shared" si="50"/>
        <v>24</v>
      </c>
      <c r="CN6" s="172">
        <f t="shared" si="51"/>
        <v>16.3415</v>
      </c>
      <c r="CO6" s="443">
        <f t="shared" si="52"/>
        <v>40.341499999999996</v>
      </c>
      <c r="CP6" s="443"/>
      <c r="CQ6" s="217">
        <f t="shared" si="53"/>
        <v>0.40507913686898112</v>
      </c>
      <c r="CR6" s="172">
        <f t="shared" si="54"/>
        <v>54.360539956785601</v>
      </c>
      <c r="CS6" s="172">
        <f t="shared" ref="CS6:CS69" si="115">CX6*CJ6</f>
        <v>0.24</v>
      </c>
      <c r="CT6" s="217">
        <f t="shared" si="55"/>
        <v>2.2650224981994</v>
      </c>
      <c r="CU6" s="217">
        <f t="shared" si="56"/>
        <v>24</v>
      </c>
      <c r="CV6" s="217">
        <f t="shared" si="57"/>
        <v>2.250439649272117</v>
      </c>
      <c r="CW6" s="172">
        <f t="shared" si="58"/>
        <v>13297.352677263369</v>
      </c>
      <c r="CX6" s="172">
        <f t="shared" si="59"/>
        <v>24</v>
      </c>
      <c r="CY6" s="217">
        <f t="shared" si="60"/>
        <v>4.9373068567756938E-2</v>
      </c>
      <c r="CZ6" s="217">
        <f t="shared" si="61"/>
        <v>2.0572111903232059E-2</v>
      </c>
      <c r="DA6" s="217">
        <f t="shared" si="62"/>
        <v>3.0213302675860199E-2</v>
      </c>
      <c r="DB6" s="197">
        <f t="shared" si="63"/>
        <v>350</v>
      </c>
      <c r="DC6" s="443">
        <f t="shared" ref="DC6:DC69" si="116">MIN(1/(CZ6+DA6)*1000, 350)</f>
        <v>350</v>
      </c>
      <c r="DE6" s="217">
        <f t="shared" si="64"/>
        <v>2.7776855099587272</v>
      </c>
      <c r="DF6" s="173">
        <f t="shared" si="65"/>
        <v>1.6997738946600542</v>
      </c>
      <c r="DG6" s="173">
        <f t="shared" si="66"/>
        <v>0.55110977087390545</v>
      </c>
      <c r="DH6" s="173"/>
      <c r="DI6" s="173">
        <f t="shared" si="67"/>
        <v>1.3598642855443031</v>
      </c>
      <c r="DJ6" s="545">
        <f t="shared" ref="DJ6:DJ69" si="117">MAX(12, CJ6/(0.5*DI6/1000000*Isw_min*Nps)/1000)</f>
        <v>12</v>
      </c>
      <c r="DK6" s="528">
        <f t="shared" si="68"/>
        <v>0.35273368606701955</v>
      </c>
      <c r="DM6" s="173">
        <f t="shared" si="69"/>
        <v>0.37416573867739411</v>
      </c>
      <c r="DN6" s="173">
        <f t="shared" si="70"/>
        <v>2.2222222222222223</v>
      </c>
      <c r="DO6" s="173">
        <f t="shared" si="71"/>
        <v>1.0068571428571429</v>
      </c>
      <c r="DQ6" s="545">
        <f t="shared" si="72"/>
        <v>10</v>
      </c>
      <c r="DR6" s="460">
        <f t="shared" si="73"/>
        <v>12</v>
      </c>
      <c r="DT6">
        <f t="shared" si="74"/>
        <v>10</v>
      </c>
      <c r="DU6" s="460">
        <f t="shared" si="75"/>
        <v>12</v>
      </c>
      <c r="DV6" s="460"/>
      <c r="DW6" s="5">
        <f t="shared" ref="DW6:DW69" si="118">1/DR6*1000</f>
        <v>83.333333333333329</v>
      </c>
      <c r="DX6" s="5">
        <f t="shared" si="76"/>
        <v>0.92592592592592615</v>
      </c>
      <c r="DY6" s="5">
        <f t="shared" ref="DY6:DY69" si="119">DW6-DX6</f>
        <v>82.407407407407405</v>
      </c>
      <c r="DZ6" s="5">
        <f t="shared" si="77"/>
        <v>1.3598642855443031</v>
      </c>
      <c r="EA6" s="173">
        <f t="shared" ref="EA6:EA69" si="120">DX6/DW6</f>
        <v>1.1111111111111115E-2</v>
      </c>
      <c r="EB6" s="173">
        <f t="shared" si="78"/>
        <v>0.29629629629629634</v>
      </c>
      <c r="EC6" s="173">
        <f t="shared" si="79"/>
        <v>0.73287654320987661</v>
      </c>
      <c r="ED6" s="173">
        <f t="shared" ref="ED6:ED69" si="121">EB6/EC6</f>
        <v>0.40429223590451968</v>
      </c>
      <c r="EE6" s="460">
        <f t="shared" si="80"/>
        <v>3.8580246913580259E-2</v>
      </c>
      <c r="EF6" s="5">
        <f t="shared" si="81"/>
        <v>0.68672839506172834</v>
      </c>
      <c r="EG6" s="5"/>
      <c r="EH6" s="173">
        <f t="shared" ref="EH6:EH69" si="122">DN6*SQRT(EA6/3)</f>
        <v>0.13524013765559662</v>
      </c>
      <c r="EI6" s="173">
        <f t="shared" si="82"/>
        <v>0.85099388892873729</v>
      </c>
      <c r="EJ6" s="173"/>
      <c r="EK6" s="528">
        <f t="shared" si="83"/>
        <v>7.3159579332418893E-4</v>
      </c>
      <c r="EL6" s="528">
        <f t="shared" si="84"/>
        <v>2.9583766666666667E-2</v>
      </c>
      <c r="EM6" s="528">
        <f t="shared" si="85"/>
        <v>2.3999999999999998E-3</v>
      </c>
      <c r="EN6" s="528">
        <f t="shared" si="86"/>
        <v>3.4176169067249994E-3</v>
      </c>
      <c r="EO6">
        <f t="shared" si="87"/>
        <v>1.0800000000000001E-2</v>
      </c>
      <c r="EP6" s="460">
        <f t="shared" ref="EP6:EP69" si="123">(EO6+EM6)*1000</f>
        <v>13.2</v>
      </c>
      <c r="EQ6" s="528">
        <f t="shared" si="88"/>
        <v>4.7138704218016962E-2</v>
      </c>
      <c r="ER6" s="460">
        <f t="shared" ref="ER6:ER69" si="124">EQ6*1000</f>
        <v>47.138704218016962</v>
      </c>
      <c r="ES6" s="528">
        <f t="shared" ref="ES6:ES69" si="125">Vfwd2*CJ6*(1+Diode_TC/1000*(Ta-25))</f>
        <v>8.6799999999999985E-3</v>
      </c>
      <c r="ET6" s="528"/>
      <c r="EV6" s="460">
        <f t="shared" ref="EV6:EV69" si="126">SUM(ES6:EU6)*1000</f>
        <v>8.6799999999999979</v>
      </c>
      <c r="EW6" s="528">
        <f t="shared" si="89"/>
        <v>5.4869684499314164E-4</v>
      </c>
      <c r="EX6" s="528">
        <f t="shared" si="90"/>
        <v>2.172571796982168E-2</v>
      </c>
      <c r="EY6" s="528">
        <f t="shared" si="91"/>
        <v>1.8360809937575901E-4</v>
      </c>
      <c r="EZ6" s="528">
        <f t="shared" si="92"/>
        <v>2.7853516131535336E-2</v>
      </c>
      <c r="FA6" s="528">
        <f t="shared" si="93"/>
        <v>1.1851851851851855E-2</v>
      </c>
      <c r="FB6" s="460">
        <f t="shared" ref="FB6:FB69" si="127">1000*(EZ6+FA6)</f>
        <v>39.705367983387191</v>
      </c>
      <c r="FC6" s="173">
        <f t="shared" ref="FC6:FC69" si="128">SUM(EQ6,ES6:EU6,EZ6, FA6)</f>
        <v>9.5524072201404145E-2</v>
      </c>
      <c r="FD6" s="5">
        <f t="shared" ref="FD6:FD69" si="129">MIN(CL6,CS6)</f>
        <v>0.24</v>
      </c>
      <c r="FE6" s="173">
        <f t="shared" ref="FE6:FE69" si="130">FD6/(FD6+FC6)</f>
        <v>0.7152989006879239</v>
      </c>
      <c r="FF6" s="5">
        <f t="shared" ref="FF6:FF69" si="131">FE6*100</f>
        <v>71.529890068792383</v>
      </c>
      <c r="FI6" s="562">
        <f t="shared" si="94"/>
        <v>-50</v>
      </c>
      <c r="FJ6">
        <f t="shared" si="95"/>
        <v>-50</v>
      </c>
      <c r="FL6">
        <f t="shared" si="96"/>
        <v>1.483873041395483E-2</v>
      </c>
    </row>
    <row r="7" spans="2:168">
      <c r="E7" s="170">
        <v>2</v>
      </c>
      <c r="F7" s="217">
        <f t="shared" si="97"/>
        <v>0.02</v>
      </c>
      <c r="G7" s="217"/>
      <c r="H7" s="217">
        <f t="shared" si="0"/>
        <v>0.48</v>
      </c>
      <c r="I7" s="541">
        <f t="shared" si="1"/>
        <v>23.92301996410805</v>
      </c>
      <c r="J7" s="172">
        <f t="shared" si="2"/>
        <v>16.356177530509115</v>
      </c>
      <c r="K7" s="172">
        <f t="shared" si="3"/>
        <v>40.356177530509115</v>
      </c>
      <c r="L7" s="443"/>
      <c r="M7" s="217">
        <f t="shared" si="4"/>
        <v>0.40607233723486735</v>
      </c>
      <c r="N7" s="172">
        <f t="shared" si="5"/>
        <v>54.319035772820321</v>
      </c>
      <c r="O7" s="172">
        <f t="shared" si="98"/>
        <v>0.48</v>
      </c>
      <c r="P7" s="217">
        <f t="shared" si="6"/>
        <v>2.2632931572008466</v>
      </c>
      <c r="Q7" s="217">
        <f t="shared" si="7"/>
        <v>24</v>
      </c>
      <c r="R7" s="217">
        <f t="shared" si="8"/>
        <v>2.2487214422550341</v>
      </c>
      <c r="S7" s="172">
        <f t="shared" si="9"/>
        <v>6609.4194398042973</v>
      </c>
      <c r="T7" s="172">
        <f t="shared" si="10"/>
        <v>24</v>
      </c>
      <c r="U7" s="217">
        <f t="shared" si="99"/>
        <v>0.10097191754514849</v>
      </c>
      <c r="V7" s="217">
        <f t="shared" si="11"/>
        <v>4.22070113625444E-2</v>
      </c>
      <c r="W7" s="217">
        <f t="shared" si="12"/>
        <v>6.1733199799773493E-2</v>
      </c>
      <c r="X7" s="197">
        <f t="shared" si="13"/>
        <v>350</v>
      </c>
      <c r="Y7" s="443">
        <f t="shared" si="14"/>
        <v>350</v>
      </c>
      <c r="AA7" s="217">
        <f t="shared" si="15"/>
        <v>2.7755494217307022</v>
      </c>
      <c r="AB7" s="173">
        <f t="shared" si="16"/>
        <v>1.6969425873212007</v>
      </c>
      <c r="AC7" s="173">
        <f t="shared" si="17"/>
        <v>0.54976868227843745</v>
      </c>
      <c r="AD7" s="173"/>
      <c r="AE7" s="173">
        <f t="shared" si="18"/>
        <v>1.3586439851714256</v>
      </c>
      <c r="AF7" s="545">
        <f t="shared" si="100"/>
        <v>19.862824287424854</v>
      </c>
      <c r="AG7" s="528">
        <f t="shared" si="19"/>
        <v>0.35241715370918814</v>
      </c>
      <c r="AI7" s="173">
        <f t="shared" si="20"/>
        <v>0.52938784370647907</v>
      </c>
      <c r="AJ7" s="173">
        <f t="shared" si="21"/>
        <v>2.2222222222222223</v>
      </c>
      <c r="AK7" s="173">
        <f t="shared" si="22"/>
        <v>1.0113501853070999</v>
      </c>
      <c r="AM7" s="545">
        <f t="shared" si="23"/>
        <v>20</v>
      </c>
      <c r="AN7" s="460">
        <f t="shared" si="24"/>
        <v>19.862824287424854</v>
      </c>
      <c r="AP7">
        <f t="shared" si="25"/>
        <v>20</v>
      </c>
      <c r="AQ7" s="460">
        <f t="shared" si="26"/>
        <v>19.862824287424854</v>
      </c>
      <c r="AR7" s="460"/>
      <c r="AS7" s="5">
        <f t="shared" si="101"/>
        <v>50.345307672741157</v>
      </c>
      <c r="AT7" s="5">
        <f t="shared" si="27"/>
        <v>0.92890539135788264</v>
      </c>
      <c r="AU7" s="5">
        <f t="shared" si="102"/>
        <v>49.416402281383277</v>
      </c>
      <c r="AV7" s="5">
        <f t="shared" si="28"/>
        <v>1.3586439851714256</v>
      </c>
      <c r="AW7" s="173">
        <f t="shared" si="103"/>
        <v>1.8450684568183242E-2</v>
      </c>
      <c r="AX7" s="173">
        <f t="shared" si="29"/>
        <v>0.49044010586234221</v>
      </c>
      <c r="AY7" s="173">
        <f t="shared" si="30"/>
        <v>0.72743710377002424</v>
      </c>
      <c r="AZ7" s="173">
        <f t="shared" si="104"/>
        <v>0.67420276381364308</v>
      </c>
      <c r="BA7" s="460">
        <f t="shared" si="31"/>
        <v>7.7408782613156896E-2</v>
      </c>
      <c r="BB7" s="5">
        <f t="shared" si="32"/>
        <v>0.82625692501236381</v>
      </c>
      <c r="BC7" s="5"/>
      <c r="BD7" s="173">
        <f t="shared" si="105"/>
        <v>0.17427420127941298</v>
      </c>
      <c r="BE7" s="173">
        <f t="shared" si="33"/>
        <v>0.8478299516911405</v>
      </c>
      <c r="BF7" s="173"/>
      <c r="BG7" s="528">
        <f t="shared" si="34"/>
        <v>1.2148598892630939E-3</v>
      </c>
      <c r="BH7" s="528">
        <f t="shared" si="35"/>
        <v>4.0079383160031283E-2</v>
      </c>
      <c r="BI7" s="528">
        <f t="shared" si="36"/>
        <v>1.9007149678865402E-2</v>
      </c>
      <c r="BJ7" s="528">
        <f t="shared" si="37"/>
        <v>5.6610774574183181E-3</v>
      </c>
      <c r="BK7">
        <f t="shared" si="38"/>
        <v>1.0765358983848622E-2</v>
      </c>
      <c r="BL7" s="460">
        <f t="shared" si="106"/>
        <v>29.772508662714024</v>
      </c>
      <c r="BM7" s="528">
        <f t="shared" si="39"/>
        <v>4.7296984985095825E-2</v>
      </c>
      <c r="BN7" s="460">
        <f t="shared" si="107"/>
        <v>47.296984985095825</v>
      </c>
      <c r="BO7" s="528">
        <f t="shared" si="108"/>
        <v>1.7359999999999997E-2</v>
      </c>
      <c r="BP7" s="528"/>
      <c r="BR7" s="460">
        <f t="shared" si="109"/>
        <v>17.359999999999996</v>
      </c>
      <c r="BS7" s="528">
        <f t="shared" si="40"/>
        <v>9.1114491694732039E-4</v>
      </c>
      <c r="BT7" s="528">
        <f t="shared" si="41"/>
        <v>2.1564468809538048E-2</v>
      </c>
      <c r="BU7" s="528">
        <f t="shared" si="42"/>
        <v>7.1999999999999998E-3</v>
      </c>
      <c r="BV7" s="528">
        <f t="shared" si="43"/>
        <v>3.5132931757101984E-2</v>
      </c>
      <c r="BW7" s="528">
        <f t="shared" si="44"/>
        <v>1.9617604234493685E-2</v>
      </c>
      <c r="BX7" s="460">
        <f t="shared" si="110"/>
        <v>54.750535991595669</v>
      </c>
      <c r="BY7" s="173">
        <f t="shared" si="45"/>
        <v>0.14918002963940552</v>
      </c>
      <c r="BZ7" s="5">
        <f t="shared" si="111"/>
        <v>0.48</v>
      </c>
      <c r="CA7" s="173">
        <f t="shared" si="112"/>
        <v>0.76289770397686774</v>
      </c>
      <c r="CB7" s="5">
        <f t="shared" si="113"/>
        <v>76.28977039768678</v>
      </c>
      <c r="CE7" s="562">
        <f t="shared" si="46"/>
        <v>-50</v>
      </c>
      <c r="CF7">
        <f t="shared" si="47"/>
        <v>-50</v>
      </c>
      <c r="CG7" s="173">
        <f t="shared" si="48"/>
        <v>2.7266167135641992E-2</v>
      </c>
      <c r="CI7" s="170">
        <v>2</v>
      </c>
      <c r="CJ7" s="217">
        <f t="shared" si="114"/>
        <v>0.02</v>
      </c>
      <c r="CK7" s="217"/>
      <c r="CL7" s="217">
        <f t="shared" si="49"/>
        <v>0.48</v>
      </c>
      <c r="CM7" s="541">
        <f t="shared" si="50"/>
        <v>24</v>
      </c>
      <c r="CN7" s="172">
        <f t="shared" si="51"/>
        <v>16.3415</v>
      </c>
      <c r="CO7" s="443">
        <f t="shared" si="52"/>
        <v>40.341499999999996</v>
      </c>
      <c r="CP7" s="443"/>
      <c r="CQ7" s="217">
        <f t="shared" si="53"/>
        <v>0.40507913686898112</v>
      </c>
      <c r="CR7" s="172">
        <f t="shared" si="54"/>
        <v>54.360539956785601</v>
      </c>
      <c r="CS7" s="172">
        <f t="shared" si="115"/>
        <v>0.48</v>
      </c>
      <c r="CT7" s="217">
        <f t="shared" si="55"/>
        <v>2.2650224981994</v>
      </c>
      <c r="CU7" s="217">
        <f t="shared" si="56"/>
        <v>24</v>
      </c>
      <c r="CV7" s="217">
        <f t="shared" si="57"/>
        <v>2.250439649272117</v>
      </c>
      <c r="CW7" s="172">
        <f t="shared" si="58"/>
        <v>6630.6873707606137</v>
      </c>
      <c r="CX7" s="172">
        <f t="shared" si="59"/>
        <v>24</v>
      </c>
      <c r="CY7" s="217">
        <f t="shared" si="60"/>
        <v>9.8746137135513876E-2</v>
      </c>
      <c r="CZ7" s="217">
        <f t="shared" si="61"/>
        <v>4.1144223806464118E-2</v>
      </c>
      <c r="DA7" s="217">
        <f t="shared" si="62"/>
        <v>6.0426605351720397E-2</v>
      </c>
      <c r="DB7" s="197">
        <f t="shared" si="63"/>
        <v>350</v>
      </c>
      <c r="DC7" s="443">
        <f t="shared" si="116"/>
        <v>350</v>
      </c>
      <c r="DE7" s="217">
        <f t="shared" si="64"/>
        <v>2.7776855099587272</v>
      </c>
      <c r="DF7" s="173">
        <f t="shared" si="65"/>
        <v>1.6997738946600542</v>
      </c>
      <c r="DG7" s="173">
        <f t="shared" si="66"/>
        <v>0.55110977087390545</v>
      </c>
      <c r="DH7" s="173"/>
      <c r="DI7" s="173">
        <f t="shared" si="67"/>
        <v>1.3598642855443031</v>
      </c>
      <c r="DJ7" s="545">
        <f t="shared" si="117"/>
        <v>19.844999999999992</v>
      </c>
      <c r="DK7" s="528">
        <f t="shared" si="68"/>
        <v>0.35273368606701955</v>
      </c>
      <c r="DM7" s="173">
        <f t="shared" si="69"/>
        <v>0.52915026221291805</v>
      </c>
      <c r="DN7" s="173">
        <f t="shared" si="70"/>
        <v>2.2222222222222223</v>
      </c>
      <c r="DO7" s="173">
        <f t="shared" si="71"/>
        <v>1.0113399999999999</v>
      </c>
      <c r="DQ7" s="545">
        <f t="shared" si="72"/>
        <v>20</v>
      </c>
      <c r="DR7" s="460">
        <f t="shared" si="73"/>
        <v>19.844999999999992</v>
      </c>
      <c r="DT7">
        <f t="shared" si="74"/>
        <v>20</v>
      </c>
      <c r="DU7" s="460">
        <f t="shared" si="75"/>
        <v>19.844999999999992</v>
      </c>
      <c r="DV7" s="460"/>
      <c r="DW7" s="5">
        <f t="shared" si="118"/>
        <v>50.390526581002796</v>
      </c>
      <c r="DX7" s="5">
        <f t="shared" si="76"/>
        <v>0.92592592592592615</v>
      </c>
      <c r="DY7" s="5">
        <f t="shared" si="119"/>
        <v>49.464600655076872</v>
      </c>
      <c r="DZ7" s="5">
        <f t="shared" si="77"/>
        <v>1.3598642855443031</v>
      </c>
      <c r="EA7" s="173">
        <f t="shared" si="120"/>
        <v>1.8374999999999996E-2</v>
      </c>
      <c r="EB7" s="173">
        <f t="shared" si="78"/>
        <v>0.48999999999999988</v>
      </c>
      <c r="EC7" s="173">
        <f t="shared" si="79"/>
        <v>0.72749319444444449</v>
      </c>
      <c r="ED7" s="173">
        <f t="shared" si="121"/>
        <v>0.67354581972989036</v>
      </c>
      <c r="EE7" s="460">
        <f t="shared" si="80"/>
        <v>7.7160493827160517E-2</v>
      </c>
      <c r="EF7" s="5">
        <f t="shared" si="81"/>
        <v>0.82441001091794774</v>
      </c>
      <c r="EG7" s="5"/>
      <c r="EH7" s="173">
        <f t="shared" si="122"/>
        <v>0.17391639824998362</v>
      </c>
      <c r="EI7" s="173">
        <f t="shared" si="82"/>
        <v>0.84786263797897032</v>
      </c>
      <c r="EJ7" s="173"/>
      <c r="EK7" s="528">
        <f t="shared" si="83"/>
        <v>1.2098765432098761E-3</v>
      </c>
      <c r="EL7" s="528">
        <f t="shared" si="84"/>
        <v>4.8924154124999987E-2</v>
      </c>
      <c r="EM7" s="528">
        <f t="shared" si="85"/>
        <v>3.9689999999999977E-3</v>
      </c>
      <c r="EN7" s="528">
        <f t="shared" si="86"/>
        <v>5.6518839594964657E-3</v>
      </c>
      <c r="EO7">
        <f t="shared" si="87"/>
        <v>1.0800000000000001E-2</v>
      </c>
      <c r="EP7" s="460">
        <f t="shared" si="123"/>
        <v>14.768999999999997</v>
      </c>
      <c r="EQ7" s="528">
        <f t="shared" si="88"/>
        <v>7.0901963245407276E-2</v>
      </c>
      <c r="ER7" s="460">
        <f t="shared" si="124"/>
        <v>70.901963245407273</v>
      </c>
      <c r="ES7" s="528">
        <f t="shared" si="125"/>
        <v>1.7359999999999997E-2</v>
      </c>
      <c r="ET7" s="528"/>
      <c r="EV7" s="460">
        <f t="shared" si="126"/>
        <v>17.359999999999996</v>
      </c>
      <c r="EW7" s="528">
        <f t="shared" si="89"/>
        <v>9.0740740740740701E-4</v>
      </c>
      <c r="EX7" s="528">
        <f t="shared" si="90"/>
        <v>2.1566131586419752E-2</v>
      </c>
      <c r="EY7" s="528">
        <f t="shared" si="91"/>
        <v>6.4575306770856618E-4</v>
      </c>
      <c r="EZ7" s="528">
        <f t="shared" si="92"/>
        <v>2.8564296686888164E-2</v>
      </c>
      <c r="FA7" s="528">
        <f t="shared" si="93"/>
        <v>1.9599999999999999E-2</v>
      </c>
      <c r="FB7" s="460">
        <f t="shared" si="127"/>
        <v>48.164296686888164</v>
      </c>
      <c r="FC7" s="173">
        <f t="shared" si="128"/>
        <v>0.13642625993229543</v>
      </c>
      <c r="FD7" s="5">
        <f t="shared" si="129"/>
        <v>0.48</v>
      </c>
      <c r="FE7" s="173">
        <f t="shared" si="130"/>
        <v>0.77868194656846768</v>
      </c>
      <c r="FF7" s="5">
        <f t="shared" si="131"/>
        <v>77.868194656846768</v>
      </c>
      <c r="FI7" s="562">
        <f t="shared" si="94"/>
        <v>-50</v>
      </c>
      <c r="FJ7">
        <f t="shared" si="95"/>
        <v>-50</v>
      </c>
      <c r="FL7">
        <f t="shared" si="96"/>
        <v>2.6986506746626684E-2</v>
      </c>
    </row>
    <row r="8" spans="2:168">
      <c r="E8" s="170">
        <v>3</v>
      </c>
      <c r="F8" s="217">
        <f t="shared" si="97"/>
        <v>0.03</v>
      </c>
      <c r="G8" s="217"/>
      <c r="H8" s="217">
        <f t="shared" si="0"/>
        <v>0.72</v>
      </c>
      <c r="I8" s="541">
        <f t="shared" si="1"/>
        <v>23.92301996410805</v>
      </c>
      <c r="J8" s="172">
        <f t="shared" si="2"/>
        <v>16.356177530509115</v>
      </c>
      <c r="K8" s="172">
        <f t="shared" si="3"/>
        <v>40.356177530509115</v>
      </c>
      <c r="L8" s="443"/>
      <c r="M8" s="217">
        <f t="shared" si="4"/>
        <v>0.40607233723486735</v>
      </c>
      <c r="N8" s="172">
        <f t="shared" si="5"/>
        <v>54.319035772820321</v>
      </c>
      <c r="O8" s="172">
        <f t="shared" si="98"/>
        <v>0.72</v>
      </c>
      <c r="P8" s="217">
        <f t="shared" si="6"/>
        <v>2.2632931572008466</v>
      </c>
      <c r="Q8" s="217">
        <f t="shared" si="7"/>
        <v>24</v>
      </c>
      <c r="R8" s="217">
        <f t="shared" si="8"/>
        <v>2.2487214422550341</v>
      </c>
      <c r="S8" s="172">
        <f t="shared" si="9"/>
        <v>4394.326366142026</v>
      </c>
      <c r="T8" s="172">
        <f t="shared" si="10"/>
        <v>24</v>
      </c>
      <c r="U8" s="217">
        <f t="shared" si="99"/>
        <v>0.15145787631772273</v>
      </c>
      <c r="V8" s="217">
        <f t="shared" si="11"/>
        <v>6.33105170438166E-2</v>
      </c>
      <c r="W8" s="217">
        <f t="shared" si="12"/>
        <v>9.2599799699660229E-2</v>
      </c>
      <c r="X8" s="197">
        <f t="shared" si="13"/>
        <v>350</v>
      </c>
      <c r="Y8" s="443">
        <f t="shared" si="14"/>
        <v>350</v>
      </c>
      <c r="AA8" s="217">
        <f t="shared" si="15"/>
        <v>2.7755494217307022</v>
      </c>
      <c r="AB8" s="173">
        <f t="shared" si="16"/>
        <v>1.6969425873212007</v>
      </c>
      <c r="AC8" s="173">
        <f t="shared" si="17"/>
        <v>0.54976868227843745</v>
      </c>
      <c r="AD8" s="173"/>
      <c r="AE8" s="173">
        <f t="shared" si="18"/>
        <v>1.3586439851714256</v>
      </c>
      <c r="AF8" s="545">
        <f t="shared" si="100"/>
        <v>29.794236431137282</v>
      </c>
      <c r="AG8" s="528">
        <f t="shared" si="19"/>
        <v>0.35241715370918814</v>
      </c>
      <c r="AI8" s="173">
        <f t="shared" si="20"/>
        <v>0.64836504655656235</v>
      </c>
      <c r="AJ8" s="173">
        <f t="shared" si="21"/>
        <v>2.2222222222222223</v>
      </c>
      <c r="AK8" s="173">
        <f t="shared" si="22"/>
        <v>1.0170252779606499</v>
      </c>
      <c r="AM8" s="545">
        <f t="shared" si="23"/>
        <v>30</v>
      </c>
      <c r="AN8" s="460">
        <f t="shared" si="24"/>
        <v>29.794236431137282</v>
      </c>
      <c r="AP8">
        <f t="shared" si="25"/>
        <v>30</v>
      </c>
      <c r="AQ8" s="460">
        <f t="shared" si="26"/>
        <v>29.794236431137282</v>
      </c>
      <c r="AR8" s="460"/>
      <c r="AS8" s="5">
        <f t="shared" si="101"/>
        <v>33.563538448494107</v>
      </c>
      <c r="AT8" s="5">
        <f t="shared" si="27"/>
        <v>0.92890539135788264</v>
      </c>
      <c r="AU8" s="5">
        <f t="shared" si="102"/>
        <v>32.634633057136227</v>
      </c>
      <c r="AV8" s="5">
        <f t="shared" si="28"/>
        <v>1.3586439851714256</v>
      </c>
      <c r="AW8" s="173">
        <f t="shared" si="103"/>
        <v>2.7676026852274861E-2</v>
      </c>
      <c r="AX8" s="173">
        <f t="shared" si="29"/>
        <v>0.73566015879351332</v>
      </c>
      <c r="AY8" s="173">
        <f t="shared" si="30"/>
        <v>0.72060010009948083</v>
      </c>
      <c r="AZ8" s="173">
        <f t="shared" si="104"/>
        <v>1.0208993291729398</v>
      </c>
      <c r="BA8" s="460">
        <f t="shared" si="31"/>
        <v>0.11611317391973532</v>
      </c>
      <c r="BB8" s="5">
        <f t="shared" si="32"/>
        <v>0.81849113797752016</v>
      </c>
      <c r="BC8" s="5"/>
      <c r="BD8" s="173">
        <f t="shared" si="105"/>
        <v>0.21344143423282658</v>
      </c>
      <c r="BE8" s="173">
        <f t="shared" si="33"/>
        <v>0.84383627231156177</v>
      </c>
      <c r="BF8" s="173"/>
      <c r="BG8" s="528">
        <f t="shared" si="34"/>
        <v>1.8222898338946414E-3</v>
      </c>
      <c r="BH8" s="528">
        <f t="shared" si="35"/>
        <v>6.0119074740046928E-2</v>
      </c>
      <c r="BI8" s="528">
        <f t="shared" si="36"/>
        <v>2.8510724518298107E-2</v>
      </c>
      <c r="BJ8" s="528">
        <f t="shared" si="37"/>
        <v>8.4916161861274785E-3</v>
      </c>
      <c r="BK8">
        <f t="shared" si="38"/>
        <v>1.0765358983848622E-2</v>
      </c>
      <c r="BL8" s="460">
        <f t="shared" si="106"/>
        <v>39.276083502146733</v>
      </c>
      <c r="BM8" s="528">
        <f t="shared" si="39"/>
        <v>7.0955721144117703E-2</v>
      </c>
      <c r="BN8" s="460">
        <f t="shared" si="107"/>
        <v>70.955721144117703</v>
      </c>
      <c r="BO8" s="528">
        <f t="shared" si="108"/>
        <v>2.6039999999999997E-2</v>
      </c>
      <c r="BP8" s="528"/>
      <c r="BR8" s="460">
        <f t="shared" si="109"/>
        <v>26.039999999999996</v>
      </c>
      <c r="BS8" s="528">
        <f t="shared" si="40"/>
        <v>1.3667173754209809E-3</v>
      </c>
      <c r="BT8" s="528">
        <f t="shared" si="41"/>
        <v>2.1361789634060168E-2</v>
      </c>
      <c r="BU8" s="528">
        <f t="shared" si="42"/>
        <v>1.0799999999999999E-2</v>
      </c>
      <c r="BV8" s="528">
        <f t="shared" si="43"/>
        <v>3.9054360476223397E-2</v>
      </c>
      <c r="BW8" s="528">
        <f t="shared" si="44"/>
        <v>2.9426406351740535E-2</v>
      </c>
      <c r="BX8" s="460">
        <f t="shared" si="110"/>
        <v>68.480766827963933</v>
      </c>
      <c r="BY8" s="173">
        <f t="shared" si="45"/>
        <v>0.20475257147422837</v>
      </c>
      <c r="BZ8" s="5">
        <f t="shared" si="111"/>
        <v>0.72</v>
      </c>
      <c r="CA8" s="173">
        <f t="shared" si="112"/>
        <v>0.77858664275156919</v>
      </c>
      <c r="CB8" s="5">
        <f t="shared" si="113"/>
        <v>77.858664275156926</v>
      </c>
      <c r="CE8" s="562">
        <f t="shared" si="46"/>
        <v>-50</v>
      </c>
      <c r="CF8">
        <f t="shared" si="47"/>
        <v>-50</v>
      </c>
      <c r="CG8" s="173">
        <f t="shared" si="48"/>
        <v>4.0899250703462987E-2</v>
      </c>
      <c r="CI8" s="170">
        <v>3</v>
      </c>
      <c r="CJ8" s="217">
        <f t="shared" si="114"/>
        <v>0.03</v>
      </c>
      <c r="CK8" s="217"/>
      <c r="CL8" s="217">
        <f t="shared" si="49"/>
        <v>0.72</v>
      </c>
      <c r="CM8" s="541">
        <f t="shared" si="50"/>
        <v>24</v>
      </c>
      <c r="CN8" s="172">
        <f t="shared" si="51"/>
        <v>16.3415</v>
      </c>
      <c r="CO8" s="443">
        <f t="shared" si="52"/>
        <v>40.341499999999996</v>
      </c>
      <c r="CP8" s="443"/>
      <c r="CQ8" s="217">
        <f t="shared" si="53"/>
        <v>0.40507913686898112</v>
      </c>
      <c r="CR8" s="172">
        <f t="shared" si="54"/>
        <v>54.360539956785601</v>
      </c>
      <c r="CS8" s="172">
        <f t="shared" si="115"/>
        <v>0.72</v>
      </c>
      <c r="CT8" s="217">
        <f t="shared" si="55"/>
        <v>2.2650224981994</v>
      </c>
      <c r="CU8" s="217">
        <f t="shared" si="56"/>
        <v>24</v>
      </c>
      <c r="CV8" s="217">
        <f t="shared" si="57"/>
        <v>2.250439649272117</v>
      </c>
      <c r="CW8" s="172">
        <f t="shared" si="58"/>
        <v>4408.4665159980759</v>
      </c>
      <c r="CX8" s="172">
        <f t="shared" si="59"/>
        <v>24</v>
      </c>
      <c r="CY8" s="217">
        <f t="shared" si="60"/>
        <v>0.14811920570327081</v>
      </c>
      <c r="CZ8" s="217">
        <f t="shared" si="61"/>
        <v>6.1716335709696167E-2</v>
      </c>
      <c r="DA8" s="217">
        <f t="shared" si="62"/>
        <v>9.0639908027580596E-2</v>
      </c>
      <c r="DB8" s="197">
        <f t="shared" si="63"/>
        <v>350</v>
      </c>
      <c r="DC8" s="443">
        <f t="shared" si="116"/>
        <v>350</v>
      </c>
      <c r="DE8" s="217">
        <f t="shared" si="64"/>
        <v>2.7776855099587272</v>
      </c>
      <c r="DF8" s="173">
        <f t="shared" si="65"/>
        <v>1.6997738946600542</v>
      </c>
      <c r="DG8" s="173">
        <f t="shared" si="66"/>
        <v>0.55110977087390545</v>
      </c>
      <c r="DH8" s="173"/>
      <c r="DI8" s="173">
        <f t="shared" si="67"/>
        <v>1.3598642855443031</v>
      </c>
      <c r="DJ8" s="545">
        <f t="shared" si="117"/>
        <v>29.767499999999988</v>
      </c>
      <c r="DK8" s="528">
        <f t="shared" si="68"/>
        <v>0.35273368606701955</v>
      </c>
      <c r="DM8" s="173">
        <f t="shared" si="69"/>
        <v>0.64807406984078597</v>
      </c>
      <c r="DN8" s="173">
        <f t="shared" si="70"/>
        <v>2.2222222222222223</v>
      </c>
      <c r="DO8" s="173">
        <f t="shared" si="71"/>
        <v>1.01701</v>
      </c>
      <c r="DQ8" s="545">
        <f t="shared" si="72"/>
        <v>30</v>
      </c>
      <c r="DR8" s="460">
        <f t="shared" si="73"/>
        <v>29.767499999999988</v>
      </c>
      <c r="DT8">
        <f t="shared" si="74"/>
        <v>30</v>
      </c>
      <c r="DU8" s="460">
        <f t="shared" si="75"/>
        <v>29.767499999999988</v>
      </c>
      <c r="DV8" s="460"/>
      <c r="DW8" s="5">
        <f t="shared" si="118"/>
        <v>33.593684387335195</v>
      </c>
      <c r="DX8" s="5">
        <f t="shared" si="76"/>
        <v>0.92592592592592615</v>
      </c>
      <c r="DY8" s="5">
        <f t="shared" si="119"/>
        <v>32.667758461409271</v>
      </c>
      <c r="DZ8" s="5">
        <f t="shared" si="77"/>
        <v>1.3598642855443031</v>
      </c>
      <c r="EA8" s="173">
        <f t="shared" si="120"/>
        <v>2.7562499999999997E-2</v>
      </c>
      <c r="EB8" s="173">
        <f t="shared" si="78"/>
        <v>0.73499999999999988</v>
      </c>
      <c r="EC8" s="173">
        <f t="shared" si="79"/>
        <v>0.7206842361111111</v>
      </c>
      <c r="ED8" s="173">
        <f t="shared" si="121"/>
        <v>1.019864127965582</v>
      </c>
      <c r="EE8" s="460">
        <f t="shared" si="80"/>
        <v>0.11574074074074076</v>
      </c>
      <c r="EF8" s="5">
        <f t="shared" si="81"/>
        <v>0.81669396153523155</v>
      </c>
      <c r="EG8" s="5"/>
      <c r="EH8" s="173">
        <f t="shared" si="122"/>
        <v>0.21300321680756459</v>
      </c>
      <c r="EI8" s="173">
        <f t="shared" si="82"/>
        <v>0.84388553329984106</v>
      </c>
      <c r="EJ8" s="173"/>
      <c r="EK8" s="528">
        <f t="shared" si="83"/>
        <v>1.8148148148148147E-3</v>
      </c>
      <c r="EL8" s="528">
        <f t="shared" si="84"/>
        <v>7.3386231187499984E-2</v>
      </c>
      <c r="EM8" s="528">
        <f t="shared" si="85"/>
        <v>5.953499999999997E-3</v>
      </c>
      <c r="EN8" s="528">
        <f t="shared" si="86"/>
        <v>8.477825939244699E-3</v>
      </c>
      <c r="EO8">
        <f t="shared" si="87"/>
        <v>1.0800000000000001E-2</v>
      </c>
      <c r="EP8" s="460">
        <f t="shared" si="123"/>
        <v>16.753499999999999</v>
      </c>
      <c r="EQ8" s="528">
        <f t="shared" si="88"/>
        <v>0.10096590844127938</v>
      </c>
      <c r="ER8" s="460">
        <f t="shared" si="124"/>
        <v>100.96590844127938</v>
      </c>
      <c r="ES8" s="528">
        <f t="shared" si="125"/>
        <v>2.6039999999999997E-2</v>
      </c>
      <c r="ET8" s="528"/>
      <c r="EV8" s="460">
        <f t="shared" si="126"/>
        <v>26.039999999999996</v>
      </c>
      <c r="EW8" s="528">
        <f t="shared" si="89"/>
        <v>1.3611111111111109E-3</v>
      </c>
      <c r="EX8" s="528">
        <f t="shared" si="90"/>
        <v>2.1364283799382714E-2</v>
      </c>
      <c r="EY8" s="528">
        <f t="shared" si="91"/>
        <v>1.7794862051882675E-3</v>
      </c>
      <c r="EZ8" s="528">
        <f t="shared" si="92"/>
        <v>3.0013541460789325E-2</v>
      </c>
      <c r="FA8" s="528">
        <f t="shared" si="93"/>
        <v>2.9399999999999996E-2</v>
      </c>
      <c r="FB8" s="460">
        <f t="shared" si="127"/>
        <v>59.413541460789325</v>
      </c>
      <c r="FC8" s="173">
        <f t="shared" si="128"/>
        <v>0.18641944990206871</v>
      </c>
      <c r="FD8" s="5">
        <f t="shared" si="129"/>
        <v>0.72</v>
      </c>
      <c r="FE8" s="173">
        <f t="shared" si="130"/>
        <v>0.79433423463915098</v>
      </c>
      <c r="FF8" s="5">
        <f t="shared" si="131"/>
        <v>79.433423463915105</v>
      </c>
      <c r="FI8" s="562">
        <f t="shared" si="94"/>
        <v>-50</v>
      </c>
      <c r="FJ8">
        <f t="shared" si="95"/>
        <v>-50</v>
      </c>
      <c r="FL8">
        <f t="shared" si="96"/>
        <v>4.047976011994002E-2</v>
      </c>
    </row>
    <row r="9" spans="2:168">
      <c r="E9" s="170">
        <v>4</v>
      </c>
      <c r="F9" s="217">
        <f t="shared" si="97"/>
        <v>0.04</v>
      </c>
      <c r="G9" s="217"/>
      <c r="H9" s="217">
        <f t="shared" si="0"/>
        <v>0.96</v>
      </c>
      <c r="I9" s="541">
        <f t="shared" si="1"/>
        <v>23.92301996410805</v>
      </c>
      <c r="J9" s="172">
        <f t="shared" si="2"/>
        <v>16.356177530509115</v>
      </c>
      <c r="K9" s="172">
        <f t="shared" si="3"/>
        <v>40.356177530509115</v>
      </c>
      <c r="L9" s="443"/>
      <c r="M9" s="217">
        <f t="shared" si="4"/>
        <v>0.40607233723486735</v>
      </c>
      <c r="N9" s="172">
        <f t="shared" si="5"/>
        <v>54.319035772820321</v>
      </c>
      <c r="O9" s="172">
        <f t="shared" si="98"/>
        <v>0.96</v>
      </c>
      <c r="P9" s="217">
        <f t="shared" si="6"/>
        <v>2.2632931572008466</v>
      </c>
      <c r="Q9" s="217">
        <f t="shared" si="7"/>
        <v>24</v>
      </c>
      <c r="R9" s="217">
        <f t="shared" si="8"/>
        <v>2.2487214422550341</v>
      </c>
      <c r="S9" s="172">
        <f t="shared" si="9"/>
        <v>3286.7805203937328</v>
      </c>
      <c r="T9" s="172">
        <f t="shared" si="10"/>
        <v>24</v>
      </c>
      <c r="U9" s="217">
        <f t="shared" si="99"/>
        <v>0.20194383509029698</v>
      </c>
      <c r="V9" s="217">
        <f t="shared" si="11"/>
        <v>8.44140227250888E-2</v>
      </c>
      <c r="W9" s="217">
        <f t="shared" si="12"/>
        <v>0.12346639959954699</v>
      </c>
      <c r="X9" s="197">
        <f t="shared" si="13"/>
        <v>350</v>
      </c>
      <c r="Y9" s="443">
        <f t="shared" si="14"/>
        <v>350</v>
      </c>
      <c r="AA9" s="217">
        <f t="shared" si="15"/>
        <v>2.7755494217307022</v>
      </c>
      <c r="AB9" s="173">
        <f t="shared" si="16"/>
        <v>1.6969425873212007</v>
      </c>
      <c r="AC9" s="173">
        <f t="shared" si="17"/>
        <v>0.54976868227843745</v>
      </c>
      <c r="AD9" s="173"/>
      <c r="AE9" s="173">
        <f t="shared" si="18"/>
        <v>1.3586439851714256</v>
      </c>
      <c r="AF9" s="545">
        <f t="shared" si="100"/>
        <v>39.725648574849707</v>
      </c>
      <c r="AG9" s="528">
        <f t="shared" si="19"/>
        <v>0.35241715370918814</v>
      </c>
      <c r="AI9" s="173">
        <f t="shared" si="20"/>
        <v>0.74866746832515108</v>
      </c>
      <c r="AJ9" s="173">
        <f t="shared" si="21"/>
        <v>2.2222222222222223</v>
      </c>
      <c r="AK9" s="173">
        <f t="shared" si="22"/>
        <v>1.0227003706141999</v>
      </c>
      <c r="AM9" s="545">
        <f t="shared" si="23"/>
        <v>40</v>
      </c>
      <c r="AN9" s="460">
        <f t="shared" si="24"/>
        <v>39.725648574849707</v>
      </c>
      <c r="AP9">
        <f t="shared" si="25"/>
        <v>40</v>
      </c>
      <c r="AQ9" s="460">
        <f t="shared" si="26"/>
        <v>39.725648574849707</v>
      </c>
      <c r="AR9" s="460"/>
      <c r="AS9" s="5">
        <f t="shared" si="101"/>
        <v>25.172653836370579</v>
      </c>
      <c r="AT9" s="5">
        <f t="shared" si="27"/>
        <v>0.92890539135788264</v>
      </c>
      <c r="AU9" s="5">
        <f t="shared" si="102"/>
        <v>24.243748445012695</v>
      </c>
      <c r="AV9" s="5">
        <f t="shared" si="28"/>
        <v>1.3586439851714256</v>
      </c>
      <c r="AW9" s="173">
        <f t="shared" si="103"/>
        <v>3.6901369136366484E-2</v>
      </c>
      <c r="AX9" s="173">
        <f t="shared" si="29"/>
        <v>0.98088021172468443</v>
      </c>
      <c r="AY9" s="173">
        <f t="shared" si="30"/>
        <v>0.71376309642893743</v>
      </c>
      <c r="AZ9" s="173">
        <f t="shared" si="104"/>
        <v>1.3742377780977659</v>
      </c>
      <c r="BA9" s="460">
        <f t="shared" si="31"/>
        <v>0.15481756522631379</v>
      </c>
      <c r="BB9" s="5">
        <f t="shared" si="32"/>
        <v>0.8107253509426765</v>
      </c>
      <c r="BC9" s="5"/>
      <c r="BD9" s="173">
        <f t="shared" si="105"/>
        <v>0.24646093902108446</v>
      </c>
      <c r="BE9" s="173">
        <f t="shared" si="33"/>
        <v>0.83982360168832038</v>
      </c>
      <c r="BF9" s="173"/>
      <c r="BG9" s="528">
        <f t="shared" si="34"/>
        <v>2.4297197785261883E-3</v>
      </c>
      <c r="BH9" s="528">
        <f t="shared" si="35"/>
        <v>8.0158766320062566E-2</v>
      </c>
      <c r="BI9" s="528">
        <f t="shared" si="36"/>
        <v>3.8014299357730805E-2</v>
      </c>
      <c r="BJ9" s="528">
        <f t="shared" si="37"/>
        <v>1.1322154914836636E-2</v>
      </c>
      <c r="BK9">
        <f t="shared" si="38"/>
        <v>1.0765358983848622E-2</v>
      </c>
      <c r="BL9" s="460">
        <f t="shared" si="106"/>
        <v>48.779658341579427</v>
      </c>
      <c r="BM9" s="528">
        <f t="shared" si="39"/>
        <v>9.4621290358854998E-2</v>
      </c>
      <c r="BN9" s="460">
        <f t="shared" si="107"/>
        <v>94.621290358854992</v>
      </c>
      <c r="BO9" s="528">
        <f t="shared" si="108"/>
        <v>3.4719999999999994E-2</v>
      </c>
      <c r="BP9" s="528"/>
      <c r="BR9" s="460">
        <f t="shared" si="109"/>
        <v>34.719999999999992</v>
      </c>
      <c r="BS9" s="528">
        <f t="shared" si="40"/>
        <v>1.8222898338946412E-3</v>
      </c>
      <c r="BT9" s="528">
        <f t="shared" si="41"/>
        <v>2.1159110458582278E-2</v>
      </c>
      <c r="BU9" s="528">
        <f t="shared" si="42"/>
        <v>1.44E-2</v>
      </c>
      <c r="BV9" s="528">
        <f t="shared" si="43"/>
        <v>4.2975948160080615E-2</v>
      </c>
      <c r="BW9" s="528">
        <f t="shared" si="44"/>
        <v>3.923520846898737E-2</v>
      </c>
      <c r="BX9" s="460">
        <f t="shared" si="110"/>
        <v>82.211156629067986</v>
      </c>
      <c r="BY9" s="173">
        <f t="shared" si="45"/>
        <v>0.26033210532950241</v>
      </c>
      <c r="BZ9" s="5">
        <f t="shared" si="111"/>
        <v>0.96</v>
      </c>
      <c r="CA9" s="173">
        <f t="shared" si="112"/>
        <v>0.7866711002746174</v>
      </c>
      <c r="CB9" s="5">
        <f t="shared" si="113"/>
        <v>78.667110027461746</v>
      </c>
      <c r="CE9" s="562">
        <f t="shared" si="46"/>
        <v>-50</v>
      </c>
      <c r="CF9">
        <f t="shared" si="47"/>
        <v>-50</v>
      </c>
      <c r="CG9" s="173">
        <f t="shared" si="48"/>
        <v>5.4532334271283983E-2</v>
      </c>
      <c r="CI9" s="170">
        <v>4</v>
      </c>
      <c r="CJ9" s="217">
        <f t="shared" si="114"/>
        <v>0.04</v>
      </c>
      <c r="CK9" s="217"/>
      <c r="CL9" s="217">
        <f t="shared" si="49"/>
        <v>0.96</v>
      </c>
      <c r="CM9" s="541">
        <f t="shared" si="50"/>
        <v>24</v>
      </c>
      <c r="CN9" s="172">
        <f t="shared" si="51"/>
        <v>16.3415</v>
      </c>
      <c r="CO9" s="443">
        <f t="shared" si="52"/>
        <v>40.341499999999996</v>
      </c>
      <c r="CP9" s="443"/>
      <c r="CQ9" s="217">
        <f t="shared" si="53"/>
        <v>0.40507913686898112</v>
      </c>
      <c r="CR9" s="172">
        <f t="shared" si="54"/>
        <v>54.360539956785601</v>
      </c>
      <c r="CS9" s="172">
        <f t="shared" si="115"/>
        <v>0.96</v>
      </c>
      <c r="CT9" s="217">
        <f t="shared" si="55"/>
        <v>2.2650224981994</v>
      </c>
      <c r="CU9" s="217">
        <f t="shared" si="56"/>
        <v>24</v>
      </c>
      <c r="CV9" s="217">
        <f t="shared" si="57"/>
        <v>2.250439649272117</v>
      </c>
      <c r="CW9" s="172">
        <f t="shared" si="58"/>
        <v>3297.3567797004193</v>
      </c>
      <c r="CX9" s="172">
        <f t="shared" si="59"/>
        <v>24</v>
      </c>
      <c r="CY9" s="217">
        <f t="shared" si="60"/>
        <v>0.19749227427102775</v>
      </c>
      <c r="CZ9" s="217">
        <f t="shared" si="61"/>
        <v>8.2288447612928237E-2</v>
      </c>
      <c r="DA9" s="217">
        <f t="shared" si="62"/>
        <v>0.12085321070344079</v>
      </c>
      <c r="DB9" s="197">
        <f t="shared" si="63"/>
        <v>350</v>
      </c>
      <c r="DC9" s="443">
        <f t="shared" si="116"/>
        <v>350</v>
      </c>
      <c r="DE9" s="217">
        <f t="shared" si="64"/>
        <v>2.7776855099587272</v>
      </c>
      <c r="DF9" s="173">
        <f t="shared" si="65"/>
        <v>1.6997738946600542</v>
      </c>
      <c r="DG9" s="173">
        <f t="shared" si="66"/>
        <v>0.55110977087390545</v>
      </c>
      <c r="DH9" s="173"/>
      <c r="DI9" s="173">
        <f t="shared" si="67"/>
        <v>1.3598642855443031</v>
      </c>
      <c r="DJ9" s="545">
        <f t="shared" si="117"/>
        <v>39.689999999999984</v>
      </c>
      <c r="DK9" s="528">
        <f t="shared" si="68"/>
        <v>0.35273368606701955</v>
      </c>
      <c r="DM9" s="173">
        <f t="shared" si="69"/>
        <v>0.74833147735478822</v>
      </c>
      <c r="DN9" s="173">
        <f t="shared" si="70"/>
        <v>2.2222222222222223</v>
      </c>
      <c r="DO9" s="173">
        <f t="shared" si="71"/>
        <v>1.02268</v>
      </c>
      <c r="DQ9" s="545">
        <f t="shared" si="72"/>
        <v>40</v>
      </c>
      <c r="DR9" s="460">
        <f t="shared" si="73"/>
        <v>39.689999999999984</v>
      </c>
      <c r="DT9">
        <f t="shared" si="74"/>
        <v>40</v>
      </c>
      <c r="DU9" s="460">
        <f t="shared" si="75"/>
        <v>39.689999999999984</v>
      </c>
      <c r="DV9" s="460"/>
      <c r="DW9" s="5">
        <f t="shared" si="118"/>
        <v>25.195263290501398</v>
      </c>
      <c r="DX9" s="5">
        <f t="shared" si="76"/>
        <v>0.92592592592592615</v>
      </c>
      <c r="DY9" s="5">
        <f t="shared" si="119"/>
        <v>24.26933736457547</v>
      </c>
      <c r="DZ9" s="5">
        <f t="shared" si="77"/>
        <v>1.3598642855443031</v>
      </c>
      <c r="EA9" s="173">
        <f t="shared" si="120"/>
        <v>3.6749999999999991E-2</v>
      </c>
      <c r="EB9" s="173">
        <f t="shared" si="78"/>
        <v>0.97999999999999976</v>
      </c>
      <c r="EC9" s="173">
        <f t="shared" si="79"/>
        <v>0.71387527777777782</v>
      </c>
      <c r="ED9" s="173">
        <f t="shared" si="121"/>
        <v>1.3727888197090135</v>
      </c>
      <c r="EE9" s="460">
        <f t="shared" si="80"/>
        <v>0.15432098765432103</v>
      </c>
      <c r="EF9" s="5">
        <f t="shared" si="81"/>
        <v>0.80897791215251558</v>
      </c>
      <c r="EG9" s="5"/>
      <c r="EH9" s="173">
        <f t="shared" si="122"/>
        <v>0.24595492912420727</v>
      </c>
      <c r="EI9" s="173">
        <f t="shared" si="82"/>
        <v>0.83988959616419601</v>
      </c>
      <c r="EJ9" s="173"/>
      <c r="EK9" s="528">
        <f t="shared" si="83"/>
        <v>2.419753086419753E-3</v>
      </c>
      <c r="EL9" s="528">
        <f t="shared" si="84"/>
        <v>9.7848308249999974E-2</v>
      </c>
      <c r="EM9" s="528">
        <f t="shared" si="85"/>
        <v>7.9379999999999954E-3</v>
      </c>
      <c r="EN9" s="528">
        <f t="shared" si="86"/>
        <v>1.1303767918992931E-2</v>
      </c>
      <c r="EO9">
        <f t="shared" si="87"/>
        <v>1.0800000000000001E-2</v>
      </c>
      <c r="EP9" s="460">
        <f t="shared" si="123"/>
        <v>18.737999999999996</v>
      </c>
      <c r="EQ9" s="528">
        <f t="shared" si="88"/>
        <v>0.13103850099091571</v>
      </c>
      <c r="ER9" s="460">
        <f t="shared" si="124"/>
        <v>131.03850099091571</v>
      </c>
      <c r="ES9" s="528">
        <f t="shared" si="125"/>
        <v>3.4719999999999994E-2</v>
      </c>
      <c r="ET9" s="528"/>
      <c r="EV9" s="460">
        <f t="shared" si="126"/>
        <v>34.719999999999992</v>
      </c>
      <c r="EW9" s="528">
        <f t="shared" si="89"/>
        <v>1.8148148148148145E-3</v>
      </c>
      <c r="EX9" s="528">
        <f t="shared" si="90"/>
        <v>2.1162436012345687E-2</v>
      </c>
      <c r="EY9" s="528">
        <f t="shared" si="91"/>
        <v>3.6529309851899478E-3</v>
      </c>
      <c r="EZ9" s="528">
        <f t="shared" si="92"/>
        <v>3.2203918612114406E-2</v>
      </c>
      <c r="FA9" s="528">
        <f t="shared" si="93"/>
        <v>3.9199999999999999E-2</v>
      </c>
      <c r="FB9" s="460">
        <f t="shared" si="127"/>
        <v>71.403918612114396</v>
      </c>
      <c r="FC9" s="173">
        <f t="shared" si="128"/>
        <v>0.23716241960303014</v>
      </c>
      <c r="FD9" s="5">
        <f t="shared" si="129"/>
        <v>0.96</v>
      </c>
      <c r="FE9" s="173">
        <f t="shared" si="130"/>
        <v>0.80189620412435647</v>
      </c>
      <c r="FF9" s="5">
        <f t="shared" si="131"/>
        <v>80.189620412435644</v>
      </c>
      <c r="FI9" s="562">
        <f t="shared" si="94"/>
        <v>-50</v>
      </c>
      <c r="FJ9">
        <f t="shared" si="95"/>
        <v>-50</v>
      </c>
      <c r="FL9">
        <f t="shared" si="96"/>
        <v>5.3973013493253369E-2</v>
      </c>
    </row>
    <row r="10" spans="2:168">
      <c r="E10" s="170">
        <v>5</v>
      </c>
      <c r="F10" s="217">
        <f t="shared" si="97"/>
        <v>0.05</v>
      </c>
      <c r="G10" s="217"/>
      <c r="H10" s="217">
        <f t="shared" si="0"/>
        <v>1.2000000000000002</v>
      </c>
      <c r="I10" s="541">
        <f t="shared" si="1"/>
        <v>23.92301996410805</v>
      </c>
      <c r="J10" s="172">
        <f t="shared" si="2"/>
        <v>16.356177530509115</v>
      </c>
      <c r="K10" s="172">
        <f t="shared" si="3"/>
        <v>40.356177530509115</v>
      </c>
      <c r="L10" s="443"/>
      <c r="M10" s="217">
        <f t="shared" si="4"/>
        <v>0.40607233723486735</v>
      </c>
      <c r="N10" s="172">
        <f t="shared" si="5"/>
        <v>54.319035772820321</v>
      </c>
      <c r="O10" s="172">
        <f t="shared" si="98"/>
        <v>1.2000000000000002</v>
      </c>
      <c r="P10" s="217">
        <f t="shared" si="6"/>
        <v>2.2632931572008466</v>
      </c>
      <c r="Q10" s="217">
        <f t="shared" si="7"/>
        <v>24</v>
      </c>
      <c r="R10" s="217">
        <f t="shared" si="8"/>
        <v>2.2487214422550341</v>
      </c>
      <c r="S10" s="172">
        <f t="shared" si="9"/>
        <v>2622.2535702816822</v>
      </c>
      <c r="T10" s="172">
        <f t="shared" si="10"/>
        <v>24</v>
      </c>
      <c r="U10" s="217">
        <f t="shared" si="99"/>
        <v>0.25242979386287123</v>
      </c>
      <c r="V10" s="217">
        <f t="shared" si="11"/>
        <v>0.105517528406361</v>
      </c>
      <c r="W10" s="217">
        <f t="shared" si="12"/>
        <v>0.15433299949943374</v>
      </c>
      <c r="X10" s="197">
        <f t="shared" si="13"/>
        <v>350</v>
      </c>
      <c r="Y10" s="443">
        <f t="shared" si="14"/>
        <v>350</v>
      </c>
      <c r="AA10" s="217">
        <f t="shared" si="15"/>
        <v>2.7755494217307022</v>
      </c>
      <c r="AB10" s="173">
        <f t="shared" si="16"/>
        <v>1.6969425873212007</v>
      </c>
      <c r="AC10" s="173">
        <f t="shared" si="17"/>
        <v>0.54976868227843745</v>
      </c>
      <c r="AD10" s="173"/>
      <c r="AE10" s="173">
        <f t="shared" si="18"/>
        <v>1.3586439851714256</v>
      </c>
      <c r="AF10" s="545">
        <f t="shared" si="100"/>
        <v>49.657060718562136</v>
      </c>
      <c r="AG10" s="528">
        <f t="shared" si="19"/>
        <v>0.35241715370918814</v>
      </c>
      <c r="AI10" s="173">
        <f t="shared" si="20"/>
        <v>0.8370356758588543</v>
      </c>
      <c r="AJ10" s="173">
        <f t="shared" si="21"/>
        <v>2.2222222222222223</v>
      </c>
      <c r="AK10" s="173">
        <f t="shared" si="22"/>
        <v>1.0283754632677498</v>
      </c>
      <c r="AM10" s="545">
        <f t="shared" si="23"/>
        <v>50</v>
      </c>
      <c r="AN10" s="460">
        <f t="shared" si="24"/>
        <v>49.657060718562136</v>
      </c>
      <c r="AP10">
        <f t="shared" si="25"/>
        <v>50</v>
      </c>
      <c r="AQ10" s="460">
        <f t="shared" si="26"/>
        <v>49.657060718562136</v>
      </c>
      <c r="AR10" s="460"/>
      <c r="AS10" s="5">
        <f t="shared" si="101"/>
        <v>20.138123069096466</v>
      </c>
      <c r="AT10" s="5">
        <f t="shared" si="27"/>
        <v>0.92890539135788264</v>
      </c>
      <c r="AU10" s="5">
        <f t="shared" si="102"/>
        <v>19.209217677738582</v>
      </c>
      <c r="AV10" s="5">
        <f t="shared" si="28"/>
        <v>1.3586439851714256</v>
      </c>
      <c r="AW10" s="173">
        <f t="shared" si="103"/>
        <v>4.61267114204581E-2</v>
      </c>
      <c r="AX10" s="173">
        <f t="shared" si="29"/>
        <v>1.2261002646558556</v>
      </c>
      <c r="AY10" s="173">
        <f t="shared" si="30"/>
        <v>0.70692609275839391</v>
      </c>
      <c r="AZ10" s="173">
        <f t="shared" si="104"/>
        <v>1.7344108206158686</v>
      </c>
      <c r="BA10" s="460">
        <f t="shared" si="31"/>
        <v>0.19352195653289223</v>
      </c>
      <c r="BB10" s="5">
        <f t="shared" si="32"/>
        <v>0.80295956390783296</v>
      </c>
      <c r="BC10" s="5"/>
      <c r="BD10" s="173">
        <f t="shared" si="105"/>
        <v>0.27555170672478763</v>
      </c>
      <c r="BE10" s="173">
        <f t="shared" si="33"/>
        <v>0.83579166628820423</v>
      </c>
      <c r="BF10" s="173"/>
      <c r="BG10" s="528">
        <f t="shared" si="34"/>
        <v>3.0371497231577349E-3</v>
      </c>
      <c r="BH10" s="528">
        <f t="shared" si="35"/>
        <v>0.10019845790007821</v>
      </c>
      <c r="BI10" s="528">
        <f t="shared" si="36"/>
        <v>4.7517874197163509E-2</v>
      </c>
      <c r="BJ10" s="528">
        <f t="shared" si="37"/>
        <v>1.4152693643545796E-2</v>
      </c>
      <c r="BK10">
        <f t="shared" si="38"/>
        <v>1.0765358983848622E-2</v>
      </c>
      <c r="BL10" s="460">
        <f t="shared" si="106"/>
        <v>58.283233181012136</v>
      </c>
      <c r="BM10" s="528">
        <f t="shared" si="39"/>
        <v>0.11829369558999377</v>
      </c>
      <c r="BN10" s="460">
        <f t="shared" si="107"/>
        <v>118.29369558999376</v>
      </c>
      <c r="BO10" s="528">
        <f t="shared" si="108"/>
        <v>4.3399999999999994E-2</v>
      </c>
      <c r="BP10" s="528"/>
      <c r="BR10" s="460">
        <f t="shared" si="109"/>
        <v>43.399999999999991</v>
      </c>
      <c r="BS10" s="528">
        <f t="shared" si="40"/>
        <v>2.2778622923683013E-3</v>
      </c>
      <c r="BT10" s="528">
        <f t="shared" si="41"/>
        <v>2.0956431283104388E-2</v>
      </c>
      <c r="BU10" s="528">
        <f t="shared" si="42"/>
        <v>1.8000000000000002E-2</v>
      </c>
      <c r="BV10" s="528">
        <f t="shared" si="43"/>
        <v>4.6897694818339913E-2</v>
      </c>
      <c r="BW10" s="528">
        <f t="shared" si="44"/>
        <v>4.904401058623422E-2</v>
      </c>
      <c r="BX10" s="460">
        <f t="shared" si="110"/>
        <v>95.941705404574137</v>
      </c>
      <c r="BY10" s="173">
        <f t="shared" si="45"/>
        <v>0.31591863417558003</v>
      </c>
      <c r="BZ10" s="5">
        <f t="shared" si="111"/>
        <v>1.2000000000000002</v>
      </c>
      <c r="CA10" s="173">
        <f t="shared" si="112"/>
        <v>0.79159921446088055</v>
      </c>
      <c r="CB10" s="5">
        <f t="shared" si="113"/>
        <v>79.159921446088049</v>
      </c>
      <c r="CE10" s="562">
        <f t="shared" si="46"/>
        <v>-50</v>
      </c>
      <c r="CF10">
        <f t="shared" si="47"/>
        <v>-50</v>
      </c>
      <c r="CG10" s="173">
        <f t="shared" si="48"/>
        <v>6.8165417839104986E-2</v>
      </c>
      <c r="CI10" s="170">
        <v>5</v>
      </c>
      <c r="CJ10" s="217">
        <f t="shared" si="114"/>
        <v>0.05</v>
      </c>
      <c r="CK10" s="217"/>
      <c r="CL10" s="217">
        <f t="shared" si="49"/>
        <v>1.2000000000000002</v>
      </c>
      <c r="CM10" s="541">
        <f t="shared" si="50"/>
        <v>24</v>
      </c>
      <c r="CN10" s="172">
        <f t="shared" si="51"/>
        <v>16.3415</v>
      </c>
      <c r="CO10" s="443">
        <f t="shared" si="52"/>
        <v>40.341499999999996</v>
      </c>
      <c r="CP10" s="443"/>
      <c r="CQ10" s="217">
        <f t="shared" si="53"/>
        <v>0.40507913686898112</v>
      </c>
      <c r="CR10" s="172">
        <f t="shared" si="54"/>
        <v>54.360539956785601</v>
      </c>
      <c r="CS10" s="172">
        <f t="shared" si="115"/>
        <v>1.2000000000000002</v>
      </c>
      <c r="CT10" s="217">
        <f t="shared" si="55"/>
        <v>2.2650224981994</v>
      </c>
      <c r="CU10" s="217">
        <f t="shared" si="56"/>
        <v>24</v>
      </c>
      <c r="CV10" s="217">
        <f t="shared" si="57"/>
        <v>2.250439649272117</v>
      </c>
      <c r="CW10" s="172">
        <f t="shared" si="58"/>
        <v>2630.6914952595835</v>
      </c>
      <c r="CX10" s="172">
        <f t="shared" si="59"/>
        <v>24</v>
      </c>
      <c r="CY10" s="217">
        <f t="shared" si="60"/>
        <v>0.24686534283878472</v>
      </c>
      <c r="CZ10" s="217">
        <f t="shared" si="61"/>
        <v>0.1028605595161603</v>
      </c>
      <c r="DA10" s="217">
        <f t="shared" si="62"/>
        <v>0.15106651337930099</v>
      </c>
      <c r="DB10" s="197">
        <f t="shared" si="63"/>
        <v>350</v>
      </c>
      <c r="DC10" s="443">
        <f t="shared" si="116"/>
        <v>350</v>
      </c>
      <c r="DE10" s="217">
        <f t="shared" si="64"/>
        <v>2.7776855099587272</v>
      </c>
      <c r="DF10" s="173">
        <f t="shared" si="65"/>
        <v>1.6997738946600542</v>
      </c>
      <c r="DG10" s="173">
        <f t="shared" si="66"/>
        <v>0.55110977087390545</v>
      </c>
      <c r="DH10" s="173"/>
      <c r="DI10" s="173">
        <f t="shared" si="67"/>
        <v>1.3598642855443031</v>
      </c>
      <c r="DJ10" s="545">
        <f t="shared" si="117"/>
        <v>49.612499999999983</v>
      </c>
      <c r="DK10" s="528">
        <f t="shared" si="68"/>
        <v>0.35273368606701955</v>
      </c>
      <c r="DM10" s="173">
        <f t="shared" si="69"/>
        <v>0.83666002653407556</v>
      </c>
      <c r="DN10" s="173">
        <f t="shared" si="70"/>
        <v>2.2222222222222223</v>
      </c>
      <c r="DO10" s="173">
        <f t="shared" si="71"/>
        <v>1.0283500000000001</v>
      </c>
      <c r="DQ10" s="545">
        <f t="shared" si="72"/>
        <v>50</v>
      </c>
      <c r="DR10" s="460">
        <f t="shared" si="73"/>
        <v>49.612499999999983</v>
      </c>
      <c r="DT10">
        <f t="shared" si="74"/>
        <v>50</v>
      </c>
      <c r="DU10" s="460">
        <f t="shared" si="75"/>
        <v>49.612499999999983</v>
      </c>
      <c r="DV10" s="460"/>
      <c r="DW10" s="5">
        <f t="shared" si="118"/>
        <v>20.156210632401116</v>
      </c>
      <c r="DX10" s="5">
        <f t="shared" si="76"/>
        <v>0.92592592592592615</v>
      </c>
      <c r="DY10" s="5">
        <f t="shared" si="119"/>
        <v>19.230284706475189</v>
      </c>
      <c r="DZ10" s="5">
        <f t="shared" si="77"/>
        <v>1.3598642855443031</v>
      </c>
      <c r="EA10" s="173">
        <f t="shared" si="120"/>
        <v>4.5937499999999992E-2</v>
      </c>
      <c r="EB10" s="173">
        <f t="shared" si="78"/>
        <v>1.2249999999999996</v>
      </c>
      <c r="EC10" s="173">
        <f t="shared" si="79"/>
        <v>0.70706631944444454</v>
      </c>
      <c r="ED10" s="173">
        <f t="shared" si="121"/>
        <v>1.732510750847962</v>
      </c>
      <c r="EE10" s="460">
        <f t="shared" si="80"/>
        <v>0.19290123456790129</v>
      </c>
      <c r="EF10" s="5">
        <f t="shared" si="81"/>
        <v>0.80126186276979949</v>
      </c>
      <c r="EG10" s="5"/>
      <c r="EH10" s="173">
        <f t="shared" si="122"/>
        <v>0.27498597046143514</v>
      </c>
      <c r="EI10" s="173">
        <f t="shared" si="82"/>
        <v>0.8358745564837794</v>
      </c>
      <c r="EJ10" s="173"/>
      <c r="EK10" s="528">
        <f t="shared" si="83"/>
        <v>3.024691358024691E-3</v>
      </c>
      <c r="EL10" s="528">
        <f t="shared" si="84"/>
        <v>0.12231038531249995</v>
      </c>
      <c r="EM10" s="528">
        <f t="shared" si="85"/>
        <v>9.9224999999999973E-3</v>
      </c>
      <c r="EN10" s="528">
        <f t="shared" si="86"/>
        <v>1.4129709898741166E-2</v>
      </c>
      <c r="EO10">
        <f t="shared" si="87"/>
        <v>1.0800000000000001E-2</v>
      </c>
      <c r="EP10" s="460">
        <f t="shared" si="123"/>
        <v>20.722499999999997</v>
      </c>
      <c r="EQ10" s="528">
        <f t="shared" si="88"/>
        <v>0.1611197446257368</v>
      </c>
      <c r="ER10" s="460">
        <f t="shared" si="124"/>
        <v>161.11974462573681</v>
      </c>
      <c r="ES10" s="528">
        <f t="shared" si="125"/>
        <v>4.3399999999999994E-2</v>
      </c>
      <c r="ET10" s="528"/>
      <c r="EV10" s="460">
        <f t="shared" si="126"/>
        <v>43.399999999999991</v>
      </c>
      <c r="EW10" s="528">
        <f t="shared" si="89"/>
        <v>2.2685185185185182E-3</v>
      </c>
      <c r="EX10" s="528">
        <f t="shared" si="90"/>
        <v>2.0960588225308649E-2</v>
      </c>
      <c r="EY10" s="528">
        <f t="shared" si="91"/>
        <v>6.3814078124999974E-3</v>
      </c>
      <c r="EZ10" s="528">
        <f t="shared" si="92"/>
        <v>3.5251008129298718E-2</v>
      </c>
      <c r="FA10" s="528">
        <f t="shared" si="93"/>
        <v>4.9000000000000002E-2</v>
      </c>
      <c r="FB10" s="460">
        <f t="shared" si="127"/>
        <v>84.251008129298725</v>
      </c>
      <c r="FC10" s="173">
        <f t="shared" si="128"/>
        <v>0.2887707527550355</v>
      </c>
      <c r="FD10" s="5">
        <f t="shared" si="129"/>
        <v>1.2000000000000002</v>
      </c>
      <c r="FE10" s="173">
        <f t="shared" si="130"/>
        <v>0.80603410416234156</v>
      </c>
      <c r="FF10" s="5">
        <f t="shared" si="131"/>
        <v>80.603410416234155</v>
      </c>
      <c r="FI10" s="562">
        <f t="shared" si="94"/>
        <v>-50</v>
      </c>
      <c r="FJ10">
        <f t="shared" si="95"/>
        <v>-50</v>
      </c>
      <c r="FL10">
        <f t="shared" si="96"/>
        <v>6.7466266866566704E-2</v>
      </c>
    </row>
    <row r="11" spans="2:168">
      <c r="E11" s="170">
        <v>6</v>
      </c>
      <c r="F11" s="217">
        <f t="shared" si="97"/>
        <v>0.06</v>
      </c>
      <c r="G11" s="217"/>
      <c r="H11" s="217">
        <f t="shared" si="0"/>
        <v>1.44</v>
      </c>
      <c r="I11" s="541">
        <f t="shared" si="1"/>
        <v>23.92301996410805</v>
      </c>
      <c r="J11" s="172">
        <f t="shared" si="2"/>
        <v>16.356177530509115</v>
      </c>
      <c r="K11" s="172">
        <f t="shared" si="3"/>
        <v>40.356177530509115</v>
      </c>
      <c r="L11" s="443"/>
      <c r="M11" s="217">
        <f t="shared" si="4"/>
        <v>0.40607233723486735</v>
      </c>
      <c r="N11" s="172">
        <f t="shared" si="5"/>
        <v>54.319035772820321</v>
      </c>
      <c r="O11" s="172">
        <f t="shared" si="98"/>
        <v>1.44</v>
      </c>
      <c r="P11" s="217">
        <f t="shared" si="6"/>
        <v>2.2632931572008466</v>
      </c>
      <c r="Q11" s="217">
        <f t="shared" si="7"/>
        <v>24</v>
      </c>
      <c r="R11" s="217">
        <f t="shared" si="8"/>
        <v>2.2487214422550341</v>
      </c>
      <c r="S11" s="172">
        <f t="shared" si="9"/>
        <v>2179.2360717529732</v>
      </c>
      <c r="T11" s="172">
        <f t="shared" si="10"/>
        <v>24</v>
      </c>
      <c r="U11" s="217">
        <f t="shared" si="99"/>
        <v>0.30291575263544546</v>
      </c>
      <c r="V11" s="217">
        <f t="shared" si="11"/>
        <v>0.1266210340876332</v>
      </c>
      <c r="W11" s="217">
        <f t="shared" si="12"/>
        <v>0.18519959939932046</v>
      </c>
      <c r="X11" s="197">
        <f t="shared" si="13"/>
        <v>350</v>
      </c>
      <c r="Y11" s="443">
        <f t="shared" si="14"/>
        <v>350</v>
      </c>
      <c r="AA11" s="217">
        <f t="shared" si="15"/>
        <v>2.7755494217307022</v>
      </c>
      <c r="AB11" s="173">
        <f t="shared" si="16"/>
        <v>1.6969425873212007</v>
      </c>
      <c r="AC11" s="173">
        <f t="shared" si="17"/>
        <v>0.54976868227843745</v>
      </c>
      <c r="AD11" s="173"/>
      <c r="AE11" s="173">
        <f t="shared" si="18"/>
        <v>1.3586439851714256</v>
      </c>
      <c r="AF11" s="545">
        <f t="shared" si="100"/>
        <v>59.588472862274564</v>
      </c>
      <c r="AG11" s="528">
        <f t="shared" si="19"/>
        <v>0.35241715370918814</v>
      </c>
      <c r="AI11" s="173">
        <f t="shared" si="20"/>
        <v>0.9169266422089537</v>
      </c>
      <c r="AJ11" s="173">
        <f t="shared" si="21"/>
        <v>2.2222222222222223</v>
      </c>
      <c r="AK11" s="173">
        <f t="shared" si="22"/>
        <v>1.0340505559212998</v>
      </c>
      <c r="AM11" s="545">
        <f t="shared" si="23"/>
        <v>60</v>
      </c>
      <c r="AN11" s="460">
        <f t="shared" si="24"/>
        <v>59.588472862274564</v>
      </c>
      <c r="AP11">
        <f t="shared" si="25"/>
        <v>60</v>
      </c>
      <c r="AQ11" s="460">
        <f t="shared" si="26"/>
        <v>59.588472862274564</v>
      </c>
      <c r="AR11" s="460"/>
      <c r="AS11" s="5">
        <f t="shared" si="101"/>
        <v>16.781769224247054</v>
      </c>
      <c r="AT11" s="5">
        <f t="shared" si="27"/>
        <v>0.92890539135788264</v>
      </c>
      <c r="AU11" s="5">
        <f t="shared" si="102"/>
        <v>15.85286383288917</v>
      </c>
      <c r="AV11" s="5">
        <f t="shared" si="28"/>
        <v>1.3586439851714256</v>
      </c>
      <c r="AW11" s="173">
        <f t="shared" si="103"/>
        <v>5.5352053704549722E-2</v>
      </c>
      <c r="AX11" s="173">
        <f t="shared" si="29"/>
        <v>1.4713203175870266</v>
      </c>
      <c r="AY11" s="173">
        <f t="shared" si="30"/>
        <v>0.70008908908785039</v>
      </c>
      <c r="AZ11" s="173">
        <f t="shared" si="104"/>
        <v>2.101618694706437</v>
      </c>
      <c r="BA11" s="460">
        <f t="shared" si="31"/>
        <v>0.23222634783947063</v>
      </c>
      <c r="BB11" s="5">
        <f t="shared" si="32"/>
        <v>0.79519377687298909</v>
      </c>
      <c r="BC11" s="5"/>
      <c r="BD11" s="173">
        <f t="shared" si="105"/>
        <v>0.30185177106442834</v>
      </c>
      <c r="BE11" s="173">
        <f t="shared" si="33"/>
        <v>0.831740185948042</v>
      </c>
      <c r="BF11" s="173"/>
      <c r="BG11" s="528">
        <f t="shared" si="34"/>
        <v>3.6445796677892824E-3</v>
      </c>
      <c r="BH11" s="528">
        <f t="shared" si="35"/>
        <v>0.12023814948009386</v>
      </c>
      <c r="BI11" s="528">
        <f t="shared" si="36"/>
        <v>5.7021449036596214E-2</v>
      </c>
      <c r="BJ11" s="528">
        <f t="shared" si="37"/>
        <v>1.6983232372254957E-2</v>
      </c>
      <c r="BK11">
        <f t="shared" si="38"/>
        <v>1.0765358983848622E-2</v>
      </c>
      <c r="BL11" s="460">
        <f t="shared" si="106"/>
        <v>67.786808020444823</v>
      </c>
      <c r="BM11" s="528">
        <f t="shared" si="39"/>
        <v>0.14197293979993078</v>
      </c>
      <c r="BN11" s="460">
        <f t="shared" si="107"/>
        <v>141.97293979993077</v>
      </c>
      <c r="BO11" s="528">
        <f t="shared" si="108"/>
        <v>5.2079999999999994E-2</v>
      </c>
      <c r="BP11" s="528"/>
      <c r="BR11" s="460">
        <f t="shared" si="109"/>
        <v>52.079999999999991</v>
      </c>
      <c r="BS11" s="528">
        <f t="shared" si="40"/>
        <v>2.7334347508419614E-3</v>
      </c>
      <c r="BT11" s="528">
        <f t="shared" si="41"/>
        <v>2.0753752107626502E-2</v>
      </c>
      <c r="BU11" s="528">
        <f t="shared" si="42"/>
        <v>2.1599999999999998E-2</v>
      </c>
      <c r="BV11" s="528">
        <f t="shared" si="43"/>
        <v>5.0819600460668288E-2</v>
      </c>
      <c r="BW11" s="528">
        <f t="shared" si="44"/>
        <v>5.8852812703481069E-2</v>
      </c>
      <c r="BX11" s="460">
        <f t="shared" si="110"/>
        <v>109.67241316414936</v>
      </c>
      <c r="BY11" s="173">
        <f t="shared" si="45"/>
        <v>0.371512160984525</v>
      </c>
      <c r="BZ11" s="5">
        <f t="shared" si="111"/>
        <v>1.44</v>
      </c>
      <c r="CA11" s="173">
        <f t="shared" si="112"/>
        <v>0.79491599946940761</v>
      </c>
      <c r="CB11" s="5">
        <f t="shared" si="113"/>
        <v>79.491599946940767</v>
      </c>
      <c r="CE11" s="562">
        <f t="shared" si="46"/>
        <v>-50</v>
      </c>
      <c r="CF11">
        <f t="shared" si="47"/>
        <v>-50</v>
      </c>
      <c r="CG11" s="173">
        <f t="shared" si="48"/>
        <v>8.1798501406925975E-2</v>
      </c>
      <c r="CI11" s="170">
        <v>6</v>
      </c>
      <c r="CJ11" s="217">
        <f t="shared" si="114"/>
        <v>0.06</v>
      </c>
      <c r="CK11" s="217"/>
      <c r="CL11" s="217">
        <f t="shared" si="49"/>
        <v>1.44</v>
      </c>
      <c r="CM11" s="541">
        <f t="shared" si="50"/>
        <v>24</v>
      </c>
      <c r="CN11" s="172">
        <f t="shared" si="51"/>
        <v>16.3415</v>
      </c>
      <c r="CO11" s="443">
        <f t="shared" si="52"/>
        <v>40.341499999999996</v>
      </c>
      <c r="CP11" s="443"/>
      <c r="CQ11" s="217">
        <f t="shared" si="53"/>
        <v>0.40507913686898112</v>
      </c>
      <c r="CR11" s="172">
        <f t="shared" si="54"/>
        <v>54.360539956785601</v>
      </c>
      <c r="CS11" s="172">
        <f t="shared" si="115"/>
        <v>1.44</v>
      </c>
      <c r="CT11" s="217">
        <f t="shared" si="55"/>
        <v>2.2650224981994</v>
      </c>
      <c r="CU11" s="217">
        <f t="shared" si="56"/>
        <v>24</v>
      </c>
      <c r="CV11" s="217">
        <f t="shared" si="57"/>
        <v>2.250439649272117</v>
      </c>
      <c r="CW11" s="172">
        <f t="shared" si="58"/>
        <v>2186.2484405125683</v>
      </c>
      <c r="CX11" s="172">
        <f t="shared" si="59"/>
        <v>24</v>
      </c>
      <c r="CY11" s="217">
        <f t="shared" si="60"/>
        <v>0.29623841140654161</v>
      </c>
      <c r="CZ11" s="217">
        <f t="shared" si="61"/>
        <v>0.12343267141939233</v>
      </c>
      <c r="DA11" s="217">
        <f t="shared" si="62"/>
        <v>0.18127981605516119</v>
      </c>
      <c r="DB11" s="197">
        <f t="shared" si="63"/>
        <v>350</v>
      </c>
      <c r="DC11" s="443">
        <f t="shared" si="116"/>
        <v>350</v>
      </c>
      <c r="DE11" s="217">
        <f t="shared" si="64"/>
        <v>2.7776855099587272</v>
      </c>
      <c r="DF11" s="173">
        <f t="shared" si="65"/>
        <v>1.6997738946600542</v>
      </c>
      <c r="DG11" s="173">
        <f t="shared" si="66"/>
        <v>0.55110977087390545</v>
      </c>
      <c r="DH11" s="173"/>
      <c r="DI11" s="173">
        <f t="shared" si="67"/>
        <v>1.3598642855443031</v>
      </c>
      <c r="DJ11" s="545">
        <f t="shared" si="117"/>
        <v>59.534999999999975</v>
      </c>
      <c r="DK11" s="528">
        <f t="shared" si="68"/>
        <v>0.35273368606701955</v>
      </c>
      <c r="DM11" s="173">
        <f t="shared" si="69"/>
        <v>0.91651513899116788</v>
      </c>
      <c r="DN11" s="173">
        <f t="shared" si="70"/>
        <v>2.2222222222222223</v>
      </c>
      <c r="DO11" s="173">
        <f t="shared" si="71"/>
        <v>1.0340199999999999</v>
      </c>
      <c r="DQ11" s="545">
        <f t="shared" si="72"/>
        <v>60</v>
      </c>
      <c r="DR11" s="460">
        <f t="shared" si="73"/>
        <v>59.534999999999975</v>
      </c>
      <c r="DT11">
        <f t="shared" si="74"/>
        <v>60</v>
      </c>
      <c r="DU11" s="460">
        <f t="shared" si="75"/>
        <v>59.534999999999975</v>
      </c>
      <c r="DV11" s="460"/>
      <c r="DW11" s="5">
        <f t="shared" si="118"/>
        <v>16.796842193667597</v>
      </c>
      <c r="DX11" s="5">
        <f t="shared" si="76"/>
        <v>0.92592592592592615</v>
      </c>
      <c r="DY11" s="5">
        <f t="shared" si="119"/>
        <v>15.870916267741672</v>
      </c>
      <c r="DZ11" s="5">
        <f t="shared" si="77"/>
        <v>1.3598642855443031</v>
      </c>
      <c r="EA11" s="173">
        <f t="shared" si="120"/>
        <v>5.5124999999999993E-2</v>
      </c>
      <c r="EB11" s="173">
        <f t="shared" si="78"/>
        <v>1.4699999999999998</v>
      </c>
      <c r="EC11" s="173">
        <f t="shared" si="79"/>
        <v>0.70025736111111114</v>
      </c>
      <c r="ED11" s="173">
        <f t="shared" si="121"/>
        <v>2.0992282004255176</v>
      </c>
      <c r="EE11" s="460">
        <f t="shared" si="80"/>
        <v>0.23148148148148151</v>
      </c>
      <c r="EF11" s="5">
        <f t="shared" si="81"/>
        <v>0.79354581338708341</v>
      </c>
      <c r="EG11" s="5"/>
      <c r="EH11" s="173">
        <f t="shared" si="122"/>
        <v>0.30123203803835463</v>
      </c>
      <c r="EI11" s="173">
        <f t="shared" si="82"/>
        <v>0.83184013765209341</v>
      </c>
      <c r="EJ11" s="173"/>
      <c r="EK11" s="528">
        <f t="shared" si="83"/>
        <v>3.6296296296296294E-3</v>
      </c>
      <c r="EL11" s="528">
        <f t="shared" si="84"/>
        <v>0.14677246237499997</v>
      </c>
      <c r="EM11" s="528">
        <f t="shared" si="85"/>
        <v>1.1906999999999994E-2</v>
      </c>
      <c r="EN11" s="528">
        <f t="shared" si="86"/>
        <v>1.6955651878489398E-2</v>
      </c>
      <c r="EO11">
        <f t="shared" si="87"/>
        <v>1.0800000000000001E-2</v>
      </c>
      <c r="EP11" s="460">
        <f t="shared" si="123"/>
        <v>22.706999999999994</v>
      </c>
      <c r="EQ11" s="528">
        <f t="shared" si="88"/>
        <v>0.19120964307931063</v>
      </c>
      <c r="ER11" s="460">
        <f t="shared" si="124"/>
        <v>191.20964307931064</v>
      </c>
      <c r="ES11" s="528">
        <f t="shared" si="125"/>
        <v>5.2079999999999994E-2</v>
      </c>
      <c r="ET11" s="528"/>
      <c r="EV11" s="460">
        <f t="shared" si="126"/>
        <v>52.079999999999991</v>
      </c>
      <c r="EW11" s="528">
        <f t="shared" si="89"/>
        <v>2.7222222222222218E-3</v>
      </c>
      <c r="EX11" s="528">
        <f t="shared" si="90"/>
        <v>2.0758740438271611E-2</v>
      </c>
      <c r="EY11" s="528">
        <f t="shared" si="91"/>
        <v>1.0066294101732313E-2</v>
      </c>
      <c r="EZ11" s="528">
        <f t="shared" si="92"/>
        <v>3.9256430102297978E-2</v>
      </c>
      <c r="FA11" s="528">
        <f t="shared" si="93"/>
        <v>5.8799999999999991E-2</v>
      </c>
      <c r="FB11" s="460">
        <f t="shared" si="127"/>
        <v>98.056430102297981</v>
      </c>
      <c r="FC11" s="173">
        <f t="shared" si="128"/>
        <v>0.34134607318160859</v>
      </c>
      <c r="FD11" s="5">
        <f t="shared" si="129"/>
        <v>1.44</v>
      </c>
      <c r="FE11" s="173">
        <f t="shared" si="130"/>
        <v>0.80837745212981515</v>
      </c>
      <c r="FF11" s="5">
        <f t="shared" si="131"/>
        <v>80.837745212981517</v>
      </c>
      <c r="FI11" s="562">
        <f t="shared" si="94"/>
        <v>-50</v>
      </c>
      <c r="FJ11">
        <f t="shared" si="95"/>
        <v>-50</v>
      </c>
      <c r="FL11">
        <f t="shared" si="96"/>
        <v>8.095952023988004E-2</v>
      </c>
    </row>
    <row r="12" spans="2:168">
      <c r="E12" s="170">
        <v>7</v>
      </c>
      <c r="F12" s="217">
        <f t="shared" si="97"/>
        <v>7.0000000000000007E-2</v>
      </c>
      <c r="G12" s="217"/>
      <c r="H12" s="217">
        <f t="shared" si="0"/>
        <v>1.6800000000000002</v>
      </c>
      <c r="I12" s="541">
        <f t="shared" si="1"/>
        <v>23.92301996410805</v>
      </c>
      <c r="J12" s="172">
        <f t="shared" si="2"/>
        <v>16.356177530509115</v>
      </c>
      <c r="K12" s="172">
        <f t="shared" si="3"/>
        <v>40.356177530509115</v>
      </c>
      <c r="L12" s="443"/>
      <c r="M12" s="217">
        <f t="shared" si="4"/>
        <v>0.40607233723486735</v>
      </c>
      <c r="N12" s="172">
        <f t="shared" si="5"/>
        <v>54.319035772820321</v>
      </c>
      <c r="O12" s="172">
        <f t="shared" si="98"/>
        <v>1.6800000000000002</v>
      </c>
      <c r="P12" s="217">
        <f t="shared" si="6"/>
        <v>2.2632931572008466</v>
      </c>
      <c r="Q12" s="217">
        <f t="shared" si="7"/>
        <v>24</v>
      </c>
      <c r="R12" s="217">
        <f t="shared" si="8"/>
        <v>2.2487214422550341</v>
      </c>
      <c r="S12" s="172">
        <f t="shared" si="9"/>
        <v>1862.7954059622484</v>
      </c>
      <c r="T12" s="172">
        <f t="shared" si="10"/>
        <v>24</v>
      </c>
      <c r="U12" s="217">
        <f t="shared" si="99"/>
        <v>0.35340171140801974</v>
      </c>
      <c r="V12" s="217">
        <f t="shared" si="11"/>
        <v>0.1477245397689054</v>
      </c>
      <c r="W12" s="217">
        <f t="shared" si="12"/>
        <v>0.21606619929920723</v>
      </c>
      <c r="X12" s="197">
        <f t="shared" si="13"/>
        <v>350</v>
      </c>
      <c r="Y12" s="443">
        <f t="shared" si="14"/>
        <v>350</v>
      </c>
      <c r="AA12" s="217">
        <f t="shared" si="15"/>
        <v>2.7755494217307022</v>
      </c>
      <c r="AB12" s="173">
        <f t="shared" si="16"/>
        <v>1.6969425873212007</v>
      </c>
      <c r="AC12" s="173">
        <f t="shared" si="17"/>
        <v>0.54976868227843745</v>
      </c>
      <c r="AD12" s="173"/>
      <c r="AE12" s="173">
        <f t="shared" si="18"/>
        <v>1.3586439851714256</v>
      </c>
      <c r="AF12" s="545">
        <f t="shared" si="100"/>
        <v>69.519885005986993</v>
      </c>
      <c r="AG12" s="528">
        <f t="shared" si="19"/>
        <v>0.35241715370918814</v>
      </c>
      <c r="AI12" s="173">
        <f t="shared" si="20"/>
        <v>0.99039396793633827</v>
      </c>
      <c r="AJ12" s="173">
        <f t="shared" si="21"/>
        <v>2.2222222222222223</v>
      </c>
      <c r="AK12" s="173">
        <f t="shared" si="22"/>
        <v>1.0397256485748496</v>
      </c>
      <c r="AM12" s="545">
        <f t="shared" si="23"/>
        <v>70</v>
      </c>
      <c r="AN12" s="460">
        <f t="shared" si="24"/>
        <v>69.519885005986993</v>
      </c>
      <c r="AP12">
        <f t="shared" si="25"/>
        <v>70</v>
      </c>
      <c r="AQ12" s="460">
        <f t="shared" si="26"/>
        <v>69.519885005986993</v>
      </c>
      <c r="AR12" s="460"/>
      <c r="AS12" s="5">
        <f t="shared" si="101"/>
        <v>14.384373620783188</v>
      </c>
      <c r="AT12" s="5">
        <f t="shared" si="27"/>
        <v>0.92890539135788264</v>
      </c>
      <c r="AU12" s="5">
        <f t="shared" si="102"/>
        <v>13.455468229425305</v>
      </c>
      <c r="AV12" s="5">
        <f t="shared" si="28"/>
        <v>1.3586439851714256</v>
      </c>
      <c r="AW12" s="173">
        <f t="shared" si="103"/>
        <v>6.4577395988641345E-2</v>
      </c>
      <c r="AX12" s="173">
        <f t="shared" si="29"/>
        <v>1.7165403705181976</v>
      </c>
      <c r="AY12" s="173">
        <f t="shared" si="30"/>
        <v>0.69325208541730698</v>
      </c>
      <c r="AZ12" s="173">
        <f t="shared" si="104"/>
        <v>2.4760695375116204</v>
      </c>
      <c r="BA12" s="460">
        <f t="shared" si="31"/>
        <v>0.27093073914604909</v>
      </c>
      <c r="BB12" s="5">
        <f t="shared" si="32"/>
        <v>0.78742798983814555</v>
      </c>
      <c r="BC12" s="5"/>
      <c r="BD12" s="173">
        <f t="shared" si="105"/>
        <v>0.32603717627062212</v>
      </c>
      <c r="BE12" s="173">
        <f t="shared" si="33"/>
        <v>0.82766887364751962</v>
      </c>
      <c r="BF12" s="173"/>
      <c r="BG12" s="528">
        <f t="shared" si="34"/>
        <v>4.2520096124208295E-3</v>
      </c>
      <c r="BH12" s="528">
        <f t="shared" si="35"/>
        <v>0.14027784106010951</v>
      </c>
      <c r="BI12" s="528">
        <f t="shared" si="36"/>
        <v>6.6525023876028905E-2</v>
      </c>
      <c r="BJ12" s="528">
        <f t="shared" si="37"/>
        <v>1.9813771100964116E-2</v>
      </c>
      <c r="BK12">
        <f t="shared" si="38"/>
        <v>1.0765358983848622E-2</v>
      </c>
      <c r="BL12" s="460">
        <f t="shared" si="106"/>
        <v>77.290382859877525</v>
      </c>
      <c r="BM12" s="528">
        <f t="shared" si="39"/>
        <v>0.16565902595277482</v>
      </c>
      <c r="BN12" s="460">
        <f t="shared" si="107"/>
        <v>165.65902595277481</v>
      </c>
      <c r="BO12" s="528">
        <f t="shared" si="108"/>
        <v>6.0760000000000002E-2</v>
      </c>
      <c r="BP12" s="528"/>
      <c r="BR12" s="460">
        <f t="shared" si="109"/>
        <v>60.76</v>
      </c>
      <c r="BS12" s="528">
        <f t="shared" si="40"/>
        <v>3.1890072093156215E-3</v>
      </c>
      <c r="BT12" s="528">
        <f t="shared" si="41"/>
        <v>2.0551072932148615E-2</v>
      </c>
      <c r="BU12" s="528">
        <f t="shared" si="42"/>
        <v>2.52E-2</v>
      </c>
      <c r="BV12" s="528">
        <f t="shared" si="43"/>
        <v>5.4741665096733547E-2</v>
      </c>
      <c r="BW12" s="528">
        <f t="shared" si="44"/>
        <v>6.8661614820727912E-2</v>
      </c>
      <c r="BX12" s="460">
        <f t="shared" si="110"/>
        <v>123.40327991746146</v>
      </c>
      <c r="BY12" s="173">
        <f t="shared" si="45"/>
        <v>0.42711268873011377</v>
      </c>
      <c r="BZ12" s="5">
        <f t="shared" si="111"/>
        <v>1.6800000000000002</v>
      </c>
      <c r="CA12" s="173">
        <f t="shared" si="112"/>
        <v>0.79729955070057501</v>
      </c>
      <c r="CB12" s="5">
        <f t="shared" si="113"/>
        <v>79.7299550700575</v>
      </c>
      <c r="CE12" s="562">
        <f t="shared" si="46"/>
        <v>-50</v>
      </c>
      <c r="CF12">
        <f t="shared" si="47"/>
        <v>-50</v>
      </c>
      <c r="CG12" s="173">
        <f t="shared" si="48"/>
        <v>9.5431584974746977E-2</v>
      </c>
      <c r="CI12" s="170">
        <v>7</v>
      </c>
      <c r="CJ12" s="217">
        <f t="shared" si="114"/>
        <v>7.0000000000000007E-2</v>
      </c>
      <c r="CK12" s="217"/>
      <c r="CL12" s="217">
        <f t="shared" si="49"/>
        <v>1.6800000000000002</v>
      </c>
      <c r="CM12" s="541">
        <f t="shared" si="50"/>
        <v>24</v>
      </c>
      <c r="CN12" s="172">
        <f t="shared" si="51"/>
        <v>16.3415</v>
      </c>
      <c r="CO12" s="443">
        <f t="shared" si="52"/>
        <v>40.341499999999996</v>
      </c>
      <c r="CP12" s="443"/>
      <c r="CQ12" s="217">
        <f t="shared" si="53"/>
        <v>0.40507913686898112</v>
      </c>
      <c r="CR12" s="172">
        <f t="shared" si="54"/>
        <v>54.360539956785601</v>
      </c>
      <c r="CS12" s="172">
        <f t="shared" si="115"/>
        <v>1.6800000000000002</v>
      </c>
      <c r="CT12" s="217">
        <f t="shared" si="55"/>
        <v>2.2650224981994</v>
      </c>
      <c r="CU12" s="217">
        <f t="shared" si="56"/>
        <v>24</v>
      </c>
      <c r="CV12" s="217">
        <f t="shared" si="57"/>
        <v>2.250439649272117</v>
      </c>
      <c r="CW12" s="172">
        <f t="shared" si="58"/>
        <v>1868.7895202811187</v>
      </c>
      <c r="CX12" s="172">
        <f t="shared" si="59"/>
        <v>24</v>
      </c>
      <c r="CY12" s="217">
        <f t="shared" si="60"/>
        <v>0.34561147997429859</v>
      </c>
      <c r="CZ12" s="217">
        <f t="shared" si="61"/>
        <v>0.14400478332262442</v>
      </c>
      <c r="DA12" s="217">
        <f t="shared" si="62"/>
        <v>0.21149311873102142</v>
      </c>
      <c r="DB12" s="197">
        <f t="shared" si="63"/>
        <v>350</v>
      </c>
      <c r="DC12" s="443">
        <f t="shared" si="116"/>
        <v>350</v>
      </c>
      <c r="DE12" s="217">
        <f t="shared" si="64"/>
        <v>2.7776855099587272</v>
      </c>
      <c r="DF12" s="173">
        <f t="shared" si="65"/>
        <v>1.6997738946600542</v>
      </c>
      <c r="DG12" s="173">
        <f t="shared" si="66"/>
        <v>0.55110977087390545</v>
      </c>
      <c r="DH12" s="173"/>
      <c r="DI12" s="173">
        <f t="shared" si="67"/>
        <v>1.3598642855443031</v>
      </c>
      <c r="DJ12" s="545">
        <f t="shared" si="117"/>
        <v>69.457499999999982</v>
      </c>
      <c r="DK12" s="528">
        <f t="shared" si="68"/>
        <v>0.35273368606701955</v>
      </c>
      <c r="DM12" s="173">
        <f t="shared" si="69"/>
        <v>0.98994949366116658</v>
      </c>
      <c r="DN12" s="173">
        <f t="shared" si="70"/>
        <v>2.2222222222222223</v>
      </c>
      <c r="DO12" s="173">
        <f t="shared" si="71"/>
        <v>1.03969</v>
      </c>
      <c r="DQ12" s="545">
        <f t="shared" si="72"/>
        <v>70</v>
      </c>
      <c r="DR12" s="460">
        <f t="shared" si="73"/>
        <v>69.457499999999982</v>
      </c>
      <c r="DT12">
        <f t="shared" si="74"/>
        <v>70</v>
      </c>
      <c r="DU12" s="460">
        <f t="shared" si="75"/>
        <v>69.457499999999982</v>
      </c>
      <c r="DV12" s="460"/>
      <c r="DW12" s="5">
        <f t="shared" si="118"/>
        <v>14.397293308857938</v>
      </c>
      <c r="DX12" s="5">
        <f t="shared" si="76"/>
        <v>0.92592592592592615</v>
      </c>
      <c r="DY12" s="5">
        <f t="shared" si="119"/>
        <v>13.471367382932012</v>
      </c>
      <c r="DZ12" s="5">
        <f t="shared" si="77"/>
        <v>1.3598642855443031</v>
      </c>
      <c r="EA12" s="173">
        <f t="shared" si="120"/>
        <v>6.4312500000000009E-2</v>
      </c>
      <c r="EB12" s="173">
        <f t="shared" si="78"/>
        <v>1.7149999999999999</v>
      </c>
      <c r="EC12" s="173">
        <f t="shared" si="79"/>
        <v>0.69344840277777786</v>
      </c>
      <c r="ED12" s="173">
        <f t="shared" si="121"/>
        <v>2.4731472350792738</v>
      </c>
      <c r="EE12" s="460">
        <f t="shared" si="80"/>
        <v>0.27006172839506182</v>
      </c>
      <c r="EF12" s="5">
        <f t="shared" si="81"/>
        <v>0.78582976400436733</v>
      </c>
      <c r="EG12" s="5"/>
      <c r="EH12" s="173">
        <f t="shared" si="122"/>
        <v>0.32536778809658495</v>
      </c>
      <c r="EI12" s="173">
        <f t="shared" si="82"/>
        <v>0.82778605632201385</v>
      </c>
      <c r="EJ12" s="173"/>
      <c r="EK12" s="528">
        <f t="shared" si="83"/>
        <v>4.2345679012345686E-3</v>
      </c>
      <c r="EL12" s="528">
        <f t="shared" si="84"/>
        <v>0.17123453943749997</v>
      </c>
      <c r="EM12" s="528">
        <f t="shared" si="85"/>
        <v>1.3891499999999996E-2</v>
      </c>
      <c r="EN12" s="528">
        <f t="shared" si="86"/>
        <v>1.9781593858237634E-2</v>
      </c>
      <c r="EO12">
        <f t="shared" si="87"/>
        <v>1.0800000000000001E-2</v>
      </c>
      <c r="EP12" s="460">
        <f t="shared" si="123"/>
        <v>24.691499999999998</v>
      </c>
      <c r="EQ12" s="528">
        <f t="shared" si="88"/>
        <v>0.22130820008735341</v>
      </c>
      <c r="ER12" s="460">
        <f t="shared" si="124"/>
        <v>221.30820008735341</v>
      </c>
      <c r="ES12" s="528">
        <f t="shared" si="125"/>
        <v>6.0760000000000002E-2</v>
      </c>
      <c r="ET12" s="528"/>
      <c r="EV12" s="460">
        <f t="shared" si="126"/>
        <v>60.76</v>
      </c>
      <c r="EW12" s="528">
        <f t="shared" si="89"/>
        <v>3.1759259259259262E-3</v>
      </c>
      <c r="EX12" s="528">
        <f t="shared" si="90"/>
        <v>2.0556892651234566E-2</v>
      </c>
      <c r="EY12" s="528">
        <f t="shared" si="91"/>
        <v>1.4799143756920078E-2</v>
      </c>
      <c r="EZ12" s="528">
        <f t="shared" si="92"/>
        <v>4.4311970629378569E-2</v>
      </c>
      <c r="FA12" s="528">
        <f t="shared" si="93"/>
        <v>6.8599999999999994E-2</v>
      </c>
      <c r="FB12" s="460">
        <f t="shared" si="127"/>
        <v>112.91197062937856</v>
      </c>
      <c r="FC12" s="173">
        <f t="shared" si="128"/>
        <v>0.39498017071673197</v>
      </c>
      <c r="FD12" s="5">
        <f t="shared" si="129"/>
        <v>1.6800000000000002</v>
      </c>
      <c r="FE12" s="173">
        <f t="shared" si="130"/>
        <v>0.80964629142441413</v>
      </c>
      <c r="FF12" s="5">
        <f t="shared" si="131"/>
        <v>80.96462914244141</v>
      </c>
      <c r="FI12" s="562">
        <f t="shared" si="94"/>
        <v>-50</v>
      </c>
      <c r="FJ12">
        <f t="shared" si="95"/>
        <v>-50</v>
      </c>
      <c r="FL12">
        <f t="shared" si="96"/>
        <v>9.4452773613193416E-2</v>
      </c>
    </row>
    <row r="13" spans="2:168" s="76" customFormat="1">
      <c r="E13" s="189">
        <v>8</v>
      </c>
      <c r="F13" s="217">
        <f t="shared" si="97"/>
        <v>0.08</v>
      </c>
      <c r="G13" s="217"/>
      <c r="H13" s="217">
        <f t="shared" si="0"/>
        <v>1.92</v>
      </c>
      <c r="I13" s="541">
        <f t="shared" si="1"/>
        <v>23.92301996410805</v>
      </c>
      <c r="J13" s="172">
        <f t="shared" si="2"/>
        <v>16.356177530509115</v>
      </c>
      <c r="K13" s="172">
        <f t="shared" si="3"/>
        <v>40.356177530509115</v>
      </c>
      <c r="L13" s="535"/>
      <c r="M13" s="217">
        <f t="shared" si="4"/>
        <v>0.40607233723486735</v>
      </c>
      <c r="N13" s="172">
        <f t="shared" si="5"/>
        <v>54.319035772820321</v>
      </c>
      <c r="O13" s="172">
        <f t="shared" si="98"/>
        <v>1.92</v>
      </c>
      <c r="P13" s="329">
        <f t="shared" si="6"/>
        <v>2.2632931572008466</v>
      </c>
      <c r="Q13" s="217">
        <f t="shared" si="7"/>
        <v>24</v>
      </c>
      <c r="R13" s="217">
        <f t="shared" si="8"/>
        <v>2.2487214422550341</v>
      </c>
      <c r="S13" s="172">
        <f t="shared" si="9"/>
        <v>1625.46526351738</v>
      </c>
      <c r="T13" s="172">
        <f t="shared" si="10"/>
        <v>24</v>
      </c>
      <c r="U13" s="217">
        <f t="shared" si="99"/>
        <v>0.40388767018059396</v>
      </c>
      <c r="V13" s="217">
        <f t="shared" si="11"/>
        <v>0.1688280454501776</v>
      </c>
      <c r="W13" s="217">
        <f t="shared" si="12"/>
        <v>0.24693279919909397</v>
      </c>
      <c r="X13" s="537">
        <f t="shared" si="13"/>
        <v>350</v>
      </c>
      <c r="Y13" s="443">
        <f t="shared" si="14"/>
        <v>350</v>
      </c>
      <c r="AA13" s="329">
        <f t="shared" si="15"/>
        <v>2.7755494217307022</v>
      </c>
      <c r="AB13" s="173">
        <f t="shared" si="16"/>
        <v>1.6969425873212007</v>
      </c>
      <c r="AC13" s="538">
        <f t="shared" si="17"/>
        <v>0.54976868227843745</v>
      </c>
      <c r="AD13" s="538"/>
      <c r="AE13" s="173">
        <f t="shared" si="18"/>
        <v>1.3586439851714256</v>
      </c>
      <c r="AF13" s="545">
        <f t="shared" si="100"/>
        <v>79.451297149699414</v>
      </c>
      <c r="AG13" s="528">
        <f t="shared" si="19"/>
        <v>0.35241715370918814</v>
      </c>
      <c r="AH13"/>
      <c r="AI13" s="173">
        <f t="shared" si="20"/>
        <v>1.0587756874129581</v>
      </c>
      <c r="AJ13" s="173">
        <f t="shared" si="21"/>
        <v>2.2222222222222223</v>
      </c>
      <c r="AK13" s="173">
        <f t="shared" si="22"/>
        <v>1.0454007412283997</v>
      </c>
      <c r="AM13" s="545">
        <f t="shared" si="23"/>
        <v>80</v>
      </c>
      <c r="AN13" s="460">
        <f t="shared" si="24"/>
        <v>79.451297149699414</v>
      </c>
      <c r="AP13">
        <f t="shared" si="25"/>
        <v>80</v>
      </c>
      <c r="AQ13" s="460">
        <f t="shared" si="26"/>
        <v>79.451297149699414</v>
      </c>
      <c r="AR13" s="460"/>
      <c r="AS13" s="5">
        <f t="shared" si="101"/>
        <v>12.586326918185289</v>
      </c>
      <c r="AT13" s="5">
        <f t="shared" si="27"/>
        <v>0.92890539135788264</v>
      </c>
      <c r="AU13" s="5">
        <f t="shared" si="102"/>
        <v>11.657421526827406</v>
      </c>
      <c r="AV13" s="5">
        <f t="shared" si="28"/>
        <v>1.3586439851714256</v>
      </c>
      <c r="AW13" s="173">
        <f t="shared" si="103"/>
        <v>7.3802738272732968E-2</v>
      </c>
      <c r="AX13" s="173">
        <f t="shared" si="29"/>
        <v>1.9617604234493689</v>
      </c>
      <c r="AY13" s="173">
        <f t="shared" si="30"/>
        <v>0.68641508174676347</v>
      </c>
      <c r="AZ13" s="173">
        <f t="shared" si="104"/>
        <v>2.8579797787326497</v>
      </c>
      <c r="BA13" s="460">
        <f t="shared" si="31"/>
        <v>0.30963513045262758</v>
      </c>
      <c r="BB13" s="5">
        <f t="shared" si="32"/>
        <v>0.77966220280330178</v>
      </c>
      <c r="BC13" s="5"/>
      <c r="BD13" s="173">
        <f t="shared" si="105"/>
        <v>0.34854840255882596</v>
      </c>
      <c r="BE13" s="173">
        <f t="shared" si="33"/>
        <v>0.82357743527188998</v>
      </c>
      <c r="BF13" s="173"/>
      <c r="BG13" s="528">
        <f t="shared" si="34"/>
        <v>4.8594395570523757E-3</v>
      </c>
      <c r="BH13" s="528">
        <f t="shared" si="35"/>
        <v>0.16031753264012513</v>
      </c>
      <c r="BI13" s="528">
        <f t="shared" si="36"/>
        <v>7.6028598715461609E-2</v>
      </c>
      <c r="BJ13" s="528">
        <f t="shared" si="37"/>
        <v>2.2644309829673272E-2</v>
      </c>
      <c r="BK13">
        <f t="shared" si="38"/>
        <v>1.0765358983848622E-2</v>
      </c>
      <c r="BL13" s="460">
        <f t="shared" si="106"/>
        <v>86.793957699310226</v>
      </c>
      <c r="BM13" s="528">
        <f t="shared" si="39"/>
        <v>0.18935195701434765</v>
      </c>
      <c r="BN13" s="460">
        <f t="shared" si="107"/>
        <v>189.35195701434765</v>
      </c>
      <c r="BO13" s="528">
        <f t="shared" si="108"/>
        <v>6.9439999999999988E-2</v>
      </c>
      <c r="BP13" s="528"/>
      <c r="BR13" s="460">
        <f t="shared" si="109"/>
        <v>69.439999999999984</v>
      </c>
      <c r="BS13" s="528">
        <f t="shared" si="40"/>
        <v>3.6445796677892816E-3</v>
      </c>
      <c r="BT13" s="528">
        <f t="shared" si="41"/>
        <v>2.0348393756670722E-2</v>
      </c>
      <c r="BU13" s="528">
        <f t="shared" si="42"/>
        <v>2.8799999999999999E-2</v>
      </c>
      <c r="BV13" s="528">
        <f t="shared" si="43"/>
        <v>5.8663888736204262E-2</v>
      </c>
      <c r="BW13" s="528">
        <f t="shared" si="44"/>
        <v>7.8470416937974741E-2</v>
      </c>
      <c r="BX13" s="460">
        <f t="shared" si="110"/>
        <v>137.13430567417899</v>
      </c>
      <c r="BY13" s="173">
        <f t="shared" si="45"/>
        <v>0.48272022038783691</v>
      </c>
      <c r="BZ13" s="5">
        <f t="shared" si="111"/>
        <v>1.92</v>
      </c>
      <c r="CA13" s="173">
        <f t="shared" si="112"/>
        <v>0.79909428642927127</v>
      </c>
      <c r="CB13" s="5">
        <f t="shared" si="113"/>
        <v>79.909428642927125</v>
      </c>
      <c r="CE13" s="562">
        <f t="shared" si="46"/>
        <v>-50</v>
      </c>
      <c r="CF13">
        <f t="shared" si="47"/>
        <v>-50</v>
      </c>
      <c r="CG13" s="173">
        <f t="shared" si="48"/>
        <v>0.10906466854256797</v>
      </c>
      <c r="CH13"/>
      <c r="CI13" s="189">
        <v>8</v>
      </c>
      <c r="CJ13" s="217">
        <f t="shared" si="114"/>
        <v>0.08</v>
      </c>
      <c r="CK13" s="217"/>
      <c r="CL13" s="217">
        <f t="shared" si="49"/>
        <v>1.92</v>
      </c>
      <c r="CM13" s="541">
        <f t="shared" si="50"/>
        <v>24</v>
      </c>
      <c r="CN13" s="172">
        <f t="shared" si="51"/>
        <v>16.3415</v>
      </c>
      <c r="CO13" s="535">
        <f t="shared" si="52"/>
        <v>40.341499999999996</v>
      </c>
      <c r="CP13" s="535"/>
      <c r="CQ13" s="329">
        <f t="shared" si="53"/>
        <v>0.40507913686898112</v>
      </c>
      <c r="CR13" s="172">
        <f t="shared" si="54"/>
        <v>54.360539956785601</v>
      </c>
      <c r="CS13" s="172">
        <f t="shared" si="115"/>
        <v>1.92</v>
      </c>
      <c r="CT13" s="329">
        <f t="shared" si="55"/>
        <v>2.2650224981994</v>
      </c>
      <c r="CU13" s="217">
        <f t="shared" si="56"/>
        <v>24</v>
      </c>
      <c r="CV13" s="217">
        <f t="shared" si="57"/>
        <v>2.250439649272117</v>
      </c>
      <c r="CW13" s="172">
        <f t="shared" si="58"/>
        <v>1630.695687006664</v>
      </c>
      <c r="CX13" s="172">
        <f t="shared" si="59"/>
        <v>24</v>
      </c>
      <c r="CY13" s="217">
        <f t="shared" si="60"/>
        <v>0.3949845485420555</v>
      </c>
      <c r="CZ13" s="329">
        <f t="shared" si="61"/>
        <v>0.16457689522585647</v>
      </c>
      <c r="DA13" s="217">
        <f t="shared" si="62"/>
        <v>0.24170642140688159</v>
      </c>
      <c r="DB13" s="537">
        <f t="shared" si="63"/>
        <v>350</v>
      </c>
      <c r="DC13" s="535">
        <f t="shared" si="116"/>
        <v>350</v>
      </c>
      <c r="DE13" s="329">
        <f t="shared" si="64"/>
        <v>2.7776855099587272</v>
      </c>
      <c r="DF13" s="173">
        <f t="shared" si="65"/>
        <v>1.6997738946600542</v>
      </c>
      <c r="DG13" s="538">
        <f t="shared" si="66"/>
        <v>0.55110977087390545</v>
      </c>
      <c r="DH13" s="538"/>
      <c r="DI13" s="173">
        <f t="shared" si="67"/>
        <v>1.3598642855443031</v>
      </c>
      <c r="DJ13" s="545">
        <f t="shared" si="117"/>
        <v>79.379999999999967</v>
      </c>
      <c r="DK13" s="528">
        <f t="shared" si="68"/>
        <v>0.35273368606701955</v>
      </c>
      <c r="DL13"/>
      <c r="DM13" s="173">
        <f t="shared" si="69"/>
        <v>1.0583005244258361</v>
      </c>
      <c r="DN13" s="173">
        <f t="shared" si="70"/>
        <v>2.2222222222222223</v>
      </c>
      <c r="DO13" s="173">
        <f t="shared" si="71"/>
        <v>1.0453600000000001</v>
      </c>
      <c r="DQ13" s="545">
        <f t="shared" si="72"/>
        <v>80</v>
      </c>
      <c r="DR13" s="460">
        <f t="shared" si="73"/>
        <v>79.379999999999967</v>
      </c>
      <c r="DT13">
        <f t="shared" si="74"/>
        <v>80</v>
      </c>
      <c r="DU13" s="460">
        <f t="shared" si="75"/>
        <v>79.379999999999967</v>
      </c>
      <c r="DV13" s="460"/>
      <c r="DW13" s="5">
        <f t="shared" si="118"/>
        <v>12.597631645250699</v>
      </c>
      <c r="DX13" s="5">
        <f t="shared" si="76"/>
        <v>0.92592592592592615</v>
      </c>
      <c r="DY13" s="5">
        <f t="shared" si="119"/>
        <v>11.671705719324773</v>
      </c>
      <c r="DZ13" s="5">
        <f t="shared" si="77"/>
        <v>1.3598642855443031</v>
      </c>
      <c r="EA13" s="173">
        <f t="shared" si="120"/>
        <v>7.3499999999999982E-2</v>
      </c>
      <c r="EB13" s="173">
        <f t="shared" si="78"/>
        <v>1.9599999999999995</v>
      </c>
      <c r="EC13" s="173">
        <f t="shared" si="79"/>
        <v>0.68663944444444447</v>
      </c>
      <c r="ED13" s="173">
        <f t="shared" si="121"/>
        <v>2.854482095163966</v>
      </c>
      <c r="EE13" s="460">
        <f t="shared" si="80"/>
        <v>0.30864197530864207</v>
      </c>
      <c r="EF13" s="5">
        <f t="shared" si="81"/>
        <v>0.77811371462165146</v>
      </c>
      <c r="EG13" s="5"/>
      <c r="EH13" s="173">
        <f t="shared" si="122"/>
        <v>0.34783279649996723</v>
      </c>
      <c r="EI13" s="173">
        <f t="shared" si="82"/>
        <v>0.82371202217355743</v>
      </c>
      <c r="EJ13" s="173"/>
      <c r="EK13" s="528">
        <f t="shared" si="83"/>
        <v>4.8395061728395044E-3</v>
      </c>
      <c r="EL13" s="528">
        <f t="shared" si="84"/>
        <v>0.19569661649999995</v>
      </c>
      <c r="EM13" s="528">
        <f t="shared" si="85"/>
        <v>1.5875999999999991E-2</v>
      </c>
      <c r="EN13" s="528">
        <f t="shared" si="86"/>
        <v>2.2607535837985863E-2</v>
      </c>
      <c r="EO13">
        <f t="shared" si="87"/>
        <v>1.0800000000000001E-2</v>
      </c>
      <c r="EP13" s="460">
        <f t="shared" si="123"/>
        <v>26.675999999999991</v>
      </c>
      <c r="EQ13" s="528">
        <f t="shared" si="88"/>
        <v>0.25141541938773199</v>
      </c>
      <c r="ER13" s="460">
        <f t="shared" si="124"/>
        <v>251.41541938773199</v>
      </c>
      <c r="ES13" s="528">
        <f t="shared" si="125"/>
        <v>6.9439999999999988E-2</v>
      </c>
      <c r="ET13" s="528"/>
      <c r="EV13" s="460">
        <f t="shared" si="126"/>
        <v>69.439999999999984</v>
      </c>
      <c r="EW13" s="528">
        <f t="shared" si="89"/>
        <v>3.6296296296296281E-3</v>
      </c>
      <c r="EX13" s="528">
        <f t="shared" si="90"/>
        <v>2.0355044864197536E-2</v>
      </c>
      <c r="EY13" s="528">
        <f t="shared" si="91"/>
        <v>2.0664098166674132E-2</v>
      </c>
      <c r="EZ13" s="528">
        <f t="shared" si="92"/>
        <v>5.0501996454720199E-2</v>
      </c>
      <c r="FA13" s="528">
        <f t="shared" si="93"/>
        <v>7.8399999999999997E-2</v>
      </c>
      <c r="FB13" s="460">
        <f t="shared" si="127"/>
        <v>128.90199645472021</v>
      </c>
      <c r="FC13" s="173">
        <f t="shared" si="128"/>
        <v>0.44975741584245221</v>
      </c>
      <c r="FD13" s="5">
        <f t="shared" si="129"/>
        <v>1.92</v>
      </c>
      <c r="FE13" s="173">
        <f t="shared" si="130"/>
        <v>0.8102095122328955</v>
      </c>
      <c r="FF13" s="5">
        <f t="shared" si="131"/>
        <v>81.020951223289543</v>
      </c>
      <c r="FI13" s="562">
        <f t="shared" si="94"/>
        <v>-50</v>
      </c>
      <c r="FJ13">
        <f t="shared" si="95"/>
        <v>-50</v>
      </c>
      <c r="FL13">
        <f t="shared" si="96"/>
        <v>0.10794602698650674</v>
      </c>
    </row>
    <row r="14" spans="2:168">
      <c r="E14" s="170">
        <v>9</v>
      </c>
      <c r="F14" s="217">
        <f t="shared" si="97"/>
        <v>0.09</v>
      </c>
      <c r="G14" s="217"/>
      <c r="H14" s="217">
        <f t="shared" si="0"/>
        <v>2.16</v>
      </c>
      <c r="I14" s="541">
        <f t="shared" si="1"/>
        <v>23.92301996410805</v>
      </c>
      <c r="J14" s="172">
        <f t="shared" si="2"/>
        <v>16.356177530509115</v>
      </c>
      <c r="K14" s="172">
        <f t="shared" si="3"/>
        <v>40.356177530509115</v>
      </c>
      <c r="L14" s="443"/>
      <c r="M14" s="217">
        <f t="shared" si="4"/>
        <v>0.40607233723486735</v>
      </c>
      <c r="N14" s="172">
        <f t="shared" si="5"/>
        <v>54.319035772820321</v>
      </c>
      <c r="O14" s="172">
        <f t="shared" si="98"/>
        <v>2.16</v>
      </c>
      <c r="P14" s="217">
        <f t="shared" si="6"/>
        <v>2.2632931572008466</v>
      </c>
      <c r="Q14" s="217">
        <f t="shared" si="7"/>
        <v>24</v>
      </c>
      <c r="R14" s="217">
        <f t="shared" si="8"/>
        <v>2.2487214422550341</v>
      </c>
      <c r="S14" s="172">
        <f t="shared" si="9"/>
        <v>1440.8754725613614</v>
      </c>
      <c r="T14" s="172">
        <f t="shared" si="10"/>
        <v>24</v>
      </c>
      <c r="U14" s="217">
        <f t="shared" si="99"/>
        <v>0.45437362895316818</v>
      </c>
      <c r="V14" s="217">
        <f t="shared" si="11"/>
        <v>0.1899315511314498</v>
      </c>
      <c r="W14" s="217">
        <f t="shared" si="12"/>
        <v>0.27779939909898071</v>
      </c>
      <c r="X14" s="197">
        <f t="shared" si="13"/>
        <v>350</v>
      </c>
      <c r="Y14" s="443">
        <f t="shared" si="14"/>
        <v>350</v>
      </c>
      <c r="AA14" s="217">
        <f t="shared" si="15"/>
        <v>2.7755494217307022</v>
      </c>
      <c r="AB14" s="173">
        <f t="shared" si="16"/>
        <v>1.6969425873212007</v>
      </c>
      <c r="AC14" s="173">
        <f t="shared" si="17"/>
        <v>0.54976868227843745</v>
      </c>
      <c r="AD14" s="173"/>
      <c r="AE14" s="173">
        <f t="shared" si="18"/>
        <v>1.3586439851714256</v>
      </c>
      <c r="AF14" s="545">
        <f t="shared" si="100"/>
        <v>89.382709293411835</v>
      </c>
      <c r="AG14" s="528">
        <f t="shared" si="19"/>
        <v>0.35241715370918814</v>
      </c>
      <c r="AI14" s="173">
        <f t="shared" si="20"/>
        <v>1.1230012024877265</v>
      </c>
      <c r="AJ14" s="173">
        <f t="shared" si="21"/>
        <v>2.2222222222222223</v>
      </c>
      <c r="AK14" s="173">
        <f t="shared" si="22"/>
        <v>1.0510758338819497</v>
      </c>
      <c r="AM14" s="545">
        <f t="shared" si="23"/>
        <v>90</v>
      </c>
      <c r="AN14" s="460">
        <f t="shared" si="24"/>
        <v>89.382709293411835</v>
      </c>
      <c r="AP14">
        <f t="shared" si="25"/>
        <v>90</v>
      </c>
      <c r="AQ14" s="460">
        <f t="shared" si="26"/>
        <v>89.382709293411835</v>
      </c>
      <c r="AR14" s="460"/>
      <c r="AS14" s="5">
        <f t="shared" si="101"/>
        <v>11.187846149498037</v>
      </c>
      <c r="AT14" s="5">
        <f t="shared" si="27"/>
        <v>0.92890539135788264</v>
      </c>
      <c r="AU14" s="5">
        <f t="shared" si="102"/>
        <v>10.258940758140154</v>
      </c>
      <c r="AV14" s="5">
        <f t="shared" si="28"/>
        <v>1.3586439851714256</v>
      </c>
      <c r="AW14" s="173">
        <f t="shared" si="103"/>
        <v>8.3028080556824577E-2</v>
      </c>
      <c r="AX14" s="173">
        <f t="shared" si="29"/>
        <v>2.2069804763805396</v>
      </c>
      <c r="AY14" s="173">
        <f t="shared" si="30"/>
        <v>0.67957807807622006</v>
      </c>
      <c r="AZ14" s="173">
        <f t="shared" si="104"/>
        <v>3.2475745577729027</v>
      </c>
      <c r="BA14" s="460">
        <f t="shared" si="31"/>
        <v>0.34833952175920596</v>
      </c>
      <c r="BB14" s="5">
        <f t="shared" si="32"/>
        <v>0.77189641576845835</v>
      </c>
      <c r="BC14" s="5"/>
      <c r="BD14" s="173">
        <f t="shared" si="105"/>
        <v>0.36969140853162663</v>
      </c>
      <c r="BE14" s="173">
        <f t="shared" si="33"/>
        <v>0.81946556936401826</v>
      </c>
      <c r="BF14" s="173"/>
      <c r="BG14" s="528">
        <f t="shared" si="34"/>
        <v>5.4668695016839219E-3</v>
      </c>
      <c r="BH14" s="528">
        <f t="shared" si="35"/>
        <v>0.18035722422014075</v>
      </c>
      <c r="BI14" s="528">
        <f t="shared" si="36"/>
        <v>8.5532173554894314E-2</v>
      </c>
      <c r="BJ14" s="528">
        <f t="shared" si="37"/>
        <v>2.5474848558382428E-2</v>
      </c>
      <c r="BK14">
        <f t="shared" si="38"/>
        <v>1.0765358983848622E-2</v>
      </c>
      <c r="BL14" s="460">
        <f t="shared" si="106"/>
        <v>96.297532538742928</v>
      </c>
      <c r="BM14" s="528">
        <f t="shared" si="39"/>
        <v>0.21305173595218549</v>
      </c>
      <c r="BN14" s="460">
        <f t="shared" si="107"/>
        <v>213.05173595218548</v>
      </c>
      <c r="BO14" s="528">
        <f t="shared" si="108"/>
        <v>7.8119999999999995E-2</v>
      </c>
      <c r="BP14" s="528"/>
      <c r="BR14" s="460">
        <f t="shared" si="109"/>
        <v>78.11999999999999</v>
      </c>
      <c r="BS14" s="528">
        <f t="shared" si="40"/>
        <v>4.1001521262629412E-3</v>
      </c>
      <c r="BT14" s="528">
        <f t="shared" si="41"/>
        <v>2.0145714581192836E-2</v>
      </c>
      <c r="BU14" s="528">
        <f t="shared" si="42"/>
        <v>3.2399999999999998E-2</v>
      </c>
      <c r="BV14" s="528">
        <f t="shared" si="43"/>
        <v>6.2586271388749823E-2</v>
      </c>
      <c r="BW14" s="528">
        <f t="shared" si="44"/>
        <v>8.8279219055221597E-2</v>
      </c>
      <c r="BX14" s="460">
        <f t="shared" si="110"/>
        <v>150.8654904439714</v>
      </c>
      <c r="BY14" s="173">
        <f t="shared" si="45"/>
        <v>0.5383347589348999</v>
      </c>
      <c r="BZ14" s="5">
        <f t="shared" si="111"/>
        <v>2.16</v>
      </c>
      <c r="CA14" s="173">
        <f t="shared" si="112"/>
        <v>0.80049370925815233</v>
      </c>
      <c r="CB14" s="5">
        <f t="shared" si="113"/>
        <v>80.049370925815239</v>
      </c>
      <c r="CE14" s="562">
        <f t="shared" si="46"/>
        <v>-50</v>
      </c>
      <c r="CF14">
        <f t="shared" si="47"/>
        <v>-50</v>
      </c>
      <c r="CG14" s="173">
        <f t="shared" si="48"/>
        <v>0.12269775211038897</v>
      </c>
      <c r="CI14" s="170">
        <v>9</v>
      </c>
      <c r="CJ14" s="217">
        <f t="shared" si="114"/>
        <v>0.09</v>
      </c>
      <c r="CK14" s="217"/>
      <c r="CL14" s="217">
        <f t="shared" si="49"/>
        <v>2.16</v>
      </c>
      <c r="CM14" s="541">
        <f t="shared" si="50"/>
        <v>24</v>
      </c>
      <c r="CN14" s="172">
        <f t="shared" si="51"/>
        <v>16.3415</v>
      </c>
      <c r="CO14" s="443">
        <f t="shared" si="52"/>
        <v>40.341499999999996</v>
      </c>
      <c r="CP14" s="443"/>
      <c r="CQ14" s="217">
        <f t="shared" si="53"/>
        <v>0.40507913686898112</v>
      </c>
      <c r="CR14" s="172">
        <f t="shared" si="54"/>
        <v>54.360539956785601</v>
      </c>
      <c r="CS14" s="172">
        <f t="shared" si="115"/>
        <v>2.16</v>
      </c>
      <c r="CT14" s="217">
        <f t="shared" si="55"/>
        <v>2.2650224981994</v>
      </c>
      <c r="CU14" s="217">
        <f t="shared" si="56"/>
        <v>24</v>
      </c>
      <c r="CV14" s="217">
        <f t="shared" si="57"/>
        <v>2.250439649272117</v>
      </c>
      <c r="CW14" s="172">
        <f t="shared" si="58"/>
        <v>1445.5119142952894</v>
      </c>
      <c r="CX14" s="172">
        <f t="shared" si="59"/>
        <v>24</v>
      </c>
      <c r="CY14" s="217">
        <f t="shared" si="60"/>
        <v>0.44435761710981247</v>
      </c>
      <c r="CZ14" s="217">
        <f t="shared" si="61"/>
        <v>0.18514900712908852</v>
      </c>
      <c r="DA14" s="217">
        <f t="shared" si="62"/>
        <v>0.27191972408274179</v>
      </c>
      <c r="DB14" s="197">
        <f t="shared" si="63"/>
        <v>350</v>
      </c>
      <c r="DC14" s="443">
        <f t="shared" si="116"/>
        <v>350</v>
      </c>
      <c r="DE14" s="217">
        <f t="shared" si="64"/>
        <v>2.7776855099587272</v>
      </c>
      <c r="DF14" s="173">
        <f t="shared" si="65"/>
        <v>1.6997738946600542</v>
      </c>
      <c r="DG14" s="173">
        <f t="shared" si="66"/>
        <v>0.55110977087390545</v>
      </c>
      <c r="DH14" s="173"/>
      <c r="DI14" s="173">
        <f t="shared" si="67"/>
        <v>1.3598642855443031</v>
      </c>
      <c r="DJ14" s="545">
        <f t="shared" si="117"/>
        <v>89.302499999999966</v>
      </c>
      <c r="DK14" s="528">
        <f t="shared" si="68"/>
        <v>0.35273368606701955</v>
      </c>
      <c r="DM14" s="173">
        <f t="shared" si="69"/>
        <v>1.1224972160321822</v>
      </c>
      <c r="DN14" s="173">
        <f t="shared" si="70"/>
        <v>2.2222222222222223</v>
      </c>
      <c r="DO14" s="173">
        <f t="shared" si="71"/>
        <v>1.0510299999999999</v>
      </c>
      <c r="DQ14" s="545">
        <f t="shared" si="72"/>
        <v>90</v>
      </c>
      <c r="DR14" s="460">
        <f t="shared" si="73"/>
        <v>89.302499999999966</v>
      </c>
      <c r="DT14">
        <f t="shared" si="74"/>
        <v>90</v>
      </c>
      <c r="DU14" s="460">
        <f t="shared" si="75"/>
        <v>89.302499999999966</v>
      </c>
      <c r="DV14" s="460"/>
      <c r="DW14" s="5">
        <f t="shared" si="118"/>
        <v>11.197894795778398</v>
      </c>
      <c r="DX14" s="5">
        <f t="shared" si="76"/>
        <v>0.92592592592592615</v>
      </c>
      <c r="DY14" s="5">
        <f t="shared" si="119"/>
        <v>10.271968869852472</v>
      </c>
      <c r="DZ14" s="5">
        <f t="shared" si="77"/>
        <v>1.3598642855443031</v>
      </c>
      <c r="EA14" s="173">
        <f t="shared" si="120"/>
        <v>8.2687499999999997E-2</v>
      </c>
      <c r="EB14" s="173">
        <f t="shared" si="78"/>
        <v>2.2049999999999996</v>
      </c>
      <c r="EC14" s="173">
        <f t="shared" si="79"/>
        <v>0.67983048611111119</v>
      </c>
      <c r="ED14" s="173">
        <f t="shared" si="121"/>
        <v>3.2434556040777722</v>
      </c>
      <c r="EE14" s="460">
        <f t="shared" si="80"/>
        <v>0.34722222222222232</v>
      </c>
      <c r="EF14" s="5">
        <f t="shared" si="81"/>
        <v>0.77039766523893538</v>
      </c>
      <c r="EG14" s="5"/>
      <c r="EH14" s="173">
        <f t="shared" si="122"/>
        <v>0.36893239368631092</v>
      </c>
      <c r="EI14" s="173">
        <f t="shared" si="82"/>
        <v>0.81961773767125723</v>
      </c>
      <c r="EJ14" s="173"/>
      <c r="EK14" s="528">
        <f t="shared" si="83"/>
        <v>5.4444444444444445E-3</v>
      </c>
      <c r="EL14" s="528">
        <f t="shared" si="84"/>
        <v>0.22015869356249992</v>
      </c>
      <c r="EM14" s="528">
        <f t="shared" si="85"/>
        <v>1.7860499999999994E-2</v>
      </c>
      <c r="EN14" s="528">
        <f t="shared" si="86"/>
        <v>2.5433477817734099E-2</v>
      </c>
      <c r="EO14">
        <f t="shared" si="87"/>
        <v>1.0800000000000001E-2</v>
      </c>
      <c r="EP14" s="460">
        <f t="shared" si="123"/>
        <v>28.660499999999995</v>
      </c>
      <c r="EQ14" s="528">
        <f t="shared" si="88"/>
        <v>0.28153130472046484</v>
      </c>
      <c r="ER14" s="460">
        <f t="shared" si="124"/>
        <v>281.53130472046485</v>
      </c>
      <c r="ES14" s="528">
        <f t="shared" si="125"/>
        <v>7.8119999999999995E-2</v>
      </c>
      <c r="ET14" s="528"/>
      <c r="EV14" s="460">
        <f t="shared" si="126"/>
        <v>78.11999999999999</v>
      </c>
      <c r="EW14" s="528">
        <f t="shared" si="89"/>
        <v>4.0833333333333329E-3</v>
      </c>
      <c r="EX14" s="528">
        <f t="shared" si="90"/>
        <v>2.0153197077160494E-2</v>
      </c>
      <c r="EY14" s="528">
        <f t="shared" si="91"/>
        <v>2.7739444668786122E-2</v>
      </c>
      <c r="EZ14" s="528">
        <f t="shared" si="92"/>
        <v>5.7905015711735876E-2</v>
      </c>
      <c r="FA14" s="528">
        <f t="shared" si="93"/>
        <v>8.8199999999999987E-2</v>
      </c>
      <c r="FB14" s="460">
        <f t="shared" si="127"/>
        <v>146.10501571173586</v>
      </c>
      <c r="FC14" s="173">
        <f t="shared" si="128"/>
        <v>0.50575632043220065</v>
      </c>
      <c r="FD14" s="5">
        <f t="shared" si="129"/>
        <v>2.16</v>
      </c>
      <c r="FE14" s="173">
        <f t="shared" si="130"/>
        <v>0.81027661209851243</v>
      </c>
      <c r="FF14" s="5">
        <f t="shared" si="131"/>
        <v>81.027661209851246</v>
      </c>
      <c r="FI14" s="562">
        <f t="shared" si="94"/>
        <v>-50</v>
      </c>
      <c r="FJ14">
        <f t="shared" si="95"/>
        <v>-50</v>
      </c>
      <c r="FL14">
        <f t="shared" si="96"/>
        <v>0.12143928035982007</v>
      </c>
    </row>
    <row r="15" spans="2:168">
      <c r="E15" s="170">
        <v>10</v>
      </c>
      <c r="F15" s="217">
        <f t="shared" si="97"/>
        <v>0.1</v>
      </c>
      <c r="G15" s="217"/>
      <c r="H15" s="217">
        <f t="shared" si="0"/>
        <v>2.4000000000000004</v>
      </c>
      <c r="I15" s="541">
        <f t="shared" si="1"/>
        <v>23.92301996410805</v>
      </c>
      <c r="J15" s="172">
        <f t="shared" si="2"/>
        <v>16.356177530509115</v>
      </c>
      <c r="K15" s="172">
        <f t="shared" si="3"/>
        <v>40.356177530509115</v>
      </c>
      <c r="L15" s="443"/>
      <c r="M15" s="217">
        <f t="shared" si="4"/>
        <v>0.40607233723486735</v>
      </c>
      <c r="N15" s="172">
        <f t="shared" si="5"/>
        <v>54.319035772820321</v>
      </c>
      <c r="O15" s="172">
        <f t="shared" si="98"/>
        <v>2.4000000000000004</v>
      </c>
      <c r="P15" s="217">
        <f t="shared" si="6"/>
        <v>2.2632931572008466</v>
      </c>
      <c r="Q15" s="217">
        <f t="shared" si="7"/>
        <v>24</v>
      </c>
      <c r="R15" s="217">
        <f t="shared" si="8"/>
        <v>2.2487214422550341</v>
      </c>
      <c r="S15" s="172">
        <f t="shared" si="9"/>
        <v>1293.2039300050785</v>
      </c>
      <c r="T15" s="172">
        <f t="shared" si="10"/>
        <v>24</v>
      </c>
      <c r="U15" s="217">
        <f t="shared" si="99"/>
        <v>0.50485958772574246</v>
      </c>
      <c r="V15" s="217">
        <f t="shared" si="11"/>
        <v>0.211035056812722</v>
      </c>
      <c r="W15" s="217">
        <f t="shared" si="12"/>
        <v>0.30866599899886749</v>
      </c>
      <c r="X15" s="197">
        <f t="shared" si="13"/>
        <v>350</v>
      </c>
      <c r="Y15" s="443">
        <f t="shared" si="14"/>
        <v>350</v>
      </c>
      <c r="AA15" s="217">
        <f t="shared" si="15"/>
        <v>2.7755494217307022</v>
      </c>
      <c r="AB15" s="173">
        <f t="shared" si="16"/>
        <v>1.6969425873212007</v>
      </c>
      <c r="AC15" s="173">
        <f t="shared" si="17"/>
        <v>0.54976868227843745</v>
      </c>
      <c r="AD15" s="173"/>
      <c r="AE15" s="173">
        <f t="shared" si="18"/>
        <v>1.3586439851714256</v>
      </c>
      <c r="AF15" s="545">
        <f t="shared" si="100"/>
        <v>99.314121437124271</v>
      </c>
      <c r="AG15" s="528">
        <f t="shared" si="19"/>
        <v>0.35241715370918814</v>
      </c>
      <c r="AI15" s="173">
        <f t="shared" si="20"/>
        <v>1.1837472049897215</v>
      </c>
      <c r="AJ15" s="173">
        <f t="shared" si="21"/>
        <v>2.2222222222222223</v>
      </c>
      <c r="AK15" s="173">
        <f t="shared" si="22"/>
        <v>1.0567509265354995</v>
      </c>
      <c r="AM15" s="545">
        <f t="shared" si="23"/>
        <v>100</v>
      </c>
      <c r="AN15" s="460">
        <f t="shared" si="24"/>
        <v>99.314121437124271</v>
      </c>
      <c r="AP15">
        <f t="shared" si="25"/>
        <v>100</v>
      </c>
      <c r="AQ15" s="460">
        <f t="shared" si="26"/>
        <v>99.314121437124271</v>
      </c>
      <c r="AR15" s="460"/>
      <c r="AS15" s="5">
        <f t="shared" si="101"/>
        <v>10.069061534548233</v>
      </c>
      <c r="AT15" s="5">
        <f t="shared" si="27"/>
        <v>0.92890539135788264</v>
      </c>
      <c r="AU15" s="5">
        <f t="shared" si="102"/>
        <v>9.1401561431903495</v>
      </c>
      <c r="AV15" s="5">
        <f t="shared" si="28"/>
        <v>1.3586439851714256</v>
      </c>
      <c r="AW15" s="173">
        <f t="shared" si="103"/>
        <v>9.2253422840916199E-2</v>
      </c>
      <c r="AX15" s="173">
        <f t="shared" si="29"/>
        <v>2.4522005293117113</v>
      </c>
      <c r="AY15" s="173">
        <f t="shared" si="30"/>
        <v>0.67274107440567665</v>
      </c>
      <c r="AZ15" s="173">
        <f t="shared" si="104"/>
        <v>3.6450881663172896</v>
      </c>
      <c r="BA15" s="460">
        <f t="shared" si="31"/>
        <v>0.38704391306578445</v>
      </c>
      <c r="BB15" s="5">
        <f t="shared" si="32"/>
        <v>0.76413062873361459</v>
      </c>
      <c r="BC15" s="5"/>
      <c r="BD15" s="173">
        <f t="shared" si="105"/>
        <v>0.38968896078524823</v>
      </c>
      <c r="BE15" s="173">
        <f t="shared" si="33"/>
        <v>0.81533296686517276</v>
      </c>
      <c r="BF15" s="173"/>
      <c r="BG15" s="528">
        <f t="shared" si="34"/>
        <v>6.0742994463154698E-3</v>
      </c>
      <c r="BH15" s="528">
        <f t="shared" si="35"/>
        <v>0.20039691580015642</v>
      </c>
      <c r="BI15" s="528">
        <f t="shared" si="36"/>
        <v>9.5035748394327019E-2</v>
      </c>
      <c r="BJ15" s="528">
        <f t="shared" si="37"/>
        <v>2.8305387287091591E-2</v>
      </c>
      <c r="BK15">
        <f t="shared" si="38"/>
        <v>1.0765358983848622E-2</v>
      </c>
      <c r="BL15" s="460">
        <f t="shared" si="106"/>
        <v>105.80110737817563</v>
      </c>
      <c r="BM15" s="528">
        <f t="shared" si="39"/>
        <v>0.2367583657355404</v>
      </c>
      <c r="BN15" s="460">
        <f t="shared" si="107"/>
        <v>236.75836573554039</v>
      </c>
      <c r="BO15" s="528">
        <f t="shared" si="108"/>
        <v>8.6799999999999988E-2</v>
      </c>
      <c r="BP15" s="528"/>
      <c r="BR15" s="460">
        <f t="shared" si="109"/>
        <v>86.799999999999983</v>
      </c>
      <c r="BS15" s="528">
        <f t="shared" si="40"/>
        <v>4.5557245847366026E-3</v>
      </c>
      <c r="BT15" s="528">
        <f t="shared" si="41"/>
        <v>1.9943035405714949E-2</v>
      </c>
      <c r="BU15" s="528">
        <f t="shared" si="42"/>
        <v>3.6000000000000004E-2</v>
      </c>
      <c r="BV15" s="528">
        <f t="shared" si="43"/>
        <v>6.6508813064040398E-2</v>
      </c>
      <c r="BW15" s="528">
        <f t="shared" si="44"/>
        <v>9.808802117246844E-2</v>
      </c>
      <c r="BX15" s="460">
        <f t="shared" si="110"/>
        <v>164.59683423650884</v>
      </c>
      <c r="BY15" s="173">
        <f t="shared" si="45"/>
        <v>0.59395630735022487</v>
      </c>
      <c r="BZ15" s="5">
        <f t="shared" si="111"/>
        <v>2.4000000000000004</v>
      </c>
      <c r="CA15" s="173">
        <f t="shared" si="112"/>
        <v>0.8016149047025003</v>
      </c>
      <c r="CB15" s="5">
        <f t="shared" si="113"/>
        <v>80.16149047025003</v>
      </c>
      <c r="CE15" s="562">
        <f t="shared" si="46"/>
        <v>-50</v>
      </c>
      <c r="CF15">
        <f t="shared" si="47"/>
        <v>-50</v>
      </c>
      <c r="CG15" s="173">
        <f t="shared" si="48"/>
        <v>0.13633083567820997</v>
      </c>
      <c r="CI15" s="170">
        <v>10</v>
      </c>
      <c r="CJ15" s="217">
        <f t="shared" si="114"/>
        <v>0.1</v>
      </c>
      <c r="CK15" s="217"/>
      <c r="CL15" s="217">
        <f t="shared" si="49"/>
        <v>2.4000000000000004</v>
      </c>
      <c r="CM15" s="541">
        <f t="shared" si="50"/>
        <v>24</v>
      </c>
      <c r="CN15" s="172">
        <f t="shared" si="51"/>
        <v>16.3415</v>
      </c>
      <c r="CO15" s="443">
        <f t="shared" si="52"/>
        <v>40.341499999999996</v>
      </c>
      <c r="CP15" s="443"/>
      <c r="CQ15" s="217">
        <f t="shared" si="53"/>
        <v>0.40507913686898112</v>
      </c>
      <c r="CR15" s="172">
        <f t="shared" si="54"/>
        <v>54.360539956785601</v>
      </c>
      <c r="CS15" s="172">
        <f t="shared" si="115"/>
        <v>2.4000000000000004</v>
      </c>
      <c r="CT15" s="217">
        <f t="shared" si="55"/>
        <v>2.2650224981994</v>
      </c>
      <c r="CU15" s="217">
        <f t="shared" si="56"/>
        <v>24</v>
      </c>
      <c r="CV15" s="217">
        <f t="shared" si="57"/>
        <v>2.250439649272117</v>
      </c>
      <c r="CW15" s="172">
        <f t="shared" si="58"/>
        <v>1297.3651863357388</v>
      </c>
      <c r="CX15" s="172">
        <f t="shared" si="59"/>
        <v>24</v>
      </c>
      <c r="CY15" s="217">
        <f t="shared" si="60"/>
        <v>0.49373068567756945</v>
      </c>
      <c r="CZ15" s="217">
        <f t="shared" si="61"/>
        <v>0.2057211190323206</v>
      </c>
      <c r="DA15" s="217">
        <f t="shared" si="62"/>
        <v>0.30213302675860199</v>
      </c>
      <c r="DB15" s="197">
        <f t="shared" si="63"/>
        <v>350</v>
      </c>
      <c r="DC15" s="443">
        <f t="shared" si="116"/>
        <v>350</v>
      </c>
      <c r="DE15" s="217">
        <f t="shared" si="64"/>
        <v>2.7776855099587272</v>
      </c>
      <c r="DF15" s="173">
        <f t="shared" si="65"/>
        <v>1.6997738946600542</v>
      </c>
      <c r="DG15" s="173">
        <f t="shared" si="66"/>
        <v>0.55110977087390545</v>
      </c>
      <c r="DH15" s="173"/>
      <c r="DI15" s="173">
        <f t="shared" si="67"/>
        <v>1.3598642855443031</v>
      </c>
      <c r="DJ15" s="545">
        <f t="shared" si="117"/>
        <v>99.224999999999966</v>
      </c>
      <c r="DK15" s="528">
        <f t="shared" si="68"/>
        <v>0.35273368606701955</v>
      </c>
      <c r="DM15" s="173">
        <f t="shared" si="69"/>
        <v>1.1832159566199232</v>
      </c>
      <c r="DN15" s="173">
        <f t="shared" si="70"/>
        <v>2.2222222222222223</v>
      </c>
      <c r="DO15" s="173">
        <f t="shared" si="71"/>
        <v>1.0567</v>
      </c>
      <c r="DQ15" s="545">
        <f t="shared" si="72"/>
        <v>100</v>
      </c>
      <c r="DR15" s="460">
        <f t="shared" si="73"/>
        <v>99.224999999999966</v>
      </c>
      <c r="DT15">
        <f t="shared" si="74"/>
        <v>100</v>
      </c>
      <c r="DU15" s="460">
        <f t="shared" si="75"/>
        <v>99.224999999999966</v>
      </c>
      <c r="DV15" s="460"/>
      <c r="DW15" s="5">
        <f t="shared" si="118"/>
        <v>10.078105316200558</v>
      </c>
      <c r="DX15" s="5">
        <f t="shared" si="76"/>
        <v>0.92592592592592615</v>
      </c>
      <c r="DY15" s="5">
        <f t="shared" si="119"/>
        <v>9.1521793902746325</v>
      </c>
      <c r="DZ15" s="5">
        <f t="shared" si="77"/>
        <v>1.3598642855443031</v>
      </c>
      <c r="EA15" s="173">
        <f t="shared" si="120"/>
        <v>9.1874999999999984E-2</v>
      </c>
      <c r="EB15" s="173">
        <f t="shared" si="78"/>
        <v>2.4499999999999993</v>
      </c>
      <c r="EC15" s="173">
        <f t="shared" si="79"/>
        <v>0.67302152777777791</v>
      </c>
      <c r="ED15" s="173">
        <f t="shared" si="121"/>
        <v>3.6402996024355319</v>
      </c>
      <c r="EE15" s="460">
        <f t="shared" si="80"/>
        <v>0.38580246913580257</v>
      </c>
      <c r="EF15" s="5">
        <f t="shared" si="81"/>
        <v>0.76268161585621941</v>
      </c>
      <c r="EG15" s="5"/>
      <c r="EH15" s="173">
        <f t="shared" si="122"/>
        <v>0.3888888888888889</v>
      </c>
      <c r="EI15" s="173">
        <f t="shared" si="82"/>
        <v>0.81550289781057717</v>
      </c>
      <c r="EJ15" s="173"/>
      <c r="EK15" s="528">
        <f t="shared" si="83"/>
        <v>6.0493827160493828E-3</v>
      </c>
      <c r="EL15" s="528">
        <f t="shared" si="84"/>
        <v>0.2446207706249999</v>
      </c>
      <c r="EM15" s="528">
        <f t="shared" si="85"/>
        <v>1.9844999999999995E-2</v>
      </c>
      <c r="EN15" s="528">
        <f t="shared" si="86"/>
        <v>2.8259419797482331E-2</v>
      </c>
      <c r="EO15">
        <f t="shared" si="87"/>
        <v>1.0800000000000001E-2</v>
      </c>
      <c r="EP15" s="460">
        <f t="shared" si="123"/>
        <v>30.644999999999996</v>
      </c>
      <c r="EQ15" s="528">
        <f t="shared" si="88"/>
        <v>0.31165585982772387</v>
      </c>
      <c r="ER15" s="460">
        <f t="shared" si="124"/>
        <v>311.65585982772387</v>
      </c>
      <c r="ES15" s="528">
        <f t="shared" si="125"/>
        <v>8.6799999999999988E-2</v>
      </c>
      <c r="ET15" s="528"/>
      <c r="EV15" s="460">
        <f t="shared" si="126"/>
        <v>86.799999999999983</v>
      </c>
      <c r="EW15" s="528">
        <f t="shared" si="89"/>
        <v>4.5370370370370373E-3</v>
      </c>
      <c r="EX15" s="528">
        <f t="shared" si="90"/>
        <v>1.9951349290123457E-2</v>
      </c>
      <c r="EY15" s="528">
        <f t="shared" si="91"/>
        <v>3.6098693901884464E-2</v>
      </c>
      <c r="EZ15" s="528">
        <f t="shared" si="92"/>
        <v>6.6594756798110319E-2</v>
      </c>
      <c r="FA15" s="528">
        <f t="shared" si="93"/>
        <v>9.8000000000000004E-2</v>
      </c>
      <c r="FB15" s="460">
        <f t="shared" si="127"/>
        <v>164.5947567981103</v>
      </c>
      <c r="FC15" s="173">
        <f t="shared" si="128"/>
        <v>0.56305061662583422</v>
      </c>
      <c r="FD15" s="5">
        <f t="shared" si="129"/>
        <v>2.4000000000000004</v>
      </c>
      <c r="FE15" s="173">
        <f t="shared" si="130"/>
        <v>0.80997603838877152</v>
      </c>
      <c r="FF15" s="5">
        <f t="shared" si="131"/>
        <v>80.997603838877154</v>
      </c>
      <c r="FI15" s="562">
        <f t="shared" si="94"/>
        <v>-50</v>
      </c>
      <c r="FJ15">
        <f t="shared" si="95"/>
        <v>-50</v>
      </c>
      <c r="FL15">
        <f t="shared" si="96"/>
        <v>0.13493253373313341</v>
      </c>
    </row>
    <row r="16" spans="2:168">
      <c r="E16" s="170">
        <v>11</v>
      </c>
      <c r="F16" s="217">
        <f t="shared" si="97"/>
        <v>0.11</v>
      </c>
      <c r="G16" s="217"/>
      <c r="H16" s="217">
        <f t="shared" si="0"/>
        <v>2.64</v>
      </c>
      <c r="I16" s="541">
        <f t="shared" si="1"/>
        <v>23.92301996410805</v>
      </c>
      <c r="J16" s="172">
        <f t="shared" si="2"/>
        <v>16.356177530509115</v>
      </c>
      <c r="K16" s="172">
        <f t="shared" si="3"/>
        <v>40.356177530509115</v>
      </c>
      <c r="L16" s="443"/>
      <c r="M16" s="217">
        <f t="shared" si="4"/>
        <v>0.40607233723486735</v>
      </c>
      <c r="N16" s="172">
        <f t="shared" si="5"/>
        <v>54.319035772820321</v>
      </c>
      <c r="O16" s="172">
        <f t="shared" si="98"/>
        <v>2.64</v>
      </c>
      <c r="P16" s="217">
        <f t="shared" si="6"/>
        <v>2.2632931572008466</v>
      </c>
      <c r="Q16" s="217">
        <f t="shared" si="7"/>
        <v>24</v>
      </c>
      <c r="R16" s="217">
        <f t="shared" si="8"/>
        <v>2.2487214422550341</v>
      </c>
      <c r="S16" s="172">
        <f t="shared" si="9"/>
        <v>1172.3820248149336</v>
      </c>
      <c r="T16" s="172">
        <f t="shared" si="10"/>
        <v>24</v>
      </c>
      <c r="U16" s="217">
        <f t="shared" si="99"/>
        <v>0.55534554649831669</v>
      </c>
      <c r="V16" s="217">
        <f t="shared" si="11"/>
        <v>0.2321385624939942</v>
      </c>
      <c r="W16" s="217">
        <f t="shared" si="12"/>
        <v>0.33953259889875426</v>
      </c>
      <c r="X16" s="197">
        <f t="shared" si="13"/>
        <v>350</v>
      </c>
      <c r="Y16" s="443">
        <f t="shared" si="14"/>
        <v>350</v>
      </c>
      <c r="AA16" s="217">
        <f t="shared" si="15"/>
        <v>2.7755494217307022</v>
      </c>
      <c r="AB16" s="173">
        <f t="shared" si="16"/>
        <v>1.6969425873212007</v>
      </c>
      <c r="AC16" s="173">
        <f t="shared" si="17"/>
        <v>0.54976868227843745</v>
      </c>
      <c r="AD16" s="173"/>
      <c r="AE16" s="173">
        <f t="shared" si="18"/>
        <v>1.3586439851714256</v>
      </c>
      <c r="AF16" s="545">
        <f t="shared" si="100"/>
        <v>109.24553358083669</v>
      </c>
      <c r="AG16" s="528">
        <f t="shared" si="19"/>
        <v>0.35241715370918814</v>
      </c>
      <c r="AI16" s="173">
        <f t="shared" si="20"/>
        <v>1.241524542589906</v>
      </c>
      <c r="AJ16" s="173">
        <f t="shared" si="21"/>
        <v>2.2222222222222223</v>
      </c>
      <c r="AK16" s="173">
        <f t="shared" si="22"/>
        <v>1.0624260191890496</v>
      </c>
      <c r="AM16" s="545">
        <f t="shared" si="23"/>
        <v>110</v>
      </c>
      <c r="AN16" s="460">
        <f t="shared" si="24"/>
        <v>109.24553358083669</v>
      </c>
      <c r="AP16">
        <f t="shared" si="25"/>
        <v>110</v>
      </c>
      <c r="AQ16" s="460">
        <f t="shared" si="26"/>
        <v>109.24553358083669</v>
      </c>
      <c r="AR16" s="460"/>
      <c r="AS16" s="5">
        <f t="shared" si="101"/>
        <v>9.1536923041347578</v>
      </c>
      <c r="AT16" s="5">
        <f t="shared" si="27"/>
        <v>0.92890539135788264</v>
      </c>
      <c r="AU16" s="5">
        <f t="shared" si="102"/>
        <v>8.2247869127768745</v>
      </c>
      <c r="AV16" s="5">
        <f t="shared" si="28"/>
        <v>1.3586439851714256</v>
      </c>
      <c r="AW16" s="173">
        <f t="shared" si="103"/>
        <v>0.10147876512500781</v>
      </c>
      <c r="AX16" s="173">
        <f t="shared" si="29"/>
        <v>2.6974205822428816</v>
      </c>
      <c r="AY16" s="173">
        <f t="shared" si="30"/>
        <v>0.66590407073513325</v>
      </c>
      <c r="AZ16" s="173">
        <f t="shared" si="104"/>
        <v>4.0507645181760639</v>
      </c>
      <c r="BA16" s="460">
        <f t="shared" si="31"/>
        <v>0.42574830437236288</v>
      </c>
      <c r="BB16" s="5">
        <f t="shared" si="32"/>
        <v>0.75636484169877083</v>
      </c>
      <c r="BC16" s="5"/>
      <c r="BD16" s="173">
        <f t="shared" si="105"/>
        <v>0.40870923010579957</v>
      </c>
      <c r="BE16" s="173">
        <f t="shared" si="33"/>
        <v>0.81117931084393124</v>
      </c>
      <c r="BF16" s="173"/>
      <c r="BG16" s="528">
        <f t="shared" si="34"/>
        <v>6.6817293909470169E-3</v>
      </c>
      <c r="BH16" s="528">
        <f t="shared" si="35"/>
        <v>0.22043660738017207</v>
      </c>
      <c r="BI16" s="528">
        <f t="shared" si="36"/>
        <v>0.10453932323375971</v>
      </c>
      <c r="BJ16" s="528">
        <f t="shared" si="37"/>
        <v>3.1135926015800747E-2</v>
      </c>
      <c r="BK16">
        <f t="shared" si="38"/>
        <v>1.0765358983848622E-2</v>
      </c>
      <c r="BL16" s="460">
        <f t="shared" si="106"/>
        <v>115.30468221760833</v>
      </c>
      <c r="BM16" s="528">
        <f t="shared" si="39"/>
        <v>0.26047184933538103</v>
      </c>
      <c r="BN16" s="460">
        <f t="shared" si="107"/>
        <v>260.47184933538102</v>
      </c>
      <c r="BO16" s="528">
        <f t="shared" si="108"/>
        <v>9.5479999999999995E-2</v>
      </c>
      <c r="BP16" s="528"/>
      <c r="BR16" s="460">
        <f t="shared" si="109"/>
        <v>95.47999999999999</v>
      </c>
      <c r="BS16" s="528">
        <f t="shared" si="40"/>
        <v>5.0112970432102623E-3</v>
      </c>
      <c r="BT16" s="528">
        <f t="shared" si="41"/>
        <v>1.9740356230237056E-2</v>
      </c>
      <c r="BU16" s="528">
        <f t="shared" si="42"/>
        <v>3.9600000000000003E-2</v>
      </c>
      <c r="BV16" s="528">
        <f t="shared" si="43"/>
        <v>7.0431513771746862E-2</v>
      </c>
      <c r="BW16" s="528">
        <f t="shared" si="44"/>
        <v>0.10789682328971528</v>
      </c>
      <c r="BX16" s="460">
        <f t="shared" si="110"/>
        <v>178.32833706146215</v>
      </c>
      <c r="BY16" s="173">
        <f t="shared" si="45"/>
        <v>0.64958486861445153</v>
      </c>
      <c r="BZ16" s="5">
        <f t="shared" si="111"/>
        <v>2.64</v>
      </c>
      <c r="CA16" s="173">
        <f t="shared" si="112"/>
        <v>0.80253287434166376</v>
      </c>
      <c r="CB16" s="5">
        <f t="shared" si="113"/>
        <v>80.253287434166381</v>
      </c>
      <c r="CE16" s="562">
        <f t="shared" si="46"/>
        <v>-50</v>
      </c>
      <c r="CF16">
        <f t="shared" si="47"/>
        <v>-50</v>
      </c>
      <c r="CG16" s="173">
        <f t="shared" si="48"/>
        <v>0.14996391924603095</v>
      </c>
      <c r="CI16" s="170">
        <v>11</v>
      </c>
      <c r="CJ16" s="217">
        <f t="shared" si="114"/>
        <v>0.11</v>
      </c>
      <c r="CK16" s="217"/>
      <c r="CL16" s="217">
        <f t="shared" si="49"/>
        <v>2.64</v>
      </c>
      <c r="CM16" s="541">
        <f t="shared" si="50"/>
        <v>24</v>
      </c>
      <c r="CN16" s="172">
        <f t="shared" si="51"/>
        <v>16.3415</v>
      </c>
      <c r="CO16" s="443">
        <f t="shared" si="52"/>
        <v>40.341499999999996</v>
      </c>
      <c r="CP16" s="443"/>
      <c r="CQ16" s="217">
        <f t="shared" si="53"/>
        <v>0.40507913686898112</v>
      </c>
      <c r="CR16" s="172">
        <f t="shared" si="54"/>
        <v>54.360539956785601</v>
      </c>
      <c r="CS16" s="172">
        <f t="shared" si="115"/>
        <v>2.64</v>
      </c>
      <c r="CT16" s="217">
        <f t="shared" si="55"/>
        <v>2.2650224981994</v>
      </c>
      <c r="CU16" s="217">
        <f t="shared" si="56"/>
        <v>24</v>
      </c>
      <c r="CV16" s="217">
        <f t="shared" si="57"/>
        <v>2.250439649272117</v>
      </c>
      <c r="CW16" s="172">
        <f t="shared" si="58"/>
        <v>1176.1544930894192</v>
      </c>
      <c r="CX16" s="172">
        <f t="shared" si="59"/>
        <v>24</v>
      </c>
      <c r="CY16" s="217">
        <f t="shared" si="60"/>
        <v>0.54310375424532631</v>
      </c>
      <c r="CZ16" s="217">
        <f t="shared" si="61"/>
        <v>0.22629323093555265</v>
      </c>
      <c r="DA16" s="217">
        <f t="shared" si="62"/>
        <v>0.33234632943446218</v>
      </c>
      <c r="DB16" s="197">
        <f t="shared" si="63"/>
        <v>350</v>
      </c>
      <c r="DC16" s="443">
        <f t="shared" si="116"/>
        <v>350</v>
      </c>
      <c r="DE16" s="217">
        <f t="shared" si="64"/>
        <v>2.7776855099587272</v>
      </c>
      <c r="DF16" s="173">
        <f t="shared" si="65"/>
        <v>1.6997738946600542</v>
      </c>
      <c r="DG16" s="173">
        <f t="shared" si="66"/>
        <v>0.55110977087390545</v>
      </c>
      <c r="DH16" s="173"/>
      <c r="DI16" s="173">
        <f t="shared" si="67"/>
        <v>1.3598642855443031</v>
      </c>
      <c r="DJ16" s="545">
        <f t="shared" si="117"/>
        <v>109.14749999999997</v>
      </c>
      <c r="DK16" s="528">
        <f t="shared" si="68"/>
        <v>0.35273368606701955</v>
      </c>
      <c r="DM16" s="173">
        <f t="shared" si="69"/>
        <v>1.2409673645990855</v>
      </c>
      <c r="DN16" s="173">
        <f t="shared" si="70"/>
        <v>2.2222222222222223</v>
      </c>
      <c r="DO16" s="173">
        <f t="shared" si="71"/>
        <v>1.06237</v>
      </c>
      <c r="DQ16" s="545">
        <f t="shared" si="72"/>
        <v>110</v>
      </c>
      <c r="DR16" s="460">
        <f t="shared" si="73"/>
        <v>109.14749999999997</v>
      </c>
      <c r="DT16">
        <f t="shared" si="74"/>
        <v>110</v>
      </c>
      <c r="DU16" s="460">
        <f t="shared" si="75"/>
        <v>109.14749999999997</v>
      </c>
      <c r="DV16" s="460"/>
      <c r="DW16" s="5">
        <f t="shared" si="118"/>
        <v>9.1619139238186893</v>
      </c>
      <c r="DX16" s="5">
        <f t="shared" si="76"/>
        <v>0.92592592592592615</v>
      </c>
      <c r="DY16" s="5">
        <f t="shared" si="119"/>
        <v>8.2359879978927637</v>
      </c>
      <c r="DZ16" s="5">
        <f t="shared" si="77"/>
        <v>1.3598642855443031</v>
      </c>
      <c r="EA16" s="173">
        <f t="shared" si="120"/>
        <v>0.10106249999999999</v>
      </c>
      <c r="EB16" s="173">
        <f t="shared" si="78"/>
        <v>2.6949999999999998</v>
      </c>
      <c r="EC16" s="173">
        <f t="shared" si="79"/>
        <v>0.66621256944444451</v>
      </c>
      <c r="ED16" s="173">
        <f t="shared" si="121"/>
        <v>4.0452554088665176</v>
      </c>
      <c r="EE16" s="460">
        <f t="shared" si="80"/>
        <v>0.42438271604938282</v>
      </c>
      <c r="EF16" s="5">
        <f t="shared" si="81"/>
        <v>0.75496556647350321</v>
      </c>
      <c r="EG16" s="5"/>
      <c r="EH16" s="173">
        <f t="shared" si="122"/>
        <v>0.4078701076217256</v>
      </c>
      <c r="EI16" s="173">
        <f t="shared" si="82"/>
        <v>0.81136718985274936</v>
      </c>
      <c r="EJ16" s="173"/>
      <c r="EK16" s="528">
        <f t="shared" si="83"/>
        <v>6.6543209876543212E-3</v>
      </c>
      <c r="EL16" s="528">
        <f t="shared" si="84"/>
        <v>0.26908284768749996</v>
      </c>
      <c r="EM16" s="528">
        <f t="shared" si="85"/>
        <v>2.1829499999999991E-2</v>
      </c>
      <c r="EN16" s="528">
        <f t="shared" si="86"/>
        <v>3.1085361777230567E-2</v>
      </c>
      <c r="EO16">
        <f t="shared" si="87"/>
        <v>1.0800000000000001E-2</v>
      </c>
      <c r="EP16" s="460">
        <f t="shared" si="123"/>
        <v>32.629499999999993</v>
      </c>
      <c r="EQ16" s="528">
        <f t="shared" si="88"/>
        <v>0.34178908845383627</v>
      </c>
      <c r="ER16" s="460">
        <f t="shared" si="124"/>
        <v>341.78908845383626</v>
      </c>
      <c r="ES16" s="528">
        <f t="shared" si="125"/>
        <v>9.5479999999999995E-2</v>
      </c>
      <c r="ET16" s="528"/>
      <c r="EV16" s="460">
        <f t="shared" si="126"/>
        <v>95.47999999999999</v>
      </c>
      <c r="EW16" s="528">
        <f t="shared" si="89"/>
        <v>4.99074074074074E-3</v>
      </c>
      <c r="EX16" s="528">
        <f t="shared" si="90"/>
        <v>1.9749501503086422E-2</v>
      </c>
      <c r="EY16" s="528">
        <f t="shared" si="91"/>
        <v>4.5811361781735532E-2</v>
      </c>
      <c r="EZ16" s="528">
        <f t="shared" si="92"/>
        <v>7.6640951420396244E-2</v>
      </c>
      <c r="FA16" s="528">
        <f t="shared" si="93"/>
        <v>0.10779999999999999</v>
      </c>
      <c r="FB16" s="460">
        <f t="shared" si="127"/>
        <v>184.44095142039623</v>
      </c>
      <c r="FC16" s="173">
        <f t="shared" si="128"/>
        <v>0.62171003987423257</v>
      </c>
      <c r="FD16" s="5">
        <f t="shared" si="129"/>
        <v>2.64</v>
      </c>
      <c r="FE16" s="173">
        <f t="shared" si="130"/>
        <v>0.80939138296358037</v>
      </c>
      <c r="FF16" s="5">
        <f t="shared" si="131"/>
        <v>80.939138296358038</v>
      </c>
      <c r="FI16" s="562">
        <f t="shared" si="94"/>
        <v>-50</v>
      </c>
      <c r="FJ16">
        <f t="shared" si="95"/>
        <v>-50</v>
      </c>
      <c r="FL16">
        <f t="shared" si="96"/>
        <v>0.14842578710644674</v>
      </c>
    </row>
    <row r="17" spans="5:168">
      <c r="E17" s="170">
        <v>12</v>
      </c>
      <c r="F17" s="217">
        <f t="shared" si="97"/>
        <v>0.12</v>
      </c>
      <c r="G17" s="217"/>
      <c r="H17" s="217">
        <f t="shared" si="0"/>
        <v>2.88</v>
      </c>
      <c r="I17" s="541">
        <f t="shared" si="1"/>
        <v>23.92301996410805</v>
      </c>
      <c r="J17" s="172">
        <f t="shared" si="2"/>
        <v>16.356177530509115</v>
      </c>
      <c r="K17" s="172">
        <f t="shared" si="3"/>
        <v>40.356177530509115</v>
      </c>
      <c r="L17" s="443"/>
      <c r="M17" s="217">
        <f t="shared" si="4"/>
        <v>0.40607233723486735</v>
      </c>
      <c r="N17" s="172">
        <f t="shared" si="5"/>
        <v>54.319035772820321</v>
      </c>
      <c r="O17" s="172">
        <f t="shared" si="98"/>
        <v>2.88</v>
      </c>
      <c r="P17" s="217">
        <f t="shared" si="6"/>
        <v>2.2632931572008466</v>
      </c>
      <c r="Q17" s="217">
        <f t="shared" si="7"/>
        <v>24</v>
      </c>
      <c r="R17" s="217">
        <f t="shared" si="8"/>
        <v>2.2487214422550341</v>
      </c>
      <c r="S17" s="172">
        <f t="shared" si="9"/>
        <v>1071.69734965666</v>
      </c>
      <c r="T17" s="172">
        <f t="shared" si="10"/>
        <v>24</v>
      </c>
      <c r="U17" s="217">
        <f t="shared" si="99"/>
        <v>0.60583150527089091</v>
      </c>
      <c r="V17" s="217">
        <f t="shared" si="11"/>
        <v>0.2532420681752664</v>
      </c>
      <c r="W17" s="217">
        <f t="shared" si="12"/>
        <v>0.37039919879864092</v>
      </c>
      <c r="X17" s="197">
        <f t="shared" si="13"/>
        <v>350</v>
      </c>
      <c r="Y17" s="443">
        <f t="shared" si="14"/>
        <v>350</v>
      </c>
      <c r="AA17" s="217">
        <f t="shared" si="15"/>
        <v>2.7755494217307022</v>
      </c>
      <c r="AB17" s="173">
        <f t="shared" si="16"/>
        <v>1.6969425873212007</v>
      </c>
      <c r="AC17" s="173">
        <f t="shared" si="17"/>
        <v>0.54976868227843745</v>
      </c>
      <c r="AD17" s="173"/>
      <c r="AE17" s="173">
        <f t="shared" si="18"/>
        <v>1.3586439851714256</v>
      </c>
      <c r="AF17" s="545">
        <f t="shared" si="100"/>
        <v>119.17694572454913</v>
      </c>
      <c r="AG17" s="528">
        <f t="shared" si="19"/>
        <v>0.35241715370918814</v>
      </c>
      <c r="AI17" s="173">
        <f t="shared" si="20"/>
        <v>1.2967300931131247</v>
      </c>
      <c r="AJ17" s="173">
        <f t="shared" si="21"/>
        <v>2.2222222222222223</v>
      </c>
      <c r="AK17" s="173">
        <f t="shared" si="22"/>
        <v>1.0681011118425996</v>
      </c>
      <c r="AM17" s="545">
        <f t="shared" si="23"/>
        <v>120</v>
      </c>
      <c r="AN17" s="460">
        <f t="shared" si="24"/>
        <v>119.17694572454913</v>
      </c>
      <c r="AP17">
        <f t="shared" si="25"/>
        <v>120</v>
      </c>
      <c r="AQ17" s="460">
        <f t="shared" si="26"/>
        <v>119.17694572454913</v>
      </c>
      <c r="AR17" s="460"/>
      <c r="AS17" s="5">
        <f t="shared" si="101"/>
        <v>8.3908846121235268</v>
      </c>
      <c r="AT17" s="5">
        <f t="shared" si="27"/>
        <v>0.92890539135788264</v>
      </c>
      <c r="AU17" s="5">
        <f t="shared" si="102"/>
        <v>7.4619792207656443</v>
      </c>
      <c r="AV17" s="5">
        <f t="shared" si="28"/>
        <v>1.3586439851714256</v>
      </c>
      <c r="AW17" s="173">
        <f t="shared" si="103"/>
        <v>0.11070410740909944</v>
      </c>
      <c r="AX17" s="173">
        <f t="shared" si="29"/>
        <v>2.9426406351740533</v>
      </c>
      <c r="AY17" s="173">
        <f t="shared" si="30"/>
        <v>0.65906706706458973</v>
      </c>
      <c r="AZ17" s="173">
        <f t="shared" si="104"/>
        <v>4.4648576483729379</v>
      </c>
      <c r="BA17" s="460">
        <f t="shared" si="31"/>
        <v>0.46445269567894126</v>
      </c>
      <c r="BB17" s="5">
        <f t="shared" si="32"/>
        <v>0.74859905466392718</v>
      </c>
      <c r="BC17" s="5"/>
      <c r="BD17" s="173">
        <f t="shared" si="105"/>
        <v>0.42688286846565315</v>
      </c>
      <c r="BE17" s="173">
        <f t="shared" si="33"/>
        <v>0.80700427621252779</v>
      </c>
      <c r="BF17" s="173"/>
      <c r="BG17" s="528">
        <f t="shared" si="34"/>
        <v>7.2891593355785657E-3</v>
      </c>
      <c r="BH17" s="528">
        <f t="shared" si="35"/>
        <v>0.24047629896018771</v>
      </c>
      <c r="BI17" s="528">
        <f t="shared" si="36"/>
        <v>0.11404289807319243</v>
      </c>
      <c r="BJ17" s="528">
        <f t="shared" si="37"/>
        <v>3.3966464744509914E-2</v>
      </c>
      <c r="BK17">
        <f t="shared" si="38"/>
        <v>1.0765358983848622E-2</v>
      </c>
      <c r="BL17" s="460">
        <f t="shared" si="106"/>
        <v>124.80825705704105</v>
      </c>
      <c r="BM17" s="528">
        <f t="shared" si="39"/>
        <v>0.28419218972439431</v>
      </c>
      <c r="BN17" s="460">
        <f t="shared" si="107"/>
        <v>284.19218972439432</v>
      </c>
      <c r="BO17" s="528">
        <f t="shared" si="108"/>
        <v>0.10415999999999999</v>
      </c>
      <c r="BP17" s="528"/>
      <c r="BR17" s="460">
        <f t="shared" si="109"/>
        <v>104.15999999999998</v>
      </c>
      <c r="BS17" s="528">
        <f t="shared" si="40"/>
        <v>5.4668695016839236E-3</v>
      </c>
      <c r="BT17" s="528">
        <f t="shared" si="41"/>
        <v>1.9537677054759176E-2</v>
      </c>
      <c r="BU17" s="528">
        <f t="shared" si="42"/>
        <v>4.3199999999999995E-2</v>
      </c>
      <c r="BV17" s="528">
        <f t="shared" si="43"/>
        <v>7.4354373521540992E-2</v>
      </c>
      <c r="BW17" s="528">
        <f t="shared" si="44"/>
        <v>0.11770562540696214</v>
      </c>
      <c r="BX17" s="460">
        <f t="shared" si="110"/>
        <v>192.05999892850312</v>
      </c>
      <c r="BY17" s="173">
        <f t="shared" si="45"/>
        <v>0.70522044570993858</v>
      </c>
      <c r="BZ17" s="5">
        <f t="shared" si="111"/>
        <v>2.88</v>
      </c>
      <c r="CA17" s="173">
        <f t="shared" si="112"/>
        <v>0.80329788463808338</v>
      </c>
      <c r="CB17" s="5">
        <f t="shared" si="113"/>
        <v>80.329788463808342</v>
      </c>
      <c r="CE17" s="562">
        <f t="shared" si="46"/>
        <v>-50</v>
      </c>
      <c r="CF17">
        <f t="shared" si="47"/>
        <v>-50</v>
      </c>
      <c r="CG17" s="173">
        <f t="shared" si="48"/>
        <v>0.16359700281385195</v>
      </c>
      <c r="CI17" s="170">
        <v>12</v>
      </c>
      <c r="CJ17" s="217">
        <f t="shared" si="114"/>
        <v>0.12</v>
      </c>
      <c r="CK17" s="217"/>
      <c r="CL17" s="217">
        <f t="shared" si="49"/>
        <v>2.88</v>
      </c>
      <c r="CM17" s="541">
        <f t="shared" si="50"/>
        <v>24</v>
      </c>
      <c r="CN17" s="172">
        <f t="shared" si="51"/>
        <v>16.3415</v>
      </c>
      <c r="CO17" s="443">
        <f t="shared" si="52"/>
        <v>40.341499999999996</v>
      </c>
      <c r="CP17" s="443"/>
      <c r="CQ17" s="217">
        <f t="shared" si="53"/>
        <v>0.40507913686898112</v>
      </c>
      <c r="CR17" s="172">
        <f t="shared" si="54"/>
        <v>54.360539956785601</v>
      </c>
      <c r="CS17" s="172">
        <f t="shared" si="115"/>
        <v>2.88</v>
      </c>
      <c r="CT17" s="217">
        <f t="shared" si="55"/>
        <v>2.2650224981994</v>
      </c>
      <c r="CU17" s="217">
        <f t="shared" si="56"/>
        <v>24</v>
      </c>
      <c r="CV17" s="217">
        <f t="shared" si="57"/>
        <v>2.250439649272117</v>
      </c>
      <c r="CW17" s="172">
        <f t="shared" si="58"/>
        <v>1075.1458278854034</v>
      </c>
      <c r="CX17" s="172">
        <f t="shared" si="59"/>
        <v>24</v>
      </c>
      <c r="CY17" s="217">
        <f t="shared" si="60"/>
        <v>0.59247682281308323</v>
      </c>
      <c r="CZ17" s="217">
        <f t="shared" si="61"/>
        <v>0.24686534283878467</v>
      </c>
      <c r="DA17" s="217">
        <f t="shared" si="62"/>
        <v>0.36255963211032238</v>
      </c>
      <c r="DB17" s="197">
        <f t="shared" si="63"/>
        <v>350</v>
      </c>
      <c r="DC17" s="443">
        <f t="shared" si="116"/>
        <v>350</v>
      </c>
      <c r="DE17" s="217">
        <f t="shared" si="64"/>
        <v>2.7776855099587272</v>
      </c>
      <c r="DF17" s="173">
        <f t="shared" si="65"/>
        <v>1.6997738946600542</v>
      </c>
      <c r="DG17" s="173">
        <f t="shared" si="66"/>
        <v>0.55110977087390545</v>
      </c>
      <c r="DH17" s="173"/>
      <c r="DI17" s="173">
        <f t="shared" si="67"/>
        <v>1.3598642855443031</v>
      </c>
      <c r="DJ17" s="545">
        <f t="shared" si="117"/>
        <v>119.06999999999995</v>
      </c>
      <c r="DK17" s="528">
        <f t="shared" si="68"/>
        <v>0.35273368606701955</v>
      </c>
      <c r="DM17" s="173">
        <f t="shared" si="69"/>
        <v>1.2961481396815719</v>
      </c>
      <c r="DN17" s="173">
        <f t="shared" si="70"/>
        <v>2.2222222222222223</v>
      </c>
      <c r="DO17" s="173">
        <f t="shared" si="71"/>
        <v>1.0680399999999999</v>
      </c>
      <c r="DQ17" s="545">
        <f t="shared" si="72"/>
        <v>120</v>
      </c>
      <c r="DR17" s="460">
        <f t="shared" si="73"/>
        <v>119.06999999999995</v>
      </c>
      <c r="DT17">
        <f t="shared" si="74"/>
        <v>120</v>
      </c>
      <c r="DU17" s="460">
        <f t="shared" si="75"/>
        <v>119.06999999999995</v>
      </c>
      <c r="DV17" s="460"/>
      <c r="DW17" s="5">
        <f t="shared" si="118"/>
        <v>8.3984210968337987</v>
      </c>
      <c r="DX17" s="5">
        <f t="shared" si="76"/>
        <v>0.92592592592592615</v>
      </c>
      <c r="DY17" s="5">
        <f t="shared" si="119"/>
        <v>7.4724951709078722</v>
      </c>
      <c r="DZ17" s="5">
        <f t="shared" si="77"/>
        <v>1.3598642855443031</v>
      </c>
      <c r="EA17" s="173">
        <f t="shared" si="120"/>
        <v>0.11024999999999999</v>
      </c>
      <c r="EB17" s="173">
        <f t="shared" si="78"/>
        <v>2.9399999999999995</v>
      </c>
      <c r="EC17" s="173">
        <f t="shared" si="79"/>
        <v>0.65940361111111123</v>
      </c>
      <c r="ED17" s="173">
        <f t="shared" si="121"/>
        <v>4.4585743093611931</v>
      </c>
      <c r="EE17" s="460">
        <f t="shared" si="80"/>
        <v>0.46296296296296302</v>
      </c>
      <c r="EF17" s="5">
        <f t="shared" si="81"/>
        <v>0.74724951709078702</v>
      </c>
      <c r="EG17" s="5"/>
      <c r="EH17" s="173">
        <f t="shared" si="122"/>
        <v>0.42600643361512919</v>
      </c>
      <c r="EI17" s="173">
        <f t="shared" si="82"/>
        <v>0.80721029304738556</v>
      </c>
      <c r="EJ17" s="173"/>
      <c r="EK17" s="528">
        <f t="shared" si="83"/>
        <v>7.2592592592592587E-3</v>
      </c>
      <c r="EL17" s="528">
        <f t="shared" si="84"/>
        <v>0.29354492474999994</v>
      </c>
      <c r="EM17" s="528">
        <f t="shared" si="85"/>
        <v>2.3813999999999988E-2</v>
      </c>
      <c r="EN17" s="528">
        <f t="shared" si="86"/>
        <v>3.3911303756978796E-2</v>
      </c>
      <c r="EO17">
        <f t="shared" si="87"/>
        <v>1.0800000000000001E-2</v>
      </c>
      <c r="EP17" s="460">
        <f t="shared" si="123"/>
        <v>34.61399999999999</v>
      </c>
      <c r="EQ17" s="528">
        <f t="shared" si="88"/>
        <v>0.3719309943452847</v>
      </c>
      <c r="ER17" s="460">
        <f t="shared" si="124"/>
        <v>371.93099434528472</v>
      </c>
      <c r="ES17" s="528">
        <f t="shared" si="125"/>
        <v>0.10415999999999999</v>
      </c>
      <c r="ET17" s="528"/>
      <c r="EV17" s="460">
        <f t="shared" si="126"/>
        <v>104.15999999999998</v>
      </c>
      <c r="EW17" s="528">
        <f t="shared" si="89"/>
        <v>5.4444444444444436E-3</v>
      </c>
      <c r="EX17" s="528">
        <f t="shared" si="90"/>
        <v>1.9547653716049381E-2</v>
      </c>
      <c r="EY17" s="528">
        <f t="shared" si="91"/>
        <v>5.694355856602458E-2</v>
      </c>
      <c r="EZ17" s="528">
        <f t="shared" si="92"/>
        <v>8.810992443546932E-2</v>
      </c>
      <c r="FA17" s="528">
        <f t="shared" si="93"/>
        <v>0.11759999999999998</v>
      </c>
      <c r="FB17" s="460">
        <f t="shared" si="127"/>
        <v>205.7099244354693</v>
      </c>
      <c r="FC17" s="173">
        <f t="shared" si="128"/>
        <v>0.68180091878075388</v>
      </c>
      <c r="FD17" s="5">
        <f t="shared" si="129"/>
        <v>2.88</v>
      </c>
      <c r="FE17" s="173">
        <f t="shared" si="130"/>
        <v>0.80857972291889291</v>
      </c>
      <c r="FF17" s="5">
        <f t="shared" si="131"/>
        <v>80.857972291889297</v>
      </c>
      <c r="FI17" s="562">
        <f t="shared" si="94"/>
        <v>-50</v>
      </c>
      <c r="FJ17">
        <f t="shared" si="95"/>
        <v>-50</v>
      </c>
      <c r="FL17">
        <f t="shared" si="96"/>
        <v>0.16191904047976008</v>
      </c>
    </row>
    <row r="18" spans="5:168">
      <c r="E18" s="170">
        <v>13</v>
      </c>
      <c r="F18" s="217">
        <f t="shared" si="97"/>
        <v>0.13</v>
      </c>
      <c r="G18" s="217"/>
      <c r="H18" s="217">
        <f t="shared" si="0"/>
        <v>3.12</v>
      </c>
      <c r="I18" s="541">
        <f t="shared" si="1"/>
        <v>23.92301996410805</v>
      </c>
      <c r="J18" s="172">
        <f t="shared" si="2"/>
        <v>16.356177530509115</v>
      </c>
      <c r="K18" s="172">
        <f t="shared" si="3"/>
        <v>40.356177530509115</v>
      </c>
      <c r="L18" s="443"/>
      <c r="M18" s="217">
        <f t="shared" si="4"/>
        <v>0.40607233723486735</v>
      </c>
      <c r="N18" s="172">
        <f t="shared" si="5"/>
        <v>54.319035772820321</v>
      </c>
      <c r="O18" s="172">
        <f t="shared" si="98"/>
        <v>3.12</v>
      </c>
      <c r="P18" s="217">
        <f t="shared" si="6"/>
        <v>2.2632931572008466</v>
      </c>
      <c r="Q18" s="217">
        <f t="shared" si="7"/>
        <v>24</v>
      </c>
      <c r="R18" s="217">
        <f t="shared" si="8"/>
        <v>2.2487214422550341</v>
      </c>
      <c r="S18" s="172">
        <f t="shared" si="9"/>
        <v>986.50285331892155</v>
      </c>
      <c r="T18" s="172">
        <f t="shared" si="10"/>
        <v>24</v>
      </c>
      <c r="U18" s="217">
        <f t="shared" si="99"/>
        <v>0.65631746404346514</v>
      </c>
      <c r="V18" s="217">
        <f t="shared" si="11"/>
        <v>0.27434557385653857</v>
      </c>
      <c r="W18" s="217">
        <f t="shared" si="12"/>
        <v>0.40126579869852769</v>
      </c>
      <c r="X18" s="197">
        <f t="shared" si="13"/>
        <v>350</v>
      </c>
      <c r="Y18" s="443">
        <f t="shared" si="14"/>
        <v>350</v>
      </c>
      <c r="AA18" s="217">
        <f t="shared" si="15"/>
        <v>2.7755494217307022</v>
      </c>
      <c r="AB18" s="173">
        <f t="shared" si="16"/>
        <v>1.6969425873212007</v>
      </c>
      <c r="AC18" s="173">
        <f t="shared" si="17"/>
        <v>0.54976868227843745</v>
      </c>
      <c r="AD18" s="173"/>
      <c r="AE18" s="173">
        <f t="shared" si="18"/>
        <v>1.3586439851714256</v>
      </c>
      <c r="AF18" s="545">
        <f t="shared" si="100"/>
        <v>129.10835786826155</v>
      </c>
      <c r="AG18" s="528">
        <f t="shared" si="19"/>
        <v>0.35241715370918814</v>
      </c>
      <c r="AI18" s="173">
        <f t="shared" si="20"/>
        <v>1.3496794726590722</v>
      </c>
      <c r="AJ18" s="173">
        <f t="shared" si="21"/>
        <v>2.2222222222222223</v>
      </c>
      <c r="AK18" s="173">
        <f t="shared" si="22"/>
        <v>1.0737762044961494</v>
      </c>
      <c r="AM18" s="545">
        <f t="shared" si="23"/>
        <v>130</v>
      </c>
      <c r="AN18" s="460">
        <f t="shared" si="24"/>
        <v>129.10835786826155</v>
      </c>
      <c r="AP18">
        <f t="shared" si="25"/>
        <v>130</v>
      </c>
      <c r="AQ18" s="460">
        <f t="shared" si="26"/>
        <v>129.10835786826155</v>
      </c>
      <c r="AR18" s="460"/>
      <c r="AS18" s="5">
        <f t="shared" si="101"/>
        <v>7.7454319496524864</v>
      </c>
      <c r="AT18" s="5">
        <f t="shared" si="27"/>
        <v>0.92890539135788264</v>
      </c>
      <c r="AU18" s="5">
        <f t="shared" si="102"/>
        <v>6.816526558294604</v>
      </c>
      <c r="AV18" s="5">
        <f t="shared" si="28"/>
        <v>1.3586439851714256</v>
      </c>
      <c r="AW18" s="173">
        <f t="shared" si="103"/>
        <v>0.11992944969319107</v>
      </c>
      <c r="AX18" s="173">
        <f t="shared" si="29"/>
        <v>3.187860688105224</v>
      </c>
      <c r="AY18" s="173">
        <f t="shared" si="30"/>
        <v>0.65223006339404621</v>
      </c>
      <c r="AZ18" s="173">
        <f t="shared" si="104"/>
        <v>4.8876322436233224</v>
      </c>
      <c r="BA18" s="460">
        <f t="shared" si="31"/>
        <v>0.50315708698551975</v>
      </c>
      <c r="BB18" s="5">
        <f t="shared" si="32"/>
        <v>0.74083326762908353</v>
      </c>
      <c r="BC18" s="5"/>
      <c r="BD18" s="173">
        <f t="shared" si="105"/>
        <v>0.44431377651976178</v>
      </c>
      <c r="BE18" s="173">
        <f t="shared" si="33"/>
        <v>0.80280752942992251</v>
      </c>
      <c r="BF18" s="173"/>
      <c r="BG18" s="528">
        <f t="shared" si="34"/>
        <v>7.8965892802101128E-3</v>
      </c>
      <c r="BH18" s="528">
        <f t="shared" si="35"/>
        <v>0.26051599054020336</v>
      </c>
      <c r="BI18" s="528">
        <f t="shared" si="36"/>
        <v>0.12354647291262512</v>
      </c>
      <c r="BJ18" s="528">
        <f t="shared" si="37"/>
        <v>3.679700347321907E-2</v>
      </c>
      <c r="BK18">
        <f t="shared" si="38"/>
        <v>1.0765358983848622E-2</v>
      </c>
      <c r="BL18" s="460">
        <f t="shared" si="106"/>
        <v>134.31183189647376</v>
      </c>
      <c r="BM18" s="528">
        <f t="shared" si="39"/>
        <v>0.30791938987698658</v>
      </c>
      <c r="BN18" s="460">
        <f t="shared" si="107"/>
        <v>307.9193898769866</v>
      </c>
      <c r="BO18" s="528">
        <f t="shared" si="108"/>
        <v>0.11284</v>
      </c>
      <c r="BP18" s="528"/>
      <c r="BR18" s="460">
        <f t="shared" si="109"/>
        <v>112.83999999999999</v>
      </c>
      <c r="BS18" s="528">
        <f t="shared" si="40"/>
        <v>5.9224419601575842E-3</v>
      </c>
      <c r="BT18" s="528">
        <f t="shared" si="41"/>
        <v>1.9334997879281276E-2</v>
      </c>
      <c r="BU18" s="528">
        <f t="shared" si="42"/>
        <v>4.6800000000000001E-2</v>
      </c>
      <c r="BV18" s="528">
        <f t="shared" si="43"/>
        <v>7.8277392323095288E-2</v>
      </c>
      <c r="BW18" s="528">
        <f t="shared" si="44"/>
        <v>0.12751442752420897</v>
      </c>
      <c r="BX18" s="460">
        <f t="shared" si="110"/>
        <v>205.79181984730428</v>
      </c>
      <c r="BY18" s="173">
        <f t="shared" si="45"/>
        <v>0.76086304162076457</v>
      </c>
      <c r="BZ18" s="5">
        <f t="shared" si="111"/>
        <v>3.12</v>
      </c>
      <c r="CA18" s="173">
        <f t="shared" si="112"/>
        <v>0.80394488713958701</v>
      </c>
      <c r="CB18" s="5">
        <f t="shared" si="113"/>
        <v>80.394488713958694</v>
      </c>
      <c r="CE18" s="562">
        <f t="shared" si="46"/>
        <v>-50</v>
      </c>
      <c r="CF18">
        <f t="shared" si="47"/>
        <v>-50</v>
      </c>
      <c r="CG18" s="173">
        <f t="shared" si="48"/>
        <v>0.17723008638167295</v>
      </c>
      <c r="CI18" s="170">
        <v>13</v>
      </c>
      <c r="CJ18" s="217">
        <f t="shared" si="114"/>
        <v>0.13</v>
      </c>
      <c r="CK18" s="217"/>
      <c r="CL18" s="217">
        <f t="shared" si="49"/>
        <v>3.12</v>
      </c>
      <c r="CM18" s="541">
        <f t="shared" si="50"/>
        <v>24</v>
      </c>
      <c r="CN18" s="172">
        <f t="shared" si="51"/>
        <v>16.3415</v>
      </c>
      <c r="CO18" s="443">
        <f t="shared" si="52"/>
        <v>40.341499999999996</v>
      </c>
      <c r="CP18" s="443"/>
      <c r="CQ18" s="217">
        <f t="shared" si="53"/>
        <v>0.40507913686898112</v>
      </c>
      <c r="CR18" s="172">
        <f t="shared" si="54"/>
        <v>54.360539956785601</v>
      </c>
      <c r="CS18" s="172">
        <f t="shared" si="115"/>
        <v>3.12</v>
      </c>
      <c r="CT18" s="217">
        <f t="shared" si="55"/>
        <v>2.2650224981994</v>
      </c>
      <c r="CU18" s="217">
        <f t="shared" si="56"/>
        <v>24</v>
      </c>
      <c r="CV18" s="217">
        <f t="shared" si="57"/>
        <v>2.250439649272117</v>
      </c>
      <c r="CW18" s="172">
        <f t="shared" si="58"/>
        <v>989.67718612544047</v>
      </c>
      <c r="CX18" s="172">
        <f t="shared" si="59"/>
        <v>24</v>
      </c>
      <c r="CY18" s="217">
        <f t="shared" si="60"/>
        <v>0.64184989138084025</v>
      </c>
      <c r="CZ18" s="217">
        <f t="shared" si="61"/>
        <v>0.2674374547420168</v>
      </c>
      <c r="DA18" s="217">
        <f t="shared" si="62"/>
        <v>0.39277293478618264</v>
      </c>
      <c r="DB18" s="197">
        <f t="shared" si="63"/>
        <v>350</v>
      </c>
      <c r="DC18" s="443">
        <f t="shared" si="116"/>
        <v>350</v>
      </c>
      <c r="DE18" s="217">
        <f t="shared" si="64"/>
        <v>2.7776855099587272</v>
      </c>
      <c r="DF18" s="173">
        <f t="shared" si="65"/>
        <v>1.6997738946600542</v>
      </c>
      <c r="DG18" s="173">
        <f t="shared" si="66"/>
        <v>0.55110977087390545</v>
      </c>
      <c r="DH18" s="173"/>
      <c r="DI18" s="173">
        <f t="shared" si="67"/>
        <v>1.3598642855443031</v>
      </c>
      <c r="DJ18" s="545">
        <f t="shared" si="117"/>
        <v>128.99249999999998</v>
      </c>
      <c r="DK18" s="528">
        <f t="shared" si="68"/>
        <v>0.35273368606701955</v>
      </c>
      <c r="DM18" s="173">
        <f t="shared" si="69"/>
        <v>1.349073756323204</v>
      </c>
      <c r="DN18" s="173">
        <f t="shared" si="70"/>
        <v>2.2222222222222223</v>
      </c>
      <c r="DO18" s="173">
        <f t="shared" si="71"/>
        <v>1.0737099999999999</v>
      </c>
      <c r="DQ18" s="545">
        <f t="shared" si="72"/>
        <v>130</v>
      </c>
      <c r="DR18" s="460">
        <f t="shared" si="73"/>
        <v>128.99249999999998</v>
      </c>
      <c r="DT18">
        <f t="shared" si="74"/>
        <v>130</v>
      </c>
      <c r="DU18" s="460">
        <f t="shared" si="75"/>
        <v>128.99249999999998</v>
      </c>
      <c r="DV18" s="460"/>
      <c r="DW18" s="5">
        <f t="shared" si="118"/>
        <v>7.7523887047696585</v>
      </c>
      <c r="DX18" s="5">
        <f t="shared" si="76"/>
        <v>0.92592592592592615</v>
      </c>
      <c r="DY18" s="5">
        <f t="shared" si="119"/>
        <v>6.826462778843732</v>
      </c>
      <c r="DZ18" s="5">
        <f t="shared" si="77"/>
        <v>1.3598642855443031</v>
      </c>
      <c r="EA18" s="173">
        <f t="shared" si="120"/>
        <v>0.1194375</v>
      </c>
      <c r="EB18" s="173">
        <f t="shared" si="78"/>
        <v>3.1850000000000005</v>
      </c>
      <c r="EC18" s="173">
        <f t="shared" si="79"/>
        <v>0.65259465277777784</v>
      </c>
      <c r="ED18" s="173">
        <f t="shared" si="121"/>
        <v>4.8805180772520975</v>
      </c>
      <c r="EE18" s="460">
        <f t="shared" si="80"/>
        <v>0.50154320987654333</v>
      </c>
      <c r="EF18" s="5">
        <f t="shared" si="81"/>
        <v>0.73953346770807082</v>
      </c>
      <c r="EG18" s="5"/>
      <c r="EH18" s="173">
        <f t="shared" si="122"/>
        <v>0.44340155420522037</v>
      </c>
      <c r="EI18" s="173">
        <f t="shared" si="82"/>
        <v>0.80303187834216461</v>
      </c>
      <c r="EJ18" s="173"/>
      <c r="EK18" s="528">
        <f t="shared" si="83"/>
        <v>7.8641975308641997E-3</v>
      </c>
      <c r="EL18" s="528">
        <f t="shared" si="84"/>
        <v>0.31800700181249997</v>
      </c>
      <c r="EM18" s="528">
        <f t="shared" si="85"/>
        <v>2.5798499999999995E-2</v>
      </c>
      <c r="EN18" s="528">
        <f t="shared" si="86"/>
        <v>3.6737245736727042E-2</v>
      </c>
      <c r="EO18">
        <f t="shared" si="87"/>
        <v>1.0800000000000001E-2</v>
      </c>
      <c r="EP18" s="460">
        <f t="shared" si="123"/>
        <v>36.598499999999994</v>
      </c>
      <c r="EQ18" s="528">
        <f t="shared" si="88"/>
        <v>0.40208158125071086</v>
      </c>
      <c r="ER18" s="460">
        <f t="shared" si="124"/>
        <v>402.08158125071088</v>
      </c>
      <c r="ES18" s="528">
        <f t="shared" si="125"/>
        <v>0.11284</v>
      </c>
      <c r="ET18" s="528"/>
      <c r="EV18" s="460">
        <f t="shared" si="126"/>
        <v>112.83999999999999</v>
      </c>
      <c r="EW18" s="528">
        <f t="shared" si="89"/>
        <v>5.8981481481481489E-3</v>
      </c>
      <c r="EX18" s="528">
        <f t="shared" si="90"/>
        <v>1.934580592901235E-2</v>
      </c>
      <c r="EY18" s="528">
        <f t="shared" si="91"/>
        <v>6.9558445794027049E-2</v>
      </c>
      <c r="EZ18" s="528">
        <f t="shared" si="92"/>
        <v>0.1010650513709552</v>
      </c>
      <c r="FA18" s="528">
        <f t="shared" si="93"/>
        <v>0.12740000000000001</v>
      </c>
      <c r="FB18" s="460">
        <f t="shared" si="127"/>
        <v>228.46505137095522</v>
      </c>
      <c r="FC18" s="173">
        <f t="shared" si="128"/>
        <v>0.74338663262166604</v>
      </c>
      <c r="FD18" s="5">
        <f t="shared" si="129"/>
        <v>3.12</v>
      </c>
      <c r="FE18" s="173">
        <f t="shared" si="130"/>
        <v>0.80758161082179614</v>
      </c>
      <c r="FF18" s="5">
        <f t="shared" si="131"/>
        <v>80.758161082179612</v>
      </c>
      <c r="FI18" s="562">
        <f t="shared" si="94"/>
        <v>-50</v>
      </c>
      <c r="FJ18">
        <f t="shared" si="95"/>
        <v>-50</v>
      </c>
      <c r="FL18">
        <f t="shared" si="96"/>
        <v>0.17541229385307344</v>
      </c>
    </row>
    <row r="19" spans="5:168">
      <c r="E19" s="170">
        <v>14</v>
      </c>
      <c r="F19" s="217">
        <f t="shared" si="97"/>
        <v>0.14000000000000001</v>
      </c>
      <c r="G19" s="217"/>
      <c r="H19" s="217">
        <f t="shared" si="0"/>
        <v>3.3600000000000003</v>
      </c>
      <c r="I19" s="541">
        <f t="shared" si="1"/>
        <v>23.92301996410805</v>
      </c>
      <c r="J19" s="172">
        <f t="shared" si="2"/>
        <v>16.356177530509115</v>
      </c>
      <c r="K19" s="172">
        <f t="shared" si="3"/>
        <v>40.356177530509115</v>
      </c>
      <c r="L19" s="443"/>
      <c r="M19" s="217">
        <f t="shared" si="4"/>
        <v>0.40607233723486735</v>
      </c>
      <c r="N19" s="172">
        <f t="shared" si="5"/>
        <v>54.319035772820321</v>
      </c>
      <c r="O19" s="172">
        <f t="shared" si="98"/>
        <v>3.3600000000000003</v>
      </c>
      <c r="P19" s="217">
        <f t="shared" si="6"/>
        <v>2.2632931572008466</v>
      </c>
      <c r="Q19" s="217">
        <f t="shared" si="7"/>
        <v>24</v>
      </c>
      <c r="R19" s="217">
        <f t="shared" si="8"/>
        <v>2.2487214422550341</v>
      </c>
      <c r="S19" s="172">
        <f t="shared" si="9"/>
        <v>913.47921352680123</v>
      </c>
      <c r="T19" s="172">
        <f t="shared" si="10"/>
        <v>24</v>
      </c>
      <c r="U19" s="217">
        <f t="shared" si="99"/>
        <v>0.70680342281603947</v>
      </c>
      <c r="V19" s="217">
        <f t="shared" si="11"/>
        <v>0.2954490795378108</v>
      </c>
      <c r="W19" s="217">
        <f t="shared" si="12"/>
        <v>0.43213239859841446</v>
      </c>
      <c r="X19" s="197">
        <f t="shared" si="13"/>
        <v>350</v>
      </c>
      <c r="Y19" s="443">
        <f t="shared" si="14"/>
        <v>350</v>
      </c>
      <c r="AA19" s="217">
        <f t="shared" si="15"/>
        <v>2.7755494217307022</v>
      </c>
      <c r="AB19" s="173">
        <f t="shared" si="16"/>
        <v>1.6969425873212007</v>
      </c>
      <c r="AC19" s="173">
        <f t="shared" si="17"/>
        <v>0.54976868227843745</v>
      </c>
      <c r="AD19" s="173"/>
      <c r="AE19" s="173">
        <f t="shared" si="18"/>
        <v>1.3586439851714256</v>
      </c>
      <c r="AF19" s="545">
        <f t="shared" si="100"/>
        <v>139.03977001197399</v>
      </c>
      <c r="AG19" s="528">
        <f t="shared" si="19"/>
        <v>0.35241715370918814</v>
      </c>
      <c r="AI19" s="173">
        <f t="shared" si="20"/>
        <v>1.4006285815480737</v>
      </c>
      <c r="AJ19" s="173">
        <f t="shared" si="21"/>
        <v>2.2222222222222223</v>
      </c>
      <c r="AK19" s="173">
        <f t="shared" si="22"/>
        <v>1.0794512971496995</v>
      </c>
      <c r="AM19" s="545">
        <f t="shared" si="23"/>
        <v>140</v>
      </c>
      <c r="AN19" s="460">
        <f t="shared" si="24"/>
        <v>139.03977001197399</v>
      </c>
      <c r="AP19">
        <f t="shared" si="25"/>
        <v>140</v>
      </c>
      <c r="AQ19" s="460">
        <f t="shared" si="26"/>
        <v>139.03977001197399</v>
      </c>
      <c r="AR19" s="460"/>
      <c r="AS19" s="5">
        <f t="shared" si="101"/>
        <v>7.1921868103915942</v>
      </c>
      <c r="AT19" s="5">
        <f t="shared" si="27"/>
        <v>0.92890539135788264</v>
      </c>
      <c r="AU19" s="5">
        <f t="shared" si="102"/>
        <v>6.2632814190337118</v>
      </c>
      <c r="AV19" s="5">
        <f t="shared" si="28"/>
        <v>1.3586439851714256</v>
      </c>
      <c r="AW19" s="173">
        <f t="shared" si="103"/>
        <v>0.12915479197728269</v>
      </c>
      <c r="AX19" s="173">
        <f t="shared" si="29"/>
        <v>3.4330807410363953</v>
      </c>
      <c r="AY19" s="173">
        <f t="shared" si="30"/>
        <v>0.6453930597235028</v>
      </c>
      <c r="AZ19" s="173">
        <f t="shared" si="104"/>
        <v>5.3193642065304898</v>
      </c>
      <c r="BA19" s="460">
        <f t="shared" si="31"/>
        <v>0.54186147829209819</v>
      </c>
      <c r="BB19" s="5">
        <f t="shared" si="32"/>
        <v>0.73306748059423998</v>
      </c>
      <c r="BC19" s="5"/>
      <c r="BD19" s="173">
        <f t="shared" si="105"/>
        <v>0.46108619651974131</v>
      </c>
      <c r="BE19" s="173">
        <f t="shared" si="33"/>
        <v>0.79858872819082938</v>
      </c>
      <c r="BF19" s="173"/>
      <c r="BG19" s="528">
        <f t="shared" si="34"/>
        <v>8.5040192248416607E-3</v>
      </c>
      <c r="BH19" s="528">
        <f t="shared" si="35"/>
        <v>0.28055568212021903</v>
      </c>
      <c r="BI19" s="528">
        <f t="shared" si="36"/>
        <v>0.13305004775205781</v>
      </c>
      <c r="BJ19" s="528">
        <f t="shared" si="37"/>
        <v>3.9627542201928233E-2</v>
      </c>
      <c r="BK19">
        <f t="shared" si="38"/>
        <v>1.0765358983848622E-2</v>
      </c>
      <c r="BL19" s="460">
        <f t="shared" si="106"/>
        <v>143.81540673590644</v>
      </c>
      <c r="BM19" s="528">
        <f t="shared" si="39"/>
        <v>0.3316534527692846</v>
      </c>
      <c r="BN19" s="460">
        <f t="shared" si="107"/>
        <v>331.65345276928457</v>
      </c>
      <c r="BO19" s="528">
        <f t="shared" si="108"/>
        <v>0.12152</v>
      </c>
      <c r="BP19" s="528"/>
      <c r="BR19" s="460">
        <f t="shared" si="109"/>
        <v>121.52</v>
      </c>
      <c r="BS19" s="528">
        <f t="shared" si="40"/>
        <v>6.3780144186312447E-3</v>
      </c>
      <c r="BT19" s="528">
        <f t="shared" si="41"/>
        <v>1.9132318703803389E-2</v>
      </c>
      <c r="BU19" s="528">
        <f t="shared" si="42"/>
        <v>5.04E-2</v>
      </c>
      <c r="BV19" s="528">
        <f t="shared" si="43"/>
        <v>8.2200570186083038E-2</v>
      </c>
      <c r="BW19" s="528">
        <f t="shared" si="44"/>
        <v>0.13732322964145582</v>
      </c>
      <c r="BX19" s="460">
        <f t="shared" si="110"/>
        <v>219.52379982753885</v>
      </c>
      <c r="BY19" s="173">
        <f t="shared" si="45"/>
        <v>0.81651265933272987</v>
      </c>
      <c r="BZ19" s="5">
        <f t="shared" si="111"/>
        <v>3.3600000000000003</v>
      </c>
      <c r="CA19" s="173">
        <f t="shared" si="112"/>
        <v>0.80449893824500418</v>
      </c>
      <c r="CB19" s="5">
        <f t="shared" si="113"/>
        <v>80.449893824500421</v>
      </c>
      <c r="CE19" s="562">
        <f t="shared" si="46"/>
        <v>-50</v>
      </c>
      <c r="CF19">
        <f t="shared" si="47"/>
        <v>-50</v>
      </c>
      <c r="CG19" s="173">
        <f t="shared" si="48"/>
        <v>0.19086316994949395</v>
      </c>
      <c r="CI19" s="170">
        <v>14</v>
      </c>
      <c r="CJ19" s="217">
        <f t="shared" si="114"/>
        <v>0.14000000000000001</v>
      </c>
      <c r="CK19" s="217"/>
      <c r="CL19" s="217">
        <f t="shared" si="49"/>
        <v>3.3600000000000003</v>
      </c>
      <c r="CM19" s="541">
        <f t="shared" si="50"/>
        <v>24</v>
      </c>
      <c r="CN19" s="172">
        <f t="shared" si="51"/>
        <v>16.3415</v>
      </c>
      <c r="CO19" s="443">
        <f t="shared" si="52"/>
        <v>40.341499999999996</v>
      </c>
      <c r="CP19" s="443"/>
      <c r="CQ19" s="217">
        <f t="shared" si="53"/>
        <v>0.40507913686898112</v>
      </c>
      <c r="CR19" s="172">
        <f t="shared" si="54"/>
        <v>54.360539956785601</v>
      </c>
      <c r="CS19" s="172">
        <f t="shared" si="115"/>
        <v>3.3600000000000003</v>
      </c>
      <c r="CT19" s="217">
        <f t="shared" si="55"/>
        <v>2.2650224981994</v>
      </c>
      <c r="CU19" s="217">
        <f t="shared" si="56"/>
        <v>24</v>
      </c>
      <c r="CV19" s="217">
        <f t="shared" si="57"/>
        <v>2.250439649272117</v>
      </c>
      <c r="CW19" s="172">
        <f t="shared" si="58"/>
        <v>916.41856454396225</v>
      </c>
      <c r="CX19" s="172">
        <f t="shared" si="59"/>
        <v>24</v>
      </c>
      <c r="CY19" s="217">
        <f t="shared" si="60"/>
        <v>0.69122295994859717</v>
      </c>
      <c r="CZ19" s="217">
        <f t="shared" si="61"/>
        <v>0.28800956664524885</v>
      </c>
      <c r="DA19" s="217">
        <f t="shared" si="62"/>
        <v>0.42298623746204284</v>
      </c>
      <c r="DB19" s="197">
        <f t="shared" si="63"/>
        <v>350</v>
      </c>
      <c r="DC19" s="443">
        <f t="shared" si="116"/>
        <v>350</v>
      </c>
      <c r="DE19" s="217">
        <f t="shared" si="64"/>
        <v>2.7776855099587272</v>
      </c>
      <c r="DF19" s="173">
        <f t="shared" si="65"/>
        <v>1.6997738946600542</v>
      </c>
      <c r="DG19" s="173">
        <f t="shared" si="66"/>
        <v>0.55110977087390545</v>
      </c>
      <c r="DH19" s="173"/>
      <c r="DI19" s="173">
        <f t="shared" si="67"/>
        <v>1.3598642855443031</v>
      </c>
      <c r="DJ19" s="545">
        <f t="shared" si="117"/>
        <v>138.91499999999996</v>
      </c>
      <c r="DK19" s="528">
        <f t="shared" si="68"/>
        <v>0.35273368606701955</v>
      </c>
      <c r="DM19" s="173">
        <f t="shared" si="69"/>
        <v>1.4</v>
      </c>
      <c r="DN19" s="173">
        <f t="shared" si="70"/>
        <v>2.2222222222222223</v>
      </c>
      <c r="DO19" s="173">
        <f t="shared" si="71"/>
        <v>1.07938</v>
      </c>
      <c r="DQ19" s="545">
        <f t="shared" si="72"/>
        <v>140</v>
      </c>
      <c r="DR19" s="460">
        <f t="shared" si="73"/>
        <v>138.91499999999996</v>
      </c>
      <c r="DT19">
        <f t="shared" si="74"/>
        <v>140</v>
      </c>
      <c r="DU19" s="460">
        <f t="shared" si="75"/>
        <v>138.91499999999996</v>
      </c>
      <c r="DV19" s="460"/>
      <c r="DW19" s="5">
        <f t="shared" si="118"/>
        <v>7.1986466544289689</v>
      </c>
      <c r="DX19" s="5">
        <f t="shared" si="76"/>
        <v>0.92592592592592615</v>
      </c>
      <c r="DY19" s="5">
        <f t="shared" si="119"/>
        <v>6.2727207285030424</v>
      </c>
      <c r="DZ19" s="5">
        <f t="shared" si="77"/>
        <v>1.3598642855443031</v>
      </c>
      <c r="EA19" s="173">
        <f t="shared" si="120"/>
        <v>0.12862500000000002</v>
      </c>
      <c r="EB19" s="173">
        <f t="shared" si="78"/>
        <v>3.4299999999999997</v>
      </c>
      <c r="EC19" s="173">
        <f t="shared" si="79"/>
        <v>0.64578569444444445</v>
      </c>
      <c r="ED19" s="173">
        <f t="shared" si="121"/>
        <v>5.3113595260897739</v>
      </c>
      <c r="EE19" s="460">
        <f t="shared" si="80"/>
        <v>0.54012345679012363</v>
      </c>
      <c r="EF19" s="5">
        <f t="shared" si="81"/>
        <v>0.73181741832535485</v>
      </c>
      <c r="EG19" s="5"/>
      <c r="EH19" s="173">
        <f t="shared" si="122"/>
        <v>0.46013953868552576</v>
      </c>
      <c r="EI19" s="173">
        <f t="shared" si="82"/>
        <v>0.79883160807885134</v>
      </c>
      <c r="EJ19" s="173"/>
      <c r="EK19" s="528">
        <f t="shared" si="83"/>
        <v>8.4691358024691389E-3</v>
      </c>
      <c r="EL19" s="528">
        <f t="shared" si="84"/>
        <v>0.34246907887499994</v>
      </c>
      <c r="EM19" s="528">
        <f t="shared" si="85"/>
        <v>2.7782999999999992E-2</v>
      </c>
      <c r="EN19" s="528">
        <f t="shared" si="86"/>
        <v>3.9563187716475268E-2</v>
      </c>
      <c r="EO19">
        <f t="shared" si="87"/>
        <v>1.0800000000000001E-2</v>
      </c>
      <c r="EP19" s="460">
        <f t="shared" si="123"/>
        <v>38.582999999999991</v>
      </c>
      <c r="EQ19" s="528">
        <f t="shared" si="88"/>
        <v>0.43224085292091535</v>
      </c>
      <c r="ER19" s="460">
        <f t="shared" si="124"/>
        <v>432.24085292091536</v>
      </c>
      <c r="ES19" s="528">
        <f t="shared" si="125"/>
        <v>0.12152</v>
      </c>
      <c r="ET19" s="528"/>
      <c r="EV19" s="460">
        <f t="shared" si="126"/>
        <v>121.52</v>
      </c>
      <c r="EW19" s="528">
        <f t="shared" si="89"/>
        <v>6.3518518518518542E-3</v>
      </c>
      <c r="EX19" s="528">
        <f t="shared" si="90"/>
        <v>1.9143958141975306E-2</v>
      </c>
      <c r="EY19" s="528">
        <f t="shared" si="91"/>
        <v>8.3716599250182058E-2</v>
      </c>
      <c r="EZ19" s="528">
        <f t="shared" si="92"/>
        <v>0.11556712183291055</v>
      </c>
      <c r="FA19" s="528">
        <f t="shared" si="93"/>
        <v>0.13719999999999999</v>
      </c>
      <c r="FB19" s="460">
        <f t="shared" si="127"/>
        <v>252.76712183291056</v>
      </c>
      <c r="FC19" s="173">
        <f t="shared" si="128"/>
        <v>0.80652797475382587</v>
      </c>
      <c r="FD19" s="5">
        <f t="shared" si="129"/>
        <v>3.3600000000000003</v>
      </c>
      <c r="FE19" s="173">
        <f t="shared" si="130"/>
        <v>0.80642684277153365</v>
      </c>
      <c r="FF19" s="5">
        <f t="shared" si="131"/>
        <v>80.642684277153364</v>
      </c>
      <c r="FI19" s="562">
        <f t="shared" si="94"/>
        <v>-50</v>
      </c>
      <c r="FJ19">
        <f t="shared" si="95"/>
        <v>-50</v>
      </c>
      <c r="FL19">
        <f t="shared" si="96"/>
        <v>0.18890554722638683</v>
      </c>
    </row>
    <row r="20" spans="5:168">
      <c r="E20" s="170">
        <v>15</v>
      </c>
      <c r="F20" s="217">
        <f t="shared" si="97"/>
        <v>0.15</v>
      </c>
      <c r="G20" s="217"/>
      <c r="H20" s="217">
        <f t="shared" si="0"/>
        <v>3.5999999999999996</v>
      </c>
      <c r="I20" s="541">
        <f t="shared" si="1"/>
        <v>23.92301996410805</v>
      </c>
      <c r="J20" s="172">
        <f t="shared" si="2"/>
        <v>16.356177530509115</v>
      </c>
      <c r="K20" s="172">
        <f t="shared" si="3"/>
        <v>40.356177530509115</v>
      </c>
      <c r="L20" s="443"/>
      <c r="M20" s="217">
        <f t="shared" si="4"/>
        <v>0.40607233723486735</v>
      </c>
      <c r="N20" s="172">
        <f t="shared" si="5"/>
        <v>54.319035772820321</v>
      </c>
      <c r="O20" s="172">
        <f t="shared" si="98"/>
        <v>3.5999999999999996</v>
      </c>
      <c r="P20" s="217">
        <f t="shared" si="6"/>
        <v>2.2632931572008466</v>
      </c>
      <c r="Q20" s="217">
        <f t="shared" si="7"/>
        <v>24</v>
      </c>
      <c r="R20" s="217">
        <f t="shared" si="8"/>
        <v>2.2487214422550341</v>
      </c>
      <c r="S20" s="172">
        <f t="shared" si="9"/>
        <v>850.19226062989719</v>
      </c>
      <c r="T20" s="172">
        <f t="shared" si="10"/>
        <v>24</v>
      </c>
      <c r="U20" s="217">
        <f t="shared" si="99"/>
        <v>0.75728938158861359</v>
      </c>
      <c r="V20" s="217">
        <f t="shared" si="11"/>
        <v>0.31655258521908297</v>
      </c>
      <c r="W20" s="217">
        <f t="shared" si="12"/>
        <v>0.46299899849830112</v>
      </c>
      <c r="X20" s="197">
        <f t="shared" si="13"/>
        <v>350</v>
      </c>
      <c r="Y20" s="443">
        <f t="shared" si="14"/>
        <v>350</v>
      </c>
      <c r="AA20" s="217">
        <f t="shared" si="15"/>
        <v>2.7755494217307022</v>
      </c>
      <c r="AB20" s="173">
        <f t="shared" si="16"/>
        <v>1.6969425873212007</v>
      </c>
      <c r="AC20" s="173">
        <f t="shared" si="17"/>
        <v>0.54976868227843745</v>
      </c>
      <c r="AD20" s="173"/>
      <c r="AE20" s="173">
        <f t="shared" si="18"/>
        <v>1.3586439851714256</v>
      </c>
      <c r="AF20" s="545">
        <f t="shared" si="100"/>
        <v>148.97118215568639</v>
      </c>
      <c r="AG20" s="528">
        <f t="shared" si="19"/>
        <v>0.35241715370918814</v>
      </c>
      <c r="AI20" s="173">
        <f t="shared" si="20"/>
        <v>1.4497883183352893</v>
      </c>
      <c r="AJ20" s="173">
        <f t="shared" si="21"/>
        <v>2.2222222222222223</v>
      </c>
      <c r="AK20" s="173">
        <f t="shared" si="22"/>
        <v>1.0851263898032493</v>
      </c>
      <c r="AM20" s="545">
        <f t="shared" si="23"/>
        <v>150</v>
      </c>
      <c r="AN20" s="460">
        <f t="shared" si="24"/>
        <v>148.97118215568639</v>
      </c>
      <c r="AP20">
        <f t="shared" si="25"/>
        <v>150</v>
      </c>
      <c r="AQ20" s="460">
        <f t="shared" si="26"/>
        <v>148.97118215568639</v>
      </c>
      <c r="AR20" s="460"/>
      <c r="AS20" s="5">
        <f t="shared" si="101"/>
        <v>6.7127076896988225</v>
      </c>
      <c r="AT20" s="5">
        <f t="shared" si="27"/>
        <v>0.92890539135788264</v>
      </c>
      <c r="AU20" s="5">
        <f t="shared" si="102"/>
        <v>5.7838022983409401</v>
      </c>
      <c r="AV20" s="5">
        <f t="shared" si="28"/>
        <v>1.3586439851714256</v>
      </c>
      <c r="AW20" s="173">
        <f t="shared" si="103"/>
        <v>0.13838013426137427</v>
      </c>
      <c r="AX20" s="173">
        <f t="shared" si="29"/>
        <v>3.678300793967566</v>
      </c>
      <c r="AY20" s="173">
        <f t="shared" si="30"/>
        <v>0.63855605605295929</v>
      </c>
      <c r="AZ20" s="173">
        <f t="shared" si="104"/>
        <v>5.7603412560267104</v>
      </c>
      <c r="BA20" s="460">
        <f t="shared" si="31"/>
        <v>0.58056586959867662</v>
      </c>
      <c r="BB20" s="5">
        <f t="shared" si="32"/>
        <v>0.72530169355939622</v>
      </c>
      <c r="BC20" s="5"/>
      <c r="BD20" s="173">
        <f t="shared" si="105"/>
        <v>0.47726955615965089</v>
      </c>
      <c r="BE20" s="173">
        <f t="shared" si="33"/>
        <v>0.79434752109987528</v>
      </c>
      <c r="BF20" s="173"/>
      <c r="BG20" s="528">
        <f t="shared" si="34"/>
        <v>9.1114491694732052E-3</v>
      </c>
      <c r="BH20" s="528">
        <f t="shared" si="35"/>
        <v>0.30059537370023459</v>
      </c>
      <c r="BI20" s="528">
        <f t="shared" si="36"/>
        <v>0.14255362259149051</v>
      </c>
      <c r="BJ20" s="528">
        <f t="shared" si="37"/>
        <v>4.2458080930637382E-2</v>
      </c>
      <c r="BK20">
        <f t="shared" si="38"/>
        <v>1.0765358983848622E-2</v>
      </c>
      <c r="BL20" s="460">
        <f t="shared" si="106"/>
        <v>153.31898157533914</v>
      </c>
      <c r="BM20" s="528">
        <f t="shared" si="39"/>
        <v>0.35539438137913698</v>
      </c>
      <c r="BN20" s="460">
        <f t="shared" si="107"/>
        <v>355.39438137913697</v>
      </c>
      <c r="BO20" s="528">
        <f t="shared" si="108"/>
        <v>0.13019999999999998</v>
      </c>
      <c r="BP20" s="528"/>
      <c r="BR20" s="460">
        <f t="shared" si="109"/>
        <v>130.19999999999999</v>
      </c>
      <c r="BS20" s="528">
        <f t="shared" si="40"/>
        <v>6.8335868771049043E-3</v>
      </c>
      <c r="BT20" s="528">
        <f t="shared" si="41"/>
        <v>1.8929639528325503E-2</v>
      </c>
      <c r="BU20" s="528">
        <f t="shared" si="42"/>
        <v>5.3999999999999992E-2</v>
      </c>
      <c r="BV20" s="528">
        <f t="shared" si="43"/>
        <v>8.6123907120178284E-2</v>
      </c>
      <c r="BW20" s="528">
        <f t="shared" si="44"/>
        <v>0.14713203175870265</v>
      </c>
      <c r="BX20" s="460">
        <f t="shared" si="110"/>
        <v>233.25593887888093</v>
      </c>
      <c r="BY20" s="173">
        <f t="shared" si="45"/>
        <v>0.87216930183335706</v>
      </c>
      <c r="BZ20" s="5">
        <f t="shared" si="111"/>
        <v>3.5999999999999996</v>
      </c>
      <c r="CA20" s="173">
        <f t="shared" si="112"/>
        <v>0.80497846951460161</v>
      </c>
      <c r="CB20" s="5">
        <f t="shared" si="113"/>
        <v>80.497846951460161</v>
      </c>
      <c r="CE20" s="562">
        <f t="shared" si="46"/>
        <v>-50</v>
      </c>
      <c r="CF20">
        <f t="shared" si="47"/>
        <v>-50</v>
      </c>
      <c r="CG20" s="173">
        <f t="shared" si="48"/>
        <v>0.20449625351731493</v>
      </c>
      <c r="CI20" s="170">
        <v>15</v>
      </c>
      <c r="CJ20" s="217">
        <f t="shared" si="114"/>
        <v>0.15</v>
      </c>
      <c r="CK20" s="217"/>
      <c r="CL20" s="217">
        <f t="shared" si="49"/>
        <v>3.5999999999999996</v>
      </c>
      <c r="CM20" s="541">
        <f t="shared" si="50"/>
        <v>24</v>
      </c>
      <c r="CN20" s="172">
        <f t="shared" si="51"/>
        <v>16.3415</v>
      </c>
      <c r="CO20" s="443">
        <f t="shared" si="52"/>
        <v>40.341499999999996</v>
      </c>
      <c r="CP20" s="443"/>
      <c r="CQ20" s="217">
        <f t="shared" si="53"/>
        <v>0.40507913686898112</v>
      </c>
      <c r="CR20" s="172">
        <f t="shared" si="54"/>
        <v>54.360539956785601</v>
      </c>
      <c r="CS20" s="172">
        <f t="shared" si="115"/>
        <v>3.5999999999999996</v>
      </c>
      <c r="CT20" s="217">
        <f t="shared" si="55"/>
        <v>2.2650224981994</v>
      </c>
      <c r="CU20" s="217">
        <f t="shared" si="56"/>
        <v>24</v>
      </c>
      <c r="CV20" s="217">
        <f t="shared" si="57"/>
        <v>2.250439649272117</v>
      </c>
      <c r="CW20" s="172">
        <f t="shared" si="58"/>
        <v>852.92796076409252</v>
      </c>
      <c r="CX20" s="172">
        <f t="shared" si="59"/>
        <v>24</v>
      </c>
      <c r="CY20" s="217">
        <f t="shared" si="60"/>
        <v>0.74059602851635398</v>
      </c>
      <c r="CZ20" s="217">
        <f t="shared" si="61"/>
        <v>0.30858167854848084</v>
      </c>
      <c r="DA20" s="217">
        <f t="shared" si="62"/>
        <v>0.45319954013790292</v>
      </c>
      <c r="DB20" s="197">
        <f t="shared" si="63"/>
        <v>350</v>
      </c>
      <c r="DC20" s="443">
        <f t="shared" si="116"/>
        <v>350</v>
      </c>
      <c r="DE20" s="217">
        <f t="shared" si="64"/>
        <v>2.7776855099587272</v>
      </c>
      <c r="DF20" s="173">
        <f t="shared" si="65"/>
        <v>1.6997738946600542</v>
      </c>
      <c r="DG20" s="173">
        <f t="shared" si="66"/>
        <v>0.55110977087390545</v>
      </c>
      <c r="DH20" s="173"/>
      <c r="DI20" s="173">
        <f t="shared" si="67"/>
        <v>1.3598642855443031</v>
      </c>
      <c r="DJ20" s="545">
        <f t="shared" si="117"/>
        <v>148.83749999999995</v>
      </c>
      <c r="DK20" s="528">
        <f t="shared" si="68"/>
        <v>0.35273368606701955</v>
      </c>
      <c r="DM20" s="173">
        <f t="shared" si="69"/>
        <v>1.4491376746189437</v>
      </c>
      <c r="DN20" s="173">
        <f t="shared" si="70"/>
        <v>2.2222222222222223</v>
      </c>
      <c r="DO20" s="173">
        <f t="shared" si="71"/>
        <v>1.0850500000000001</v>
      </c>
      <c r="DQ20" s="545">
        <f t="shared" si="72"/>
        <v>150</v>
      </c>
      <c r="DR20" s="460">
        <f t="shared" si="73"/>
        <v>148.83749999999995</v>
      </c>
      <c r="DT20">
        <f t="shared" si="74"/>
        <v>150</v>
      </c>
      <c r="DU20" s="460">
        <f t="shared" si="75"/>
        <v>148.83749999999995</v>
      </c>
      <c r="DV20" s="460"/>
      <c r="DW20" s="5">
        <f t="shared" si="118"/>
        <v>6.7187368774670384</v>
      </c>
      <c r="DX20" s="5">
        <f t="shared" si="76"/>
        <v>0.92592592592592615</v>
      </c>
      <c r="DY20" s="5">
        <f t="shared" si="119"/>
        <v>5.7928109515411119</v>
      </c>
      <c r="DZ20" s="5">
        <f t="shared" si="77"/>
        <v>1.3598642855443031</v>
      </c>
      <c r="EA20" s="173">
        <f t="shared" si="120"/>
        <v>0.13781249999999998</v>
      </c>
      <c r="EB20" s="173">
        <f t="shared" si="78"/>
        <v>3.6749999999999994</v>
      </c>
      <c r="EC20" s="173">
        <f t="shared" si="79"/>
        <v>0.63897673611111117</v>
      </c>
      <c r="ED20" s="173">
        <f t="shared" si="121"/>
        <v>5.75138309786752</v>
      </c>
      <c r="EE20" s="460">
        <f t="shared" si="80"/>
        <v>0.57870370370370394</v>
      </c>
      <c r="EF20" s="5">
        <f t="shared" si="81"/>
        <v>0.72410136894263888</v>
      </c>
      <c r="EG20" s="5"/>
      <c r="EH20" s="173">
        <f t="shared" si="122"/>
        <v>0.47628967220784013</v>
      </c>
      <c r="EI20" s="173">
        <f t="shared" si="82"/>
        <v>0.79460913567485658</v>
      </c>
      <c r="EJ20" s="173"/>
      <c r="EK20" s="528">
        <f t="shared" si="83"/>
        <v>9.0740740740740729E-3</v>
      </c>
      <c r="EL20" s="528">
        <f t="shared" si="84"/>
        <v>0.36693115593749992</v>
      </c>
      <c r="EM20" s="528">
        <f t="shared" si="85"/>
        <v>2.9767499999999988E-2</v>
      </c>
      <c r="EN20" s="528">
        <f t="shared" si="86"/>
        <v>4.23891296962235E-2</v>
      </c>
      <c r="EO20">
        <f t="shared" si="87"/>
        <v>1.0800000000000001E-2</v>
      </c>
      <c r="EP20" s="460">
        <f t="shared" si="123"/>
        <v>40.567499999999995</v>
      </c>
      <c r="EQ20" s="528">
        <f t="shared" si="88"/>
        <v>0.46240881310886017</v>
      </c>
      <c r="ER20" s="460">
        <f t="shared" si="124"/>
        <v>462.40881310886016</v>
      </c>
      <c r="ES20" s="528">
        <f t="shared" si="125"/>
        <v>0.13019999999999998</v>
      </c>
      <c r="ET20" s="528"/>
      <c r="EV20" s="460">
        <f t="shared" si="126"/>
        <v>130.19999999999999</v>
      </c>
      <c r="EW20" s="528">
        <f t="shared" si="89"/>
        <v>6.8055555555555543E-3</v>
      </c>
      <c r="EX20" s="528">
        <f t="shared" si="90"/>
        <v>1.8942110354938278E-2</v>
      </c>
      <c r="EY20" s="528">
        <f t="shared" si="91"/>
        <v>9.9476302995602617E-2</v>
      </c>
      <c r="EZ20" s="528">
        <f t="shared" si="92"/>
        <v>0.13167463388318384</v>
      </c>
      <c r="FA20" s="528">
        <f t="shared" si="93"/>
        <v>0.14699999999999999</v>
      </c>
      <c r="FB20" s="460">
        <f t="shared" si="127"/>
        <v>278.67463388318379</v>
      </c>
      <c r="FC20" s="173">
        <f t="shared" si="128"/>
        <v>0.87128344699204407</v>
      </c>
      <c r="FD20" s="5">
        <f t="shared" si="129"/>
        <v>3.5999999999999996</v>
      </c>
      <c r="FE20" s="173">
        <f t="shared" si="130"/>
        <v>0.80513795259878218</v>
      </c>
      <c r="FF20" s="5">
        <f t="shared" si="131"/>
        <v>80.513795259878222</v>
      </c>
      <c r="FI20" s="562">
        <f t="shared" si="94"/>
        <v>-50</v>
      </c>
      <c r="FJ20">
        <f t="shared" si="95"/>
        <v>-50</v>
      </c>
      <c r="FL20">
        <f t="shared" si="96"/>
        <v>0.20239880059970014</v>
      </c>
    </row>
    <row r="21" spans="5:168" s="76" customFormat="1">
      <c r="E21" s="189">
        <v>16</v>
      </c>
      <c r="F21" s="329">
        <f t="shared" si="97"/>
        <v>0.16</v>
      </c>
      <c r="G21" s="217"/>
      <c r="H21" s="217">
        <f t="shared" si="0"/>
        <v>3.84</v>
      </c>
      <c r="I21" s="541">
        <f t="shared" si="1"/>
        <v>23.92301996410805</v>
      </c>
      <c r="J21" s="172">
        <f t="shared" si="2"/>
        <v>16.356177530509115</v>
      </c>
      <c r="K21" s="172">
        <f t="shared" si="3"/>
        <v>40.356177530509115</v>
      </c>
      <c r="L21" s="535"/>
      <c r="M21" s="217">
        <f t="shared" si="4"/>
        <v>0.40607233723486735</v>
      </c>
      <c r="N21" s="172">
        <f t="shared" si="5"/>
        <v>54.319035772820321</v>
      </c>
      <c r="O21" s="172">
        <f t="shared" si="98"/>
        <v>3.84</v>
      </c>
      <c r="P21" s="329">
        <f t="shared" si="6"/>
        <v>2.2632931572008466</v>
      </c>
      <c r="Q21" s="217">
        <f t="shared" si="7"/>
        <v>24</v>
      </c>
      <c r="R21" s="217">
        <f t="shared" si="8"/>
        <v>2.2487214422550341</v>
      </c>
      <c r="S21" s="172">
        <f t="shared" si="9"/>
        <v>794.81636740738634</v>
      </c>
      <c r="T21" s="172">
        <f t="shared" si="10"/>
        <v>24</v>
      </c>
      <c r="U21" s="217">
        <f t="shared" si="99"/>
        <v>0.80777534036118792</v>
      </c>
      <c r="V21" s="217">
        <f t="shared" si="11"/>
        <v>0.3376560909003552</v>
      </c>
      <c r="W21" s="217">
        <f t="shared" si="12"/>
        <v>0.49386559839818794</v>
      </c>
      <c r="X21" s="537">
        <f t="shared" si="13"/>
        <v>350</v>
      </c>
      <c r="Y21" s="443">
        <f t="shared" si="14"/>
        <v>350</v>
      </c>
      <c r="AA21" s="329">
        <f t="shared" si="15"/>
        <v>2.7755494217307022</v>
      </c>
      <c r="AB21" s="173">
        <f t="shared" si="16"/>
        <v>1.6969425873212007</v>
      </c>
      <c r="AC21" s="538">
        <f t="shared" si="17"/>
        <v>0.54976868227843745</v>
      </c>
      <c r="AD21" s="538"/>
      <c r="AE21" s="173">
        <f t="shared" si="18"/>
        <v>1.3586439851714256</v>
      </c>
      <c r="AF21" s="545">
        <f t="shared" si="100"/>
        <v>158.90259429939883</v>
      </c>
      <c r="AG21" s="528">
        <f t="shared" si="19"/>
        <v>0.35241715370918814</v>
      </c>
      <c r="AH21"/>
      <c r="AI21" s="173">
        <f t="shared" si="20"/>
        <v>1.4973349366503022</v>
      </c>
      <c r="AJ21" s="173">
        <f t="shared" si="21"/>
        <v>2.2222222222222223</v>
      </c>
      <c r="AK21" s="173">
        <f t="shared" si="22"/>
        <v>1.0908014824567993</v>
      </c>
      <c r="AM21" s="545">
        <f t="shared" si="23"/>
        <v>160</v>
      </c>
      <c r="AN21" s="460">
        <f t="shared" si="24"/>
        <v>158.90259429939883</v>
      </c>
      <c r="AP21">
        <f t="shared" si="25"/>
        <v>160</v>
      </c>
      <c r="AQ21" s="460">
        <f t="shared" si="26"/>
        <v>158.90259429939883</v>
      </c>
      <c r="AR21" s="460"/>
      <c r="AS21" s="5">
        <f t="shared" si="101"/>
        <v>6.2931634590926446</v>
      </c>
      <c r="AT21" s="5">
        <f t="shared" si="27"/>
        <v>0.92890539135788264</v>
      </c>
      <c r="AU21" s="5">
        <f t="shared" si="102"/>
        <v>5.3642580677347622</v>
      </c>
      <c r="AV21" s="5">
        <f t="shared" si="28"/>
        <v>1.3586439851714256</v>
      </c>
      <c r="AW21" s="173">
        <f t="shared" si="103"/>
        <v>0.14760547654546594</v>
      </c>
      <c r="AX21" s="173">
        <f t="shared" si="29"/>
        <v>3.9235208468987377</v>
      </c>
      <c r="AY21" s="173">
        <f t="shared" si="30"/>
        <v>0.63171905238241588</v>
      </c>
      <c r="AZ21" s="173">
        <f t="shared" si="104"/>
        <v>6.2108635668053349</v>
      </c>
      <c r="BA21" s="460">
        <f t="shared" si="31"/>
        <v>0.61927026090525517</v>
      </c>
      <c r="BB21" s="5">
        <f t="shared" si="32"/>
        <v>0.71753590652455257</v>
      </c>
      <c r="BC21" s="5"/>
      <c r="BD21" s="173">
        <f t="shared" si="105"/>
        <v>0.49292187804216892</v>
      </c>
      <c r="BE21" s="173">
        <f t="shared" si="33"/>
        <v>0.79008354733001962</v>
      </c>
      <c r="BF21" s="173"/>
      <c r="BG21" s="528">
        <f t="shared" si="34"/>
        <v>9.7188791141047531E-3</v>
      </c>
      <c r="BH21" s="528">
        <f t="shared" si="35"/>
        <v>0.32063506528025026</v>
      </c>
      <c r="BI21" s="528">
        <f t="shared" si="36"/>
        <v>0.15205719743092322</v>
      </c>
      <c r="BJ21" s="528">
        <f t="shared" si="37"/>
        <v>4.5288619659346545E-2</v>
      </c>
      <c r="BK21">
        <f t="shared" si="38"/>
        <v>1.0765358983848622E-2</v>
      </c>
      <c r="BL21" s="460">
        <f t="shared" si="106"/>
        <v>162.82255641477184</v>
      </c>
      <c r="BM21" s="528">
        <f t="shared" si="39"/>
        <v>0.37914217868611583</v>
      </c>
      <c r="BN21" s="460">
        <f t="shared" si="107"/>
        <v>379.14217868611581</v>
      </c>
      <c r="BO21" s="528">
        <f t="shared" si="108"/>
        <v>0.13887999999999998</v>
      </c>
      <c r="BP21" s="528"/>
      <c r="BR21" s="460">
        <f t="shared" si="109"/>
        <v>138.87999999999997</v>
      </c>
      <c r="BS21" s="528">
        <f t="shared" si="40"/>
        <v>7.2891593355785649E-3</v>
      </c>
      <c r="BT21" s="528">
        <f t="shared" si="41"/>
        <v>1.872696035284762E-2</v>
      </c>
      <c r="BU21" s="528">
        <f t="shared" si="42"/>
        <v>5.7599999999999998E-2</v>
      </c>
      <c r="BV21" s="528">
        <f t="shared" si="43"/>
        <v>9.0047403135055951E-2</v>
      </c>
      <c r="BW21" s="528">
        <f t="shared" si="44"/>
        <v>0.15694083387594948</v>
      </c>
      <c r="BX21" s="460">
        <f t="shared" si="110"/>
        <v>246.98823701100542</v>
      </c>
      <c r="BY21" s="173">
        <f t="shared" si="45"/>
        <v>0.92783297211189319</v>
      </c>
      <c r="BZ21" s="5">
        <f t="shared" si="111"/>
        <v>3.84</v>
      </c>
      <c r="CA21" s="173">
        <f t="shared" si="112"/>
        <v>0.80539734140457664</v>
      </c>
      <c r="CB21" s="5">
        <f t="shared" si="113"/>
        <v>80.539734140457668</v>
      </c>
      <c r="CE21" s="562">
        <f t="shared" si="46"/>
        <v>-50</v>
      </c>
      <c r="CF21">
        <f t="shared" si="47"/>
        <v>-50</v>
      </c>
      <c r="CG21" s="173">
        <f t="shared" si="48"/>
        <v>0.21812933708513593</v>
      </c>
      <c r="CH21"/>
      <c r="CI21" s="189">
        <v>16</v>
      </c>
      <c r="CJ21" s="329">
        <f t="shared" si="114"/>
        <v>0.16</v>
      </c>
      <c r="CK21" s="217"/>
      <c r="CL21" s="217">
        <f t="shared" si="49"/>
        <v>3.84</v>
      </c>
      <c r="CM21" s="541">
        <f t="shared" si="50"/>
        <v>24</v>
      </c>
      <c r="CN21" s="172">
        <f t="shared" si="51"/>
        <v>16.3415</v>
      </c>
      <c r="CO21" s="535">
        <f t="shared" si="52"/>
        <v>40.341499999999996</v>
      </c>
      <c r="CP21" s="535"/>
      <c r="CQ21" s="329">
        <f t="shared" si="53"/>
        <v>0.40507913686898112</v>
      </c>
      <c r="CR21" s="172">
        <f t="shared" si="54"/>
        <v>54.360539956785601</v>
      </c>
      <c r="CS21" s="172">
        <f t="shared" si="115"/>
        <v>3.84</v>
      </c>
      <c r="CT21" s="329">
        <f t="shared" si="55"/>
        <v>2.2650224981994</v>
      </c>
      <c r="CU21" s="217">
        <f t="shared" si="56"/>
        <v>24</v>
      </c>
      <c r="CV21" s="217">
        <f t="shared" si="57"/>
        <v>2.250439649272117</v>
      </c>
      <c r="CW21" s="172">
        <f t="shared" si="58"/>
        <v>797.37387302015554</v>
      </c>
      <c r="CX21" s="172">
        <f t="shared" si="59"/>
        <v>24</v>
      </c>
      <c r="CY21" s="217">
        <f t="shared" si="60"/>
        <v>0.789969097084111</v>
      </c>
      <c r="CZ21" s="329">
        <f t="shared" si="61"/>
        <v>0.32915379045171295</v>
      </c>
      <c r="DA21" s="217">
        <f t="shared" si="62"/>
        <v>0.48341284281376318</v>
      </c>
      <c r="DB21" s="537">
        <f t="shared" si="63"/>
        <v>350</v>
      </c>
      <c r="DC21" s="535">
        <f t="shared" si="116"/>
        <v>350</v>
      </c>
      <c r="DE21" s="329">
        <f t="shared" si="64"/>
        <v>2.7776855099587272</v>
      </c>
      <c r="DF21" s="173">
        <f t="shared" si="65"/>
        <v>1.6997738946600542</v>
      </c>
      <c r="DG21" s="538">
        <f t="shared" si="66"/>
        <v>0.55110977087390545</v>
      </c>
      <c r="DH21" s="538"/>
      <c r="DI21" s="173">
        <f t="shared" si="67"/>
        <v>1.3598642855443031</v>
      </c>
      <c r="DJ21" s="545">
        <f t="shared" si="117"/>
        <v>158.75999999999993</v>
      </c>
      <c r="DK21" s="528">
        <f t="shared" si="68"/>
        <v>0.35273368606701955</v>
      </c>
      <c r="DL21"/>
      <c r="DM21" s="173">
        <f t="shared" si="69"/>
        <v>1.4966629547095764</v>
      </c>
      <c r="DN21" s="173">
        <f t="shared" si="70"/>
        <v>2.2222222222222223</v>
      </c>
      <c r="DO21" s="173">
        <f t="shared" si="71"/>
        <v>1.0907199999999999</v>
      </c>
      <c r="DQ21" s="545">
        <f t="shared" si="72"/>
        <v>160</v>
      </c>
      <c r="DR21" s="460">
        <f t="shared" si="73"/>
        <v>158.75999999999993</v>
      </c>
      <c r="DT21">
        <f t="shared" si="74"/>
        <v>160</v>
      </c>
      <c r="DU21" s="460">
        <f t="shared" si="75"/>
        <v>158.75999999999993</v>
      </c>
      <c r="DV21" s="460"/>
      <c r="DW21" s="5">
        <f t="shared" si="118"/>
        <v>6.2988158226253494</v>
      </c>
      <c r="DX21" s="5">
        <f t="shared" si="76"/>
        <v>0.92592592592592615</v>
      </c>
      <c r="DY21" s="5">
        <f t="shared" si="119"/>
        <v>5.372889896699423</v>
      </c>
      <c r="DZ21" s="5">
        <f t="shared" si="77"/>
        <v>1.3598642855443031</v>
      </c>
      <c r="EA21" s="173">
        <f t="shared" si="120"/>
        <v>0.14699999999999996</v>
      </c>
      <c r="EB21" s="173">
        <f t="shared" si="78"/>
        <v>3.919999999999999</v>
      </c>
      <c r="EC21" s="173">
        <f t="shared" si="79"/>
        <v>0.63216777777777777</v>
      </c>
      <c r="ED21" s="173">
        <f t="shared" si="121"/>
        <v>6.2008854892600578</v>
      </c>
      <c r="EE21" s="460">
        <f t="shared" si="80"/>
        <v>0.61728395061728414</v>
      </c>
      <c r="EF21" s="5">
        <f t="shared" si="81"/>
        <v>0.71638531955992302</v>
      </c>
      <c r="EG21" s="5"/>
      <c r="EH21" s="173">
        <f t="shared" si="122"/>
        <v>0.49190985824841454</v>
      </c>
      <c r="EI21" s="173">
        <f t="shared" si="82"/>
        <v>0.79036410528948065</v>
      </c>
      <c r="EJ21" s="173"/>
      <c r="EK21" s="528">
        <f t="shared" si="83"/>
        <v>9.6790123456790122E-3</v>
      </c>
      <c r="EL21" s="528">
        <f t="shared" si="84"/>
        <v>0.3913932329999999</v>
      </c>
      <c r="EM21" s="528">
        <f t="shared" si="85"/>
        <v>3.1751999999999982E-2</v>
      </c>
      <c r="EN21" s="528">
        <f t="shared" si="86"/>
        <v>4.5215071675971726E-2</v>
      </c>
      <c r="EO21">
        <f t="shared" si="87"/>
        <v>1.0800000000000001E-2</v>
      </c>
      <c r="EP21" s="460">
        <f t="shared" si="123"/>
        <v>42.551999999999978</v>
      </c>
      <c r="EQ21" s="528">
        <f t="shared" si="88"/>
        <v>0.49258546556967003</v>
      </c>
      <c r="ER21" s="460">
        <f t="shared" si="124"/>
        <v>492.58546556967002</v>
      </c>
      <c r="ES21" s="528">
        <f t="shared" si="125"/>
        <v>0.13887999999999998</v>
      </c>
      <c r="ET21" s="528"/>
      <c r="EV21" s="460">
        <f t="shared" si="126"/>
        <v>138.87999999999997</v>
      </c>
      <c r="EW21" s="528">
        <f t="shared" si="89"/>
        <v>7.2592592592592578E-3</v>
      </c>
      <c r="EX21" s="528">
        <f t="shared" si="90"/>
        <v>1.8740262567901234E-2</v>
      </c>
      <c r="EY21" s="528">
        <f t="shared" si="91"/>
        <v>0.11689379152607818</v>
      </c>
      <c r="EZ21" s="528">
        <f t="shared" si="92"/>
        <v>0.14944403647081014</v>
      </c>
      <c r="FA21" s="528">
        <f t="shared" si="93"/>
        <v>0.15679999999999999</v>
      </c>
      <c r="FB21" s="460">
        <f t="shared" si="127"/>
        <v>306.2440364708101</v>
      </c>
      <c r="FC21" s="173">
        <f t="shared" si="128"/>
        <v>0.9377095020404802</v>
      </c>
      <c r="FD21" s="5">
        <f t="shared" si="129"/>
        <v>3.84</v>
      </c>
      <c r="FE21" s="173">
        <f t="shared" si="130"/>
        <v>0.80373241578626742</v>
      </c>
      <c r="FF21" s="5">
        <f t="shared" si="131"/>
        <v>80.373241578626747</v>
      </c>
      <c r="FI21" s="562">
        <f t="shared" si="94"/>
        <v>-50</v>
      </c>
      <c r="FJ21">
        <f t="shared" si="95"/>
        <v>-50</v>
      </c>
      <c r="FL21">
        <f t="shared" si="96"/>
        <v>0.21589205397301348</v>
      </c>
    </row>
    <row r="22" spans="5:168">
      <c r="E22" s="170">
        <v>17</v>
      </c>
      <c r="F22" s="217">
        <f t="shared" si="97"/>
        <v>0.17</v>
      </c>
      <c r="G22" s="217"/>
      <c r="H22" s="217">
        <f t="shared" si="0"/>
        <v>4.08</v>
      </c>
      <c r="I22" s="541">
        <f t="shared" si="1"/>
        <v>23.92301996410805</v>
      </c>
      <c r="J22" s="172">
        <f t="shared" si="2"/>
        <v>16.356177530509115</v>
      </c>
      <c r="K22" s="172">
        <f t="shared" si="3"/>
        <v>40.356177530509115</v>
      </c>
      <c r="L22" s="443"/>
      <c r="M22" s="217">
        <f t="shared" si="4"/>
        <v>0.40607233723486735</v>
      </c>
      <c r="N22" s="172">
        <f t="shared" si="5"/>
        <v>54.319035772820321</v>
      </c>
      <c r="O22" s="172">
        <f t="shared" si="98"/>
        <v>4.08</v>
      </c>
      <c r="P22" s="217">
        <f t="shared" si="6"/>
        <v>2.2632931572008466</v>
      </c>
      <c r="Q22" s="217">
        <f t="shared" si="7"/>
        <v>24</v>
      </c>
      <c r="R22" s="217">
        <f t="shared" si="8"/>
        <v>2.2487214422550341</v>
      </c>
      <c r="S22" s="172">
        <f t="shared" si="9"/>
        <v>745.95546600071646</v>
      </c>
      <c r="T22" s="172">
        <f t="shared" si="10"/>
        <v>24</v>
      </c>
      <c r="U22" s="217">
        <f t="shared" si="99"/>
        <v>0.85826129913376215</v>
      </c>
      <c r="V22" s="217">
        <f t="shared" si="11"/>
        <v>0.35875959658162732</v>
      </c>
      <c r="W22" s="217">
        <f t="shared" si="12"/>
        <v>0.5247321982980746</v>
      </c>
      <c r="X22" s="197">
        <f t="shared" si="13"/>
        <v>350</v>
      </c>
      <c r="Y22" s="443">
        <f t="shared" si="14"/>
        <v>350</v>
      </c>
      <c r="AA22" s="217">
        <f t="shared" si="15"/>
        <v>2.7755494217307022</v>
      </c>
      <c r="AB22" s="173">
        <f t="shared" si="16"/>
        <v>1.6969425873212007</v>
      </c>
      <c r="AC22" s="173">
        <f t="shared" si="17"/>
        <v>0.54976868227843745</v>
      </c>
      <c r="AD22" s="173"/>
      <c r="AE22" s="173">
        <f t="shared" si="18"/>
        <v>1.3586439851714256</v>
      </c>
      <c r="AF22" s="545">
        <f t="shared" si="100"/>
        <v>168.83400644311126</v>
      </c>
      <c r="AG22" s="528">
        <f t="shared" si="19"/>
        <v>0.35241715370918814</v>
      </c>
      <c r="AI22" s="173">
        <f t="shared" si="20"/>
        <v>1.5434175251841811</v>
      </c>
      <c r="AJ22" s="173">
        <f t="shared" si="21"/>
        <v>2.2222222222222223</v>
      </c>
      <c r="AK22" s="173">
        <f t="shared" si="22"/>
        <v>1.0964765751103493</v>
      </c>
      <c r="AM22" s="545">
        <f t="shared" si="23"/>
        <v>170</v>
      </c>
      <c r="AN22" s="460">
        <f t="shared" si="24"/>
        <v>168.83400644311126</v>
      </c>
      <c r="AP22">
        <f t="shared" si="25"/>
        <v>170</v>
      </c>
      <c r="AQ22" s="460">
        <f t="shared" si="26"/>
        <v>168.83400644311126</v>
      </c>
      <c r="AR22" s="460"/>
      <c r="AS22" s="5">
        <f t="shared" si="101"/>
        <v>5.9229773732636657</v>
      </c>
      <c r="AT22" s="5">
        <f t="shared" si="27"/>
        <v>0.92890539135788264</v>
      </c>
      <c r="AU22" s="5">
        <f t="shared" si="102"/>
        <v>4.9940719819057833</v>
      </c>
      <c r="AV22" s="5">
        <f t="shared" si="28"/>
        <v>1.3586439851714256</v>
      </c>
      <c r="AW22" s="173">
        <f t="shared" si="103"/>
        <v>0.15683081882955754</v>
      </c>
      <c r="AX22" s="173">
        <f t="shared" si="29"/>
        <v>4.168740899829908</v>
      </c>
      <c r="AY22" s="173">
        <f t="shared" si="30"/>
        <v>0.62488204871187247</v>
      </c>
      <c r="AZ22" s="173">
        <f t="shared" si="104"/>
        <v>6.6712444507300566</v>
      </c>
      <c r="BA22" s="460">
        <f t="shared" si="31"/>
        <v>0.6579746522118336</v>
      </c>
      <c r="BB22" s="5">
        <f t="shared" si="32"/>
        <v>0.70977011948970892</v>
      </c>
      <c r="BC22" s="5"/>
      <c r="BD22" s="173">
        <f t="shared" si="105"/>
        <v>0.50809224208642223</v>
      </c>
      <c r="BE22" s="173">
        <f t="shared" si="33"/>
        <v>0.78579643626428952</v>
      </c>
      <c r="BF22" s="173"/>
      <c r="BG22" s="528">
        <f t="shared" si="34"/>
        <v>1.0326309058736301E-2</v>
      </c>
      <c r="BH22" s="528">
        <f t="shared" si="35"/>
        <v>0.34067475686026594</v>
      </c>
      <c r="BI22" s="528">
        <f t="shared" si="36"/>
        <v>0.16156077227035595</v>
      </c>
      <c r="BJ22" s="528">
        <f t="shared" si="37"/>
        <v>4.8119158388055708E-2</v>
      </c>
      <c r="BK22">
        <f t="shared" si="38"/>
        <v>1.0765358983848622E-2</v>
      </c>
      <c r="BL22" s="460">
        <f t="shared" si="106"/>
        <v>172.32613125420457</v>
      </c>
      <c r="BM22" s="528">
        <f t="shared" si="39"/>
        <v>0.40289684767151712</v>
      </c>
      <c r="BN22" s="460">
        <f t="shared" si="107"/>
        <v>402.89684767151709</v>
      </c>
      <c r="BO22" s="528">
        <f t="shared" si="108"/>
        <v>0.14756</v>
      </c>
      <c r="BP22" s="528"/>
      <c r="BR22" s="460">
        <f t="shared" si="109"/>
        <v>147.56</v>
      </c>
      <c r="BS22" s="528">
        <f t="shared" si="40"/>
        <v>7.7447317940522254E-3</v>
      </c>
      <c r="BT22" s="528">
        <f t="shared" si="41"/>
        <v>1.852428117736973E-2</v>
      </c>
      <c r="BU22" s="528">
        <f t="shared" si="42"/>
        <v>6.1199999999999997E-2</v>
      </c>
      <c r="BV22" s="528">
        <f t="shared" si="43"/>
        <v>9.3971058240391619E-2</v>
      </c>
      <c r="BW22" s="528">
        <f t="shared" si="44"/>
        <v>0.16674963599319637</v>
      </c>
      <c r="BX22" s="460">
        <f t="shared" si="110"/>
        <v>260.72069423358801</v>
      </c>
      <c r="BY22" s="173">
        <f t="shared" si="45"/>
        <v>0.98350367315930975</v>
      </c>
      <c r="BZ22" s="5">
        <f t="shared" si="111"/>
        <v>4.08</v>
      </c>
      <c r="CA22" s="173">
        <f t="shared" si="112"/>
        <v>0.80576617760293545</v>
      </c>
      <c r="CB22" s="5">
        <f t="shared" si="113"/>
        <v>80.576617760293544</v>
      </c>
      <c r="CE22" s="562">
        <f t="shared" si="46"/>
        <v>-50</v>
      </c>
      <c r="CF22">
        <f t="shared" si="47"/>
        <v>-50</v>
      </c>
      <c r="CG22" s="173">
        <f t="shared" si="48"/>
        <v>0.23176242065295694</v>
      </c>
      <c r="CI22" s="170">
        <v>17</v>
      </c>
      <c r="CJ22" s="217">
        <f t="shared" si="114"/>
        <v>0.17</v>
      </c>
      <c r="CK22" s="217"/>
      <c r="CL22" s="217">
        <f t="shared" si="49"/>
        <v>4.08</v>
      </c>
      <c r="CM22" s="541">
        <f t="shared" si="50"/>
        <v>24</v>
      </c>
      <c r="CN22" s="172">
        <f t="shared" si="51"/>
        <v>16.3415</v>
      </c>
      <c r="CO22" s="443">
        <f t="shared" si="52"/>
        <v>40.341499999999996</v>
      </c>
      <c r="CP22" s="443"/>
      <c r="CQ22" s="217">
        <f t="shared" si="53"/>
        <v>0.40507913686898112</v>
      </c>
      <c r="CR22" s="172">
        <f t="shared" si="54"/>
        <v>54.360539956785601</v>
      </c>
      <c r="CS22" s="172">
        <f t="shared" si="115"/>
        <v>4.08</v>
      </c>
      <c r="CT22" s="217">
        <f t="shared" si="55"/>
        <v>2.2650224981994</v>
      </c>
      <c r="CU22" s="217">
        <f t="shared" si="56"/>
        <v>24</v>
      </c>
      <c r="CV22" s="217">
        <f t="shared" si="57"/>
        <v>2.250439649272117</v>
      </c>
      <c r="CW22" s="172">
        <f t="shared" si="58"/>
        <v>748.35574115459679</v>
      </c>
      <c r="CX22" s="172">
        <f t="shared" si="59"/>
        <v>24</v>
      </c>
      <c r="CY22" s="217">
        <f t="shared" si="60"/>
        <v>0.83934216565186792</v>
      </c>
      <c r="CZ22" s="217">
        <f t="shared" si="61"/>
        <v>0.34972590235494505</v>
      </c>
      <c r="DA22" s="217">
        <f t="shared" si="62"/>
        <v>0.51362614548962338</v>
      </c>
      <c r="DB22" s="197">
        <f t="shared" si="63"/>
        <v>350</v>
      </c>
      <c r="DC22" s="443">
        <f t="shared" si="116"/>
        <v>350</v>
      </c>
      <c r="DE22" s="217">
        <f t="shared" si="64"/>
        <v>2.7776855099587272</v>
      </c>
      <c r="DF22" s="173">
        <f t="shared" si="65"/>
        <v>1.6997738946600542</v>
      </c>
      <c r="DG22" s="173">
        <f t="shared" si="66"/>
        <v>0.55110977087390545</v>
      </c>
      <c r="DH22" s="173"/>
      <c r="DI22" s="173">
        <f t="shared" si="67"/>
        <v>1.3598642855443031</v>
      </c>
      <c r="DJ22" s="545">
        <f t="shared" si="117"/>
        <v>168.68249999999998</v>
      </c>
      <c r="DK22" s="528">
        <f t="shared" si="68"/>
        <v>0.35273368606701955</v>
      </c>
      <c r="DM22" s="173">
        <f t="shared" si="69"/>
        <v>1.5427248620541512</v>
      </c>
      <c r="DN22" s="173">
        <f t="shared" si="70"/>
        <v>2.2222222222222223</v>
      </c>
      <c r="DO22" s="173">
        <f t="shared" si="71"/>
        <v>1.09639</v>
      </c>
      <c r="DQ22" s="545">
        <f t="shared" si="72"/>
        <v>170</v>
      </c>
      <c r="DR22" s="460">
        <f t="shared" si="73"/>
        <v>168.68249999999998</v>
      </c>
      <c r="DT22">
        <f t="shared" si="74"/>
        <v>170</v>
      </c>
      <c r="DU22" s="460">
        <f t="shared" si="75"/>
        <v>168.68249999999998</v>
      </c>
      <c r="DV22" s="460"/>
      <c r="DW22" s="5">
        <f t="shared" si="118"/>
        <v>5.928297244823856</v>
      </c>
      <c r="DX22" s="5">
        <f t="shared" si="76"/>
        <v>0.92592592592592615</v>
      </c>
      <c r="DY22" s="5">
        <f t="shared" si="119"/>
        <v>5.0023713188979295</v>
      </c>
      <c r="DZ22" s="5">
        <f t="shared" si="77"/>
        <v>1.3598642855443031</v>
      </c>
      <c r="EA22" s="173">
        <f t="shared" si="120"/>
        <v>0.15618750000000003</v>
      </c>
      <c r="EB22" s="173">
        <f t="shared" si="78"/>
        <v>4.165</v>
      </c>
      <c r="EC22" s="173">
        <f t="shared" si="79"/>
        <v>0.62535881944444449</v>
      </c>
      <c r="ED22" s="173">
        <f t="shared" si="121"/>
        <v>6.6601763187734324</v>
      </c>
      <c r="EE22" s="460">
        <f t="shared" si="80"/>
        <v>0.65586419753086445</v>
      </c>
      <c r="EF22" s="5">
        <f t="shared" si="81"/>
        <v>0.7086692701772066</v>
      </c>
      <c r="EG22" s="5"/>
      <c r="EH22" s="173">
        <f t="shared" si="122"/>
        <v>0.5070490759602061</v>
      </c>
      <c r="EI22" s="173">
        <f t="shared" si="82"/>
        <v>0.78609615147394019</v>
      </c>
      <c r="EJ22" s="173"/>
      <c r="EK22" s="528">
        <f t="shared" si="83"/>
        <v>1.0283950617283955E-2</v>
      </c>
      <c r="EL22" s="528">
        <f t="shared" si="84"/>
        <v>0.41585531006249993</v>
      </c>
      <c r="EM22" s="528">
        <f t="shared" si="85"/>
        <v>3.3736499999999989E-2</v>
      </c>
      <c r="EN22" s="528">
        <f t="shared" si="86"/>
        <v>4.8041013655719972E-2</v>
      </c>
      <c r="EO22">
        <f t="shared" si="87"/>
        <v>1.0800000000000001E-2</v>
      </c>
      <c r="EP22" s="460">
        <f t="shared" si="123"/>
        <v>44.53649999999999</v>
      </c>
      <c r="EQ22" s="528">
        <f t="shared" si="88"/>
        <v>0.52277081406063386</v>
      </c>
      <c r="ER22" s="460">
        <f t="shared" si="124"/>
        <v>522.77081406063382</v>
      </c>
      <c r="ES22" s="528">
        <f t="shared" si="125"/>
        <v>0.14756</v>
      </c>
      <c r="ET22" s="528"/>
      <c r="EV22" s="460">
        <f t="shared" si="126"/>
        <v>147.56</v>
      </c>
      <c r="EW22" s="528">
        <f t="shared" si="89"/>
        <v>7.7129629629629657E-3</v>
      </c>
      <c r="EX22" s="528">
        <f t="shared" si="90"/>
        <v>1.8538414780864199E-2</v>
      </c>
      <c r="EY22" s="528">
        <f t="shared" si="91"/>
        <v>0.13602345203948724</v>
      </c>
      <c r="EZ22" s="528">
        <f t="shared" si="92"/>
        <v>0.16892993191823488</v>
      </c>
      <c r="FA22" s="528">
        <f t="shared" si="93"/>
        <v>0.1666</v>
      </c>
      <c r="FB22" s="460">
        <f t="shared" si="127"/>
        <v>335.52993191823487</v>
      </c>
      <c r="FC22" s="173">
        <f t="shared" si="128"/>
        <v>1.0058607459788689</v>
      </c>
      <c r="FD22" s="5">
        <f t="shared" si="129"/>
        <v>4.08</v>
      </c>
      <c r="FE22" s="173">
        <f t="shared" si="130"/>
        <v>0.80222408826782132</v>
      </c>
      <c r="FF22" s="5">
        <f t="shared" si="131"/>
        <v>80.222408826782129</v>
      </c>
      <c r="FI22" s="562">
        <f t="shared" si="94"/>
        <v>-50</v>
      </c>
      <c r="FJ22">
        <f t="shared" si="95"/>
        <v>-50</v>
      </c>
      <c r="FL22">
        <f t="shared" si="96"/>
        <v>0.22938530734632684</v>
      </c>
    </row>
    <row r="23" spans="5:168">
      <c r="E23" s="170">
        <v>18</v>
      </c>
      <c r="F23" s="217">
        <f t="shared" si="97"/>
        <v>0.18</v>
      </c>
      <c r="G23" s="217"/>
      <c r="H23" s="217">
        <f t="shared" si="0"/>
        <v>4.32</v>
      </c>
      <c r="I23" s="541">
        <f t="shared" si="1"/>
        <v>23.92301996410805</v>
      </c>
      <c r="J23" s="172">
        <f t="shared" si="2"/>
        <v>16.356177530509115</v>
      </c>
      <c r="K23" s="172">
        <f t="shared" si="3"/>
        <v>40.356177530509115</v>
      </c>
      <c r="L23" s="443"/>
      <c r="M23" s="217">
        <f t="shared" si="4"/>
        <v>0.40607233723486735</v>
      </c>
      <c r="N23" s="172">
        <f t="shared" si="5"/>
        <v>54.319035772820321</v>
      </c>
      <c r="O23" s="172">
        <f t="shared" si="98"/>
        <v>4.32</v>
      </c>
      <c r="P23" s="217">
        <f t="shared" si="6"/>
        <v>2.2632931572008466</v>
      </c>
      <c r="Q23" s="217">
        <f t="shared" si="7"/>
        <v>24</v>
      </c>
      <c r="R23" s="217">
        <f t="shared" si="8"/>
        <v>2.2487214422550341</v>
      </c>
      <c r="S23" s="172">
        <f t="shared" si="9"/>
        <v>702.52372586873855</v>
      </c>
      <c r="T23" s="172">
        <f t="shared" si="10"/>
        <v>24</v>
      </c>
      <c r="U23" s="217">
        <f t="shared" si="99"/>
        <v>0.90874725790633637</v>
      </c>
      <c r="V23" s="217">
        <f t="shared" si="11"/>
        <v>0.3798631022628996</v>
      </c>
      <c r="W23" s="217">
        <f t="shared" si="12"/>
        <v>0.55559879819796143</v>
      </c>
      <c r="X23" s="197">
        <f t="shared" si="13"/>
        <v>350</v>
      </c>
      <c r="Y23" s="443">
        <f t="shared" si="14"/>
        <v>350</v>
      </c>
      <c r="AA23" s="217">
        <f t="shared" si="15"/>
        <v>2.7755494217307022</v>
      </c>
      <c r="AB23" s="173">
        <f t="shared" si="16"/>
        <v>1.6969425873212007</v>
      </c>
      <c r="AC23" s="173">
        <f t="shared" si="17"/>
        <v>0.54976868227843745</v>
      </c>
      <c r="AD23" s="173"/>
      <c r="AE23" s="173">
        <f t="shared" si="18"/>
        <v>1.3586439851714256</v>
      </c>
      <c r="AF23" s="545">
        <f t="shared" si="100"/>
        <v>178.76541858682367</v>
      </c>
      <c r="AG23" s="528">
        <f t="shared" si="19"/>
        <v>0.35241715370918814</v>
      </c>
      <c r="AI23" s="173">
        <f t="shared" si="20"/>
        <v>1.5881635311194373</v>
      </c>
      <c r="AJ23" s="173">
        <f t="shared" si="21"/>
        <v>2.2222222222222223</v>
      </c>
      <c r="AK23" s="173">
        <f t="shared" si="22"/>
        <v>1.1021516677638992</v>
      </c>
      <c r="AM23" s="545">
        <f t="shared" si="23"/>
        <v>180</v>
      </c>
      <c r="AN23" s="460">
        <f t="shared" si="24"/>
        <v>178.76541858682367</v>
      </c>
      <c r="AP23">
        <f t="shared" si="25"/>
        <v>180</v>
      </c>
      <c r="AQ23" s="460">
        <f t="shared" si="26"/>
        <v>178.76541858682367</v>
      </c>
      <c r="AR23" s="460"/>
      <c r="AS23" s="5">
        <f t="shared" si="101"/>
        <v>5.5939230747490187</v>
      </c>
      <c r="AT23" s="5">
        <f t="shared" si="27"/>
        <v>0.92890539135788264</v>
      </c>
      <c r="AU23" s="5">
        <f t="shared" si="102"/>
        <v>4.6650176833911363</v>
      </c>
      <c r="AV23" s="5">
        <f t="shared" si="28"/>
        <v>1.3586439851714256</v>
      </c>
      <c r="AW23" s="173">
        <f t="shared" si="103"/>
        <v>0.16605616111364915</v>
      </c>
      <c r="AX23" s="173">
        <f t="shared" si="29"/>
        <v>4.4139609527610792</v>
      </c>
      <c r="AY23" s="173">
        <f t="shared" si="30"/>
        <v>0.61804504504132896</v>
      </c>
      <c r="AZ23" s="173">
        <f t="shared" si="104"/>
        <v>7.1418110834719428</v>
      </c>
      <c r="BA23" s="460">
        <f t="shared" si="31"/>
        <v>0.69667904351841192</v>
      </c>
      <c r="BB23" s="5">
        <f t="shared" si="32"/>
        <v>0.70200433245486538</v>
      </c>
      <c r="BC23" s="5"/>
      <c r="BD23" s="173">
        <f t="shared" si="105"/>
        <v>0.52282260383823898</v>
      </c>
      <c r="BE23" s="173">
        <f t="shared" si="33"/>
        <v>0.7814858071198274</v>
      </c>
      <c r="BF23" s="173"/>
      <c r="BG23" s="528">
        <f t="shared" si="34"/>
        <v>1.0933739003367846E-2</v>
      </c>
      <c r="BH23" s="528">
        <f t="shared" si="35"/>
        <v>0.3607144484402815</v>
      </c>
      <c r="BI23" s="528">
        <f t="shared" si="36"/>
        <v>0.17106434710978863</v>
      </c>
      <c r="BJ23" s="528">
        <f t="shared" si="37"/>
        <v>5.0949697116764857E-2</v>
      </c>
      <c r="BK23">
        <f t="shared" si="38"/>
        <v>1.0765358983848622E-2</v>
      </c>
      <c r="BL23" s="460">
        <f t="shared" si="106"/>
        <v>181.82970609363724</v>
      </c>
      <c r="BM23" s="528">
        <f t="shared" si="39"/>
        <v>0.42665839131836247</v>
      </c>
      <c r="BN23" s="460">
        <f t="shared" si="107"/>
        <v>426.65839131836248</v>
      </c>
      <c r="BO23" s="528">
        <f t="shared" si="108"/>
        <v>0.15623999999999999</v>
      </c>
      <c r="BP23" s="528"/>
      <c r="BR23" s="460">
        <f t="shared" si="109"/>
        <v>156.23999999999998</v>
      </c>
      <c r="BS23" s="528">
        <f t="shared" si="40"/>
        <v>8.2003042525258842E-3</v>
      </c>
      <c r="BT23" s="528">
        <f t="shared" si="41"/>
        <v>1.8321602001891844E-2</v>
      </c>
      <c r="BU23" s="528">
        <f t="shared" si="42"/>
        <v>6.4799999999999996E-2</v>
      </c>
      <c r="BV23" s="528">
        <f t="shared" si="43"/>
        <v>9.7894872445861758E-2</v>
      </c>
      <c r="BW23" s="528">
        <f t="shared" si="44"/>
        <v>0.17655843811044319</v>
      </c>
      <c r="BX23" s="460">
        <f t="shared" si="110"/>
        <v>274.45331055630493</v>
      </c>
      <c r="BY23" s="173">
        <f t="shared" si="45"/>
        <v>1.0391814079683048</v>
      </c>
      <c r="BZ23" s="5">
        <f t="shared" si="111"/>
        <v>4.32</v>
      </c>
      <c r="CA23" s="173">
        <f t="shared" si="112"/>
        <v>0.80609325774581986</v>
      </c>
      <c r="CB23" s="5">
        <f t="shared" si="113"/>
        <v>80.60932577458199</v>
      </c>
      <c r="CE23" s="562">
        <f t="shared" si="46"/>
        <v>-50</v>
      </c>
      <c r="CF23">
        <f t="shared" si="47"/>
        <v>-50</v>
      </c>
      <c r="CG23" s="173">
        <f t="shared" si="48"/>
        <v>0.24539550422077794</v>
      </c>
      <c r="CI23" s="170">
        <v>18</v>
      </c>
      <c r="CJ23" s="217">
        <f t="shared" si="114"/>
        <v>0.18</v>
      </c>
      <c r="CK23" s="217"/>
      <c r="CL23" s="217">
        <f t="shared" si="49"/>
        <v>4.32</v>
      </c>
      <c r="CM23" s="541">
        <f t="shared" si="50"/>
        <v>24</v>
      </c>
      <c r="CN23" s="172">
        <f t="shared" si="51"/>
        <v>16.3415</v>
      </c>
      <c r="CO23" s="443">
        <f t="shared" si="52"/>
        <v>40.341499999999996</v>
      </c>
      <c r="CP23" s="443"/>
      <c r="CQ23" s="217">
        <f t="shared" si="53"/>
        <v>0.40507913686898112</v>
      </c>
      <c r="CR23" s="172">
        <f t="shared" si="54"/>
        <v>54.360539956785601</v>
      </c>
      <c r="CS23" s="172">
        <f t="shared" si="115"/>
        <v>4.32</v>
      </c>
      <c r="CT23" s="217">
        <f t="shared" si="55"/>
        <v>2.2650224981994</v>
      </c>
      <c r="CU23" s="217">
        <f t="shared" si="56"/>
        <v>24</v>
      </c>
      <c r="CV23" s="217">
        <f t="shared" si="57"/>
        <v>2.250439649272117</v>
      </c>
      <c r="CW23" s="172">
        <f t="shared" si="58"/>
        <v>704.78424061593432</v>
      </c>
      <c r="CX23" s="172">
        <f t="shared" si="59"/>
        <v>24</v>
      </c>
      <c r="CY23" s="217">
        <f t="shared" si="60"/>
        <v>0.88871523421962495</v>
      </c>
      <c r="CZ23" s="217">
        <f t="shared" si="61"/>
        <v>0.37029801425817704</v>
      </c>
      <c r="DA23" s="217">
        <f t="shared" si="62"/>
        <v>0.54383944816548357</v>
      </c>
      <c r="DB23" s="197">
        <f t="shared" si="63"/>
        <v>350</v>
      </c>
      <c r="DC23" s="443">
        <f t="shared" si="116"/>
        <v>350</v>
      </c>
      <c r="DE23" s="217">
        <f t="shared" si="64"/>
        <v>2.7776855099587272</v>
      </c>
      <c r="DF23" s="173">
        <f t="shared" si="65"/>
        <v>1.6997738946600542</v>
      </c>
      <c r="DG23" s="173">
        <f t="shared" si="66"/>
        <v>0.55110977087390545</v>
      </c>
      <c r="DH23" s="173"/>
      <c r="DI23" s="173">
        <f t="shared" si="67"/>
        <v>1.3598642855443031</v>
      </c>
      <c r="DJ23" s="545">
        <f t="shared" si="117"/>
        <v>178.60499999999993</v>
      </c>
      <c r="DK23" s="528">
        <f t="shared" si="68"/>
        <v>0.35273368606701955</v>
      </c>
      <c r="DM23" s="173">
        <f t="shared" si="69"/>
        <v>1.5874507866387542</v>
      </c>
      <c r="DN23" s="173">
        <f t="shared" si="70"/>
        <v>2.2222222222222223</v>
      </c>
      <c r="DO23" s="173">
        <f t="shared" si="71"/>
        <v>1.10206</v>
      </c>
      <c r="DQ23" s="545">
        <f t="shared" si="72"/>
        <v>180</v>
      </c>
      <c r="DR23" s="460">
        <f t="shared" si="73"/>
        <v>178.60499999999993</v>
      </c>
      <c r="DT23">
        <f t="shared" si="74"/>
        <v>180</v>
      </c>
      <c r="DU23" s="460">
        <f t="shared" si="75"/>
        <v>178.60499999999993</v>
      </c>
      <c r="DV23" s="460"/>
      <c r="DW23" s="5">
        <f t="shared" si="118"/>
        <v>5.5989473978891988</v>
      </c>
      <c r="DX23" s="5">
        <f t="shared" si="76"/>
        <v>0.92592592592592615</v>
      </c>
      <c r="DY23" s="5">
        <f t="shared" si="119"/>
        <v>4.6730214719632723</v>
      </c>
      <c r="DZ23" s="5">
        <f t="shared" si="77"/>
        <v>1.3598642855443031</v>
      </c>
      <c r="EA23" s="173">
        <f t="shared" si="120"/>
        <v>0.16537499999999999</v>
      </c>
      <c r="EB23" s="173">
        <f t="shared" si="78"/>
        <v>4.4099999999999993</v>
      </c>
      <c r="EC23" s="173">
        <f t="shared" si="79"/>
        <v>0.6185498611111111</v>
      </c>
      <c r="ED23" s="173">
        <f t="shared" si="121"/>
        <v>7.1295788379585847</v>
      </c>
      <c r="EE23" s="460">
        <f t="shared" si="80"/>
        <v>0.69444444444444464</v>
      </c>
      <c r="EF23" s="5">
        <f t="shared" si="81"/>
        <v>0.70095322079449085</v>
      </c>
      <c r="EG23" s="5"/>
      <c r="EH23" s="173">
        <f t="shared" si="122"/>
        <v>0.52174919474995096</v>
      </c>
      <c r="EI23" s="173">
        <f t="shared" si="82"/>
        <v>0.78180489880419579</v>
      </c>
      <c r="EJ23" s="173"/>
      <c r="EK23" s="528">
        <f t="shared" si="83"/>
        <v>1.0888888888888891E-2</v>
      </c>
      <c r="EL23" s="528">
        <f t="shared" si="84"/>
        <v>0.44031738712499985</v>
      </c>
      <c r="EM23" s="528">
        <f t="shared" si="85"/>
        <v>3.5720999999999989E-2</v>
      </c>
      <c r="EN23" s="528">
        <f t="shared" si="86"/>
        <v>5.0866955635468197E-2</v>
      </c>
      <c r="EO23">
        <f t="shared" si="87"/>
        <v>1.0800000000000001E-2</v>
      </c>
      <c r="EP23" s="460">
        <f t="shared" si="123"/>
        <v>46.520999999999994</v>
      </c>
      <c r="EQ23" s="528">
        <f t="shared" si="88"/>
        <v>0.55296486234120612</v>
      </c>
      <c r="ER23" s="460">
        <f t="shared" si="124"/>
        <v>552.96486234120607</v>
      </c>
      <c r="ES23" s="528">
        <f t="shared" si="125"/>
        <v>0.15623999999999999</v>
      </c>
      <c r="ET23" s="528"/>
      <c r="EV23" s="460">
        <f t="shared" si="126"/>
        <v>156.23999999999998</v>
      </c>
      <c r="EW23" s="528">
        <f t="shared" si="89"/>
        <v>8.1666666666666676E-3</v>
      </c>
      <c r="EX23" s="528">
        <f t="shared" si="90"/>
        <v>1.8336566993827165E-2</v>
      </c>
      <c r="EY23" s="528">
        <f t="shared" si="91"/>
        <v>0.15691799545318169</v>
      </c>
      <c r="EZ23" s="528">
        <f t="shared" si="92"/>
        <v>0.1901852471156408</v>
      </c>
      <c r="FA23" s="528">
        <f t="shared" si="93"/>
        <v>0.17639999999999997</v>
      </c>
      <c r="FB23" s="460">
        <f t="shared" si="127"/>
        <v>366.58524711564075</v>
      </c>
      <c r="FC23" s="173">
        <f t="shared" si="128"/>
        <v>1.0757901094568469</v>
      </c>
      <c r="FD23" s="5">
        <f t="shared" si="129"/>
        <v>4.32</v>
      </c>
      <c r="FE23" s="173">
        <f t="shared" si="130"/>
        <v>0.80062417409984499</v>
      </c>
      <c r="FF23" s="5">
        <f t="shared" si="131"/>
        <v>80.062417409984505</v>
      </c>
      <c r="FI23" s="562">
        <f t="shared" si="94"/>
        <v>-50</v>
      </c>
      <c r="FJ23">
        <f t="shared" si="95"/>
        <v>-50</v>
      </c>
      <c r="FL23">
        <f t="shared" si="96"/>
        <v>0.24287856071964015</v>
      </c>
    </row>
    <row r="24" spans="5:168">
      <c r="E24" s="170">
        <v>19</v>
      </c>
      <c r="F24" s="217">
        <f t="shared" si="97"/>
        <v>0.19</v>
      </c>
      <c r="G24" s="217"/>
      <c r="H24" s="217">
        <f t="shared" si="0"/>
        <v>4.5600000000000005</v>
      </c>
      <c r="I24" s="541">
        <f t="shared" si="1"/>
        <v>23.92301996410805</v>
      </c>
      <c r="J24" s="172">
        <f t="shared" si="2"/>
        <v>16.356177530509115</v>
      </c>
      <c r="K24" s="172">
        <f t="shared" si="3"/>
        <v>40.356177530509115</v>
      </c>
      <c r="L24" s="443"/>
      <c r="M24" s="217">
        <f t="shared" si="4"/>
        <v>0.40607233723486735</v>
      </c>
      <c r="N24" s="172">
        <f t="shared" si="5"/>
        <v>54.319035772820321</v>
      </c>
      <c r="O24" s="172">
        <f t="shared" si="98"/>
        <v>4.5600000000000005</v>
      </c>
      <c r="P24" s="217">
        <f t="shared" si="6"/>
        <v>2.2632931572008466</v>
      </c>
      <c r="Q24" s="217">
        <f t="shared" si="7"/>
        <v>24</v>
      </c>
      <c r="R24" s="217">
        <f t="shared" si="8"/>
        <v>2.2487214422550341</v>
      </c>
      <c r="S24" s="172">
        <f t="shared" si="9"/>
        <v>663.66391238858637</v>
      </c>
      <c r="T24" s="172">
        <f t="shared" si="10"/>
        <v>24</v>
      </c>
      <c r="U24" s="217">
        <f t="shared" si="99"/>
        <v>0.95923321667891071</v>
      </c>
      <c r="V24" s="217">
        <f t="shared" si="11"/>
        <v>0.40096660794417177</v>
      </c>
      <c r="W24" s="217">
        <f t="shared" si="12"/>
        <v>0.58646539809784815</v>
      </c>
      <c r="X24" s="197">
        <f t="shared" si="13"/>
        <v>350</v>
      </c>
      <c r="Y24" s="443">
        <f t="shared" si="14"/>
        <v>350</v>
      </c>
      <c r="AA24" s="217">
        <f t="shared" si="15"/>
        <v>2.7755494217307022</v>
      </c>
      <c r="AB24" s="173">
        <f t="shared" si="16"/>
        <v>1.6969425873212007</v>
      </c>
      <c r="AC24" s="173">
        <f t="shared" si="17"/>
        <v>0.54976868227843745</v>
      </c>
      <c r="AD24" s="173"/>
      <c r="AE24" s="173">
        <f t="shared" si="18"/>
        <v>1.3586439851714256</v>
      </c>
      <c r="AF24" s="545">
        <f t="shared" si="100"/>
        <v>188.69683073053611</v>
      </c>
      <c r="AG24" s="528">
        <f t="shared" si="19"/>
        <v>0.35241715370918814</v>
      </c>
      <c r="AI24" s="173">
        <f t="shared" si="20"/>
        <v>1.6316829183728858</v>
      </c>
      <c r="AJ24" s="173">
        <f t="shared" si="21"/>
        <v>2.2222222222222223</v>
      </c>
      <c r="AK24" s="173">
        <f t="shared" si="22"/>
        <v>1.1078267604174492</v>
      </c>
      <c r="AM24" s="545">
        <f t="shared" si="23"/>
        <v>190</v>
      </c>
      <c r="AN24" s="460">
        <f t="shared" si="24"/>
        <v>188.69683073053611</v>
      </c>
      <c r="AP24">
        <f t="shared" si="25"/>
        <v>190</v>
      </c>
      <c r="AQ24" s="460">
        <f t="shared" si="26"/>
        <v>188.69683073053611</v>
      </c>
      <c r="AR24" s="460"/>
      <c r="AS24" s="5">
        <f t="shared" si="101"/>
        <v>5.2995060708148589</v>
      </c>
      <c r="AT24" s="5">
        <f t="shared" si="27"/>
        <v>0.92890539135788264</v>
      </c>
      <c r="AU24" s="5">
        <f t="shared" si="102"/>
        <v>4.3706006794569765</v>
      </c>
      <c r="AV24" s="5">
        <f t="shared" si="28"/>
        <v>1.3586439851714256</v>
      </c>
      <c r="AW24" s="173">
        <f t="shared" si="103"/>
        <v>0.17528150339774079</v>
      </c>
      <c r="AX24" s="173">
        <f t="shared" si="29"/>
        <v>4.6591810056922505</v>
      </c>
      <c r="AY24" s="173">
        <f t="shared" si="30"/>
        <v>0.61120804137078544</v>
      </c>
      <c r="AZ24" s="173">
        <f t="shared" si="104"/>
        <v>7.6229052799156287</v>
      </c>
      <c r="BA24" s="460">
        <f t="shared" si="31"/>
        <v>0.73538343482499047</v>
      </c>
      <c r="BB24" s="5">
        <f t="shared" si="32"/>
        <v>0.69423854542002161</v>
      </c>
      <c r="BC24" s="5"/>
      <c r="BD24" s="173">
        <f t="shared" si="105"/>
        <v>0.53714916336152374</v>
      </c>
      <c r="BE24" s="173">
        <f t="shared" si="33"/>
        <v>0.77715126855316796</v>
      </c>
      <c r="BF24" s="173"/>
      <c r="BG24" s="528">
        <f t="shared" si="34"/>
        <v>1.1541168947999397E-2</v>
      </c>
      <c r="BH24" s="528">
        <f t="shared" si="35"/>
        <v>0.38075414002029717</v>
      </c>
      <c r="BI24" s="528">
        <f t="shared" si="36"/>
        <v>0.18056792194922133</v>
      </c>
      <c r="BJ24" s="528">
        <f t="shared" si="37"/>
        <v>5.378023584547402E-2</v>
      </c>
      <c r="BK24">
        <f t="shared" si="38"/>
        <v>1.0765358983848622E-2</v>
      </c>
      <c r="BL24" s="460">
        <f t="shared" si="106"/>
        <v>191.33328093306994</v>
      </c>
      <c r="BM24" s="528">
        <f t="shared" si="39"/>
        <v>0.45042681261140083</v>
      </c>
      <c r="BN24" s="460">
        <f t="shared" si="107"/>
        <v>450.42681261140081</v>
      </c>
      <c r="BO24" s="528">
        <f t="shared" si="108"/>
        <v>0.16491999999999998</v>
      </c>
      <c r="BP24" s="528"/>
      <c r="BR24" s="460">
        <f t="shared" si="109"/>
        <v>164.92</v>
      </c>
      <c r="BS24" s="528">
        <f t="shared" si="40"/>
        <v>8.6558767109995473E-3</v>
      </c>
      <c r="BT24" s="528">
        <f t="shared" si="41"/>
        <v>1.8118922826413943E-2</v>
      </c>
      <c r="BU24" s="528">
        <f t="shared" si="42"/>
        <v>6.8400000000000002E-2</v>
      </c>
      <c r="BV24" s="528">
        <f t="shared" si="43"/>
        <v>0.10181884576114356</v>
      </c>
      <c r="BW24" s="528">
        <f t="shared" si="44"/>
        <v>0.18636724022769002</v>
      </c>
      <c r="BX24" s="460">
        <f t="shared" si="110"/>
        <v>288.18608598883355</v>
      </c>
      <c r="BY24" s="173">
        <f t="shared" si="45"/>
        <v>1.0948661795333043</v>
      </c>
      <c r="BZ24" s="5">
        <f t="shared" si="111"/>
        <v>4.5600000000000005</v>
      </c>
      <c r="CA24" s="173">
        <f t="shared" si="112"/>
        <v>0.80638513012103441</v>
      </c>
      <c r="CB24" s="5">
        <f t="shared" si="113"/>
        <v>80.638513012103445</v>
      </c>
      <c r="CE24" s="562">
        <f t="shared" si="46"/>
        <v>-50</v>
      </c>
      <c r="CF24">
        <f t="shared" si="47"/>
        <v>-50</v>
      </c>
      <c r="CG24" s="173">
        <f t="shared" si="48"/>
        <v>0.25902858778859889</v>
      </c>
      <c r="CI24" s="170">
        <v>19</v>
      </c>
      <c r="CJ24" s="217">
        <f t="shared" si="114"/>
        <v>0.19</v>
      </c>
      <c r="CK24" s="217"/>
      <c r="CL24" s="217">
        <f t="shared" si="49"/>
        <v>4.5600000000000005</v>
      </c>
      <c r="CM24" s="541">
        <f t="shared" si="50"/>
        <v>24</v>
      </c>
      <c r="CN24" s="172">
        <f t="shared" si="51"/>
        <v>16.3415</v>
      </c>
      <c r="CO24" s="443">
        <f t="shared" si="52"/>
        <v>40.341499999999996</v>
      </c>
      <c r="CP24" s="443"/>
      <c r="CQ24" s="217">
        <f t="shared" si="53"/>
        <v>0.40507913686898112</v>
      </c>
      <c r="CR24" s="172">
        <f t="shared" si="54"/>
        <v>54.360539956785601</v>
      </c>
      <c r="CS24" s="172">
        <f t="shared" si="115"/>
        <v>4.5600000000000005</v>
      </c>
      <c r="CT24" s="217">
        <f t="shared" si="55"/>
        <v>2.2650224981994</v>
      </c>
      <c r="CU24" s="217">
        <f t="shared" si="56"/>
        <v>24</v>
      </c>
      <c r="CV24" s="217">
        <f t="shared" si="57"/>
        <v>2.250439649272117</v>
      </c>
      <c r="CW24" s="172">
        <f t="shared" si="58"/>
        <v>665.79937835209512</v>
      </c>
      <c r="CX24" s="172">
        <f t="shared" si="59"/>
        <v>24</v>
      </c>
      <c r="CY24" s="217">
        <f t="shared" si="60"/>
        <v>0.93808830278738187</v>
      </c>
      <c r="CZ24" s="217">
        <f t="shared" si="61"/>
        <v>0.39087012616140915</v>
      </c>
      <c r="DA24" s="217">
        <f t="shared" si="62"/>
        <v>0.57405275084134377</v>
      </c>
      <c r="DB24" s="197">
        <f t="shared" si="63"/>
        <v>350</v>
      </c>
      <c r="DC24" s="443">
        <f t="shared" si="116"/>
        <v>350</v>
      </c>
      <c r="DE24" s="217">
        <f t="shared" si="64"/>
        <v>2.7776855099587272</v>
      </c>
      <c r="DF24" s="173">
        <f t="shared" si="65"/>
        <v>1.6997738946600542</v>
      </c>
      <c r="DG24" s="173">
        <f t="shared" si="66"/>
        <v>0.55110977087390545</v>
      </c>
      <c r="DH24" s="173"/>
      <c r="DI24" s="173">
        <f t="shared" si="67"/>
        <v>1.3598642855443031</v>
      </c>
      <c r="DJ24" s="545">
        <f t="shared" si="117"/>
        <v>188.52749999999995</v>
      </c>
      <c r="DK24" s="528">
        <f t="shared" si="68"/>
        <v>0.35273368606701955</v>
      </c>
      <c r="DM24" s="173">
        <f t="shared" si="69"/>
        <v>1.6309506430300089</v>
      </c>
      <c r="DN24" s="173">
        <f t="shared" si="70"/>
        <v>2.2222222222222223</v>
      </c>
      <c r="DO24" s="173">
        <f t="shared" si="71"/>
        <v>1.1077299999999999</v>
      </c>
      <c r="DQ24" s="545">
        <f t="shared" si="72"/>
        <v>190</v>
      </c>
      <c r="DR24" s="460">
        <f t="shared" si="73"/>
        <v>188.52749999999995</v>
      </c>
      <c r="DT24">
        <f t="shared" si="74"/>
        <v>190</v>
      </c>
      <c r="DU24" s="460">
        <f t="shared" si="75"/>
        <v>188.52749999999995</v>
      </c>
      <c r="DV24" s="460"/>
      <c r="DW24" s="5">
        <f t="shared" si="118"/>
        <v>5.3042659558950307</v>
      </c>
      <c r="DX24" s="5">
        <f t="shared" si="76"/>
        <v>0.92592592592592615</v>
      </c>
      <c r="DY24" s="5">
        <f t="shared" si="119"/>
        <v>4.3783400299691042</v>
      </c>
      <c r="DZ24" s="5">
        <f t="shared" si="77"/>
        <v>1.3598642855443031</v>
      </c>
      <c r="EA24" s="173">
        <f t="shared" si="120"/>
        <v>0.17456249999999998</v>
      </c>
      <c r="EB24" s="173">
        <f t="shared" si="78"/>
        <v>4.6549999999999994</v>
      </c>
      <c r="EC24" s="173">
        <f t="shared" si="79"/>
        <v>0.61174090277777782</v>
      </c>
      <c r="ED24" s="173">
        <f t="shared" si="121"/>
        <v>7.6094306901217355</v>
      </c>
      <c r="EE24" s="460">
        <f t="shared" si="80"/>
        <v>0.73302469135802484</v>
      </c>
      <c r="EF24" s="5">
        <f t="shared" si="81"/>
        <v>0.69323717141177488</v>
      </c>
      <c r="EG24" s="5"/>
      <c r="EH24" s="173">
        <f t="shared" si="122"/>
        <v>0.53604634035906418</v>
      </c>
      <c r="EI24" s="173">
        <f t="shared" si="82"/>
        <v>0.77748996149554095</v>
      </c>
      <c r="EJ24" s="173"/>
      <c r="EK24" s="528">
        <f t="shared" si="83"/>
        <v>1.1493827160493828E-2</v>
      </c>
      <c r="EL24" s="528">
        <f t="shared" si="84"/>
        <v>0.46477946418749982</v>
      </c>
      <c r="EM24" s="528">
        <f t="shared" si="85"/>
        <v>3.7705499999999989E-2</v>
      </c>
      <c r="EN24" s="528">
        <f t="shared" si="86"/>
        <v>5.3692897615216437E-2</v>
      </c>
      <c r="EO24">
        <f t="shared" si="87"/>
        <v>1.0800000000000001E-2</v>
      </c>
      <c r="EP24" s="460">
        <f t="shared" si="123"/>
        <v>48.505499999999991</v>
      </c>
      <c r="EQ24" s="528">
        <f t="shared" si="88"/>
        <v>0.583167614173009</v>
      </c>
      <c r="ER24" s="460">
        <f t="shared" si="124"/>
        <v>583.16761417300904</v>
      </c>
      <c r="ES24" s="528">
        <f t="shared" si="125"/>
        <v>0.16491999999999998</v>
      </c>
      <c r="ET24" s="528"/>
      <c r="EV24" s="460">
        <f t="shared" si="126"/>
        <v>164.92</v>
      </c>
      <c r="EW24" s="528">
        <f t="shared" si="89"/>
        <v>8.6203703703703703E-3</v>
      </c>
      <c r="EX24" s="528">
        <f t="shared" si="90"/>
        <v>1.8134719206790131E-2</v>
      </c>
      <c r="EY24" s="528">
        <f t="shared" si="91"/>
        <v>0.17962860254355925</v>
      </c>
      <c r="EZ24" s="528">
        <f t="shared" si="92"/>
        <v>0.21326137980484047</v>
      </c>
      <c r="FA24" s="528">
        <f t="shared" si="93"/>
        <v>0.1862</v>
      </c>
      <c r="FB24" s="460">
        <f t="shared" si="127"/>
        <v>399.46137980484048</v>
      </c>
      <c r="FC24" s="173">
        <f t="shared" si="128"/>
        <v>1.1475489939778494</v>
      </c>
      <c r="FD24" s="5">
        <f t="shared" si="129"/>
        <v>4.5600000000000005</v>
      </c>
      <c r="FE24" s="173">
        <f t="shared" si="130"/>
        <v>0.79894189341367861</v>
      </c>
      <c r="FF24" s="5">
        <f t="shared" si="131"/>
        <v>79.894189341367863</v>
      </c>
      <c r="FI24" s="562">
        <f t="shared" si="94"/>
        <v>-50</v>
      </c>
      <c r="FJ24">
        <f t="shared" si="95"/>
        <v>-50</v>
      </c>
      <c r="FL24">
        <f t="shared" si="96"/>
        <v>0.25637181409295351</v>
      </c>
    </row>
    <row r="25" spans="5:168">
      <c r="E25" s="170">
        <v>20</v>
      </c>
      <c r="F25" s="217">
        <f t="shared" si="97"/>
        <v>0.2</v>
      </c>
      <c r="G25" s="217"/>
      <c r="H25" s="217">
        <f t="shared" si="0"/>
        <v>4.8000000000000007</v>
      </c>
      <c r="I25" s="541">
        <f t="shared" si="1"/>
        <v>23.92301996410805</v>
      </c>
      <c r="J25" s="172">
        <f t="shared" si="2"/>
        <v>16.356177530509115</v>
      </c>
      <c r="K25" s="172">
        <f t="shared" si="3"/>
        <v>40.356177530509115</v>
      </c>
      <c r="L25" s="443"/>
      <c r="M25" s="217">
        <f t="shared" si="4"/>
        <v>0.40607233723486735</v>
      </c>
      <c r="N25" s="172">
        <f t="shared" si="5"/>
        <v>54.319035772820321</v>
      </c>
      <c r="O25" s="172">
        <f t="shared" si="98"/>
        <v>4.8000000000000007</v>
      </c>
      <c r="P25" s="217">
        <f t="shared" si="6"/>
        <v>2.2632931572008466</v>
      </c>
      <c r="Q25" s="217">
        <f t="shared" si="7"/>
        <v>24</v>
      </c>
      <c r="R25" s="217">
        <f t="shared" si="8"/>
        <v>2.2487214422550341</v>
      </c>
      <c r="S25" s="172">
        <f t="shared" si="9"/>
        <v>628.69023787629976</v>
      </c>
      <c r="T25" s="172">
        <f t="shared" si="10"/>
        <v>24</v>
      </c>
      <c r="U25" s="217">
        <f t="shared" si="99"/>
        <v>1.0097191754514849</v>
      </c>
      <c r="V25" s="217">
        <f t="shared" si="11"/>
        <v>0.422070113625444</v>
      </c>
      <c r="W25" s="217">
        <f t="shared" si="12"/>
        <v>0.61733199799773497</v>
      </c>
      <c r="X25" s="197">
        <f t="shared" si="13"/>
        <v>350</v>
      </c>
      <c r="Y25" s="443">
        <f t="shared" si="14"/>
        <v>350</v>
      </c>
      <c r="AA25" s="217">
        <f t="shared" si="15"/>
        <v>2.7755494217307022</v>
      </c>
      <c r="AB25" s="173">
        <f t="shared" si="16"/>
        <v>1.6969425873212007</v>
      </c>
      <c r="AC25" s="173">
        <f t="shared" si="17"/>
        <v>0.54976868227843745</v>
      </c>
      <c r="AD25" s="173"/>
      <c r="AE25" s="173">
        <f t="shared" si="18"/>
        <v>1.3586439851714256</v>
      </c>
      <c r="AF25" s="545">
        <f t="shared" si="100"/>
        <v>198.62824287424854</v>
      </c>
      <c r="AG25" s="528">
        <f t="shared" si="19"/>
        <v>0.35241715370918814</v>
      </c>
      <c r="AI25" s="173">
        <f t="shared" si="20"/>
        <v>1.6740713517177086</v>
      </c>
      <c r="AJ25" s="173">
        <f t="shared" si="21"/>
        <v>2.2222222222222223</v>
      </c>
      <c r="AK25" s="173">
        <f t="shared" si="22"/>
        <v>1.1135018530709992</v>
      </c>
      <c r="AM25" s="545">
        <f t="shared" si="23"/>
        <v>200</v>
      </c>
      <c r="AN25" s="460">
        <f t="shared" si="24"/>
        <v>198.62824287424854</v>
      </c>
      <c r="AP25">
        <f t="shared" si="25"/>
        <v>200</v>
      </c>
      <c r="AQ25" s="460">
        <f t="shared" si="26"/>
        <v>198.62824287424854</v>
      </c>
      <c r="AR25" s="460"/>
      <c r="AS25" s="5">
        <f t="shared" si="101"/>
        <v>5.0345307672741164</v>
      </c>
      <c r="AT25" s="5">
        <f t="shared" si="27"/>
        <v>0.92890539135788264</v>
      </c>
      <c r="AU25" s="5">
        <f t="shared" si="102"/>
        <v>4.105625375916234</v>
      </c>
      <c r="AV25" s="5">
        <f t="shared" si="28"/>
        <v>1.3586439851714256</v>
      </c>
      <c r="AW25" s="173">
        <f t="shared" si="103"/>
        <v>0.1845068456818324</v>
      </c>
      <c r="AX25" s="173">
        <f t="shared" si="29"/>
        <v>4.9044010586234226</v>
      </c>
      <c r="AY25" s="173">
        <f t="shared" si="30"/>
        <v>0.60437103770024203</v>
      </c>
      <c r="AZ25" s="173">
        <f t="shared" si="104"/>
        <v>8.114884322196664</v>
      </c>
      <c r="BA25" s="460">
        <f t="shared" si="31"/>
        <v>0.7740878261315689</v>
      </c>
      <c r="BB25" s="5">
        <f t="shared" si="32"/>
        <v>0.68647275838517796</v>
      </c>
      <c r="BC25" s="5"/>
      <c r="BD25" s="173">
        <f t="shared" si="105"/>
        <v>0.55110341344957525</v>
      </c>
      <c r="BE25" s="173">
        <f t="shared" si="33"/>
        <v>0.7727924182455912</v>
      </c>
      <c r="BF25" s="173"/>
      <c r="BG25" s="528">
        <f t="shared" si="34"/>
        <v>1.214859889263094E-2</v>
      </c>
      <c r="BH25" s="528">
        <f t="shared" si="35"/>
        <v>0.40079383160031284</v>
      </c>
      <c r="BI25" s="528">
        <f t="shared" si="36"/>
        <v>0.19007149678865404</v>
      </c>
      <c r="BJ25" s="528">
        <f t="shared" si="37"/>
        <v>5.6610774574183183E-2</v>
      </c>
      <c r="BK25">
        <f t="shared" si="38"/>
        <v>1.0765358983848622E-2</v>
      </c>
      <c r="BL25" s="460">
        <f t="shared" si="106"/>
        <v>200.83685577250264</v>
      </c>
      <c r="BM25" s="528">
        <f t="shared" si="39"/>
        <v>0.47420211453710853</v>
      </c>
      <c r="BN25" s="460">
        <f t="shared" si="107"/>
        <v>474.20211453710851</v>
      </c>
      <c r="BO25" s="528">
        <f t="shared" si="108"/>
        <v>0.17359999999999998</v>
      </c>
      <c r="BP25" s="528"/>
      <c r="BR25" s="460">
        <f t="shared" si="109"/>
        <v>173.59999999999997</v>
      </c>
      <c r="BS25" s="528">
        <f t="shared" si="40"/>
        <v>9.1114491694732052E-3</v>
      </c>
      <c r="BT25" s="528">
        <f t="shared" si="41"/>
        <v>1.791624365093606E-2</v>
      </c>
      <c r="BU25" s="528">
        <f t="shared" si="42"/>
        <v>7.2000000000000008E-2</v>
      </c>
      <c r="BV25" s="528">
        <f t="shared" si="43"/>
        <v>0.10574297819591506</v>
      </c>
      <c r="BW25" s="528">
        <f t="shared" si="44"/>
        <v>0.19617604234493688</v>
      </c>
      <c r="BX25" s="460">
        <f t="shared" si="110"/>
        <v>301.91902054085193</v>
      </c>
      <c r="BY25" s="173">
        <f t="shared" si="45"/>
        <v>1.1505579908504631</v>
      </c>
      <c r="BZ25" s="5">
        <f t="shared" si="111"/>
        <v>4.8000000000000007</v>
      </c>
      <c r="CA25" s="173">
        <f t="shared" si="112"/>
        <v>0.80664704173632906</v>
      </c>
      <c r="CB25" s="5">
        <f t="shared" si="113"/>
        <v>80.664704173632913</v>
      </c>
      <c r="CE25" s="562">
        <f t="shared" si="46"/>
        <v>-50</v>
      </c>
      <c r="CF25">
        <f t="shared" si="47"/>
        <v>-50</v>
      </c>
      <c r="CG25" s="173">
        <f t="shared" si="48"/>
        <v>0.27266167135641994</v>
      </c>
      <c r="CI25" s="170">
        <v>20</v>
      </c>
      <c r="CJ25" s="217">
        <f t="shared" si="114"/>
        <v>0.2</v>
      </c>
      <c r="CK25" s="217"/>
      <c r="CL25" s="217">
        <f t="shared" si="49"/>
        <v>4.8000000000000007</v>
      </c>
      <c r="CM25" s="541">
        <f t="shared" si="50"/>
        <v>24</v>
      </c>
      <c r="CN25" s="172">
        <f t="shared" si="51"/>
        <v>16.3415</v>
      </c>
      <c r="CO25" s="443">
        <f t="shared" si="52"/>
        <v>40.341499999999996</v>
      </c>
      <c r="CP25" s="443"/>
      <c r="CQ25" s="217">
        <f t="shared" si="53"/>
        <v>0.40507913686898112</v>
      </c>
      <c r="CR25" s="172">
        <f t="shared" si="54"/>
        <v>54.360539956785601</v>
      </c>
      <c r="CS25" s="172">
        <f t="shared" si="115"/>
        <v>4.8000000000000007</v>
      </c>
      <c r="CT25" s="217">
        <f t="shared" si="55"/>
        <v>2.2650224981994</v>
      </c>
      <c r="CU25" s="217">
        <f t="shared" si="56"/>
        <v>24</v>
      </c>
      <c r="CV25" s="217">
        <f t="shared" si="57"/>
        <v>2.250439649272117</v>
      </c>
      <c r="CW25" s="172">
        <f t="shared" si="58"/>
        <v>630.71315993575524</v>
      </c>
      <c r="CX25" s="172">
        <f t="shared" si="59"/>
        <v>24</v>
      </c>
      <c r="CY25" s="217">
        <f t="shared" si="60"/>
        <v>0.98746137135513889</v>
      </c>
      <c r="CZ25" s="217">
        <f t="shared" si="61"/>
        <v>0.4114422380646412</v>
      </c>
      <c r="DA25" s="217">
        <f t="shared" si="62"/>
        <v>0.60426605351720397</v>
      </c>
      <c r="DB25" s="197">
        <f t="shared" si="63"/>
        <v>350</v>
      </c>
      <c r="DC25" s="443">
        <f t="shared" si="116"/>
        <v>350</v>
      </c>
      <c r="DE25" s="217">
        <f t="shared" si="64"/>
        <v>2.7776855099587272</v>
      </c>
      <c r="DF25" s="173">
        <f t="shared" si="65"/>
        <v>1.6997738946600542</v>
      </c>
      <c r="DG25" s="173">
        <f t="shared" si="66"/>
        <v>0.55110977087390545</v>
      </c>
      <c r="DH25" s="173"/>
      <c r="DI25" s="173">
        <f t="shared" si="67"/>
        <v>1.3598642855443031</v>
      </c>
      <c r="DJ25" s="545">
        <f t="shared" si="117"/>
        <v>198.44999999999993</v>
      </c>
      <c r="DK25" s="528">
        <f t="shared" si="68"/>
        <v>0.35273368606701955</v>
      </c>
      <c r="DM25" s="173">
        <f t="shared" si="69"/>
        <v>1.6733200530681511</v>
      </c>
      <c r="DN25" s="173">
        <f t="shared" si="70"/>
        <v>2.2222222222222223</v>
      </c>
      <c r="DO25" s="173">
        <f t="shared" si="71"/>
        <v>1.1133999999999999</v>
      </c>
      <c r="DQ25" s="545">
        <f t="shared" si="72"/>
        <v>200</v>
      </c>
      <c r="DR25" s="460">
        <f t="shared" si="73"/>
        <v>198.44999999999993</v>
      </c>
      <c r="DT25">
        <f t="shared" si="74"/>
        <v>200</v>
      </c>
      <c r="DU25" s="460">
        <f t="shared" si="75"/>
        <v>198.44999999999993</v>
      </c>
      <c r="DV25" s="460"/>
      <c r="DW25" s="5">
        <f t="shared" si="118"/>
        <v>5.039052658100279</v>
      </c>
      <c r="DX25" s="5">
        <f t="shared" si="76"/>
        <v>0.92592592592592615</v>
      </c>
      <c r="DY25" s="5">
        <f t="shared" si="119"/>
        <v>4.1131267321743525</v>
      </c>
      <c r="DZ25" s="5">
        <f t="shared" si="77"/>
        <v>1.3598642855443031</v>
      </c>
      <c r="EA25" s="173">
        <f t="shared" si="120"/>
        <v>0.18374999999999997</v>
      </c>
      <c r="EB25" s="173">
        <f t="shared" si="78"/>
        <v>4.8999999999999986</v>
      </c>
      <c r="EC25" s="173">
        <f t="shared" si="79"/>
        <v>0.60493194444444454</v>
      </c>
      <c r="ED25" s="173">
        <f t="shared" si="121"/>
        <v>8.1000847202738573</v>
      </c>
      <c r="EE25" s="460">
        <f t="shared" si="80"/>
        <v>0.77160493827160515</v>
      </c>
      <c r="EF25" s="5">
        <f t="shared" si="81"/>
        <v>0.68552112202905879</v>
      </c>
      <c r="EG25" s="5"/>
      <c r="EH25" s="173">
        <f t="shared" si="122"/>
        <v>0.54997194092287027</v>
      </c>
      <c r="EI25" s="173">
        <f t="shared" si="82"/>
        <v>0.7731509429978316</v>
      </c>
      <c r="EJ25" s="173"/>
      <c r="EK25" s="528">
        <f t="shared" si="83"/>
        <v>1.2098765432098764E-2</v>
      </c>
      <c r="EL25" s="528">
        <f t="shared" si="84"/>
        <v>0.4892415412499998</v>
      </c>
      <c r="EM25" s="528">
        <f t="shared" si="85"/>
        <v>3.9689999999999989E-2</v>
      </c>
      <c r="EN25" s="528">
        <f t="shared" si="86"/>
        <v>5.6518839594964662E-2</v>
      </c>
      <c r="EO25">
        <f t="shared" si="87"/>
        <v>1.0800000000000001E-2</v>
      </c>
      <c r="EP25" s="460">
        <f t="shared" si="123"/>
        <v>50.489999999999995</v>
      </c>
      <c r="EQ25" s="528">
        <f t="shared" si="88"/>
        <v>0.61337907331983321</v>
      </c>
      <c r="ER25" s="460">
        <f t="shared" si="124"/>
        <v>613.3790733198332</v>
      </c>
      <c r="ES25" s="528">
        <f t="shared" si="125"/>
        <v>0.17359999999999998</v>
      </c>
      <c r="ET25" s="528"/>
      <c r="EV25" s="460">
        <f t="shared" si="126"/>
        <v>173.59999999999997</v>
      </c>
      <c r="EW25" s="528">
        <f t="shared" si="89"/>
        <v>9.0740740740740729E-3</v>
      </c>
      <c r="EX25" s="528">
        <f t="shared" si="90"/>
        <v>1.7932871419753086E-2</v>
      </c>
      <c r="EY25" s="528">
        <f t="shared" si="91"/>
        <v>0.20420504999999961</v>
      </c>
      <c r="EZ25" s="528">
        <f t="shared" si="92"/>
        <v>0.23820832475176504</v>
      </c>
      <c r="FA25" s="528">
        <f t="shared" si="93"/>
        <v>0.19600000000000001</v>
      </c>
      <c r="FB25" s="460">
        <f t="shared" si="127"/>
        <v>434.20832475176508</v>
      </c>
      <c r="FC25" s="173">
        <f t="shared" si="128"/>
        <v>1.2211873980715982</v>
      </c>
      <c r="FD25" s="5">
        <f t="shared" si="129"/>
        <v>4.8000000000000007</v>
      </c>
      <c r="FE25" s="173">
        <f t="shared" si="130"/>
        <v>0.79718495417320723</v>
      </c>
      <c r="FF25" s="5">
        <f t="shared" si="131"/>
        <v>79.718495417320725</v>
      </c>
      <c r="FI25" s="562">
        <f t="shared" si="94"/>
        <v>-50</v>
      </c>
      <c r="FJ25">
        <f t="shared" si="95"/>
        <v>-50</v>
      </c>
      <c r="FL25">
        <f t="shared" si="96"/>
        <v>0.26986506746626682</v>
      </c>
    </row>
    <row r="26" spans="5:168">
      <c r="E26" s="170">
        <v>21</v>
      </c>
      <c r="F26" s="217">
        <f t="shared" si="97"/>
        <v>0.21</v>
      </c>
      <c r="G26" s="217"/>
      <c r="H26" s="217">
        <f t="shared" si="0"/>
        <v>5.04</v>
      </c>
      <c r="I26" s="541">
        <f t="shared" si="1"/>
        <v>23.92301996410805</v>
      </c>
      <c r="J26" s="172">
        <f t="shared" si="2"/>
        <v>16.356177530509115</v>
      </c>
      <c r="K26" s="172">
        <f t="shared" si="3"/>
        <v>40.356177530509115</v>
      </c>
      <c r="L26" s="443"/>
      <c r="M26" s="217">
        <f t="shared" si="4"/>
        <v>0.40607233723486735</v>
      </c>
      <c r="N26" s="172">
        <f t="shared" si="5"/>
        <v>54.319035772820321</v>
      </c>
      <c r="O26" s="172">
        <f t="shared" si="98"/>
        <v>5.04</v>
      </c>
      <c r="P26" s="217">
        <f t="shared" si="6"/>
        <v>2.2632931572008466</v>
      </c>
      <c r="Q26" s="217">
        <f t="shared" si="7"/>
        <v>24</v>
      </c>
      <c r="R26" s="217">
        <f t="shared" si="8"/>
        <v>2.2487214422550341</v>
      </c>
      <c r="S26" s="172">
        <f t="shared" si="9"/>
        <v>597.04754088726929</v>
      </c>
      <c r="T26" s="172">
        <f t="shared" si="10"/>
        <v>24</v>
      </c>
      <c r="U26" s="217">
        <f t="shared" si="99"/>
        <v>1.060205134224059</v>
      </c>
      <c r="V26" s="217">
        <f t="shared" si="11"/>
        <v>0.44317361930671617</v>
      </c>
      <c r="W26" s="217">
        <f t="shared" si="12"/>
        <v>0.64819859789762169</v>
      </c>
      <c r="X26" s="197">
        <f t="shared" si="13"/>
        <v>350</v>
      </c>
      <c r="Y26" s="443">
        <f t="shared" si="14"/>
        <v>350</v>
      </c>
      <c r="AA26" s="217">
        <f t="shared" si="15"/>
        <v>2.7755494217307022</v>
      </c>
      <c r="AB26" s="173">
        <f t="shared" si="16"/>
        <v>1.6969425873212007</v>
      </c>
      <c r="AC26" s="173">
        <f t="shared" si="17"/>
        <v>0.54976868227843745</v>
      </c>
      <c r="AD26" s="173"/>
      <c r="AE26" s="173">
        <f t="shared" si="18"/>
        <v>1.3586439851714256</v>
      </c>
      <c r="AF26" s="545">
        <f t="shared" si="100"/>
        <v>208.55965501796095</v>
      </c>
      <c r="AG26" s="528">
        <f t="shared" si="19"/>
        <v>0.35241715370918814</v>
      </c>
      <c r="AI26" s="173">
        <f t="shared" si="20"/>
        <v>1.7154126719754792</v>
      </c>
      <c r="AJ26" s="173">
        <f t="shared" si="21"/>
        <v>2.2222222222222223</v>
      </c>
      <c r="AK26" s="173">
        <f t="shared" si="22"/>
        <v>1.1191769457245491</v>
      </c>
      <c r="AM26" s="545">
        <f t="shared" si="23"/>
        <v>210</v>
      </c>
      <c r="AN26" s="460">
        <f t="shared" si="24"/>
        <v>208.55965501796095</v>
      </c>
      <c r="AP26">
        <f t="shared" si="25"/>
        <v>210</v>
      </c>
      <c r="AQ26" s="460">
        <f t="shared" si="26"/>
        <v>208.55965501796095</v>
      </c>
      <c r="AR26" s="460"/>
      <c r="AS26" s="5">
        <f t="shared" si="101"/>
        <v>4.7947912069277301</v>
      </c>
      <c r="AT26" s="5">
        <f t="shared" si="27"/>
        <v>0.92890539135788264</v>
      </c>
      <c r="AU26" s="5">
        <f t="shared" si="102"/>
        <v>3.8658858155698477</v>
      </c>
      <c r="AV26" s="5">
        <f t="shared" si="28"/>
        <v>1.3586439851714256</v>
      </c>
      <c r="AW26" s="173">
        <f t="shared" si="103"/>
        <v>0.19373218796592401</v>
      </c>
      <c r="AX26" s="173">
        <f t="shared" si="29"/>
        <v>5.1496211115545929</v>
      </c>
      <c r="AY26" s="173">
        <f t="shared" si="30"/>
        <v>0.59753403402969862</v>
      </c>
      <c r="AZ26" s="173">
        <f t="shared" si="104"/>
        <v>8.6181218445854189</v>
      </c>
      <c r="BA26" s="460">
        <f t="shared" si="31"/>
        <v>0.81279221743814722</v>
      </c>
      <c r="BB26" s="5">
        <f t="shared" si="32"/>
        <v>0.67870697135033431</v>
      </c>
      <c r="BC26" s="5"/>
      <c r="BD26" s="173">
        <f t="shared" si="105"/>
        <v>0.56471295445700742</v>
      </c>
      <c r="BE26" s="173">
        <f t="shared" si="33"/>
        <v>0.76840884246730212</v>
      </c>
      <c r="BF26" s="173"/>
      <c r="BG26" s="528">
        <f t="shared" si="34"/>
        <v>1.2756028837262486E-2</v>
      </c>
      <c r="BH26" s="528">
        <f t="shared" si="35"/>
        <v>0.42083352318032852</v>
      </c>
      <c r="BI26" s="528">
        <f t="shared" si="36"/>
        <v>0.19957507162808671</v>
      </c>
      <c r="BJ26" s="528">
        <f t="shared" si="37"/>
        <v>5.9441313302892332E-2</v>
      </c>
      <c r="BK26">
        <f t="shared" si="38"/>
        <v>1.0765358983848622E-2</v>
      </c>
      <c r="BL26" s="460">
        <f t="shared" si="106"/>
        <v>210.34043061193532</v>
      </c>
      <c r="BM26" s="528">
        <f t="shared" si="39"/>
        <v>0.49798430008369166</v>
      </c>
      <c r="BN26" s="460">
        <f t="shared" si="107"/>
        <v>497.98430008369166</v>
      </c>
      <c r="BO26" s="528">
        <f t="shared" si="108"/>
        <v>0.18228</v>
      </c>
      <c r="BP26" s="528"/>
      <c r="BR26" s="460">
        <f t="shared" si="109"/>
        <v>182.28</v>
      </c>
      <c r="BS26" s="528">
        <f t="shared" si="40"/>
        <v>9.5670216279468631E-3</v>
      </c>
      <c r="BT26" s="528">
        <f t="shared" si="41"/>
        <v>1.7713564475458174E-2</v>
      </c>
      <c r="BU26" s="528">
        <f t="shared" si="42"/>
        <v>7.5600000000000001E-2</v>
      </c>
      <c r="BV26" s="528">
        <f t="shared" si="43"/>
        <v>0.10966726975985497</v>
      </c>
      <c r="BW26" s="528">
        <f t="shared" si="44"/>
        <v>0.20598484446218371</v>
      </c>
      <c r="BX26" s="460">
        <f t="shared" si="110"/>
        <v>315.65211422203868</v>
      </c>
      <c r="BY26" s="173">
        <f t="shared" si="45"/>
        <v>1.2062568449176656</v>
      </c>
      <c r="BZ26" s="5">
        <f t="shared" si="111"/>
        <v>5.04</v>
      </c>
      <c r="CA26" s="173">
        <f t="shared" si="112"/>
        <v>0.80688324625985408</v>
      </c>
      <c r="CB26" s="5">
        <f t="shared" si="113"/>
        <v>80.688324625985402</v>
      </c>
      <c r="CE26" s="562">
        <f t="shared" si="46"/>
        <v>-50</v>
      </c>
      <c r="CF26">
        <f t="shared" si="47"/>
        <v>-50</v>
      </c>
      <c r="CG26" s="173">
        <f t="shared" si="48"/>
        <v>0.28629475492424089</v>
      </c>
      <c r="CI26" s="170">
        <v>21</v>
      </c>
      <c r="CJ26" s="217">
        <f t="shared" si="114"/>
        <v>0.21</v>
      </c>
      <c r="CK26" s="217"/>
      <c r="CL26" s="217">
        <f t="shared" si="49"/>
        <v>5.04</v>
      </c>
      <c r="CM26" s="541">
        <f t="shared" si="50"/>
        <v>24</v>
      </c>
      <c r="CN26" s="172">
        <f t="shared" si="51"/>
        <v>16.3415</v>
      </c>
      <c r="CO26" s="443">
        <f t="shared" si="52"/>
        <v>40.341499999999996</v>
      </c>
      <c r="CP26" s="443"/>
      <c r="CQ26" s="217">
        <f t="shared" si="53"/>
        <v>0.40507913686898112</v>
      </c>
      <c r="CR26" s="172">
        <f t="shared" si="54"/>
        <v>54.360539956785601</v>
      </c>
      <c r="CS26" s="172">
        <f t="shared" si="115"/>
        <v>5.04</v>
      </c>
      <c r="CT26" s="217">
        <f t="shared" si="55"/>
        <v>2.2650224981994</v>
      </c>
      <c r="CU26" s="217">
        <f t="shared" si="56"/>
        <v>24</v>
      </c>
      <c r="CV26" s="217">
        <f t="shared" si="57"/>
        <v>2.250439649272117</v>
      </c>
      <c r="CW26" s="172">
        <f t="shared" si="58"/>
        <v>598.96863751101398</v>
      </c>
      <c r="CX26" s="172">
        <f t="shared" si="59"/>
        <v>24</v>
      </c>
      <c r="CY26" s="217">
        <f t="shared" si="60"/>
        <v>1.0368344399228957</v>
      </c>
      <c r="CZ26" s="217">
        <f t="shared" si="61"/>
        <v>0.4320143499678733</v>
      </c>
      <c r="DA26" s="217">
        <f t="shared" si="62"/>
        <v>0.63447935619306417</v>
      </c>
      <c r="DB26" s="197">
        <f t="shared" si="63"/>
        <v>350</v>
      </c>
      <c r="DC26" s="443">
        <f t="shared" si="116"/>
        <v>350</v>
      </c>
      <c r="DE26" s="217">
        <f t="shared" si="64"/>
        <v>2.7776855099587272</v>
      </c>
      <c r="DF26" s="173">
        <f t="shared" si="65"/>
        <v>1.6997738946600542</v>
      </c>
      <c r="DG26" s="173">
        <f t="shared" si="66"/>
        <v>0.55110977087390545</v>
      </c>
      <c r="DH26" s="173"/>
      <c r="DI26" s="173">
        <f t="shared" si="67"/>
        <v>1.3598642855443031</v>
      </c>
      <c r="DJ26" s="545">
        <f t="shared" si="117"/>
        <v>208.37249999999995</v>
      </c>
      <c r="DK26" s="528">
        <f t="shared" si="68"/>
        <v>0.35273368606701955</v>
      </c>
      <c r="DM26" s="173">
        <f t="shared" si="69"/>
        <v>1.7146428199482244</v>
      </c>
      <c r="DN26" s="173">
        <f t="shared" si="70"/>
        <v>2.2222222222222223</v>
      </c>
      <c r="DO26" s="173">
        <f t="shared" si="71"/>
        <v>1.11907</v>
      </c>
      <c r="DQ26" s="545">
        <f t="shared" si="72"/>
        <v>210</v>
      </c>
      <c r="DR26" s="460">
        <f t="shared" si="73"/>
        <v>208.37249999999995</v>
      </c>
      <c r="DT26">
        <f t="shared" si="74"/>
        <v>210</v>
      </c>
      <c r="DU26" s="460">
        <f t="shared" si="75"/>
        <v>208.37249999999995</v>
      </c>
      <c r="DV26" s="460"/>
      <c r="DW26" s="5">
        <f t="shared" si="118"/>
        <v>4.7990977696193129</v>
      </c>
      <c r="DX26" s="5">
        <f t="shared" si="76"/>
        <v>0.92592592592592615</v>
      </c>
      <c r="DY26" s="5">
        <f t="shared" si="119"/>
        <v>3.8731718436933869</v>
      </c>
      <c r="DZ26" s="5">
        <f t="shared" si="77"/>
        <v>1.3598642855443031</v>
      </c>
      <c r="EA26" s="173">
        <f t="shared" si="120"/>
        <v>0.19293749999999998</v>
      </c>
      <c r="EB26" s="173">
        <f t="shared" si="78"/>
        <v>5.1449999999999996</v>
      </c>
      <c r="EC26" s="173">
        <f t="shared" si="79"/>
        <v>0.59812298611111114</v>
      </c>
      <c r="ED26" s="173">
        <f t="shared" si="121"/>
        <v>8.6019098404023406</v>
      </c>
      <c r="EE26" s="460">
        <f t="shared" si="80"/>
        <v>0.81018518518518523</v>
      </c>
      <c r="EF26" s="5">
        <f t="shared" si="81"/>
        <v>0.6778050726463426</v>
      </c>
      <c r="EG26" s="5"/>
      <c r="EH26" s="173">
        <f t="shared" si="122"/>
        <v>0.56355354012958936</v>
      </c>
      <c r="EI26" s="173">
        <f t="shared" si="82"/>
        <v>0.76878743557015494</v>
      </c>
      <c r="EJ26" s="173"/>
      <c r="EK26" s="528">
        <f t="shared" si="83"/>
        <v>1.2703703703703708E-2</v>
      </c>
      <c r="EL26" s="528">
        <f t="shared" si="84"/>
        <v>0.51370361831249989</v>
      </c>
      <c r="EM26" s="528">
        <f t="shared" si="85"/>
        <v>4.1674499999999989E-2</v>
      </c>
      <c r="EN26" s="528">
        <f t="shared" si="86"/>
        <v>5.9344781574712901E-2</v>
      </c>
      <c r="EO26">
        <f t="shared" si="87"/>
        <v>1.0800000000000001E-2</v>
      </c>
      <c r="EP26" s="460">
        <f t="shared" si="123"/>
        <v>52.474499999999992</v>
      </c>
      <c r="EQ26" s="528">
        <f t="shared" si="88"/>
        <v>0.64359924354764064</v>
      </c>
      <c r="ER26" s="460">
        <f t="shared" si="124"/>
        <v>643.59924354764064</v>
      </c>
      <c r="ES26" s="528">
        <f t="shared" si="125"/>
        <v>0.18228</v>
      </c>
      <c r="ET26" s="528"/>
      <c r="EV26" s="460">
        <f t="shared" si="126"/>
        <v>182.28</v>
      </c>
      <c r="EW26" s="528">
        <f t="shared" si="89"/>
        <v>9.5277777777777808E-3</v>
      </c>
      <c r="EX26" s="528">
        <f t="shared" si="90"/>
        <v>1.7731023632716052E-2</v>
      </c>
      <c r="EY26" s="528">
        <f t="shared" si="91"/>
        <v>0.23069582005951225</v>
      </c>
      <c r="EZ26" s="528">
        <f t="shared" si="92"/>
        <v>0.26507478347906749</v>
      </c>
      <c r="FA26" s="528">
        <f t="shared" si="93"/>
        <v>0.20579999999999998</v>
      </c>
      <c r="FB26" s="460">
        <f t="shared" si="127"/>
        <v>470.87478347906745</v>
      </c>
      <c r="FC26" s="173">
        <f t="shared" si="128"/>
        <v>1.2967540270267082</v>
      </c>
      <c r="FD26" s="5">
        <f t="shared" si="129"/>
        <v>5.04</v>
      </c>
      <c r="FE26" s="173">
        <f t="shared" si="130"/>
        <v>0.79535989222621561</v>
      </c>
      <c r="FF26" s="5">
        <f t="shared" si="131"/>
        <v>79.535989222621566</v>
      </c>
      <c r="FI26" s="562">
        <f t="shared" si="94"/>
        <v>-50</v>
      </c>
      <c r="FJ26">
        <f t="shared" si="95"/>
        <v>-50</v>
      </c>
      <c r="FL26">
        <f t="shared" si="96"/>
        <v>0.28335832083958018</v>
      </c>
    </row>
    <row r="27" spans="5:168">
      <c r="E27" s="170">
        <v>22</v>
      </c>
      <c r="F27" s="217">
        <f t="shared" si="97"/>
        <v>0.22</v>
      </c>
      <c r="G27" s="217"/>
      <c r="H27" s="217">
        <f t="shared" si="0"/>
        <v>5.28</v>
      </c>
      <c r="I27" s="541">
        <f t="shared" si="1"/>
        <v>23.92301996410805</v>
      </c>
      <c r="J27" s="172">
        <f t="shared" si="2"/>
        <v>16.356177530509115</v>
      </c>
      <c r="K27" s="172">
        <f t="shared" si="3"/>
        <v>40.356177530509115</v>
      </c>
      <c r="L27" s="443"/>
      <c r="M27" s="217">
        <f t="shared" si="4"/>
        <v>0.40607233723486735</v>
      </c>
      <c r="N27" s="172">
        <f t="shared" si="5"/>
        <v>54.319035772820321</v>
      </c>
      <c r="O27" s="172">
        <f t="shared" si="98"/>
        <v>5.28</v>
      </c>
      <c r="P27" s="217">
        <f t="shared" si="6"/>
        <v>2.2632931572008466</v>
      </c>
      <c r="Q27" s="217">
        <f t="shared" si="7"/>
        <v>24</v>
      </c>
      <c r="R27" s="217">
        <f t="shared" si="8"/>
        <v>2.2487214422550341</v>
      </c>
      <c r="S27" s="172">
        <f t="shared" si="9"/>
        <v>568.281598434746</v>
      </c>
      <c r="T27" s="172">
        <f t="shared" si="10"/>
        <v>24</v>
      </c>
      <c r="U27" s="217">
        <f t="shared" si="99"/>
        <v>1.1106910929966334</v>
      </c>
      <c r="V27" s="217">
        <f t="shared" si="11"/>
        <v>0.4642771249879884</v>
      </c>
      <c r="W27" s="217">
        <f t="shared" si="12"/>
        <v>0.67906519779750851</v>
      </c>
      <c r="X27" s="197">
        <f t="shared" si="13"/>
        <v>350</v>
      </c>
      <c r="Y27" s="443">
        <f t="shared" si="14"/>
        <v>350</v>
      </c>
      <c r="AA27" s="217">
        <f t="shared" si="15"/>
        <v>2.7755494217307022</v>
      </c>
      <c r="AB27" s="173">
        <f t="shared" si="16"/>
        <v>1.6969425873212007</v>
      </c>
      <c r="AC27" s="173">
        <f t="shared" si="17"/>
        <v>0.54976868227843745</v>
      </c>
      <c r="AD27" s="173"/>
      <c r="AE27" s="173">
        <f t="shared" si="18"/>
        <v>1.3586439851714256</v>
      </c>
      <c r="AF27" s="545">
        <f t="shared" si="100"/>
        <v>218.49106716167339</v>
      </c>
      <c r="AG27" s="528">
        <f t="shared" si="19"/>
        <v>0.35241715370918814</v>
      </c>
      <c r="AI27" s="173">
        <f t="shared" si="20"/>
        <v>1.7557808461496984</v>
      </c>
      <c r="AJ27" s="173">
        <f t="shared" si="21"/>
        <v>2.2222222222222223</v>
      </c>
      <c r="AK27" s="173">
        <f t="shared" si="22"/>
        <v>1.1248520383780991</v>
      </c>
      <c r="AM27" s="545">
        <f t="shared" si="23"/>
        <v>220</v>
      </c>
      <c r="AN27" s="460">
        <f t="shared" si="24"/>
        <v>218.49106716167339</v>
      </c>
      <c r="AP27">
        <f t="shared" si="25"/>
        <v>220</v>
      </c>
      <c r="AQ27" s="460">
        <f t="shared" si="26"/>
        <v>218.49106716167339</v>
      </c>
      <c r="AR27" s="460"/>
      <c r="AS27" s="5">
        <f t="shared" si="101"/>
        <v>4.5768461520673789</v>
      </c>
      <c r="AT27" s="5">
        <f t="shared" si="27"/>
        <v>0.92890539135788264</v>
      </c>
      <c r="AU27" s="5">
        <f t="shared" si="102"/>
        <v>3.6479407607094965</v>
      </c>
      <c r="AV27" s="5">
        <f t="shared" si="28"/>
        <v>1.3586439851714256</v>
      </c>
      <c r="AW27" s="173">
        <f t="shared" si="103"/>
        <v>0.20295753025001562</v>
      </c>
      <c r="AX27" s="173">
        <f t="shared" si="29"/>
        <v>5.3948411644857632</v>
      </c>
      <c r="AY27" s="173">
        <f t="shared" si="30"/>
        <v>0.59069703035915511</v>
      </c>
      <c r="AZ27" s="173">
        <f t="shared" si="104"/>
        <v>9.133008779823383</v>
      </c>
      <c r="BA27" s="460">
        <f t="shared" si="31"/>
        <v>0.85149660874472577</v>
      </c>
      <c r="BB27" s="5">
        <f t="shared" si="32"/>
        <v>0.67094118431549066</v>
      </c>
      <c r="BC27" s="5"/>
      <c r="BD27" s="173">
        <f t="shared" si="105"/>
        <v>0.57800213628268782</v>
      </c>
      <c r="BE27" s="173">
        <f t="shared" si="33"/>
        <v>0.76400011561910741</v>
      </c>
      <c r="BF27" s="173"/>
      <c r="BG27" s="528">
        <f t="shared" si="34"/>
        <v>1.3363458781894034E-2</v>
      </c>
      <c r="BH27" s="528">
        <f t="shared" si="35"/>
        <v>0.44087321476034413</v>
      </c>
      <c r="BI27" s="528">
        <f t="shared" si="36"/>
        <v>0.20907864646751942</v>
      </c>
      <c r="BJ27" s="528">
        <f t="shared" si="37"/>
        <v>6.2271852031601495E-2</v>
      </c>
      <c r="BK27">
        <f t="shared" si="38"/>
        <v>1.0765358983848622E-2</v>
      </c>
      <c r="BL27" s="460">
        <f t="shared" si="106"/>
        <v>219.84400545136805</v>
      </c>
      <c r="BM27" s="528">
        <f t="shared" si="39"/>
        <v>0.52177337224108689</v>
      </c>
      <c r="BN27" s="460">
        <f t="shared" si="107"/>
        <v>521.77337224108692</v>
      </c>
      <c r="BO27" s="528">
        <f t="shared" si="108"/>
        <v>0.19095999999999999</v>
      </c>
      <c r="BP27" s="528"/>
      <c r="BR27" s="460">
        <f t="shared" si="109"/>
        <v>190.95999999999998</v>
      </c>
      <c r="BS27" s="528">
        <f t="shared" si="40"/>
        <v>1.0022594086420525E-2</v>
      </c>
      <c r="BT27" s="528">
        <f t="shared" si="41"/>
        <v>1.7510885299980284E-2</v>
      </c>
      <c r="BU27" s="528">
        <f t="shared" si="42"/>
        <v>7.9200000000000007E-2</v>
      </c>
      <c r="BV27" s="528">
        <f t="shared" si="43"/>
        <v>0.11359172046264292</v>
      </c>
      <c r="BW27" s="528">
        <f t="shared" si="44"/>
        <v>0.21579364657943056</v>
      </c>
      <c r="BX27" s="460">
        <f t="shared" si="110"/>
        <v>329.38536704207348</v>
      </c>
      <c r="BY27" s="173">
        <f>SUM(BM27,BO27:BQ27,BV27, BW27)+BK27+BI27</f>
        <v>1.2619627447345283</v>
      </c>
      <c r="BZ27" s="5">
        <f t="shared" si="111"/>
        <v>5.28</v>
      </c>
      <c r="CA27" s="173">
        <f t="shared" si="112"/>
        <v>0.80709722846553167</v>
      </c>
      <c r="CB27" s="5">
        <f t="shared" si="113"/>
        <v>80.709722846553163</v>
      </c>
      <c r="CE27" s="562">
        <f t="shared" si="46"/>
        <v>-50</v>
      </c>
      <c r="CF27">
        <f t="shared" si="47"/>
        <v>-50</v>
      </c>
      <c r="CG27" s="173">
        <f t="shared" si="48"/>
        <v>0.29992783849206189</v>
      </c>
      <c r="CI27" s="170">
        <v>22</v>
      </c>
      <c r="CJ27" s="217">
        <f t="shared" si="114"/>
        <v>0.22</v>
      </c>
      <c r="CK27" s="217"/>
      <c r="CL27" s="217">
        <f t="shared" si="49"/>
        <v>5.28</v>
      </c>
      <c r="CM27" s="541">
        <f t="shared" si="50"/>
        <v>24</v>
      </c>
      <c r="CN27" s="172">
        <f t="shared" si="51"/>
        <v>16.3415</v>
      </c>
      <c r="CO27" s="443">
        <f t="shared" si="52"/>
        <v>40.341499999999996</v>
      </c>
      <c r="CP27" s="443"/>
      <c r="CQ27" s="217">
        <f t="shared" si="53"/>
        <v>0.40507913686898112</v>
      </c>
      <c r="CR27" s="172">
        <f t="shared" si="54"/>
        <v>54.360539956785601</v>
      </c>
      <c r="CS27" s="172">
        <f t="shared" si="115"/>
        <v>5.28</v>
      </c>
      <c r="CT27" s="217">
        <f t="shared" si="55"/>
        <v>2.2650224981994</v>
      </c>
      <c r="CU27" s="217">
        <f t="shared" si="56"/>
        <v>24</v>
      </c>
      <c r="CV27" s="217">
        <f t="shared" si="57"/>
        <v>2.250439649272117</v>
      </c>
      <c r="CW27" s="172">
        <f t="shared" si="58"/>
        <v>570.11012648188557</v>
      </c>
      <c r="CX27" s="172">
        <f t="shared" si="59"/>
        <v>24</v>
      </c>
      <c r="CY27" s="217">
        <f t="shared" si="60"/>
        <v>1.0862075084906526</v>
      </c>
      <c r="CZ27" s="217">
        <f t="shared" si="61"/>
        <v>0.45258646187110529</v>
      </c>
      <c r="DA27" s="217">
        <f t="shared" si="62"/>
        <v>0.66469265886892437</v>
      </c>
      <c r="DB27" s="197">
        <f t="shared" si="63"/>
        <v>350</v>
      </c>
      <c r="DC27" s="443">
        <f t="shared" si="116"/>
        <v>350</v>
      </c>
      <c r="DE27" s="217">
        <f t="shared" si="64"/>
        <v>2.7776855099587272</v>
      </c>
      <c r="DF27" s="173">
        <f t="shared" si="65"/>
        <v>1.6997738946600542</v>
      </c>
      <c r="DG27" s="173">
        <f t="shared" si="66"/>
        <v>0.55110977087390545</v>
      </c>
      <c r="DH27" s="173"/>
      <c r="DI27" s="173">
        <f t="shared" si="67"/>
        <v>1.3598642855443031</v>
      </c>
      <c r="DJ27" s="545">
        <f t="shared" si="117"/>
        <v>218.29499999999993</v>
      </c>
      <c r="DK27" s="528">
        <f t="shared" si="68"/>
        <v>0.35273368606701955</v>
      </c>
      <c r="DM27" s="173">
        <f t="shared" si="69"/>
        <v>1.7549928774784243</v>
      </c>
      <c r="DN27" s="173">
        <f t="shared" si="70"/>
        <v>2.2222222222222223</v>
      </c>
      <c r="DO27" s="173">
        <f t="shared" si="71"/>
        <v>1.1247400000000001</v>
      </c>
      <c r="DQ27" s="545">
        <f t="shared" si="72"/>
        <v>220</v>
      </c>
      <c r="DR27" s="460">
        <f t="shared" si="73"/>
        <v>218.29499999999993</v>
      </c>
      <c r="DT27">
        <f t="shared" si="74"/>
        <v>220</v>
      </c>
      <c r="DU27" s="460">
        <f t="shared" si="75"/>
        <v>218.29499999999993</v>
      </c>
      <c r="DV27" s="460"/>
      <c r="DW27" s="5">
        <f t="shared" si="118"/>
        <v>4.5809569619093446</v>
      </c>
      <c r="DX27" s="5">
        <f t="shared" si="76"/>
        <v>0.92592592592592615</v>
      </c>
      <c r="DY27" s="5">
        <f t="shared" si="119"/>
        <v>3.6550310359834186</v>
      </c>
      <c r="DZ27" s="5">
        <f t="shared" si="77"/>
        <v>1.3598642855443031</v>
      </c>
      <c r="EA27" s="173">
        <f t="shared" si="120"/>
        <v>0.20212499999999997</v>
      </c>
      <c r="EB27" s="173">
        <f t="shared" si="78"/>
        <v>5.39</v>
      </c>
      <c r="EC27" s="173">
        <f t="shared" si="79"/>
        <v>0.59131402777777786</v>
      </c>
      <c r="ED27" s="173">
        <f t="shared" si="121"/>
        <v>9.1152919545240678</v>
      </c>
      <c r="EE27" s="460">
        <f t="shared" si="80"/>
        <v>0.84876543209876565</v>
      </c>
      <c r="EF27" s="5">
        <f t="shared" si="81"/>
        <v>0.67008902326362663</v>
      </c>
      <c r="EG27" s="5"/>
      <c r="EH27" s="173">
        <f t="shared" si="122"/>
        <v>0.57681543788521827</v>
      </c>
      <c r="EI27" s="173">
        <f t="shared" si="82"/>
        <v>0.76439901983364278</v>
      </c>
      <c r="EJ27" s="173"/>
      <c r="EK27" s="528">
        <f t="shared" si="83"/>
        <v>1.3308641975308644E-2</v>
      </c>
      <c r="EL27" s="528">
        <f t="shared" si="84"/>
        <v>0.53816569537499992</v>
      </c>
      <c r="EM27" s="528">
        <f t="shared" si="85"/>
        <v>4.3658999999999983E-2</v>
      </c>
      <c r="EN27" s="528">
        <f t="shared" si="86"/>
        <v>6.2170723554461134E-2</v>
      </c>
      <c r="EO27">
        <f t="shared" si="87"/>
        <v>1.0800000000000001E-2</v>
      </c>
      <c r="EP27" s="460">
        <f t="shared" si="123"/>
        <v>54.458999999999982</v>
      </c>
      <c r="EQ27" s="528">
        <f t="shared" si="88"/>
        <v>0.67382812862456454</v>
      </c>
      <c r="ER27" s="460">
        <f t="shared" si="124"/>
        <v>673.82812862456456</v>
      </c>
      <c r="ES27" s="528">
        <f t="shared" si="125"/>
        <v>0.19095999999999999</v>
      </c>
      <c r="ET27" s="528"/>
      <c r="EV27" s="460">
        <f t="shared" si="126"/>
        <v>190.95999999999998</v>
      </c>
      <c r="EW27" s="528">
        <f t="shared" si="89"/>
        <v>9.9814814814814818E-3</v>
      </c>
      <c r="EX27" s="528">
        <f t="shared" si="90"/>
        <v>1.752917584567901E-2</v>
      </c>
      <c r="EY27" s="528">
        <f t="shared" si="91"/>
        <v>0.25914819657004373</v>
      </c>
      <c r="EZ27" s="528">
        <f t="shared" si="92"/>
        <v>0.2939082604107453</v>
      </c>
      <c r="FA27" s="528">
        <f t="shared" si="93"/>
        <v>0.21559999999999999</v>
      </c>
      <c r="FB27" s="460">
        <f t="shared" si="127"/>
        <v>509.50826041074527</v>
      </c>
      <c r="FC27" s="173">
        <f t="shared" si="128"/>
        <v>1.3742963890353099</v>
      </c>
      <c r="FD27" s="5">
        <f t="shared" si="129"/>
        <v>5.28</v>
      </c>
      <c r="FE27" s="173">
        <f t="shared" si="130"/>
        <v>0.7934723209354152</v>
      </c>
      <c r="FF27" s="5">
        <f t="shared" si="131"/>
        <v>79.347232093541521</v>
      </c>
      <c r="FI27" s="562">
        <f t="shared" si="94"/>
        <v>-50</v>
      </c>
      <c r="FJ27">
        <f t="shared" si="95"/>
        <v>-50</v>
      </c>
      <c r="FL27">
        <f t="shared" si="96"/>
        <v>0.29685157421289349</v>
      </c>
    </row>
    <row r="28" spans="5:168">
      <c r="E28" s="170">
        <v>23</v>
      </c>
      <c r="F28" s="217">
        <f t="shared" si="97"/>
        <v>0.23</v>
      </c>
      <c r="G28" s="217"/>
      <c r="H28" s="217">
        <f t="shared" si="0"/>
        <v>5.5200000000000005</v>
      </c>
      <c r="I28" s="541">
        <f t="shared" si="1"/>
        <v>23.92301996410805</v>
      </c>
      <c r="J28" s="172">
        <f t="shared" si="2"/>
        <v>16.356177530509115</v>
      </c>
      <c r="K28" s="172">
        <f t="shared" si="3"/>
        <v>40.356177530509115</v>
      </c>
      <c r="L28" s="443"/>
      <c r="M28" s="217">
        <f t="shared" si="4"/>
        <v>0.40607233723486735</v>
      </c>
      <c r="N28" s="172">
        <f t="shared" si="5"/>
        <v>54.319035772820321</v>
      </c>
      <c r="O28" s="172">
        <f t="shared" si="98"/>
        <v>5.5200000000000005</v>
      </c>
      <c r="P28" s="217">
        <f t="shared" si="6"/>
        <v>2.2632931572008466</v>
      </c>
      <c r="Q28" s="217">
        <f t="shared" si="7"/>
        <v>24</v>
      </c>
      <c r="R28" s="217">
        <f t="shared" si="8"/>
        <v>2.2487214422550341</v>
      </c>
      <c r="S28" s="172">
        <f t="shared" si="9"/>
        <v>542.0171828470028</v>
      </c>
      <c r="T28" s="172">
        <f t="shared" si="10"/>
        <v>24</v>
      </c>
      <c r="U28" s="217">
        <f t="shared" si="99"/>
        <v>1.1611770517692077</v>
      </c>
      <c r="V28" s="217">
        <f t="shared" si="11"/>
        <v>0.48538063066926063</v>
      </c>
      <c r="W28" s="217">
        <f t="shared" si="12"/>
        <v>0.70993179769739512</v>
      </c>
      <c r="X28" s="197">
        <f t="shared" si="13"/>
        <v>350</v>
      </c>
      <c r="Y28" s="443">
        <f t="shared" si="14"/>
        <v>350</v>
      </c>
      <c r="AA28" s="217">
        <f t="shared" si="15"/>
        <v>2.7755494217307022</v>
      </c>
      <c r="AB28" s="173">
        <f t="shared" si="16"/>
        <v>1.6969425873212007</v>
      </c>
      <c r="AC28" s="173">
        <f t="shared" si="17"/>
        <v>0.54976868227843745</v>
      </c>
      <c r="AD28" s="173"/>
      <c r="AE28" s="173">
        <f t="shared" si="18"/>
        <v>1.3586439851714256</v>
      </c>
      <c r="AF28" s="545">
        <f t="shared" si="100"/>
        <v>228.42247930538582</v>
      </c>
      <c r="AG28" s="528">
        <f t="shared" si="19"/>
        <v>0.35241715370918814</v>
      </c>
      <c r="AI28" s="173">
        <f t="shared" si="20"/>
        <v>1.7952415225362433</v>
      </c>
      <c r="AJ28" s="173">
        <f t="shared" si="21"/>
        <v>2.2222222222222223</v>
      </c>
      <c r="AK28" s="173">
        <f t="shared" si="22"/>
        <v>1.1305271310316489</v>
      </c>
      <c r="AM28" s="545">
        <f t="shared" si="23"/>
        <v>230</v>
      </c>
      <c r="AN28" s="460">
        <f t="shared" si="24"/>
        <v>228.42247930538582</v>
      </c>
      <c r="AP28">
        <f t="shared" si="25"/>
        <v>230</v>
      </c>
      <c r="AQ28" s="460">
        <f t="shared" si="26"/>
        <v>228.42247930538582</v>
      </c>
      <c r="AR28" s="460"/>
      <c r="AS28" s="5">
        <f t="shared" si="101"/>
        <v>4.3778528411079272</v>
      </c>
      <c r="AT28" s="5">
        <f t="shared" si="27"/>
        <v>0.92890539135788264</v>
      </c>
      <c r="AU28" s="5">
        <f t="shared" si="102"/>
        <v>3.4489474497500447</v>
      </c>
      <c r="AV28" s="5">
        <f t="shared" si="28"/>
        <v>1.3586439851714256</v>
      </c>
      <c r="AW28" s="173">
        <f t="shared" si="103"/>
        <v>0.21218287253410725</v>
      </c>
      <c r="AX28" s="173">
        <f t="shared" si="29"/>
        <v>5.6400612174169353</v>
      </c>
      <c r="AY28" s="173">
        <f t="shared" si="30"/>
        <v>0.5838600266886117</v>
      </c>
      <c r="AZ28" s="173">
        <f t="shared" si="104"/>
        <v>9.6599543719490359</v>
      </c>
      <c r="BA28" s="460">
        <f t="shared" si="31"/>
        <v>0.89020100005130431</v>
      </c>
      <c r="BB28" s="5">
        <f t="shared" si="32"/>
        <v>0.66317539728064689</v>
      </c>
      <c r="BC28" s="5"/>
      <c r="BD28" s="173">
        <f t="shared" si="105"/>
        <v>0.59099257031128527</v>
      </c>
      <c r="BE28" s="173">
        <f t="shared" si="33"/>
        <v>0.75956579975014671</v>
      </c>
      <c r="BF28" s="173"/>
      <c r="BG28" s="528">
        <f t="shared" si="34"/>
        <v>1.3970888726525578E-2</v>
      </c>
      <c r="BH28" s="528">
        <f t="shared" si="35"/>
        <v>0.46091290634035975</v>
      </c>
      <c r="BI28" s="528">
        <f t="shared" si="36"/>
        <v>0.21858222130695212</v>
      </c>
      <c r="BJ28" s="528">
        <f t="shared" si="37"/>
        <v>6.5102390760310658E-2</v>
      </c>
      <c r="BK28">
        <f t="shared" si="38"/>
        <v>1.0765358983848622E-2</v>
      </c>
      <c r="BL28" s="460">
        <f t="shared" si="106"/>
        <v>229.34758029080075</v>
      </c>
      <c r="BM28" s="528">
        <f t="shared" si="39"/>
        <v>0.54556933400096264</v>
      </c>
      <c r="BN28" s="460">
        <f t="shared" si="107"/>
        <v>545.56933400096261</v>
      </c>
      <c r="BO28" s="528">
        <f t="shared" si="108"/>
        <v>0.19964000000000001</v>
      </c>
      <c r="BP28" s="528"/>
      <c r="BR28" s="460">
        <f t="shared" si="109"/>
        <v>199.64000000000001</v>
      </c>
      <c r="BS28" s="528">
        <f t="shared" si="40"/>
        <v>1.0478166544894184E-2</v>
      </c>
      <c r="BT28" s="528">
        <f t="shared" si="41"/>
        <v>1.7308206124502398E-2</v>
      </c>
      <c r="BU28" s="528">
        <f t="shared" si="42"/>
        <v>8.2799999999999999E-2</v>
      </c>
      <c r="BV28" s="528">
        <f t="shared" si="43"/>
        <v>0.11751633031395925</v>
      </c>
      <c r="BW28" s="528">
        <f t="shared" si="44"/>
        <v>0.22560244869667739</v>
      </c>
      <c r="BX28" s="460">
        <f t="shared" si="110"/>
        <v>343.11877901063662</v>
      </c>
      <c r="BY28" s="173">
        <f t="shared" si="45"/>
        <v>1.3176756933024001</v>
      </c>
      <c r="BZ28" s="5">
        <f t="shared" si="111"/>
        <v>5.5200000000000005</v>
      </c>
      <c r="CA28" s="173">
        <f t="shared" si="112"/>
        <v>0.80729187045342299</v>
      </c>
      <c r="CB28" s="5">
        <f t="shared" si="113"/>
        <v>80.7291870453423</v>
      </c>
      <c r="CE28" s="562">
        <f t="shared" si="46"/>
        <v>-50</v>
      </c>
      <c r="CF28">
        <f t="shared" si="47"/>
        <v>-50</v>
      </c>
      <c r="CG28" s="173">
        <f t="shared" si="48"/>
        <v>0.3135609220598829</v>
      </c>
      <c r="CI28" s="170">
        <v>23</v>
      </c>
      <c r="CJ28" s="217">
        <f t="shared" si="114"/>
        <v>0.23</v>
      </c>
      <c r="CK28" s="217"/>
      <c r="CL28" s="217">
        <f t="shared" si="49"/>
        <v>5.5200000000000005</v>
      </c>
      <c r="CM28" s="541">
        <f t="shared" si="50"/>
        <v>24</v>
      </c>
      <c r="CN28" s="172">
        <f t="shared" si="51"/>
        <v>16.3415</v>
      </c>
      <c r="CO28" s="443">
        <f t="shared" si="52"/>
        <v>40.341499999999996</v>
      </c>
      <c r="CP28" s="443"/>
      <c r="CQ28" s="217">
        <f t="shared" si="53"/>
        <v>0.40507913686898112</v>
      </c>
      <c r="CR28" s="172">
        <f t="shared" si="54"/>
        <v>54.360539956785601</v>
      </c>
      <c r="CS28" s="172">
        <f t="shared" si="115"/>
        <v>5.5200000000000005</v>
      </c>
      <c r="CT28" s="217">
        <f t="shared" si="55"/>
        <v>2.2650224981994</v>
      </c>
      <c r="CU28" s="217">
        <f t="shared" si="56"/>
        <v>24</v>
      </c>
      <c r="CV28" s="217">
        <f t="shared" si="57"/>
        <v>2.250439649272117</v>
      </c>
      <c r="CW28" s="172">
        <f t="shared" si="58"/>
        <v>543.76119176032034</v>
      </c>
      <c r="CX28" s="172">
        <f t="shared" si="59"/>
        <v>24</v>
      </c>
      <c r="CY28" s="217">
        <f t="shared" si="60"/>
        <v>1.1355805770584098</v>
      </c>
      <c r="CZ28" s="217">
        <f t="shared" si="61"/>
        <v>0.4731585737743374</v>
      </c>
      <c r="DA28" s="217">
        <f t="shared" si="62"/>
        <v>0.69490596154478468</v>
      </c>
      <c r="DB28" s="197">
        <f t="shared" si="63"/>
        <v>350</v>
      </c>
      <c r="DC28" s="443">
        <f t="shared" si="116"/>
        <v>350</v>
      </c>
      <c r="DE28" s="217">
        <f t="shared" si="64"/>
        <v>2.7776855099587272</v>
      </c>
      <c r="DF28" s="173">
        <f t="shared" si="65"/>
        <v>1.6997738946600542</v>
      </c>
      <c r="DG28" s="173">
        <f t="shared" si="66"/>
        <v>0.55110977087390545</v>
      </c>
      <c r="DH28" s="173"/>
      <c r="DI28" s="173">
        <f t="shared" si="67"/>
        <v>1.3598642855443031</v>
      </c>
      <c r="DJ28" s="545">
        <f t="shared" si="117"/>
        <v>228.21749999999994</v>
      </c>
      <c r="DK28" s="528">
        <f t="shared" si="68"/>
        <v>0.35273368606701955</v>
      </c>
      <c r="DM28" s="173">
        <f t="shared" si="69"/>
        <v>1.794435844492636</v>
      </c>
      <c r="DN28" s="173">
        <f t="shared" si="70"/>
        <v>2.2222222222222223</v>
      </c>
      <c r="DO28" s="173">
        <f t="shared" si="71"/>
        <v>1.1304099999999999</v>
      </c>
      <c r="DQ28" s="545">
        <f t="shared" si="72"/>
        <v>230</v>
      </c>
      <c r="DR28" s="460">
        <f t="shared" si="73"/>
        <v>228.21749999999994</v>
      </c>
      <c r="DT28">
        <f t="shared" si="74"/>
        <v>230</v>
      </c>
      <c r="DU28" s="460">
        <f t="shared" si="75"/>
        <v>228.21749999999994</v>
      </c>
      <c r="DV28" s="460"/>
      <c r="DW28" s="5">
        <f t="shared" si="118"/>
        <v>4.381784920087199</v>
      </c>
      <c r="DX28" s="5">
        <f t="shared" si="76"/>
        <v>0.92592592592592615</v>
      </c>
      <c r="DY28" s="5">
        <f t="shared" si="119"/>
        <v>3.455858994161273</v>
      </c>
      <c r="DZ28" s="5">
        <f t="shared" si="77"/>
        <v>1.3598642855443031</v>
      </c>
      <c r="EA28" s="173">
        <f t="shared" si="120"/>
        <v>0.21131249999999999</v>
      </c>
      <c r="EB28" s="173">
        <f t="shared" si="78"/>
        <v>5.6350000000000007</v>
      </c>
      <c r="EC28" s="173">
        <f t="shared" si="79"/>
        <v>0.58450506944444447</v>
      </c>
      <c r="ED28" s="173">
        <f t="shared" si="121"/>
        <v>9.640634948394732</v>
      </c>
      <c r="EE28" s="460">
        <f t="shared" si="80"/>
        <v>0.88734567901234596</v>
      </c>
      <c r="EF28" s="5">
        <f t="shared" si="81"/>
        <v>0.66237297388091054</v>
      </c>
      <c r="EG28" s="5"/>
      <c r="EH28" s="173">
        <f t="shared" si="122"/>
        <v>0.58977920120400951</v>
      </c>
      <c r="EI28" s="173">
        <f t="shared" si="82"/>
        <v>0.75998526430104729</v>
      </c>
      <c r="EJ28" s="173"/>
      <c r="EK28" s="528">
        <f t="shared" si="83"/>
        <v>1.3913580246913582E-2</v>
      </c>
      <c r="EL28" s="528">
        <f t="shared" si="84"/>
        <v>0.56262777243749984</v>
      </c>
      <c r="EM28" s="528">
        <f t="shared" si="85"/>
        <v>4.5643499999999983E-2</v>
      </c>
      <c r="EN28" s="528">
        <f t="shared" si="86"/>
        <v>6.4996665534209366E-2</v>
      </c>
      <c r="EO28">
        <f t="shared" si="87"/>
        <v>1.0800000000000001E-2</v>
      </c>
      <c r="EP28" s="460">
        <f t="shared" si="123"/>
        <v>56.443499999999979</v>
      </c>
      <c r="EQ28" s="528">
        <f t="shared" si="88"/>
        <v>0.7040657323209113</v>
      </c>
      <c r="ER28" s="460">
        <f t="shared" si="124"/>
        <v>704.06573232091125</v>
      </c>
      <c r="ES28" s="528">
        <f t="shared" si="125"/>
        <v>0.19964000000000001</v>
      </c>
      <c r="ET28" s="528"/>
      <c r="EV28" s="460">
        <f t="shared" si="126"/>
        <v>199.64000000000001</v>
      </c>
      <c r="EW28" s="528">
        <f t="shared" si="89"/>
        <v>1.0435185185185186E-2</v>
      </c>
      <c r="EX28" s="528">
        <f t="shared" si="90"/>
        <v>1.732732805864198E-2</v>
      </c>
      <c r="EY28" s="528">
        <f t="shared" si="91"/>
        <v>0.28960834972488742</v>
      </c>
      <c r="EZ28" s="528">
        <f t="shared" si="92"/>
        <v>0.32475514767429781</v>
      </c>
      <c r="FA28" s="528">
        <f t="shared" si="93"/>
        <v>0.22540000000000002</v>
      </c>
      <c r="FB28" s="460">
        <f t="shared" si="127"/>
        <v>550.15514767429784</v>
      </c>
      <c r="FC28" s="173">
        <f t="shared" si="128"/>
        <v>1.4538608799952093</v>
      </c>
      <c r="FD28" s="5">
        <f t="shared" si="129"/>
        <v>5.5200000000000005</v>
      </c>
      <c r="FE28" s="173">
        <f t="shared" si="130"/>
        <v>0.79152711747295312</v>
      </c>
      <c r="FF28" s="5">
        <f t="shared" si="131"/>
        <v>79.152711747295314</v>
      </c>
      <c r="FI28" s="562">
        <f t="shared" si="94"/>
        <v>-50</v>
      </c>
      <c r="FJ28">
        <f t="shared" si="95"/>
        <v>-50</v>
      </c>
      <c r="FL28">
        <f t="shared" si="96"/>
        <v>0.31034482758620691</v>
      </c>
    </row>
    <row r="29" spans="5:168">
      <c r="E29" s="170">
        <v>24</v>
      </c>
      <c r="F29" s="217">
        <f t="shared" si="97"/>
        <v>0.24</v>
      </c>
      <c r="G29" s="217"/>
      <c r="H29" s="217">
        <f t="shared" si="0"/>
        <v>5.76</v>
      </c>
      <c r="I29" s="541">
        <f t="shared" si="1"/>
        <v>23.92301996410805</v>
      </c>
      <c r="J29" s="172">
        <f t="shared" si="2"/>
        <v>16.356177530509115</v>
      </c>
      <c r="K29" s="172">
        <f t="shared" si="3"/>
        <v>40.356177530509115</v>
      </c>
      <c r="L29" s="443"/>
      <c r="M29" s="217">
        <f t="shared" si="4"/>
        <v>0.40607233723486735</v>
      </c>
      <c r="N29" s="172">
        <f t="shared" si="5"/>
        <v>54.319035772820321</v>
      </c>
      <c r="O29" s="172">
        <f t="shared" si="98"/>
        <v>5.76</v>
      </c>
      <c r="P29" s="217">
        <f t="shared" si="6"/>
        <v>2.2632931572008466</v>
      </c>
      <c r="Q29" s="217">
        <f t="shared" si="7"/>
        <v>24</v>
      </c>
      <c r="R29" s="217">
        <f t="shared" si="8"/>
        <v>2.2487214422550341</v>
      </c>
      <c r="S29" s="172">
        <f t="shared" si="9"/>
        <v>517.94160441020904</v>
      </c>
      <c r="T29" s="172">
        <f t="shared" si="10"/>
        <v>24</v>
      </c>
      <c r="U29" s="217">
        <f t="shared" si="99"/>
        <v>1.2116630105417818</v>
      </c>
      <c r="V29" s="217">
        <f t="shared" si="11"/>
        <v>0.5064841363505328</v>
      </c>
      <c r="W29" s="217">
        <f t="shared" si="12"/>
        <v>0.74079839759728183</v>
      </c>
      <c r="X29" s="197">
        <f t="shared" si="13"/>
        <v>350</v>
      </c>
      <c r="Y29" s="443">
        <f t="shared" si="14"/>
        <v>350</v>
      </c>
      <c r="AA29" s="217">
        <f t="shared" si="15"/>
        <v>2.7755494217307022</v>
      </c>
      <c r="AB29" s="173">
        <f t="shared" si="16"/>
        <v>1.6969425873212007</v>
      </c>
      <c r="AC29" s="173">
        <f t="shared" si="17"/>
        <v>0.54976868227843745</v>
      </c>
      <c r="AD29" s="173"/>
      <c r="AE29" s="173">
        <f t="shared" si="18"/>
        <v>1.3586439851714256</v>
      </c>
      <c r="AF29" s="545">
        <f t="shared" si="100"/>
        <v>238.35389144909826</v>
      </c>
      <c r="AG29" s="528">
        <f t="shared" si="19"/>
        <v>0.35241715370918814</v>
      </c>
      <c r="AI29" s="173">
        <f t="shared" si="20"/>
        <v>1.8338532844179074</v>
      </c>
      <c r="AJ29" s="173">
        <f t="shared" si="21"/>
        <v>2.2222222222222223</v>
      </c>
      <c r="AK29" s="173">
        <f t="shared" si="22"/>
        <v>1.136202223685199</v>
      </c>
      <c r="AM29" s="545">
        <f t="shared" si="23"/>
        <v>240</v>
      </c>
      <c r="AN29" s="460">
        <f t="shared" si="24"/>
        <v>238.35389144909826</v>
      </c>
      <c r="AP29">
        <f t="shared" si="25"/>
        <v>240</v>
      </c>
      <c r="AQ29" s="460">
        <f t="shared" si="26"/>
        <v>238.35389144909826</v>
      </c>
      <c r="AR29" s="460"/>
      <c r="AS29" s="5">
        <f t="shared" si="101"/>
        <v>4.1954423060617634</v>
      </c>
      <c r="AT29" s="5">
        <f t="shared" si="27"/>
        <v>0.92890539135788264</v>
      </c>
      <c r="AU29" s="5">
        <f t="shared" si="102"/>
        <v>3.266536914703881</v>
      </c>
      <c r="AV29" s="5">
        <f t="shared" si="28"/>
        <v>1.3586439851714256</v>
      </c>
      <c r="AW29" s="173">
        <f t="shared" si="103"/>
        <v>0.22140821481819889</v>
      </c>
      <c r="AX29" s="173">
        <f t="shared" si="29"/>
        <v>5.8852812703481066</v>
      </c>
      <c r="AY29" s="173">
        <f t="shared" si="30"/>
        <v>0.57702302301806829</v>
      </c>
      <c r="AZ29" s="173">
        <f t="shared" si="104"/>
        <v>10.19938726112809</v>
      </c>
      <c r="BA29" s="460">
        <f t="shared" si="31"/>
        <v>0.92890539135788253</v>
      </c>
      <c r="BB29" s="5">
        <f t="shared" si="32"/>
        <v>0.65540961024580313</v>
      </c>
      <c r="BC29" s="5"/>
      <c r="BD29" s="173">
        <f t="shared" si="105"/>
        <v>0.60370354212885668</v>
      </c>
      <c r="BE29" s="173">
        <f t="shared" si="33"/>
        <v>0.75510544405013424</v>
      </c>
      <c r="BF29" s="173"/>
      <c r="BG29" s="528">
        <f t="shared" si="34"/>
        <v>1.457831867115713E-2</v>
      </c>
      <c r="BH29" s="528">
        <f t="shared" si="35"/>
        <v>0.48095259792037542</v>
      </c>
      <c r="BI29" s="528">
        <f t="shared" si="36"/>
        <v>0.22808579614638486</v>
      </c>
      <c r="BJ29" s="528">
        <f t="shared" si="37"/>
        <v>6.7932929489019828E-2</v>
      </c>
      <c r="BK29">
        <f t="shared" si="38"/>
        <v>1.0765358983848622E-2</v>
      </c>
      <c r="BL29" s="460">
        <f t="shared" si="106"/>
        <v>238.85115513023348</v>
      </c>
      <c r="BM29" s="528">
        <f t="shared" si="39"/>
        <v>0.56937218835672032</v>
      </c>
      <c r="BN29" s="460">
        <f t="shared" si="107"/>
        <v>569.37218835672036</v>
      </c>
      <c r="BO29" s="528">
        <f t="shared" si="108"/>
        <v>0.20831999999999998</v>
      </c>
      <c r="BP29" s="528"/>
      <c r="BR29" s="460">
        <f t="shared" si="109"/>
        <v>208.31999999999996</v>
      </c>
      <c r="BS29" s="528">
        <f t="shared" si="40"/>
        <v>1.0933739003367846E-2</v>
      </c>
      <c r="BT29" s="528">
        <f t="shared" si="41"/>
        <v>1.7105526949024511E-2</v>
      </c>
      <c r="BU29" s="528">
        <f t="shared" si="42"/>
        <v>8.6399999999999991E-2</v>
      </c>
      <c r="BV29" s="528">
        <f t="shared" si="43"/>
        <v>0.12144109932348508</v>
      </c>
      <c r="BW29" s="528">
        <f t="shared" si="44"/>
        <v>0.23541125081392428</v>
      </c>
      <c r="BX29" s="460">
        <f t="shared" si="110"/>
        <v>356.85235013740936</v>
      </c>
      <c r="BY29" s="173">
        <f t="shared" si="45"/>
        <v>1.3733956936243632</v>
      </c>
      <c r="BZ29" s="5">
        <f t="shared" si="111"/>
        <v>5.76</v>
      </c>
      <c r="CA29" s="173">
        <f t="shared" si="112"/>
        <v>0.80746957653675833</v>
      </c>
      <c r="CB29" s="5">
        <f t="shared" si="113"/>
        <v>80.746957653675835</v>
      </c>
      <c r="CE29" s="562">
        <f t="shared" si="46"/>
        <v>-50</v>
      </c>
      <c r="CF29">
        <f t="shared" si="47"/>
        <v>-50</v>
      </c>
      <c r="CG29" s="173">
        <f t="shared" si="48"/>
        <v>0.3271940056277039</v>
      </c>
      <c r="CI29" s="170">
        <v>24</v>
      </c>
      <c r="CJ29" s="217">
        <f t="shared" si="114"/>
        <v>0.24</v>
      </c>
      <c r="CK29" s="217"/>
      <c r="CL29" s="217">
        <f t="shared" si="49"/>
        <v>5.76</v>
      </c>
      <c r="CM29" s="541">
        <f t="shared" si="50"/>
        <v>24</v>
      </c>
      <c r="CN29" s="172">
        <f t="shared" si="51"/>
        <v>16.3415</v>
      </c>
      <c r="CO29" s="443">
        <f t="shared" si="52"/>
        <v>40.341499999999996</v>
      </c>
      <c r="CP29" s="443"/>
      <c r="CQ29" s="217">
        <f t="shared" si="53"/>
        <v>0.40507913686898112</v>
      </c>
      <c r="CR29" s="172">
        <f t="shared" si="54"/>
        <v>54.360539956785601</v>
      </c>
      <c r="CS29" s="172">
        <f t="shared" si="115"/>
        <v>5.76</v>
      </c>
      <c r="CT29" s="217">
        <f t="shared" si="55"/>
        <v>2.2650224981994</v>
      </c>
      <c r="CU29" s="217">
        <f t="shared" si="56"/>
        <v>24</v>
      </c>
      <c r="CV29" s="217">
        <f t="shared" si="57"/>
        <v>2.250439649272117</v>
      </c>
      <c r="CW29" s="172">
        <f t="shared" si="58"/>
        <v>519.60813745222026</v>
      </c>
      <c r="CX29" s="172">
        <f t="shared" si="59"/>
        <v>24</v>
      </c>
      <c r="CY29" s="217">
        <f t="shared" si="60"/>
        <v>1.1849536456261665</v>
      </c>
      <c r="CZ29" s="217">
        <f t="shared" si="61"/>
        <v>0.49373068567756934</v>
      </c>
      <c r="DA29" s="217">
        <f t="shared" si="62"/>
        <v>0.72511926422064477</v>
      </c>
      <c r="DB29" s="197">
        <f t="shared" si="63"/>
        <v>350</v>
      </c>
      <c r="DC29" s="443">
        <f t="shared" si="116"/>
        <v>350</v>
      </c>
      <c r="DE29" s="217">
        <f t="shared" si="64"/>
        <v>2.7776855099587272</v>
      </c>
      <c r="DF29" s="173">
        <f t="shared" si="65"/>
        <v>1.6997738946600542</v>
      </c>
      <c r="DG29" s="173">
        <f t="shared" si="66"/>
        <v>0.55110977087390545</v>
      </c>
      <c r="DH29" s="173"/>
      <c r="DI29" s="173">
        <f t="shared" si="67"/>
        <v>1.3598642855443031</v>
      </c>
      <c r="DJ29" s="545">
        <f t="shared" si="117"/>
        <v>238.1399999999999</v>
      </c>
      <c r="DK29" s="528">
        <f t="shared" si="68"/>
        <v>0.35273368606701955</v>
      </c>
      <c r="DM29" s="173">
        <f t="shared" si="69"/>
        <v>1.8330302779823358</v>
      </c>
      <c r="DN29" s="173">
        <f t="shared" si="70"/>
        <v>2.2222222222222223</v>
      </c>
      <c r="DO29" s="173">
        <f t="shared" si="71"/>
        <v>1.13608</v>
      </c>
      <c r="DQ29" s="545">
        <f t="shared" si="72"/>
        <v>240</v>
      </c>
      <c r="DR29" s="460">
        <f t="shared" si="73"/>
        <v>238.1399999999999</v>
      </c>
      <c r="DT29">
        <f t="shared" si="74"/>
        <v>240</v>
      </c>
      <c r="DU29" s="460">
        <f t="shared" si="75"/>
        <v>238.1399999999999</v>
      </c>
      <c r="DV29" s="460"/>
      <c r="DW29" s="5">
        <f t="shared" si="118"/>
        <v>4.1992105484168993</v>
      </c>
      <c r="DX29" s="5">
        <f t="shared" si="76"/>
        <v>0.92592592592592615</v>
      </c>
      <c r="DY29" s="5">
        <f t="shared" si="119"/>
        <v>3.2732846224909733</v>
      </c>
      <c r="DZ29" s="5">
        <f t="shared" si="77"/>
        <v>1.3598642855443031</v>
      </c>
      <c r="EA29" s="173">
        <f t="shared" si="120"/>
        <v>0.22049999999999997</v>
      </c>
      <c r="EB29" s="173">
        <f t="shared" si="78"/>
        <v>5.879999999999999</v>
      </c>
      <c r="EC29" s="173">
        <f t="shared" si="79"/>
        <v>0.57769611111111119</v>
      </c>
      <c r="ED29" s="173">
        <f t="shared" si="121"/>
        <v>10.178361749208779</v>
      </c>
      <c r="EE29" s="460">
        <f t="shared" si="80"/>
        <v>0.92592592592592604</v>
      </c>
      <c r="EF29" s="5">
        <f t="shared" si="81"/>
        <v>0.65465692449819446</v>
      </c>
      <c r="EG29" s="5"/>
      <c r="EH29" s="173">
        <f t="shared" si="122"/>
        <v>0.60246407607670927</v>
      </c>
      <c r="EI29" s="173">
        <f t="shared" si="82"/>
        <v>0.75554572488157945</v>
      </c>
      <c r="EJ29" s="173"/>
      <c r="EK29" s="528">
        <f t="shared" si="83"/>
        <v>1.4518518518518517E-2</v>
      </c>
      <c r="EL29" s="528">
        <f t="shared" si="84"/>
        <v>0.58708984949999987</v>
      </c>
      <c r="EM29" s="528">
        <f t="shared" si="85"/>
        <v>4.7627999999999976E-2</v>
      </c>
      <c r="EN29" s="528">
        <f t="shared" si="86"/>
        <v>6.7822607513957592E-2</v>
      </c>
      <c r="EO29">
        <f t="shared" si="87"/>
        <v>1.0800000000000001E-2</v>
      </c>
      <c r="EP29" s="460">
        <f t="shared" si="123"/>
        <v>58.427999999999983</v>
      </c>
      <c r="EQ29" s="528">
        <f t="shared" si="88"/>
        <v>0.73431205840916436</v>
      </c>
      <c r="ER29" s="460">
        <f t="shared" si="124"/>
        <v>734.31205840916437</v>
      </c>
      <c r="ES29" s="528">
        <f t="shared" si="125"/>
        <v>0.20831999999999998</v>
      </c>
      <c r="ET29" s="528"/>
      <c r="EV29" s="460">
        <f t="shared" si="126"/>
        <v>208.31999999999996</v>
      </c>
      <c r="EW29" s="528">
        <f t="shared" si="89"/>
        <v>1.0888888888888887E-2</v>
      </c>
      <c r="EX29" s="528">
        <f t="shared" si="90"/>
        <v>1.7125480271604942E-2</v>
      </c>
      <c r="EY29" s="528">
        <f t="shared" si="91"/>
        <v>0.3221214112554342</v>
      </c>
      <c r="EZ29" s="528">
        <f t="shared" si="92"/>
        <v>0.35766080035006609</v>
      </c>
      <c r="FA29" s="528">
        <f t="shared" si="93"/>
        <v>0.23519999999999996</v>
      </c>
      <c r="FB29" s="460">
        <f t="shared" si="127"/>
        <v>592.86080035006603</v>
      </c>
      <c r="FC29" s="173">
        <f t="shared" si="128"/>
        <v>1.5354928587592305</v>
      </c>
      <c r="FD29" s="5">
        <f t="shared" si="129"/>
        <v>5.76</v>
      </c>
      <c r="FE29" s="173">
        <f t="shared" si="130"/>
        <v>0.78952856393853332</v>
      </c>
      <c r="FF29" s="5">
        <f t="shared" si="131"/>
        <v>78.952856393853338</v>
      </c>
      <c r="FI29" s="562">
        <f t="shared" si="94"/>
        <v>-50</v>
      </c>
      <c r="FJ29">
        <f t="shared" si="95"/>
        <v>-50</v>
      </c>
      <c r="FL29">
        <f t="shared" si="96"/>
        <v>0.32383808095952016</v>
      </c>
    </row>
    <row r="30" spans="5:168">
      <c r="E30" s="170">
        <v>25</v>
      </c>
      <c r="F30" s="217">
        <f t="shared" si="97"/>
        <v>0.25</v>
      </c>
      <c r="G30" s="217"/>
      <c r="H30" s="217">
        <f t="shared" si="0"/>
        <v>6</v>
      </c>
      <c r="I30" s="541">
        <f t="shared" si="1"/>
        <v>23.92301996410805</v>
      </c>
      <c r="J30" s="172">
        <f t="shared" si="2"/>
        <v>16.356177530509115</v>
      </c>
      <c r="K30" s="172">
        <f t="shared" si="3"/>
        <v>40.356177530509115</v>
      </c>
      <c r="L30" s="443"/>
      <c r="M30" s="217">
        <f t="shared" si="4"/>
        <v>0.40607233723486735</v>
      </c>
      <c r="N30" s="172">
        <f t="shared" si="5"/>
        <v>54.319035772820321</v>
      </c>
      <c r="O30" s="172">
        <f t="shared" si="98"/>
        <v>6</v>
      </c>
      <c r="P30" s="217">
        <f t="shared" si="6"/>
        <v>2.2632931572008466</v>
      </c>
      <c r="Q30" s="217">
        <f t="shared" si="7"/>
        <v>24</v>
      </c>
      <c r="R30" s="217">
        <f t="shared" si="8"/>
        <v>2.2487214422550341</v>
      </c>
      <c r="S30" s="172">
        <f t="shared" si="9"/>
        <v>495.79220377701637</v>
      </c>
      <c r="T30" s="172">
        <f t="shared" si="10"/>
        <v>24</v>
      </c>
      <c r="U30" s="217">
        <f t="shared" si="99"/>
        <v>1.2621489693143562</v>
      </c>
      <c r="V30" s="217">
        <f t="shared" si="11"/>
        <v>0.52758764203180497</v>
      </c>
      <c r="W30" s="217">
        <f t="shared" si="12"/>
        <v>0.77166499749716866</v>
      </c>
      <c r="X30" s="197">
        <f t="shared" si="13"/>
        <v>350</v>
      </c>
      <c r="Y30" s="443">
        <f t="shared" si="14"/>
        <v>350</v>
      </c>
      <c r="AA30" s="217">
        <f t="shared" si="15"/>
        <v>2.7755494217307022</v>
      </c>
      <c r="AB30" s="173">
        <f t="shared" si="16"/>
        <v>1.6969425873212007</v>
      </c>
      <c r="AC30" s="173">
        <f t="shared" si="17"/>
        <v>0.54976868227843745</v>
      </c>
      <c r="AD30" s="173"/>
      <c r="AE30" s="173">
        <f t="shared" si="18"/>
        <v>1.3586439851714256</v>
      </c>
      <c r="AF30" s="545">
        <f t="shared" si="100"/>
        <v>248.28530359281066</v>
      </c>
      <c r="AG30" s="528">
        <f t="shared" si="19"/>
        <v>0.35241715370918814</v>
      </c>
      <c r="AI30" s="173">
        <f t="shared" si="20"/>
        <v>1.8716686708128778</v>
      </c>
      <c r="AJ30" s="173">
        <f t="shared" si="21"/>
        <v>2.2222222222222223</v>
      </c>
      <c r="AK30" s="173">
        <f t="shared" si="22"/>
        <v>1.141877316338749</v>
      </c>
      <c r="AM30" s="545">
        <f t="shared" si="23"/>
        <v>250</v>
      </c>
      <c r="AN30" s="460">
        <f t="shared" si="24"/>
        <v>248.28530359281066</v>
      </c>
      <c r="AP30">
        <f t="shared" si="25"/>
        <v>250</v>
      </c>
      <c r="AQ30" s="460">
        <f t="shared" si="26"/>
        <v>248.28530359281066</v>
      </c>
      <c r="AR30" s="460"/>
      <c r="AS30" s="5">
        <f t="shared" si="101"/>
        <v>4.0276246138192926</v>
      </c>
      <c r="AT30" s="5">
        <f t="shared" si="27"/>
        <v>0.92890539135788264</v>
      </c>
      <c r="AU30" s="5">
        <f t="shared" si="102"/>
        <v>3.0987192224614102</v>
      </c>
      <c r="AV30" s="5">
        <f t="shared" si="28"/>
        <v>1.3586439851714256</v>
      </c>
      <c r="AW30" s="173">
        <f t="shared" si="103"/>
        <v>0.23063355710229053</v>
      </c>
      <c r="AX30" s="173">
        <f t="shared" si="29"/>
        <v>6.1305013232792769</v>
      </c>
      <c r="AY30" s="173">
        <f t="shared" si="30"/>
        <v>0.57018601934752478</v>
      </c>
      <c r="AZ30" s="173">
        <f t="shared" si="104"/>
        <v>10.751756646531831</v>
      </c>
      <c r="BA30" s="460">
        <f t="shared" si="31"/>
        <v>0.96760978266446107</v>
      </c>
      <c r="BB30" s="5">
        <f t="shared" si="32"/>
        <v>0.64764382321095948</v>
      </c>
      <c r="BC30" s="5"/>
      <c r="BD30" s="173">
        <f t="shared" si="105"/>
        <v>0.61615234755271109</v>
      </c>
      <c r="BE30" s="173">
        <f t="shared" si="33"/>
        <v>0.7506185843144445</v>
      </c>
      <c r="BF30" s="173"/>
      <c r="BG30" s="528">
        <f t="shared" si="34"/>
        <v>1.5185748615788674E-2</v>
      </c>
      <c r="BH30" s="528">
        <f t="shared" si="35"/>
        <v>0.50099228950039099</v>
      </c>
      <c r="BI30" s="528">
        <f t="shared" si="36"/>
        <v>0.23758937098581753</v>
      </c>
      <c r="BJ30" s="528">
        <f t="shared" si="37"/>
        <v>7.0763468217728984E-2</v>
      </c>
      <c r="BK30">
        <f t="shared" si="38"/>
        <v>1.0765358983848622E-2</v>
      </c>
      <c r="BL30" s="460">
        <f t="shared" si="106"/>
        <v>248.35472996966615</v>
      </c>
      <c r="BM30" s="528">
        <f t="shared" si="39"/>
        <v>0.59318193830349586</v>
      </c>
      <c r="BN30" s="460">
        <f t="shared" si="107"/>
        <v>593.18193830349583</v>
      </c>
      <c r="BO30" s="528">
        <f t="shared" si="108"/>
        <v>0.217</v>
      </c>
      <c r="BP30" s="528"/>
      <c r="BR30" s="460">
        <f t="shared" si="109"/>
        <v>217</v>
      </c>
      <c r="BS30" s="528">
        <f t="shared" si="40"/>
        <v>1.1389311461841505E-2</v>
      </c>
      <c r="BT30" s="528">
        <f t="shared" si="41"/>
        <v>1.6902847773546625E-2</v>
      </c>
      <c r="BU30" s="528">
        <f t="shared" si="42"/>
        <v>0.09</v>
      </c>
      <c r="BV30" s="528">
        <f t="shared" si="43"/>
        <v>0.12536602750090237</v>
      </c>
      <c r="BW30" s="528">
        <f t="shared" si="44"/>
        <v>0.24522005293117111</v>
      </c>
      <c r="BX30" s="460">
        <f t="shared" si="110"/>
        <v>370.58608043207346</v>
      </c>
      <c r="BY30" s="173">
        <f t="shared" si="45"/>
        <v>1.4291227487052351</v>
      </c>
      <c r="BZ30" s="5">
        <f t="shared" si="111"/>
        <v>6</v>
      </c>
      <c r="CA30" s="173">
        <f t="shared" si="112"/>
        <v>0.80763236830966267</v>
      </c>
      <c r="CB30" s="5">
        <f t="shared" si="113"/>
        <v>80.763236830966264</v>
      </c>
      <c r="CE30" s="562">
        <f t="shared" si="46"/>
        <v>-50</v>
      </c>
      <c r="CF30">
        <f t="shared" si="47"/>
        <v>-50</v>
      </c>
      <c r="CG30" s="173">
        <f t="shared" si="48"/>
        <v>0.3408270891955249</v>
      </c>
      <c r="CI30" s="170">
        <v>25</v>
      </c>
      <c r="CJ30" s="217">
        <f t="shared" si="114"/>
        <v>0.25</v>
      </c>
      <c r="CK30" s="217"/>
      <c r="CL30" s="217">
        <f t="shared" si="49"/>
        <v>6</v>
      </c>
      <c r="CM30" s="541">
        <f t="shared" si="50"/>
        <v>24</v>
      </c>
      <c r="CN30" s="172">
        <f t="shared" si="51"/>
        <v>16.3415</v>
      </c>
      <c r="CO30" s="443">
        <f t="shared" si="52"/>
        <v>40.341499999999996</v>
      </c>
      <c r="CP30" s="443"/>
      <c r="CQ30" s="217">
        <f t="shared" si="53"/>
        <v>0.40507913686898112</v>
      </c>
      <c r="CR30" s="172">
        <f t="shared" si="54"/>
        <v>54.360539956785601</v>
      </c>
      <c r="CS30" s="172">
        <f t="shared" si="115"/>
        <v>6</v>
      </c>
      <c r="CT30" s="217">
        <f t="shared" si="55"/>
        <v>2.2650224981994</v>
      </c>
      <c r="CU30" s="217">
        <f t="shared" si="56"/>
        <v>24</v>
      </c>
      <c r="CV30" s="217">
        <f t="shared" si="57"/>
        <v>2.250439649272117</v>
      </c>
      <c r="CW30" s="172">
        <f t="shared" si="58"/>
        <v>497.38745901881532</v>
      </c>
      <c r="CX30" s="172">
        <f t="shared" si="59"/>
        <v>24</v>
      </c>
      <c r="CY30" s="217">
        <f t="shared" si="60"/>
        <v>1.2343267141939234</v>
      </c>
      <c r="CZ30" s="217">
        <f t="shared" si="61"/>
        <v>0.51430279758080144</v>
      </c>
      <c r="DA30" s="217">
        <f t="shared" si="62"/>
        <v>0.75533256689650485</v>
      </c>
      <c r="DB30" s="197">
        <f t="shared" si="63"/>
        <v>350</v>
      </c>
      <c r="DC30" s="443">
        <f t="shared" si="116"/>
        <v>350</v>
      </c>
      <c r="DE30" s="217">
        <f t="shared" si="64"/>
        <v>2.7776855099587272</v>
      </c>
      <c r="DF30" s="173">
        <f t="shared" si="65"/>
        <v>1.6997738946600542</v>
      </c>
      <c r="DG30" s="173">
        <f t="shared" si="66"/>
        <v>0.55110977087390545</v>
      </c>
      <c r="DH30" s="173"/>
      <c r="DI30" s="173">
        <f t="shared" si="67"/>
        <v>1.3598642855443031</v>
      </c>
      <c r="DJ30" s="545">
        <f t="shared" si="117"/>
        <v>248.06249999999991</v>
      </c>
      <c r="DK30" s="528">
        <f t="shared" si="68"/>
        <v>0.35273368606701955</v>
      </c>
      <c r="DM30" s="173">
        <f t="shared" si="69"/>
        <v>1.8708286933869707</v>
      </c>
      <c r="DN30" s="173">
        <f t="shared" si="70"/>
        <v>2.2222222222222223</v>
      </c>
      <c r="DO30" s="173">
        <f t="shared" si="71"/>
        <v>1.14175</v>
      </c>
      <c r="DQ30" s="545">
        <f t="shared" si="72"/>
        <v>250</v>
      </c>
      <c r="DR30" s="460">
        <f t="shared" si="73"/>
        <v>248.06249999999991</v>
      </c>
      <c r="DT30">
        <f t="shared" si="74"/>
        <v>250</v>
      </c>
      <c r="DU30" s="460">
        <f t="shared" si="75"/>
        <v>248.06249999999991</v>
      </c>
      <c r="DV30" s="460"/>
      <c r="DW30" s="5">
        <f t="shared" si="118"/>
        <v>4.0312421264802234</v>
      </c>
      <c r="DX30" s="5">
        <f t="shared" si="76"/>
        <v>0.92592592592592615</v>
      </c>
      <c r="DY30" s="5">
        <f t="shared" si="119"/>
        <v>3.1053162005542974</v>
      </c>
      <c r="DZ30" s="5">
        <f t="shared" si="77"/>
        <v>1.3598642855443031</v>
      </c>
      <c r="EA30" s="173">
        <f t="shared" si="120"/>
        <v>0.22968749999999996</v>
      </c>
      <c r="EB30" s="173">
        <f t="shared" si="78"/>
        <v>6.1249999999999991</v>
      </c>
      <c r="EC30" s="173">
        <f t="shared" si="79"/>
        <v>0.57088715277777791</v>
      </c>
      <c r="ED30" s="173">
        <f t="shared" si="121"/>
        <v>10.728915461133527</v>
      </c>
      <c r="EE30" s="460">
        <f t="shared" si="80"/>
        <v>0.96450617283950646</v>
      </c>
      <c r="EF30" s="5">
        <f t="shared" si="81"/>
        <v>0.64694087511547849</v>
      </c>
      <c r="EG30" s="5"/>
      <c r="EH30" s="173">
        <f t="shared" si="122"/>
        <v>0.61488732281051828</v>
      </c>
      <c r="EI30" s="173">
        <f t="shared" si="82"/>
        <v>0.75107994435940717</v>
      </c>
      <c r="EJ30" s="173"/>
      <c r="EK30" s="528">
        <f t="shared" si="83"/>
        <v>1.512345679012346E-2</v>
      </c>
      <c r="EL30" s="528">
        <f t="shared" si="84"/>
        <v>0.61155192656249979</v>
      </c>
      <c r="EM30" s="528">
        <f t="shared" si="85"/>
        <v>4.9612499999999976E-2</v>
      </c>
      <c r="EN30" s="528">
        <f t="shared" si="86"/>
        <v>7.0648549493705831E-2</v>
      </c>
      <c r="EO30">
        <f t="shared" si="87"/>
        <v>1.0800000000000001E-2</v>
      </c>
      <c r="EP30" s="460">
        <f t="shared" si="123"/>
        <v>60.41249999999998</v>
      </c>
      <c r="EQ30" s="528">
        <f t="shared" si="88"/>
        <v>0.76456711066398164</v>
      </c>
      <c r="ER30" s="460">
        <f t="shared" si="124"/>
        <v>764.56711066398168</v>
      </c>
      <c r="ES30" s="528">
        <f t="shared" si="125"/>
        <v>0.217</v>
      </c>
      <c r="ET30" s="528"/>
      <c r="EV30" s="460">
        <f t="shared" si="126"/>
        <v>217</v>
      </c>
      <c r="EW30" s="528">
        <f t="shared" si="89"/>
        <v>1.1342592592592595E-2</v>
      </c>
      <c r="EX30" s="528">
        <f t="shared" si="90"/>
        <v>1.6923632484567904E-2</v>
      </c>
      <c r="EY30" s="528">
        <f t="shared" si="91"/>
        <v>0.35673154152245556</v>
      </c>
      <c r="EZ30" s="528">
        <f t="shared" si="92"/>
        <v>0.39266960360986225</v>
      </c>
      <c r="FA30" s="528">
        <f t="shared" si="93"/>
        <v>0.245</v>
      </c>
      <c r="FB30" s="460">
        <f t="shared" si="127"/>
        <v>637.66960360986229</v>
      </c>
      <c r="FC30" s="173">
        <f t="shared" si="128"/>
        <v>1.619236714273844</v>
      </c>
      <c r="FD30" s="5">
        <f t="shared" si="129"/>
        <v>6</v>
      </c>
      <c r="FE30" s="173">
        <f t="shared" si="130"/>
        <v>0.78748045572066638</v>
      </c>
      <c r="FF30" s="5">
        <f t="shared" si="131"/>
        <v>78.748045572066644</v>
      </c>
      <c r="FI30" s="562">
        <f t="shared" si="94"/>
        <v>-50</v>
      </c>
      <c r="FJ30">
        <f t="shared" si="95"/>
        <v>-50</v>
      </c>
      <c r="FL30">
        <f t="shared" si="96"/>
        <v>0.33733133433283352</v>
      </c>
    </row>
    <row r="31" spans="5:168">
      <c r="E31" s="170">
        <v>26</v>
      </c>
      <c r="F31" s="217">
        <f t="shared" si="97"/>
        <v>0.26</v>
      </c>
      <c r="G31" s="217"/>
      <c r="H31" s="217">
        <f t="shared" si="0"/>
        <v>6.24</v>
      </c>
      <c r="I31" s="541">
        <f t="shared" si="1"/>
        <v>23.92301996410805</v>
      </c>
      <c r="J31" s="172">
        <f t="shared" si="2"/>
        <v>16.356177530509115</v>
      </c>
      <c r="K31" s="172">
        <f t="shared" si="3"/>
        <v>40.356177530509115</v>
      </c>
      <c r="L31" s="443"/>
      <c r="M31" s="217">
        <f t="shared" si="4"/>
        <v>0.40607233723486735</v>
      </c>
      <c r="N31" s="172">
        <f t="shared" si="5"/>
        <v>54.319035772820321</v>
      </c>
      <c r="O31" s="172">
        <f t="shared" si="98"/>
        <v>6.24</v>
      </c>
      <c r="P31" s="217">
        <f t="shared" si="6"/>
        <v>2.2632931572008466</v>
      </c>
      <c r="Q31" s="217">
        <f t="shared" si="7"/>
        <v>24</v>
      </c>
      <c r="R31" s="217">
        <f t="shared" si="8"/>
        <v>2.2487214422550341</v>
      </c>
      <c r="S31" s="172">
        <f t="shared" si="9"/>
        <v>475.34673074239885</v>
      </c>
      <c r="T31" s="172">
        <f t="shared" si="10"/>
        <v>24</v>
      </c>
      <c r="U31" s="217">
        <f t="shared" si="99"/>
        <v>1.3126349280869303</v>
      </c>
      <c r="V31" s="217">
        <f t="shared" si="11"/>
        <v>0.54869114771307714</v>
      </c>
      <c r="W31" s="217">
        <f t="shared" si="12"/>
        <v>0.80253159739705537</v>
      </c>
      <c r="X31" s="197">
        <f t="shared" si="13"/>
        <v>350</v>
      </c>
      <c r="Y31" s="443">
        <f t="shared" si="14"/>
        <v>350</v>
      </c>
      <c r="AA31" s="217">
        <f t="shared" si="15"/>
        <v>2.7755494217307022</v>
      </c>
      <c r="AB31" s="173">
        <f t="shared" si="16"/>
        <v>1.6969425873212007</v>
      </c>
      <c r="AC31" s="173">
        <f t="shared" si="17"/>
        <v>0.54976868227843745</v>
      </c>
      <c r="AD31" s="173"/>
      <c r="AE31" s="173">
        <f t="shared" si="18"/>
        <v>1.3586439851714256</v>
      </c>
      <c r="AF31" s="545">
        <f t="shared" si="100"/>
        <v>258.2167157365231</v>
      </c>
      <c r="AG31" s="528">
        <f t="shared" si="19"/>
        <v>0.35241715370918814</v>
      </c>
      <c r="AI31" s="173">
        <f t="shared" si="20"/>
        <v>1.9087350150910267</v>
      </c>
      <c r="AJ31" s="173">
        <f t="shared" si="21"/>
        <v>2.2222222222222223</v>
      </c>
      <c r="AK31" s="173">
        <f t="shared" si="22"/>
        <v>1.1475524089922988</v>
      </c>
      <c r="AM31" s="545">
        <f t="shared" si="23"/>
        <v>260</v>
      </c>
      <c r="AN31" s="460">
        <f t="shared" si="24"/>
        <v>258.2167157365231</v>
      </c>
      <c r="AP31">
        <f t="shared" si="25"/>
        <v>260</v>
      </c>
      <c r="AQ31" s="460">
        <f t="shared" si="26"/>
        <v>258.2167157365231</v>
      </c>
      <c r="AR31" s="460"/>
      <c r="AS31" s="5">
        <f t="shared" si="101"/>
        <v>3.8727159748262432</v>
      </c>
      <c r="AT31" s="5">
        <f t="shared" si="27"/>
        <v>0.92890539135788264</v>
      </c>
      <c r="AU31" s="5">
        <f t="shared" si="102"/>
        <v>2.9438105834683608</v>
      </c>
      <c r="AV31" s="5">
        <f t="shared" si="28"/>
        <v>1.3586439851714256</v>
      </c>
      <c r="AW31" s="173">
        <f t="shared" si="103"/>
        <v>0.23985889938638214</v>
      </c>
      <c r="AX31" s="173">
        <f t="shared" si="29"/>
        <v>6.3757213762104481</v>
      </c>
      <c r="AY31" s="173">
        <f t="shared" si="30"/>
        <v>0.56334901567698126</v>
      </c>
      <c r="AZ31" s="173">
        <f t="shared" si="104"/>
        <v>11.317533533894064</v>
      </c>
      <c r="BA31" s="460">
        <f t="shared" si="31"/>
        <v>1.0063141739710395</v>
      </c>
      <c r="BB31" s="5">
        <f t="shared" si="32"/>
        <v>0.63987803617611583</v>
      </c>
      <c r="BC31" s="5"/>
      <c r="BD31" s="173">
        <f t="shared" si="105"/>
        <v>0.62835456870345552</v>
      </c>
      <c r="BE31" s="173">
        <f t="shared" si="33"/>
        <v>0.7461047423802446</v>
      </c>
      <c r="BF31" s="173"/>
      <c r="BG31" s="528">
        <f t="shared" si="34"/>
        <v>1.5793178560420226E-2</v>
      </c>
      <c r="BH31" s="528">
        <f t="shared" si="35"/>
        <v>0.52103198108040671</v>
      </c>
      <c r="BI31" s="528">
        <f t="shared" si="36"/>
        <v>0.24709294582525024</v>
      </c>
      <c r="BJ31" s="528">
        <f t="shared" si="37"/>
        <v>7.359400694643814E-2</v>
      </c>
      <c r="BK31">
        <f t="shared" si="38"/>
        <v>1.0765358983848622E-2</v>
      </c>
      <c r="BL31" s="460">
        <f t="shared" si="106"/>
        <v>257.85830480909885</v>
      </c>
      <c r="BM31" s="528">
        <f t="shared" si="39"/>
        <v>0.61699858683816111</v>
      </c>
      <c r="BN31" s="460">
        <f t="shared" si="107"/>
        <v>616.99858683816115</v>
      </c>
      <c r="BO31" s="528">
        <f t="shared" si="108"/>
        <v>0.22567999999999999</v>
      </c>
      <c r="BP31" s="528"/>
      <c r="BR31" s="460">
        <f t="shared" si="109"/>
        <v>225.67999999999998</v>
      </c>
      <c r="BS31" s="528">
        <f t="shared" si="40"/>
        <v>1.1844883920315168E-2</v>
      </c>
      <c r="BT31" s="528">
        <f t="shared" si="41"/>
        <v>1.6700168598068735E-2</v>
      </c>
      <c r="BU31" s="528">
        <f t="shared" si="42"/>
        <v>9.3600000000000003E-2</v>
      </c>
      <c r="BV31" s="528">
        <f t="shared" si="43"/>
        <v>0.12929111485589379</v>
      </c>
      <c r="BW31" s="528">
        <f t="shared" si="44"/>
        <v>0.25502885504841794</v>
      </c>
      <c r="BX31" s="460">
        <f t="shared" si="110"/>
        <v>384.31996990431173</v>
      </c>
      <c r="BY31" s="173">
        <f t="shared" si="45"/>
        <v>1.4848568615515716</v>
      </c>
      <c r="BZ31" s="5">
        <f t="shared" si="111"/>
        <v>6.24</v>
      </c>
      <c r="CA31" s="173">
        <f t="shared" si="112"/>
        <v>0.8077819578842873</v>
      </c>
      <c r="CB31" s="5">
        <f t="shared" si="113"/>
        <v>80.778195788428732</v>
      </c>
      <c r="CE31" s="562">
        <f t="shared" si="46"/>
        <v>-50</v>
      </c>
      <c r="CF31">
        <f t="shared" si="47"/>
        <v>-50</v>
      </c>
      <c r="CG31" s="173">
        <f t="shared" si="48"/>
        <v>0.3544601727633459</v>
      </c>
      <c r="CI31" s="170">
        <v>26</v>
      </c>
      <c r="CJ31" s="217">
        <f t="shared" si="114"/>
        <v>0.26</v>
      </c>
      <c r="CK31" s="217"/>
      <c r="CL31" s="217">
        <f t="shared" si="49"/>
        <v>6.24</v>
      </c>
      <c r="CM31" s="541">
        <f t="shared" si="50"/>
        <v>24</v>
      </c>
      <c r="CN31" s="172">
        <f t="shared" si="51"/>
        <v>16.3415</v>
      </c>
      <c r="CO31" s="443">
        <f t="shared" si="52"/>
        <v>40.341499999999996</v>
      </c>
      <c r="CP31" s="443"/>
      <c r="CQ31" s="217">
        <f t="shared" si="53"/>
        <v>0.40507913686898112</v>
      </c>
      <c r="CR31" s="172">
        <f t="shared" si="54"/>
        <v>54.360539956785601</v>
      </c>
      <c r="CS31" s="172">
        <f t="shared" si="115"/>
        <v>6.24</v>
      </c>
      <c r="CT31" s="217">
        <f t="shared" si="55"/>
        <v>2.2650224981994</v>
      </c>
      <c r="CU31" s="217">
        <f t="shared" si="56"/>
        <v>24</v>
      </c>
      <c r="CV31" s="217">
        <f t="shared" si="57"/>
        <v>2.250439649272117</v>
      </c>
      <c r="CW31" s="172">
        <f t="shared" si="58"/>
        <v>476.87619109310941</v>
      </c>
      <c r="CX31" s="172">
        <f t="shared" si="59"/>
        <v>24</v>
      </c>
      <c r="CY31" s="217">
        <f t="shared" si="60"/>
        <v>1.2836997827616805</v>
      </c>
      <c r="CZ31" s="217">
        <f t="shared" si="61"/>
        <v>0.5348749094840336</v>
      </c>
      <c r="DA31" s="217">
        <f t="shared" si="62"/>
        <v>0.78554586957236527</v>
      </c>
      <c r="DB31" s="197">
        <f t="shared" si="63"/>
        <v>350</v>
      </c>
      <c r="DC31" s="443">
        <f t="shared" si="116"/>
        <v>350</v>
      </c>
      <c r="DE31" s="217">
        <f t="shared" si="64"/>
        <v>2.7776855099587272</v>
      </c>
      <c r="DF31" s="173">
        <f t="shared" si="65"/>
        <v>1.6997738946600542</v>
      </c>
      <c r="DG31" s="173">
        <f t="shared" si="66"/>
        <v>0.55110977087390545</v>
      </c>
      <c r="DH31" s="173"/>
      <c r="DI31" s="173">
        <f t="shared" si="67"/>
        <v>1.3598642855443031</v>
      </c>
      <c r="DJ31" s="545">
        <f t="shared" si="117"/>
        <v>257.98499999999996</v>
      </c>
      <c r="DK31" s="528">
        <f t="shared" si="68"/>
        <v>0.35273368606701955</v>
      </c>
      <c r="DM31" s="173">
        <f t="shared" si="69"/>
        <v>1.9078784028338913</v>
      </c>
      <c r="DN31" s="173">
        <f t="shared" si="70"/>
        <v>2.2222222222222223</v>
      </c>
      <c r="DO31" s="173">
        <f t="shared" si="71"/>
        <v>1.1474199999999999</v>
      </c>
      <c r="DQ31" s="545">
        <f t="shared" si="72"/>
        <v>260</v>
      </c>
      <c r="DR31" s="460">
        <f t="shared" si="73"/>
        <v>257.98499999999996</v>
      </c>
      <c r="DT31">
        <f t="shared" si="74"/>
        <v>260</v>
      </c>
      <c r="DU31" s="460">
        <f t="shared" si="75"/>
        <v>257.98499999999996</v>
      </c>
      <c r="DV31" s="460"/>
      <c r="DW31" s="5">
        <f t="shared" si="118"/>
        <v>3.8761943523848292</v>
      </c>
      <c r="DX31" s="5">
        <f t="shared" si="76"/>
        <v>0.92592592592592615</v>
      </c>
      <c r="DY31" s="5">
        <f t="shared" si="119"/>
        <v>2.9502684264589032</v>
      </c>
      <c r="DZ31" s="5">
        <f t="shared" si="77"/>
        <v>1.3598642855443031</v>
      </c>
      <c r="EA31" s="173">
        <f t="shared" si="120"/>
        <v>0.238875</v>
      </c>
      <c r="EB31" s="173">
        <f t="shared" si="78"/>
        <v>6.370000000000001</v>
      </c>
      <c r="EC31" s="173">
        <f t="shared" si="79"/>
        <v>0.56407819444444451</v>
      </c>
      <c r="ED31" s="173">
        <f t="shared" si="121"/>
        <v>11.292760583085039</v>
      </c>
      <c r="EE31" s="460">
        <f t="shared" si="80"/>
        <v>1.0030864197530867</v>
      </c>
      <c r="EF31" s="5">
        <f t="shared" si="81"/>
        <v>0.63922482573276229</v>
      </c>
      <c r="EG31" s="5"/>
      <c r="EH31" s="173">
        <f t="shared" si="122"/>
        <v>0.62706449153433164</v>
      </c>
      <c r="EI31" s="173">
        <f t="shared" si="82"/>
        <v>0.74658745184407505</v>
      </c>
      <c r="EJ31" s="173"/>
      <c r="EK31" s="528">
        <f t="shared" si="83"/>
        <v>1.5728395061728396E-2</v>
      </c>
      <c r="EL31" s="528">
        <f t="shared" si="84"/>
        <v>0.63601400362499994</v>
      </c>
      <c r="EM31" s="528">
        <f t="shared" si="85"/>
        <v>5.159699999999999E-2</v>
      </c>
      <c r="EN31" s="528">
        <f t="shared" si="86"/>
        <v>7.3474491473454084E-2</v>
      </c>
      <c r="EO31">
        <f t="shared" si="87"/>
        <v>1.0800000000000001E-2</v>
      </c>
      <c r="EP31" s="460">
        <f t="shared" si="123"/>
        <v>62.396999999999991</v>
      </c>
      <c r="EQ31" s="528">
        <f t="shared" si="88"/>
        <v>0.79483089286220132</v>
      </c>
      <c r="ER31" s="460">
        <f t="shared" si="124"/>
        <v>794.83089286220127</v>
      </c>
      <c r="ES31" s="528">
        <f t="shared" si="125"/>
        <v>0.22567999999999999</v>
      </c>
      <c r="ET31" s="528"/>
      <c r="EV31" s="460">
        <f t="shared" si="126"/>
        <v>225.67999999999998</v>
      </c>
      <c r="EW31" s="528">
        <f t="shared" si="89"/>
        <v>1.1796296296296296E-2</v>
      </c>
      <c r="EX31" s="528">
        <f t="shared" si="90"/>
        <v>1.6721784697530873E-2</v>
      </c>
      <c r="EY31" s="528">
        <f t="shared" si="91"/>
        <v>0.39348198967802772</v>
      </c>
      <c r="EZ31" s="528">
        <f t="shared" si="92"/>
        <v>0.42982503291852897</v>
      </c>
      <c r="FA31" s="528">
        <f t="shared" si="93"/>
        <v>0.25480000000000003</v>
      </c>
      <c r="FB31" s="460">
        <f t="shared" si="127"/>
        <v>684.62503291852909</v>
      </c>
      <c r="FC31" s="173">
        <f t="shared" si="128"/>
        <v>1.7051359257807301</v>
      </c>
      <c r="FD31" s="5">
        <f t="shared" si="129"/>
        <v>6.24</v>
      </c>
      <c r="FE31" s="173">
        <f t="shared" si="130"/>
        <v>0.78538618574820984</v>
      </c>
      <c r="FF31" s="5">
        <f t="shared" si="131"/>
        <v>78.538618574820987</v>
      </c>
      <c r="FI31" s="562">
        <f t="shared" si="94"/>
        <v>-50</v>
      </c>
      <c r="FJ31">
        <f t="shared" si="95"/>
        <v>-50</v>
      </c>
      <c r="FL31">
        <f t="shared" si="96"/>
        <v>0.35082458770614688</v>
      </c>
    </row>
    <row r="32" spans="5:168">
      <c r="E32" s="170">
        <v>27</v>
      </c>
      <c r="F32" s="217">
        <f t="shared" si="97"/>
        <v>0.27</v>
      </c>
      <c r="G32" s="217"/>
      <c r="H32" s="217">
        <f t="shared" si="0"/>
        <v>6.48</v>
      </c>
      <c r="I32" s="541">
        <f t="shared" si="1"/>
        <v>23.92301996410805</v>
      </c>
      <c r="J32" s="172">
        <f t="shared" si="2"/>
        <v>16.356177530509115</v>
      </c>
      <c r="K32" s="172">
        <f t="shared" si="3"/>
        <v>40.356177530509115</v>
      </c>
      <c r="L32" s="443"/>
      <c r="M32" s="217">
        <f t="shared" si="4"/>
        <v>0.40607233723486735</v>
      </c>
      <c r="N32" s="172">
        <f t="shared" si="5"/>
        <v>54.319035772820321</v>
      </c>
      <c r="O32" s="172">
        <f t="shared" si="98"/>
        <v>6.48</v>
      </c>
      <c r="P32" s="217">
        <f t="shared" si="6"/>
        <v>2.2632931572008466</v>
      </c>
      <c r="Q32" s="217">
        <f t="shared" si="7"/>
        <v>24</v>
      </c>
      <c r="R32" s="217">
        <f t="shared" si="8"/>
        <v>2.2487214422550341</v>
      </c>
      <c r="S32" s="172">
        <f t="shared" si="9"/>
        <v>456.41586106930652</v>
      </c>
      <c r="T32" s="172">
        <f t="shared" si="10"/>
        <v>24</v>
      </c>
      <c r="U32" s="217">
        <f t="shared" si="99"/>
        <v>1.3631208868595046</v>
      </c>
      <c r="V32" s="217">
        <f t="shared" si="11"/>
        <v>0.56979465339434943</v>
      </c>
      <c r="W32" s="217">
        <f t="shared" si="12"/>
        <v>0.8333981972969422</v>
      </c>
      <c r="X32" s="197">
        <f t="shared" si="13"/>
        <v>350</v>
      </c>
      <c r="Y32" s="443">
        <f t="shared" si="14"/>
        <v>350</v>
      </c>
      <c r="AA32" s="217">
        <f t="shared" si="15"/>
        <v>2.7755494217307022</v>
      </c>
      <c r="AB32" s="173">
        <f t="shared" si="16"/>
        <v>1.6969425873212007</v>
      </c>
      <c r="AC32" s="173">
        <f t="shared" si="17"/>
        <v>0.54976868227843745</v>
      </c>
      <c r="AD32" s="173"/>
      <c r="AE32" s="173">
        <f t="shared" si="18"/>
        <v>1.3586439851714256</v>
      </c>
      <c r="AF32" s="545">
        <f t="shared" si="100"/>
        <v>268.14812788023556</v>
      </c>
      <c r="AG32" s="528">
        <f t="shared" si="19"/>
        <v>0.35241715370918814</v>
      </c>
      <c r="AI32" s="173">
        <f t="shared" si="20"/>
        <v>1.9450951396696872</v>
      </c>
      <c r="AJ32" s="173">
        <f t="shared" si="21"/>
        <v>2.2222222222222223</v>
      </c>
      <c r="AK32" s="173">
        <f t="shared" si="22"/>
        <v>1.1532275016458489</v>
      </c>
      <c r="AM32" s="545">
        <f t="shared" si="23"/>
        <v>270</v>
      </c>
      <c r="AN32" s="460">
        <f t="shared" si="24"/>
        <v>268.14812788023556</v>
      </c>
      <c r="AP32">
        <f t="shared" si="25"/>
        <v>270</v>
      </c>
      <c r="AQ32" s="460">
        <f t="shared" si="26"/>
        <v>268.14812788023556</v>
      </c>
      <c r="AR32" s="460"/>
      <c r="AS32" s="5">
        <f t="shared" si="101"/>
        <v>3.7292820498326784</v>
      </c>
      <c r="AT32" s="5">
        <f t="shared" si="27"/>
        <v>0.92890539135788264</v>
      </c>
      <c r="AU32" s="5">
        <f t="shared" si="102"/>
        <v>2.8003766584747956</v>
      </c>
      <c r="AV32" s="5">
        <f t="shared" si="28"/>
        <v>1.3586439851714256</v>
      </c>
      <c r="AW32" s="173">
        <f t="shared" si="103"/>
        <v>0.24908424167047377</v>
      </c>
      <c r="AX32" s="173">
        <f t="shared" si="29"/>
        <v>6.6209414291416211</v>
      </c>
      <c r="AY32" s="173">
        <f t="shared" si="30"/>
        <v>0.55651201200643785</v>
      </c>
      <c r="AZ32" s="173">
        <f t="shared" si="104"/>
        <v>11.8972120750289</v>
      </c>
      <c r="BA32" s="460">
        <f t="shared" si="31"/>
        <v>1.0450185652776181</v>
      </c>
      <c r="BB32" s="5">
        <f t="shared" si="32"/>
        <v>0.63211224914127206</v>
      </c>
      <c r="BC32" s="5"/>
      <c r="BD32" s="173">
        <f t="shared" si="105"/>
        <v>0.64032430269847973</v>
      </c>
      <c r="BE32" s="173">
        <f t="shared" si="33"/>
        <v>0.74156342553173538</v>
      </c>
      <c r="BF32" s="173"/>
      <c r="BG32" s="528">
        <f t="shared" si="34"/>
        <v>1.6400608505051772E-2</v>
      </c>
      <c r="BH32" s="528">
        <f t="shared" si="35"/>
        <v>0.54107167266042244</v>
      </c>
      <c r="BI32" s="528">
        <f t="shared" si="36"/>
        <v>0.25659652066468297</v>
      </c>
      <c r="BJ32" s="528">
        <f t="shared" si="37"/>
        <v>7.642454567514731E-2</v>
      </c>
      <c r="BK32">
        <f t="shared" si="38"/>
        <v>1.0765358983848622E-2</v>
      </c>
      <c r="BL32" s="460">
        <f t="shared" si="106"/>
        <v>267.36187964853161</v>
      </c>
      <c r="BM32" s="528">
        <f t="shared" si="39"/>
        <v>0.64082213695932411</v>
      </c>
      <c r="BN32" s="460">
        <f t="shared" si="107"/>
        <v>640.8221369593241</v>
      </c>
      <c r="BO32" s="528">
        <f t="shared" si="108"/>
        <v>0.23436000000000001</v>
      </c>
      <c r="BP32" s="528"/>
      <c r="BR32" s="460">
        <f t="shared" si="109"/>
        <v>234.36</v>
      </c>
      <c r="BS32" s="528">
        <f t="shared" si="40"/>
        <v>1.230045637878883E-2</v>
      </c>
      <c r="BT32" s="528">
        <f t="shared" si="41"/>
        <v>1.6497489422590848E-2</v>
      </c>
      <c r="BU32" s="528">
        <f t="shared" si="42"/>
        <v>9.7200000000000009E-2</v>
      </c>
      <c r="BV32" s="528">
        <f t="shared" si="43"/>
        <v>0.13321636139814286</v>
      </c>
      <c r="BW32" s="528">
        <f t="shared" si="44"/>
        <v>0.26483765716566487</v>
      </c>
      <c r="BX32" s="460">
        <f t="shared" si="110"/>
        <v>398.05401856380774</v>
      </c>
      <c r="BY32" s="173">
        <f t="shared" si="45"/>
        <v>1.5405980351716635</v>
      </c>
      <c r="BZ32" s="5">
        <f t="shared" si="111"/>
        <v>6.48</v>
      </c>
      <c r="CA32" s="173">
        <f t="shared" si="112"/>
        <v>0.80791980493027027</v>
      </c>
      <c r="CB32" s="5">
        <f t="shared" si="113"/>
        <v>80.791980493027026</v>
      </c>
      <c r="CE32" s="562">
        <f t="shared" si="46"/>
        <v>-50</v>
      </c>
      <c r="CF32">
        <f t="shared" si="47"/>
        <v>-50</v>
      </c>
      <c r="CG32" s="173">
        <f t="shared" si="48"/>
        <v>0.36809325633116691</v>
      </c>
      <c r="CI32" s="170">
        <v>27</v>
      </c>
      <c r="CJ32" s="217">
        <f t="shared" si="114"/>
        <v>0.27</v>
      </c>
      <c r="CK32" s="217"/>
      <c r="CL32" s="217">
        <f t="shared" si="49"/>
        <v>6.48</v>
      </c>
      <c r="CM32" s="541">
        <f t="shared" si="50"/>
        <v>24</v>
      </c>
      <c r="CN32" s="172">
        <f t="shared" si="51"/>
        <v>16.3415</v>
      </c>
      <c r="CO32" s="443">
        <f t="shared" si="52"/>
        <v>40.341499999999996</v>
      </c>
      <c r="CP32" s="443"/>
      <c r="CQ32" s="217">
        <f t="shared" si="53"/>
        <v>0.40507913686898112</v>
      </c>
      <c r="CR32" s="172">
        <f t="shared" si="54"/>
        <v>54.360539956785601</v>
      </c>
      <c r="CS32" s="172">
        <f t="shared" si="115"/>
        <v>6.48</v>
      </c>
      <c r="CT32" s="217">
        <f t="shared" si="55"/>
        <v>2.2650224981994</v>
      </c>
      <c r="CU32" s="217">
        <f t="shared" si="56"/>
        <v>24</v>
      </c>
      <c r="CV32" s="217">
        <f t="shared" si="57"/>
        <v>2.250439649272117</v>
      </c>
      <c r="CW32" s="172">
        <f t="shared" si="58"/>
        <v>457.88440022600594</v>
      </c>
      <c r="CX32" s="172">
        <f t="shared" si="59"/>
        <v>24</v>
      </c>
      <c r="CY32" s="217">
        <f t="shared" si="60"/>
        <v>1.3330728513294374</v>
      </c>
      <c r="CZ32" s="217">
        <f t="shared" si="61"/>
        <v>0.55544702138726565</v>
      </c>
      <c r="DA32" s="217">
        <f t="shared" si="62"/>
        <v>0.81575917224822547</v>
      </c>
      <c r="DB32" s="197">
        <f t="shared" si="63"/>
        <v>350</v>
      </c>
      <c r="DC32" s="443">
        <f t="shared" si="116"/>
        <v>350</v>
      </c>
      <c r="DE32" s="217">
        <f t="shared" si="64"/>
        <v>2.7776855099587272</v>
      </c>
      <c r="DF32" s="173">
        <f t="shared" si="65"/>
        <v>1.6997738946600542</v>
      </c>
      <c r="DG32" s="173">
        <f t="shared" si="66"/>
        <v>0.55110977087390545</v>
      </c>
      <c r="DH32" s="173"/>
      <c r="DI32" s="173">
        <f t="shared" si="67"/>
        <v>1.3598642855443031</v>
      </c>
      <c r="DJ32" s="545">
        <f t="shared" si="117"/>
        <v>267.90749999999991</v>
      </c>
      <c r="DK32" s="528">
        <f t="shared" si="68"/>
        <v>0.35273368606701955</v>
      </c>
      <c r="DM32" s="173">
        <f t="shared" si="69"/>
        <v>1.944222209522358</v>
      </c>
      <c r="DN32" s="173">
        <f t="shared" si="70"/>
        <v>2.2222222222222223</v>
      </c>
      <c r="DO32" s="173">
        <f t="shared" si="71"/>
        <v>1.1530899999999999</v>
      </c>
      <c r="DQ32" s="545">
        <f t="shared" si="72"/>
        <v>270</v>
      </c>
      <c r="DR32" s="460">
        <f t="shared" si="73"/>
        <v>267.90749999999991</v>
      </c>
      <c r="DT32">
        <f t="shared" si="74"/>
        <v>270</v>
      </c>
      <c r="DU32" s="460">
        <f t="shared" si="75"/>
        <v>267.90749999999991</v>
      </c>
      <c r="DV32" s="460"/>
      <c r="DW32" s="5">
        <f t="shared" si="118"/>
        <v>3.7326315985927994</v>
      </c>
      <c r="DX32" s="5">
        <f t="shared" si="76"/>
        <v>0.92592592592592615</v>
      </c>
      <c r="DY32" s="5">
        <f t="shared" si="119"/>
        <v>2.8067056726668733</v>
      </c>
      <c r="DZ32" s="5">
        <f t="shared" si="77"/>
        <v>1.3598642855443031</v>
      </c>
      <c r="EA32" s="173">
        <f t="shared" si="120"/>
        <v>0.24806249999999996</v>
      </c>
      <c r="EB32" s="173">
        <f t="shared" si="78"/>
        <v>6.6149999999999993</v>
      </c>
      <c r="EC32" s="173">
        <f t="shared" si="79"/>
        <v>0.55726923611111123</v>
      </c>
      <c r="ED32" s="173">
        <f t="shared" si="121"/>
        <v>11.870384315779933</v>
      </c>
      <c r="EE32" s="460">
        <f t="shared" si="80"/>
        <v>1.041666666666667</v>
      </c>
      <c r="EF32" s="5">
        <f t="shared" si="81"/>
        <v>0.63150877635004643</v>
      </c>
      <c r="EG32" s="5"/>
      <c r="EH32" s="173">
        <f t="shared" si="122"/>
        <v>0.63900965042269375</v>
      </c>
      <c r="EI32" s="173">
        <f t="shared" si="82"/>
        <v>0.74206776219097914</v>
      </c>
      <c r="EJ32" s="173"/>
      <c r="EK32" s="528">
        <f t="shared" si="83"/>
        <v>1.6333333333333332E-2</v>
      </c>
      <c r="EL32" s="528">
        <f t="shared" si="84"/>
        <v>0.66047608068749974</v>
      </c>
      <c r="EM32" s="528">
        <f t="shared" si="85"/>
        <v>5.3581499999999983E-2</v>
      </c>
      <c r="EN32" s="528">
        <f t="shared" si="86"/>
        <v>7.6300433453202296E-2</v>
      </c>
      <c r="EO32">
        <f t="shared" si="87"/>
        <v>1.0800000000000001E-2</v>
      </c>
      <c r="EP32" s="460">
        <f t="shared" si="123"/>
        <v>64.381499999999974</v>
      </c>
      <c r="EQ32" s="528">
        <f t="shared" si="88"/>
        <v>0.82510340878283972</v>
      </c>
      <c r="ER32" s="460">
        <f t="shared" si="124"/>
        <v>825.10340878283967</v>
      </c>
      <c r="ES32" s="528">
        <f t="shared" si="125"/>
        <v>0.23436000000000001</v>
      </c>
      <c r="ET32" s="528"/>
      <c r="EV32" s="460">
        <f t="shared" si="126"/>
        <v>234.36</v>
      </c>
      <c r="EW32" s="528">
        <f t="shared" si="89"/>
        <v>1.2249999999999997E-2</v>
      </c>
      <c r="EX32" s="528">
        <f t="shared" si="90"/>
        <v>1.6519936910493825E-2</v>
      </c>
      <c r="EY32" s="528">
        <f t="shared" si="91"/>
        <v>0.4324151478607493</v>
      </c>
      <c r="EZ32" s="528">
        <f t="shared" si="92"/>
        <v>0.4691697082623234</v>
      </c>
      <c r="FA32" s="528">
        <f t="shared" si="93"/>
        <v>0.2646</v>
      </c>
      <c r="FB32" s="460">
        <f t="shared" si="127"/>
        <v>733.76970826232332</v>
      </c>
      <c r="FC32" s="173">
        <f t="shared" si="128"/>
        <v>1.793233117045163</v>
      </c>
      <c r="FD32" s="5">
        <f t="shared" si="129"/>
        <v>6.48</v>
      </c>
      <c r="FE32" s="173">
        <f t="shared" si="130"/>
        <v>0.78324881075203789</v>
      </c>
      <c r="FF32" s="5">
        <f t="shared" si="131"/>
        <v>78.324881075203791</v>
      </c>
      <c r="FI32" s="562">
        <f t="shared" si="94"/>
        <v>-50</v>
      </c>
      <c r="FJ32">
        <f t="shared" si="95"/>
        <v>-50</v>
      </c>
      <c r="FL32">
        <f t="shared" si="96"/>
        <v>0.36431784107946025</v>
      </c>
    </row>
    <row r="33" spans="5:168">
      <c r="E33" s="170">
        <v>28</v>
      </c>
      <c r="F33" s="217">
        <f t="shared" si="97"/>
        <v>0.28000000000000003</v>
      </c>
      <c r="G33" s="217"/>
      <c r="H33" s="217">
        <f t="shared" si="0"/>
        <v>6.7200000000000006</v>
      </c>
      <c r="I33" s="541">
        <f t="shared" si="1"/>
        <v>23.92301996410805</v>
      </c>
      <c r="J33" s="172">
        <f t="shared" si="2"/>
        <v>16.356177530509115</v>
      </c>
      <c r="K33" s="172">
        <f t="shared" si="3"/>
        <v>40.356177530509115</v>
      </c>
      <c r="L33" s="443"/>
      <c r="M33" s="217">
        <f t="shared" si="4"/>
        <v>0.40607233723486735</v>
      </c>
      <c r="N33" s="172">
        <f t="shared" si="5"/>
        <v>54.319035772820321</v>
      </c>
      <c r="O33" s="172">
        <f t="shared" si="98"/>
        <v>6.7200000000000006</v>
      </c>
      <c r="P33" s="217">
        <f t="shared" si="6"/>
        <v>2.2632931572008466</v>
      </c>
      <c r="Q33" s="217">
        <f t="shared" si="7"/>
        <v>24</v>
      </c>
      <c r="R33" s="217">
        <f t="shared" si="8"/>
        <v>2.2487214422550341</v>
      </c>
      <c r="S33" s="172">
        <f t="shared" si="9"/>
        <v>438.837316851683</v>
      </c>
      <c r="T33" s="172">
        <f t="shared" si="10"/>
        <v>24</v>
      </c>
      <c r="U33" s="217">
        <f t="shared" si="99"/>
        <v>1.4136068456320789</v>
      </c>
      <c r="V33" s="217">
        <f t="shared" si="11"/>
        <v>0.5908981590756216</v>
      </c>
      <c r="W33" s="217">
        <f t="shared" si="12"/>
        <v>0.86426479719682892</v>
      </c>
      <c r="X33" s="197">
        <f t="shared" si="13"/>
        <v>350</v>
      </c>
      <c r="Y33" s="443">
        <f t="shared" si="14"/>
        <v>350</v>
      </c>
      <c r="AA33" s="217">
        <f t="shared" si="15"/>
        <v>2.7755494217307022</v>
      </c>
      <c r="AB33" s="173">
        <f t="shared" si="16"/>
        <v>1.6969425873212007</v>
      </c>
      <c r="AC33" s="173">
        <f t="shared" si="17"/>
        <v>0.54976868227843745</v>
      </c>
      <c r="AD33" s="173"/>
      <c r="AE33" s="173">
        <f t="shared" si="18"/>
        <v>1.3586439851714256</v>
      </c>
      <c r="AF33" s="545">
        <f t="shared" si="100"/>
        <v>278.07954002394797</v>
      </c>
      <c r="AG33" s="528">
        <f t="shared" si="19"/>
        <v>0.35241715370918814</v>
      </c>
      <c r="AI33" s="173">
        <f t="shared" si="20"/>
        <v>1.9807879358726765</v>
      </c>
      <c r="AJ33" s="173">
        <f t="shared" si="21"/>
        <v>2.2222222222222223</v>
      </c>
      <c r="AK33" s="173">
        <f t="shared" si="22"/>
        <v>1.1589025942993989</v>
      </c>
      <c r="AM33" s="545">
        <f t="shared" si="23"/>
        <v>280</v>
      </c>
      <c r="AN33" s="460">
        <f t="shared" si="24"/>
        <v>278.07954002394797</v>
      </c>
      <c r="AP33">
        <f t="shared" si="25"/>
        <v>280</v>
      </c>
      <c r="AQ33" s="460">
        <f t="shared" si="26"/>
        <v>278.07954002394797</v>
      </c>
      <c r="AR33" s="460"/>
      <c r="AS33" s="5">
        <f t="shared" si="101"/>
        <v>3.5960934051957971</v>
      </c>
      <c r="AT33" s="5">
        <f t="shared" si="27"/>
        <v>0.92890539135788264</v>
      </c>
      <c r="AU33" s="5">
        <f t="shared" si="102"/>
        <v>2.6671880138379143</v>
      </c>
      <c r="AV33" s="5">
        <f t="shared" si="28"/>
        <v>1.3586439851714256</v>
      </c>
      <c r="AW33" s="173">
        <f t="shared" si="103"/>
        <v>0.25830958395456538</v>
      </c>
      <c r="AX33" s="173">
        <f t="shared" si="29"/>
        <v>6.8661614820727905</v>
      </c>
      <c r="AY33" s="173">
        <f t="shared" si="30"/>
        <v>0.54967500833589433</v>
      </c>
      <c r="AZ33" s="173">
        <f t="shared" si="104"/>
        <v>12.491311007316218</v>
      </c>
      <c r="BA33" s="460">
        <f t="shared" si="31"/>
        <v>1.0837229565841964</v>
      </c>
      <c r="BB33" s="5">
        <f t="shared" si="32"/>
        <v>0.62434646210642852</v>
      </c>
      <c r="BC33" s="5"/>
      <c r="BD33" s="173">
        <f t="shared" si="105"/>
        <v>0.65207435254124424</v>
      </c>
      <c r="BE33" s="173">
        <f t="shared" si="33"/>
        <v>0.73699412587240609</v>
      </c>
      <c r="BF33" s="173"/>
      <c r="BG33" s="528">
        <f t="shared" si="34"/>
        <v>1.7008038449683318E-2</v>
      </c>
      <c r="BH33" s="528">
        <f t="shared" si="35"/>
        <v>0.56111136424043806</v>
      </c>
      <c r="BI33" s="528">
        <f t="shared" si="36"/>
        <v>0.26610009550411562</v>
      </c>
      <c r="BJ33" s="528">
        <f t="shared" si="37"/>
        <v>7.9255084403856466E-2</v>
      </c>
      <c r="BK33">
        <f t="shared" si="38"/>
        <v>1.0765358983848622E-2</v>
      </c>
      <c r="BL33" s="460">
        <f t="shared" si="106"/>
        <v>276.86545448796426</v>
      </c>
      <c r="BM33" s="528">
        <f t="shared" si="39"/>
        <v>0.66465259166733115</v>
      </c>
      <c r="BN33" s="460">
        <f t="shared" si="107"/>
        <v>664.65259166733119</v>
      </c>
      <c r="BO33" s="528">
        <f t="shared" si="108"/>
        <v>0.24304000000000001</v>
      </c>
      <c r="BP33" s="528"/>
      <c r="BR33" s="460">
        <f t="shared" si="109"/>
        <v>243.04</v>
      </c>
      <c r="BS33" s="528">
        <f t="shared" si="40"/>
        <v>1.2756028837262486E-2</v>
      </c>
      <c r="BT33" s="528">
        <f t="shared" si="41"/>
        <v>1.6294810247112958E-2</v>
      </c>
      <c r="BU33" s="528">
        <f t="shared" si="42"/>
        <v>0.1008</v>
      </c>
      <c r="BV33" s="528">
        <f t="shared" si="43"/>
        <v>0.13714176713733386</v>
      </c>
      <c r="BW33" s="528">
        <f t="shared" si="44"/>
        <v>0.27464645928291165</v>
      </c>
      <c r="BX33" s="460">
        <f t="shared" si="110"/>
        <v>411.78822642024551</v>
      </c>
      <c r="BY33" s="173">
        <f t="shared" si="45"/>
        <v>1.5963462725755408</v>
      </c>
      <c r="BZ33" s="5">
        <f t="shared" si="111"/>
        <v>6.7200000000000006</v>
      </c>
      <c r="CA33" s="173">
        <f t="shared" si="112"/>
        <v>0.80804716154740408</v>
      </c>
      <c r="CB33" s="5">
        <f t="shared" si="113"/>
        <v>80.804716154740404</v>
      </c>
      <c r="CE33" s="562">
        <f t="shared" si="46"/>
        <v>-50</v>
      </c>
      <c r="CF33">
        <f t="shared" si="47"/>
        <v>-50</v>
      </c>
      <c r="CG33" s="173">
        <f t="shared" si="48"/>
        <v>0.38172633989898791</v>
      </c>
      <c r="CI33" s="170">
        <v>28</v>
      </c>
      <c r="CJ33" s="217">
        <f t="shared" si="114"/>
        <v>0.28000000000000003</v>
      </c>
      <c r="CK33" s="217"/>
      <c r="CL33" s="217">
        <f t="shared" si="49"/>
        <v>6.7200000000000006</v>
      </c>
      <c r="CM33" s="541">
        <f t="shared" si="50"/>
        <v>24</v>
      </c>
      <c r="CN33" s="172">
        <f t="shared" si="51"/>
        <v>16.3415</v>
      </c>
      <c r="CO33" s="443">
        <f t="shared" si="52"/>
        <v>40.341499999999996</v>
      </c>
      <c r="CP33" s="443"/>
      <c r="CQ33" s="217">
        <f t="shared" si="53"/>
        <v>0.40507913686898112</v>
      </c>
      <c r="CR33" s="172">
        <f t="shared" si="54"/>
        <v>54.360539956785601</v>
      </c>
      <c r="CS33" s="172">
        <f t="shared" si="115"/>
        <v>6.7200000000000006</v>
      </c>
      <c r="CT33" s="217">
        <f t="shared" si="55"/>
        <v>2.2650224981994</v>
      </c>
      <c r="CU33" s="217">
        <f t="shared" si="56"/>
        <v>24</v>
      </c>
      <c r="CV33" s="217">
        <f t="shared" si="57"/>
        <v>2.250439649272117</v>
      </c>
      <c r="CW33" s="172">
        <f t="shared" si="58"/>
        <v>440.24928632969687</v>
      </c>
      <c r="CX33" s="172">
        <f t="shared" si="59"/>
        <v>24</v>
      </c>
      <c r="CY33" s="217">
        <f t="shared" si="60"/>
        <v>1.3824459198971943</v>
      </c>
      <c r="CZ33" s="217">
        <f t="shared" si="61"/>
        <v>0.5760191332904977</v>
      </c>
      <c r="DA33" s="217">
        <f t="shared" si="62"/>
        <v>0.84597247492408567</v>
      </c>
      <c r="DB33" s="197">
        <f t="shared" si="63"/>
        <v>350</v>
      </c>
      <c r="DC33" s="443">
        <f t="shared" si="116"/>
        <v>350</v>
      </c>
      <c r="DE33" s="217">
        <f t="shared" si="64"/>
        <v>2.7776855099587272</v>
      </c>
      <c r="DF33" s="173">
        <f t="shared" si="65"/>
        <v>1.6997738946600542</v>
      </c>
      <c r="DG33" s="173">
        <f t="shared" si="66"/>
        <v>0.55110977087390545</v>
      </c>
      <c r="DH33" s="173"/>
      <c r="DI33" s="173">
        <f t="shared" si="67"/>
        <v>1.3598642855443031</v>
      </c>
      <c r="DJ33" s="545">
        <f t="shared" si="117"/>
        <v>277.82999999999993</v>
      </c>
      <c r="DK33" s="528">
        <f t="shared" si="68"/>
        <v>0.35273368606701955</v>
      </c>
      <c r="DM33" s="173">
        <f t="shared" si="69"/>
        <v>1.9798989873223332</v>
      </c>
      <c r="DN33" s="173">
        <f t="shared" si="70"/>
        <v>2.2222222222222223</v>
      </c>
      <c r="DO33" s="173">
        <f t="shared" si="71"/>
        <v>1.15876</v>
      </c>
      <c r="DQ33" s="545">
        <f t="shared" si="72"/>
        <v>280</v>
      </c>
      <c r="DR33" s="460">
        <f t="shared" si="73"/>
        <v>277.82999999999993</v>
      </c>
      <c r="DT33">
        <f t="shared" si="74"/>
        <v>280</v>
      </c>
      <c r="DU33" s="460">
        <f t="shared" si="75"/>
        <v>277.82999999999993</v>
      </c>
      <c r="DV33" s="460"/>
      <c r="DW33" s="5">
        <f t="shared" si="118"/>
        <v>3.5993233272144844</v>
      </c>
      <c r="DX33" s="5">
        <f t="shared" si="76"/>
        <v>0.92592592592592615</v>
      </c>
      <c r="DY33" s="5">
        <f t="shared" si="119"/>
        <v>2.6733974012885584</v>
      </c>
      <c r="DZ33" s="5">
        <f t="shared" si="77"/>
        <v>1.3598642855443031</v>
      </c>
      <c r="EA33" s="173">
        <f t="shared" si="120"/>
        <v>0.25725000000000003</v>
      </c>
      <c r="EB33" s="173">
        <f t="shared" si="78"/>
        <v>6.8599999999999994</v>
      </c>
      <c r="EC33" s="173">
        <f t="shared" si="79"/>
        <v>0.55046027777777784</v>
      </c>
      <c r="ED33" s="173">
        <f t="shared" si="121"/>
        <v>12.462297965793271</v>
      </c>
      <c r="EE33" s="460">
        <f t="shared" si="80"/>
        <v>1.0802469135802473</v>
      </c>
      <c r="EF33" s="5">
        <f t="shared" si="81"/>
        <v>0.62379272696733024</v>
      </c>
      <c r="EG33" s="5"/>
      <c r="EH33" s="173">
        <f t="shared" si="122"/>
        <v>0.65073557619316991</v>
      </c>
      <c r="EI33" s="173">
        <f t="shared" si="82"/>
        <v>0.73752037538987791</v>
      </c>
      <c r="EJ33" s="173"/>
      <c r="EK33" s="528">
        <f t="shared" si="83"/>
        <v>1.6938271604938274E-2</v>
      </c>
      <c r="EL33" s="528">
        <f t="shared" si="84"/>
        <v>0.68493815774999989</v>
      </c>
      <c r="EM33" s="528">
        <f t="shared" si="85"/>
        <v>5.5565999999999983E-2</v>
      </c>
      <c r="EN33" s="528">
        <f t="shared" si="86"/>
        <v>7.9126375432950535E-2</v>
      </c>
      <c r="EO33">
        <f t="shared" si="87"/>
        <v>1.0800000000000001E-2</v>
      </c>
      <c r="EP33" s="460">
        <f t="shared" si="123"/>
        <v>66.365999999999985</v>
      </c>
      <c r="EQ33" s="528">
        <f t="shared" si="88"/>
        <v>0.85538466220709664</v>
      </c>
      <c r="ER33" s="460">
        <f t="shared" si="124"/>
        <v>855.38466220709665</v>
      </c>
      <c r="ES33" s="528">
        <f t="shared" si="125"/>
        <v>0.24304000000000001</v>
      </c>
      <c r="ET33" s="528"/>
      <c r="EV33" s="460">
        <f t="shared" si="126"/>
        <v>243.04</v>
      </c>
      <c r="EW33" s="528">
        <f t="shared" si="89"/>
        <v>1.2703703703703705E-2</v>
      </c>
      <c r="EX33" s="528">
        <f t="shared" si="90"/>
        <v>1.6318089123456791E-2</v>
      </c>
      <c r="EY33" s="528">
        <f t="shared" si="91"/>
        <v>0.47357260022144354</v>
      </c>
      <c r="EZ33" s="528">
        <f t="shared" si="92"/>
        <v>0.51074544320232529</v>
      </c>
      <c r="FA33" s="528">
        <f t="shared" si="93"/>
        <v>0.27439999999999998</v>
      </c>
      <c r="FB33" s="460">
        <f t="shared" si="127"/>
        <v>785.14544320232528</v>
      </c>
      <c r="FC33" s="173">
        <f t="shared" si="128"/>
        <v>1.8835701054094218</v>
      </c>
      <c r="FD33" s="5">
        <f t="shared" si="129"/>
        <v>6.7200000000000006</v>
      </c>
      <c r="FE33" s="173">
        <f t="shared" si="130"/>
        <v>0.78107110393333767</v>
      </c>
      <c r="FF33" s="5">
        <f t="shared" si="131"/>
        <v>78.10711039333377</v>
      </c>
      <c r="FI33" s="562">
        <f t="shared" si="94"/>
        <v>-50</v>
      </c>
      <c r="FJ33">
        <f t="shared" si="95"/>
        <v>-50</v>
      </c>
      <c r="FL33">
        <f t="shared" si="96"/>
        <v>0.37781109445277367</v>
      </c>
    </row>
    <row r="34" spans="5:168">
      <c r="E34" s="170">
        <v>29</v>
      </c>
      <c r="F34" s="217">
        <f t="shared" si="97"/>
        <v>0.28999999999999998</v>
      </c>
      <c r="G34" s="217"/>
      <c r="H34" s="217">
        <f t="shared" si="0"/>
        <v>6.9599999999999991</v>
      </c>
      <c r="I34" s="541">
        <f t="shared" si="1"/>
        <v>23.92301996410805</v>
      </c>
      <c r="J34" s="172">
        <f t="shared" si="2"/>
        <v>16.356177530509115</v>
      </c>
      <c r="K34" s="172">
        <f t="shared" si="3"/>
        <v>40.356177530509115</v>
      </c>
      <c r="L34" s="443"/>
      <c r="M34" s="217">
        <f t="shared" si="4"/>
        <v>0.40607233723486735</v>
      </c>
      <c r="N34" s="172">
        <f t="shared" si="5"/>
        <v>54.319035772820321</v>
      </c>
      <c r="O34" s="172">
        <f t="shared" si="98"/>
        <v>6.9599999999999991</v>
      </c>
      <c r="P34" s="217">
        <f t="shared" si="6"/>
        <v>2.2632931572008466</v>
      </c>
      <c r="Q34" s="217">
        <f t="shared" si="7"/>
        <v>24</v>
      </c>
      <c r="R34" s="217">
        <f t="shared" si="8"/>
        <v>2.2487214422550341</v>
      </c>
      <c r="S34" s="172">
        <f t="shared" si="9"/>
        <v>422.47120335410182</v>
      </c>
      <c r="T34" s="172">
        <f t="shared" si="10"/>
        <v>24</v>
      </c>
      <c r="U34" s="217">
        <f t="shared" si="99"/>
        <v>1.4640928044046531</v>
      </c>
      <c r="V34" s="217">
        <f t="shared" si="11"/>
        <v>0.61200166475689377</v>
      </c>
      <c r="W34" s="217">
        <f t="shared" si="12"/>
        <v>0.89513139709671563</v>
      </c>
      <c r="X34" s="197">
        <f t="shared" si="13"/>
        <v>350</v>
      </c>
      <c r="Y34" s="443">
        <f t="shared" si="14"/>
        <v>350</v>
      </c>
      <c r="AA34" s="217">
        <f t="shared" si="15"/>
        <v>2.7755494217307022</v>
      </c>
      <c r="AB34" s="173">
        <f t="shared" si="16"/>
        <v>1.6969425873212007</v>
      </c>
      <c r="AC34" s="173">
        <f t="shared" si="17"/>
        <v>0.54976868227843745</v>
      </c>
      <c r="AD34" s="173"/>
      <c r="AE34" s="173">
        <f t="shared" si="18"/>
        <v>1.3586439851714256</v>
      </c>
      <c r="AF34" s="545">
        <f t="shared" si="100"/>
        <v>288.01095216766032</v>
      </c>
      <c r="AG34" s="528">
        <f t="shared" si="19"/>
        <v>0.35241715370918814</v>
      </c>
      <c r="AI34" s="173">
        <f t="shared" si="20"/>
        <v>2.0158488513355448</v>
      </c>
      <c r="AJ34" s="173">
        <f t="shared" si="21"/>
        <v>2.2222222222222223</v>
      </c>
      <c r="AK34" s="173">
        <f t="shared" si="22"/>
        <v>1.1645776869529487</v>
      </c>
      <c r="AM34" s="545">
        <f t="shared" si="23"/>
        <v>290</v>
      </c>
      <c r="AN34" s="460">
        <f t="shared" si="24"/>
        <v>288.01095216766032</v>
      </c>
      <c r="AP34">
        <f t="shared" si="25"/>
        <v>290</v>
      </c>
      <c r="AQ34" s="460">
        <f t="shared" si="26"/>
        <v>288.01095216766032</v>
      </c>
      <c r="AR34" s="460"/>
      <c r="AS34" s="5">
        <f t="shared" si="101"/>
        <v>3.4720901843269774</v>
      </c>
      <c r="AT34" s="5">
        <f t="shared" si="27"/>
        <v>0.92890539135788264</v>
      </c>
      <c r="AU34" s="5">
        <f t="shared" si="102"/>
        <v>2.5431847929690949</v>
      </c>
      <c r="AV34" s="5">
        <f t="shared" si="28"/>
        <v>1.3586439851714256</v>
      </c>
      <c r="AW34" s="173">
        <f t="shared" si="103"/>
        <v>0.26753492623865693</v>
      </c>
      <c r="AX34" s="173">
        <f t="shared" si="29"/>
        <v>7.11138153500396</v>
      </c>
      <c r="AY34" s="173">
        <f t="shared" si="30"/>
        <v>0.54283800466535093</v>
      </c>
      <c r="AZ34" s="173">
        <f t="shared" si="104"/>
        <v>13.100375201968381</v>
      </c>
      <c r="BA34" s="460">
        <f t="shared" si="31"/>
        <v>1.1224273478907747</v>
      </c>
      <c r="BB34" s="5">
        <f t="shared" si="32"/>
        <v>0.61658067507158498</v>
      </c>
      <c r="BC34" s="5"/>
      <c r="BD34" s="173">
        <f t="shared" si="105"/>
        <v>0.66361638757483343</v>
      </c>
      <c r="BE34" s="173">
        <f t="shared" si="33"/>
        <v>0.73239631966204088</v>
      </c>
      <c r="BF34" s="173"/>
      <c r="BG34" s="528">
        <f t="shared" si="34"/>
        <v>1.7615468394314861E-2</v>
      </c>
      <c r="BH34" s="528">
        <f t="shared" si="35"/>
        <v>0.58115105582045345</v>
      </c>
      <c r="BI34" s="528">
        <f t="shared" si="36"/>
        <v>0.27560367034354827</v>
      </c>
      <c r="BJ34" s="528">
        <f t="shared" si="37"/>
        <v>8.2085623132565594E-2</v>
      </c>
      <c r="BK34">
        <f t="shared" si="38"/>
        <v>1.0765358983848622E-2</v>
      </c>
      <c r="BL34" s="460">
        <f t="shared" si="106"/>
        <v>286.3690293273969</v>
      </c>
      <c r="BM34" s="528">
        <f t="shared" si="39"/>
        <v>0.68848995396426838</v>
      </c>
      <c r="BN34" s="460">
        <f t="shared" si="107"/>
        <v>688.48995396426835</v>
      </c>
      <c r="BO34" s="528">
        <f t="shared" si="108"/>
        <v>0.25172</v>
      </c>
      <c r="BP34" s="528"/>
      <c r="BR34" s="460">
        <f t="shared" si="109"/>
        <v>251.72</v>
      </c>
      <c r="BS34" s="528">
        <f t="shared" si="40"/>
        <v>1.3211601295736146E-2</v>
      </c>
      <c r="BT34" s="528">
        <f t="shared" si="41"/>
        <v>1.6092131071635072E-2</v>
      </c>
      <c r="BU34" s="528">
        <f t="shared" si="42"/>
        <v>0.10439999999999998</v>
      </c>
      <c r="BV34" s="528">
        <f t="shared" si="43"/>
        <v>0.14106733208315178</v>
      </c>
      <c r="BW34" s="528">
        <f t="shared" si="44"/>
        <v>0.28445526140015842</v>
      </c>
      <c r="BX34" s="460">
        <f t="shared" si="110"/>
        <v>425.52259348331023</v>
      </c>
      <c r="BY34" s="173">
        <f t="shared" si="45"/>
        <v>1.6521015767749752</v>
      </c>
      <c r="BZ34" s="5">
        <f t="shared" si="111"/>
        <v>6.9599999999999991</v>
      </c>
      <c r="CA34" s="173">
        <f t="shared" si="112"/>
        <v>0.8081651078953429</v>
      </c>
      <c r="CB34" s="5">
        <f t="shared" si="113"/>
        <v>80.816510789534291</v>
      </c>
      <c r="CE34" s="562">
        <f t="shared" si="46"/>
        <v>-50</v>
      </c>
      <c r="CF34">
        <f t="shared" si="47"/>
        <v>-50</v>
      </c>
      <c r="CG34" s="173">
        <f t="shared" si="48"/>
        <v>0.3953594234668088</v>
      </c>
      <c r="CI34" s="170">
        <v>29</v>
      </c>
      <c r="CJ34" s="217">
        <f t="shared" si="114"/>
        <v>0.28999999999999998</v>
      </c>
      <c r="CK34" s="217"/>
      <c r="CL34" s="217">
        <f t="shared" si="49"/>
        <v>6.9599999999999991</v>
      </c>
      <c r="CM34" s="541">
        <f t="shared" si="50"/>
        <v>24</v>
      </c>
      <c r="CN34" s="172">
        <f t="shared" si="51"/>
        <v>16.3415</v>
      </c>
      <c r="CO34" s="443">
        <f t="shared" si="52"/>
        <v>40.341499999999996</v>
      </c>
      <c r="CP34" s="443"/>
      <c r="CQ34" s="217">
        <f t="shared" si="53"/>
        <v>0.40507913686898112</v>
      </c>
      <c r="CR34" s="172">
        <f t="shared" si="54"/>
        <v>54.360539956785601</v>
      </c>
      <c r="CS34" s="172">
        <f t="shared" si="115"/>
        <v>6.9599999999999991</v>
      </c>
      <c r="CT34" s="217">
        <f t="shared" si="55"/>
        <v>2.2650224981994</v>
      </c>
      <c r="CU34" s="217">
        <f t="shared" si="56"/>
        <v>24</v>
      </c>
      <c r="CV34" s="217">
        <f t="shared" si="57"/>
        <v>2.250439649272117</v>
      </c>
      <c r="CW34" s="172">
        <f t="shared" si="58"/>
        <v>423.83050451207532</v>
      </c>
      <c r="CX34" s="172">
        <f t="shared" si="59"/>
        <v>24</v>
      </c>
      <c r="CY34" s="217">
        <f t="shared" si="60"/>
        <v>1.431818988464951</v>
      </c>
      <c r="CZ34" s="217">
        <f t="shared" si="61"/>
        <v>0.59659124519372975</v>
      </c>
      <c r="DA34" s="217">
        <f t="shared" si="62"/>
        <v>0.87618577759994565</v>
      </c>
      <c r="DB34" s="197">
        <f t="shared" si="63"/>
        <v>350</v>
      </c>
      <c r="DC34" s="443">
        <f t="shared" si="116"/>
        <v>350</v>
      </c>
      <c r="DE34" s="217">
        <f t="shared" si="64"/>
        <v>2.7776855099587272</v>
      </c>
      <c r="DF34" s="173">
        <f t="shared" si="65"/>
        <v>1.6997738946600542</v>
      </c>
      <c r="DG34" s="173">
        <f t="shared" si="66"/>
        <v>0.55110977087390545</v>
      </c>
      <c r="DH34" s="173"/>
      <c r="DI34" s="173">
        <f t="shared" si="67"/>
        <v>1.3598642855443031</v>
      </c>
      <c r="DJ34" s="545">
        <f t="shared" si="117"/>
        <v>287.75249999999988</v>
      </c>
      <c r="DK34" s="528">
        <f t="shared" si="68"/>
        <v>0.35273368606701955</v>
      </c>
      <c r="DM34" s="173">
        <f t="shared" si="69"/>
        <v>2.0149441679609881</v>
      </c>
      <c r="DN34" s="173">
        <f t="shared" si="70"/>
        <v>2.2222222222222223</v>
      </c>
      <c r="DO34" s="173">
        <f t="shared" si="71"/>
        <v>1.1644299999999999</v>
      </c>
      <c r="DQ34" s="545">
        <f t="shared" si="72"/>
        <v>290</v>
      </c>
      <c r="DR34" s="460">
        <f t="shared" si="73"/>
        <v>287.75249999999988</v>
      </c>
      <c r="DT34">
        <f t="shared" si="74"/>
        <v>290</v>
      </c>
      <c r="DU34" s="460">
        <f t="shared" si="75"/>
        <v>287.75249999999988</v>
      </c>
      <c r="DV34" s="460"/>
      <c r="DW34" s="5">
        <f t="shared" si="118"/>
        <v>3.4752087297243306</v>
      </c>
      <c r="DX34" s="5">
        <f t="shared" si="76"/>
        <v>0.92592592592592615</v>
      </c>
      <c r="DY34" s="5">
        <f t="shared" si="119"/>
        <v>2.5492828037984046</v>
      </c>
      <c r="DZ34" s="5">
        <f t="shared" si="77"/>
        <v>1.3598642855443031</v>
      </c>
      <c r="EA34" s="173">
        <f t="shared" si="120"/>
        <v>0.26643749999999994</v>
      </c>
      <c r="EB34" s="173">
        <f t="shared" si="78"/>
        <v>7.1049999999999986</v>
      </c>
      <c r="EC34" s="173">
        <f t="shared" si="79"/>
        <v>0.54365131944444456</v>
      </c>
      <c r="ED34" s="173">
        <f t="shared" si="121"/>
        <v>13.069038455127036</v>
      </c>
      <c r="EE34" s="460">
        <f t="shared" si="80"/>
        <v>1.1188271604938271</v>
      </c>
      <c r="EF34" s="5">
        <f t="shared" si="81"/>
        <v>0.61607667758461426</v>
      </c>
      <c r="EG34" s="5"/>
      <c r="EH34" s="173">
        <f t="shared" si="122"/>
        <v>0.66225391423047109</v>
      </c>
      <c r="EI34" s="173">
        <f t="shared" si="82"/>
        <v>0.73294477591925389</v>
      </c>
      <c r="EJ34" s="173"/>
      <c r="EK34" s="528">
        <f t="shared" si="83"/>
        <v>1.7543209876543207E-2</v>
      </c>
      <c r="EL34" s="528">
        <f t="shared" si="84"/>
        <v>0.7094002348124997</v>
      </c>
      <c r="EM34" s="528">
        <f t="shared" si="85"/>
        <v>5.7550499999999977E-2</v>
      </c>
      <c r="EN34" s="528">
        <f t="shared" si="86"/>
        <v>8.1952317412698747E-2</v>
      </c>
      <c r="EO34">
        <f t="shared" si="87"/>
        <v>1.0800000000000001E-2</v>
      </c>
      <c r="EP34" s="460">
        <f t="shared" si="123"/>
        <v>68.350499999999982</v>
      </c>
      <c r="EQ34" s="528">
        <f t="shared" si="88"/>
        <v>0.88567465691835245</v>
      </c>
      <c r="ER34" s="460">
        <f t="shared" si="124"/>
        <v>885.67465691835241</v>
      </c>
      <c r="ES34" s="528">
        <f t="shared" si="125"/>
        <v>0.25172</v>
      </c>
      <c r="ET34" s="528"/>
      <c r="EV34" s="460">
        <f t="shared" si="126"/>
        <v>251.72</v>
      </c>
      <c r="EW34" s="528">
        <f t="shared" si="89"/>
        <v>1.3157407407407404E-2</v>
      </c>
      <c r="EX34" s="528">
        <f t="shared" si="90"/>
        <v>1.6116241336419757E-2</v>
      </c>
      <c r="EY34" s="528">
        <f t="shared" si="91"/>
        <v>0.51699516744458218</v>
      </c>
      <c r="EZ34" s="528">
        <f t="shared" si="92"/>
        <v>0.55459328941893848</v>
      </c>
      <c r="FA34" s="528">
        <f t="shared" si="93"/>
        <v>0.28419999999999995</v>
      </c>
      <c r="FB34" s="460">
        <f t="shared" si="127"/>
        <v>838.79328941893846</v>
      </c>
      <c r="FC34" s="173">
        <f t="shared" si="128"/>
        <v>1.9761879463372909</v>
      </c>
      <c r="FD34" s="5">
        <f t="shared" si="129"/>
        <v>6.9599999999999991</v>
      </c>
      <c r="FE34" s="173">
        <f t="shared" si="130"/>
        <v>0.77885559724073639</v>
      </c>
      <c r="FF34" s="5">
        <f t="shared" si="131"/>
        <v>77.885559724073644</v>
      </c>
      <c r="FI34" s="562">
        <f t="shared" si="94"/>
        <v>-50</v>
      </c>
      <c r="FJ34">
        <f t="shared" si="95"/>
        <v>-50</v>
      </c>
      <c r="FL34">
        <f t="shared" si="96"/>
        <v>0.39130434782608692</v>
      </c>
    </row>
    <row r="35" spans="5:168">
      <c r="E35" s="170">
        <v>30</v>
      </c>
      <c r="F35" s="217">
        <f t="shared" si="97"/>
        <v>0.3</v>
      </c>
      <c r="G35" s="217"/>
      <c r="H35" s="217">
        <f t="shared" si="0"/>
        <v>7.1999999999999993</v>
      </c>
      <c r="I35" s="541">
        <f t="shared" si="1"/>
        <v>23.92301996410805</v>
      </c>
      <c r="J35" s="172">
        <f t="shared" si="2"/>
        <v>16.356177530509115</v>
      </c>
      <c r="K35" s="172">
        <f t="shared" si="3"/>
        <v>40.356177530509115</v>
      </c>
      <c r="L35" s="443"/>
      <c r="M35" s="217">
        <f t="shared" si="4"/>
        <v>0.40607233723486735</v>
      </c>
      <c r="N35" s="172">
        <f t="shared" si="5"/>
        <v>54.319035772820321</v>
      </c>
      <c r="O35" s="172">
        <f t="shared" si="98"/>
        <v>7.1999999999999993</v>
      </c>
      <c r="P35" s="217">
        <f t="shared" si="6"/>
        <v>2.2632931572008466</v>
      </c>
      <c r="Q35" s="217">
        <f t="shared" si="7"/>
        <v>24</v>
      </c>
      <c r="R35" s="217">
        <f t="shared" si="8"/>
        <v>2.2487214422550341</v>
      </c>
      <c r="S35" s="172">
        <f t="shared" si="9"/>
        <v>407.19627848347824</v>
      </c>
      <c r="T35" s="172">
        <f t="shared" si="10"/>
        <v>24</v>
      </c>
      <c r="U35" s="217">
        <f t="shared" si="99"/>
        <v>1.5145787631772272</v>
      </c>
      <c r="V35" s="217">
        <f t="shared" si="11"/>
        <v>0.63310517043816594</v>
      </c>
      <c r="W35" s="217">
        <f t="shared" si="12"/>
        <v>0.92599799699660224</v>
      </c>
      <c r="X35" s="197">
        <f t="shared" si="13"/>
        <v>350</v>
      </c>
      <c r="Y35" s="443">
        <f t="shared" si="14"/>
        <v>350</v>
      </c>
      <c r="AA35" s="217">
        <f t="shared" si="15"/>
        <v>2.7755494217307022</v>
      </c>
      <c r="AB35" s="173">
        <f t="shared" si="16"/>
        <v>1.6969425873212007</v>
      </c>
      <c r="AC35" s="173">
        <f t="shared" si="17"/>
        <v>0.54976868227843745</v>
      </c>
      <c r="AD35" s="173"/>
      <c r="AE35" s="173">
        <f t="shared" si="18"/>
        <v>1.3586439851714256</v>
      </c>
      <c r="AF35" s="545">
        <f t="shared" si="100"/>
        <v>297.94236431137278</v>
      </c>
      <c r="AG35" s="528">
        <f t="shared" si="19"/>
        <v>0.35241715370918814</v>
      </c>
      <c r="AI35" s="173">
        <f t="shared" si="20"/>
        <v>2.0503103023598483</v>
      </c>
      <c r="AJ35" s="173">
        <f t="shared" si="21"/>
        <v>2.2222222222222223</v>
      </c>
      <c r="AK35" s="173">
        <f t="shared" si="22"/>
        <v>1.1702527796064988</v>
      </c>
      <c r="AM35" s="545">
        <f t="shared" si="23"/>
        <v>300</v>
      </c>
      <c r="AN35" s="460">
        <f t="shared" si="24"/>
        <v>297.94236431137278</v>
      </c>
      <c r="AP35">
        <f t="shared" si="25"/>
        <v>300</v>
      </c>
      <c r="AQ35" s="460">
        <f t="shared" si="26"/>
        <v>297.94236431137278</v>
      </c>
      <c r="AR35" s="460"/>
      <c r="AS35" s="5">
        <f t="shared" si="101"/>
        <v>3.3563538448494112</v>
      </c>
      <c r="AT35" s="5">
        <f t="shared" si="27"/>
        <v>0.92890539135788264</v>
      </c>
      <c r="AU35" s="5">
        <f t="shared" si="102"/>
        <v>2.4274484534915288</v>
      </c>
      <c r="AV35" s="5">
        <f t="shared" si="28"/>
        <v>1.3586439851714256</v>
      </c>
      <c r="AW35" s="173">
        <f t="shared" si="103"/>
        <v>0.27676026852274854</v>
      </c>
      <c r="AX35" s="173">
        <f t="shared" si="29"/>
        <v>7.3566015879351321</v>
      </c>
      <c r="AY35" s="173">
        <f t="shared" si="30"/>
        <v>0.53600100099480752</v>
      </c>
      <c r="AZ35" s="173">
        <f t="shared" si="104"/>
        <v>13.724977330791214</v>
      </c>
      <c r="BA35" s="460">
        <f t="shared" si="31"/>
        <v>1.1611317391973532</v>
      </c>
      <c r="BB35" s="5">
        <f t="shared" si="32"/>
        <v>0.60881488803674133</v>
      </c>
      <c r="BC35" s="5"/>
      <c r="BD35" s="173">
        <f t="shared" si="105"/>
        <v>0.6749610792287658</v>
      </c>
      <c r="BE35" s="173">
        <f t="shared" si="33"/>
        <v>0.72776946661602449</v>
      </c>
      <c r="BF35" s="173"/>
      <c r="BG35" s="528">
        <f t="shared" si="34"/>
        <v>1.822289833894641E-2</v>
      </c>
      <c r="BH35" s="528">
        <f t="shared" si="35"/>
        <v>0.60119074740046918</v>
      </c>
      <c r="BI35" s="528">
        <f t="shared" si="36"/>
        <v>0.28510724518298103</v>
      </c>
      <c r="BJ35" s="528">
        <f t="shared" si="37"/>
        <v>8.4916161861274764E-2</v>
      </c>
      <c r="BK35">
        <f t="shared" si="38"/>
        <v>1.0765358983848622E-2</v>
      </c>
      <c r="BL35" s="460">
        <f t="shared" si="106"/>
        <v>295.87260416682966</v>
      </c>
      <c r="BM35" s="528">
        <f t="shared" si="39"/>
        <v>0.7123342268539623</v>
      </c>
      <c r="BN35" s="460">
        <f t="shared" si="107"/>
        <v>712.33422685396226</v>
      </c>
      <c r="BO35" s="528">
        <f t="shared" si="108"/>
        <v>0.26039999999999996</v>
      </c>
      <c r="BP35" s="528"/>
      <c r="BR35" s="460">
        <f t="shared" si="109"/>
        <v>260.39999999999998</v>
      </c>
      <c r="BS35" s="528">
        <f t="shared" si="40"/>
        <v>1.3667173754209809E-2</v>
      </c>
      <c r="BT35" s="528">
        <f t="shared" si="41"/>
        <v>1.5889451896157182E-2</v>
      </c>
      <c r="BU35" s="528">
        <f t="shared" si="42"/>
        <v>0.10799999999999998</v>
      </c>
      <c r="BV35" s="528">
        <f t="shared" si="43"/>
        <v>0.14499305624528261</v>
      </c>
      <c r="BW35" s="528">
        <f t="shared" si="44"/>
        <v>0.29426406351740531</v>
      </c>
      <c r="BX35" s="460">
        <f t="shared" si="110"/>
        <v>439.25711976268786</v>
      </c>
      <c r="BY35" s="173">
        <f t="shared" si="45"/>
        <v>1.7078639507834796</v>
      </c>
      <c r="BZ35" s="5">
        <f t="shared" si="111"/>
        <v>7.1999999999999993</v>
      </c>
      <c r="CA35" s="173">
        <f t="shared" si="112"/>
        <v>0.80827458072782232</v>
      </c>
      <c r="CB35" s="5">
        <f t="shared" si="113"/>
        <v>80.827458072782235</v>
      </c>
      <c r="CE35" s="562">
        <f t="shared" si="46"/>
        <v>-50</v>
      </c>
      <c r="CF35">
        <f t="shared" si="47"/>
        <v>-50</v>
      </c>
      <c r="CG35" s="173">
        <f t="shared" si="48"/>
        <v>0.40899250703462986</v>
      </c>
      <c r="CI35" s="170">
        <v>30</v>
      </c>
      <c r="CJ35" s="217">
        <f t="shared" si="114"/>
        <v>0.3</v>
      </c>
      <c r="CK35" s="217"/>
      <c r="CL35" s="217">
        <f t="shared" si="49"/>
        <v>7.1999999999999993</v>
      </c>
      <c r="CM35" s="541">
        <f t="shared" si="50"/>
        <v>24</v>
      </c>
      <c r="CN35" s="172">
        <f t="shared" si="51"/>
        <v>16.3415</v>
      </c>
      <c r="CO35" s="443">
        <f t="shared" si="52"/>
        <v>40.341499999999996</v>
      </c>
      <c r="CP35" s="443"/>
      <c r="CQ35" s="217">
        <f t="shared" si="53"/>
        <v>0.40507913686898112</v>
      </c>
      <c r="CR35" s="172">
        <f t="shared" si="54"/>
        <v>54.360539956785601</v>
      </c>
      <c r="CS35" s="172">
        <f t="shared" si="115"/>
        <v>7.1999999999999993</v>
      </c>
      <c r="CT35" s="217">
        <f t="shared" si="55"/>
        <v>2.2650224981994</v>
      </c>
      <c r="CU35" s="217">
        <f t="shared" si="56"/>
        <v>24</v>
      </c>
      <c r="CV35" s="217">
        <f t="shared" si="57"/>
        <v>2.250439649272117</v>
      </c>
      <c r="CW35" s="172">
        <f t="shared" si="58"/>
        <v>408.50642254426907</v>
      </c>
      <c r="CX35" s="172">
        <f t="shared" si="59"/>
        <v>24</v>
      </c>
      <c r="CY35" s="217">
        <f t="shared" si="60"/>
        <v>1.481192057032708</v>
      </c>
      <c r="CZ35" s="217">
        <f t="shared" si="61"/>
        <v>0.61716335709696168</v>
      </c>
      <c r="DA35" s="217">
        <f t="shared" si="62"/>
        <v>0.90639908027580585</v>
      </c>
      <c r="DB35" s="197">
        <f t="shared" si="63"/>
        <v>350</v>
      </c>
      <c r="DC35" s="443">
        <f t="shared" si="116"/>
        <v>350</v>
      </c>
      <c r="DE35" s="217">
        <f t="shared" si="64"/>
        <v>2.7776855099587272</v>
      </c>
      <c r="DF35" s="173">
        <f t="shared" si="65"/>
        <v>1.6997738946600542</v>
      </c>
      <c r="DG35" s="173">
        <f t="shared" si="66"/>
        <v>0.55110977087390545</v>
      </c>
      <c r="DH35" s="173"/>
      <c r="DI35" s="173">
        <f t="shared" si="67"/>
        <v>1.3598642855443031</v>
      </c>
      <c r="DJ35" s="545">
        <f t="shared" si="117"/>
        <v>297.6749999999999</v>
      </c>
      <c r="DK35" s="528">
        <f t="shared" si="68"/>
        <v>0.35273368606701955</v>
      </c>
      <c r="DM35" s="173">
        <f t="shared" si="69"/>
        <v>2.0493901531919194</v>
      </c>
      <c r="DN35" s="173">
        <f t="shared" si="70"/>
        <v>2.2222222222222223</v>
      </c>
      <c r="DO35" s="173">
        <f t="shared" si="71"/>
        <v>1.1700999999999999</v>
      </c>
      <c r="DQ35" s="545">
        <f t="shared" si="72"/>
        <v>300</v>
      </c>
      <c r="DR35" s="460">
        <f t="shared" si="73"/>
        <v>297.6749999999999</v>
      </c>
      <c r="DT35">
        <f t="shared" si="74"/>
        <v>300</v>
      </c>
      <c r="DU35" s="460">
        <f t="shared" si="75"/>
        <v>297.6749999999999</v>
      </c>
      <c r="DV35" s="460"/>
      <c r="DW35" s="5">
        <f t="shared" si="118"/>
        <v>3.3593684387335192</v>
      </c>
      <c r="DX35" s="5">
        <f t="shared" si="76"/>
        <v>0.92592592592592615</v>
      </c>
      <c r="DY35" s="5">
        <f t="shared" si="119"/>
        <v>2.4334425128075932</v>
      </c>
      <c r="DZ35" s="5">
        <f t="shared" si="77"/>
        <v>1.3598642855443031</v>
      </c>
      <c r="EA35" s="173">
        <f t="shared" si="120"/>
        <v>0.27562499999999995</v>
      </c>
      <c r="EB35" s="173">
        <f t="shared" si="78"/>
        <v>7.3499999999999988</v>
      </c>
      <c r="EC35" s="173">
        <f t="shared" si="79"/>
        <v>0.53684236111111117</v>
      </c>
      <c r="ED35" s="173">
        <f t="shared" si="121"/>
        <v>13.691169945657022</v>
      </c>
      <c r="EE35" s="460">
        <f t="shared" si="80"/>
        <v>1.1574074074074079</v>
      </c>
      <c r="EF35" s="5">
        <f t="shared" si="81"/>
        <v>0.60836062820189818</v>
      </c>
      <c r="EG35" s="5"/>
      <c r="EH35" s="173">
        <f t="shared" si="122"/>
        <v>0.67357531405456328</v>
      </c>
      <c r="EI35" s="173">
        <f t="shared" si="82"/>
        <v>0.72834043206417143</v>
      </c>
      <c r="EJ35" s="173"/>
      <c r="EK35" s="528">
        <f t="shared" si="83"/>
        <v>1.8148148148148142E-2</v>
      </c>
      <c r="EL35" s="528">
        <f t="shared" si="84"/>
        <v>0.73386231187499984</v>
      </c>
      <c r="EM35" s="528">
        <f t="shared" si="85"/>
        <v>5.9534999999999977E-2</v>
      </c>
      <c r="EN35" s="528">
        <f t="shared" si="86"/>
        <v>8.4778259392447E-2</v>
      </c>
      <c r="EO35">
        <f t="shared" si="87"/>
        <v>1.0800000000000001E-2</v>
      </c>
      <c r="EP35" s="460">
        <f t="shared" si="123"/>
        <v>70.33499999999998</v>
      </c>
      <c r="EQ35" s="528">
        <f t="shared" si="88"/>
        <v>0.91597339670217481</v>
      </c>
      <c r="ER35" s="460">
        <f t="shared" si="124"/>
        <v>915.9733967021748</v>
      </c>
      <c r="ES35" s="528">
        <f t="shared" si="125"/>
        <v>0.26039999999999996</v>
      </c>
      <c r="ET35" s="528"/>
      <c r="EV35" s="460">
        <f t="shared" si="126"/>
        <v>260.39999999999998</v>
      </c>
      <c r="EW35" s="528">
        <f t="shared" si="89"/>
        <v>1.3611111111111107E-2</v>
      </c>
      <c r="EX35" s="528">
        <f t="shared" si="90"/>
        <v>1.5914393549382719E-2</v>
      </c>
      <c r="EY35" s="528">
        <f t="shared" si="91"/>
        <v>0.56272294732446582</v>
      </c>
      <c r="EZ35" s="528">
        <f t="shared" si="92"/>
        <v>0.60075357730720558</v>
      </c>
      <c r="FA35" s="528">
        <f t="shared" si="93"/>
        <v>0.29399999999999998</v>
      </c>
      <c r="FB35" s="460">
        <f t="shared" si="127"/>
        <v>894.75357730720555</v>
      </c>
      <c r="FC35" s="173">
        <f t="shared" si="128"/>
        <v>2.0711269740093803</v>
      </c>
      <c r="FD35" s="5">
        <f t="shared" si="129"/>
        <v>7.1999999999999993</v>
      </c>
      <c r="FE35" s="173">
        <f t="shared" si="130"/>
        <v>0.77660461561840699</v>
      </c>
      <c r="FF35" s="5">
        <f t="shared" si="131"/>
        <v>77.660461561840705</v>
      </c>
      <c r="FI35" s="562">
        <f t="shared" si="94"/>
        <v>-50</v>
      </c>
      <c r="FJ35">
        <f t="shared" si="95"/>
        <v>-50</v>
      </c>
      <c r="FL35">
        <f t="shared" si="96"/>
        <v>0.40479760119940028</v>
      </c>
    </row>
    <row r="36" spans="5:168">
      <c r="E36" s="170">
        <v>31</v>
      </c>
      <c r="F36" s="217">
        <f t="shared" si="97"/>
        <v>0.31</v>
      </c>
      <c r="G36" s="217"/>
      <c r="H36" s="217">
        <f t="shared" si="0"/>
        <v>7.4399999999999995</v>
      </c>
      <c r="I36" s="541">
        <f t="shared" si="1"/>
        <v>23.92301996410805</v>
      </c>
      <c r="J36" s="172">
        <f t="shared" si="2"/>
        <v>16.356177530509115</v>
      </c>
      <c r="K36" s="172">
        <f t="shared" si="3"/>
        <v>40.356177530509115</v>
      </c>
      <c r="L36" s="443"/>
      <c r="M36" s="217">
        <f t="shared" si="4"/>
        <v>0.40607233723486735</v>
      </c>
      <c r="N36" s="172">
        <f t="shared" si="5"/>
        <v>54.319035772820321</v>
      </c>
      <c r="O36" s="172">
        <f t="shared" si="98"/>
        <v>7.4399999999999995</v>
      </c>
      <c r="P36" s="217">
        <f t="shared" si="6"/>
        <v>2.2632931572008466</v>
      </c>
      <c r="Q36" s="217">
        <f t="shared" si="7"/>
        <v>24</v>
      </c>
      <c r="R36" s="217">
        <f t="shared" si="8"/>
        <v>2.2487214422550341</v>
      </c>
      <c r="S36" s="172">
        <f t="shared" si="9"/>
        <v>392.90694429851686</v>
      </c>
      <c r="T36" s="172">
        <f t="shared" si="10"/>
        <v>24</v>
      </c>
      <c r="U36" s="217">
        <f t="shared" si="99"/>
        <v>1.5650647219498015</v>
      </c>
      <c r="V36" s="217">
        <f t="shared" si="11"/>
        <v>0.654208676119438</v>
      </c>
      <c r="W36" s="217">
        <f t="shared" si="12"/>
        <v>0.95686459689648906</v>
      </c>
      <c r="X36" s="197">
        <f t="shared" si="13"/>
        <v>350</v>
      </c>
      <c r="Y36" s="443">
        <f t="shared" si="14"/>
        <v>350</v>
      </c>
      <c r="AA36" s="217">
        <f t="shared" si="15"/>
        <v>2.7755494217307022</v>
      </c>
      <c r="AB36" s="173">
        <f t="shared" si="16"/>
        <v>1.6969425873212007</v>
      </c>
      <c r="AC36" s="173">
        <f t="shared" si="17"/>
        <v>0.54976868227843745</v>
      </c>
      <c r="AD36" s="173"/>
      <c r="AE36" s="173">
        <f t="shared" si="18"/>
        <v>1.3586439851714256</v>
      </c>
      <c r="AF36" s="545">
        <f t="shared" si="100"/>
        <v>307.87377645508519</v>
      </c>
      <c r="AG36" s="528">
        <f t="shared" si="19"/>
        <v>0.35241715370918814</v>
      </c>
      <c r="AI36" s="173">
        <f t="shared" si="20"/>
        <v>2.0842020248754753</v>
      </c>
      <c r="AJ36" s="173">
        <f t="shared" si="21"/>
        <v>2.2222222222222223</v>
      </c>
      <c r="AK36" s="173">
        <f t="shared" si="22"/>
        <v>1.1759278722600488</v>
      </c>
      <c r="AM36" s="545">
        <f t="shared" si="23"/>
        <v>310</v>
      </c>
      <c r="AN36" s="460">
        <f t="shared" si="24"/>
        <v>307.87377645508519</v>
      </c>
      <c r="AP36">
        <f t="shared" si="25"/>
        <v>310</v>
      </c>
      <c r="AQ36" s="460">
        <f t="shared" si="26"/>
        <v>307.87377645508519</v>
      </c>
      <c r="AR36" s="460"/>
      <c r="AS36" s="5">
        <f t="shared" si="101"/>
        <v>3.2480843659833014</v>
      </c>
      <c r="AT36" s="5">
        <f t="shared" si="27"/>
        <v>0.92890539135788264</v>
      </c>
      <c r="AU36" s="5">
        <f t="shared" si="102"/>
        <v>2.3191789746254186</v>
      </c>
      <c r="AV36" s="5">
        <f t="shared" si="28"/>
        <v>1.3586439851714256</v>
      </c>
      <c r="AW36" s="173">
        <f t="shared" si="103"/>
        <v>0.28598561080684015</v>
      </c>
      <c r="AX36" s="173">
        <f t="shared" si="29"/>
        <v>7.6018216408663024</v>
      </c>
      <c r="AY36" s="173">
        <f t="shared" si="30"/>
        <v>0.52916399732426411</v>
      </c>
      <c r="AZ36" s="173">
        <f t="shared" si="104"/>
        <v>14.365719662156106</v>
      </c>
      <c r="BA36" s="460">
        <f t="shared" si="31"/>
        <v>1.1998361305039318</v>
      </c>
      <c r="BB36" s="5">
        <f t="shared" si="32"/>
        <v>0.60104910100189757</v>
      </c>
      <c r="BC36" s="5"/>
      <c r="BD36" s="173">
        <f t="shared" si="105"/>
        <v>0.68611821655560845</v>
      </c>
      <c r="BE36" s="173">
        <f t="shared" si="33"/>
        <v>0.72311300916429599</v>
      </c>
      <c r="BF36" s="173"/>
      <c r="BG36" s="528">
        <f t="shared" si="34"/>
        <v>1.8830328283577953E-2</v>
      </c>
      <c r="BH36" s="528">
        <f t="shared" si="35"/>
        <v>0.6212304389804848</v>
      </c>
      <c r="BI36" s="528">
        <f t="shared" si="36"/>
        <v>0.29461082002241368</v>
      </c>
      <c r="BJ36" s="528">
        <f t="shared" si="37"/>
        <v>8.774670058998392E-2</v>
      </c>
      <c r="BK36">
        <f t="shared" si="38"/>
        <v>1.0765358983848622E-2</v>
      </c>
      <c r="BL36" s="460">
        <f t="shared" si="106"/>
        <v>305.3761790062623</v>
      </c>
      <c r="BM36" s="528">
        <f t="shared" si="39"/>
        <v>0.7361854133419814</v>
      </c>
      <c r="BN36" s="460">
        <f t="shared" si="107"/>
        <v>736.18541334198142</v>
      </c>
      <c r="BO36" s="528">
        <f t="shared" si="108"/>
        <v>0.26907999999999999</v>
      </c>
      <c r="BP36" s="528"/>
      <c r="BR36" s="460">
        <f t="shared" si="109"/>
        <v>269.08</v>
      </c>
      <c r="BS36" s="528">
        <f t="shared" si="40"/>
        <v>1.4122746212683465E-2</v>
      </c>
      <c r="BT36" s="528">
        <f t="shared" si="41"/>
        <v>1.5686772720679296E-2</v>
      </c>
      <c r="BU36" s="528">
        <f t="shared" si="42"/>
        <v>0.11159999999999999</v>
      </c>
      <c r="BV36" s="528">
        <f t="shared" si="43"/>
        <v>0.14891893963341288</v>
      </c>
      <c r="BW36" s="528">
        <f t="shared" si="44"/>
        <v>0.30407286563465213</v>
      </c>
      <c r="BX36" s="460">
        <f t="shared" si="110"/>
        <v>452.99180526806504</v>
      </c>
      <c r="BY36" s="173">
        <f t="shared" si="45"/>
        <v>1.7636333976163088</v>
      </c>
      <c r="BZ36" s="5">
        <f t="shared" si="111"/>
        <v>7.4399999999999995</v>
      </c>
      <c r="CA36" s="173">
        <f t="shared" si="112"/>
        <v>0.80837639642697201</v>
      </c>
      <c r="CB36" s="5">
        <f t="shared" si="113"/>
        <v>80.837639642697198</v>
      </c>
      <c r="CE36" s="562">
        <f t="shared" si="46"/>
        <v>-50</v>
      </c>
      <c r="CF36">
        <f t="shared" si="47"/>
        <v>-50</v>
      </c>
      <c r="CG36" s="173">
        <f t="shared" si="48"/>
        <v>0.42262559060245081</v>
      </c>
      <c r="CI36" s="170">
        <v>31</v>
      </c>
      <c r="CJ36" s="217">
        <f t="shared" si="114"/>
        <v>0.31</v>
      </c>
      <c r="CK36" s="217"/>
      <c r="CL36" s="217">
        <f t="shared" si="49"/>
        <v>7.4399999999999995</v>
      </c>
      <c r="CM36" s="541">
        <f t="shared" si="50"/>
        <v>24</v>
      </c>
      <c r="CN36" s="172">
        <f t="shared" si="51"/>
        <v>16.3415</v>
      </c>
      <c r="CO36" s="443">
        <f t="shared" si="52"/>
        <v>40.341499999999996</v>
      </c>
      <c r="CP36" s="443"/>
      <c r="CQ36" s="217">
        <f t="shared" si="53"/>
        <v>0.40507913686898112</v>
      </c>
      <c r="CR36" s="172">
        <f t="shared" si="54"/>
        <v>54.360539956785601</v>
      </c>
      <c r="CS36" s="172">
        <f t="shared" si="115"/>
        <v>7.4399999999999995</v>
      </c>
      <c r="CT36" s="217">
        <f t="shared" si="55"/>
        <v>2.2650224981994</v>
      </c>
      <c r="CU36" s="217">
        <f t="shared" si="56"/>
        <v>24</v>
      </c>
      <c r="CV36" s="217">
        <f t="shared" si="57"/>
        <v>2.250439649272117</v>
      </c>
      <c r="CW36" s="172">
        <f t="shared" si="58"/>
        <v>394.17110268929889</v>
      </c>
      <c r="CX36" s="172">
        <f t="shared" si="59"/>
        <v>24</v>
      </c>
      <c r="CY36" s="217">
        <f t="shared" si="60"/>
        <v>1.5305651256004649</v>
      </c>
      <c r="CZ36" s="217">
        <f t="shared" si="61"/>
        <v>0.63773546900019373</v>
      </c>
      <c r="DA36" s="217">
        <f t="shared" si="62"/>
        <v>0.93661238295166604</v>
      </c>
      <c r="DB36" s="197">
        <f t="shared" si="63"/>
        <v>350</v>
      </c>
      <c r="DC36" s="443">
        <f t="shared" si="116"/>
        <v>350</v>
      </c>
      <c r="DE36" s="217">
        <f t="shared" si="64"/>
        <v>2.7776855099587272</v>
      </c>
      <c r="DF36" s="173">
        <f t="shared" si="65"/>
        <v>1.6997738946600542</v>
      </c>
      <c r="DG36" s="173">
        <f t="shared" si="66"/>
        <v>0.55110977087390545</v>
      </c>
      <c r="DH36" s="173"/>
      <c r="DI36" s="173">
        <f t="shared" si="67"/>
        <v>1.3598642855443031</v>
      </c>
      <c r="DJ36" s="545">
        <f t="shared" si="117"/>
        <v>307.59749999999991</v>
      </c>
      <c r="DK36" s="528">
        <f t="shared" si="68"/>
        <v>0.35273368606701955</v>
      </c>
      <c r="DM36" s="173">
        <f t="shared" si="69"/>
        <v>2.0832666655999654</v>
      </c>
      <c r="DN36" s="173">
        <f t="shared" si="70"/>
        <v>2.2222222222222223</v>
      </c>
      <c r="DO36" s="173">
        <f t="shared" si="71"/>
        <v>1.17577</v>
      </c>
      <c r="DQ36" s="545">
        <f t="shared" si="72"/>
        <v>310</v>
      </c>
      <c r="DR36" s="460">
        <f t="shared" si="73"/>
        <v>307.59749999999991</v>
      </c>
      <c r="DT36">
        <f t="shared" si="74"/>
        <v>310</v>
      </c>
      <c r="DU36" s="460">
        <f t="shared" si="75"/>
        <v>307.59749999999991</v>
      </c>
      <c r="DV36" s="460"/>
      <c r="DW36" s="5">
        <f t="shared" si="118"/>
        <v>3.2510017149034054</v>
      </c>
      <c r="DX36" s="5">
        <f t="shared" si="76"/>
        <v>0.92592592592592615</v>
      </c>
      <c r="DY36" s="5">
        <f t="shared" si="119"/>
        <v>2.3250757889774794</v>
      </c>
      <c r="DZ36" s="5">
        <f t="shared" si="77"/>
        <v>1.3598642855443031</v>
      </c>
      <c r="EA36" s="173">
        <f t="shared" si="120"/>
        <v>0.28481250000000002</v>
      </c>
      <c r="EB36" s="173">
        <f t="shared" si="78"/>
        <v>7.5949999999999998</v>
      </c>
      <c r="EC36" s="173">
        <f t="shared" si="79"/>
        <v>0.53003340277777777</v>
      </c>
      <c r="ED36" s="173">
        <f t="shared" si="121"/>
        <v>14.329285588788233</v>
      </c>
      <c r="EE36" s="460">
        <f t="shared" si="80"/>
        <v>1.195987654320988</v>
      </c>
      <c r="EF36" s="5">
        <f t="shared" si="81"/>
        <v>0.6006445788191821</v>
      </c>
      <c r="EG36" s="5"/>
      <c r="EH36" s="173">
        <f t="shared" si="122"/>
        <v>0.68470954462007261</v>
      </c>
      <c r="EI36" s="173">
        <f t="shared" si="82"/>
        <v>0.72370679519507264</v>
      </c>
      <c r="EJ36" s="173"/>
      <c r="EK36" s="528">
        <f t="shared" si="83"/>
        <v>1.8753086419753089E-2</v>
      </c>
      <c r="EL36" s="528">
        <f t="shared" si="84"/>
        <v>0.75832438893749976</v>
      </c>
      <c r="EM36" s="528">
        <f t="shared" si="85"/>
        <v>6.1519499999999984E-2</v>
      </c>
      <c r="EN36" s="528">
        <f t="shared" si="86"/>
        <v>8.7604201372195226E-2</v>
      </c>
      <c r="EO36">
        <f t="shared" si="87"/>
        <v>1.0800000000000001E-2</v>
      </c>
      <c r="EP36" s="460">
        <f t="shared" si="123"/>
        <v>72.319499999999977</v>
      </c>
      <c r="EQ36" s="528">
        <f t="shared" si="88"/>
        <v>0.94628088534631527</v>
      </c>
      <c r="ER36" s="460">
        <f t="shared" si="124"/>
        <v>946.28088534631524</v>
      </c>
      <c r="ES36" s="528">
        <f t="shared" si="125"/>
        <v>0.26907999999999999</v>
      </c>
      <c r="ET36" s="528"/>
      <c r="EV36" s="460">
        <f t="shared" si="126"/>
        <v>269.08</v>
      </c>
      <c r="EW36" s="528">
        <f t="shared" si="89"/>
        <v>1.4064814814814816E-2</v>
      </c>
      <c r="EX36" s="528">
        <f t="shared" si="90"/>
        <v>1.5712545762345684E-2</v>
      </c>
      <c r="EY36" s="528">
        <f t="shared" si="91"/>
        <v>0.61079535186901968</v>
      </c>
      <c r="EZ36" s="528">
        <f t="shared" si="92"/>
        <v>0.64926595309636459</v>
      </c>
      <c r="FA36" s="528">
        <f t="shared" si="93"/>
        <v>0.30380000000000001</v>
      </c>
      <c r="FB36" s="460">
        <f t="shared" si="127"/>
        <v>953.06595309636452</v>
      </c>
      <c r="FC36" s="173">
        <f t="shared" si="128"/>
        <v>2.1684268384426799</v>
      </c>
      <c r="FD36" s="5">
        <f t="shared" si="129"/>
        <v>7.4399999999999995</v>
      </c>
      <c r="FE36" s="173">
        <f t="shared" si="130"/>
        <v>0.7743203049882269</v>
      </c>
      <c r="FF36" s="5">
        <f t="shared" si="131"/>
        <v>77.432030498822684</v>
      </c>
      <c r="FI36" s="562">
        <f t="shared" si="94"/>
        <v>-50</v>
      </c>
      <c r="FJ36">
        <f t="shared" si="95"/>
        <v>-50</v>
      </c>
      <c r="FL36">
        <f t="shared" si="96"/>
        <v>0.41829085457271359</v>
      </c>
    </row>
    <row r="37" spans="5:168">
      <c r="E37" s="170">
        <v>32</v>
      </c>
      <c r="F37" s="217">
        <f t="shared" si="97"/>
        <v>0.32</v>
      </c>
      <c r="G37" s="217"/>
      <c r="H37" s="217">
        <f t="shared" ref="H37:H68" si="132">F37*Vout</f>
        <v>7.68</v>
      </c>
      <c r="I37" s="541">
        <f t="shared" ref="I37:I68" si="133">Vin-F37*(Rdcr_pri+RON/1000)/CG37/Nps</f>
        <v>23.92301996410805</v>
      </c>
      <c r="J37" s="172">
        <f t="shared" ref="J37:J68" si="134">(T37+Vfwd1+F37/CG37*Rdcr_sec)*Nps</f>
        <v>16.356177530509115</v>
      </c>
      <c r="K37" s="172">
        <f t="shared" ref="K37:K68" si="135">(Vout+Vfwd1+F37/CG37*Rdcr_sec)*Nps+VIN_nom</f>
        <v>40.356177530509115</v>
      </c>
      <c r="L37" s="443"/>
      <c r="M37" s="217">
        <f t="shared" ref="M37:M68" si="136">(Vout+Vfwd1+F37/FL37*Rdcr_sec)*Nps/((Vout+Vfwd1+F37/FL37*Rdcr_sec)*Nps+I37)</f>
        <v>0.40607233723486735</v>
      </c>
      <c r="N37" s="172">
        <f t="shared" ref="N37:N68" si="137">M37*I37*(Isw_max+VIN_nom/Lmag*ILIM_delay)*0.5*Efficiency</f>
        <v>54.319035772820321</v>
      </c>
      <c r="O37" s="172">
        <f t="shared" si="98"/>
        <v>7.68</v>
      </c>
      <c r="P37" s="217">
        <f t="shared" ref="P37:P68" si="138">N37/Vout</f>
        <v>2.2632931572008466</v>
      </c>
      <c r="Q37" s="217">
        <f t="shared" ref="Q37:Q68" si="139">MIN(Vout,N37/F37)</f>
        <v>24</v>
      </c>
      <c r="R37" s="217">
        <f t="shared" ref="R37:R68" si="140">Isw_max/2*I37*Nps*(Q37+Vfwd1+F37/FL37*Rdcr_sec)/Q37/(I37+Nps*(Q37+Vfwd1+F37/FL37*Rdcr_sec))</f>
        <v>2.2487214422550341</v>
      </c>
      <c r="S37" s="172">
        <f t="shared" ref="S37:S68" si="141">(SQRT(Isw_max^2*Nps^2*I37^2+4*Isw_max*F37/Efficiency*(Nps^2*Vfwd1*I37-Nps*I37^2)+4*(F37/Efficiency)^2*Nps^2*Vfwd1^2+8*(F37/Efficiency)^2*Nps*Vfwd1*I37+4*(F37/Efficiency)^2*I37^2)-2*F37/Efficiency*I37-2*F37/Efficiency*Nps*Vfwd1+Isw_max*Nps*I37)/(4*F37/Efficiency*Nps)</f>
        <v>379.51080261113935</v>
      </c>
      <c r="T37" s="172">
        <f t="shared" ref="T37:T68" si="142">MIN(Vout, S37)</f>
        <v>24</v>
      </c>
      <c r="U37" s="217">
        <f t="shared" ref="U37:U68" si="143">MIN(2*(Vout+Vfwd1+F37/FL37*Rdcr_sec)*F37/(I37*M37), Isw_max)</f>
        <v>1.6155506807223758</v>
      </c>
      <c r="V37" s="217">
        <f t="shared" si="11"/>
        <v>0.6753121818007104</v>
      </c>
      <c r="W37" s="217">
        <f t="shared" ref="W37:W68" si="144">L*U37/J37*1000000</f>
        <v>0.98773119679637589</v>
      </c>
      <c r="X37" s="197">
        <f t="shared" ref="X37:X68" si="145">IF(1/((350000*L)*(1/I37+1/J37))&gt;Isw_min, 350, 0.001/((Isw_min*L)*(1/I37+1/J37)))</f>
        <v>350</v>
      </c>
      <c r="Y37" s="443">
        <f t="shared" si="14"/>
        <v>350</v>
      </c>
      <c r="AA37" s="217">
        <f t="shared" ref="AA37:AA68" si="146">1/((X37*1000*L)*(1/I37+1/J37))</f>
        <v>2.7755494217307022</v>
      </c>
      <c r="AB37" s="173">
        <f t="shared" ref="AB37:AB68" si="147">L*AA37/J37*1000000</f>
        <v>1.6969425873212007</v>
      </c>
      <c r="AC37" s="173">
        <f t="shared" ref="AC37:AC68" si="148">0.5*AB37*AA37*Nps*X37/1000</f>
        <v>0.54976868227843745</v>
      </c>
      <c r="AD37" s="173"/>
      <c r="AE37" s="173">
        <f t="shared" ref="AE37:AE68" si="149">L*Isw_min/J37*1000000</f>
        <v>1.3586439851714256</v>
      </c>
      <c r="AF37" s="545">
        <f t="shared" ref="AF37:AF68" si="150">MAX(12, F37/(0.5*AE37/1000000*Isw_min*Nps)/1000)</f>
        <v>317.80518859879766</v>
      </c>
      <c r="AG37" s="528">
        <f t="shared" ref="AG37:AG68" si="151">0.5*AE37/1000000*Isw_min*Nps*X37*1000</f>
        <v>0.35241715370918814</v>
      </c>
      <c r="AI37" s="173">
        <f t="shared" ref="AI37:AI68" si="152">SQRT(F37/Efficiency/(0.5*L/J37*Fsw_DCM*Nps))</f>
        <v>2.1175513748259163</v>
      </c>
      <c r="AJ37" s="173">
        <f t="shared" ref="AJ37:AJ71" si="153">MAX(IF(F37&gt;AC37,U37,AI37),Isw_min)</f>
        <v>2.2222222222222223</v>
      </c>
      <c r="AK37" s="173">
        <f t="shared" ref="AK37:AK68" si="154">IF(F37&gt;AG37, (AJ37-Isw_min)/1.08*0.8+1.2, AF37*0.2/350+1)</f>
        <v>1.1816029649135986</v>
      </c>
      <c r="AM37" s="545">
        <f t="shared" ref="AM37:AM68" si="155">F37*1000</f>
        <v>320</v>
      </c>
      <c r="AN37" s="460">
        <f t="shared" ref="AN37:AN68" si="156">IF(F37&gt;AG37, Y37, AF37)</f>
        <v>317.80518859879766</v>
      </c>
      <c r="AP37">
        <f t="shared" ref="AP37:AP68" si="157">IF(H37&gt;N37, "",AM37)</f>
        <v>320</v>
      </c>
      <c r="AQ37" s="460">
        <f t="shared" ref="AQ37:AQ68" si="158">IF(H37&gt;N37, "",AN37)</f>
        <v>317.80518859879766</v>
      </c>
      <c r="AR37" s="460"/>
      <c r="AS37" s="5">
        <f t="shared" si="101"/>
        <v>3.1465817295463223</v>
      </c>
      <c r="AT37" s="5">
        <f t="shared" ref="AT37:AT68" si="159">L*AJ37/I37*1000000</f>
        <v>0.92890539135788264</v>
      </c>
      <c r="AU37" s="5">
        <f t="shared" si="102"/>
        <v>2.2176763381884399</v>
      </c>
      <c r="AV37" s="5">
        <f t="shared" ref="AV37:AV68" si="160">L*AJ37/J37*1000000</f>
        <v>1.3586439851714256</v>
      </c>
      <c r="AW37" s="173">
        <f t="shared" si="103"/>
        <v>0.29521095309093187</v>
      </c>
      <c r="AX37" s="173">
        <f t="shared" ref="AX37:AX68" si="161">0.5*L*AJ37^2*AN37*1000</f>
        <v>7.8470416937974754</v>
      </c>
      <c r="AY37" s="173">
        <f t="shared" ref="AY37:AY68" si="162">AJ37*Nps/2*(1-AW37)</f>
        <v>0.52232699365372048</v>
      </c>
      <c r="AZ37" s="173">
        <f t="shared" si="104"/>
        <v>15.02323599802256</v>
      </c>
      <c r="BA37" s="460">
        <f t="shared" ref="BA37:BA68" si="163">F37*AT37/Vout_ripple*1000</f>
        <v>1.2385405218105103</v>
      </c>
      <c r="BB37" s="5">
        <f t="shared" ref="BB37:BB68" si="164">H37/Efficiency/I37*AU37/Vinripple1</f>
        <v>0.5932833139670538</v>
      </c>
      <c r="BC37" s="5"/>
      <c r="BD37" s="173">
        <f t="shared" si="105"/>
        <v>0.69709680511765193</v>
      </c>
      <c r="BE37" s="173">
        <f t="shared" ref="BE37:BE68" si="165">AJ37*Nps*SQRT((1-AW37)/3)</f>
        <v>0.71842637166707179</v>
      </c>
      <c r="BF37" s="173"/>
      <c r="BG37" s="528">
        <f t="shared" ref="BG37:BG68" si="166">Rdson*BD37^2</f>
        <v>1.9437758228209503E-2</v>
      </c>
      <c r="BH37" s="528">
        <f t="shared" ref="BH37:BH68" si="167">0.5*K37*AJ37*AN37*1000*Tfall</f>
        <v>0.64127013056050053</v>
      </c>
      <c r="BI37" s="528">
        <f t="shared" ref="BI37:BI68" si="168">Qg*Vdd*AN37*1000*0+Qg*I37*AN37*1000</f>
        <v>0.30411439486184644</v>
      </c>
      <c r="BJ37" s="528">
        <f t="shared" ref="BJ37:BJ68" si="169">0.5*(Coss+Csw)*K37^2*AN37*1000</f>
        <v>9.057723931869309E-2</v>
      </c>
      <c r="BK37">
        <f t="shared" ref="BK37:BK68" si="170">I37*IQ</f>
        <v>1.0765358983848622E-2</v>
      </c>
      <c r="BL37" s="460">
        <f t="shared" si="106"/>
        <v>314.87975384569506</v>
      </c>
      <c r="BM37" s="528">
        <f t="shared" ref="BM37:BM68" si="171">(BH37+BI37*0+BJ37+BK37*0+BG37*(1+RdsonTC*(Ta-25)))/(1-BG37*RdsonTC*ThetaJA)</f>
        <v>0.76004351643563739</v>
      </c>
      <c r="BN37" s="460">
        <f t="shared" si="107"/>
        <v>760.04351643563734</v>
      </c>
      <c r="BO37" s="528">
        <f t="shared" ref="BO37:BO68" si="172">Vfwd2*F37*(1+Diode_TC/1000*(Ta-25))</f>
        <v>0.27775999999999995</v>
      </c>
      <c r="BP37" s="528"/>
      <c r="BR37" s="460">
        <f t="shared" si="109"/>
        <v>277.75999999999993</v>
      </c>
      <c r="BS37" s="528">
        <f t="shared" ref="BS37:BS68" si="173">Rdcr_pri*BD37^2</f>
        <v>1.4578318671157126E-2</v>
      </c>
      <c r="BT37" s="528">
        <f t="shared" ref="BT37:BT68" si="174">Rdcr_sec*BE37^2</f>
        <v>1.5484093545201407E-2</v>
      </c>
      <c r="BU37" s="528">
        <f t="shared" ref="BU37:BU68" si="175">AJ37^2.5*AN37^2.5*k_core*0+BZ37*0.015</f>
        <v>0.1152</v>
      </c>
      <c r="BV37" s="528">
        <f t="shared" ref="BV37:BV68" si="176">(BU37+(BS37+BT37)*(1+Ltc*(Ta-25)))/(1-(BS37+BT37)*Ltc*ThetaCa)</f>
        <v>0.15284498225723009</v>
      </c>
      <c r="BW37" s="528">
        <f t="shared" ref="BW37:BW68" si="177">0.5*Lleak*0.000000001*AJ37^2*AN37*1000</f>
        <v>0.31388166775189896</v>
      </c>
      <c r="BX37" s="460">
        <f t="shared" si="110"/>
        <v>466.72665000912906</v>
      </c>
      <c r="BY37" s="173">
        <f t="shared" si="45"/>
        <v>1.8194099202904614</v>
      </c>
      <c r="BZ37" s="5">
        <f t="shared" si="111"/>
        <v>7.68</v>
      </c>
      <c r="CA37" s="173">
        <f t="shared" si="112"/>
        <v>0.8084712697360017</v>
      </c>
      <c r="CB37" s="5">
        <f t="shared" si="113"/>
        <v>80.847126973600169</v>
      </c>
      <c r="CE37" s="562">
        <f t="shared" ref="CE37:CE68" si="178">IF(ABS(F37-Ioutmax_Vinnom)&lt;Iout/200, AN37, -50)</f>
        <v>-50</v>
      </c>
      <c r="CF37">
        <f t="shared" ref="CF37:CF68" si="179">IF(ABS(F37-Ioutmax_Vinnom)&lt;Iout/200, N37*CA37, -50)</f>
        <v>-50</v>
      </c>
      <c r="CG37" s="173">
        <f t="shared" ref="CG37:CG68" si="180">MIN(SQRT(2*DU37*1000*Ls1_*CL37)/CU37,1-EA37-0.00000005*DU37*1000)</f>
        <v>0.43625867417027187</v>
      </c>
      <c r="CI37" s="170">
        <v>32</v>
      </c>
      <c r="CJ37" s="217">
        <f t="shared" si="114"/>
        <v>0.32</v>
      </c>
      <c r="CK37" s="217"/>
      <c r="CL37" s="217">
        <f t="shared" si="49"/>
        <v>7.68</v>
      </c>
      <c r="CM37" s="541">
        <f t="shared" si="50"/>
        <v>24</v>
      </c>
      <c r="CN37" s="172">
        <f t="shared" si="51"/>
        <v>16.3415</v>
      </c>
      <c r="CO37" s="443">
        <f t="shared" si="52"/>
        <v>40.341499999999996</v>
      </c>
      <c r="CP37" s="443"/>
      <c r="CQ37" s="217">
        <f t="shared" si="53"/>
        <v>0.40507913686898112</v>
      </c>
      <c r="CR37" s="172">
        <f t="shared" si="54"/>
        <v>54.360539956785601</v>
      </c>
      <c r="CS37" s="172">
        <f t="shared" si="115"/>
        <v>7.68</v>
      </c>
      <c r="CT37" s="217">
        <f t="shared" si="55"/>
        <v>2.2650224981994</v>
      </c>
      <c r="CU37" s="217">
        <f t="shared" si="56"/>
        <v>24</v>
      </c>
      <c r="CV37" s="217">
        <f t="shared" si="57"/>
        <v>2.250439649272117</v>
      </c>
      <c r="CW37" s="172">
        <f t="shared" si="58"/>
        <v>380.73184943786561</v>
      </c>
      <c r="CX37" s="172">
        <f t="shared" si="59"/>
        <v>24</v>
      </c>
      <c r="CY37" s="217">
        <f t="shared" si="60"/>
        <v>1.579938194168222</v>
      </c>
      <c r="CZ37" s="217">
        <f t="shared" si="61"/>
        <v>0.65830758090342589</v>
      </c>
      <c r="DA37" s="217">
        <f t="shared" si="62"/>
        <v>0.96682568562752635</v>
      </c>
      <c r="DB37" s="197">
        <f t="shared" si="63"/>
        <v>350</v>
      </c>
      <c r="DC37" s="443">
        <f t="shared" si="116"/>
        <v>350</v>
      </c>
      <c r="DE37" s="217">
        <f t="shared" si="64"/>
        <v>2.7776855099587272</v>
      </c>
      <c r="DF37" s="173">
        <f t="shared" si="65"/>
        <v>1.6997738946600542</v>
      </c>
      <c r="DG37" s="173">
        <f t="shared" si="66"/>
        <v>0.55110977087390545</v>
      </c>
      <c r="DH37" s="173"/>
      <c r="DI37" s="173">
        <f t="shared" si="67"/>
        <v>1.3598642855443031</v>
      </c>
      <c r="DJ37" s="545">
        <f t="shared" si="117"/>
        <v>317.51999999999987</v>
      </c>
      <c r="DK37" s="528">
        <f t="shared" si="68"/>
        <v>0.35273368606701955</v>
      </c>
      <c r="DM37" s="173">
        <f t="shared" si="69"/>
        <v>2.1166010488516722</v>
      </c>
      <c r="DN37" s="173">
        <f t="shared" si="70"/>
        <v>2.2222222222222223</v>
      </c>
      <c r="DO37" s="173">
        <f t="shared" si="71"/>
        <v>1.1814399999999998</v>
      </c>
      <c r="DQ37" s="545">
        <f t="shared" si="72"/>
        <v>320</v>
      </c>
      <c r="DR37" s="460">
        <f t="shared" si="73"/>
        <v>317.51999999999987</v>
      </c>
      <c r="DT37">
        <f t="shared" si="74"/>
        <v>320</v>
      </c>
      <c r="DU37" s="460">
        <f t="shared" si="75"/>
        <v>317.51999999999987</v>
      </c>
      <c r="DV37" s="460"/>
      <c r="DW37" s="5">
        <f t="shared" si="118"/>
        <v>3.1494079113126747</v>
      </c>
      <c r="DX37" s="5">
        <f t="shared" si="76"/>
        <v>0.92592592592592615</v>
      </c>
      <c r="DY37" s="5">
        <f t="shared" si="119"/>
        <v>2.2234819853867487</v>
      </c>
      <c r="DZ37" s="5">
        <f t="shared" si="77"/>
        <v>1.3598642855443031</v>
      </c>
      <c r="EA37" s="173">
        <f t="shared" si="120"/>
        <v>0.29399999999999993</v>
      </c>
      <c r="EB37" s="173">
        <f t="shared" si="78"/>
        <v>7.8399999999999981</v>
      </c>
      <c r="EC37" s="173">
        <f t="shared" si="79"/>
        <v>0.52322444444444449</v>
      </c>
      <c r="ED37" s="173">
        <f t="shared" si="121"/>
        <v>14.984009411724728</v>
      </c>
      <c r="EE37" s="460">
        <f t="shared" si="80"/>
        <v>1.2345679012345683</v>
      </c>
      <c r="EF37" s="5">
        <f t="shared" si="81"/>
        <v>0.59292852943646623</v>
      </c>
      <c r="EG37" s="5"/>
      <c r="EH37" s="173">
        <f t="shared" si="122"/>
        <v>0.69566559299993447</v>
      </c>
      <c r="EI37" s="173">
        <f t="shared" si="82"/>
        <v>0.71904329900474107</v>
      </c>
      <c r="EJ37" s="173"/>
      <c r="EK37" s="528">
        <f t="shared" si="83"/>
        <v>1.9358024691358017E-2</v>
      </c>
      <c r="EL37" s="528">
        <f t="shared" si="84"/>
        <v>0.78278646599999979</v>
      </c>
      <c r="EM37" s="528">
        <f t="shared" si="85"/>
        <v>6.3503999999999963E-2</v>
      </c>
      <c r="EN37" s="528">
        <f t="shared" si="86"/>
        <v>9.0430143351943451E-2</v>
      </c>
      <c r="EO37">
        <f t="shared" si="87"/>
        <v>1.0800000000000001E-2</v>
      </c>
      <c r="EP37" s="460">
        <f t="shared" si="123"/>
        <v>74.303999999999974</v>
      </c>
      <c r="EQ37" s="528">
        <f t="shared" si="88"/>
        <v>0.9765971266407143</v>
      </c>
      <c r="ER37" s="460">
        <f t="shared" si="124"/>
        <v>976.59712664071435</v>
      </c>
      <c r="ES37" s="528">
        <f t="shared" si="125"/>
        <v>0.27775999999999995</v>
      </c>
      <c r="ET37" s="528"/>
      <c r="EV37" s="460">
        <f t="shared" si="126"/>
        <v>277.75999999999993</v>
      </c>
      <c r="EW37" s="528">
        <f t="shared" si="89"/>
        <v>1.4518518518518512E-2</v>
      </c>
      <c r="EX37" s="528">
        <f t="shared" si="90"/>
        <v>1.5510697975308643E-2</v>
      </c>
      <c r="EY37" s="528">
        <f t="shared" si="91"/>
        <v>0.66125114133357121</v>
      </c>
      <c r="EZ37" s="528">
        <f t="shared" si="92"/>
        <v>0.70016941289649481</v>
      </c>
      <c r="FA37" s="528">
        <f t="shared" si="93"/>
        <v>0.31359999999999999</v>
      </c>
      <c r="FB37" s="460">
        <f t="shared" si="127"/>
        <v>1013.7694128964947</v>
      </c>
      <c r="FC37" s="173">
        <f t="shared" si="128"/>
        <v>2.2681265395372092</v>
      </c>
      <c r="FD37" s="5">
        <f t="shared" si="129"/>
        <v>7.68</v>
      </c>
      <c r="FE37" s="173">
        <f t="shared" si="130"/>
        <v>0.77200465529636053</v>
      </c>
      <c r="FF37" s="5">
        <f t="shared" si="131"/>
        <v>77.200465529636048</v>
      </c>
      <c r="FI37" s="562">
        <f t="shared" si="94"/>
        <v>-50</v>
      </c>
      <c r="FJ37">
        <f t="shared" si="95"/>
        <v>-50</v>
      </c>
      <c r="FL37">
        <f t="shared" ref="FL37:FL68" si="181">MIN(SQRT(2*L*DR37*1000*CJ37*(CX37+Vfwd1))/(Nps*(CX37+Vfwd1)), 1-EA37)</f>
        <v>0.43178410794602695</v>
      </c>
    </row>
    <row r="38" spans="5:168">
      <c r="E38" s="170">
        <v>33</v>
      </c>
      <c r="F38" s="217">
        <f t="shared" ref="F38:F69" si="182">IF(PLOT_TYPE=1, E38/100*Iout_max, min_I*EXP(N38*rr/100))</f>
        <v>0.33</v>
      </c>
      <c r="G38" s="217"/>
      <c r="H38" s="217">
        <f t="shared" si="132"/>
        <v>7.92</v>
      </c>
      <c r="I38" s="541">
        <f t="shared" si="133"/>
        <v>23.92301996410805</v>
      </c>
      <c r="J38" s="172">
        <f t="shared" si="134"/>
        <v>16.356177530509115</v>
      </c>
      <c r="K38" s="172">
        <f t="shared" si="135"/>
        <v>40.356177530509115</v>
      </c>
      <c r="L38" s="443"/>
      <c r="M38" s="217">
        <f t="shared" si="136"/>
        <v>0.40607233723486735</v>
      </c>
      <c r="N38" s="172">
        <f t="shared" si="137"/>
        <v>54.319035772820321</v>
      </c>
      <c r="O38" s="172">
        <f t="shared" si="98"/>
        <v>7.92</v>
      </c>
      <c r="P38" s="217">
        <f t="shared" si="138"/>
        <v>2.2632931572008466</v>
      </c>
      <c r="Q38" s="217">
        <f t="shared" si="139"/>
        <v>24</v>
      </c>
      <c r="R38" s="217">
        <f t="shared" si="140"/>
        <v>2.2487214422550341</v>
      </c>
      <c r="S38" s="172">
        <f t="shared" si="141"/>
        <v>366.92665502401957</v>
      </c>
      <c r="T38" s="172">
        <f t="shared" si="142"/>
        <v>24</v>
      </c>
      <c r="U38" s="217">
        <f t="shared" si="143"/>
        <v>1.6660366394949502</v>
      </c>
      <c r="V38" s="217">
        <f t="shared" si="11"/>
        <v>0.69641568748198257</v>
      </c>
      <c r="W38" s="217">
        <f t="shared" si="144"/>
        <v>1.0185977966962627</v>
      </c>
      <c r="X38" s="197">
        <f t="shared" si="145"/>
        <v>350</v>
      </c>
      <c r="Y38" s="443">
        <f t="shared" si="14"/>
        <v>350</v>
      </c>
      <c r="AA38" s="217">
        <f t="shared" si="146"/>
        <v>2.7755494217307022</v>
      </c>
      <c r="AB38" s="173">
        <f t="shared" si="147"/>
        <v>1.6969425873212007</v>
      </c>
      <c r="AC38" s="173">
        <f t="shared" si="148"/>
        <v>0.54976868227843745</v>
      </c>
      <c r="AD38" s="173"/>
      <c r="AE38" s="173">
        <f t="shared" si="149"/>
        <v>1.3586439851714256</v>
      </c>
      <c r="AF38" s="545">
        <f t="shared" si="150"/>
        <v>327.73660074251012</v>
      </c>
      <c r="AG38" s="528">
        <f t="shared" si="151"/>
        <v>0.35241715370918814</v>
      </c>
      <c r="AI38" s="173">
        <f t="shared" si="152"/>
        <v>2.1503835866094279</v>
      </c>
      <c r="AJ38" s="173">
        <f t="shared" si="153"/>
        <v>2.2222222222222223</v>
      </c>
      <c r="AK38" s="173">
        <f t="shared" si="154"/>
        <v>1.1872780575671487</v>
      </c>
      <c r="AM38" s="545">
        <f t="shared" si="155"/>
        <v>330</v>
      </c>
      <c r="AN38" s="460">
        <f t="shared" si="156"/>
        <v>327.73660074251012</v>
      </c>
      <c r="AP38">
        <f t="shared" si="157"/>
        <v>330</v>
      </c>
      <c r="AQ38" s="460">
        <f t="shared" si="158"/>
        <v>327.73660074251012</v>
      </c>
      <c r="AR38" s="460"/>
      <c r="AS38" s="5">
        <f t="shared" si="101"/>
        <v>3.0512307680449187</v>
      </c>
      <c r="AT38" s="5">
        <f t="shared" si="159"/>
        <v>0.92890539135788264</v>
      </c>
      <c r="AU38" s="5">
        <f t="shared" si="102"/>
        <v>2.1223253766870362</v>
      </c>
      <c r="AV38" s="5">
        <f t="shared" si="160"/>
        <v>1.3586439851714256</v>
      </c>
      <c r="AW38" s="173">
        <f t="shared" si="103"/>
        <v>0.30443629537502348</v>
      </c>
      <c r="AX38" s="173">
        <f t="shared" si="161"/>
        <v>8.0922617467286457</v>
      </c>
      <c r="AY38" s="173">
        <f t="shared" si="162"/>
        <v>0.51548998998317708</v>
      </c>
      <c r="AZ38" s="173">
        <f t="shared" si="104"/>
        <v>15.698193765106351</v>
      </c>
      <c r="BA38" s="460">
        <f t="shared" si="163"/>
        <v>1.2772449131170887</v>
      </c>
      <c r="BB38" s="5">
        <f t="shared" si="164"/>
        <v>0.58551752693221026</v>
      </c>
      <c r="BC38" s="5"/>
      <c r="BD38" s="173">
        <f t="shared" si="105"/>
        <v>0.70790515206560423</v>
      </c>
      <c r="BE38" s="173">
        <f t="shared" si="165"/>
        <v>0.71370895958421587</v>
      </c>
      <c r="BF38" s="173"/>
      <c r="BG38" s="528">
        <f t="shared" si="166"/>
        <v>2.0045188172841049E-2</v>
      </c>
      <c r="BH38" s="528">
        <f t="shared" si="167"/>
        <v>0.66130982214051626</v>
      </c>
      <c r="BI38" s="528">
        <f t="shared" si="168"/>
        <v>0.31361796970127914</v>
      </c>
      <c r="BJ38" s="528">
        <f t="shared" si="169"/>
        <v>9.340777804740226E-2</v>
      </c>
      <c r="BK38">
        <f t="shared" si="170"/>
        <v>1.0765358983848622E-2</v>
      </c>
      <c r="BL38" s="460">
        <f t="shared" si="106"/>
        <v>324.38332868512776</v>
      </c>
      <c r="BM38" s="528">
        <f t="shared" si="171"/>
        <v>0.78390853914398595</v>
      </c>
      <c r="BN38" s="460">
        <f t="shared" si="107"/>
        <v>783.90853914398599</v>
      </c>
      <c r="BO38" s="528">
        <f t="shared" si="172"/>
        <v>0.28643999999999997</v>
      </c>
      <c r="BP38" s="528"/>
      <c r="BR38" s="460">
        <f t="shared" si="109"/>
        <v>286.44</v>
      </c>
      <c r="BS38" s="528">
        <f t="shared" si="173"/>
        <v>1.5033891129630786E-2</v>
      </c>
      <c r="BT38" s="528">
        <f t="shared" si="174"/>
        <v>1.5281414369723516E-2</v>
      </c>
      <c r="BU38" s="528">
        <f t="shared" si="175"/>
        <v>0.11879999999999999</v>
      </c>
      <c r="BV38" s="528">
        <f t="shared" si="176"/>
        <v>0.15677118412642238</v>
      </c>
      <c r="BW38" s="528">
        <f t="shared" si="177"/>
        <v>0.3236904698691459</v>
      </c>
      <c r="BX38" s="460">
        <f t="shared" si="110"/>
        <v>480.46165399556827</v>
      </c>
      <c r="BY38" s="173">
        <f t="shared" si="45"/>
        <v>1.8751935218246818</v>
      </c>
      <c r="BZ38" s="5">
        <f t="shared" si="111"/>
        <v>7.92</v>
      </c>
      <c r="CA38" s="173">
        <f t="shared" si="112"/>
        <v>0.808559829099184</v>
      </c>
      <c r="CB38" s="5">
        <f t="shared" si="113"/>
        <v>80.855982909918396</v>
      </c>
      <c r="CE38" s="562">
        <f t="shared" si="178"/>
        <v>-50</v>
      </c>
      <c r="CF38">
        <f t="shared" si="179"/>
        <v>-50</v>
      </c>
      <c r="CG38" s="173">
        <f t="shared" si="180"/>
        <v>0.44989175773809292</v>
      </c>
      <c r="CI38" s="170">
        <v>33</v>
      </c>
      <c r="CJ38" s="217">
        <f t="shared" si="114"/>
        <v>0.33</v>
      </c>
      <c r="CK38" s="217"/>
      <c r="CL38" s="217">
        <f t="shared" si="49"/>
        <v>7.92</v>
      </c>
      <c r="CM38" s="541">
        <f t="shared" si="50"/>
        <v>24</v>
      </c>
      <c r="CN38" s="172">
        <f t="shared" si="51"/>
        <v>16.3415</v>
      </c>
      <c r="CO38" s="443">
        <f t="shared" si="52"/>
        <v>40.341499999999996</v>
      </c>
      <c r="CP38" s="443"/>
      <c r="CQ38" s="217">
        <f t="shared" si="53"/>
        <v>0.40507913686898112</v>
      </c>
      <c r="CR38" s="172">
        <f t="shared" si="54"/>
        <v>54.360539956785601</v>
      </c>
      <c r="CS38" s="172">
        <f t="shared" si="115"/>
        <v>7.92</v>
      </c>
      <c r="CT38" s="217">
        <f t="shared" si="55"/>
        <v>2.2650224981994</v>
      </c>
      <c r="CU38" s="217">
        <f t="shared" si="56"/>
        <v>24</v>
      </c>
      <c r="CV38" s="217">
        <f t="shared" si="57"/>
        <v>2.250439649272117</v>
      </c>
      <c r="CW38" s="172">
        <f t="shared" si="58"/>
        <v>368.10720311035993</v>
      </c>
      <c r="CX38" s="172">
        <f t="shared" si="59"/>
        <v>24</v>
      </c>
      <c r="CY38" s="217">
        <f t="shared" si="60"/>
        <v>1.6293112627359789</v>
      </c>
      <c r="CZ38" s="217">
        <f t="shared" si="61"/>
        <v>0.67887969280665794</v>
      </c>
      <c r="DA38" s="217">
        <f t="shared" si="62"/>
        <v>0.99703898830338655</v>
      </c>
      <c r="DB38" s="197">
        <f t="shared" si="63"/>
        <v>350</v>
      </c>
      <c r="DC38" s="443">
        <f t="shared" si="116"/>
        <v>350</v>
      </c>
      <c r="DE38" s="217">
        <f t="shared" si="64"/>
        <v>2.7776855099587272</v>
      </c>
      <c r="DF38" s="173">
        <f t="shared" si="65"/>
        <v>1.6997738946600542</v>
      </c>
      <c r="DG38" s="173">
        <f t="shared" si="66"/>
        <v>0.55110977087390545</v>
      </c>
      <c r="DH38" s="173"/>
      <c r="DI38" s="173">
        <f t="shared" si="67"/>
        <v>1.3598642855443031</v>
      </c>
      <c r="DJ38" s="545">
        <f t="shared" si="117"/>
        <v>327.44249999999994</v>
      </c>
      <c r="DK38" s="528">
        <f t="shared" si="68"/>
        <v>0.35273368606701955</v>
      </c>
      <c r="DM38" s="173">
        <f t="shared" si="69"/>
        <v>2.1494185260204675</v>
      </c>
      <c r="DN38" s="173">
        <f t="shared" si="70"/>
        <v>2.2222222222222223</v>
      </c>
      <c r="DO38" s="173">
        <f t="shared" si="71"/>
        <v>1.1871099999999999</v>
      </c>
      <c r="DQ38" s="545">
        <f t="shared" si="72"/>
        <v>330</v>
      </c>
      <c r="DR38" s="460">
        <f t="shared" si="73"/>
        <v>327.44249999999994</v>
      </c>
      <c r="DT38">
        <f t="shared" si="74"/>
        <v>330</v>
      </c>
      <c r="DU38" s="460">
        <f t="shared" si="75"/>
        <v>327.44249999999994</v>
      </c>
      <c r="DV38" s="460"/>
      <c r="DW38" s="5">
        <f t="shared" si="118"/>
        <v>3.0539713079395625</v>
      </c>
      <c r="DX38" s="5">
        <f t="shared" si="76"/>
        <v>0.92592592592592615</v>
      </c>
      <c r="DY38" s="5">
        <f t="shared" si="119"/>
        <v>2.1280453820136365</v>
      </c>
      <c r="DZ38" s="5">
        <f t="shared" si="77"/>
        <v>1.3598642855443031</v>
      </c>
      <c r="EA38" s="173">
        <f t="shared" si="120"/>
        <v>0.3031875</v>
      </c>
      <c r="EB38" s="173">
        <f t="shared" si="78"/>
        <v>8.0850000000000009</v>
      </c>
      <c r="EC38" s="173">
        <f t="shared" si="79"/>
        <v>0.51641548611111121</v>
      </c>
      <c r="ED38" s="173">
        <f t="shared" si="121"/>
        <v>15.655998352962722</v>
      </c>
      <c r="EE38" s="460">
        <f t="shared" si="80"/>
        <v>1.2731481481481484</v>
      </c>
      <c r="EF38" s="5">
        <f t="shared" si="81"/>
        <v>0.58521248005374993</v>
      </c>
      <c r="EG38" s="5"/>
      <c r="EH38" s="173">
        <f t="shared" si="122"/>
        <v>0.70645174928941479</v>
      </c>
      <c r="EI38" s="173">
        <f t="shared" si="82"/>
        <v>0.71434935870043326</v>
      </c>
      <c r="EJ38" s="173"/>
      <c r="EK38" s="528">
        <f t="shared" si="83"/>
        <v>1.9962962962962967E-2</v>
      </c>
      <c r="EL38" s="528">
        <f t="shared" si="84"/>
        <v>0.80724854306249982</v>
      </c>
      <c r="EM38" s="528">
        <f t="shared" si="85"/>
        <v>6.5488499999999991E-2</v>
      </c>
      <c r="EN38" s="528">
        <f t="shared" si="86"/>
        <v>9.3256085331691704E-2</v>
      </c>
      <c r="EO38">
        <f t="shared" si="87"/>
        <v>1.0800000000000001E-2</v>
      </c>
      <c r="EP38" s="460">
        <f t="shared" si="123"/>
        <v>76.288499999999999</v>
      </c>
      <c r="EQ38" s="528">
        <f t="shared" si="88"/>
        <v>1.0069221243775017</v>
      </c>
      <c r="ER38" s="460">
        <f t="shared" si="124"/>
        <v>1006.9221243775017</v>
      </c>
      <c r="ES38" s="528">
        <f t="shared" si="125"/>
        <v>0.28643999999999997</v>
      </c>
      <c r="ET38" s="528"/>
      <c r="EV38" s="460">
        <f t="shared" si="126"/>
        <v>286.44</v>
      </c>
      <c r="EW38" s="528">
        <f t="shared" si="89"/>
        <v>1.4972222222222225E-2</v>
      </c>
      <c r="EX38" s="528">
        <f t="shared" si="90"/>
        <v>1.5308850188271605E-2</v>
      </c>
      <c r="EY38" s="528">
        <f t="shared" si="91"/>
        <v>0.71412845552896598</v>
      </c>
      <c r="EZ38" s="528">
        <f t="shared" si="92"/>
        <v>0.75350233401700595</v>
      </c>
      <c r="FA38" s="528">
        <f t="shared" si="93"/>
        <v>0.32340000000000002</v>
      </c>
      <c r="FB38" s="460">
        <f t="shared" si="127"/>
        <v>1076.9023340170061</v>
      </c>
      <c r="FC38" s="173">
        <f t="shared" si="128"/>
        <v>2.3702644583945074</v>
      </c>
      <c r="FD38" s="5">
        <f t="shared" si="129"/>
        <v>7.92</v>
      </c>
      <c r="FE38" s="173">
        <f t="shared" si="130"/>
        <v>0.7696595196383984</v>
      </c>
      <c r="FF38" s="5">
        <f t="shared" si="131"/>
        <v>76.965951963839842</v>
      </c>
      <c r="FI38" s="562">
        <f t="shared" si="94"/>
        <v>-50</v>
      </c>
      <c r="FJ38">
        <f t="shared" si="95"/>
        <v>-50</v>
      </c>
      <c r="FL38">
        <f t="shared" si="181"/>
        <v>0.44527736131934031</v>
      </c>
    </row>
    <row r="39" spans="5:168">
      <c r="E39" s="170">
        <v>34</v>
      </c>
      <c r="F39" s="217">
        <f t="shared" si="182"/>
        <v>0.34</v>
      </c>
      <c r="G39" s="217"/>
      <c r="H39" s="217">
        <f t="shared" si="132"/>
        <v>8.16</v>
      </c>
      <c r="I39" s="541">
        <f t="shared" si="133"/>
        <v>23.92301996410805</v>
      </c>
      <c r="J39" s="172">
        <f t="shared" si="134"/>
        <v>16.356177530509115</v>
      </c>
      <c r="K39" s="172">
        <f t="shared" si="135"/>
        <v>40.356177530509115</v>
      </c>
      <c r="L39" s="443"/>
      <c r="M39" s="217">
        <f t="shared" si="136"/>
        <v>0.40607233723486735</v>
      </c>
      <c r="N39" s="172">
        <f t="shared" si="137"/>
        <v>54.319035772820321</v>
      </c>
      <c r="O39" s="172">
        <f t="shared" si="98"/>
        <v>8.16</v>
      </c>
      <c r="P39" s="217">
        <f t="shared" si="138"/>
        <v>2.2632931572008466</v>
      </c>
      <c r="Q39" s="217">
        <f t="shared" si="139"/>
        <v>24</v>
      </c>
      <c r="R39" s="217">
        <f t="shared" si="140"/>
        <v>2.2487214422550341</v>
      </c>
      <c r="S39" s="172">
        <f t="shared" si="141"/>
        <v>355.08285590267252</v>
      </c>
      <c r="T39" s="172">
        <f t="shared" si="142"/>
        <v>24</v>
      </c>
      <c r="U39" s="217">
        <f t="shared" si="143"/>
        <v>1.7165225982675243</v>
      </c>
      <c r="V39" s="217">
        <f t="shared" si="11"/>
        <v>0.71751919316325463</v>
      </c>
      <c r="W39" s="217">
        <f t="shared" si="144"/>
        <v>1.0494643965961492</v>
      </c>
      <c r="X39" s="197">
        <f t="shared" si="145"/>
        <v>350</v>
      </c>
      <c r="Y39" s="443">
        <f t="shared" si="14"/>
        <v>350</v>
      </c>
      <c r="AA39" s="217">
        <f t="shared" si="146"/>
        <v>2.7755494217307022</v>
      </c>
      <c r="AB39" s="173">
        <f t="shared" si="147"/>
        <v>1.6969425873212007</v>
      </c>
      <c r="AC39" s="173">
        <f t="shared" si="148"/>
        <v>0.54976868227843745</v>
      </c>
      <c r="AD39" s="173"/>
      <c r="AE39" s="173">
        <f t="shared" si="149"/>
        <v>1.3586439851714256</v>
      </c>
      <c r="AF39" s="545">
        <f t="shared" si="150"/>
        <v>337.66801288622253</v>
      </c>
      <c r="AG39" s="528">
        <f t="shared" si="151"/>
        <v>0.35241715370918814</v>
      </c>
      <c r="AI39" s="173">
        <f t="shared" si="152"/>
        <v>2.182721996519787</v>
      </c>
      <c r="AJ39" s="173">
        <f t="shared" si="153"/>
        <v>2.2222222222222223</v>
      </c>
      <c r="AK39" s="173">
        <f t="shared" si="154"/>
        <v>1.1929531502206987</v>
      </c>
      <c r="AM39" s="545">
        <f t="shared" si="155"/>
        <v>340</v>
      </c>
      <c r="AN39" s="460">
        <f t="shared" si="156"/>
        <v>337.66801288622253</v>
      </c>
      <c r="AP39">
        <f t="shared" si="157"/>
        <v>340</v>
      </c>
      <c r="AQ39" s="460">
        <f t="shared" si="158"/>
        <v>337.66801288622253</v>
      </c>
      <c r="AR39" s="460"/>
      <c r="AS39" s="5">
        <f t="shared" si="101"/>
        <v>2.9614886866318328</v>
      </c>
      <c r="AT39" s="5">
        <f t="shared" si="159"/>
        <v>0.92890539135788264</v>
      </c>
      <c r="AU39" s="5">
        <f t="shared" si="102"/>
        <v>2.03258329527395</v>
      </c>
      <c r="AV39" s="5">
        <f t="shared" si="160"/>
        <v>1.3586439851714256</v>
      </c>
      <c r="AW39" s="173">
        <f t="shared" si="103"/>
        <v>0.31366163765911509</v>
      </c>
      <c r="AX39" s="173">
        <f t="shared" si="161"/>
        <v>8.3374817996598161</v>
      </c>
      <c r="AY39" s="173">
        <f t="shared" si="162"/>
        <v>0.50865298631263367</v>
      </c>
      <c r="AZ39" s="173">
        <f t="shared" si="104"/>
        <v>16.391296274697076</v>
      </c>
      <c r="BA39" s="460">
        <f t="shared" si="163"/>
        <v>1.3159493044236672</v>
      </c>
      <c r="BB39" s="5">
        <f t="shared" si="164"/>
        <v>0.57775173989736639</v>
      </c>
      <c r="BC39" s="5"/>
      <c r="BD39" s="173">
        <f t="shared" si="105"/>
        <v>0.71855093969517225</v>
      </c>
      <c r="BE39" s="173">
        <f t="shared" si="165"/>
        <v>0.70896015859486372</v>
      </c>
      <c r="BF39" s="173"/>
      <c r="BG39" s="528">
        <f t="shared" si="166"/>
        <v>2.0652618117472602E-2</v>
      </c>
      <c r="BH39" s="528">
        <f t="shared" si="167"/>
        <v>0.68134951372053187</v>
      </c>
      <c r="BI39" s="528">
        <f t="shared" si="168"/>
        <v>0.3231215445407119</v>
      </c>
      <c r="BJ39" s="528">
        <f t="shared" si="169"/>
        <v>9.6238316776111416E-2</v>
      </c>
      <c r="BK39">
        <f t="shared" si="170"/>
        <v>1.0765358983848622E-2</v>
      </c>
      <c r="BL39" s="460">
        <f t="shared" si="106"/>
        <v>333.88690352456052</v>
      </c>
      <c r="BM39" s="528">
        <f t="shared" si="171"/>
        <v>0.80778048447782891</v>
      </c>
      <c r="BN39" s="460">
        <f t="shared" si="107"/>
        <v>807.78048447782896</v>
      </c>
      <c r="BO39" s="528">
        <f t="shared" si="172"/>
        <v>0.29511999999999999</v>
      </c>
      <c r="BP39" s="528"/>
      <c r="BR39" s="460">
        <f t="shared" si="109"/>
        <v>295.12</v>
      </c>
      <c r="BS39" s="528">
        <f t="shared" si="173"/>
        <v>1.5489463588104451E-2</v>
      </c>
      <c r="BT39" s="528">
        <f t="shared" si="174"/>
        <v>1.5078735194245629E-2</v>
      </c>
      <c r="BU39" s="528">
        <f t="shared" si="175"/>
        <v>0.12239999999999999</v>
      </c>
      <c r="BV39" s="528">
        <f t="shared" si="176"/>
        <v>0.16069754525067878</v>
      </c>
      <c r="BW39" s="528">
        <f t="shared" si="177"/>
        <v>0.33349927198639273</v>
      </c>
      <c r="BX39" s="460">
        <f t="shared" si="110"/>
        <v>494.19681723707151</v>
      </c>
      <c r="BY39" s="173">
        <f t="shared" si="45"/>
        <v>1.9309842052394608</v>
      </c>
      <c r="BZ39" s="5">
        <f t="shared" si="111"/>
        <v>8.16</v>
      </c>
      <c r="CA39" s="173">
        <f t="shared" si="112"/>
        <v>0.80864262930499364</v>
      </c>
      <c r="CB39" s="5">
        <f t="shared" si="113"/>
        <v>80.864262930499365</v>
      </c>
      <c r="CE39" s="562">
        <f t="shared" si="178"/>
        <v>-50</v>
      </c>
      <c r="CF39">
        <f t="shared" si="179"/>
        <v>-50</v>
      </c>
      <c r="CG39" s="173">
        <f t="shared" si="180"/>
        <v>0.46352484130591387</v>
      </c>
      <c r="CI39" s="170">
        <v>34</v>
      </c>
      <c r="CJ39" s="217">
        <f t="shared" si="114"/>
        <v>0.34</v>
      </c>
      <c r="CK39" s="217"/>
      <c r="CL39" s="217">
        <f t="shared" si="49"/>
        <v>8.16</v>
      </c>
      <c r="CM39" s="541">
        <f t="shared" si="50"/>
        <v>24</v>
      </c>
      <c r="CN39" s="172">
        <f t="shared" si="51"/>
        <v>16.3415</v>
      </c>
      <c r="CO39" s="443">
        <f t="shared" si="52"/>
        <v>40.341499999999996</v>
      </c>
      <c r="CP39" s="443"/>
      <c r="CQ39" s="217">
        <f t="shared" si="53"/>
        <v>0.40507913686898112</v>
      </c>
      <c r="CR39" s="172">
        <f t="shared" si="54"/>
        <v>54.360539956785601</v>
      </c>
      <c r="CS39" s="172">
        <f t="shared" si="115"/>
        <v>8.16</v>
      </c>
      <c r="CT39" s="217">
        <f t="shared" si="55"/>
        <v>2.2650224981994</v>
      </c>
      <c r="CU39" s="217">
        <f t="shared" si="56"/>
        <v>24</v>
      </c>
      <c r="CV39" s="217">
        <f t="shared" si="57"/>
        <v>2.250439649272117</v>
      </c>
      <c r="CW39" s="172">
        <f t="shared" si="58"/>
        <v>356.22528752910819</v>
      </c>
      <c r="CX39" s="172">
        <f t="shared" si="59"/>
        <v>24</v>
      </c>
      <c r="CY39" s="217">
        <f t="shared" si="60"/>
        <v>1.6786843313037358</v>
      </c>
      <c r="CZ39" s="217">
        <f t="shared" si="61"/>
        <v>0.6994518047098901</v>
      </c>
      <c r="DA39" s="217">
        <f t="shared" si="62"/>
        <v>1.0272522909792468</v>
      </c>
      <c r="DB39" s="197">
        <f t="shared" si="63"/>
        <v>350</v>
      </c>
      <c r="DC39" s="443">
        <f t="shared" si="116"/>
        <v>350</v>
      </c>
      <c r="DE39" s="217">
        <f t="shared" si="64"/>
        <v>2.7776855099587272</v>
      </c>
      <c r="DF39" s="173">
        <f t="shared" si="65"/>
        <v>1.6997738946600542</v>
      </c>
      <c r="DG39" s="173">
        <f t="shared" si="66"/>
        <v>0.55110977087390545</v>
      </c>
      <c r="DH39" s="173"/>
      <c r="DI39" s="173">
        <f t="shared" si="67"/>
        <v>1.3598642855443031</v>
      </c>
      <c r="DJ39" s="545">
        <f t="shared" si="117"/>
        <v>337.36499999999995</v>
      </c>
      <c r="DK39" s="528">
        <f t="shared" si="68"/>
        <v>0.35273368606701955</v>
      </c>
      <c r="DM39" s="173">
        <f t="shared" si="69"/>
        <v>2.1817424229271429</v>
      </c>
      <c r="DN39" s="173">
        <f t="shared" si="70"/>
        <v>2.2222222222222223</v>
      </c>
      <c r="DO39" s="173">
        <f t="shared" si="71"/>
        <v>1.19278</v>
      </c>
      <c r="DQ39" s="545">
        <f t="shared" si="72"/>
        <v>340</v>
      </c>
      <c r="DR39" s="460">
        <f t="shared" si="73"/>
        <v>337.36499999999995</v>
      </c>
      <c r="DT39">
        <f t="shared" si="74"/>
        <v>340</v>
      </c>
      <c r="DU39" s="460">
        <f t="shared" si="75"/>
        <v>337.36499999999995</v>
      </c>
      <c r="DV39" s="460"/>
      <c r="DW39" s="5">
        <f t="shared" si="118"/>
        <v>2.964148622411928</v>
      </c>
      <c r="DX39" s="5">
        <f t="shared" si="76"/>
        <v>0.92592592592592615</v>
      </c>
      <c r="DY39" s="5">
        <f t="shared" si="119"/>
        <v>2.038222696486002</v>
      </c>
      <c r="DZ39" s="5">
        <f t="shared" si="77"/>
        <v>1.3598642855443031</v>
      </c>
      <c r="EA39" s="173">
        <f t="shared" si="120"/>
        <v>0.31237500000000007</v>
      </c>
      <c r="EB39" s="173">
        <f t="shared" si="78"/>
        <v>8.33</v>
      </c>
      <c r="EC39" s="173">
        <f t="shared" si="79"/>
        <v>0.50960652777777782</v>
      </c>
      <c r="ED39" s="173">
        <f t="shared" si="121"/>
        <v>16.34594446096348</v>
      </c>
      <c r="EE39" s="460">
        <f t="shared" si="80"/>
        <v>1.3117283950617289</v>
      </c>
      <c r="EF39" s="5">
        <f t="shared" si="81"/>
        <v>0.57749643067103384</v>
      </c>
      <c r="EG39" s="5"/>
      <c r="EH39" s="173">
        <f t="shared" si="122"/>
        <v>0.7170756800116691</v>
      </c>
      <c r="EI39" s="173">
        <f t="shared" si="82"/>
        <v>0.70962437014791069</v>
      </c>
      <c r="EJ39" s="173"/>
      <c r="EK39" s="528">
        <f t="shared" si="83"/>
        <v>2.0567901234567906E-2</v>
      </c>
      <c r="EL39" s="528">
        <f t="shared" si="84"/>
        <v>0.83171062012499986</v>
      </c>
      <c r="EM39" s="528">
        <f t="shared" si="85"/>
        <v>6.7472999999999977E-2</v>
      </c>
      <c r="EN39" s="528">
        <f t="shared" si="86"/>
        <v>9.6082027311439944E-2</v>
      </c>
      <c r="EO39">
        <f t="shared" si="87"/>
        <v>1.0800000000000001E-2</v>
      </c>
      <c r="EP39" s="460">
        <f t="shared" si="123"/>
        <v>78.272999999999982</v>
      </c>
      <c r="EQ39" s="528">
        <f t="shared" si="88"/>
        <v>1.0372558823509981</v>
      </c>
      <c r="ER39" s="460">
        <f t="shared" si="124"/>
        <v>1037.255882350998</v>
      </c>
      <c r="ES39" s="528">
        <f t="shared" si="125"/>
        <v>0.29511999999999999</v>
      </c>
      <c r="ET39" s="528"/>
      <c r="EV39" s="460">
        <f t="shared" si="126"/>
        <v>295.12</v>
      </c>
      <c r="EW39" s="528">
        <f t="shared" si="89"/>
        <v>1.5425925925925928E-2</v>
      </c>
      <c r="EX39" s="528">
        <f t="shared" si="90"/>
        <v>1.5107002401234569E-2</v>
      </c>
      <c r="EY39" s="528">
        <f t="shared" si="91"/>
        <v>0.7694648427001971</v>
      </c>
      <c r="EZ39" s="528">
        <f t="shared" si="92"/>
        <v>0.80930250385348823</v>
      </c>
      <c r="FA39" s="528">
        <f t="shared" si="93"/>
        <v>0.3332</v>
      </c>
      <c r="FB39" s="460">
        <f t="shared" si="127"/>
        <v>1142.5025038534882</v>
      </c>
      <c r="FC39" s="173">
        <f t="shared" si="128"/>
        <v>2.4748783862044865</v>
      </c>
      <c r="FD39" s="5">
        <f t="shared" si="129"/>
        <v>8.16</v>
      </c>
      <c r="FE39" s="173">
        <f t="shared" si="130"/>
        <v>0.76728663024347443</v>
      </c>
      <c r="FF39" s="5">
        <f t="shared" si="131"/>
        <v>76.728663024347441</v>
      </c>
      <c r="FI39" s="562">
        <f t="shared" si="94"/>
        <v>-50</v>
      </c>
      <c r="FJ39">
        <f t="shared" si="95"/>
        <v>-50</v>
      </c>
      <c r="FL39">
        <f t="shared" si="181"/>
        <v>0.45877061469265368</v>
      </c>
    </row>
    <row r="40" spans="5:168">
      <c r="E40" s="170">
        <v>35</v>
      </c>
      <c r="F40" s="217">
        <f t="shared" si="182"/>
        <v>0.35</v>
      </c>
      <c r="G40" s="217"/>
      <c r="H40" s="217">
        <f t="shared" si="132"/>
        <v>8.3999999999999986</v>
      </c>
      <c r="I40" s="541">
        <f t="shared" si="133"/>
        <v>23.92301996410805</v>
      </c>
      <c r="J40" s="172">
        <f t="shared" si="134"/>
        <v>16.356177530509115</v>
      </c>
      <c r="K40" s="172">
        <f t="shared" si="135"/>
        <v>40.356177530509115</v>
      </c>
      <c r="L40" s="443"/>
      <c r="M40" s="217">
        <f t="shared" si="136"/>
        <v>0.40607233723486735</v>
      </c>
      <c r="N40" s="172">
        <f t="shared" si="137"/>
        <v>54.319035772820321</v>
      </c>
      <c r="O40" s="172">
        <f t="shared" si="98"/>
        <v>8.3999999999999986</v>
      </c>
      <c r="P40" s="217">
        <f t="shared" si="138"/>
        <v>2.2632931572008466</v>
      </c>
      <c r="Q40" s="217">
        <f t="shared" si="139"/>
        <v>24</v>
      </c>
      <c r="R40" s="217">
        <f t="shared" si="140"/>
        <v>2.2487214422550341</v>
      </c>
      <c r="S40" s="172">
        <f t="shared" si="141"/>
        <v>343.91594769518883</v>
      </c>
      <c r="T40" s="172">
        <f t="shared" si="142"/>
        <v>24</v>
      </c>
      <c r="U40" s="217">
        <f t="shared" si="143"/>
        <v>1.7670085570400984</v>
      </c>
      <c r="V40" s="217">
        <f t="shared" si="11"/>
        <v>0.73862269884452703</v>
      </c>
      <c r="W40" s="217">
        <f t="shared" si="144"/>
        <v>1.0803309964960361</v>
      </c>
      <c r="X40" s="197">
        <f t="shared" si="145"/>
        <v>350</v>
      </c>
      <c r="Y40" s="443">
        <f t="shared" si="14"/>
        <v>350</v>
      </c>
      <c r="AA40" s="217">
        <f t="shared" si="146"/>
        <v>2.7755494217307022</v>
      </c>
      <c r="AB40" s="173">
        <f t="shared" si="147"/>
        <v>1.6969425873212007</v>
      </c>
      <c r="AC40" s="173">
        <f t="shared" si="148"/>
        <v>0.54976868227843745</v>
      </c>
      <c r="AD40" s="173"/>
      <c r="AE40" s="173">
        <f t="shared" si="149"/>
        <v>1.3586439851714256</v>
      </c>
      <c r="AF40" s="545">
        <f t="shared" si="150"/>
        <v>347.59942502993493</v>
      </c>
      <c r="AG40" s="528">
        <f t="shared" si="151"/>
        <v>0.35241715370918814</v>
      </c>
      <c r="AI40" s="173">
        <f t="shared" si="152"/>
        <v>2.2145882368113989</v>
      </c>
      <c r="AJ40" s="173">
        <f t="shared" si="153"/>
        <v>2.2222222222222223</v>
      </c>
      <c r="AK40" s="173">
        <f t="shared" si="154"/>
        <v>1.1986282428742485</v>
      </c>
      <c r="AM40" s="545">
        <f t="shared" si="155"/>
        <v>350</v>
      </c>
      <c r="AN40" s="460">
        <f t="shared" si="156"/>
        <v>347.59942502993493</v>
      </c>
      <c r="AP40">
        <f t="shared" si="157"/>
        <v>350</v>
      </c>
      <c r="AQ40" s="460">
        <f t="shared" si="158"/>
        <v>347.59942502993493</v>
      </c>
      <c r="AR40" s="460"/>
      <c r="AS40" s="5">
        <f t="shared" si="101"/>
        <v>2.8768747241566381</v>
      </c>
      <c r="AT40" s="5">
        <f t="shared" si="159"/>
        <v>0.92890539135788264</v>
      </c>
      <c r="AU40" s="5">
        <f t="shared" si="102"/>
        <v>1.9479693327987555</v>
      </c>
      <c r="AV40" s="5">
        <f t="shared" si="160"/>
        <v>1.3586439851714256</v>
      </c>
      <c r="AW40" s="173">
        <f t="shared" si="103"/>
        <v>0.32288697994320664</v>
      </c>
      <c r="AX40" s="173">
        <f t="shared" si="161"/>
        <v>8.5827018525909864</v>
      </c>
      <c r="AY40" s="173">
        <f t="shared" si="162"/>
        <v>0.50181598264209026</v>
      </c>
      <c r="AZ40" s="173">
        <f t="shared" si="104"/>
        <v>17.103285167209229</v>
      </c>
      <c r="BA40" s="460">
        <f t="shared" si="163"/>
        <v>1.3546536957302455</v>
      </c>
      <c r="BB40" s="5">
        <f t="shared" si="164"/>
        <v>0.56998595286252274</v>
      </c>
      <c r="BC40" s="5"/>
      <c r="BD40" s="173">
        <f t="shared" si="105"/>
        <v>0.72904128933319245</v>
      </c>
      <c r="BE40" s="173">
        <f t="shared" si="165"/>
        <v>0.7041793336636093</v>
      </c>
      <c r="BF40" s="173"/>
      <c r="BG40" s="528">
        <f t="shared" si="166"/>
        <v>2.1260048062104145E-2</v>
      </c>
      <c r="BH40" s="528">
        <f t="shared" si="167"/>
        <v>0.70138920530054749</v>
      </c>
      <c r="BI40" s="528">
        <f t="shared" si="168"/>
        <v>0.33262511938014455</v>
      </c>
      <c r="BJ40" s="528">
        <f t="shared" si="169"/>
        <v>9.9068855504820558E-2</v>
      </c>
      <c r="BK40">
        <f t="shared" si="170"/>
        <v>1.0765358983848622E-2</v>
      </c>
      <c r="BL40" s="460">
        <f t="shared" si="106"/>
        <v>343.39047836399317</v>
      </c>
      <c r="BM40" s="528">
        <f t="shared" si="171"/>
        <v>0.83165935544971503</v>
      </c>
      <c r="BN40" s="460">
        <f t="shared" si="107"/>
        <v>831.65935544971501</v>
      </c>
      <c r="BO40" s="528">
        <f t="shared" si="172"/>
        <v>0.30379999999999996</v>
      </c>
      <c r="BP40" s="528"/>
      <c r="BR40" s="460">
        <f t="shared" si="109"/>
        <v>303.79999999999995</v>
      </c>
      <c r="BS40" s="528">
        <f t="shared" si="173"/>
        <v>1.5945036046578109E-2</v>
      </c>
      <c r="BT40" s="528">
        <f t="shared" si="174"/>
        <v>1.4876056018767743E-2</v>
      </c>
      <c r="BU40" s="528">
        <f t="shared" si="175"/>
        <v>0.12599999999999997</v>
      </c>
      <c r="BV40" s="528">
        <f t="shared" si="176"/>
        <v>0.16462406563968904</v>
      </c>
      <c r="BW40" s="528">
        <f t="shared" si="177"/>
        <v>0.3433080741036395</v>
      </c>
      <c r="BX40" s="460">
        <f t="shared" si="110"/>
        <v>507.93213974332849</v>
      </c>
      <c r="BY40" s="173">
        <f t="shared" si="45"/>
        <v>1.9867819735570369</v>
      </c>
      <c r="BZ40" s="5">
        <f t="shared" si="111"/>
        <v>8.3999999999999986</v>
      </c>
      <c r="CA40" s="173">
        <f t="shared" si="112"/>
        <v>0.80872016196979557</v>
      </c>
      <c r="CB40" s="5">
        <f t="shared" si="113"/>
        <v>80.872016196979558</v>
      </c>
      <c r="CE40" s="562">
        <f t="shared" si="178"/>
        <v>-50</v>
      </c>
      <c r="CF40">
        <f t="shared" si="179"/>
        <v>-50</v>
      </c>
      <c r="CG40" s="173">
        <f t="shared" si="180"/>
        <v>0.47715792487373476</v>
      </c>
      <c r="CI40" s="170">
        <v>35</v>
      </c>
      <c r="CJ40" s="217">
        <f t="shared" si="114"/>
        <v>0.35</v>
      </c>
      <c r="CK40" s="217"/>
      <c r="CL40" s="217">
        <f t="shared" si="49"/>
        <v>8.3999999999999986</v>
      </c>
      <c r="CM40" s="541">
        <f t="shared" si="50"/>
        <v>24</v>
      </c>
      <c r="CN40" s="172">
        <f t="shared" si="51"/>
        <v>16.3415</v>
      </c>
      <c r="CO40" s="443">
        <f t="shared" si="52"/>
        <v>40.341499999999996</v>
      </c>
      <c r="CP40" s="443"/>
      <c r="CQ40" s="217">
        <f t="shared" si="53"/>
        <v>0.40507913686898112</v>
      </c>
      <c r="CR40" s="172">
        <f t="shared" si="54"/>
        <v>54.360539956785601</v>
      </c>
      <c r="CS40" s="172">
        <f t="shared" si="115"/>
        <v>8.3999999999999986</v>
      </c>
      <c r="CT40" s="217">
        <f t="shared" si="55"/>
        <v>2.2650224981994</v>
      </c>
      <c r="CU40" s="217">
        <f t="shared" si="56"/>
        <v>24</v>
      </c>
      <c r="CV40" s="217">
        <f t="shared" si="57"/>
        <v>2.250439649272117</v>
      </c>
      <c r="CW40" s="172">
        <f t="shared" si="58"/>
        <v>345.02244094680731</v>
      </c>
      <c r="CX40" s="172">
        <f t="shared" si="59"/>
        <v>24</v>
      </c>
      <c r="CY40" s="217">
        <f t="shared" si="60"/>
        <v>1.7280573998714925</v>
      </c>
      <c r="CZ40" s="217">
        <f t="shared" si="61"/>
        <v>0.72002391661312193</v>
      </c>
      <c r="DA40" s="217">
        <f t="shared" si="62"/>
        <v>1.0574655936551067</v>
      </c>
      <c r="DB40" s="197">
        <f t="shared" si="63"/>
        <v>350</v>
      </c>
      <c r="DC40" s="443">
        <f t="shared" si="116"/>
        <v>350</v>
      </c>
      <c r="DE40" s="217">
        <f t="shared" si="64"/>
        <v>2.7776855099587272</v>
      </c>
      <c r="DF40" s="173">
        <f t="shared" si="65"/>
        <v>1.6997738946600542</v>
      </c>
      <c r="DG40" s="173">
        <f t="shared" si="66"/>
        <v>0.55110977087390545</v>
      </c>
      <c r="DH40" s="173"/>
      <c r="DI40" s="173">
        <f t="shared" si="67"/>
        <v>1.3598642855443031</v>
      </c>
      <c r="DJ40" s="545">
        <f t="shared" si="117"/>
        <v>347.28749999999991</v>
      </c>
      <c r="DK40" s="528">
        <f t="shared" si="68"/>
        <v>0.35273368606701955</v>
      </c>
      <c r="DM40" s="173">
        <f t="shared" si="69"/>
        <v>2.2135943621178651</v>
      </c>
      <c r="DN40" s="173">
        <f t="shared" si="70"/>
        <v>2.2222222222222223</v>
      </c>
      <c r="DO40" s="173">
        <f t="shared" si="71"/>
        <v>1.19845</v>
      </c>
      <c r="DQ40" s="545">
        <f t="shared" si="72"/>
        <v>350</v>
      </c>
      <c r="DR40" s="460">
        <f t="shared" si="73"/>
        <v>347.28749999999991</v>
      </c>
      <c r="DT40">
        <f t="shared" si="74"/>
        <v>350</v>
      </c>
      <c r="DU40" s="460">
        <f t="shared" si="75"/>
        <v>347.28749999999991</v>
      </c>
      <c r="DV40" s="460"/>
      <c r="DW40" s="5">
        <f t="shared" si="118"/>
        <v>2.8794586617715878</v>
      </c>
      <c r="DX40" s="5">
        <f t="shared" si="76"/>
        <v>0.92592592592592615</v>
      </c>
      <c r="DY40" s="5">
        <f t="shared" si="119"/>
        <v>1.9535327358456618</v>
      </c>
      <c r="DZ40" s="5">
        <f t="shared" si="77"/>
        <v>1.3598642855443031</v>
      </c>
      <c r="EA40" s="173">
        <f t="shared" si="120"/>
        <v>0.32156249999999997</v>
      </c>
      <c r="EB40" s="173">
        <f t="shared" si="78"/>
        <v>8.5749999999999993</v>
      </c>
      <c r="EC40" s="173">
        <f t="shared" si="79"/>
        <v>0.50279756944444454</v>
      </c>
      <c r="ED40" s="173">
        <f t="shared" si="121"/>
        <v>17.054577271474805</v>
      </c>
      <c r="EE40" s="460">
        <f t="shared" si="80"/>
        <v>1.3503086419753088</v>
      </c>
      <c r="EF40" s="5">
        <f t="shared" si="81"/>
        <v>0.56978038128831776</v>
      </c>
      <c r="EG40" s="5"/>
      <c r="EH40" s="173">
        <f t="shared" si="122"/>
        <v>0.72754449187271086</v>
      </c>
      <c r="EI40" s="173">
        <f t="shared" si="82"/>
        <v>0.70486770896382944</v>
      </c>
      <c r="EJ40" s="173"/>
      <c r="EK40" s="528">
        <f t="shared" si="83"/>
        <v>2.1172839506172842E-2</v>
      </c>
      <c r="EL40" s="528">
        <f t="shared" si="84"/>
        <v>0.85617269718749989</v>
      </c>
      <c r="EM40" s="528">
        <f t="shared" si="85"/>
        <v>6.9457499999999978E-2</v>
      </c>
      <c r="EN40" s="528">
        <f t="shared" si="86"/>
        <v>9.8907969291188169E-2</v>
      </c>
      <c r="EO40">
        <f t="shared" si="87"/>
        <v>1.0800000000000001E-2</v>
      </c>
      <c r="EP40" s="460">
        <f t="shared" si="123"/>
        <v>80.257499999999979</v>
      </c>
      <c r="EQ40" s="528">
        <f t="shared" si="88"/>
        <v>1.0675984043577162</v>
      </c>
      <c r="ER40" s="460">
        <f t="shared" si="124"/>
        <v>1067.5984043577162</v>
      </c>
      <c r="ES40" s="528">
        <f t="shared" si="125"/>
        <v>0.30379999999999996</v>
      </c>
      <c r="ET40" s="528"/>
      <c r="EV40" s="460">
        <f t="shared" si="126"/>
        <v>303.79999999999995</v>
      </c>
      <c r="EW40" s="528">
        <f t="shared" si="89"/>
        <v>1.5879629629629629E-2</v>
      </c>
      <c r="EX40" s="528">
        <f t="shared" si="90"/>
        <v>1.4905154614197532E-2</v>
      </c>
      <c r="EY40" s="528">
        <f t="shared" si="91"/>
        <v>0.82729728623162435</v>
      </c>
      <c r="EZ40" s="528">
        <f t="shared" si="92"/>
        <v>0.86760714659928695</v>
      </c>
      <c r="FA40" s="528">
        <f t="shared" si="93"/>
        <v>0.34299999999999997</v>
      </c>
      <c r="FB40" s="460">
        <f t="shared" si="127"/>
        <v>1210.6071465992868</v>
      </c>
      <c r="FC40" s="173">
        <f t="shared" si="128"/>
        <v>2.5820055509570032</v>
      </c>
      <c r="FD40" s="5">
        <f t="shared" si="129"/>
        <v>8.3999999999999986</v>
      </c>
      <c r="FE40" s="173">
        <f t="shared" si="130"/>
        <v>0.76488761192330668</v>
      </c>
      <c r="FF40" s="5">
        <f t="shared" si="131"/>
        <v>76.488761192330671</v>
      </c>
      <c r="FI40" s="562">
        <f t="shared" si="94"/>
        <v>-50</v>
      </c>
      <c r="FJ40">
        <f t="shared" si="95"/>
        <v>-50</v>
      </c>
      <c r="FL40">
        <f t="shared" si="181"/>
        <v>0.47226386806596693</v>
      </c>
    </row>
    <row r="41" spans="5:168">
      <c r="E41" s="170">
        <v>36</v>
      </c>
      <c r="F41" s="217">
        <f t="shared" si="182"/>
        <v>0.36</v>
      </c>
      <c r="G41" s="217"/>
      <c r="H41" s="217">
        <f t="shared" si="132"/>
        <v>8.64</v>
      </c>
      <c r="I41" s="541">
        <f t="shared" si="133"/>
        <v>23.922231111619105</v>
      </c>
      <c r="J41" s="172">
        <f t="shared" si="134"/>
        <v>16.356327938421238</v>
      </c>
      <c r="K41" s="172">
        <f t="shared" si="135"/>
        <v>40.356327938421238</v>
      </c>
      <c r="L41" s="443"/>
      <c r="M41" s="217">
        <f t="shared" si="136"/>
        <v>0.40608253091547186</v>
      </c>
      <c r="N41" s="172">
        <f t="shared" si="137"/>
        <v>54.318608155306727</v>
      </c>
      <c r="O41" s="172">
        <f t="shared" si="98"/>
        <v>8.64</v>
      </c>
      <c r="P41" s="217">
        <f t="shared" si="138"/>
        <v>2.263275339804447</v>
      </c>
      <c r="Q41" s="217">
        <f t="shared" si="139"/>
        <v>24</v>
      </c>
      <c r="R41" s="217">
        <f t="shared" si="140"/>
        <v>2.2487037395720204</v>
      </c>
      <c r="S41" s="172">
        <f t="shared" si="141"/>
        <v>333.35853273361244</v>
      </c>
      <c r="T41" s="172">
        <f t="shared" si="142"/>
        <v>24</v>
      </c>
      <c r="U41" s="217">
        <f t="shared" si="143"/>
        <v>1.817525710312851</v>
      </c>
      <c r="V41" s="217">
        <f t="shared" si="11"/>
        <v>0.75976429699739545</v>
      </c>
      <c r="W41" s="217">
        <f t="shared" si="144"/>
        <v>1.1112064499779675</v>
      </c>
      <c r="X41" s="197">
        <f t="shared" si="145"/>
        <v>350</v>
      </c>
      <c r="Y41" s="443">
        <f t="shared" si="14"/>
        <v>350</v>
      </c>
      <c r="AA41" s="217">
        <f t="shared" si="146"/>
        <v>2.7755274150003801</v>
      </c>
      <c r="AB41" s="173">
        <f t="shared" si="147"/>
        <v>1.6969135281768402</v>
      </c>
      <c r="AC41" s="173">
        <f t="shared" si="148"/>
        <v>0.54975490889071787</v>
      </c>
      <c r="AD41" s="173"/>
      <c r="AE41" s="173">
        <f t="shared" si="149"/>
        <v>1.3586314914866633</v>
      </c>
      <c r="AF41" s="545">
        <f t="shared" si="150"/>
        <v>357.53412495079692</v>
      </c>
      <c r="AG41" s="528">
        <f t="shared" si="151"/>
        <v>0.35241391298617952</v>
      </c>
      <c r="AI41" s="173">
        <f t="shared" si="152"/>
        <v>2.2460127318307075</v>
      </c>
      <c r="AJ41" s="173">
        <f t="shared" si="153"/>
        <v>2.2460127318307075</v>
      </c>
      <c r="AK41" s="173">
        <f t="shared" si="154"/>
        <v>1.217622599709989</v>
      </c>
      <c r="AM41" s="545">
        <f t="shared" si="155"/>
        <v>360</v>
      </c>
      <c r="AN41" s="460">
        <f t="shared" si="156"/>
        <v>350</v>
      </c>
      <c r="AP41">
        <f t="shared" si="157"/>
        <v>360</v>
      </c>
      <c r="AQ41" s="460">
        <f t="shared" si="158"/>
        <v>350</v>
      </c>
      <c r="AR41" s="460"/>
      <c r="AS41" s="5">
        <f t="shared" si="101"/>
        <v>2.8571428571428572</v>
      </c>
      <c r="AT41" s="5">
        <f t="shared" si="159"/>
        <v>0.9388809602879441</v>
      </c>
      <c r="AU41" s="5">
        <f t="shared" si="102"/>
        <v>1.9182618968549132</v>
      </c>
      <c r="AV41" s="5">
        <f t="shared" si="160"/>
        <v>1.3731766324853349</v>
      </c>
      <c r="AW41" s="173">
        <f t="shared" si="103"/>
        <v>0.32860833610078044</v>
      </c>
      <c r="AX41" s="173">
        <f t="shared" si="161"/>
        <v>8.8280030852048661</v>
      </c>
      <c r="AY41" s="173">
        <f t="shared" si="162"/>
        <v>0.50290273409174391</v>
      </c>
      <c r="AZ41" s="173">
        <f t="shared" si="104"/>
        <v>17.554096422141114</v>
      </c>
      <c r="BA41" s="460">
        <f t="shared" si="163"/>
        <v>1.4083214404319162</v>
      </c>
      <c r="BB41" s="5">
        <f t="shared" si="164"/>
        <v>0.57734939491689341</v>
      </c>
      <c r="BC41" s="5"/>
      <c r="BD41" s="173">
        <f t="shared" si="105"/>
        <v>0.74334577033222249</v>
      </c>
      <c r="BE41" s="173">
        <f t="shared" si="165"/>
        <v>0.70870483014654617</v>
      </c>
      <c r="BF41" s="173"/>
      <c r="BG41" s="528">
        <f t="shared" si="166"/>
        <v>2.2102517370832211E-2</v>
      </c>
      <c r="BH41" s="528">
        <f t="shared" si="167"/>
        <v>0.71379650758208135</v>
      </c>
      <c r="BI41" s="528">
        <f t="shared" si="168"/>
        <v>0.3349112355626675</v>
      </c>
      <c r="BJ41" s="528">
        <f t="shared" si="169"/>
        <v>9.9753783786245651E-2</v>
      </c>
      <c r="BK41">
        <f t="shared" si="170"/>
        <v>1.0765004000228597E-2</v>
      </c>
      <c r="BL41" s="460">
        <f t="shared" si="106"/>
        <v>345.67623956289611</v>
      </c>
      <c r="BM41" s="528">
        <f t="shared" si="171"/>
        <v>0.84606364081844532</v>
      </c>
      <c r="BN41" s="460">
        <f t="shared" si="107"/>
        <v>846.06364081844526</v>
      </c>
      <c r="BO41" s="528">
        <f t="shared" si="172"/>
        <v>0.31247999999999998</v>
      </c>
      <c r="BP41" s="528"/>
      <c r="BR41" s="460">
        <f t="shared" si="109"/>
        <v>312.47999999999996</v>
      </c>
      <c r="BS41" s="528">
        <f t="shared" si="173"/>
        <v>1.6576888028124157E-2</v>
      </c>
      <c r="BT41" s="528">
        <f t="shared" si="174"/>
        <v>1.5067876088191344E-2</v>
      </c>
      <c r="BU41" s="528">
        <f t="shared" si="175"/>
        <v>0.12959999999999999</v>
      </c>
      <c r="BV41" s="528">
        <f t="shared" si="176"/>
        <v>0.16926802323765447</v>
      </c>
      <c r="BW41" s="528">
        <f t="shared" si="177"/>
        <v>0.35312012340819465</v>
      </c>
      <c r="BX41" s="460">
        <f t="shared" si="110"/>
        <v>522.38814664584913</v>
      </c>
      <c r="BY41" s="173">
        <f t="shared" si="45"/>
        <v>2.0266080270271902</v>
      </c>
      <c r="BZ41" s="5">
        <f t="shared" si="111"/>
        <v>8.64</v>
      </c>
      <c r="CA41" s="173">
        <f t="shared" si="112"/>
        <v>0.81000445297210277</v>
      </c>
      <c r="CB41" s="5">
        <f t="shared" si="113"/>
        <v>81.000445297210277</v>
      </c>
      <c r="CE41" s="562">
        <f t="shared" si="178"/>
        <v>-50</v>
      </c>
      <c r="CF41">
        <f t="shared" si="179"/>
        <v>-50</v>
      </c>
      <c r="CG41" s="173">
        <f t="shared" si="180"/>
        <v>0.48581264605756069</v>
      </c>
      <c r="CI41" s="170">
        <v>36</v>
      </c>
      <c r="CJ41" s="217">
        <f t="shared" si="114"/>
        <v>0.36</v>
      </c>
      <c r="CK41" s="217"/>
      <c r="CL41" s="217">
        <f t="shared" si="49"/>
        <v>8.64</v>
      </c>
      <c r="CM41" s="541">
        <f t="shared" si="50"/>
        <v>24</v>
      </c>
      <c r="CN41" s="172">
        <f t="shared" si="51"/>
        <v>16.3415</v>
      </c>
      <c r="CO41" s="443">
        <f t="shared" si="52"/>
        <v>40.341499999999996</v>
      </c>
      <c r="CP41" s="443"/>
      <c r="CQ41" s="217">
        <f t="shared" si="53"/>
        <v>0.40507913686898112</v>
      </c>
      <c r="CR41" s="172">
        <f t="shared" si="54"/>
        <v>54.360539956785601</v>
      </c>
      <c r="CS41" s="172">
        <f t="shared" si="115"/>
        <v>8.64</v>
      </c>
      <c r="CT41" s="217">
        <f t="shared" si="55"/>
        <v>2.2650224981994</v>
      </c>
      <c r="CU41" s="217">
        <f t="shared" si="56"/>
        <v>24</v>
      </c>
      <c r="CV41" s="217">
        <f t="shared" si="57"/>
        <v>2.250439649272117</v>
      </c>
      <c r="CW41" s="172">
        <f t="shared" si="58"/>
        <v>334.44207515355509</v>
      </c>
      <c r="CX41" s="172">
        <f t="shared" si="59"/>
        <v>24</v>
      </c>
      <c r="CY41" s="217">
        <f t="shared" si="60"/>
        <v>1.7774304684392499</v>
      </c>
      <c r="CZ41" s="217">
        <f t="shared" si="61"/>
        <v>0.74059602851635409</v>
      </c>
      <c r="DA41" s="217">
        <f t="shared" si="62"/>
        <v>1.0876788963309671</v>
      </c>
      <c r="DB41" s="197">
        <f t="shared" si="63"/>
        <v>350</v>
      </c>
      <c r="DC41" s="443">
        <f t="shared" si="116"/>
        <v>350</v>
      </c>
      <c r="DE41" s="217">
        <f t="shared" si="64"/>
        <v>2.7776855099587272</v>
      </c>
      <c r="DF41" s="173">
        <f t="shared" si="65"/>
        <v>1.6997738946600542</v>
      </c>
      <c r="DG41" s="173">
        <f t="shared" si="66"/>
        <v>0.55110977087390545</v>
      </c>
      <c r="DH41" s="173"/>
      <c r="DI41" s="173">
        <f t="shared" si="67"/>
        <v>1.3598642855443031</v>
      </c>
      <c r="DJ41" s="545">
        <f t="shared" si="117"/>
        <v>357.20999999999987</v>
      </c>
      <c r="DK41" s="528">
        <f t="shared" si="68"/>
        <v>0.35273368606701955</v>
      </c>
      <c r="DM41" s="173">
        <f t="shared" si="69"/>
        <v>2.2449944320643644</v>
      </c>
      <c r="DN41" s="173">
        <f t="shared" si="70"/>
        <v>2.2449944320643644</v>
      </c>
      <c r="DO41" s="173">
        <f t="shared" si="71"/>
        <v>1.216868303586772</v>
      </c>
      <c r="DQ41" s="545">
        <f t="shared" si="72"/>
        <v>360</v>
      </c>
      <c r="DR41" s="460">
        <f t="shared" si="73"/>
        <v>350</v>
      </c>
      <c r="DT41">
        <f t="shared" si="74"/>
        <v>360</v>
      </c>
      <c r="DU41" s="460">
        <f t="shared" si="75"/>
        <v>350</v>
      </c>
      <c r="DV41" s="460"/>
      <c r="DW41" s="5">
        <f t="shared" si="118"/>
        <v>2.8571428571428572</v>
      </c>
      <c r="DX41" s="5">
        <f t="shared" si="76"/>
        <v>0.93541434669348522</v>
      </c>
      <c r="DY41" s="5">
        <f t="shared" si="119"/>
        <v>1.921728510449372</v>
      </c>
      <c r="DZ41" s="5">
        <f t="shared" si="77"/>
        <v>1.3737994872345651</v>
      </c>
      <c r="EA41" s="173">
        <f t="shared" si="120"/>
        <v>0.32739502134271981</v>
      </c>
      <c r="EB41" s="173">
        <f t="shared" si="78"/>
        <v>8.8199999999999985</v>
      </c>
      <c r="EC41" s="173">
        <f t="shared" si="79"/>
        <v>0.50358314309346563</v>
      </c>
      <c r="ED41" s="173">
        <f t="shared" si="121"/>
        <v>17.514486179619791</v>
      </c>
      <c r="EE41" s="460">
        <f t="shared" si="80"/>
        <v>1.4031215200402276</v>
      </c>
      <c r="EF41" s="5">
        <f t="shared" si="81"/>
        <v>0.5765185531348116</v>
      </c>
      <c r="EG41" s="5"/>
      <c r="EH41" s="173">
        <f t="shared" si="122"/>
        <v>0.7416357838290768</v>
      </c>
      <c r="EI41" s="173">
        <f t="shared" si="82"/>
        <v>0.70902331038391286</v>
      </c>
      <c r="EJ41" s="173"/>
      <c r="EK41" s="528">
        <f t="shared" si="83"/>
        <v>2.2000945434230767E-2</v>
      </c>
      <c r="EL41" s="528">
        <f t="shared" si="84"/>
        <v>0.87170201273082371</v>
      </c>
      <c r="EM41" s="528">
        <f t="shared" si="85"/>
        <v>6.9999999999999993E-2</v>
      </c>
      <c r="EN41" s="528">
        <f t="shared" si="86"/>
        <v>9.968049311281249E-2</v>
      </c>
      <c r="EO41">
        <f t="shared" si="87"/>
        <v>1.0800000000000001E-2</v>
      </c>
      <c r="EP41" s="460">
        <f t="shared" si="123"/>
        <v>80.8</v>
      </c>
      <c r="EQ41" s="528">
        <f t="shared" si="88"/>
        <v>1.0857996423443623</v>
      </c>
      <c r="ER41" s="460">
        <f t="shared" si="124"/>
        <v>1085.7996423443624</v>
      </c>
      <c r="ES41" s="528">
        <f t="shared" si="125"/>
        <v>0.31247999999999998</v>
      </c>
      <c r="ET41" s="528"/>
      <c r="EV41" s="460">
        <f t="shared" si="126"/>
        <v>312.47999999999996</v>
      </c>
      <c r="EW41" s="528">
        <f t="shared" si="89"/>
        <v>1.6500709075673074E-2</v>
      </c>
      <c r="EX41" s="528">
        <f t="shared" si="90"/>
        <v>1.5081421640032872E-2</v>
      </c>
      <c r="EY41" s="528">
        <f t="shared" si="91"/>
        <v>0.86532307670260289</v>
      </c>
      <c r="EZ41" s="528">
        <f t="shared" si="92"/>
        <v>0.90677595212206052</v>
      </c>
      <c r="FA41" s="528">
        <f t="shared" si="93"/>
        <v>0.35279999999999989</v>
      </c>
      <c r="FB41" s="460">
        <f t="shared" si="127"/>
        <v>1259.5759521220605</v>
      </c>
      <c r="FC41" s="173">
        <f t="shared" si="128"/>
        <v>2.6578555944664224</v>
      </c>
      <c r="FD41" s="5">
        <f t="shared" si="129"/>
        <v>8.64</v>
      </c>
      <c r="FE41" s="173">
        <f t="shared" si="130"/>
        <v>0.76474689623682091</v>
      </c>
      <c r="FF41" s="5">
        <f t="shared" si="131"/>
        <v>76.474689623682096</v>
      </c>
      <c r="FI41" s="562">
        <f t="shared" si="94"/>
        <v>-50</v>
      </c>
      <c r="FJ41">
        <f t="shared" si="95"/>
        <v>-50</v>
      </c>
      <c r="FL41">
        <f t="shared" si="181"/>
        <v>0.48082982053209788</v>
      </c>
    </row>
    <row r="42" spans="5:168">
      <c r="E42" s="170">
        <v>37</v>
      </c>
      <c r="F42" s="217">
        <f t="shared" si="182"/>
        <v>0.37</v>
      </c>
      <c r="G42" s="217"/>
      <c r="H42" s="217">
        <f t="shared" si="132"/>
        <v>8.879999999999999</v>
      </c>
      <c r="I42" s="541">
        <f t="shared" si="133"/>
        <v>23.921158386622292</v>
      </c>
      <c r="J42" s="172">
        <f t="shared" si="134"/>
        <v>16.356532471371715</v>
      </c>
      <c r="K42" s="172">
        <f t="shared" si="135"/>
        <v>40.356532471371715</v>
      </c>
      <c r="L42" s="443"/>
      <c r="M42" s="217">
        <f t="shared" si="136"/>
        <v>0.40609639336020648</v>
      </c>
      <c r="N42" s="172">
        <f t="shared" si="137"/>
        <v>54.318026582391035</v>
      </c>
      <c r="O42" s="172">
        <f t="shared" si="98"/>
        <v>8.879999999999999</v>
      </c>
      <c r="P42" s="217">
        <f t="shared" si="138"/>
        <v>2.2632511075996264</v>
      </c>
      <c r="Q42" s="217">
        <f t="shared" si="139"/>
        <v>24</v>
      </c>
      <c r="R42" s="217">
        <f t="shared" si="140"/>
        <v>2.2486796633809178</v>
      </c>
      <c r="S42" s="172">
        <f t="shared" si="141"/>
        <v>323.36811459143956</v>
      </c>
      <c r="T42" s="172">
        <f t="shared" si="142"/>
        <v>24</v>
      </c>
      <c r="U42" s="217">
        <f t="shared" si="143"/>
        <v>1.8680561373223061</v>
      </c>
      <c r="V42" s="217">
        <f t="shared" si="11"/>
        <v>0.7809221054976172</v>
      </c>
      <c r="W42" s="217">
        <f t="shared" si="144"/>
        <v>1.1420856716372507</v>
      </c>
      <c r="X42" s="197">
        <f t="shared" si="145"/>
        <v>350</v>
      </c>
      <c r="Y42" s="443">
        <f t="shared" si="14"/>
        <v>350</v>
      </c>
      <c r="AA42" s="217">
        <f t="shared" si="146"/>
        <v>2.7754974852179073</v>
      </c>
      <c r="AB42" s="173">
        <f t="shared" si="147"/>
        <v>1.6968740104761</v>
      </c>
      <c r="AC42" s="173">
        <f t="shared" si="148"/>
        <v>0.54973617808461861</v>
      </c>
      <c r="AD42" s="173"/>
      <c r="AE42" s="173">
        <f t="shared" si="149"/>
        <v>1.3586145022557214</v>
      </c>
      <c r="AF42" s="545">
        <f t="shared" si="150"/>
        <v>367.4702235135008</v>
      </c>
      <c r="AG42" s="528">
        <f t="shared" si="151"/>
        <v>0.35240950616844241</v>
      </c>
      <c r="AI42" s="173">
        <f t="shared" si="152"/>
        <v>2.2770079179466083</v>
      </c>
      <c r="AJ42" s="173">
        <f t="shared" si="153"/>
        <v>2.2770079179466083</v>
      </c>
      <c r="AK42" s="173">
        <f t="shared" si="154"/>
        <v>1.2405819968328784</v>
      </c>
      <c r="AM42" s="545">
        <f t="shared" si="155"/>
        <v>370</v>
      </c>
      <c r="AN42" s="460">
        <f t="shared" si="156"/>
        <v>350</v>
      </c>
      <c r="AP42">
        <f t="shared" si="157"/>
        <v>370</v>
      </c>
      <c r="AQ42" s="460">
        <f t="shared" si="158"/>
        <v>350</v>
      </c>
      <c r="AR42" s="460"/>
      <c r="AS42" s="5">
        <f t="shared" si="101"/>
        <v>2.8571428571428572</v>
      </c>
      <c r="AT42" s="5">
        <f t="shared" si="159"/>
        <v>0.95188028988596396</v>
      </c>
      <c r="AU42" s="5">
        <f t="shared" si="102"/>
        <v>1.9052625672568932</v>
      </c>
      <c r="AV42" s="5">
        <f t="shared" si="160"/>
        <v>1.3921091905830154</v>
      </c>
      <c r="AW42" s="173">
        <f t="shared" si="103"/>
        <v>0.3331581014600874</v>
      </c>
      <c r="AX42" s="173">
        <f t="shared" si="161"/>
        <v>9.0733388521852092</v>
      </c>
      <c r="AY42" s="173">
        <f t="shared" si="162"/>
        <v>0.50638782837847562</v>
      </c>
      <c r="AZ42" s="173">
        <f t="shared" si="104"/>
        <v>17.917766470097245</v>
      </c>
      <c r="BA42" s="460">
        <f t="shared" si="163"/>
        <v>1.4674821135741942</v>
      </c>
      <c r="BB42" s="5">
        <f t="shared" si="164"/>
        <v>0.58939215107516374</v>
      </c>
      <c r="BC42" s="5"/>
      <c r="BD42" s="173">
        <f t="shared" si="105"/>
        <v>0.75880311090785768</v>
      </c>
      <c r="BE42" s="173">
        <f t="shared" si="165"/>
        <v>0.71604643527791223</v>
      </c>
      <c r="BF42" s="173"/>
      <c r="BG42" s="528">
        <f t="shared" si="166"/>
        <v>2.3031286444937706E-2</v>
      </c>
      <c r="BH42" s="528">
        <f t="shared" si="167"/>
        <v>0.7236506338281895</v>
      </c>
      <c r="BI42" s="528">
        <f t="shared" si="168"/>
        <v>0.33489621741271208</v>
      </c>
      <c r="BJ42" s="528">
        <f t="shared" si="169"/>
        <v>9.9754794928163873E-2</v>
      </c>
      <c r="BK42">
        <f t="shared" si="170"/>
        <v>1.076452127398003E-2</v>
      </c>
      <c r="BL42" s="460">
        <f t="shared" si="106"/>
        <v>345.66073868669213</v>
      </c>
      <c r="BM42" s="528">
        <f t="shared" si="171"/>
        <v>0.85734676436307855</v>
      </c>
      <c r="BN42" s="460">
        <f t="shared" si="107"/>
        <v>857.34676436307859</v>
      </c>
      <c r="BO42" s="528">
        <f t="shared" si="172"/>
        <v>0.32116</v>
      </c>
      <c r="BP42" s="528"/>
      <c r="BR42" s="460">
        <f t="shared" si="109"/>
        <v>321.16000000000003</v>
      </c>
      <c r="BS42" s="528">
        <f t="shared" si="173"/>
        <v>1.7273464833703279E-2</v>
      </c>
      <c r="BT42" s="528">
        <f t="shared" si="174"/>
        <v>1.5381674924226161E-2</v>
      </c>
      <c r="BU42" s="528">
        <f t="shared" si="175"/>
        <v>0.13319999999999999</v>
      </c>
      <c r="BV42" s="528">
        <f t="shared" si="176"/>
        <v>0.1741473176996686</v>
      </c>
      <c r="BW42" s="528">
        <f t="shared" si="177"/>
        <v>0.36293355408740841</v>
      </c>
      <c r="BX42" s="460">
        <f t="shared" si="110"/>
        <v>537.08087178707694</v>
      </c>
      <c r="BY42" s="173">
        <f t="shared" si="45"/>
        <v>2.0612483748368478</v>
      </c>
      <c r="BZ42" s="5">
        <f t="shared" si="111"/>
        <v>8.879999999999999</v>
      </c>
      <c r="CA42" s="173">
        <f t="shared" si="112"/>
        <v>0.81160756942714196</v>
      </c>
      <c r="CB42" s="5">
        <f t="shared" si="113"/>
        <v>81.160756942714201</v>
      </c>
      <c r="CE42" s="562">
        <f t="shared" si="178"/>
        <v>-50</v>
      </c>
      <c r="CF42">
        <f t="shared" si="179"/>
        <v>-50</v>
      </c>
      <c r="CG42" s="173">
        <f t="shared" si="180"/>
        <v>0.49251382669732685</v>
      </c>
      <c r="CI42" s="170">
        <v>37</v>
      </c>
      <c r="CJ42" s="217">
        <f t="shared" si="114"/>
        <v>0.37</v>
      </c>
      <c r="CK42" s="217"/>
      <c r="CL42" s="217">
        <f t="shared" si="49"/>
        <v>8.879999999999999</v>
      </c>
      <c r="CM42" s="541">
        <f t="shared" si="50"/>
        <v>24</v>
      </c>
      <c r="CN42" s="172">
        <f t="shared" si="51"/>
        <v>16.3415</v>
      </c>
      <c r="CO42" s="443">
        <f t="shared" si="52"/>
        <v>40.341499999999996</v>
      </c>
      <c r="CP42" s="443"/>
      <c r="CQ42" s="217">
        <f t="shared" si="53"/>
        <v>0.40507913686898112</v>
      </c>
      <c r="CR42" s="172">
        <f t="shared" si="54"/>
        <v>54.360539956785601</v>
      </c>
      <c r="CS42" s="172">
        <f t="shared" si="115"/>
        <v>8.879999999999999</v>
      </c>
      <c r="CT42" s="217">
        <f t="shared" si="55"/>
        <v>2.2650224981994</v>
      </c>
      <c r="CU42" s="217">
        <f t="shared" si="56"/>
        <v>24</v>
      </c>
      <c r="CV42" s="217">
        <f t="shared" si="57"/>
        <v>2.250439649272117</v>
      </c>
      <c r="CW42" s="172">
        <f t="shared" si="58"/>
        <v>324.43371959355494</v>
      </c>
      <c r="CX42" s="172">
        <f t="shared" si="59"/>
        <v>24</v>
      </c>
      <c r="CY42" s="217">
        <f t="shared" si="60"/>
        <v>1.8268035370070064</v>
      </c>
      <c r="CZ42" s="217">
        <f t="shared" si="61"/>
        <v>0.76116814041958603</v>
      </c>
      <c r="DA42" s="217">
        <f t="shared" si="62"/>
        <v>1.1178921990068269</v>
      </c>
      <c r="DB42" s="197">
        <f t="shared" si="63"/>
        <v>350</v>
      </c>
      <c r="DC42" s="443">
        <f t="shared" si="116"/>
        <v>350</v>
      </c>
      <c r="DE42" s="217">
        <f t="shared" si="64"/>
        <v>2.7776855099587272</v>
      </c>
      <c r="DF42" s="173">
        <f t="shared" si="65"/>
        <v>1.6997738946600542</v>
      </c>
      <c r="DG42" s="173">
        <f t="shared" si="66"/>
        <v>0.55110977087390545</v>
      </c>
      <c r="DH42" s="173"/>
      <c r="DI42" s="173">
        <f t="shared" si="67"/>
        <v>1.3598642855443031</v>
      </c>
      <c r="DJ42" s="545">
        <f t="shared" si="117"/>
        <v>367.13249999999988</v>
      </c>
      <c r="DK42" s="528">
        <f t="shared" si="68"/>
        <v>0.35273368606701955</v>
      </c>
      <c r="DM42" s="173">
        <f t="shared" si="69"/>
        <v>2.275961335348208</v>
      </c>
      <c r="DN42" s="173">
        <f t="shared" si="70"/>
        <v>2.275961335348208</v>
      </c>
      <c r="DO42" s="173">
        <f t="shared" si="71"/>
        <v>1.2398067504636932</v>
      </c>
      <c r="DQ42" s="545">
        <f t="shared" si="72"/>
        <v>370</v>
      </c>
      <c r="DR42" s="460">
        <f t="shared" si="73"/>
        <v>350</v>
      </c>
      <c r="DT42">
        <f t="shared" si="74"/>
        <v>370</v>
      </c>
      <c r="DU42" s="460">
        <f t="shared" si="75"/>
        <v>350</v>
      </c>
      <c r="DV42" s="460"/>
      <c r="DW42" s="5">
        <f t="shared" si="118"/>
        <v>2.8571428571428572</v>
      </c>
      <c r="DX42" s="5">
        <f t="shared" si="76"/>
        <v>0.94831722306175348</v>
      </c>
      <c r="DY42" s="5">
        <f t="shared" si="119"/>
        <v>1.9088256340811038</v>
      </c>
      <c r="DZ42" s="5">
        <f t="shared" si="77"/>
        <v>1.3927493408488867</v>
      </c>
      <c r="EA42" s="173">
        <f t="shared" si="120"/>
        <v>0.33191102807161371</v>
      </c>
      <c r="EB42" s="173">
        <f t="shared" si="78"/>
        <v>9.0649999999999959</v>
      </c>
      <c r="EC42" s="173">
        <f t="shared" si="79"/>
        <v>0.50710164700529414</v>
      </c>
      <c r="ED42" s="173">
        <f t="shared" si="121"/>
        <v>17.876100488992016</v>
      </c>
      <c r="EE42" s="460">
        <f t="shared" si="80"/>
        <v>1.4619890522202033</v>
      </c>
      <c r="EF42" s="5">
        <f t="shared" si="81"/>
        <v>0.58855457050834015</v>
      </c>
      <c r="EG42" s="5"/>
      <c r="EH42" s="173">
        <f t="shared" si="122"/>
        <v>0.75703349230421735</v>
      </c>
      <c r="EI42" s="173">
        <f t="shared" si="82"/>
        <v>0.71638624391107242</v>
      </c>
      <c r="EJ42" s="173"/>
      <c r="EK42" s="528">
        <f t="shared" si="83"/>
        <v>2.2923988338812783E-2</v>
      </c>
      <c r="EL42" s="528">
        <f t="shared" si="84"/>
        <v>0.8837260567707661</v>
      </c>
      <c r="EM42" s="528">
        <f t="shared" si="85"/>
        <v>6.9999999999999993E-2</v>
      </c>
      <c r="EN42" s="528">
        <f t="shared" si="86"/>
        <v>9.968049311281249E-2</v>
      </c>
      <c r="EO42">
        <f t="shared" si="87"/>
        <v>1.0800000000000001E-2</v>
      </c>
      <c r="EP42" s="460">
        <f t="shared" si="123"/>
        <v>80.8</v>
      </c>
      <c r="EQ42" s="528">
        <f t="shared" si="88"/>
        <v>1.0993076576576295</v>
      </c>
      <c r="ER42" s="460">
        <f t="shared" si="124"/>
        <v>1099.3076576576295</v>
      </c>
      <c r="ES42" s="528">
        <f t="shared" si="125"/>
        <v>0.32116</v>
      </c>
      <c r="ET42" s="528"/>
      <c r="EV42" s="460">
        <f t="shared" si="126"/>
        <v>321.16000000000003</v>
      </c>
      <c r="EW42" s="528">
        <f t="shared" si="89"/>
        <v>1.7192991254109585E-2</v>
      </c>
      <c r="EX42" s="528">
        <f t="shared" si="90"/>
        <v>1.5396277513950436E-2</v>
      </c>
      <c r="EY42" s="528">
        <f t="shared" si="91"/>
        <v>0.8954726272319532</v>
      </c>
      <c r="EZ42" s="528">
        <f t="shared" si="92"/>
        <v>0.93832967875185902</v>
      </c>
      <c r="FA42" s="528">
        <f t="shared" si="93"/>
        <v>0.36259999999999987</v>
      </c>
      <c r="FB42" s="460">
        <f t="shared" si="127"/>
        <v>1300.929678751859</v>
      </c>
      <c r="FC42" s="173">
        <f t="shared" si="128"/>
        <v>2.7213973364094888</v>
      </c>
      <c r="FD42" s="5">
        <f t="shared" si="129"/>
        <v>8.879999999999999</v>
      </c>
      <c r="FE42" s="173">
        <f t="shared" si="130"/>
        <v>0.76542503825218244</v>
      </c>
      <c r="FF42" s="5">
        <f t="shared" si="131"/>
        <v>76.542503825218247</v>
      </c>
      <c r="FI42" s="562">
        <f t="shared" si="94"/>
        <v>-50</v>
      </c>
      <c r="FJ42">
        <f t="shared" si="95"/>
        <v>-50</v>
      </c>
      <c r="FL42">
        <f t="shared" si="181"/>
        <v>0.4874622692971104</v>
      </c>
    </row>
    <row r="43" spans="5:168">
      <c r="E43" s="170">
        <v>38</v>
      </c>
      <c r="F43" s="217">
        <f t="shared" si="182"/>
        <v>0.38</v>
      </c>
      <c r="G43" s="217"/>
      <c r="H43" s="217">
        <f t="shared" si="132"/>
        <v>9.120000000000001</v>
      </c>
      <c r="I43" s="541">
        <f t="shared" si="133"/>
        <v>23.920100062578246</v>
      </c>
      <c r="J43" s="172">
        <f t="shared" si="134"/>
        <v>16.356734258539841</v>
      </c>
      <c r="K43" s="172">
        <f t="shared" si="135"/>
        <v>40.356734258539845</v>
      </c>
      <c r="L43" s="443"/>
      <c r="M43" s="217">
        <f t="shared" si="136"/>
        <v>0.40611007029074958</v>
      </c>
      <c r="N43" s="172">
        <f t="shared" si="137"/>
        <v>54.317452732058882</v>
      </c>
      <c r="O43" s="172">
        <f t="shared" si="98"/>
        <v>9.120000000000001</v>
      </c>
      <c r="P43" s="217">
        <f t="shared" si="138"/>
        <v>2.2632271971691202</v>
      </c>
      <c r="Q43" s="217">
        <f t="shared" si="139"/>
        <v>24</v>
      </c>
      <c r="R43" s="217">
        <f t="shared" si="140"/>
        <v>2.248655906892457</v>
      </c>
      <c r="S43" s="172">
        <f t="shared" si="141"/>
        <v>313.90387834547158</v>
      </c>
      <c r="T43" s="172">
        <f t="shared" si="142"/>
        <v>24</v>
      </c>
      <c r="U43" s="217">
        <f t="shared" si="143"/>
        <v>1.918588323959963</v>
      </c>
      <c r="V43" s="217">
        <f t="shared" si="11"/>
        <v>0.80208206443145069</v>
      </c>
      <c r="W43" s="217">
        <f t="shared" si="144"/>
        <v>1.172965393723548</v>
      </c>
      <c r="X43" s="197">
        <f t="shared" si="145"/>
        <v>350</v>
      </c>
      <c r="Y43" s="443">
        <f t="shared" si="14"/>
        <v>350</v>
      </c>
      <c r="AA43" s="217">
        <f t="shared" si="146"/>
        <v>2.775467952917261</v>
      </c>
      <c r="AB43" s="173">
        <f t="shared" si="147"/>
        <v>1.6968350216169779</v>
      </c>
      <c r="AC43" s="173">
        <f t="shared" si="148"/>
        <v>0.54971769760804545</v>
      </c>
      <c r="AD43" s="173"/>
      <c r="AE43" s="173">
        <f t="shared" si="149"/>
        <v>1.3585977415155486</v>
      </c>
      <c r="AF43" s="545">
        <f t="shared" si="150"/>
        <v>377.4065071048397</v>
      </c>
      <c r="AG43" s="528">
        <f t="shared" si="151"/>
        <v>0.352405158618672</v>
      </c>
      <c r="AI43" s="173">
        <f t="shared" si="152"/>
        <v>2.3075873842328822</v>
      </c>
      <c r="AJ43" s="173">
        <f t="shared" si="153"/>
        <v>2.3075873842328822</v>
      </c>
      <c r="AK43" s="173">
        <f t="shared" si="154"/>
        <v>1.2632334533412295</v>
      </c>
      <c r="AM43" s="545">
        <f t="shared" si="155"/>
        <v>380</v>
      </c>
      <c r="AN43" s="460">
        <f t="shared" si="156"/>
        <v>350</v>
      </c>
      <c r="AP43">
        <f t="shared" si="157"/>
        <v>380</v>
      </c>
      <c r="AQ43" s="460">
        <f t="shared" si="158"/>
        <v>350</v>
      </c>
      <c r="AR43" s="460"/>
      <c r="AS43" s="5">
        <f t="shared" si="101"/>
        <v>2.8571428571428572</v>
      </c>
      <c r="AT43" s="5">
        <f t="shared" si="159"/>
        <v>0.96470640933604757</v>
      </c>
      <c r="AU43" s="5">
        <f t="shared" si="102"/>
        <v>1.8924364478068096</v>
      </c>
      <c r="AV43" s="5">
        <f t="shared" si="160"/>
        <v>1.4107873538558544</v>
      </c>
      <c r="AW43" s="173">
        <f t="shared" si="103"/>
        <v>0.33764724326761664</v>
      </c>
      <c r="AX43" s="173">
        <f t="shared" si="161"/>
        <v>9.3186791877738244</v>
      </c>
      <c r="AY43" s="173">
        <f t="shared" si="162"/>
        <v>0.50973369459339757</v>
      </c>
      <c r="AZ43" s="173">
        <f t="shared" si="104"/>
        <v>18.281465962745731</v>
      </c>
      <c r="BA43" s="460">
        <f t="shared" si="163"/>
        <v>1.5274518147820753</v>
      </c>
      <c r="BB43" s="5">
        <f t="shared" si="164"/>
        <v>0.60127327919637141</v>
      </c>
      <c r="BC43" s="5"/>
      <c r="BD43" s="173">
        <f t="shared" si="105"/>
        <v>0.77415715626703085</v>
      </c>
      <c r="BE43" s="173">
        <f t="shared" si="165"/>
        <v>0.72321601828487736</v>
      </c>
      <c r="BF43" s="173"/>
      <c r="BG43" s="528">
        <f t="shared" si="166"/>
        <v>2.3972772103978239E-2</v>
      </c>
      <c r="BH43" s="528">
        <f t="shared" si="167"/>
        <v>0.73337269039528341</v>
      </c>
      <c r="BI43" s="528">
        <f t="shared" si="168"/>
        <v>0.33488140087609547</v>
      </c>
      <c r="BJ43" s="528">
        <f t="shared" si="169"/>
        <v>9.9755792500882234E-2</v>
      </c>
      <c r="BK43">
        <f t="shared" si="170"/>
        <v>1.076404502816021E-2</v>
      </c>
      <c r="BL43" s="460">
        <f t="shared" si="106"/>
        <v>345.64544590425567</v>
      </c>
      <c r="BM43" s="528">
        <f t="shared" si="171"/>
        <v>0.86852093850366241</v>
      </c>
      <c r="BN43" s="460">
        <f t="shared" si="107"/>
        <v>868.52093850366236</v>
      </c>
      <c r="BO43" s="528">
        <f t="shared" si="172"/>
        <v>0.32983999999999997</v>
      </c>
      <c r="BP43" s="528"/>
      <c r="BR43" s="460">
        <f t="shared" si="109"/>
        <v>329.84</v>
      </c>
      <c r="BS43" s="528">
        <f t="shared" si="173"/>
        <v>1.7979579077983678E-2</v>
      </c>
      <c r="BT43" s="528">
        <f t="shared" si="174"/>
        <v>1.5691242273114959E-2</v>
      </c>
      <c r="BU43" s="528">
        <f t="shared" si="175"/>
        <v>0.1368</v>
      </c>
      <c r="BV43" s="528">
        <f t="shared" si="176"/>
        <v>0.1790340764276146</v>
      </c>
      <c r="BW43" s="528">
        <f t="shared" si="177"/>
        <v>0.37274716751095288</v>
      </c>
      <c r="BX43" s="460">
        <f t="shared" si="110"/>
        <v>551.7812439385674</v>
      </c>
      <c r="BY43" s="173">
        <f t="shared" si="45"/>
        <v>2.0957876283464856</v>
      </c>
      <c r="BZ43" s="5">
        <f t="shared" si="111"/>
        <v>9.120000000000001</v>
      </c>
      <c r="CA43" s="173">
        <f t="shared" si="112"/>
        <v>0.81313950497336029</v>
      </c>
      <c r="CB43" s="5">
        <f t="shared" si="113"/>
        <v>81.313950497336023</v>
      </c>
      <c r="CE43" s="562">
        <f t="shared" si="178"/>
        <v>-50</v>
      </c>
      <c r="CF43">
        <f t="shared" si="179"/>
        <v>-50</v>
      </c>
      <c r="CG43" s="173">
        <f t="shared" si="180"/>
        <v>0.49912504636277316</v>
      </c>
      <c r="CI43" s="170">
        <v>38</v>
      </c>
      <c r="CJ43" s="217">
        <f t="shared" si="114"/>
        <v>0.38</v>
      </c>
      <c r="CK43" s="217"/>
      <c r="CL43" s="217">
        <f t="shared" si="49"/>
        <v>9.120000000000001</v>
      </c>
      <c r="CM43" s="541">
        <f t="shared" si="50"/>
        <v>24</v>
      </c>
      <c r="CN43" s="172">
        <f t="shared" si="51"/>
        <v>16.3415</v>
      </c>
      <c r="CO43" s="443">
        <f t="shared" si="52"/>
        <v>40.341499999999996</v>
      </c>
      <c r="CP43" s="443"/>
      <c r="CQ43" s="217">
        <f t="shared" si="53"/>
        <v>0.40507913686898112</v>
      </c>
      <c r="CR43" s="172">
        <f t="shared" si="54"/>
        <v>54.360539956785601</v>
      </c>
      <c r="CS43" s="172">
        <f t="shared" si="115"/>
        <v>9.120000000000001</v>
      </c>
      <c r="CT43" s="217">
        <f t="shared" si="55"/>
        <v>2.2650224981994</v>
      </c>
      <c r="CU43" s="217">
        <f t="shared" si="56"/>
        <v>24</v>
      </c>
      <c r="CV43" s="217">
        <f t="shared" si="57"/>
        <v>2.250439649272117</v>
      </c>
      <c r="CW43" s="172">
        <f t="shared" si="58"/>
        <v>314.95221641076262</v>
      </c>
      <c r="CX43" s="172">
        <f t="shared" si="59"/>
        <v>24</v>
      </c>
      <c r="CY43" s="217">
        <f t="shared" si="60"/>
        <v>1.8761766055747637</v>
      </c>
      <c r="CZ43" s="217">
        <f t="shared" si="61"/>
        <v>0.7817402523228183</v>
      </c>
      <c r="DA43" s="217">
        <f t="shared" si="62"/>
        <v>1.1481055016826875</v>
      </c>
      <c r="DB43" s="197">
        <f t="shared" si="63"/>
        <v>350</v>
      </c>
      <c r="DC43" s="443">
        <f t="shared" si="116"/>
        <v>350</v>
      </c>
      <c r="DE43" s="217">
        <f t="shared" si="64"/>
        <v>2.7776855099587272</v>
      </c>
      <c r="DF43" s="173">
        <f t="shared" si="65"/>
        <v>1.6997738946600542</v>
      </c>
      <c r="DG43" s="173">
        <f t="shared" si="66"/>
        <v>0.55110977087390545</v>
      </c>
      <c r="DH43" s="173"/>
      <c r="DI43" s="173">
        <f t="shared" si="67"/>
        <v>1.3598642855443031</v>
      </c>
      <c r="DJ43" s="545">
        <f t="shared" si="117"/>
        <v>377.05499999999989</v>
      </c>
      <c r="DK43" s="528">
        <f t="shared" si="68"/>
        <v>0.35273368606701955</v>
      </c>
      <c r="DM43" s="173">
        <f t="shared" si="69"/>
        <v>2.3065125189341589</v>
      </c>
      <c r="DN43" s="173">
        <f t="shared" si="70"/>
        <v>2.3065125189341589</v>
      </c>
      <c r="DO43" s="173">
        <f t="shared" si="71"/>
        <v>1.2624372568236566</v>
      </c>
      <c r="DQ43" s="545">
        <f t="shared" si="72"/>
        <v>380</v>
      </c>
      <c r="DR43" s="460">
        <f t="shared" si="73"/>
        <v>350</v>
      </c>
      <c r="DT43">
        <f t="shared" si="74"/>
        <v>380</v>
      </c>
      <c r="DU43" s="460">
        <f t="shared" si="75"/>
        <v>350</v>
      </c>
      <c r="DV43" s="460"/>
      <c r="DW43" s="5">
        <f t="shared" si="118"/>
        <v>2.8571428571428572</v>
      </c>
      <c r="DX43" s="5">
        <f t="shared" si="76"/>
        <v>0.96104688288923301</v>
      </c>
      <c r="DY43" s="5">
        <f t="shared" si="119"/>
        <v>1.8960959742536243</v>
      </c>
      <c r="DZ43" s="5">
        <f t="shared" si="77"/>
        <v>1.4114447993967256</v>
      </c>
      <c r="EA43" s="173">
        <f t="shared" si="120"/>
        <v>0.33636640901123155</v>
      </c>
      <c r="EB43" s="173">
        <f t="shared" si="78"/>
        <v>9.3099999999999987</v>
      </c>
      <c r="EC43" s="173">
        <f t="shared" si="79"/>
        <v>0.51048150839787543</v>
      </c>
      <c r="ED43" s="173">
        <f t="shared" si="121"/>
        <v>18.237683141979108</v>
      </c>
      <c r="EE43" s="460">
        <f t="shared" si="80"/>
        <v>1.5216575645746189</v>
      </c>
      <c r="EF43" s="5">
        <f t="shared" si="81"/>
        <v>0.60043039184698099</v>
      </c>
      <c r="EG43" s="5"/>
      <c r="EH43" s="173">
        <f t="shared" si="122"/>
        <v>0.77232749874211426</v>
      </c>
      <c r="EI43" s="173">
        <f t="shared" si="82"/>
        <v>0.72357774850591317</v>
      </c>
      <c r="EJ43" s="173"/>
      <c r="EK43" s="528">
        <f t="shared" si="83"/>
        <v>2.385959061253002E-2</v>
      </c>
      <c r="EL43" s="528">
        <f t="shared" si="84"/>
        <v>0.89558868228235533</v>
      </c>
      <c r="EM43" s="528">
        <f t="shared" si="85"/>
        <v>6.9999999999999993E-2</v>
      </c>
      <c r="EN43" s="528">
        <f t="shared" si="86"/>
        <v>9.968049311281249E-2</v>
      </c>
      <c r="EO43">
        <f t="shared" si="87"/>
        <v>1.0800000000000001E-2</v>
      </c>
      <c r="EP43" s="460">
        <f t="shared" si="123"/>
        <v>80.8</v>
      </c>
      <c r="EQ43" s="528">
        <f t="shared" si="88"/>
        <v>1.1126786739693431</v>
      </c>
      <c r="ER43" s="460">
        <f t="shared" si="124"/>
        <v>1112.678673969343</v>
      </c>
      <c r="ES43" s="528">
        <f t="shared" si="125"/>
        <v>0.32983999999999997</v>
      </c>
      <c r="ET43" s="528"/>
      <c r="EV43" s="460">
        <f t="shared" si="126"/>
        <v>329.84</v>
      </c>
      <c r="EW43" s="528">
        <f t="shared" si="89"/>
        <v>1.7894692959397513E-2</v>
      </c>
      <c r="EX43" s="528">
        <f t="shared" si="90"/>
        <v>1.5706942743986596E-2</v>
      </c>
      <c r="EY43" s="528">
        <f t="shared" si="91"/>
        <v>0.92582660256685745</v>
      </c>
      <c r="EZ43" s="528">
        <f t="shared" si="92"/>
        <v>0.97010038762470796</v>
      </c>
      <c r="FA43" s="528">
        <f t="shared" si="93"/>
        <v>0.37239999999999995</v>
      </c>
      <c r="FB43" s="460">
        <f t="shared" si="127"/>
        <v>1342.5003876247079</v>
      </c>
      <c r="FC43" s="173">
        <f t="shared" si="128"/>
        <v>2.7850190615940509</v>
      </c>
      <c r="FD43" s="5">
        <f t="shared" si="129"/>
        <v>9.120000000000001</v>
      </c>
      <c r="FE43" s="173">
        <f t="shared" si="130"/>
        <v>0.76606345213015192</v>
      </c>
      <c r="FF43" s="5">
        <f t="shared" si="131"/>
        <v>76.606345213015189</v>
      </c>
      <c r="FI43" s="562">
        <f t="shared" si="94"/>
        <v>-50</v>
      </c>
      <c r="FJ43">
        <f t="shared" si="95"/>
        <v>-50</v>
      </c>
      <c r="FL43">
        <f t="shared" si="181"/>
        <v>0.49400567978885401</v>
      </c>
    </row>
    <row r="44" spans="5:168">
      <c r="E44" s="170">
        <v>39</v>
      </c>
      <c r="F44" s="217">
        <f t="shared" si="182"/>
        <v>0.39</v>
      </c>
      <c r="G44" s="217"/>
      <c r="H44" s="217">
        <f t="shared" si="132"/>
        <v>9.36</v>
      </c>
      <c r="I44" s="541">
        <f t="shared" si="133"/>
        <v>23.919055574620607</v>
      </c>
      <c r="J44" s="172">
        <f t="shared" si="134"/>
        <v>16.356933407626837</v>
      </c>
      <c r="K44" s="172">
        <f t="shared" si="135"/>
        <v>40.35693340762684</v>
      </c>
      <c r="L44" s="443"/>
      <c r="M44" s="217">
        <f t="shared" si="136"/>
        <v>0.40612356898378987</v>
      </c>
      <c r="N44" s="172">
        <f t="shared" si="137"/>
        <v>54.316886301392579</v>
      </c>
      <c r="O44" s="172">
        <f t="shared" si="98"/>
        <v>9.36</v>
      </c>
      <c r="P44" s="217">
        <f t="shared" si="138"/>
        <v>2.2632035958913574</v>
      </c>
      <c r="Q44" s="217">
        <f t="shared" si="139"/>
        <v>24</v>
      </c>
      <c r="R44" s="217">
        <f t="shared" si="140"/>
        <v>2.2486324575663277</v>
      </c>
      <c r="S44" s="172">
        <f t="shared" si="141"/>
        <v>304.92534043904971</v>
      </c>
      <c r="T44" s="172">
        <f t="shared" si="142"/>
        <v>24</v>
      </c>
      <c r="U44" s="217">
        <f t="shared" si="143"/>
        <v>1.9691222471192884</v>
      </c>
      <c r="V44" s="217">
        <f t="shared" si="11"/>
        <v>0.82324414564621529</v>
      </c>
      <c r="W44" s="217">
        <f t="shared" si="144"/>
        <v>1.2038456097162658</v>
      </c>
      <c r="X44" s="197">
        <f t="shared" si="145"/>
        <v>350</v>
      </c>
      <c r="Y44" s="443">
        <f t="shared" si="14"/>
        <v>350</v>
      </c>
      <c r="AA44" s="217">
        <f t="shared" si="146"/>
        <v>2.7754388025072538</v>
      </c>
      <c r="AB44" s="173">
        <f t="shared" si="147"/>
        <v>1.6967965408559622</v>
      </c>
      <c r="AC44" s="173">
        <f t="shared" si="148"/>
        <v>0.54969945764200234</v>
      </c>
      <c r="AD44" s="173"/>
      <c r="AE44" s="173">
        <f t="shared" si="149"/>
        <v>1.3585812003037532</v>
      </c>
      <c r="AF44" s="545">
        <f t="shared" si="150"/>
        <v>387.34297327356194</v>
      </c>
      <c r="AG44" s="528">
        <f t="shared" si="151"/>
        <v>0.35240086801212356</v>
      </c>
      <c r="AI44" s="173">
        <f t="shared" si="152"/>
        <v>2.3377674369786448</v>
      </c>
      <c r="AJ44" s="173">
        <f t="shared" si="153"/>
        <v>2.3377674369786448</v>
      </c>
      <c r="AK44" s="173">
        <f t="shared" si="154"/>
        <v>1.2855890479677203</v>
      </c>
      <c r="AM44" s="545">
        <f t="shared" si="155"/>
        <v>390</v>
      </c>
      <c r="AN44" s="460">
        <f t="shared" si="156"/>
        <v>350</v>
      </c>
      <c r="AP44">
        <f t="shared" si="157"/>
        <v>390</v>
      </c>
      <c r="AQ44" s="460">
        <f t="shared" si="158"/>
        <v>350</v>
      </c>
      <c r="AR44" s="460"/>
      <c r="AS44" s="5">
        <f t="shared" si="101"/>
        <v>2.8571428571428572</v>
      </c>
      <c r="AT44" s="5">
        <f t="shared" si="159"/>
        <v>0.97736611284065122</v>
      </c>
      <c r="AU44" s="5">
        <f t="shared" si="102"/>
        <v>1.879776744302206</v>
      </c>
      <c r="AV44" s="5">
        <f t="shared" si="160"/>
        <v>1.4292211007526638</v>
      </c>
      <c r="AW44" s="173">
        <f t="shared" si="103"/>
        <v>0.34207813949422794</v>
      </c>
      <c r="AX44" s="173">
        <f t="shared" si="161"/>
        <v>9.5640240314459781</v>
      </c>
      <c r="AY44" s="173">
        <f t="shared" si="162"/>
        <v>0.51294577857252788</v>
      </c>
      <c r="AZ44" s="173">
        <f t="shared" si="104"/>
        <v>18.645292408998106</v>
      </c>
      <c r="BA44" s="460">
        <f t="shared" si="163"/>
        <v>1.5882199333660583</v>
      </c>
      <c r="BB44" s="5">
        <f t="shared" si="164"/>
        <v>0.61299488016218506</v>
      </c>
      <c r="BC44" s="5"/>
      <c r="BD44" s="173">
        <f t="shared" si="105"/>
        <v>0.78941129924895848</v>
      </c>
      <c r="BE44" s="173">
        <f t="shared" si="165"/>
        <v>0.73021990966239603</v>
      </c>
      <c r="BF44" s="173"/>
      <c r="BG44" s="528">
        <f t="shared" si="166"/>
        <v>2.4926807975277146E-2</v>
      </c>
      <c r="BH44" s="528">
        <f t="shared" si="167"/>
        <v>0.74296785761624184</v>
      </c>
      <c r="BI44" s="528">
        <f t="shared" si="168"/>
        <v>0.33486677804468851</v>
      </c>
      <c r="BJ44" s="528">
        <f t="shared" si="169"/>
        <v>9.9756777036642166E-2</v>
      </c>
      <c r="BK44">
        <f t="shared" si="170"/>
        <v>1.0763575008579274E-2</v>
      </c>
      <c r="BL44" s="460">
        <f t="shared" si="106"/>
        <v>345.63035305326775</v>
      </c>
      <c r="BM44" s="528">
        <f t="shared" si="171"/>
        <v>0.87959115578274505</v>
      </c>
      <c r="BN44" s="460">
        <f t="shared" si="107"/>
        <v>879.59115578274509</v>
      </c>
      <c r="BO44" s="528">
        <f t="shared" si="172"/>
        <v>0.33851999999999993</v>
      </c>
      <c r="BP44" s="528"/>
      <c r="BR44" s="460">
        <f t="shared" si="109"/>
        <v>338.51999999999992</v>
      </c>
      <c r="BS44" s="528">
        <f t="shared" si="173"/>
        <v>1.8695105981457859E-2</v>
      </c>
      <c r="BT44" s="528">
        <f t="shared" si="174"/>
        <v>1.5996633494020734E-2</v>
      </c>
      <c r="BU44" s="528">
        <f t="shared" si="175"/>
        <v>0.1404</v>
      </c>
      <c r="BV44" s="528">
        <f t="shared" si="176"/>
        <v>0.18392822014121965</v>
      </c>
      <c r="BW44" s="528">
        <f t="shared" si="177"/>
        <v>0.38256096125783912</v>
      </c>
      <c r="BX44" s="460">
        <f t="shared" si="110"/>
        <v>566.48918139905879</v>
      </c>
      <c r="BY44" s="173">
        <f t="shared" si="45"/>
        <v>2.1302306902350714</v>
      </c>
      <c r="BZ44" s="5">
        <f t="shared" si="111"/>
        <v>9.36</v>
      </c>
      <c r="CA44" s="173">
        <f t="shared" si="112"/>
        <v>0.81460505470569533</v>
      </c>
      <c r="CB44" s="5">
        <f t="shared" si="113"/>
        <v>81.46050547056953</v>
      </c>
      <c r="CE44" s="562">
        <f t="shared" si="178"/>
        <v>-50</v>
      </c>
      <c r="CF44">
        <f t="shared" si="179"/>
        <v>-50</v>
      </c>
      <c r="CG44" s="173">
        <f t="shared" si="180"/>
        <v>0.50564983370434935</v>
      </c>
      <c r="CI44" s="170">
        <v>39</v>
      </c>
      <c r="CJ44" s="217">
        <f t="shared" si="114"/>
        <v>0.39</v>
      </c>
      <c r="CK44" s="217"/>
      <c r="CL44" s="217">
        <f t="shared" si="49"/>
        <v>9.36</v>
      </c>
      <c r="CM44" s="541">
        <f t="shared" si="50"/>
        <v>24</v>
      </c>
      <c r="CN44" s="172">
        <f t="shared" si="51"/>
        <v>16.3415</v>
      </c>
      <c r="CO44" s="443">
        <f t="shared" si="52"/>
        <v>40.341499999999996</v>
      </c>
      <c r="CP44" s="443"/>
      <c r="CQ44" s="217">
        <f t="shared" si="53"/>
        <v>0.40507913686898112</v>
      </c>
      <c r="CR44" s="172">
        <f t="shared" si="54"/>
        <v>54.360539956785601</v>
      </c>
      <c r="CS44" s="172">
        <f t="shared" si="115"/>
        <v>9.36</v>
      </c>
      <c r="CT44" s="217">
        <f t="shared" si="55"/>
        <v>2.2650224981994</v>
      </c>
      <c r="CU44" s="217">
        <f t="shared" si="56"/>
        <v>24</v>
      </c>
      <c r="CV44" s="217">
        <f t="shared" si="57"/>
        <v>2.250439649272117</v>
      </c>
      <c r="CW44" s="172">
        <f t="shared" si="58"/>
        <v>305.95703933366804</v>
      </c>
      <c r="CX44" s="172">
        <f t="shared" si="59"/>
        <v>24</v>
      </c>
      <c r="CY44" s="217">
        <f t="shared" si="60"/>
        <v>1.9255496741425204</v>
      </c>
      <c r="CZ44" s="217">
        <f t="shared" si="61"/>
        <v>0.80231236422605023</v>
      </c>
      <c r="DA44" s="217">
        <f t="shared" si="62"/>
        <v>1.1783188043585475</v>
      </c>
      <c r="DB44" s="197">
        <f t="shared" si="63"/>
        <v>350</v>
      </c>
      <c r="DC44" s="443">
        <f t="shared" si="116"/>
        <v>350</v>
      </c>
      <c r="DE44" s="217">
        <f t="shared" si="64"/>
        <v>2.7776855099587272</v>
      </c>
      <c r="DF44" s="173">
        <f t="shared" si="65"/>
        <v>1.6997738946600542</v>
      </c>
      <c r="DG44" s="173">
        <f t="shared" si="66"/>
        <v>0.55110977087390545</v>
      </c>
      <c r="DH44" s="173"/>
      <c r="DI44" s="173">
        <f t="shared" si="67"/>
        <v>1.3598642855443031</v>
      </c>
      <c r="DJ44" s="545">
        <f t="shared" si="117"/>
        <v>386.97749999999991</v>
      </c>
      <c r="DK44" s="528">
        <f t="shared" si="68"/>
        <v>0.35273368606701955</v>
      </c>
      <c r="DM44" s="173">
        <f t="shared" si="69"/>
        <v>2.3366642891095841</v>
      </c>
      <c r="DN44" s="173">
        <f t="shared" si="70"/>
        <v>2.3366642891095841</v>
      </c>
      <c r="DO44" s="173">
        <f t="shared" si="71"/>
        <v>1.2847719013980456</v>
      </c>
      <c r="DQ44" s="545">
        <f t="shared" si="72"/>
        <v>390</v>
      </c>
      <c r="DR44" s="460">
        <f t="shared" si="73"/>
        <v>350</v>
      </c>
      <c r="DT44">
        <f t="shared" si="74"/>
        <v>390</v>
      </c>
      <c r="DU44" s="460">
        <f t="shared" si="75"/>
        <v>350</v>
      </c>
      <c r="DV44" s="460"/>
      <c r="DW44" s="5">
        <f t="shared" si="118"/>
        <v>2.8571428571428572</v>
      </c>
      <c r="DX44" s="5">
        <f t="shared" si="76"/>
        <v>0.97361012046232687</v>
      </c>
      <c r="DY44" s="5">
        <f t="shared" si="119"/>
        <v>1.8835327366805303</v>
      </c>
      <c r="DZ44" s="5">
        <f t="shared" si="77"/>
        <v>1.4298958413301008</v>
      </c>
      <c r="EA44" s="173">
        <f t="shared" si="120"/>
        <v>0.34076354216181437</v>
      </c>
      <c r="EB44" s="173">
        <f t="shared" si="78"/>
        <v>9.5549999999999979</v>
      </c>
      <c r="EC44" s="173">
        <f t="shared" si="79"/>
        <v>0.51372816541804633</v>
      </c>
      <c r="ED44" s="173">
        <f t="shared" si="121"/>
        <v>18.599330625029321</v>
      </c>
      <c r="EE44" s="460">
        <f t="shared" si="80"/>
        <v>1.5821164457512811</v>
      </c>
      <c r="EF44" s="5">
        <f t="shared" si="81"/>
        <v>0.6121481394211723</v>
      </c>
      <c r="EG44" s="5"/>
      <c r="EH44" s="173">
        <f t="shared" si="122"/>
        <v>0.78752120399040815</v>
      </c>
      <c r="EI44" s="173">
        <f t="shared" si="82"/>
        <v>0.73060415291314484</v>
      </c>
      <c r="EJ44" s="173"/>
      <c r="EK44" s="528">
        <f t="shared" si="83"/>
        <v>2.4807585869380082E-2</v>
      </c>
      <c r="EL44" s="528">
        <f t="shared" si="84"/>
        <v>0.90729622078397487</v>
      </c>
      <c r="EM44" s="528">
        <f t="shared" si="85"/>
        <v>6.9999999999999993E-2</v>
      </c>
      <c r="EN44" s="528">
        <f t="shared" si="86"/>
        <v>9.968049311281249E-2</v>
      </c>
      <c r="EO44">
        <f t="shared" si="87"/>
        <v>1.0800000000000001E-2</v>
      </c>
      <c r="EP44" s="460">
        <f t="shared" si="123"/>
        <v>80.8</v>
      </c>
      <c r="EQ44" s="528">
        <f t="shared" si="88"/>
        <v>1.125918831506163</v>
      </c>
      <c r="ER44" s="460">
        <f t="shared" si="124"/>
        <v>1125.9188315061631</v>
      </c>
      <c r="ES44" s="528">
        <f t="shared" si="125"/>
        <v>0.33851999999999993</v>
      </c>
      <c r="ET44" s="528"/>
      <c r="EV44" s="460">
        <f t="shared" si="126"/>
        <v>338.51999999999992</v>
      </c>
      <c r="EW44" s="528">
        <f t="shared" si="89"/>
        <v>1.860568940203506E-2</v>
      </c>
      <c r="EX44" s="528">
        <f t="shared" si="90"/>
        <v>1.6013472847618018E-2</v>
      </c>
      <c r="EY44" s="528">
        <f t="shared" si="91"/>
        <v>0.95638095375561827</v>
      </c>
      <c r="EZ44" s="528">
        <f t="shared" si="92"/>
        <v>1.0020840196864127</v>
      </c>
      <c r="FA44" s="528">
        <f t="shared" si="93"/>
        <v>0.38219999999999987</v>
      </c>
      <c r="FB44" s="460">
        <f t="shared" si="127"/>
        <v>1384.2840196864126</v>
      </c>
      <c r="FC44" s="173">
        <f t="shared" si="128"/>
        <v>2.8487228511925755</v>
      </c>
      <c r="FD44" s="5">
        <f t="shared" si="129"/>
        <v>9.36</v>
      </c>
      <c r="FE44" s="173">
        <f t="shared" si="130"/>
        <v>0.7666649586599219</v>
      </c>
      <c r="FF44" s="5">
        <f t="shared" si="131"/>
        <v>76.666495865992189</v>
      </c>
      <c r="FI44" s="562">
        <f t="shared" si="94"/>
        <v>-50</v>
      </c>
      <c r="FJ44">
        <f t="shared" si="95"/>
        <v>-50</v>
      </c>
      <c r="FL44">
        <f t="shared" si="181"/>
        <v>0.50046354446553531</v>
      </c>
    </row>
    <row r="45" spans="5:168">
      <c r="E45" s="170">
        <v>40</v>
      </c>
      <c r="F45" s="217">
        <f t="shared" si="182"/>
        <v>0.4</v>
      </c>
      <c r="G45" s="217"/>
      <c r="H45" s="217">
        <f t="shared" si="132"/>
        <v>9.6000000000000014</v>
      </c>
      <c r="I45" s="541">
        <f t="shared" si="133"/>
        <v>23.918024393872322</v>
      </c>
      <c r="J45" s="172">
        <f t="shared" si="134"/>
        <v>16.357130019471946</v>
      </c>
      <c r="K45" s="172">
        <f t="shared" si="135"/>
        <v>40.357130019471946</v>
      </c>
      <c r="L45" s="443"/>
      <c r="M45" s="217">
        <f t="shared" si="136"/>
        <v>0.40613689625239591</v>
      </c>
      <c r="N45" s="172">
        <f t="shared" si="137"/>
        <v>54.316327006774266</v>
      </c>
      <c r="O45" s="172">
        <f t="shared" si="98"/>
        <v>9.6000000000000014</v>
      </c>
      <c r="P45" s="217">
        <f t="shared" si="138"/>
        <v>2.2631802919489279</v>
      </c>
      <c r="Q45" s="217">
        <f t="shared" si="139"/>
        <v>24</v>
      </c>
      <c r="R45" s="217">
        <f t="shared" si="140"/>
        <v>2.2486093036612034</v>
      </c>
      <c r="S45" s="172">
        <f t="shared" si="141"/>
        <v>296.3960662112068</v>
      </c>
      <c r="T45" s="172">
        <f t="shared" si="142"/>
        <v>24</v>
      </c>
      <c r="U45" s="217">
        <f t="shared" si="143"/>
        <v>2.0196578845885473</v>
      </c>
      <c r="V45" s="217">
        <f t="shared" si="11"/>
        <v>0.84440832207946648</v>
      </c>
      <c r="W45" s="217">
        <f t="shared" si="144"/>
        <v>1.2347263133473261</v>
      </c>
      <c r="X45" s="197">
        <f t="shared" si="145"/>
        <v>350</v>
      </c>
      <c r="Y45" s="443">
        <f t="shared" si="14"/>
        <v>350</v>
      </c>
      <c r="AA45" s="217">
        <f t="shared" si="146"/>
        <v>2.7754100193900602</v>
      </c>
      <c r="AB45" s="173">
        <f t="shared" si="147"/>
        <v>1.6967585487711727</v>
      </c>
      <c r="AC45" s="173">
        <f t="shared" si="148"/>
        <v>0.54968144899308946</v>
      </c>
      <c r="AD45" s="173"/>
      <c r="AE45" s="173">
        <f t="shared" si="149"/>
        <v>1.3585648702289659</v>
      </c>
      <c r="AF45" s="545">
        <f t="shared" si="150"/>
        <v>397.27961966333658</v>
      </c>
      <c r="AG45" s="528">
        <f t="shared" si="151"/>
        <v>0.35239663217216899</v>
      </c>
      <c r="AI45" s="173">
        <f t="shared" si="152"/>
        <v>2.3675633435509362</v>
      </c>
      <c r="AJ45" s="173">
        <f t="shared" si="153"/>
        <v>2.3675633435509362</v>
      </c>
      <c r="AK45" s="173">
        <f t="shared" si="154"/>
        <v>1.3076600898731214</v>
      </c>
      <c r="AM45" s="545">
        <f t="shared" si="155"/>
        <v>400</v>
      </c>
      <c r="AN45" s="460">
        <f t="shared" si="156"/>
        <v>350</v>
      </c>
      <c r="AP45">
        <f t="shared" si="157"/>
        <v>400</v>
      </c>
      <c r="AQ45" s="460">
        <f t="shared" si="158"/>
        <v>350</v>
      </c>
      <c r="AR45" s="460"/>
      <c r="AS45" s="5">
        <f t="shared" si="101"/>
        <v>2.8571428571428572</v>
      </c>
      <c r="AT45" s="5">
        <f t="shared" si="159"/>
        <v>0.98986576172131258</v>
      </c>
      <c r="AU45" s="5">
        <f t="shared" si="102"/>
        <v>1.8672770954215445</v>
      </c>
      <c r="AV45" s="5">
        <f t="shared" si="160"/>
        <v>1.4474197739655603</v>
      </c>
      <c r="AW45" s="173">
        <f t="shared" si="103"/>
        <v>0.34645301660245942</v>
      </c>
      <c r="AX45" s="173">
        <f t="shared" si="161"/>
        <v>9.8093733250206547</v>
      </c>
      <c r="AY45" s="173">
        <f t="shared" si="162"/>
        <v>0.51602917937363313</v>
      </c>
      <c r="AZ45" s="173">
        <f t="shared" si="104"/>
        <v>19.009338458200126</v>
      </c>
      <c r="BA45" s="460">
        <f t="shared" si="163"/>
        <v>1.6497762695355209</v>
      </c>
      <c r="BB45" s="5">
        <f t="shared" si="164"/>
        <v>0.62455897349111533</v>
      </c>
      <c r="BC45" s="5"/>
      <c r="BD45" s="173">
        <f t="shared" si="105"/>
        <v>0.8045687374148669</v>
      </c>
      <c r="BE45" s="173">
        <f t="shared" si="165"/>
        <v>0.73706403616641325</v>
      </c>
      <c r="BF45" s="173"/>
      <c r="BG45" s="528">
        <f t="shared" si="166"/>
        <v>2.589323412901412E-2</v>
      </c>
      <c r="BH45" s="528">
        <f t="shared" si="167"/>
        <v>0.75244098576953922</v>
      </c>
      <c r="BI45" s="528">
        <f t="shared" si="168"/>
        <v>0.33485234151421256</v>
      </c>
      <c r="BJ45" s="528">
        <f t="shared" si="169"/>
        <v>9.9757749033774518E-2</v>
      </c>
      <c r="BK45">
        <f t="shared" si="170"/>
        <v>1.0763110977242545E-2</v>
      </c>
      <c r="BL45" s="460">
        <f t="shared" si="106"/>
        <v>345.61545249145507</v>
      </c>
      <c r="BM45" s="528">
        <f t="shared" si="171"/>
        <v>0.89056208709950102</v>
      </c>
      <c r="BN45" s="460">
        <f t="shared" si="107"/>
        <v>890.56208709950101</v>
      </c>
      <c r="BO45" s="528">
        <f t="shared" si="172"/>
        <v>0.34719999999999995</v>
      </c>
      <c r="BP45" s="528"/>
      <c r="BR45" s="460">
        <f t="shared" si="109"/>
        <v>347.19999999999993</v>
      </c>
      <c r="BS45" s="528">
        <f t="shared" si="173"/>
        <v>1.941992559676059E-2</v>
      </c>
      <c r="BT45" s="528">
        <f t="shared" si="174"/>
        <v>1.6297901802297711E-2</v>
      </c>
      <c r="BU45" s="528">
        <f t="shared" si="175"/>
        <v>0.14400000000000002</v>
      </c>
      <c r="BV45" s="528">
        <f t="shared" si="176"/>
        <v>0.18882967282778299</v>
      </c>
      <c r="BW45" s="528">
        <f t="shared" si="177"/>
        <v>0.39237493300082621</v>
      </c>
      <c r="BX45" s="460">
        <f t="shared" si="110"/>
        <v>581.20460582860926</v>
      </c>
      <c r="BY45" s="173">
        <f t="shared" si="45"/>
        <v>2.1645821454195651</v>
      </c>
      <c r="BZ45" s="5">
        <f t="shared" si="111"/>
        <v>9.6000000000000014</v>
      </c>
      <c r="CA45" s="173">
        <f t="shared" si="112"/>
        <v>0.81600858248396646</v>
      </c>
      <c r="CB45" s="5">
        <f t="shared" si="113"/>
        <v>81.600858248396648</v>
      </c>
      <c r="CE45" s="562">
        <f t="shared" si="178"/>
        <v>-50</v>
      </c>
      <c r="CF45">
        <f t="shared" si="179"/>
        <v>-50</v>
      </c>
      <c r="CG45" s="173">
        <f t="shared" si="180"/>
        <v>0.51209149255170405</v>
      </c>
      <c r="CI45" s="170">
        <v>40</v>
      </c>
      <c r="CJ45" s="217">
        <f t="shared" si="114"/>
        <v>0.4</v>
      </c>
      <c r="CK45" s="217"/>
      <c r="CL45" s="217">
        <f t="shared" si="49"/>
        <v>9.6000000000000014</v>
      </c>
      <c r="CM45" s="541">
        <f t="shared" si="50"/>
        <v>24</v>
      </c>
      <c r="CN45" s="172">
        <f t="shared" si="51"/>
        <v>16.3415</v>
      </c>
      <c r="CO45" s="443">
        <f t="shared" si="52"/>
        <v>40.341499999999996</v>
      </c>
      <c r="CP45" s="443"/>
      <c r="CQ45" s="217">
        <f t="shared" si="53"/>
        <v>0.40507913686898112</v>
      </c>
      <c r="CR45" s="172">
        <f t="shared" si="54"/>
        <v>54.360539956785601</v>
      </c>
      <c r="CS45" s="172">
        <f t="shared" si="115"/>
        <v>9.6000000000000014</v>
      </c>
      <c r="CT45" s="217">
        <f t="shared" si="55"/>
        <v>2.2650224981994</v>
      </c>
      <c r="CU45" s="217">
        <f t="shared" si="56"/>
        <v>24</v>
      </c>
      <c r="CV45" s="217">
        <f t="shared" si="57"/>
        <v>2.250439649272117</v>
      </c>
      <c r="CW45" s="172">
        <f t="shared" si="58"/>
        <v>297.41171472736045</v>
      </c>
      <c r="CX45" s="172">
        <f t="shared" si="59"/>
        <v>24</v>
      </c>
      <c r="CY45" s="217">
        <f t="shared" si="60"/>
        <v>1.9749227427102778</v>
      </c>
      <c r="CZ45" s="217">
        <f t="shared" si="61"/>
        <v>0.82288447612928239</v>
      </c>
      <c r="DA45" s="217">
        <f t="shared" si="62"/>
        <v>1.2085321070344079</v>
      </c>
      <c r="DB45" s="197">
        <f t="shared" si="63"/>
        <v>350</v>
      </c>
      <c r="DC45" s="443">
        <f t="shared" si="116"/>
        <v>350</v>
      </c>
      <c r="DE45" s="217">
        <f t="shared" si="64"/>
        <v>2.7776855099587272</v>
      </c>
      <c r="DF45" s="173">
        <f t="shared" si="65"/>
        <v>1.6997738946600542</v>
      </c>
      <c r="DG45" s="173">
        <f t="shared" si="66"/>
        <v>0.55110977087390545</v>
      </c>
      <c r="DH45" s="173"/>
      <c r="DI45" s="173">
        <f t="shared" si="67"/>
        <v>1.3598642855443031</v>
      </c>
      <c r="DJ45" s="545">
        <f t="shared" si="117"/>
        <v>396.89999999999986</v>
      </c>
      <c r="DK45" s="528">
        <f t="shared" si="68"/>
        <v>0.35273368606701955</v>
      </c>
      <c r="DM45" s="173">
        <f t="shared" si="69"/>
        <v>2.3664319132398464</v>
      </c>
      <c r="DN45" s="173">
        <f t="shared" si="70"/>
        <v>2.3664319132398464</v>
      </c>
      <c r="DO45" s="173">
        <f t="shared" si="71"/>
        <v>1.306821993346388</v>
      </c>
      <c r="DQ45" s="545">
        <f t="shared" si="72"/>
        <v>400</v>
      </c>
      <c r="DR45" s="460">
        <f t="shared" si="73"/>
        <v>350</v>
      </c>
      <c r="DT45">
        <f t="shared" si="74"/>
        <v>400</v>
      </c>
      <c r="DU45" s="460">
        <f t="shared" si="75"/>
        <v>350</v>
      </c>
      <c r="DV45" s="460"/>
      <c r="DW45" s="5">
        <f t="shared" si="118"/>
        <v>2.8571428571428572</v>
      </c>
      <c r="DX45" s="5">
        <f t="shared" si="76"/>
        <v>0.98601329718326935</v>
      </c>
      <c r="DY45" s="5">
        <f t="shared" si="119"/>
        <v>1.8711295599595879</v>
      </c>
      <c r="DZ45" s="5">
        <f t="shared" si="77"/>
        <v>1.4481118093442136</v>
      </c>
      <c r="EA45" s="173">
        <f t="shared" si="120"/>
        <v>0.34510465401414425</v>
      </c>
      <c r="EB45" s="173">
        <f t="shared" si="78"/>
        <v>9.7999999999999989</v>
      </c>
      <c r="EC45" s="173">
        <f t="shared" si="79"/>
        <v>0.51684670973215541</v>
      </c>
      <c r="ED45" s="173">
        <f t="shared" si="121"/>
        <v>18.961134540410708</v>
      </c>
      <c r="EE45" s="460">
        <f t="shared" si="80"/>
        <v>1.643355495305449</v>
      </c>
      <c r="EF45" s="5">
        <f t="shared" si="81"/>
        <v>0.62370985331986262</v>
      </c>
      <c r="EG45" s="5"/>
      <c r="EH45" s="173">
        <f t="shared" si="122"/>
        <v>0.80261781325842496</v>
      </c>
      <c r="EI45" s="173">
        <f t="shared" si="82"/>
        <v>0.73747138232605058</v>
      </c>
      <c r="EJ45" s="173"/>
      <c r="EK45" s="528">
        <f t="shared" si="83"/>
        <v>2.5767814166389437E-2</v>
      </c>
      <c r="EL45" s="528">
        <f t="shared" si="84"/>
        <v>0.91885460039416567</v>
      </c>
      <c r="EM45" s="528">
        <f t="shared" si="85"/>
        <v>6.9999999999999993E-2</v>
      </c>
      <c r="EN45" s="528">
        <f t="shared" si="86"/>
        <v>9.968049311281249E-2</v>
      </c>
      <c r="EO45">
        <f t="shared" si="87"/>
        <v>1.0800000000000001E-2</v>
      </c>
      <c r="EP45" s="460">
        <f t="shared" si="123"/>
        <v>80.8</v>
      </c>
      <c r="EQ45" s="528">
        <f t="shared" si="88"/>
        <v>1.1390338756836029</v>
      </c>
      <c r="ER45" s="460">
        <f t="shared" si="124"/>
        <v>1139.0338756836029</v>
      </c>
      <c r="ES45" s="528">
        <f t="shared" si="125"/>
        <v>0.34719999999999995</v>
      </c>
      <c r="ET45" s="528"/>
      <c r="EV45" s="460">
        <f t="shared" si="126"/>
        <v>347.19999999999993</v>
      </c>
      <c r="EW45" s="528">
        <f t="shared" si="89"/>
        <v>1.9325860624792076E-2</v>
      </c>
      <c r="EX45" s="528">
        <f t="shared" si="90"/>
        <v>1.6315921192496873E-2</v>
      </c>
      <c r="EY45" s="528">
        <f t="shared" si="91"/>
        <v>0.98713181417814633</v>
      </c>
      <c r="EZ45" s="528">
        <f t="shared" si="92"/>
        <v>1.0342767007922522</v>
      </c>
      <c r="FA45" s="528">
        <f t="shared" si="93"/>
        <v>0.39200000000000002</v>
      </c>
      <c r="FB45" s="460">
        <f t="shared" si="127"/>
        <v>1426.2767007922523</v>
      </c>
      <c r="FC45" s="173">
        <f t="shared" si="128"/>
        <v>2.9125105764758552</v>
      </c>
      <c r="FD45" s="5">
        <f t="shared" si="129"/>
        <v>9.6000000000000014</v>
      </c>
      <c r="FE45" s="173">
        <f t="shared" si="130"/>
        <v>0.76723211871232944</v>
      </c>
      <c r="FF45" s="5">
        <f t="shared" si="131"/>
        <v>76.723211871232948</v>
      </c>
      <c r="FI45" s="562">
        <f t="shared" si="94"/>
        <v>-50</v>
      </c>
      <c r="FJ45">
        <f t="shared" si="95"/>
        <v>-50</v>
      </c>
      <c r="FL45">
        <f t="shared" si="181"/>
        <v>0.50683913327047481</v>
      </c>
    </row>
    <row r="46" spans="5:168">
      <c r="E46" s="170">
        <v>41</v>
      </c>
      <c r="F46" s="217">
        <f t="shared" si="182"/>
        <v>0.41</v>
      </c>
      <c r="G46" s="217"/>
      <c r="H46" s="217">
        <f t="shared" si="132"/>
        <v>9.84</v>
      </c>
      <c r="I46" s="541">
        <f t="shared" si="133"/>
        <v>23.917006024315015</v>
      </c>
      <c r="J46" s="172">
        <f t="shared" si="134"/>
        <v>16.357324188649365</v>
      </c>
      <c r="K46" s="172">
        <f t="shared" si="135"/>
        <v>40.357324188649365</v>
      </c>
      <c r="L46" s="443"/>
      <c r="M46" s="217">
        <f t="shared" si="136"/>
        <v>0.40615005848634606</v>
      </c>
      <c r="N46" s="172">
        <f t="shared" si="137"/>
        <v>54.315774582207112</v>
      </c>
      <c r="O46" s="172">
        <f t="shared" si="98"/>
        <v>9.84</v>
      </c>
      <c r="P46" s="217">
        <f t="shared" si="138"/>
        <v>2.2631572742586297</v>
      </c>
      <c r="Q46" s="217">
        <f t="shared" si="139"/>
        <v>24</v>
      </c>
      <c r="R46" s="217">
        <f t="shared" si="140"/>
        <v>2.2485864341652393</v>
      </c>
      <c r="S46" s="172">
        <f t="shared" si="141"/>
        <v>288.28317608472446</v>
      </c>
      <c r="T46" s="172">
        <f t="shared" si="142"/>
        <v>24</v>
      </c>
      <c r="U46" s="217">
        <f t="shared" si="143"/>
        <v>2.0701952149944942</v>
      </c>
      <c r="V46" s="217">
        <f t="shared" si="11"/>
        <v>0.86557456769039087</v>
      </c>
      <c r="W46" s="217">
        <f t="shared" si="144"/>
        <v>1.2656074985852754</v>
      </c>
      <c r="X46" s="197">
        <f t="shared" si="145"/>
        <v>350</v>
      </c>
      <c r="Y46" s="443">
        <f t="shared" si="14"/>
        <v>350</v>
      </c>
      <c r="AA46" s="217">
        <f t="shared" si="146"/>
        <v>2.7753815898748098</v>
      </c>
      <c r="AB46" s="173">
        <f t="shared" si="147"/>
        <v>1.6967210271473963</v>
      </c>
      <c r="AC46" s="173">
        <f t="shared" si="148"/>
        <v>0.54966366303908609</v>
      </c>
      <c r="AD46" s="173"/>
      <c r="AE46" s="173">
        <f t="shared" si="149"/>
        <v>1.3585487434211652</v>
      </c>
      <c r="AF46" s="545">
        <f t="shared" si="150"/>
        <v>407.21644400678059</v>
      </c>
      <c r="AG46" s="528">
        <f t="shared" si="151"/>
        <v>0.35239244905741224</v>
      </c>
      <c r="AI46" s="173">
        <f t="shared" si="152"/>
        <v>2.3969894227686175</v>
      </c>
      <c r="AJ46" s="173">
        <f t="shared" si="153"/>
        <v>2.3969894227686175</v>
      </c>
      <c r="AK46" s="173">
        <f t="shared" si="154"/>
        <v>1.3294571855899222</v>
      </c>
      <c r="AM46" s="545">
        <f t="shared" si="155"/>
        <v>410</v>
      </c>
      <c r="AN46" s="460">
        <f t="shared" si="156"/>
        <v>350</v>
      </c>
      <c r="AP46">
        <f t="shared" si="157"/>
        <v>410</v>
      </c>
      <c r="AQ46" s="460">
        <f t="shared" si="158"/>
        <v>350</v>
      </c>
      <c r="AR46" s="460"/>
      <c r="AS46" s="5">
        <f t="shared" si="101"/>
        <v>2.8571428571428572</v>
      </c>
      <c r="AT46" s="5">
        <f t="shared" si="159"/>
        <v>1.0022113220742344</v>
      </c>
      <c r="AU46" s="5">
        <f t="shared" si="102"/>
        <v>1.8549315350686228</v>
      </c>
      <c r="AV46" s="5">
        <f t="shared" si="160"/>
        <v>1.4653921357332582</v>
      </c>
      <c r="AW46" s="173">
        <f t="shared" si="103"/>
        <v>0.35077396272598199</v>
      </c>
      <c r="AX46" s="173">
        <f t="shared" si="161"/>
        <v>10.054727012513105</v>
      </c>
      <c r="AY46" s="173">
        <f t="shared" si="162"/>
        <v>0.5189886794346571</v>
      </c>
      <c r="AZ46" s="173">
        <f t="shared" si="104"/>
        <v>19.373692357732899</v>
      </c>
      <c r="BA46" s="460">
        <f t="shared" si="163"/>
        <v>1.7121110085434836</v>
      </c>
      <c r="BB46" s="5">
        <f t="shared" si="164"/>
        <v>0.63596750245825695</v>
      </c>
      <c r="BC46" s="5"/>
      <c r="BD46" s="173">
        <f t="shared" si="105"/>
        <v>0.81963248887560469</v>
      </c>
      <c r="BE46" s="173">
        <f t="shared" si="165"/>
        <v>0.74375395583010628</v>
      </c>
      <c r="BF46" s="173"/>
      <c r="BG46" s="528">
        <f t="shared" si="166"/>
        <v>2.6871896672816732E-2</v>
      </c>
      <c r="BH46" s="528">
        <f t="shared" si="167"/>
        <v>0.7617966237900633</v>
      </c>
      <c r="BI46" s="528">
        <f t="shared" si="168"/>
        <v>0.33483808434041024</v>
      </c>
      <c r="BJ46" s="528">
        <f t="shared" si="169"/>
        <v>9.9758708959649264E-2</v>
      </c>
      <c r="BK46">
        <f t="shared" si="170"/>
        <v>1.0762652710941756E-2</v>
      </c>
      <c r="BL46" s="460">
        <f t="shared" si="106"/>
        <v>345.60073705135198</v>
      </c>
      <c r="BM46" s="528">
        <f t="shared" si="171"/>
        <v>0.90143810989907436</v>
      </c>
      <c r="BN46" s="460">
        <f t="shared" si="107"/>
        <v>901.43810989907433</v>
      </c>
      <c r="BO46" s="528">
        <f t="shared" si="172"/>
        <v>0.35587999999999997</v>
      </c>
      <c r="BP46" s="528"/>
      <c r="BR46" s="460">
        <f t="shared" si="109"/>
        <v>355.88</v>
      </c>
      <c r="BS46" s="528">
        <f t="shared" si="173"/>
        <v>2.0153922504612547E-2</v>
      </c>
      <c r="BT46" s="528">
        <f t="shared" si="174"/>
        <v>1.6595098404387949E-2</v>
      </c>
      <c r="BU46" s="528">
        <f t="shared" si="175"/>
        <v>0.14759999999999998</v>
      </c>
      <c r="BV46" s="528">
        <f t="shared" si="176"/>
        <v>0.19373836153507482</v>
      </c>
      <c r="BW46" s="528">
        <f t="shared" si="177"/>
        <v>0.40218908050052415</v>
      </c>
      <c r="BX46" s="460">
        <f t="shared" si="110"/>
        <v>595.92744203559903</v>
      </c>
      <c r="BY46" s="173">
        <f t="shared" si="45"/>
        <v>2.1988462889860254</v>
      </c>
      <c r="BZ46" s="5">
        <f t="shared" si="111"/>
        <v>9.84</v>
      </c>
      <c r="CA46" s="173">
        <f t="shared" si="112"/>
        <v>0.81735406896940921</v>
      </c>
      <c r="CB46" s="5">
        <f t="shared" si="113"/>
        <v>81.735406896940916</v>
      </c>
      <c r="CE46" s="562">
        <f t="shared" si="178"/>
        <v>-50</v>
      </c>
      <c r="CF46">
        <f t="shared" si="179"/>
        <v>-50</v>
      </c>
      <c r="CG46" s="173">
        <f t="shared" si="180"/>
        <v>0.51845312147042544</v>
      </c>
      <c r="CI46" s="170">
        <v>41</v>
      </c>
      <c r="CJ46" s="217">
        <f t="shared" si="114"/>
        <v>0.41</v>
      </c>
      <c r="CK46" s="217"/>
      <c r="CL46" s="217">
        <f t="shared" si="49"/>
        <v>9.84</v>
      </c>
      <c r="CM46" s="541">
        <f t="shared" si="50"/>
        <v>24</v>
      </c>
      <c r="CN46" s="172">
        <f t="shared" si="51"/>
        <v>16.3415</v>
      </c>
      <c r="CO46" s="443">
        <f t="shared" si="52"/>
        <v>40.341499999999996</v>
      </c>
      <c r="CP46" s="443"/>
      <c r="CQ46" s="217">
        <f t="shared" si="53"/>
        <v>0.40507913686898112</v>
      </c>
      <c r="CR46" s="172">
        <f t="shared" si="54"/>
        <v>54.360539956785601</v>
      </c>
      <c r="CS46" s="172">
        <f t="shared" si="115"/>
        <v>9.84</v>
      </c>
      <c r="CT46" s="217">
        <f t="shared" si="55"/>
        <v>2.2650224981994</v>
      </c>
      <c r="CU46" s="217">
        <f t="shared" si="56"/>
        <v>24</v>
      </c>
      <c r="CV46" s="217">
        <f t="shared" si="57"/>
        <v>2.250439649272117</v>
      </c>
      <c r="CW46" s="172">
        <f t="shared" si="58"/>
        <v>289.28332736968503</v>
      </c>
      <c r="CX46" s="172">
        <f t="shared" si="59"/>
        <v>24</v>
      </c>
      <c r="CY46" s="217">
        <f t="shared" si="60"/>
        <v>2.0242958112780345</v>
      </c>
      <c r="CZ46" s="217">
        <f t="shared" si="61"/>
        <v>0.84345658803251444</v>
      </c>
      <c r="DA46" s="217">
        <f t="shared" si="62"/>
        <v>1.2387454097102681</v>
      </c>
      <c r="DB46" s="197">
        <f t="shared" si="63"/>
        <v>350</v>
      </c>
      <c r="DC46" s="443">
        <f t="shared" si="116"/>
        <v>350</v>
      </c>
      <c r="DE46" s="217">
        <f t="shared" si="64"/>
        <v>2.7776855099587272</v>
      </c>
      <c r="DF46" s="173">
        <f t="shared" si="65"/>
        <v>1.6997738946600542</v>
      </c>
      <c r="DG46" s="173">
        <f t="shared" si="66"/>
        <v>0.55110977087390545</v>
      </c>
      <c r="DH46" s="173"/>
      <c r="DI46" s="173">
        <f t="shared" si="67"/>
        <v>1.3598642855443031</v>
      </c>
      <c r="DJ46" s="545">
        <f t="shared" si="117"/>
        <v>406.82249999999982</v>
      </c>
      <c r="DK46" s="528">
        <f t="shared" si="68"/>
        <v>0.35273368606701955</v>
      </c>
      <c r="DM46" s="173">
        <f t="shared" si="69"/>
        <v>2.3958297101421877</v>
      </c>
      <c r="DN46" s="173">
        <f t="shared" si="70"/>
        <v>2.3958297101421877</v>
      </c>
      <c r="DO46" s="173">
        <f t="shared" si="71"/>
        <v>1.3285981391999744</v>
      </c>
      <c r="DQ46" s="545">
        <f t="shared" si="72"/>
        <v>410</v>
      </c>
      <c r="DR46" s="460">
        <f t="shared" si="73"/>
        <v>350</v>
      </c>
      <c r="DT46">
        <f t="shared" si="74"/>
        <v>410</v>
      </c>
      <c r="DU46" s="460">
        <f t="shared" si="75"/>
        <v>350</v>
      </c>
      <c r="DV46" s="460"/>
      <c r="DW46" s="5">
        <f t="shared" si="118"/>
        <v>2.8571428571428572</v>
      </c>
      <c r="DX46" s="5">
        <f t="shared" si="76"/>
        <v>0.99826237922591154</v>
      </c>
      <c r="DY46" s="5">
        <f t="shared" si="119"/>
        <v>1.8588804779169457</v>
      </c>
      <c r="DZ46" s="5">
        <f t="shared" si="77"/>
        <v>1.4661014656807441</v>
      </c>
      <c r="EA46" s="173">
        <f t="shared" si="120"/>
        <v>0.34939183272906904</v>
      </c>
      <c r="EB46" s="173">
        <f t="shared" si="78"/>
        <v>10.045</v>
      </c>
      <c r="EC46" s="173">
        <f t="shared" si="79"/>
        <v>0.51984191666575297</v>
      </c>
      <c r="ED46" s="173">
        <f t="shared" si="121"/>
        <v>19.323182063555517</v>
      </c>
      <c r="EE46" s="460">
        <f t="shared" si="80"/>
        <v>1.7053648978442655</v>
      </c>
      <c r="EF46" s="5">
        <f t="shared" si="81"/>
        <v>0.63511749662162298</v>
      </c>
      <c r="EG46" s="5"/>
      <c r="EH46" s="173">
        <f t="shared" si="122"/>
        <v>0.81762035196963634</v>
      </c>
      <c r="EI46" s="173">
        <f t="shared" si="82"/>
        <v>0.74418499339264743</v>
      </c>
      <c r="EJ46" s="173"/>
      <c r="EK46" s="528">
        <f t="shared" si="83"/>
        <v>2.674012159819808E-2</v>
      </c>
      <c r="EL46" s="528">
        <f t="shared" si="84"/>
        <v>0.93026938092262279</v>
      </c>
      <c r="EM46" s="528">
        <f t="shared" si="85"/>
        <v>6.9999999999999993E-2</v>
      </c>
      <c r="EN46" s="528">
        <f t="shared" si="86"/>
        <v>9.968049311281249E-2</v>
      </c>
      <c r="EO46">
        <f t="shared" si="87"/>
        <v>1.0800000000000001E-2</v>
      </c>
      <c r="EP46" s="460">
        <f t="shared" si="123"/>
        <v>80.8</v>
      </c>
      <c r="EQ46" s="528">
        <f t="shared" si="88"/>
        <v>1.1520291916642857</v>
      </c>
      <c r="ER46" s="460">
        <f t="shared" si="124"/>
        <v>1152.0291916642857</v>
      </c>
      <c r="ES46" s="528">
        <f t="shared" si="125"/>
        <v>0.35587999999999997</v>
      </c>
      <c r="ET46" s="528"/>
      <c r="EV46" s="460">
        <f t="shared" si="126"/>
        <v>355.88</v>
      </c>
      <c r="EW46" s="528">
        <f t="shared" si="89"/>
        <v>2.005509119864856E-2</v>
      </c>
      <c r="EX46" s="528">
        <f t="shared" si="90"/>
        <v>1.6614339131724443E-2</v>
      </c>
      <c r="EY46" s="528">
        <f t="shared" si="91"/>
        <v>1.0180754869655941</v>
      </c>
      <c r="EZ46" s="528">
        <f t="shared" si="92"/>
        <v>1.0666747289479228</v>
      </c>
      <c r="FA46" s="528">
        <f t="shared" si="93"/>
        <v>0.40179999999999999</v>
      </c>
      <c r="FB46" s="460">
        <f t="shared" si="127"/>
        <v>1468.4747289479228</v>
      </c>
      <c r="FC46" s="173">
        <f t="shared" si="128"/>
        <v>2.9763839206122085</v>
      </c>
      <c r="FD46" s="5">
        <f t="shared" si="129"/>
        <v>9.84</v>
      </c>
      <c r="FE46" s="173">
        <f t="shared" si="130"/>
        <v>0.76776726266561202</v>
      </c>
      <c r="FF46" s="5">
        <f t="shared" si="131"/>
        <v>76.776726266561198</v>
      </c>
      <c r="FI46" s="562">
        <f t="shared" si="94"/>
        <v>-50</v>
      </c>
      <c r="FJ46">
        <f t="shared" si="95"/>
        <v>-50</v>
      </c>
      <c r="FL46">
        <f t="shared" si="181"/>
        <v>0.51313551298826043</v>
      </c>
    </row>
    <row r="47" spans="5:168">
      <c r="E47" s="170">
        <v>42</v>
      </c>
      <c r="F47" s="217">
        <f t="shared" si="182"/>
        <v>0.42</v>
      </c>
      <c r="G47" s="217"/>
      <c r="H47" s="217">
        <f t="shared" si="132"/>
        <v>10.08</v>
      </c>
      <c r="I47" s="541">
        <f t="shared" si="133"/>
        <v>23.916</v>
      </c>
      <c r="J47" s="172">
        <f t="shared" si="134"/>
        <v>16.357516004000001</v>
      </c>
      <c r="K47" s="172">
        <f t="shared" si="135"/>
        <v>40.357516004000004</v>
      </c>
      <c r="L47" s="443"/>
      <c r="M47" s="217">
        <f t="shared" si="136"/>
        <v>0.40616306168805594</v>
      </c>
      <c r="N47" s="172">
        <f t="shared" si="137"/>
        <v>54.315228777819634</v>
      </c>
      <c r="O47" s="172">
        <f t="shared" si="98"/>
        <v>10.08</v>
      </c>
      <c r="P47" s="217">
        <f t="shared" si="138"/>
        <v>2.2631345324091514</v>
      </c>
      <c r="Q47" s="217">
        <f t="shared" si="139"/>
        <v>24</v>
      </c>
      <c r="R47" s="217">
        <f t="shared" si="140"/>
        <v>2.248563838734154</v>
      </c>
      <c r="S47" s="172">
        <f t="shared" si="141"/>
        <v>280.55692230343311</v>
      </c>
      <c r="T47" s="172">
        <f t="shared" si="142"/>
        <v>24</v>
      </c>
      <c r="U47" s="217">
        <f t="shared" si="143"/>
        <v>2.1207342177509148</v>
      </c>
      <c r="V47" s="217">
        <f t="shared" si="11"/>
        <v>0.88674285739710434</v>
      </c>
      <c r="W47" s="217">
        <f t="shared" si="144"/>
        <v>1.2964891596207633</v>
      </c>
      <c r="X47" s="197">
        <f t="shared" si="145"/>
        <v>350</v>
      </c>
      <c r="Y47" s="443">
        <f t="shared" si="14"/>
        <v>350</v>
      </c>
      <c r="AA47" s="217">
        <f t="shared" si="146"/>
        <v>2.7753535011006027</v>
      </c>
      <c r="AB47" s="173">
        <f t="shared" si="147"/>
        <v>1.6966839588736637</v>
      </c>
      <c r="AC47" s="173">
        <f t="shared" si="148"/>
        <v>0.5496460916804683</v>
      </c>
      <c r="AD47" s="173"/>
      <c r="AE47" s="173">
        <f t="shared" si="149"/>
        <v>1.3585328124874274</v>
      </c>
      <c r="AF47" s="545">
        <f t="shared" si="150"/>
        <v>417.15344411999985</v>
      </c>
      <c r="AG47" s="528">
        <f t="shared" si="151"/>
        <v>0.35238831675021109</v>
      </c>
      <c r="AI47" s="173">
        <f t="shared" si="152"/>
        <v>2.4260591254130639</v>
      </c>
      <c r="AJ47" s="173">
        <f t="shared" si="153"/>
        <v>2.4260591254130639</v>
      </c>
      <c r="AK47" s="173">
        <f t="shared" si="154"/>
        <v>1.3509902986598825</v>
      </c>
      <c r="AM47" s="545">
        <f t="shared" si="155"/>
        <v>420</v>
      </c>
      <c r="AN47" s="460">
        <f t="shared" si="156"/>
        <v>350</v>
      </c>
      <c r="AP47">
        <f t="shared" si="157"/>
        <v>420</v>
      </c>
      <c r="AQ47" s="460">
        <f t="shared" si="158"/>
        <v>350</v>
      </c>
      <c r="AR47" s="460"/>
      <c r="AS47" s="5">
        <f t="shared" si="101"/>
        <v>2.8571428571428572</v>
      </c>
      <c r="AT47" s="5">
        <f t="shared" si="159"/>
        <v>1.0144083983162169</v>
      </c>
      <c r="AU47" s="5">
        <f t="shared" si="102"/>
        <v>1.8427344588266403</v>
      </c>
      <c r="AV47" s="5">
        <f t="shared" si="160"/>
        <v>1.4831464171086892</v>
      </c>
      <c r="AW47" s="173">
        <f t="shared" si="103"/>
        <v>0.35504293941067588</v>
      </c>
      <c r="AX47" s="173">
        <f t="shared" si="161"/>
        <v>10.300085040000003</v>
      </c>
      <c r="AY47" s="173">
        <f t="shared" si="162"/>
        <v>0.52182877144116246</v>
      </c>
      <c r="AZ47" s="173">
        <f t="shared" si="104"/>
        <v>19.738438360831861</v>
      </c>
      <c r="BA47" s="460">
        <f t="shared" si="163"/>
        <v>1.7752146970533798</v>
      </c>
      <c r="BB47" s="5">
        <f t="shared" si="164"/>
        <v>0.64722233877503665</v>
      </c>
      <c r="BC47" s="5"/>
      <c r="BD47" s="173">
        <f t="shared" si="105"/>
        <v>0.8346054064824977</v>
      </c>
      <c r="BE47" s="173">
        <f t="shared" si="165"/>
        <v>0.75029488916302445</v>
      </c>
      <c r="BF47" s="173"/>
      <c r="BG47" s="528">
        <f t="shared" si="166"/>
        <v>2.786264738119261E-2</v>
      </c>
      <c r="BH47" s="528">
        <f t="shared" si="167"/>
        <v>0.77103904484650032</v>
      </c>
      <c r="BI47" s="528">
        <f t="shared" si="168"/>
        <v>0.33482400000000007</v>
      </c>
      <c r="BJ47" s="528">
        <f t="shared" si="169"/>
        <v>9.975965725330338E-2</v>
      </c>
      <c r="BK47">
        <f t="shared" si="170"/>
        <v>1.07622E-2</v>
      </c>
      <c r="BL47" s="460">
        <f t="shared" si="106"/>
        <v>345.58620000000008</v>
      </c>
      <c r="BM47" s="528">
        <f t="shared" si="171"/>
        <v>0.91222333327324867</v>
      </c>
      <c r="BN47" s="460">
        <f t="shared" si="107"/>
        <v>912.22333327324873</v>
      </c>
      <c r="BO47" s="528">
        <f t="shared" si="172"/>
        <v>0.36456</v>
      </c>
      <c r="BP47" s="528"/>
      <c r="BR47" s="460">
        <f t="shared" si="109"/>
        <v>364.56</v>
      </c>
      <c r="BS47" s="528">
        <f t="shared" si="173"/>
        <v>2.0896985535894457E-2</v>
      </c>
      <c r="BT47" s="528">
        <f t="shared" si="174"/>
        <v>1.6888272621124654E-2</v>
      </c>
      <c r="BU47" s="528">
        <f t="shared" si="175"/>
        <v>0.1512</v>
      </c>
      <c r="BV47" s="528">
        <f t="shared" si="176"/>
        <v>0.19865421618209736</v>
      </c>
      <c r="BW47" s="528">
        <f t="shared" si="177"/>
        <v>0.4120034016000001</v>
      </c>
      <c r="BX47" s="460">
        <f t="shared" si="110"/>
        <v>610.65761778209753</v>
      </c>
      <c r="BY47" s="173">
        <f t="shared" si="45"/>
        <v>2.2330271510553463</v>
      </c>
      <c r="BZ47" s="5">
        <f t="shared" si="111"/>
        <v>10.08</v>
      </c>
      <c r="CA47" s="173">
        <f t="shared" si="112"/>
        <v>0.81864515332738841</v>
      </c>
      <c r="CB47" s="5">
        <f t="shared" si="113"/>
        <v>81.864515332738847</v>
      </c>
      <c r="CE47" s="562">
        <f t="shared" si="178"/>
        <v>-50</v>
      </c>
      <c r="CF47">
        <f t="shared" si="179"/>
        <v>-50</v>
      </c>
      <c r="CG47" s="173">
        <f t="shared" si="180"/>
        <v>0.52473763118440775</v>
      </c>
      <c r="CI47" s="170">
        <v>42</v>
      </c>
      <c r="CJ47" s="217">
        <f t="shared" si="114"/>
        <v>0.42</v>
      </c>
      <c r="CK47" s="217"/>
      <c r="CL47" s="217">
        <f t="shared" si="49"/>
        <v>10.08</v>
      </c>
      <c r="CM47" s="541">
        <f t="shared" si="50"/>
        <v>24</v>
      </c>
      <c r="CN47" s="172">
        <f t="shared" si="51"/>
        <v>16.3415</v>
      </c>
      <c r="CO47" s="443">
        <f t="shared" si="52"/>
        <v>40.341499999999996</v>
      </c>
      <c r="CP47" s="443"/>
      <c r="CQ47" s="217">
        <f t="shared" si="53"/>
        <v>0.40507913686898112</v>
      </c>
      <c r="CR47" s="172">
        <f t="shared" si="54"/>
        <v>54.360539956785601</v>
      </c>
      <c r="CS47" s="172">
        <f t="shared" si="115"/>
        <v>10.08</v>
      </c>
      <c r="CT47" s="217">
        <f t="shared" si="55"/>
        <v>2.2650224981994</v>
      </c>
      <c r="CU47" s="217">
        <f t="shared" si="56"/>
        <v>24</v>
      </c>
      <c r="CV47" s="217">
        <f t="shared" si="57"/>
        <v>2.250439649272117</v>
      </c>
      <c r="CW47" s="172">
        <f t="shared" si="58"/>
        <v>281.54209683080711</v>
      </c>
      <c r="CX47" s="172">
        <f t="shared" si="59"/>
        <v>24</v>
      </c>
      <c r="CY47" s="217">
        <f t="shared" si="60"/>
        <v>2.0736688798457914</v>
      </c>
      <c r="CZ47" s="217">
        <f t="shared" si="61"/>
        <v>0.8640286999357466</v>
      </c>
      <c r="DA47" s="217">
        <f t="shared" si="62"/>
        <v>1.2689587123861283</v>
      </c>
      <c r="DB47" s="197">
        <f t="shared" si="63"/>
        <v>350</v>
      </c>
      <c r="DC47" s="443">
        <f t="shared" si="116"/>
        <v>350</v>
      </c>
      <c r="DE47" s="217">
        <f t="shared" si="64"/>
        <v>2.7776855099587272</v>
      </c>
      <c r="DF47" s="173">
        <f t="shared" si="65"/>
        <v>1.6997738946600542</v>
      </c>
      <c r="DG47" s="173">
        <f t="shared" si="66"/>
        <v>0.55110977087390545</v>
      </c>
      <c r="DH47" s="173"/>
      <c r="DI47" s="173">
        <f t="shared" si="67"/>
        <v>1.3598642855443031</v>
      </c>
      <c r="DJ47" s="545">
        <f t="shared" si="117"/>
        <v>416.74499999999989</v>
      </c>
      <c r="DK47" s="528">
        <f t="shared" si="68"/>
        <v>0.35273368606701955</v>
      </c>
      <c r="DM47" s="173">
        <f t="shared" si="69"/>
        <v>2.4248711305964279</v>
      </c>
      <c r="DN47" s="173">
        <f t="shared" si="70"/>
        <v>2.4248711305964279</v>
      </c>
      <c r="DO47" s="173">
        <f t="shared" si="71"/>
        <v>1.3501103024994114</v>
      </c>
      <c r="DQ47" s="545">
        <f t="shared" si="72"/>
        <v>420</v>
      </c>
      <c r="DR47" s="460">
        <f t="shared" si="73"/>
        <v>350</v>
      </c>
      <c r="DT47">
        <f t="shared" si="74"/>
        <v>420</v>
      </c>
      <c r="DU47" s="460">
        <f t="shared" si="75"/>
        <v>350</v>
      </c>
      <c r="DV47" s="460"/>
      <c r="DW47" s="5">
        <f t="shared" si="118"/>
        <v>2.8571428571428572</v>
      </c>
      <c r="DX47" s="5">
        <f t="shared" si="76"/>
        <v>1.0103629710818449</v>
      </c>
      <c r="DY47" s="5">
        <f t="shared" si="119"/>
        <v>1.8467798860610123</v>
      </c>
      <c r="DZ47" s="5">
        <f t="shared" si="77"/>
        <v>1.4838730413954826</v>
      </c>
      <c r="EA47" s="173">
        <f t="shared" si="120"/>
        <v>0.35362703987864569</v>
      </c>
      <c r="EB47" s="173">
        <f t="shared" si="78"/>
        <v>10.289999999999997</v>
      </c>
      <c r="EC47" s="173">
        <f t="shared" si="79"/>
        <v>0.52271827205390897</v>
      </c>
      <c r="ED47" s="173">
        <f t="shared" si="121"/>
        <v>19.685556350589501</v>
      </c>
      <c r="EE47" s="460">
        <f t="shared" si="80"/>
        <v>1.7681351993932286</v>
      </c>
      <c r="EF47" s="5">
        <f t="shared" si="81"/>
        <v>0.64637296012135415</v>
      </c>
      <c r="EG47" s="5"/>
      <c r="EH47" s="173">
        <f t="shared" si="122"/>
        <v>0.83253167997508981</v>
      </c>
      <c r="EI47" s="173">
        <f t="shared" si="82"/>
        <v>0.7507502054056604</v>
      </c>
      <c r="EJ47" s="173"/>
      <c r="EK47" s="528">
        <f t="shared" si="83"/>
        <v>2.7724359926485812E-2</v>
      </c>
      <c r="EL47" s="528">
        <f t="shared" si="84"/>
        <v>0.94154578513144926</v>
      </c>
      <c r="EM47" s="528">
        <f t="shared" si="85"/>
        <v>6.9999999999999993E-2</v>
      </c>
      <c r="EN47" s="528">
        <f t="shared" si="86"/>
        <v>9.968049311281249E-2</v>
      </c>
      <c r="EO47">
        <f t="shared" si="87"/>
        <v>1.0800000000000001E-2</v>
      </c>
      <c r="EP47" s="460">
        <f t="shared" si="123"/>
        <v>80.8</v>
      </c>
      <c r="EQ47" s="528">
        <f t="shared" si="88"/>
        <v>1.1649098351322424</v>
      </c>
      <c r="ER47" s="460">
        <f t="shared" si="124"/>
        <v>1164.9098351322425</v>
      </c>
      <c r="ES47" s="528">
        <f t="shared" si="125"/>
        <v>0.36456</v>
      </c>
      <c r="ET47" s="528"/>
      <c r="EV47" s="460">
        <f t="shared" si="126"/>
        <v>364.56</v>
      </c>
      <c r="EW47" s="528">
        <f t="shared" si="89"/>
        <v>2.079326994486436E-2</v>
      </c>
      <c r="EX47" s="528">
        <f t="shared" si="90"/>
        <v>1.6908776127499237E-2</v>
      </c>
      <c r="EY47" s="528">
        <f t="shared" si="91"/>
        <v>1.0492084335748082</v>
      </c>
      <c r="EZ47" s="528">
        <f t="shared" si="92"/>
        <v>1.0992745627213307</v>
      </c>
      <c r="FA47" s="528">
        <f t="shared" si="93"/>
        <v>0.41159999999999985</v>
      </c>
      <c r="FB47" s="460">
        <f t="shared" si="127"/>
        <v>1510.8745627213307</v>
      </c>
      <c r="FC47" s="173">
        <f t="shared" si="128"/>
        <v>3.0403443978535734</v>
      </c>
      <c r="FD47" s="5">
        <f t="shared" si="129"/>
        <v>10.08</v>
      </c>
      <c r="FE47" s="173">
        <f t="shared" si="130"/>
        <v>0.76827251589897594</v>
      </c>
      <c r="FF47" s="5">
        <f t="shared" si="131"/>
        <v>76.8272515898976</v>
      </c>
      <c r="FI47" s="562">
        <f t="shared" si="94"/>
        <v>-50</v>
      </c>
      <c r="FJ47">
        <f t="shared" si="95"/>
        <v>-50</v>
      </c>
      <c r="FL47">
        <f t="shared" si="181"/>
        <v>0.51935556448841902</v>
      </c>
    </row>
    <row r="48" spans="5:168">
      <c r="E48" s="170">
        <v>43</v>
      </c>
      <c r="F48" s="217">
        <f t="shared" si="182"/>
        <v>0.43</v>
      </c>
      <c r="G48" s="217"/>
      <c r="H48" s="217">
        <f t="shared" si="132"/>
        <v>10.32</v>
      </c>
      <c r="I48" s="541">
        <f t="shared" si="133"/>
        <v>23.915005882556496</v>
      </c>
      <c r="J48" s="172">
        <f t="shared" si="134"/>
        <v>16.357705549106569</v>
      </c>
      <c r="K48" s="172">
        <f t="shared" si="135"/>
        <v>40.357705549106569</v>
      </c>
      <c r="L48" s="443"/>
      <c r="M48" s="217">
        <f t="shared" si="136"/>
        <v>0.40617591150467874</v>
      </c>
      <c r="N48" s="172">
        <f t="shared" si="137"/>
        <v>54.314689358529414</v>
      </c>
      <c r="O48" s="172">
        <f t="shared" si="98"/>
        <v>10.32</v>
      </c>
      <c r="P48" s="217">
        <f t="shared" si="138"/>
        <v>2.2631120566053924</v>
      </c>
      <c r="Q48" s="217">
        <f t="shared" si="139"/>
        <v>24</v>
      </c>
      <c r="R48" s="217">
        <f t="shared" si="140"/>
        <v>2.2485415076359114</v>
      </c>
      <c r="S48" s="172">
        <f t="shared" si="141"/>
        <v>273.19032473340332</v>
      </c>
      <c r="T48" s="172">
        <f t="shared" si="142"/>
        <v>24</v>
      </c>
      <c r="U48" s="217">
        <f t="shared" si="143"/>
        <v>2.1712748730114697</v>
      </c>
      <c r="V48" s="217">
        <f t="shared" si="11"/>
        <v>0.90791316701920144</v>
      </c>
      <c r="W48" s="217">
        <f t="shared" si="144"/>
        <v>1.3273712908532342</v>
      </c>
      <c r="X48" s="197">
        <f t="shared" si="145"/>
        <v>350</v>
      </c>
      <c r="Y48" s="443">
        <f t="shared" si="14"/>
        <v>350</v>
      </c>
      <c r="AA48" s="217">
        <f t="shared" si="146"/>
        <v>2.7753257409677374</v>
      </c>
      <c r="AB48" s="173">
        <f t="shared" si="147"/>
        <v>1.6966473278517484</v>
      </c>
      <c r="AC48" s="173">
        <f t="shared" si="148"/>
        <v>0.549628727297096</v>
      </c>
      <c r="AD48" s="173"/>
      <c r="AE48" s="173">
        <f t="shared" si="149"/>
        <v>1.3585170704723908</v>
      </c>
      <c r="AF48" s="545">
        <f t="shared" si="150"/>
        <v>427.09061789758744</v>
      </c>
      <c r="AG48" s="528">
        <f t="shared" si="151"/>
        <v>0.35238423344642184</v>
      </c>
      <c r="AI48" s="173">
        <f t="shared" si="152"/>
        <v>2.4547851061602679</v>
      </c>
      <c r="AJ48" s="173">
        <f t="shared" si="153"/>
        <v>2.4547851061602679</v>
      </c>
      <c r="AK48" s="173">
        <f t="shared" si="154"/>
        <v>1.3722688029170707</v>
      </c>
      <c r="AM48" s="545">
        <f t="shared" si="155"/>
        <v>430</v>
      </c>
      <c r="AN48" s="460">
        <f t="shared" si="156"/>
        <v>350</v>
      </c>
      <c r="AP48">
        <f t="shared" si="157"/>
        <v>430</v>
      </c>
      <c r="AQ48" s="460">
        <f t="shared" si="158"/>
        <v>350</v>
      </c>
      <c r="AR48" s="460"/>
      <c r="AS48" s="5">
        <f t="shared" si="101"/>
        <v>2.8571428571428572</v>
      </c>
      <c r="AT48" s="5">
        <f t="shared" si="159"/>
        <v>1.0264622631561962</v>
      </c>
      <c r="AU48" s="5">
        <f t="shared" si="102"/>
        <v>1.8306805939866611</v>
      </c>
      <c r="AV48" s="5">
        <f t="shared" si="160"/>
        <v>1.5006903619770466</v>
      </c>
      <c r="AW48" s="173">
        <f t="shared" si="103"/>
        <v>0.35926179210466863</v>
      </c>
      <c r="AX48" s="173">
        <f t="shared" si="161"/>
        <v>10.545447355495988</v>
      </c>
      <c r="AY48" s="173">
        <f t="shared" si="162"/>
        <v>0.52455368233137523</v>
      </c>
      <c r="AZ48" s="173">
        <f t="shared" si="104"/>
        <v>20.103657091161423</v>
      </c>
      <c r="BA48" s="460">
        <f t="shared" si="163"/>
        <v>1.8390782214881849</v>
      </c>
      <c r="BB48" s="5">
        <f t="shared" si="164"/>
        <v>0.65832528687642022</v>
      </c>
      <c r="BC48" s="5"/>
      <c r="BD48" s="173">
        <f t="shared" si="105"/>
        <v>0.84949019058558228</v>
      </c>
      <c r="BE48" s="173">
        <f t="shared" si="165"/>
        <v>0.75669174702985709</v>
      </c>
      <c r="BF48" s="173"/>
      <c r="BG48" s="528">
        <f t="shared" si="166"/>
        <v>2.8865343356045153E-2</v>
      </c>
      <c r="BH48" s="528">
        <f t="shared" si="167"/>
        <v>0.78017226919339366</v>
      </c>
      <c r="BI48" s="528">
        <f t="shared" si="168"/>
        <v>0.33481008235579096</v>
      </c>
      <c r="BJ48" s="528">
        <f t="shared" si="169"/>
        <v>9.9760594327788721E-2</v>
      </c>
      <c r="BK48">
        <f t="shared" si="170"/>
        <v>1.0761752647150423E-2</v>
      </c>
      <c r="BL48" s="460">
        <f t="shared" si="106"/>
        <v>345.57183500294138</v>
      </c>
      <c r="BM48" s="528">
        <f t="shared" si="171"/>
        <v>0.922921620375736</v>
      </c>
      <c r="BN48" s="460">
        <f t="shared" si="107"/>
        <v>922.92162037573598</v>
      </c>
      <c r="BO48" s="528">
        <f t="shared" si="172"/>
        <v>0.37323999999999996</v>
      </c>
      <c r="BP48" s="528"/>
      <c r="BR48" s="460">
        <f t="shared" si="109"/>
        <v>373.23999999999995</v>
      </c>
      <c r="BS48" s="528">
        <f t="shared" si="173"/>
        <v>2.1649007517033865E-2</v>
      </c>
      <c r="BT48" s="528">
        <f t="shared" si="174"/>
        <v>1.7177472000692917E-2</v>
      </c>
      <c r="BU48" s="528">
        <f t="shared" si="175"/>
        <v>0.15479999999999999</v>
      </c>
      <c r="BV48" s="528">
        <f t="shared" si="176"/>
        <v>0.20357716938577591</v>
      </c>
      <c r="BW48" s="528">
        <f t="shared" si="177"/>
        <v>0.42181789421983945</v>
      </c>
      <c r="BX48" s="460">
        <f t="shared" si="110"/>
        <v>625.39506360561541</v>
      </c>
      <c r="BY48" s="173">
        <f t="shared" si="45"/>
        <v>2.2671285189842929</v>
      </c>
      <c r="BZ48" s="5">
        <f t="shared" si="111"/>
        <v>10.32</v>
      </c>
      <c r="CA48" s="173">
        <f t="shared" si="112"/>
        <v>0.81988516955515778</v>
      </c>
      <c r="CB48" s="5">
        <f t="shared" si="113"/>
        <v>81.988516955515777</v>
      </c>
      <c r="CE48" s="562">
        <f t="shared" si="178"/>
        <v>-50</v>
      </c>
      <c r="CF48">
        <f t="shared" si="179"/>
        <v>-50</v>
      </c>
      <c r="CG48" s="173">
        <f t="shared" si="180"/>
        <v>0.53094776014182354</v>
      </c>
      <c r="CI48" s="170">
        <v>43</v>
      </c>
      <c r="CJ48" s="217">
        <f t="shared" si="114"/>
        <v>0.43</v>
      </c>
      <c r="CK48" s="217"/>
      <c r="CL48" s="217">
        <f t="shared" si="49"/>
        <v>10.32</v>
      </c>
      <c r="CM48" s="541">
        <f t="shared" si="50"/>
        <v>24</v>
      </c>
      <c r="CN48" s="172">
        <f t="shared" si="51"/>
        <v>16.3415</v>
      </c>
      <c r="CO48" s="443">
        <f t="shared" si="52"/>
        <v>40.341499999999996</v>
      </c>
      <c r="CP48" s="443"/>
      <c r="CQ48" s="217">
        <f t="shared" si="53"/>
        <v>0.40507913686898112</v>
      </c>
      <c r="CR48" s="172">
        <f t="shared" si="54"/>
        <v>54.360539956785601</v>
      </c>
      <c r="CS48" s="172">
        <f t="shared" si="115"/>
        <v>10.32</v>
      </c>
      <c r="CT48" s="217">
        <f t="shared" si="55"/>
        <v>2.2650224981994</v>
      </c>
      <c r="CU48" s="217">
        <f t="shared" si="56"/>
        <v>24</v>
      </c>
      <c r="CV48" s="217">
        <f t="shared" si="57"/>
        <v>2.250439649272117</v>
      </c>
      <c r="CW48" s="172">
        <f t="shared" si="58"/>
        <v>274.16101296260706</v>
      </c>
      <c r="CX48" s="172">
        <f t="shared" si="59"/>
        <v>24</v>
      </c>
      <c r="CY48" s="217">
        <f t="shared" si="60"/>
        <v>2.1230419484135483</v>
      </c>
      <c r="CZ48" s="217">
        <f t="shared" si="61"/>
        <v>0.88460081183897854</v>
      </c>
      <c r="DA48" s="217">
        <f t="shared" si="62"/>
        <v>1.2991720150619885</v>
      </c>
      <c r="DB48" s="197">
        <f t="shared" si="63"/>
        <v>350</v>
      </c>
      <c r="DC48" s="443">
        <f t="shared" si="116"/>
        <v>350</v>
      </c>
      <c r="DE48" s="217">
        <f t="shared" si="64"/>
        <v>2.7776855099587272</v>
      </c>
      <c r="DF48" s="173">
        <f t="shared" si="65"/>
        <v>1.6997738946600542</v>
      </c>
      <c r="DG48" s="173">
        <f t="shared" si="66"/>
        <v>0.55110977087390545</v>
      </c>
      <c r="DH48" s="173"/>
      <c r="DI48" s="173">
        <f t="shared" si="67"/>
        <v>1.3598642855443031</v>
      </c>
      <c r="DJ48" s="545">
        <f t="shared" si="117"/>
        <v>426.6674999999999</v>
      </c>
      <c r="DK48" s="528">
        <f t="shared" si="68"/>
        <v>0.35273368606701955</v>
      </c>
      <c r="DM48" s="173">
        <f t="shared" si="69"/>
        <v>2.4535688292770592</v>
      </c>
      <c r="DN48" s="173">
        <f t="shared" si="70"/>
        <v>2.4535688292770592</v>
      </c>
      <c r="DO48" s="173">
        <f t="shared" si="71"/>
        <v>1.3713678570776568</v>
      </c>
      <c r="DQ48" s="545">
        <f t="shared" si="72"/>
        <v>430</v>
      </c>
      <c r="DR48" s="460">
        <f t="shared" si="73"/>
        <v>350</v>
      </c>
      <c r="DT48">
        <f t="shared" si="74"/>
        <v>430</v>
      </c>
      <c r="DU48" s="460">
        <f t="shared" si="75"/>
        <v>350</v>
      </c>
      <c r="DV48" s="460"/>
      <c r="DW48" s="5">
        <f t="shared" si="118"/>
        <v>2.8571428571428572</v>
      </c>
      <c r="DX48" s="5">
        <f t="shared" si="76"/>
        <v>1.0223203455321082</v>
      </c>
      <c r="DY48" s="5">
        <f t="shared" si="119"/>
        <v>1.8348225116107491</v>
      </c>
      <c r="DZ48" s="5">
        <f t="shared" si="77"/>
        <v>1.5014342803763789</v>
      </c>
      <c r="EA48" s="173">
        <f t="shared" si="120"/>
        <v>0.35781212093623782</v>
      </c>
      <c r="EB48" s="173">
        <f t="shared" si="78"/>
        <v>10.534999999999998</v>
      </c>
      <c r="EC48" s="173">
        <f t="shared" si="79"/>
        <v>0.52547999623056596</v>
      </c>
      <c r="ED48" s="173">
        <f t="shared" si="121"/>
        <v>20.048336902585984</v>
      </c>
      <c r="EE48" s="460">
        <f t="shared" si="80"/>
        <v>1.8316572857450273</v>
      </c>
      <c r="EF48" s="5">
        <f t="shared" si="81"/>
        <v>0.65747806666051833</v>
      </c>
      <c r="EG48" s="5"/>
      <c r="EH48" s="173">
        <f t="shared" si="122"/>
        <v>0.8473545043321894</v>
      </c>
      <c r="EI48" s="173">
        <f t="shared" si="82"/>
        <v>0.75717192817293588</v>
      </c>
      <c r="EJ48" s="173"/>
      <c r="EK48" s="528">
        <f t="shared" si="83"/>
        <v>2.8720386240482013E-2</v>
      </c>
      <c r="EL48" s="528">
        <f t="shared" si="84"/>
        <v>0.95268872666544957</v>
      </c>
      <c r="EM48" s="528">
        <f t="shared" si="85"/>
        <v>6.9999999999999993E-2</v>
      </c>
      <c r="EN48" s="528">
        <f t="shared" si="86"/>
        <v>9.968049311281249E-2</v>
      </c>
      <c r="EO48">
        <f t="shared" si="87"/>
        <v>1.0800000000000001E-2</v>
      </c>
      <c r="EP48" s="460">
        <f t="shared" si="123"/>
        <v>80.8</v>
      </c>
      <c r="EQ48" s="528">
        <f t="shared" si="88"/>
        <v>1.1776805597770963</v>
      </c>
      <c r="ER48" s="460">
        <f t="shared" si="124"/>
        <v>1177.6805597770963</v>
      </c>
      <c r="ES48" s="528">
        <f t="shared" si="125"/>
        <v>0.37323999999999996</v>
      </c>
      <c r="ET48" s="528"/>
      <c r="EV48" s="460">
        <f t="shared" si="126"/>
        <v>373.23999999999995</v>
      </c>
      <c r="EW48" s="528">
        <f t="shared" si="89"/>
        <v>2.1540289680361511E-2</v>
      </c>
      <c r="EX48" s="528">
        <f t="shared" si="90"/>
        <v>1.7199279864393648E-2</v>
      </c>
      <c r="EY48" s="528">
        <f t="shared" si="91"/>
        <v>1.0805272633864991</v>
      </c>
      <c r="EZ48" s="528">
        <f t="shared" si="92"/>
        <v>1.1320728106923588</v>
      </c>
      <c r="FA48" s="528">
        <f t="shared" si="93"/>
        <v>0.42139999999999994</v>
      </c>
      <c r="FB48" s="460">
        <f t="shared" si="127"/>
        <v>1553.4728106923587</v>
      </c>
      <c r="FC48" s="173">
        <f t="shared" si="128"/>
        <v>3.1043933704694546</v>
      </c>
      <c r="FD48" s="5">
        <f t="shared" si="129"/>
        <v>10.32</v>
      </c>
      <c r="FE48" s="173">
        <f t="shared" si="130"/>
        <v>0.76874982095664757</v>
      </c>
      <c r="FF48" s="5">
        <f t="shared" si="131"/>
        <v>76.874982095664762</v>
      </c>
      <c r="FI48" s="562">
        <f t="shared" si="94"/>
        <v>-50</v>
      </c>
      <c r="FJ48">
        <f t="shared" si="95"/>
        <v>-50</v>
      </c>
      <c r="FL48">
        <f t="shared" si="181"/>
        <v>0.52550199813173248</v>
      </c>
    </row>
    <row r="49" spans="5:168">
      <c r="E49" s="170">
        <v>44</v>
      </c>
      <c r="F49" s="217">
        <f t="shared" si="182"/>
        <v>0.44</v>
      </c>
      <c r="G49" s="217"/>
      <c r="H49" s="217">
        <f t="shared" si="132"/>
        <v>10.56</v>
      </c>
      <c r="I49" s="541">
        <f t="shared" si="133"/>
        <v>23.91402325895918</v>
      </c>
      <c r="J49" s="172">
        <f t="shared" si="134"/>
        <v>16.357892902719247</v>
      </c>
      <c r="K49" s="172">
        <f t="shared" si="135"/>
        <v>40.357892902719243</v>
      </c>
      <c r="L49" s="443"/>
      <c r="M49" s="217">
        <f t="shared" si="136"/>
        <v>0.40618861325686317</v>
      </c>
      <c r="N49" s="172">
        <f t="shared" si="137"/>
        <v>54.314156102845942</v>
      </c>
      <c r="O49" s="172">
        <f t="shared" si="98"/>
        <v>10.56</v>
      </c>
      <c r="P49" s="217">
        <f t="shared" si="138"/>
        <v>2.2630898376185811</v>
      </c>
      <c r="Q49" s="217">
        <f t="shared" si="139"/>
        <v>24</v>
      </c>
      <c r="R49" s="217">
        <f t="shared" si="140"/>
        <v>2.2485194317011583</v>
      </c>
      <c r="S49" s="172">
        <f t="shared" si="141"/>
        <v>266.15885633100874</v>
      </c>
      <c r="T49" s="172">
        <f t="shared" si="142"/>
        <v>24</v>
      </c>
      <c r="U49" s="217">
        <f t="shared" si="143"/>
        <v>2.2218171616264164</v>
      </c>
      <c r="V49" s="217">
        <f t="shared" si="11"/>
        <v>0.92908547322501756</v>
      </c>
      <c r="W49" s="217">
        <f t="shared" si="144"/>
        <v>1.3582538868787151</v>
      </c>
      <c r="X49" s="197">
        <f t="shared" si="145"/>
        <v>350</v>
      </c>
      <c r="Y49" s="443">
        <f t="shared" si="14"/>
        <v>350</v>
      </c>
      <c r="AA49" s="217">
        <f t="shared" si="146"/>
        <v>2.7752982980760859</v>
      </c>
      <c r="AB49" s="173">
        <f t="shared" si="147"/>
        <v>1.6966111189141821</v>
      </c>
      <c r="AC49" s="173">
        <f t="shared" si="148"/>
        <v>0.54961156270940548</v>
      </c>
      <c r="AD49" s="173"/>
      <c r="AE49" s="173">
        <f t="shared" si="149"/>
        <v>1.3585015108228351</v>
      </c>
      <c r="AF49" s="545">
        <f t="shared" si="150"/>
        <v>437.02796330803125</v>
      </c>
      <c r="AG49" s="528">
        <f t="shared" si="151"/>
        <v>0.35238019744621213</v>
      </c>
      <c r="AI49" s="173">
        <f t="shared" si="152"/>
        <v>2.4831792880257684</v>
      </c>
      <c r="AJ49" s="173">
        <f t="shared" si="153"/>
        <v>2.4831792880257684</v>
      </c>
      <c r="AK49" s="173">
        <f t="shared" si="154"/>
        <v>1.3933015302248488</v>
      </c>
      <c r="AM49" s="545">
        <f t="shared" si="155"/>
        <v>440</v>
      </c>
      <c r="AN49" s="460">
        <f t="shared" si="156"/>
        <v>350</v>
      </c>
      <c r="AP49">
        <f t="shared" si="157"/>
        <v>440</v>
      </c>
      <c r="AQ49" s="460">
        <f t="shared" si="158"/>
        <v>350</v>
      </c>
      <c r="AR49" s="460"/>
      <c r="AS49" s="5">
        <f t="shared" si="101"/>
        <v>2.8571428571428572</v>
      </c>
      <c r="AT49" s="5">
        <f t="shared" si="159"/>
        <v>1.0383778844471381</v>
      </c>
      <c r="AU49" s="5">
        <f t="shared" si="102"/>
        <v>1.8187649726957191</v>
      </c>
      <c r="AV49" s="5">
        <f t="shared" si="160"/>
        <v>1.51803126649214</v>
      </c>
      <c r="AW49" s="173">
        <f t="shared" si="103"/>
        <v>0.36343225955649833</v>
      </c>
      <c r="AX49" s="173">
        <f t="shared" si="161"/>
        <v>10.790813908840285</v>
      </c>
      <c r="AY49" s="173">
        <f t="shared" si="162"/>
        <v>0.52716739480297137</v>
      </c>
      <c r="AZ49" s="173">
        <f t="shared" si="104"/>
        <v>20.469425869696185</v>
      </c>
      <c r="BA49" s="460">
        <f t="shared" si="163"/>
        <v>1.9036927881530865</v>
      </c>
      <c r="BB49" s="5">
        <f t="shared" si="164"/>
        <v>0.66927808785692899</v>
      </c>
      <c r="BC49" s="5"/>
      <c r="BD49" s="173">
        <f t="shared" si="105"/>
        <v>0.86428940053373038</v>
      </c>
      <c r="BE49" s="173">
        <f t="shared" si="165"/>
        <v>0.76294915563090238</v>
      </c>
      <c r="BF49" s="173"/>
      <c r="BG49" s="528">
        <f t="shared" si="166"/>
        <v>2.9879846714998201E-2</v>
      </c>
      <c r="BH49" s="528">
        <f t="shared" si="167"/>
        <v>0.78920008464460722</v>
      </c>
      <c r="BI49" s="528">
        <f t="shared" si="168"/>
        <v>0.33479632562542855</v>
      </c>
      <c r="BJ49" s="528">
        <f t="shared" si="169"/>
        <v>9.9761520572275567E-2</v>
      </c>
      <c r="BK49">
        <f t="shared" si="170"/>
        <v>1.0761310466531631E-2</v>
      </c>
      <c r="BL49" s="460">
        <f t="shared" si="106"/>
        <v>345.55763609196015</v>
      </c>
      <c r="BM49" s="528">
        <f t="shared" si="171"/>
        <v>0.9335366084946134</v>
      </c>
      <c r="BN49" s="460">
        <f t="shared" si="107"/>
        <v>933.53660849461335</v>
      </c>
      <c r="BO49" s="528">
        <f t="shared" si="172"/>
        <v>0.38191999999999998</v>
      </c>
      <c r="BP49" s="528"/>
      <c r="BR49" s="460">
        <f t="shared" si="109"/>
        <v>381.91999999999996</v>
      </c>
      <c r="BS49" s="528">
        <f t="shared" si="173"/>
        <v>2.2409885036248651E-2</v>
      </c>
      <c r="BT49" s="528">
        <f t="shared" si="174"/>
        <v>1.7462742422337207E-2</v>
      </c>
      <c r="BU49" s="528">
        <f t="shared" si="175"/>
        <v>0.15840000000000001</v>
      </c>
      <c r="BV49" s="528">
        <f t="shared" si="176"/>
        <v>0.20850715630190045</v>
      </c>
      <c r="BW49" s="528">
        <f t="shared" si="177"/>
        <v>0.43163255635361142</v>
      </c>
      <c r="BX49" s="460">
        <f t="shared" si="110"/>
        <v>640.13971265551186</v>
      </c>
      <c r="BY49" s="173">
        <f t="shared" si="45"/>
        <v>2.3011539572420854</v>
      </c>
      <c r="BZ49" s="5">
        <f t="shared" si="111"/>
        <v>10.56</v>
      </c>
      <c r="CA49" s="173">
        <f t="shared" si="112"/>
        <v>0.82107717823047199</v>
      </c>
      <c r="CB49" s="5">
        <f t="shared" si="113"/>
        <v>82.107717823047196</v>
      </c>
      <c r="CE49" s="562">
        <f t="shared" si="178"/>
        <v>-50</v>
      </c>
      <c r="CF49">
        <f t="shared" si="179"/>
        <v>-50</v>
      </c>
      <c r="CG49" s="173">
        <f t="shared" si="180"/>
        <v>0.53708608846088646</v>
      </c>
      <c r="CI49" s="170">
        <v>44</v>
      </c>
      <c r="CJ49" s="217">
        <f t="shared" si="114"/>
        <v>0.44</v>
      </c>
      <c r="CK49" s="217"/>
      <c r="CL49" s="217">
        <f t="shared" si="49"/>
        <v>10.56</v>
      </c>
      <c r="CM49" s="541">
        <f t="shared" si="50"/>
        <v>24</v>
      </c>
      <c r="CN49" s="172">
        <f t="shared" si="51"/>
        <v>16.3415</v>
      </c>
      <c r="CO49" s="443">
        <f t="shared" si="52"/>
        <v>40.341499999999996</v>
      </c>
      <c r="CP49" s="443"/>
      <c r="CQ49" s="217">
        <f t="shared" si="53"/>
        <v>0.40507913686898112</v>
      </c>
      <c r="CR49" s="172">
        <f t="shared" si="54"/>
        <v>54.360539956785601</v>
      </c>
      <c r="CS49" s="172">
        <f t="shared" si="115"/>
        <v>10.56</v>
      </c>
      <c r="CT49" s="217">
        <f t="shared" si="55"/>
        <v>2.2650224981994</v>
      </c>
      <c r="CU49" s="217">
        <f t="shared" si="56"/>
        <v>24</v>
      </c>
      <c r="CV49" s="217">
        <f t="shared" si="57"/>
        <v>2.250439649272117</v>
      </c>
      <c r="CW49" s="172">
        <f t="shared" si="58"/>
        <v>267.11552109406921</v>
      </c>
      <c r="CX49" s="172">
        <f t="shared" si="59"/>
        <v>24</v>
      </c>
      <c r="CY49" s="217">
        <f t="shared" si="60"/>
        <v>2.1724150169813052</v>
      </c>
      <c r="CZ49" s="217">
        <f t="shared" si="61"/>
        <v>0.90517292374221059</v>
      </c>
      <c r="DA49" s="217">
        <f t="shared" si="62"/>
        <v>1.3293853177378487</v>
      </c>
      <c r="DB49" s="197">
        <f t="shared" si="63"/>
        <v>350</v>
      </c>
      <c r="DC49" s="443">
        <f t="shared" si="116"/>
        <v>350</v>
      </c>
      <c r="DE49" s="217">
        <f t="shared" si="64"/>
        <v>2.7776855099587272</v>
      </c>
      <c r="DF49" s="173">
        <f t="shared" si="65"/>
        <v>1.6997738946600542</v>
      </c>
      <c r="DG49" s="173">
        <f t="shared" si="66"/>
        <v>0.55110977087390545</v>
      </c>
      <c r="DH49" s="173"/>
      <c r="DI49" s="173">
        <f t="shared" si="67"/>
        <v>1.3598642855443031</v>
      </c>
      <c r="DJ49" s="545">
        <f t="shared" si="117"/>
        <v>436.58999999999986</v>
      </c>
      <c r="DK49" s="528">
        <f t="shared" si="68"/>
        <v>0.35273368606701955</v>
      </c>
      <c r="DM49" s="173">
        <f t="shared" si="69"/>
        <v>2.481934729198171</v>
      </c>
      <c r="DN49" s="173">
        <f t="shared" si="70"/>
        <v>2.481934729198171</v>
      </c>
      <c r="DO49" s="173">
        <f t="shared" si="71"/>
        <v>1.392379634796999</v>
      </c>
      <c r="DQ49" s="545">
        <f t="shared" si="72"/>
        <v>440</v>
      </c>
      <c r="DR49" s="460">
        <f t="shared" si="73"/>
        <v>350</v>
      </c>
      <c r="DT49">
        <f t="shared" si="74"/>
        <v>440</v>
      </c>
      <c r="DU49" s="460">
        <f t="shared" si="75"/>
        <v>350</v>
      </c>
      <c r="DV49" s="460"/>
      <c r="DW49" s="5">
        <f t="shared" si="118"/>
        <v>2.8571428571428572</v>
      </c>
      <c r="DX49" s="5">
        <f t="shared" si="76"/>
        <v>1.0341394704992382</v>
      </c>
      <c r="DY49" s="5">
        <f t="shared" si="119"/>
        <v>1.8230033866436191</v>
      </c>
      <c r="DZ49" s="5">
        <f t="shared" si="77"/>
        <v>1.5187924787798985</v>
      </c>
      <c r="EA49" s="173">
        <f t="shared" si="120"/>
        <v>0.36194881467473333</v>
      </c>
      <c r="EB49" s="173">
        <f t="shared" si="78"/>
        <v>10.779999999999998</v>
      </c>
      <c r="EC49" s="173">
        <f t="shared" si="79"/>
        <v>0.52813106552092337</v>
      </c>
      <c r="ED49" s="173">
        <f t="shared" si="121"/>
        <v>20.411599892097083</v>
      </c>
      <c r="EE49" s="460">
        <f t="shared" si="80"/>
        <v>1.8959223625819366</v>
      </c>
      <c r="EF49" s="5">
        <f t="shared" si="81"/>
        <v>0.66843457510266013</v>
      </c>
      <c r="EG49" s="5"/>
      <c r="EH49" s="173">
        <f t="shared" si="122"/>
        <v>0.862091390823571</v>
      </c>
      <c r="EI49" s="173">
        <f t="shared" si="82"/>
        <v>0.76345478699028468</v>
      </c>
      <c r="EJ49" s="173"/>
      <c r="EK49" s="528">
        <f t="shared" si="83"/>
        <v>2.9728062645284763E-2</v>
      </c>
      <c r="EL49" s="528">
        <f t="shared" si="84"/>
        <v>0.96370283507524945</v>
      </c>
      <c r="EM49" s="528">
        <f t="shared" si="85"/>
        <v>6.9999999999999993E-2</v>
      </c>
      <c r="EN49" s="528">
        <f t="shared" si="86"/>
        <v>9.968049311281249E-2</v>
      </c>
      <c r="EO49">
        <f t="shared" si="87"/>
        <v>1.0800000000000001E-2</v>
      </c>
      <c r="EP49" s="460">
        <f t="shared" si="123"/>
        <v>80.8</v>
      </c>
      <c r="EQ49" s="528">
        <f t="shared" si="88"/>
        <v>1.1903458419076232</v>
      </c>
      <c r="ER49" s="460">
        <f t="shared" si="124"/>
        <v>1190.3458419076233</v>
      </c>
      <c r="ES49" s="528">
        <f t="shared" si="125"/>
        <v>0.38191999999999998</v>
      </c>
      <c r="ET49" s="528"/>
      <c r="EV49" s="460">
        <f t="shared" si="126"/>
        <v>381.91999999999996</v>
      </c>
      <c r="EW49" s="528">
        <f t="shared" si="89"/>
        <v>2.229604698396357E-2</v>
      </c>
      <c r="EX49" s="528">
        <f t="shared" si="90"/>
        <v>1.7485896353351429E-2</v>
      </c>
      <c r="EY49" s="528">
        <f t="shared" si="91"/>
        <v>1.1120287242136624</v>
      </c>
      <c r="EZ49" s="528">
        <f t="shared" si="92"/>
        <v>1.1650662218256038</v>
      </c>
      <c r="FA49" s="528">
        <f t="shared" si="93"/>
        <v>0.43119999999999992</v>
      </c>
      <c r="FB49" s="460">
        <f t="shared" si="127"/>
        <v>1596.2662218256037</v>
      </c>
      <c r="FC49" s="173">
        <f t="shared" si="128"/>
        <v>3.168532063733227</v>
      </c>
      <c r="FD49" s="5">
        <f t="shared" si="129"/>
        <v>10.56</v>
      </c>
      <c r="FE49" s="173">
        <f t="shared" si="130"/>
        <v>0.76920095688135781</v>
      </c>
      <c r="FF49" s="5">
        <f t="shared" si="131"/>
        <v>76.920095688135774</v>
      </c>
      <c r="FI49" s="562">
        <f t="shared" si="94"/>
        <v>-50</v>
      </c>
      <c r="FJ49">
        <f t="shared" si="95"/>
        <v>-50</v>
      </c>
      <c r="FL49">
        <f t="shared" si="181"/>
        <v>0.53157736757296448</v>
      </c>
    </row>
    <row r="50" spans="5:168">
      <c r="E50" s="170">
        <v>45</v>
      </c>
      <c r="F50" s="217">
        <f t="shared" si="182"/>
        <v>0.45</v>
      </c>
      <c r="G50" s="217"/>
      <c r="H50" s="217">
        <f t="shared" si="132"/>
        <v>10.8</v>
      </c>
      <c r="I50" s="541">
        <f t="shared" si="133"/>
        <v>23.913051739522864</v>
      </c>
      <c r="J50" s="172">
        <f t="shared" si="134"/>
        <v>16.358078139138033</v>
      </c>
      <c r="K50" s="172">
        <f t="shared" si="135"/>
        <v>40.35807813913803</v>
      </c>
      <c r="L50" s="443"/>
      <c r="M50" s="217">
        <f t="shared" si="136"/>
        <v>0.40620117196458733</v>
      </c>
      <c r="N50" s="172">
        <f t="shared" si="137"/>
        <v>54.313628801795268</v>
      </c>
      <c r="O50" s="172">
        <f t="shared" si="98"/>
        <v>10.8</v>
      </c>
      <c r="P50" s="217">
        <f t="shared" si="138"/>
        <v>2.2630678667414696</v>
      </c>
      <c r="Q50" s="217">
        <f t="shared" si="139"/>
        <v>24</v>
      </c>
      <c r="R50" s="217">
        <f t="shared" si="140"/>
        <v>2.2484976022787042</v>
      </c>
      <c r="S50" s="172">
        <f t="shared" si="141"/>
        <v>259.44017055149197</v>
      </c>
      <c r="T50" s="172">
        <f t="shared" si="142"/>
        <v>24</v>
      </c>
      <c r="U50" s="217">
        <f t="shared" si="143"/>
        <v>2.2723610651027824</v>
      </c>
      <c r="V50" s="217">
        <f t="shared" si="11"/>
        <v>0.95025975348310898</v>
      </c>
      <c r="W50" s="217">
        <f t="shared" si="144"/>
        <v>1.3891369424785751</v>
      </c>
      <c r="X50" s="197">
        <f t="shared" si="145"/>
        <v>350</v>
      </c>
      <c r="Y50" s="443">
        <f t="shared" si="14"/>
        <v>350</v>
      </c>
      <c r="AA50" s="217">
        <f t="shared" si="146"/>
        <v>2.775271161669747</v>
      </c>
      <c r="AB50" s="173">
        <f t="shared" si="147"/>
        <v>1.6965753177506133</v>
      </c>
      <c r="AC50" s="173">
        <f t="shared" si="148"/>
        <v>0.54959459114355147</v>
      </c>
      <c r="AD50" s="173"/>
      <c r="AE50" s="173">
        <f t="shared" si="149"/>
        <v>1.3584861273558628</v>
      </c>
      <c r="AF50" s="545">
        <f t="shared" si="150"/>
        <v>446.96547838949112</v>
      </c>
      <c r="AG50" s="528">
        <f t="shared" si="151"/>
        <v>0.35237620714580686</v>
      </c>
      <c r="AI50" s="173">
        <f t="shared" si="152"/>
        <v>2.5112529202534257</v>
      </c>
      <c r="AJ50" s="173">
        <f t="shared" si="153"/>
        <v>2.5112529202534257</v>
      </c>
      <c r="AK50" s="173">
        <f t="shared" si="154"/>
        <v>1.4140968133564469</v>
      </c>
      <c r="AM50" s="545">
        <f t="shared" si="155"/>
        <v>450</v>
      </c>
      <c r="AN50" s="460">
        <f t="shared" si="156"/>
        <v>350</v>
      </c>
      <c r="AP50">
        <f t="shared" si="157"/>
        <v>450</v>
      </c>
      <c r="AQ50" s="460">
        <f t="shared" si="158"/>
        <v>350</v>
      </c>
      <c r="AR50" s="460"/>
      <c r="AS50" s="5">
        <f t="shared" si="101"/>
        <v>2.8571428571428572</v>
      </c>
      <c r="AT50" s="5">
        <f t="shared" si="159"/>
        <v>1.0501599493062164</v>
      </c>
      <c r="AU50" s="5">
        <f t="shared" si="102"/>
        <v>1.8069829078366408</v>
      </c>
      <c r="AV50" s="5">
        <f t="shared" si="160"/>
        <v>1.5351760145007798</v>
      </c>
      <c r="AW50" s="173">
        <f t="shared" si="103"/>
        <v>0.36755598225717573</v>
      </c>
      <c r="AX50" s="173">
        <f t="shared" si="161"/>
        <v>11.036184651592379</v>
      </c>
      <c r="AY50" s="173">
        <f t="shared" si="162"/>
        <v>0.52967366663223459</v>
      </c>
      <c r="AZ50" s="173">
        <f t="shared" si="104"/>
        <v>20.83581900864079</v>
      </c>
      <c r="BA50" s="460">
        <f t="shared" si="163"/>
        <v>1.9690499049491557</v>
      </c>
      <c r="BB50" s="5">
        <f t="shared" si="164"/>
        <v>0.68008242309161071</v>
      </c>
      <c r="BC50" s="5"/>
      <c r="BD50" s="173">
        <f t="shared" si="105"/>
        <v>0.87900546506645016</v>
      </c>
      <c r="BE50" s="173">
        <f t="shared" si="165"/>
        <v>0.76907147894431604</v>
      </c>
      <c r="BF50" s="173"/>
      <c r="BG50" s="528">
        <f t="shared" si="166"/>
        <v>3.0906024304667455E-2</v>
      </c>
      <c r="BH50" s="528">
        <f t="shared" si="167"/>
        <v>0.79812606496396976</v>
      </c>
      <c r="BI50" s="528">
        <f t="shared" si="168"/>
        <v>0.33478272435332013</v>
      </c>
      <c r="BJ50" s="528">
        <f t="shared" si="169"/>
        <v>9.9762436353942205E-2</v>
      </c>
      <c r="BK50">
        <f t="shared" si="170"/>
        <v>1.0760873282785289E-2</v>
      </c>
      <c r="BL50" s="460">
        <f t="shared" si="106"/>
        <v>345.5435976361054</v>
      </c>
      <c r="BM50" s="528">
        <f t="shared" si="171"/>
        <v>0.94407172707400988</v>
      </c>
      <c r="BN50" s="460">
        <f t="shared" si="107"/>
        <v>944.07172707400991</v>
      </c>
      <c r="BO50" s="528">
        <f t="shared" si="172"/>
        <v>0.3906</v>
      </c>
      <c r="BP50" s="528"/>
      <c r="BR50" s="460">
        <f t="shared" si="109"/>
        <v>390.6</v>
      </c>
      <c r="BS50" s="528">
        <f t="shared" si="173"/>
        <v>2.317951822850059E-2</v>
      </c>
      <c r="BT50" s="528">
        <f t="shared" si="174"/>
        <v>1.7744128191767929E-2</v>
      </c>
      <c r="BU50" s="528">
        <f t="shared" si="175"/>
        <v>0.16200000000000001</v>
      </c>
      <c r="BV50" s="528">
        <f t="shared" si="176"/>
        <v>0.21344411447884654</v>
      </c>
      <c r="BW50" s="528">
        <f t="shared" si="177"/>
        <v>0.44144738606369516</v>
      </c>
      <c r="BX50" s="460">
        <f t="shared" si="110"/>
        <v>654.89150054254173</v>
      </c>
      <c r="BY50" s="173">
        <f t="shared" si="45"/>
        <v>2.335106825252657</v>
      </c>
      <c r="BZ50" s="5">
        <f t="shared" si="111"/>
        <v>10.8</v>
      </c>
      <c r="CA50" s="173">
        <f t="shared" si="112"/>
        <v>0.82222399434442817</v>
      </c>
      <c r="CB50" s="5">
        <f t="shared" si="113"/>
        <v>82.222399434442821</v>
      </c>
      <c r="CE50" s="562">
        <f t="shared" si="178"/>
        <v>-50</v>
      </c>
      <c r="CF50">
        <f t="shared" si="179"/>
        <v>-50</v>
      </c>
      <c r="CG50" s="173">
        <f t="shared" si="180"/>
        <v>0.54315505045687551</v>
      </c>
      <c r="CI50" s="170">
        <v>45</v>
      </c>
      <c r="CJ50" s="217">
        <f t="shared" si="114"/>
        <v>0.45</v>
      </c>
      <c r="CK50" s="217"/>
      <c r="CL50" s="217">
        <f t="shared" si="49"/>
        <v>10.8</v>
      </c>
      <c r="CM50" s="541">
        <f t="shared" si="50"/>
        <v>24</v>
      </c>
      <c r="CN50" s="172">
        <f t="shared" si="51"/>
        <v>16.3415</v>
      </c>
      <c r="CO50" s="443">
        <f t="shared" si="52"/>
        <v>40.341499999999996</v>
      </c>
      <c r="CP50" s="443"/>
      <c r="CQ50" s="217">
        <f t="shared" si="53"/>
        <v>0.40507913686898112</v>
      </c>
      <c r="CR50" s="172">
        <f t="shared" si="54"/>
        <v>54.360539956785601</v>
      </c>
      <c r="CS50" s="172">
        <f t="shared" si="115"/>
        <v>10.8</v>
      </c>
      <c r="CT50" s="217">
        <f t="shared" si="55"/>
        <v>2.2650224981994</v>
      </c>
      <c r="CU50" s="217">
        <f t="shared" si="56"/>
        <v>24</v>
      </c>
      <c r="CV50" s="217">
        <f t="shared" si="57"/>
        <v>2.250439649272117</v>
      </c>
      <c r="CW50" s="172">
        <f t="shared" si="58"/>
        <v>260.38324920062041</v>
      </c>
      <c r="CX50" s="172">
        <f t="shared" si="59"/>
        <v>24</v>
      </c>
      <c r="CY50" s="217">
        <f t="shared" si="60"/>
        <v>2.2217880855490622</v>
      </c>
      <c r="CZ50" s="217">
        <f t="shared" si="61"/>
        <v>0.92574503564544264</v>
      </c>
      <c r="DA50" s="217">
        <f t="shared" si="62"/>
        <v>1.3595986204137089</v>
      </c>
      <c r="DB50" s="197">
        <f t="shared" si="63"/>
        <v>350</v>
      </c>
      <c r="DC50" s="443">
        <f t="shared" si="116"/>
        <v>350</v>
      </c>
      <c r="DE50" s="217">
        <f t="shared" si="64"/>
        <v>2.7776855099587272</v>
      </c>
      <c r="DF50" s="173">
        <f t="shared" si="65"/>
        <v>1.6997738946600542</v>
      </c>
      <c r="DG50" s="173">
        <f t="shared" si="66"/>
        <v>0.55110977087390545</v>
      </c>
      <c r="DH50" s="173"/>
      <c r="DI50" s="173">
        <f t="shared" si="67"/>
        <v>1.3598642855443031</v>
      </c>
      <c r="DJ50" s="545">
        <f t="shared" si="117"/>
        <v>446.51249999999987</v>
      </c>
      <c r="DK50" s="528">
        <f t="shared" si="68"/>
        <v>0.35273368606701955</v>
      </c>
      <c r="DM50" s="173">
        <f t="shared" si="69"/>
        <v>2.5099800796022262</v>
      </c>
      <c r="DN50" s="173">
        <f t="shared" si="70"/>
        <v>2.5099800796022262</v>
      </c>
      <c r="DO50" s="173">
        <f t="shared" si="71"/>
        <v>1.4131539684296324</v>
      </c>
      <c r="DQ50" s="545">
        <f t="shared" si="72"/>
        <v>450</v>
      </c>
      <c r="DR50" s="460">
        <f t="shared" si="73"/>
        <v>350</v>
      </c>
      <c r="DT50">
        <f t="shared" si="74"/>
        <v>450</v>
      </c>
      <c r="DU50" s="460">
        <f t="shared" si="75"/>
        <v>350</v>
      </c>
      <c r="DV50" s="460"/>
      <c r="DW50" s="5">
        <f t="shared" si="118"/>
        <v>2.8571428571428572</v>
      </c>
      <c r="DX50" s="5">
        <f t="shared" si="76"/>
        <v>1.0458250331675945</v>
      </c>
      <c r="DY50" s="5">
        <f t="shared" si="119"/>
        <v>1.8113178239752628</v>
      </c>
      <c r="DZ50" s="5">
        <f t="shared" si="77"/>
        <v>1.5359545204554212</v>
      </c>
      <c r="EA50" s="173">
        <f t="shared" si="120"/>
        <v>0.36603876160865806</v>
      </c>
      <c r="EB50" s="173">
        <f t="shared" si="78"/>
        <v>11.024999999999999</v>
      </c>
      <c r="EC50" s="173">
        <f t="shared" si="79"/>
        <v>0.53067523154734264</v>
      </c>
      <c r="ED50" s="173">
        <f t="shared" si="121"/>
        <v>20.775418456695835</v>
      </c>
      <c r="EE50" s="460">
        <f t="shared" si="80"/>
        <v>1.9609219371892395</v>
      </c>
      <c r="EF50" s="5">
        <f t="shared" si="81"/>
        <v>0.67924418399072339</v>
      </c>
      <c r="EG50" s="5"/>
      <c r="EH50" s="173">
        <f t="shared" si="122"/>
        <v>0.87674477436605325</v>
      </c>
      <c r="EI50" s="173">
        <f t="shared" si="82"/>
        <v>0.76960314507675964</v>
      </c>
      <c r="EJ50" s="173"/>
      <c r="EK50" s="528">
        <f t="shared" si="83"/>
        <v>3.0747255975127265E-2</v>
      </c>
      <c r="EL50" s="528">
        <f t="shared" si="84"/>
        <v>0.97459247829475448</v>
      </c>
      <c r="EM50" s="528">
        <f t="shared" si="85"/>
        <v>6.9999999999999993E-2</v>
      </c>
      <c r="EN50" s="528">
        <f t="shared" si="86"/>
        <v>9.968049311281249E-2</v>
      </c>
      <c r="EO50">
        <f t="shared" si="87"/>
        <v>1.0800000000000001E-2</v>
      </c>
      <c r="EP50" s="460">
        <f t="shared" si="123"/>
        <v>80.8</v>
      </c>
      <c r="EQ50" s="528">
        <f t="shared" si="88"/>
        <v>1.2029099025524361</v>
      </c>
      <c r="ER50" s="460">
        <f t="shared" si="124"/>
        <v>1202.9099025524361</v>
      </c>
      <c r="ES50" s="528">
        <f t="shared" si="125"/>
        <v>0.3906</v>
      </c>
      <c r="ET50" s="528"/>
      <c r="EV50" s="460">
        <f t="shared" si="126"/>
        <v>390.6</v>
      </c>
      <c r="EW50" s="528">
        <f t="shared" si="89"/>
        <v>2.3060441981345447E-2</v>
      </c>
      <c r="EX50" s="528">
        <f t="shared" si="90"/>
        <v>1.7768670027361197E-2</v>
      </c>
      <c r="EY50" s="528">
        <f t="shared" si="91"/>
        <v>1.1437096936216338</v>
      </c>
      <c r="EZ50" s="528">
        <f t="shared" si="92"/>
        <v>1.198251676666128</v>
      </c>
      <c r="FA50" s="528">
        <f t="shared" si="93"/>
        <v>0.44099999999999995</v>
      </c>
      <c r="FB50" s="460">
        <f t="shared" si="127"/>
        <v>1639.2516766661279</v>
      </c>
      <c r="FC50" s="173">
        <f t="shared" si="128"/>
        <v>3.2327615792185638</v>
      </c>
      <c r="FD50" s="5">
        <f t="shared" si="129"/>
        <v>10.8</v>
      </c>
      <c r="FE50" s="173">
        <f t="shared" si="130"/>
        <v>0.76962755613221312</v>
      </c>
      <c r="FF50" s="5">
        <f t="shared" si="131"/>
        <v>76.962755613221319</v>
      </c>
      <c r="FI50" s="562">
        <f t="shared" si="94"/>
        <v>-50</v>
      </c>
      <c r="FJ50">
        <f t="shared" si="95"/>
        <v>-50</v>
      </c>
      <c r="FL50">
        <f t="shared" si="181"/>
        <v>0.53758408215939746</v>
      </c>
    </row>
    <row r="51" spans="5:168">
      <c r="E51" s="170">
        <v>46</v>
      </c>
      <c r="F51" s="217">
        <f t="shared" si="182"/>
        <v>0.46</v>
      </c>
      <c r="G51" s="217"/>
      <c r="H51" s="217">
        <f t="shared" si="132"/>
        <v>11.040000000000001</v>
      </c>
      <c r="I51" s="541">
        <f t="shared" si="133"/>
        <v>23.912090956096655</v>
      </c>
      <c r="J51" s="172">
        <f t="shared" si="134"/>
        <v>16.358261328557049</v>
      </c>
      <c r="K51" s="172">
        <f t="shared" si="135"/>
        <v>40.358261328557049</v>
      </c>
      <c r="L51" s="443"/>
      <c r="M51" s="217">
        <f t="shared" si="136"/>
        <v>0.40621359237042076</v>
      </c>
      <c r="N51" s="172">
        <f t="shared" si="137"/>
        <v>54.313107257951501</v>
      </c>
      <c r="O51" s="172">
        <f t="shared" si="98"/>
        <v>11.040000000000001</v>
      </c>
      <c r="P51" s="217">
        <f t="shared" si="138"/>
        <v>2.2630461357479792</v>
      </c>
      <c r="Q51" s="217">
        <f t="shared" si="139"/>
        <v>24</v>
      </c>
      <c r="R51" s="217">
        <f t="shared" si="140"/>
        <v>2.2484760111954327</v>
      </c>
      <c r="S51" s="172">
        <f t="shared" si="141"/>
        <v>253.01386431543992</v>
      </c>
      <c r="T51" s="172">
        <f t="shared" si="142"/>
        <v>24</v>
      </c>
      <c r="U51" s="217">
        <f t="shared" si="143"/>
        <v>2.3229065655676622</v>
      </c>
      <c r="V51" s="217">
        <f t="shared" si="11"/>
        <v>0.97143598601753023</v>
      </c>
      <c r="W51" s="217">
        <f t="shared" si="144"/>
        <v>1.4200204526091675</v>
      </c>
      <c r="X51" s="197">
        <f t="shared" si="145"/>
        <v>350</v>
      </c>
      <c r="Y51" s="443">
        <f t="shared" si="14"/>
        <v>350</v>
      </c>
      <c r="AA51" s="217">
        <f t="shared" si="146"/>
        <v>2.7752443215872002</v>
      </c>
      <c r="AB51" s="173">
        <f t="shared" si="147"/>
        <v>1.6965399108414922</v>
      </c>
      <c r="AC51" s="173">
        <f t="shared" si="148"/>
        <v>0.54957780620001706</v>
      </c>
      <c r="AD51" s="173"/>
      <c r="AE51" s="173">
        <f t="shared" si="149"/>
        <v>1.3584709142302493</v>
      </c>
      <c r="AF51" s="545">
        <f t="shared" si="150"/>
        <v>456.90316124590362</v>
      </c>
      <c r="AG51" s="528">
        <f t="shared" si="151"/>
        <v>0.35237226103005753</v>
      </c>
      <c r="AI51" s="173">
        <f t="shared" si="152"/>
        <v>2.5390166304452704</v>
      </c>
      <c r="AJ51" s="173">
        <f t="shared" si="153"/>
        <v>2.5390166304452704</v>
      </c>
      <c r="AK51" s="173">
        <f t="shared" si="154"/>
        <v>1.4346625246096651</v>
      </c>
      <c r="AM51" s="545">
        <f t="shared" si="155"/>
        <v>460</v>
      </c>
      <c r="AN51" s="460">
        <f t="shared" si="156"/>
        <v>350</v>
      </c>
      <c r="AP51">
        <f t="shared" si="157"/>
        <v>460</v>
      </c>
      <c r="AQ51" s="460">
        <f t="shared" si="158"/>
        <v>350</v>
      </c>
      <c r="AR51" s="460"/>
      <c r="AS51" s="5">
        <f t="shared" si="101"/>
        <v>2.8571428571428572</v>
      </c>
      <c r="AT51" s="5">
        <f t="shared" si="159"/>
        <v>1.0618128858354479</v>
      </c>
      <c r="AU51" s="5">
        <f t="shared" si="102"/>
        <v>1.7953299713074093</v>
      </c>
      <c r="AV51" s="5">
        <f t="shared" si="160"/>
        <v>1.552131109443057</v>
      </c>
      <c r="AW51" s="173">
        <f t="shared" si="103"/>
        <v>0.37163451004240672</v>
      </c>
      <c r="AX51" s="173">
        <f t="shared" si="161"/>
        <v>11.281559536935898</v>
      </c>
      <c r="AY51" s="173">
        <f t="shared" si="162"/>
        <v>0.53207604807157327</v>
      </c>
      <c r="AZ51" s="173">
        <f t="shared" si="104"/>
        <v>21.202908076437858</v>
      </c>
      <c r="BA51" s="460">
        <f t="shared" si="163"/>
        <v>2.0351413645179419</v>
      </c>
      <c r="BB51" s="5">
        <f t="shared" si="164"/>
        <v>0.69073991757366415</v>
      </c>
      <c r="BC51" s="5"/>
      <c r="BD51" s="173">
        <f t="shared" si="105"/>
        <v>0.89364069172639038</v>
      </c>
      <c r="BE51" s="173">
        <f t="shared" si="165"/>
        <v>0.77506283893850381</v>
      </c>
      <c r="BF51" s="173"/>
      <c r="BG51" s="528">
        <f t="shared" si="166"/>
        <v>3.1943747436368859E-2</v>
      </c>
      <c r="BH51" s="528">
        <f t="shared" si="167"/>
        <v>0.80695358642636783</v>
      </c>
      <c r="BI51" s="528">
        <f t="shared" si="168"/>
        <v>0.33476927338535323</v>
      </c>
      <c r="BJ51" s="528">
        <f t="shared" si="169"/>
        <v>9.9763342019676335E-2</v>
      </c>
      <c r="BK51">
        <f t="shared" si="170"/>
        <v>1.0760440930243495E-2</v>
      </c>
      <c r="BL51" s="460">
        <f t="shared" si="106"/>
        <v>345.52971431559672</v>
      </c>
      <c r="BM51" s="528">
        <f t="shared" si="171"/>
        <v>0.95453021393509241</v>
      </c>
      <c r="BN51" s="460">
        <f t="shared" si="107"/>
        <v>954.53021393509243</v>
      </c>
      <c r="BO51" s="528">
        <f t="shared" si="172"/>
        <v>0.39928000000000002</v>
      </c>
      <c r="BP51" s="528"/>
      <c r="BR51" s="460">
        <f t="shared" si="109"/>
        <v>399.28000000000003</v>
      </c>
      <c r="BS51" s="528">
        <f t="shared" si="173"/>
        <v>2.3957810577276646E-2</v>
      </c>
      <c r="BT51" s="528">
        <f t="shared" si="174"/>
        <v>1.8021672129102391E-2</v>
      </c>
      <c r="BU51" s="528">
        <f t="shared" si="175"/>
        <v>0.1656</v>
      </c>
      <c r="BV51" s="528">
        <f t="shared" si="176"/>
        <v>0.21838798372278775</v>
      </c>
      <c r="BW51" s="528">
        <f t="shared" si="177"/>
        <v>0.45126238147743591</v>
      </c>
      <c r="BX51" s="460">
        <f t="shared" si="110"/>
        <v>669.65036520022375</v>
      </c>
      <c r="BY51" s="173">
        <f t="shared" si="45"/>
        <v>2.3689902934509126</v>
      </c>
      <c r="BZ51" s="5">
        <f t="shared" si="111"/>
        <v>11.040000000000001</v>
      </c>
      <c r="CA51" s="173">
        <f t="shared" si="112"/>
        <v>0.82332821177386106</v>
      </c>
      <c r="CB51" s="5">
        <f t="shared" si="113"/>
        <v>82.332821177386109</v>
      </c>
      <c r="CE51" s="562">
        <f t="shared" si="178"/>
        <v>-50</v>
      </c>
      <c r="CF51">
        <f t="shared" si="179"/>
        <v>-50</v>
      </c>
      <c r="CG51" s="173">
        <f t="shared" si="180"/>
        <v>0.54915694592293629</v>
      </c>
      <c r="CI51" s="170">
        <v>46</v>
      </c>
      <c r="CJ51" s="217">
        <f t="shared" si="114"/>
        <v>0.46</v>
      </c>
      <c r="CK51" s="217"/>
      <c r="CL51" s="217">
        <f t="shared" si="49"/>
        <v>11.040000000000001</v>
      </c>
      <c r="CM51" s="541">
        <f t="shared" si="50"/>
        <v>24</v>
      </c>
      <c r="CN51" s="172">
        <f t="shared" si="51"/>
        <v>16.3415</v>
      </c>
      <c r="CO51" s="443">
        <f t="shared" si="52"/>
        <v>40.341499999999996</v>
      </c>
      <c r="CP51" s="443"/>
      <c r="CQ51" s="217">
        <f t="shared" si="53"/>
        <v>0.40507913686898112</v>
      </c>
      <c r="CR51" s="172">
        <f t="shared" si="54"/>
        <v>54.360539956785601</v>
      </c>
      <c r="CS51" s="172">
        <f t="shared" si="115"/>
        <v>11.040000000000001</v>
      </c>
      <c r="CT51" s="217">
        <f t="shared" si="55"/>
        <v>2.2650224981994</v>
      </c>
      <c r="CU51" s="217">
        <f t="shared" si="56"/>
        <v>24</v>
      </c>
      <c r="CV51" s="217">
        <f t="shared" si="57"/>
        <v>2.250439649272117</v>
      </c>
      <c r="CW51" s="172">
        <f t="shared" si="58"/>
        <v>253.94377066007911</v>
      </c>
      <c r="CX51" s="172">
        <f t="shared" si="59"/>
        <v>24</v>
      </c>
      <c r="CY51" s="217">
        <f t="shared" si="60"/>
        <v>2.2711611541168195</v>
      </c>
      <c r="CZ51" s="217">
        <f t="shared" si="61"/>
        <v>0.9463171475486748</v>
      </c>
      <c r="DA51" s="217">
        <f t="shared" si="62"/>
        <v>1.3898119230895694</v>
      </c>
      <c r="DB51" s="197">
        <f t="shared" si="63"/>
        <v>350</v>
      </c>
      <c r="DC51" s="443">
        <f t="shared" si="116"/>
        <v>350</v>
      </c>
      <c r="DE51" s="217">
        <f t="shared" si="64"/>
        <v>2.7776855099587272</v>
      </c>
      <c r="DF51" s="173">
        <f t="shared" si="65"/>
        <v>1.6997738946600542</v>
      </c>
      <c r="DG51" s="173">
        <f t="shared" si="66"/>
        <v>0.55110977087390545</v>
      </c>
      <c r="DH51" s="173"/>
      <c r="DI51" s="173">
        <f t="shared" si="67"/>
        <v>1.3598642855443031</v>
      </c>
      <c r="DJ51" s="545">
        <f t="shared" si="117"/>
        <v>456.43499999999989</v>
      </c>
      <c r="DK51" s="528">
        <f t="shared" si="68"/>
        <v>0.35273368606701955</v>
      </c>
      <c r="DM51" s="173">
        <f t="shared" si="69"/>
        <v>2.5377155080899039</v>
      </c>
      <c r="DN51" s="173">
        <f t="shared" si="70"/>
        <v>2.5377155080899039</v>
      </c>
      <c r="DO51" s="173">
        <f t="shared" si="71"/>
        <v>1.4336987302723567</v>
      </c>
      <c r="DQ51" s="545">
        <f t="shared" si="72"/>
        <v>460</v>
      </c>
      <c r="DR51" s="460">
        <f t="shared" si="73"/>
        <v>350</v>
      </c>
      <c r="DT51">
        <f t="shared" si="74"/>
        <v>460</v>
      </c>
      <c r="DU51" s="460">
        <f t="shared" si="75"/>
        <v>350</v>
      </c>
      <c r="DV51" s="460"/>
      <c r="DW51" s="5">
        <f t="shared" si="118"/>
        <v>2.8571428571428572</v>
      </c>
      <c r="DX51" s="5">
        <f t="shared" si="76"/>
        <v>1.0573814617041266</v>
      </c>
      <c r="DY51" s="5">
        <f t="shared" si="119"/>
        <v>1.7997613954387306</v>
      </c>
      <c r="DZ51" s="5">
        <f t="shared" si="77"/>
        <v>1.5529269088455186</v>
      </c>
      <c r="EA51" s="173">
        <f t="shared" si="120"/>
        <v>0.37008351159644431</v>
      </c>
      <c r="EB51" s="173">
        <f t="shared" si="78"/>
        <v>11.27</v>
      </c>
      <c r="EC51" s="173">
        <f t="shared" si="79"/>
        <v>0.53311603861464973</v>
      </c>
      <c r="ED51" s="173">
        <f t="shared" si="121"/>
        <v>21.1398629635794</v>
      </c>
      <c r="EE51" s="460">
        <f t="shared" si="80"/>
        <v>2.0266478015995761</v>
      </c>
      <c r="EF51" s="5">
        <f t="shared" si="81"/>
        <v>0.68990853491818005</v>
      </c>
      <c r="EG51" s="5"/>
      <c r="EH51" s="173">
        <f t="shared" si="122"/>
        <v>0.89131696843885655</v>
      </c>
      <c r="EI51" s="173">
        <f t="shared" si="82"/>
        <v>0.77562112378066383</v>
      </c>
      <c r="EJ51" s="173"/>
      <c r="EK51" s="528">
        <f t="shared" si="83"/>
        <v>3.1777837529081344E-2</v>
      </c>
      <c r="EL51" s="528">
        <f t="shared" si="84"/>
        <v>0.98536178288248522</v>
      </c>
      <c r="EM51" s="528">
        <f t="shared" si="85"/>
        <v>6.9999999999999993E-2</v>
      </c>
      <c r="EN51" s="528">
        <f t="shared" si="86"/>
        <v>9.968049311281249E-2</v>
      </c>
      <c r="EO51">
        <f t="shared" si="87"/>
        <v>1.0800000000000001E-2</v>
      </c>
      <c r="EP51" s="460">
        <f t="shared" si="123"/>
        <v>80.8</v>
      </c>
      <c r="EQ51" s="528">
        <f t="shared" si="88"/>
        <v>1.2153767273540388</v>
      </c>
      <c r="ER51" s="460">
        <f t="shared" si="124"/>
        <v>1215.3767273540388</v>
      </c>
      <c r="ES51" s="528">
        <f t="shared" si="125"/>
        <v>0.39928000000000002</v>
      </c>
      <c r="ET51" s="528"/>
      <c r="EV51" s="460">
        <f t="shared" si="126"/>
        <v>399.28000000000003</v>
      </c>
      <c r="EW51" s="528">
        <f t="shared" si="89"/>
        <v>2.3833378146811007E-2</v>
      </c>
      <c r="EX51" s="528">
        <f t="shared" si="90"/>
        <v>1.8047643829643394E-2</v>
      </c>
      <c r="EY51" s="528">
        <f t="shared" si="91"/>
        <v>1.1755671709738273</v>
      </c>
      <c r="EZ51" s="528">
        <f t="shared" si="92"/>
        <v>1.2316261792710972</v>
      </c>
      <c r="FA51" s="528">
        <f t="shared" si="93"/>
        <v>0.45079999999999992</v>
      </c>
      <c r="FB51" s="460">
        <f t="shared" si="127"/>
        <v>1682.426179271097</v>
      </c>
      <c r="FC51" s="173">
        <f t="shared" si="128"/>
        <v>3.2970829066251364</v>
      </c>
      <c r="FD51" s="5">
        <f t="shared" si="129"/>
        <v>11.040000000000001</v>
      </c>
      <c r="FE51" s="173">
        <f t="shared" si="130"/>
        <v>0.77003111943353819</v>
      </c>
      <c r="FF51" s="5">
        <f t="shared" si="131"/>
        <v>77.003111943353815</v>
      </c>
      <c r="FI51" s="562">
        <f t="shared" si="94"/>
        <v>-50</v>
      </c>
      <c r="FJ51">
        <f t="shared" si="95"/>
        <v>-50</v>
      </c>
      <c r="FL51">
        <f t="shared" si="181"/>
        <v>0.54352441809593144</v>
      </c>
    </row>
    <row r="52" spans="5:168">
      <c r="E52" s="170">
        <v>47</v>
      </c>
      <c r="F52" s="217">
        <f t="shared" si="182"/>
        <v>0.47</v>
      </c>
      <c r="G52" s="217"/>
      <c r="H52" s="217">
        <f t="shared" si="132"/>
        <v>11.28</v>
      </c>
      <c r="I52" s="541">
        <f t="shared" si="133"/>
        <v>23.911140560433907</v>
      </c>
      <c r="J52" s="172">
        <f t="shared" si="134"/>
        <v>16.358442537375339</v>
      </c>
      <c r="K52" s="172">
        <f t="shared" si="135"/>
        <v>40.358442537375339</v>
      </c>
      <c r="L52" s="443"/>
      <c r="M52" s="217">
        <f t="shared" si="136"/>
        <v>0.4062258789605237</v>
      </c>
      <c r="N52" s="172">
        <f t="shared" si="137"/>
        <v>54.312591284562728</v>
      </c>
      <c r="O52" s="172">
        <f t="shared" si="98"/>
        <v>11.28</v>
      </c>
      <c r="P52" s="217">
        <f t="shared" si="138"/>
        <v>2.2630246368567803</v>
      </c>
      <c r="Q52" s="217">
        <f t="shared" si="139"/>
        <v>24</v>
      </c>
      <c r="R52" s="217">
        <f t="shared" si="140"/>
        <v>2.248454650720114</v>
      </c>
      <c r="S52" s="172">
        <f t="shared" si="141"/>
        <v>246.86127123701934</v>
      </c>
      <c r="T52" s="172">
        <f t="shared" si="142"/>
        <v>24</v>
      </c>
      <c r="U52" s="217">
        <f t="shared" si="143"/>
        <v>2.3734536457343225</v>
      </c>
      <c r="V52" s="217">
        <f t="shared" si="11"/>
        <v>0.99261414976653561</v>
      </c>
      <c r="W52" s="217">
        <f t="shared" si="144"/>
        <v>1.4509044123922665</v>
      </c>
      <c r="X52" s="197">
        <f t="shared" si="145"/>
        <v>350</v>
      </c>
      <c r="Y52" s="443">
        <f t="shared" si="14"/>
        <v>350</v>
      </c>
      <c r="AA52" s="217">
        <f t="shared" si="146"/>
        <v>2.7752177682163159</v>
      </c>
      <c r="AB52" s="173">
        <f t="shared" si="147"/>
        <v>1.6965048853982105</v>
      </c>
      <c r="AC52" s="173">
        <f t="shared" si="148"/>
        <v>0.5495612018252779</v>
      </c>
      <c r="AD52" s="173"/>
      <c r="AE52" s="173">
        <f t="shared" si="149"/>
        <v>1.3584558659205774</v>
      </c>
      <c r="AF52" s="545">
        <f t="shared" si="150"/>
        <v>466.84101004338754</v>
      </c>
      <c r="AG52" s="528">
        <f t="shared" si="151"/>
        <v>0.3523683576657321</v>
      </c>
      <c r="AI52" s="173">
        <f t="shared" si="152"/>
        <v>2.5664804716175382</v>
      </c>
      <c r="AJ52" s="173">
        <f t="shared" si="153"/>
        <v>2.5664804716175382</v>
      </c>
      <c r="AK52" s="173">
        <f t="shared" si="154"/>
        <v>1.4550061106631968</v>
      </c>
      <c r="AM52" s="545">
        <f t="shared" si="155"/>
        <v>470</v>
      </c>
      <c r="AN52" s="460">
        <f t="shared" si="156"/>
        <v>350</v>
      </c>
      <c r="AP52">
        <f t="shared" si="157"/>
        <v>470</v>
      </c>
      <c r="AQ52" s="460">
        <f t="shared" si="158"/>
        <v>350</v>
      </c>
      <c r="AR52" s="460"/>
      <c r="AS52" s="5">
        <f t="shared" si="101"/>
        <v>2.8571428571428572</v>
      </c>
      <c r="AT52" s="5">
        <f t="shared" si="159"/>
        <v>1.0733408827282498</v>
      </c>
      <c r="AU52" s="5">
        <f t="shared" si="102"/>
        <v>1.7838019744146074</v>
      </c>
      <c r="AV52" s="5">
        <f t="shared" si="160"/>
        <v>1.5689027031477549</v>
      </c>
      <c r="AW52" s="173">
        <f t="shared" si="103"/>
        <v>0.37566930895488743</v>
      </c>
      <c r="AX52" s="173">
        <f t="shared" si="161"/>
        <v>11.526938519589818</v>
      </c>
      <c r="AY52" s="173">
        <f t="shared" si="162"/>
        <v>0.53437789755398779</v>
      </c>
      <c r="AZ52" s="173">
        <f t="shared" si="104"/>
        <v>21.570762137341692</v>
      </c>
      <c r="BA52" s="460">
        <f t="shared" si="163"/>
        <v>2.1019592286761557</v>
      </c>
      <c r="BB52" s="5">
        <f t="shared" si="164"/>
        <v>0.70125214299660443</v>
      </c>
      <c r="BC52" s="5"/>
      <c r="BD52" s="173">
        <f t="shared" si="105"/>
        <v>0.9081972754040758</v>
      </c>
      <c r="BE52" s="173">
        <f t="shared" si="165"/>
        <v>0.78092713381968548</v>
      </c>
      <c r="BF52" s="173"/>
      <c r="BG52" s="528">
        <f t="shared" si="166"/>
        <v>3.2992891642055468E-2</v>
      </c>
      <c r="BH52" s="528">
        <f t="shared" si="167"/>
        <v>0.81568584276694489</v>
      </c>
      <c r="BI52" s="528">
        <f t="shared" si="168"/>
        <v>0.3347559678460747</v>
      </c>
      <c r="BJ52" s="528">
        <f t="shared" si="169"/>
        <v>9.9764237897610908E-2</v>
      </c>
      <c r="BK52">
        <f t="shared" si="170"/>
        <v>1.0760013252195258E-2</v>
      </c>
      <c r="BL52" s="460">
        <f t="shared" si="106"/>
        <v>345.51598109827</v>
      </c>
      <c r="BM52" s="528">
        <f t="shared" si="171"/>
        <v>0.96491512991117179</v>
      </c>
      <c r="BN52" s="460">
        <f t="shared" si="107"/>
        <v>964.91512991117179</v>
      </c>
      <c r="BO52" s="528">
        <f t="shared" si="172"/>
        <v>0.40795999999999993</v>
      </c>
      <c r="BP52" s="528"/>
      <c r="BR52" s="460">
        <f t="shared" si="109"/>
        <v>407.95999999999992</v>
      </c>
      <c r="BS52" s="528">
        <f t="shared" si="173"/>
        <v>2.4744668731541599E-2</v>
      </c>
      <c r="BT52" s="528">
        <f t="shared" si="174"/>
        <v>1.8295415650074868E-2</v>
      </c>
      <c r="BU52" s="528">
        <f t="shared" si="175"/>
        <v>0.16919999999999999</v>
      </c>
      <c r="BV52" s="528">
        <f t="shared" si="176"/>
        <v>0.22333870597326605</v>
      </c>
      <c r="BW52" s="528">
        <f t="shared" si="177"/>
        <v>0.4610775407835927</v>
      </c>
      <c r="BX52" s="460">
        <f t="shared" si="110"/>
        <v>684.41624675685875</v>
      </c>
      <c r="BY52" s="173">
        <f t="shared" si="45"/>
        <v>2.4028073577663003</v>
      </c>
      <c r="BZ52" s="5">
        <f t="shared" si="111"/>
        <v>11.28</v>
      </c>
      <c r="CA52" s="173">
        <f t="shared" si="112"/>
        <v>0.82439222486001906</v>
      </c>
      <c r="CB52" s="5">
        <f t="shared" si="113"/>
        <v>82.43922248600191</v>
      </c>
      <c r="CE52" s="562">
        <f t="shared" si="178"/>
        <v>-50</v>
      </c>
      <c r="CF52">
        <f t="shared" si="179"/>
        <v>-50</v>
      </c>
      <c r="CG52" s="173">
        <f t="shared" si="180"/>
        <v>0.55509395031292008</v>
      </c>
      <c r="CI52" s="170">
        <v>47</v>
      </c>
      <c r="CJ52" s="217">
        <f t="shared" si="114"/>
        <v>0.47</v>
      </c>
      <c r="CK52" s="217"/>
      <c r="CL52" s="217">
        <f t="shared" si="49"/>
        <v>11.28</v>
      </c>
      <c r="CM52" s="541">
        <f t="shared" si="50"/>
        <v>24</v>
      </c>
      <c r="CN52" s="172">
        <f t="shared" si="51"/>
        <v>16.3415</v>
      </c>
      <c r="CO52" s="443">
        <f t="shared" si="52"/>
        <v>40.341499999999996</v>
      </c>
      <c r="CP52" s="443"/>
      <c r="CQ52" s="217">
        <f t="shared" si="53"/>
        <v>0.40507913686898112</v>
      </c>
      <c r="CR52" s="172">
        <f t="shared" si="54"/>
        <v>54.360539956785601</v>
      </c>
      <c r="CS52" s="172">
        <f t="shared" si="115"/>
        <v>11.28</v>
      </c>
      <c r="CT52" s="217">
        <f t="shared" si="55"/>
        <v>2.2650224981994</v>
      </c>
      <c r="CU52" s="217">
        <f t="shared" si="56"/>
        <v>24</v>
      </c>
      <c r="CV52" s="217">
        <f t="shared" si="57"/>
        <v>2.250439649272117</v>
      </c>
      <c r="CW52" s="172">
        <f t="shared" si="58"/>
        <v>247.77839729508136</v>
      </c>
      <c r="CX52" s="172">
        <f t="shared" si="59"/>
        <v>24</v>
      </c>
      <c r="CY52" s="217">
        <f t="shared" si="60"/>
        <v>2.320534222684576</v>
      </c>
      <c r="CZ52" s="217">
        <f t="shared" si="61"/>
        <v>0.96688925945190685</v>
      </c>
      <c r="DA52" s="217">
        <f t="shared" si="62"/>
        <v>1.4200252257654293</v>
      </c>
      <c r="DB52" s="197">
        <f t="shared" si="63"/>
        <v>350</v>
      </c>
      <c r="DC52" s="443">
        <f t="shared" si="116"/>
        <v>350</v>
      </c>
      <c r="DE52" s="217">
        <f t="shared" si="64"/>
        <v>2.7776855099587272</v>
      </c>
      <c r="DF52" s="173">
        <f t="shared" si="65"/>
        <v>1.6997738946600542</v>
      </c>
      <c r="DG52" s="173">
        <f t="shared" si="66"/>
        <v>0.55110977087390545</v>
      </c>
      <c r="DH52" s="173"/>
      <c r="DI52" s="173">
        <f t="shared" si="67"/>
        <v>1.3598642855443031</v>
      </c>
      <c r="DJ52" s="545">
        <f t="shared" si="117"/>
        <v>466.35749999999985</v>
      </c>
      <c r="DK52" s="528">
        <f t="shared" si="68"/>
        <v>0.35273368606701955</v>
      </c>
      <c r="DM52" s="173">
        <f t="shared" si="69"/>
        <v>2.5651510676761315</v>
      </c>
      <c r="DN52" s="173">
        <f t="shared" si="70"/>
        <v>2.5651510676761315</v>
      </c>
      <c r="DO52" s="173">
        <f t="shared" si="71"/>
        <v>1.4540213670028956</v>
      </c>
      <c r="DQ52" s="545">
        <f t="shared" si="72"/>
        <v>470</v>
      </c>
      <c r="DR52" s="460">
        <f t="shared" si="73"/>
        <v>350</v>
      </c>
      <c r="DT52">
        <f t="shared" si="74"/>
        <v>470</v>
      </c>
      <c r="DU52" s="460">
        <f t="shared" si="75"/>
        <v>350</v>
      </c>
      <c r="DV52" s="460"/>
      <c r="DW52" s="5">
        <f t="shared" si="118"/>
        <v>2.8571428571428572</v>
      </c>
      <c r="DX52" s="5">
        <f t="shared" si="76"/>
        <v>1.0688129448650547</v>
      </c>
      <c r="DY52" s="5">
        <f t="shared" si="119"/>
        <v>1.7883299122778025</v>
      </c>
      <c r="DZ52" s="5">
        <f t="shared" si="77"/>
        <v>1.5697157957813737</v>
      </c>
      <c r="EA52" s="173">
        <f t="shared" si="120"/>
        <v>0.37408453070276915</v>
      </c>
      <c r="EB52" s="173">
        <f t="shared" si="78"/>
        <v>11.514999999999995</v>
      </c>
      <c r="EC52" s="173">
        <f t="shared" si="79"/>
        <v>0.53545683940332334</v>
      </c>
      <c r="ED52" s="173">
        <f t="shared" si="121"/>
        <v>21.505001248712272</v>
      </c>
      <c r="EE52" s="460">
        <f t="shared" si="80"/>
        <v>2.0930920170273986</v>
      </c>
      <c r="EF52" s="5">
        <f t="shared" si="81"/>
        <v>0.70042921564213911</v>
      </c>
      <c r="EG52" s="5"/>
      <c r="EH52" s="173">
        <f t="shared" si="122"/>
        <v>0.90581017364276717</v>
      </c>
      <c r="EI52" s="173">
        <f t="shared" si="82"/>
        <v>0.7815126208212626</v>
      </c>
      <c r="EJ52" s="173"/>
      <c r="EK52" s="528">
        <f t="shared" si="83"/>
        <v>3.2819682826989605E-2</v>
      </c>
      <c r="EL52" s="528">
        <f t="shared" si="84"/>
        <v>0.99601465229282016</v>
      </c>
      <c r="EM52" s="528">
        <f t="shared" si="85"/>
        <v>6.9999999999999993E-2</v>
      </c>
      <c r="EN52" s="528">
        <f t="shared" si="86"/>
        <v>9.968049311281249E-2</v>
      </c>
      <c r="EO52">
        <f t="shared" si="87"/>
        <v>1.0800000000000001E-2</v>
      </c>
      <c r="EP52" s="460">
        <f t="shared" si="123"/>
        <v>80.8</v>
      </c>
      <c r="EQ52" s="528">
        <f t="shared" si="88"/>
        <v>1.2277500845193705</v>
      </c>
      <c r="ER52" s="460">
        <f t="shared" si="124"/>
        <v>1227.7500845193706</v>
      </c>
      <c r="ES52" s="528">
        <f t="shared" si="125"/>
        <v>0.40795999999999993</v>
      </c>
      <c r="ET52" s="528"/>
      <c r="EV52" s="460">
        <f t="shared" si="126"/>
        <v>407.95999999999992</v>
      </c>
      <c r="EW52" s="528">
        <f t="shared" si="89"/>
        <v>2.46147621202422E-2</v>
      </c>
      <c r="EX52" s="528">
        <f t="shared" si="90"/>
        <v>1.8322859295087559E-2</v>
      </c>
      <c r="EY52" s="528">
        <f t="shared" si="91"/>
        <v>1.2075982701279655</v>
      </c>
      <c r="EZ52" s="528">
        <f t="shared" si="92"/>
        <v>1.2651868498010876</v>
      </c>
      <c r="FA52" s="528">
        <f t="shared" si="93"/>
        <v>0.46059999999999984</v>
      </c>
      <c r="FB52" s="460">
        <f t="shared" si="127"/>
        <v>1725.7868498010876</v>
      </c>
      <c r="FC52" s="173">
        <f t="shared" si="128"/>
        <v>3.3614969343204577</v>
      </c>
      <c r="FD52" s="5">
        <f t="shared" si="129"/>
        <v>11.28</v>
      </c>
      <c r="FE52" s="173">
        <f t="shared" si="130"/>
        <v>0.77041302884536833</v>
      </c>
      <c r="FF52" s="5">
        <f t="shared" si="131"/>
        <v>77.041302884536833</v>
      </c>
      <c r="FI52" s="562">
        <f t="shared" si="94"/>
        <v>-50</v>
      </c>
      <c r="FJ52">
        <f t="shared" si="95"/>
        <v>-50</v>
      </c>
      <c r="FL52">
        <f t="shared" si="181"/>
        <v>0.54940052852348087</v>
      </c>
    </row>
    <row r="53" spans="5:168">
      <c r="E53" s="170">
        <v>48</v>
      </c>
      <c r="F53" s="217">
        <f t="shared" si="182"/>
        <v>0.48</v>
      </c>
      <c r="G53" s="217"/>
      <c r="H53" s="217">
        <f t="shared" si="132"/>
        <v>11.52</v>
      </c>
      <c r="I53" s="541">
        <f t="shared" si="133"/>
        <v>23.910200222717425</v>
      </c>
      <c r="J53" s="172">
        <f t="shared" si="134"/>
        <v>16.358621828478061</v>
      </c>
      <c r="K53" s="172">
        <f t="shared" si="135"/>
        <v>40.358621828478064</v>
      </c>
      <c r="L53" s="443"/>
      <c r="M53" s="217">
        <f t="shared" si="136"/>
        <v>0.4062380359836455</v>
      </c>
      <c r="N53" s="172">
        <f t="shared" si="137"/>
        <v>54.312080704760106</v>
      </c>
      <c r="O53" s="172">
        <f t="shared" si="98"/>
        <v>11.52</v>
      </c>
      <c r="P53" s="217">
        <f t="shared" si="138"/>
        <v>2.2630033626983379</v>
      </c>
      <c r="Q53" s="217">
        <f t="shared" si="139"/>
        <v>24</v>
      </c>
      <c r="R53" s="217">
        <f t="shared" si="140"/>
        <v>2.2484335135306597</v>
      </c>
      <c r="S53" s="172">
        <f t="shared" si="141"/>
        <v>240.96528070055541</v>
      </c>
      <c r="T53" s="172">
        <f t="shared" si="142"/>
        <v>24</v>
      </c>
      <c r="U53" s="217">
        <f t="shared" si="143"/>
        <v>2.4240022888708426</v>
      </c>
      <c r="V53" s="217">
        <f t="shared" si="11"/>
        <v>1.0137942243443714</v>
      </c>
      <c r="W53" s="217">
        <f t="shared" si="144"/>
        <v>1.4817888171062157</v>
      </c>
      <c r="X53" s="197">
        <f t="shared" si="145"/>
        <v>350</v>
      </c>
      <c r="Y53" s="443">
        <f t="shared" si="14"/>
        <v>350</v>
      </c>
      <c r="AA53" s="217">
        <f t="shared" si="146"/>
        <v>2.7751914924536458</v>
      </c>
      <c r="AB53" s="173">
        <f t="shared" si="147"/>
        <v>1.6964702293089433</v>
      </c>
      <c r="AC53" s="173">
        <f t="shared" si="148"/>
        <v>0.54954477228616638</v>
      </c>
      <c r="AD53" s="173"/>
      <c r="AE53" s="173">
        <f t="shared" si="149"/>
        <v>1.3584409771938406</v>
      </c>
      <c r="AF53" s="545">
        <f t="shared" si="150"/>
        <v>476.77902300691659</v>
      </c>
      <c r="AG53" s="528">
        <f t="shared" si="151"/>
        <v>0.35236449569544681</v>
      </c>
      <c r="AI53" s="173">
        <f t="shared" si="152"/>
        <v>2.5936539647737278</v>
      </c>
      <c r="AJ53" s="173">
        <f t="shared" si="153"/>
        <v>2.5936539647737278</v>
      </c>
      <c r="AK53" s="173">
        <f t="shared" si="154"/>
        <v>1.4751346241122263</v>
      </c>
      <c r="AM53" s="545">
        <f t="shared" si="155"/>
        <v>480</v>
      </c>
      <c r="AN53" s="460">
        <f t="shared" si="156"/>
        <v>350</v>
      </c>
      <c r="AP53">
        <f t="shared" si="157"/>
        <v>480</v>
      </c>
      <c r="AQ53" s="460">
        <f t="shared" si="158"/>
        <v>350</v>
      </c>
      <c r="AR53" s="460"/>
      <c r="AS53" s="5">
        <f t="shared" si="101"/>
        <v>2.8571428571428572</v>
      </c>
      <c r="AT53" s="5">
        <f t="shared" si="159"/>
        <v>1.0847479070080979</v>
      </c>
      <c r="AU53" s="5">
        <f t="shared" si="102"/>
        <v>1.7723949501347593</v>
      </c>
      <c r="AV53" s="5">
        <f t="shared" si="160"/>
        <v>1.5854966218844555</v>
      </c>
      <c r="AW53" s="173">
        <f t="shared" si="103"/>
        <v>0.37966176745283425</v>
      </c>
      <c r="AX53" s="173">
        <f t="shared" si="161"/>
        <v>11.772321555726338</v>
      </c>
      <c r="AY53" s="173">
        <f t="shared" si="162"/>
        <v>0.53658239590161894</v>
      </c>
      <c r="AZ53" s="173">
        <f t="shared" si="104"/>
        <v>21.939447968555353</v>
      </c>
      <c r="BA53" s="460">
        <f t="shared" si="163"/>
        <v>2.1694958140161957</v>
      </c>
      <c r="BB53" s="5">
        <f t="shared" si="164"/>
        <v>0.71162062060557318</v>
      </c>
      <c r="BC53" s="5"/>
      <c r="BD53" s="173">
        <f t="shared" si="105"/>
        <v>0.92267730611160248</v>
      </c>
      <c r="BE53" s="173">
        <f t="shared" si="165"/>
        <v>0.78666805454321043</v>
      </c>
      <c r="BF53" s="173"/>
      <c r="BG53" s="528">
        <f t="shared" si="166"/>
        <v>3.4053336448534553E-2</v>
      </c>
      <c r="BH53" s="528">
        <f t="shared" si="167"/>
        <v>0.82432585870610564</v>
      </c>
      <c r="BI53" s="528">
        <f t="shared" si="168"/>
        <v>0.334742803118044</v>
      </c>
      <c r="BJ53" s="528">
        <f t="shared" si="169"/>
        <v>9.9765124298513988E-2</v>
      </c>
      <c r="BK53">
        <f t="shared" si="170"/>
        <v>1.0759590100222842E-2</v>
      </c>
      <c r="BL53" s="460">
        <f t="shared" si="106"/>
        <v>345.50239321826683</v>
      </c>
      <c r="BM53" s="528">
        <f t="shared" si="171"/>
        <v>0.97522937208212723</v>
      </c>
      <c r="BN53" s="460">
        <f t="shared" si="107"/>
        <v>975.22937208212727</v>
      </c>
      <c r="BO53" s="528">
        <f t="shared" si="172"/>
        <v>0.41663999999999995</v>
      </c>
      <c r="BP53" s="528"/>
      <c r="BR53" s="460">
        <f t="shared" si="109"/>
        <v>416.63999999999993</v>
      </c>
      <c r="BS53" s="528">
        <f t="shared" si="173"/>
        <v>2.5540002336400913E-2</v>
      </c>
      <c r="BT53" s="528">
        <f t="shared" si="174"/>
        <v>1.8565398841163986E-2</v>
      </c>
      <c r="BU53" s="528">
        <f t="shared" si="175"/>
        <v>0.17279999999999998</v>
      </c>
      <c r="BV53" s="528">
        <f t="shared" si="176"/>
        <v>0.22829622518812012</v>
      </c>
      <c r="BW53" s="528">
        <f t="shared" si="177"/>
        <v>0.47089286222905352</v>
      </c>
      <c r="BX53" s="460">
        <f t="shared" si="110"/>
        <v>699.18908741717371</v>
      </c>
      <c r="BY53" s="173">
        <f t="shared" si="45"/>
        <v>2.4365608527175673</v>
      </c>
      <c r="BZ53" s="5">
        <f t="shared" si="111"/>
        <v>11.52</v>
      </c>
      <c r="CA53" s="173">
        <f t="shared" si="112"/>
        <v>0.82541824748730053</v>
      </c>
      <c r="CB53" s="5">
        <f t="shared" si="113"/>
        <v>82.54182474873005</v>
      </c>
      <c r="CE53" s="562">
        <f t="shared" si="178"/>
        <v>-50</v>
      </c>
      <c r="CF53">
        <f t="shared" si="179"/>
        <v>-50</v>
      </c>
      <c r="CG53" s="173">
        <f t="shared" si="180"/>
        <v>0.56096812395411411</v>
      </c>
      <c r="CI53" s="170">
        <v>48</v>
      </c>
      <c r="CJ53" s="217">
        <f t="shared" si="114"/>
        <v>0.48</v>
      </c>
      <c r="CK53" s="217"/>
      <c r="CL53" s="217">
        <f t="shared" si="49"/>
        <v>11.52</v>
      </c>
      <c r="CM53" s="541">
        <f t="shared" si="50"/>
        <v>24</v>
      </c>
      <c r="CN53" s="172">
        <f t="shared" si="51"/>
        <v>16.3415</v>
      </c>
      <c r="CO53" s="443">
        <f t="shared" si="52"/>
        <v>40.341499999999996</v>
      </c>
      <c r="CP53" s="443"/>
      <c r="CQ53" s="217">
        <f t="shared" si="53"/>
        <v>0.40507913686898112</v>
      </c>
      <c r="CR53" s="172">
        <f t="shared" si="54"/>
        <v>54.360539956785601</v>
      </c>
      <c r="CS53" s="172">
        <f t="shared" si="115"/>
        <v>11.52</v>
      </c>
      <c r="CT53" s="217">
        <f t="shared" si="55"/>
        <v>2.2650224981994</v>
      </c>
      <c r="CU53" s="217">
        <f t="shared" si="56"/>
        <v>24</v>
      </c>
      <c r="CV53" s="217">
        <f t="shared" si="57"/>
        <v>2.250439649272117</v>
      </c>
      <c r="CW53" s="172">
        <f t="shared" si="58"/>
        <v>241.86999828520513</v>
      </c>
      <c r="CX53" s="172">
        <f t="shared" si="59"/>
        <v>24</v>
      </c>
      <c r="CY53" s="217">
        <f t="shared" si="60"/>
        <v>2.3699072912523329</v>
      </c>
      <c r="CZ53" s="217">
        <f t="shared" si="61"/>
        <v>0.98746137135513867</v>
      </c>
      <c r="DA53" s="217">
        <f t="shared" si="62"/>
        <v>1.4502385284412895</v>
      </c>
      <c r="DB53" s="197">
        <f t="shared" si="63"/>
        <v>350</v>
      </c>
      <c r="DC53" s="443">
        <f t="shared" si="116"/>
        <v>350</v>
      </c>
      <c r="DE53" s="217">
        <f t="shared" si="64"/>
        <v>2.7776855099587272</v>
      </c>
      <c r="DF53" s="173">
        <f t="shared" si="65"/>
        <v>1.6997738946600542</v>
      </c>
      <c r="DG53" s="173">
        <f t="shared" si="66"/>
        <v>0.55110977087390545</v>
      </c>
      <c r="DH53" s="173"/>
      <c r="DI53" s="173">
        <f t="shared" si="67"/>
        <v>1.3598642855443031</v>
      </c>
      <c r="DJ53" s="545">
        <f t="shared" si="117"/>
        <v>476.2799999999998</v>
      </c>
      <c r="DK53" s="528">
        <f t="shared" si="68"/>
        <v>0.35273368606701955</v>
      </c>
      <c r="DM53" s="173">
        <f t="shared" si="69"/>
        <v>2.5922962793631439</v>
      </c>
      <c r="DN53" s="173">
        <f t="shared" si="70"/>
        <v>2.5922962793631439</v>
      </c>
      <c r="DO53" s="173">
        <f t="shared" si="71"/>
        <v>1.4741289312154975</v>
      </c>
      <c r="DQ53" s="545">
        <f t="shared" si="72"/>
        <v>480</v>
      </c>
      <c r="DR53" s="460">
        <f t="shared" si="73"/>
        <v>350</v>
      </c>
      <c r="DT53">
        <f t="shared" si="74"/>
        <v>480</v>
      </c>
      <c r="DU53" s="460">
        <f t="shared" si="75"/>
        <v>350</v>
      </c>
      <c r="DV53" s="460"/>
      <c r="DW53" s="5">
        <f t="shared" si="118"/>
        <v>2.8571428571428572</v>
      </c>
      <c r="DX53" s="5">
        <f t="shared" si="76"/>
        <v>1.0801234497346435</v>
      </c>
      <c r="DY53" s="5">
        <f t="shared" si="119"/>
        <v>1.7770194074082137</v>
      </c>
      <c r="DZ53" s="5">
        <f t="shared" si="77"/>
        <v>1.5863270075348921</v>
      </c>
      <c r="EA53" s="173">
        <f t="shared" si="120"/>
        <v>0.37804320740712521</v>
      </c>
      <c r="EB53" s="173">
        <f t="shared" si="78"/>
        <v>11.76</v>
      </c>
      <c r="EC53" s="173">
        <f t="shared" si="79"/>
        <v>0.53770080916760854</v>
      </c>
      <c r="ED53" s="173">
        <f t="shared" si="121"/>
        <v>21.870898833507706</v>
      </c>
      <c r="EE53" s="460">
        <f t="shared" si="80"/>
        <v>2.1602468994692869</v>
      </c>
      <c r="EF53" s="5">
        <f t="shared" si="81"/>
        <v>0.71080776296328541</v>
      </c>
      <c r="EG53" s="5"/>
      <c r="EH53" s="173">
        <f t="shared" si="122"/>
        <v>0.92022648548711117</v>
      </c>
      <c r="EI53" s="173">
        <f t="shared" si="82"/>
        <v>0.78728132679472795</v>
      </c>
      <c r="EJ53" s="173"/>
      <c r="EK53" s="528">
        <f t="shared" si="83"/>
        <v>3.3872671383678415E-2</v>
      </c>
      <c r="EL53" s="528">
        <f t="shared" si="84"/>
        <v>1.0065547834065596</v>
      </c>
      <c r="EM53" s="528">
        <f t="shared" si="85"/>
        <v>6.9999999999999993E-2</v>
      </c>
      <c r="EN53" s="528">
        <f t="shared" si="86"/>
        <v>9.968049311281249E-2</v>
      </c>
      <c r="EO53">
        <f t="shared" si="87"/>
        <v>1.0800000000000001E-2</v>
      </c>
      <c r="EP53" s="460">
        <f t="shared" si="123"/>
        <v>80.8</v>
      </c>
      <c r="EQ53" s="528">
        <f t="shared" si="88"/>
        <v>1.24003354105371</v>
      </c>
      <c r="ER53" s="460">
        <f t="shared" si="124"/>
        <v>1240.03354105371</v>
      </c>
      <c r="ES53" s="528">
        <f t="shared" si="125"/>
        <v>0.41663999999999995</v>
      </c>
      <c r="ET53" s="528"/>
      <c r="EV53" s="460">
        <f t="shared" si="126"/>
        <v>416.63999999999993</v>
      </c>
      <c r="EW53" s="528">
        <f t="shared" si="89"/>
        <v>2.5404503537758812E-2</v>
      </c>
      <c r="EX53" s="528">
        <f t="shared" si="90"/>
        <v>1.8594356625590017E-2</v>
      </c>
      <c r="EY53" s="528">
        <f t="shared" si="91"/>
        <v>1.2398002127168712</v>
      </c>
      <c r="EZ53" s="528">
        <f t="shared" si="92"/>
        <v>1.2989309177042172</v>
      </c>
      <c r="FA53" s="528">
        <f t="shared" si="93"/>
        <v>0.47039999999999998</v>
      </c>
      <c r="FB53" s="460">
        <f t="shared" si="127"/>
        <v>1769.3309177042172</v>
      </c>
      <c r="FC53" s="173">
        <f t="shared" si="128"/>
        <v>3.426004458757927</v>
      </c>
      <c r="FD53" s="5">
        <f t="shared" si="129"/>
        <v>11.52</v>
      </c>
      <c r="FE53" s="173">
        <f t="shared" si="130"/>
        <v>0.77077455930033612</v>
      </c>
      <c r="FF53" s="5">
        <f t="shared" si="131"/>
        <v>77.077455930033608</v>
      </c>
      <c r="FI53" s="562">
        <f t="shared" si="94"/>
        <v>-50</v>
      </c>
      <c r="FJ53">
        <f t="shared" si="95"/>
        <v>-50</v>
      </c>
      <c r="FL53">
        <f t="shared" si="181"/>
        <v>0.55521445263721225</v>
      </c>
    </row>
    <row r="54" spans="5:168">
      <c r="E54" s="170">
        <v>49</v>
      </c>
      <c r="F54" s="217">
        <f t="shared" si="182"/>
        <v>0.49</v>
      </c>
      <c r="G54" s="217"/>
      <c r="H54" s="217">
        <f t="shared" si="132"/>
        <v>11.76</v>
      </c>
      <c r="I54" s="541">
        <f t="shared" si="133"/>
        <v>23.90926963022229</v>
      </c>
      <c r="J54" s="172">
        <f t="shared" si="134"/>
        <v>16.358799261491445</v>
      </c>
      <c r="K54" s="172">
        <f t="shared" si="135"/>
        <v>40.358799261491441</v>
      </c>
      <c r="L54" s="443"/>
      <c r="M54" s="217">
        <f t="shared" si="136"/>
        <v>0.40625006746835013</v>
      </c>
      <c r="N54" s="172">
        <f t="shared" si="137"/>
        <v>54.311575350840833</v>
      </c>
      <c r="O54" s="172">
        <f t="shared" si="98"/>
        <v>11.76</v>
      </c>
      <c r="P54" s="217">
        <f t="shared" si="138"/>
        <v>2.2629823062850347</v>
      </c>
      <c r="Q54" s="217">
        <f t="shared" si="139"/>
        <v>24</v>
      </c>
      <c r="R54" s="217">
        <f t="shared" si="140"/>
        <v>2.2484125926844398</v>
      </c>
      <c r="S54" s="172">
        <f t="shared" si="141"/>
        <v>235.31017909262513</v>
      </c>
      <c r="T54" s="172">
        <f t="shared" si="142"/>
        <v>24</v>
      </c>
      <c r="U54" s="217">
        <f t="shared" si="143"/>
        <v>2.4745524787710567</v>
      </c>
      <c r="V54" s="217">
        <f t="shared" si="11"/>
        <v>1.0349761900058718</v>
      </c>
      <c r="W54" s="217">
        <f t="shared" si="144"/>
        <v>1.5126736621777275</v>
      </c>
      <c r="X54" s="197">
        <f t="shared" si="145"/>
        <v>350</v>
      </c>
      <c r="Y54" s="443">
        <f t="shared" si="14"/>
        <v>350</v>
      </c>
      <c r="AA54" s="217">
        <f t="shared" si="146"/>
        <v>2.7751654856675172</v>
      </c>
      <c r="AB54" s="173">
        <f t="shared" si="147"/>
        <v>1.6964359310895434</v>
      </c>
      <c r="AC54" s="173">
        <f t="shared" si="148"/>
        <v>0.54952851214662823</v>
      </c>
      <c r="AD54" s="173"/>
      <c r="AE54" s="173">
        <f t="shared" si="149"/>
        <v>1.3584262430882232</v>
      </c>
      <c r="AF54" s="545">
        <f t="shared" si="150"/>
        <v>486.71719841723791</v>
      </c>
      <c r="AG54" s="528">
        <f t="shared" si="151"/>
        <v>0.35236067383216191</v>
      </c>
      <c r="AI54" s="173">
        <f t="shared" si="152"/>
        <v>2.6205461375058841</v>
      </c>
      <c r="AJ54" s="173">
        <f t="shared" si="153"/>
        <v>2.6205461375058841</v>
      </c>
      <c r="AK54" s="173">
        <f t="shared" si="154"/>
        <v>1.4950547520619717</v>
      </c>
      <c r="AM54" s="545">
        <f t="shared" si="155"/>
        <v>490</v>
      </c>
      <c r="AN54" s="460">
        <f t="shared" si="156"/>
        <v>350</v>
      </c>
      <c r="AP54">
        <f t="shared" si="157"/>
        <v>490</v>
      </c>
      <c r="AQ54" s="460">
        <f t="shared" si="158"/>
        <v>350</v>
      </c>
      <c r="AR54" s="460"/>
      <c r="AS54" s="5">
        <f t="shared" si="101"/>
        <v>2.8571428571428572</v>
      </c>
      <c r="AT54" s="5">
        <f t="shared" si="159"/>
        <v>1.0960377201122895</v>
      </c>
      <c r="AU54" s="5">
        <f t="shared" si="102"/>
        <v>1.7611051370305677</v>
      </c>
      <c r="AV54" s="5">
        <f t="shared" si="160"/>
        <v>1.6019183899851626</v>
      </c>
      <c r="AW54" s="173">
        <f t="shared" si="103"/>
        <v>0.38361320203930133</v>
      </c>
      <c r="AX54" s="173">
        <f t="shared" si="161"/>
        <v>12.017708602894762</v>
      </c>
      <c r="AY54" s="173">
        <f t="shared" si="162"/>
        <v>0.53869255920894388</v>
      </c>
      <c r="AZ54" s="173">
        <f t="shared" si="104"/>
        <v>22.309030257522878</v>
      </c>
      <c r="BA54" s="460">
        <f t="shared" si="163"/>
        <v>2.237743678562591</v>
      </c>
      <c r="BB54" s="5">
        <f t="shared" si="164"/>
        <v>0.72184682383955789</v>
      </c>
      <c r="BC54" s="5"/>
      <c r="BD54" s="173">
        <f t="shared" si="105"/>
        <v>0.93708277606945789</v>
      </c>
      <c r="BE54" s="173">
        <f t="shared" si="165"/>
        <v>0.79228909978641471</v>
      </c>
      <c r="BF54" s="173"/>
      <c r="BG54" s="528">
        <f t="shared" si="166"/>
        <v>3.5124965168241672E-2</v>
      </c>
      <c r="BH54" s="528">
        <f t="shared" si="167"/>
        <v>0.83287650221272924</v>
      </c>
      <c r="BI54" s="528">
        <f t="shared" si="168"/>
        <v>0.33472977482311211</v>
      </c>
      <c r="BJ54" s="528">
        <f t="shared" si="169"/>
        <v>9.9766001517048411E-2</v>
      </c>
      <c r="BK54">
        <f t="shared" si="170"/>
        <v>1.0759171333600031E-2</v>
      </c>
      <c r="BL54" s="460">
        <f t="shared" si="106"/>
        <v>345.48894615671219</v>
      </c>
      <c r="BM54" s="528">
        <f t="shared" si="171"/>
        <v>0.98547568576833922</v>
      </c>
      <c r="BN54" s="460">
        <f t="shared" si="107"/>
        <v>985.47568576833919</v>
      </c>
      <c r="BO54" s="528">
        <f t="shared" si="172"/>
        <v>0.42531999999999998</v>
      </c>
      <c r="BP54" s="528"/>
      <c r="BR54" s="460">
        <f t="shared" si="109"/>
        <v>425.32</v>
      </c>
      <c r="BS54" s="528">
        <f t="shared" si="173"/>
        <v>2.6343723876181252E-2</v>
      </c>
      <c r="BT54" s="528">
        <f t="shared" si="174"/>
        <v>1.8831660529211022E-2</v>
      </c>
      <c r="BU54" s="528">
        <f t="shared" si="175"/>
        <v>0.1764</v>
      </c>
      <c r="BV54" s="528">
        <f t="shared" si="176"/>
        <v>0.23326048723688766</v>
      </c>
      <c r="BW54" s="528">
        <f t="shared" si="177"/>
        <v>0.48070834411579055</v>
      </c>
      <c r="BX54" s="460">
        <f t="shared" si="110"/>
        <v>713.96883135267819</v>
      </c>
      <c r="BY54" s="173">
        <f t="shared" si="45"/>
        <v>2.4702534632777295</v>
      </c>
      <c r="BZ54" s="5">
        <f t="shared" si="111"/>
        <v>11.76</v>
      </c>
      <c r="CA54" s="173">
        <f t="shared" si="112"/>
        <v>0.82640832999549796</v>
      </c>
      <c r="CB54" s="5">
        <f t="shared" si="113"/>
        <v>82.640832999549801</v>
      </c>
      <c r="CE54" s="562">
        <f t="shared" si="178"/>
        <v>-50</v>
      </c>
      <c r="CF54">
        <f t="shared" si="179"/>
        <v>-50</v>
      </c>
      <c r="CG54" s="173">
        <f t="shared" si="180"/>
        <v>0.56678142040048751</v>
      </c>
      <c r="CI54" s="170">
        <v>49</v>
      </c>
      <c r="CJ54" s="217">
        <f t="shared" si="114"/>
        <v>0.49</v>
      </c>
      <c r="CK54" s="217"/>
      <c r="CL54" s="217">
        <f t="shared" si="49"/>
        <v>11.76</v>
      </c>
      <c r="CM54" s="541">
        <f t="shared" si="50"/>
        <v>24</v>
      </c>
      <c r="CN54" s="172">
        <f t="shared" si="51"/>
        <v>16.3415</v>
      </c>
      <c r="CO54" s="443">
        <f t="shared" si="52"/>
        <v>40.341499999999996</v>
      </c>
      <c r="CP54" s="443"/>
      <c r="CQ54" s="217">
        <f t="shared" si="53"/>
        <v>0.40507913686898112</v>
      </c>
      <c r="CR54" s="172">
        <f t="shared" si="54"/>
        <v>54.360539956785601</v>
      </c>
      <c r="CS54" s="172">
        <f t="shared" si="115"/>
        <v>11.76</v>
      </c>
      <c r="CT54" s="217">
        <f t="shared" si="55"/>
        <v>2.2650224981994</v>
      </c>
      <c r="CU54" s="217">
        <f t="shared" si="56"/>
        <v>24</v>
      </c>
      <c r="CV54" s="217">
        <f t="shared" si="57"/>
        <v>2.250439649272117</v>
      </c>
      <c r="CW54" s="172">
        <f t="shared" si="58"/>
        <v>236.2028412531229</v>
      </c>
      <c r="CX54" s="172">
        <f t="shared" si="59"/>
        <v>24</v>
      </c>
      <c r="CY54" s="217">
        <f t="shared" si="60"/>
        <v>2.4192803598200898</v>
      </c>
      <c r="CZ54" s="217">
        <f t="shared" si="61"/>
        <v>1.0080334832583708</v>
      </c>
      <c r="DA54" s="217">
        <f t="shared" si="62"/>
        <v>1.4804518311171497</v>
      </c>
      <c r="DB54" s="197">
        <f t="shared" si="63"/>
        <v>350</v>
      </c>
      <c r="DC54" s="443">
        <f t="shared" si="116"/>
        <v>350</v>
      </c>
      <c r="DE54" s="217">
        <f t="shared" si="64"/>
        <v>2.7776855099587272</v>
      </c>
      <c r="DF54" s="173">
        <f t="shared" si="65"/>
        <v>1.6997738946600542</v>
      </c>
      <c r="DG54" s="173">
        <f t="shared" si="66"/>
        <v>0.55110977087390545</v>
      </c>
      <c r="DH54" s="173"/>
      <c r="DI54" s="173">
        <f t="shared" si="67"/>
        <v>1.3598642855443031</v>
      </c>
      <c r="DJ54" s="545">
        <f t="shared" si="117"/>
        <v>486.20249999999982</v>
      </c>
      <c r="DK54" s="528">
        <f t="shared" si="68"/>
        <v>0.35273368606701955</v>
      </c>
      <c r="DM54" s="173">
        <f t="shared" si="69"/>
        <v>2.6191601707417589</v>
      </c>
      <c r="DN54" s="173">
        <f t="shared" si="70"/>
        <v>2.6191601707417589</v>
      </c>
      <c r="DO54" s="173">
        <f t="shared" si="71"/>
        <v>1.4940281100144714</v>
      </c>
      <c r="DQ54" s="545">
        <f t="shared" si="72"/>
        <v>490</v>
      </c>
      <c r="DR54" s="460">
        <f t="shared" si="73"/>
        <v>350</v>
      </c>
      <c r="DT54">
        <f t="shared" si="74"/>
        <v>490</v>
      </c>
      <c r="DU54" s="460">
        <f t="shared" si="75"/>
        <v>350</v>
      </c>
      <c r="DV54" s="460"/>
      <c r="DW54" s="5">
        <f t="shared" si="118"/>
        <v>2.8571428571428572</v>
      </c>
      <c r="DX54" s="5">
        <f t="shared" si="76"/>
        <v>1.0913167378090662</v>
      </c>
      <c r="DY54" s="5">
        <f t="shared" si="119"/>
        <v>1.765826119333791</v>
      </c>
      <c r="DZ54" s="5">
        <f t="shared" si="77"/>
        <v>1.6027660684403264</v>
      </c>
      <c r="EA54" s="173">
        <f t="shared" si="120"/>
        <v>0.38196085823317316</v>
      </c>
      <c r="EB54" s="173">
        <f t="shared" si="78"/>
        <v>12.005000000000001</v>
      </c>
      <c r="EC54" s="173">
        <f t="shared" si="79"/>
        <v>0.53985095860904331</v>
      </c>
      <c r="ED54" s="173">
        <f t="shared" si="121"/>
        <v>22.237619121639732</v>
      </c>
      <c r="EE54" s="460">
        <f t="shared" si="80"/>
        <v>2.2281050063601771</v>
      </c>
      <c r="EF54" s="5">
        <f t="shared" si="81"/>
        <v>0.72104566539463122</v>
      </c>
      <c r="EG54" s="5"/>
      <c r="EH54" s="173">
        <f t="shared" si="122"/>
        <v>0.93456790148880531</v>
      </c>
      <c r="EI54" s="173">
        <f t="shared" si="82"/>
        <v>0.79293074014205944</v>
      </c>
      <c r="EJ54" s="173"/>
      <c r="EK54" s="528">
        <f t="shared" si="83"/>
        <v>3.4936686499727573E-2</v>
      </c>
      <c r="EL54" s="528">
        <f t="shared" si="84"/>
        <v>1.0169856815192946</v>
      </c>
      <c r="EM54" s="528">
        <f t="shared" si="85"/>
        <v>6.9999999999999993E-2</v>
      </c>
      <c r="EN54" s="528">
        <f t="shared" si="86"/>
        <v>9.968049311281249E-2</v>
      </c>
      <c r="EO54">
        <f t="shared" si="87"/>
        <v>1.0800000000000001E-2</v>
      </c>
      <c r="EP54" s="460">
        <f t="shared" si="123"/>
        <v>80.8</v>
      </c>
      <c r="EQ54" s="528">
        <f t="shared" si="88"/>
        <v>1.2522304774741408</v>
      </c>
      <c r="ER54" s="460">
        <f t="shared" si="124"/>
        <v>1252.2304774741408</v>
      </c>
      <c r="ES54" s="528">
        <f t="shared" si="125"/>
        <v>0.42531999999999998</v>
      </c>
      <c r="ET54" s="528"/>
      <c r="EV54" s="460">
        <f t="shared" si="126"/>
        <v>425.32</v>
      </c>
      <c r="EW54" s="528">
        <f t="shared" si="89"/>
        <v>2.620251487479568E-2</v>
      </c>
      <c r="EX54" s="528">
        <f t="shared" si="90"/>
        <v>1.8862174759867026E-2</v>
      </c>
      <c r="EY54" s="528">
        <f t="shared" si="91"/>
        <v>1.2721703219557645</v>
      </c>
      <c r="EZ54" s="528">
        <f t="shared" si="92"/>
        <v>1.3328557154342526</v>
      </c>
      <c r="FA54" s="528">
        <f t="shared" si="93"/>
        <v>0.48019999999999996</v>
      </c>
      <c r="FB54" s="460">
        <f t="shared" si="127"/>
        <v>1813.0557154342525</v>
      </c>
      <c r="FC54" s="173">
        <f t="shared" si="128"/>
        <v>3.4906061929083934</v>
      </c>
      <c r="FD54" s="5">
        <f t="shared" si="129"/>
        <v>11.76</v>
      </c>
      <c r="FE54" s="173">
        <f t="shared" si="130"/>
        <v>0.77111688881380058</v>
      </c>
      <c r="FF54" s="5">
        <f t="shared" si="131"/>
        <v>77.111688881380061</v>
      </c>
      <c r="FI54" s="562">
        <f t="shared" si="94"/>
        <v>-50</v>
      </c>
      <c r="FJ54">
        <f t="shared" si="95"/>
        <v>-50</v>
      </c>
      <c r="FL54">
        <f t="shared" si="181"/>
        <v>0.56096812395411422</v>
      </c>
    </row>
    <row r="55" spans="5:168">
      <c r="E55" s="170">
        <v>50</v>
      </c>
      <c r="F55" s="217">
        <f t="shared" si="182"/>
        <v>0.5</v>
      </c>
      <c r="G55" s="217"/>
      <c r="H55" s="217">
        <f t="shared" si="132"/>
        <v>12</v>
      </c>
      <c r="I55" s="541">
        <f t="shared" si="133"/>
        <v>23.908348486100884</v>
      </c>
      <c r="J55" s="172">
        <f t="shared" si="134"/>
        <v>16.358974893014455</v>
      </c>
      <c r="K55" s="172">
        <f t="shared" si="135"/>
        <v>40.358974893014455</v>
      </c>
      <c r="L55" s="443"/>
      <c r="M55" s="217">
        <f t="shared" si="136"/>
        <v>0.40626197723866792</v>
      </c>
      <c r="N55" s="172">
        <f t="shared" si="137"/>
        <v>54.311075063616506</v>
      </c>
      <c r="O55" s="172">
        <f t="shared" si="98"/>
        <v>12</v>
      </c>
      <c r="P55" s="217">
        <f t="shared" si="138"/>
        <v>2.262961460984021</v>
      </c>
      <c r="Q55" s="217">
        <f t="shared" si="139"/>
        <v>24</v>
      </c>
      <c r="R55" s="217">
        <f t="shared" si="140"/>
        <v>2.2483918815913095</v>
      </c>
      <c r="S55" s="172">
        <f t="shared" si="141"/>
        <v>229.88151008771698</v>
      </c>
      <c r="T55" s="172">
        <f t="shared" si="142"/>
        <v>24</v>
      </c>
      <c r="U55" s="217">
        <f t="shared" si="143"/>
        <v>2.525104199727588</v>
      </c>
      <c r="V55" s="217">
        <f t="shared" si="11"/>
        <v>1.0561600276136001</v>
      </c>
      <c r="W55" s="217">
        <f t="shared" si="144"/>
        <v>1.5435589431742744</v>
      </c>
      <c r="X55" s="197">
        <f t="shared" si="145"/>
        <v>350</v>
      </c>
      <c r="Y55" s="443">
        <f t="shared" si="14"/>
        <v>350</v>
      </c>
      <c r="AA55" s="217">
        <f t="shared" si="146"/>
        <v>2.7751397396644939</v>
      </c>
      <c r="AB55" s="173">
        <f t="shared" si="147"/>
        <v>1.6964019798389223</v>
      </c>
      <c r="AC55" s="173">
        <f t="shared" si="148"/>
        <v>0.54951241624660108</v>
      </c>
      <c r="AD55" s="173"/>
      <c r="AE55" s="173">
        <f t="shared" si="149"/>
        <v>1.3584116588938266</v>
      </c>
      <c r="AF55" s="545">
        <f t="shared" si="150"/>
        <v>496.65553460800999</v>
      </c>
      <c r="AG55" s="528">
        <f t="shared" si="151"/>
        <v>0.35235689085418204</v>
      </c>
      <c r="AI55" s="173">
        <f t="shared" si="152"/>
        <v>2.6471655590678078</v>
      </c>
      <c r="AJ55" s="173">
        <f t="shared" si="153"/>
        <v>2.6471655590678078</v>
      </c>
      <c r="AK55" s="173">
        <f t="shared" si="154"/>
        <v>1.514772842107841</v>
      </c>
      <c r="AM55" s="545">
        <f t="shared" si="155"/>
        <v>500</v>
      </c>
      <c r="AN55" s="460">
        <f t="shared" si="156"/>
        <v>350</v>
      </c>
      <c r="AP55">
        <f t="shared" si="157"/>
        <v>500</v>
      </c>
      <c r="AQ55" s="460">
        <f t="shared" si="158"/>
        <v>350</v>
      </c>
      <c r="AR55" s="460"/>
      <c r="AS55" s="5">
        <f t="shared" si="101"/>
        <v>2.8571428571428572</v>
      </c>
      <c r="AT55" s="5">
        <f t="shared" si="159"/>
        <v>1.1072138925056816</v>
      </c>
      <c r="AU55" s="5">
        <f t="shared" si="102"/>
        <v>1.7499289646371756</v>
      </c>
      <c r="AV55" s="5">
        <f t="shared" si="160"/>
        <v>1.6181732513069569</v>
      </c>
      <c r="AW55" s="173">
        <f t="shared" si="103"/>
        <v>0.38752486237698852</v>
      </c>
      <c r="AX55" s="173">
        <f t="shared" si="161"/>
        <v>12.263099619950864</v>
      </c>
      <c r="AY55" s="173">
        <f t="shared" si="162"/>
        <v>0.54071125054866742</v>
      </c>
      <c r="AZ55" s="173">
        <f t="shared" si="104"/>
        <v>22.679571781625263</v>
      </c>
      <c r="BA55" s="460">
        <f t="shared" si="163"/>
        <v>2.3066956093868365</v>
      </c>
      <c r="BB55" s="5">
        <f t="shared" si="164"/>
        <v>0.73193218078383637</v>
      </c>
      <c r="BC55" s="5"/>
      <c r="BD55" s="173">
        <f t="shared" si="105"/>
        <v>0.95141558617990341</v>
      </c>
      <c r="BE55" s="173">
        <f t="shared" si="165"/>
        <v>0.79779358955471491</v>
      </c>
      <c r="BF55" s="173"/>
      <c r="BG55" s="528">
        <f t="shared" si="166"/>
        <v>3.620766470504197E-2</v>
      </c>
      <c r="BH55" s="528">
        <f t="shared" si="167"/>
        <v>0.84134049564655311</v>
      </c>
      <c r="BI55" s="528">
        <f t="shared" si="168"/>
        <v>0.33471687880541245</v>
      </c>
      <c r="BJ55" s="528">
        <f t="shared" si="169"/>
        <v>9.976686983291698E-2</v>
      </c>
      <c r="BK55">
        <f t="shared" si="170"/>
        <v>1.0758756818745397E-2</v>
      </c>
      <c r="BL55" s="460">
        <f t="shared" si="106"/>
        <v>345.47563562415786</v>
      </c>
      <c r="BM55" s="528">
        <f t="shared" si="171"/>
        <v>0.99565667542313108</v>
      </c>
      <c r="BN55" s="460">
        <f t="shared" si="107"/>
        <v>995.65667542313111</v>
      </c>
      <c r="BO55" s="528">
        <f t="shared" si="172"/>
        <v>0.434</v>
      </c>
      <c r="BP55" s="528"/>
      <c r="BR55" s="460">
        <f t="shared" si="109"/>
        <v>434</v>
      </c>
      <c r="BS55" s="528">
        <f t="shared" si="173"/>
        <v>2.7155748528781474E-2</v>
      </c>
      <c r="BT55" s="528">
        <f t="shared" si="174"/>
        <v>1.9094238346037906E-2</v>
      </c>
      <c r="BU55" s="528">
        <f t="shared" si="175"/>
        <v>0.18</v>
      </c>
      <c r="BV55" s="528">
        <f t="shared" si="176"/>
        <v>0.23823143980189657</v>
      </c>
      <c r="BW55" s="528">
        <f t="shared" si="177"/>
        <v>0.49052398479803455</v>
      </c>
      <c r="BX55" s="460">
        <f t="shared" si="110"/>
        <v>728.75542459993119</v>
      </c>
      <c r="BY55" s="173">
        <f t="shared" si="45"/>
        <v>2.5038877356472202</v>
      </c>
      <c r="BZ55" s="5">
        <f t="shared" si="111"/>
        <v>12</v>
      </c>
      <c r="CA55" s="173">
        <f t="shared" si="112"/>
        <v>0.82736437420890674</v>
      </c>
      <c r="CB55" s="5">
        <f t="shared" si="113"/>
        <v>82.736437420890667</v>
      </c>
      <c r="CE55" s="562">
        <f t="shared" si="178"/>
        <v>-50</v>
      </c>
      <c r="CF55">
        <f t="shared" si="179"/>
        <v>-50</v>
      </c>
      <c r="CG55" s="173">
        <f t="shared" si="180"/>
        <v>0.57253569402246873</v>
      </c>
      <c r="CI55" s="170">
        <v>50</v>
      </c>
      <c r="CJ55" s="217">
        <f t="shared" si="114"/>
        <v>0.5</v>
      </c>
      <c r="CK55" s="217"/>
      <c r="CL55" s="217">
        <f t="shared" si="49"/>
        <v>12</v>
      </c>
      <c r="CM55" s="541">
        <f t="shared" si="50"/>
        <v>24</v>
      </c>
      <c r="CN55" s="172">
        <f t="shared" si="51"/>
        <v>16.3415</v>
      </c>
      <c r="CO55" s="443">
        <f t="shared" si="52"/>
        <v>40.341499999999996</v>
      </c>
      <c r="CP55" s="443"/>
      <c r="CQ55" s="217">
        <f t="shared" si="53"/>
        <v>0.40507913686898112</v>
      </c>
      <c r="CR55" s="172">
        <f t="shared" si="54"/>
        <v>54.360539956785601</v>
      </c>
      <c r="CS55" s="172">
        <f t="shared" si="115"/>
        <v>12</v>
      </c>
      <c r="CT55" s="217">
        <f t="shared" si="55"/>
        <v>2.2650224981994</v>
      </c>
      <c r="CU55" s="217">
        <f t="shared" si="56"/>
        <v>24</v>
      </c>
      <c r="CV55" s="217">
        <f t="shared" si="57"/>
        <v>2.250439649272117</v>
      </c>
      <c r="CW55" s="172">
        <f t="shared" si="58"/>
        <v>230.7624524204177</v>
      </c>
      <c r="CX55" s="172">
        <f t="shared" si="59"/>
        <v>24</v>
      </c>
      <c r="CY55" s="217">
        <f t="shared" si="60"/>
        <v>2.4686534283878467</v>
      </c>
      <c r="CZ55" s="217">
        <f t="shared" si="61"/>
        <v>1.0286055951616029</v>
      </c>
      <c r="DA55" s="217">
        <f t="shared" si="62"/>
        <v>1.5106651337930097</v>
      </c>
      <c r="DB55" s="197">
        <f t="shared" si="63"/>
        <v>350</v>
      </c>
      <c r="DC55" s="443">
        <f t="shared" si="116"/>
        <v>350</v>
      </c>
      <c r="DE55" s="217">
        <f t="shared" si="64"/>
        <v>2.7776855099587272</v>
      </c>
      <c r="DF55" s="173">
        <f t="shared" si="65"/>
        <v>1.6997738946600542</v>
      </c>
      <c r="DG55" s="173">
        <f t="shared" si="66"/>
        <v>0.55110977087390545</v>
      </c>
      <c r="DH55" s="173"/>
      <c r="DI55" s="173">
        <f t="shared" si="67"/>
        <v>1.3598642855443031</v>
      </c>
      <c r="DJ55" s="545">
        <f t="shared" si="117"/>
        <v>496.12499999999983</v>
      </c>
      <c r="DK55" s="528">
        <f t="shared" si="68"/>
        <v>0.35273368606701955</v>
      </c>
      <c r="DM55" s="173">
        <f t="shared" si="69"/>
        <v>2.6457513110645903</v>
      </c>
      <c r="DN55" s="173">
        <f t="shared" si="70"/>
        <v>2.6457513110645903</v>
      </c>
      <c r="DO55" s="173">
        <f t="shared" si="71"/>
        <v>1.5137252509943466</v>
      </c>
      <c r="DQ55" s="545">
        <f t="shared" si="72"/>
        <v>500</v>
      </c>
      <c r="DR55" s="460">
        <f t="shared" si="73"/>
        <v>350</v>
      </c>
      <c r="DT55">
        <f t="shared" si="74"/>
        <v>500</v>
      </c>
      <c r="DU55" s="460">
        <f t="shared" si="75"/>
        <v>350</v>
      </c>
      <c r="DV55" s="460"/>
      <c r="DW55" s="5">
        <f t="shared" si="118"/>
        <v>2.8571428571428572</v>
      </c>
      <c r="DX55" s="5">
        <f t="shared" si="76"/>
        <v>1.1023963796102461</v>
      </c>
      <c r="DY55" s="5">
        <f t="shared" si="119"/>
        <v>1.7547464775326111</v>
      </c>
      <c r="DZ55" s="5">
        <f t="shared" si="77"/>
        <v>1.6190382223569382</v>
      </c>
      <c r="EA55" s="173">
        <f t="shared" si="120"/>
        <v>0.38583873286358611</v>
      </c>
      <c r="EB55" s="173">
        <f t="shared" si="78"/>
        <v>12.249999999999998</v>
      </c>
      <c r="EC55" s="173">
        <f t="shared" si="79"/>
        <v>0.54191014557337425</v>
      </c>
      <c r="ED55" s="173">
        <f t="shared" si="121"/>
        <v>22.605223578234995</v>
      </c>
      <c r="EE55" s="460">
        <f t="shared" si="80"/>
        <v>2.2966591241880128</v>
      </c>
      <c r="EF55" s="5">
        <f t="shared" si="81"/>
        <v>0.73114436563858787</v>
      </c>
      <c r="EG55" s="5"/>
      <c r="EH55" s="173">
        <f t="shared" si="122"/>
        <v>0.94883632765704151</v>
      </c>
      <c r="EI55" s="173">
        <f t="shared" si="82"/>
        <v>0.79846418075063819</v>
      </c>
      <c r="EJ55" s="173"/>
      <c r="EK55" s="528">
        <f t="shared" si="83"/>
        <v>3.6011615067268028E-2</v>
      </c>
      <c r="EL55" s="528">
        <f t="shared" si="84"/>
        <v>1.0273106739598796</v>
      </c>
      <c r="EM55" s="528">
        <f t="shared" si="85"/>
        <v>6.9999999999999993E-2</v>
      </c>
      <c r="EN55" s="528">
        <f t="shared" si="86"/>
        <v>9.968049311281249E-2</v>
      </c>
      <c r="EO55">
        <f t="shared" si="87"/>
        <v>1.0800000000000001E-2</v>
      </c>
      <c r="EP55" s="460">
        <f t="shared" si="123"/>
        <v>80.8</v>
      </c>
      <c r="EQ55" s="528">
        <f t="shared" si="88"/>
        <v>1.2643441011728831</v>
      </c>
      <c r="ER55" s="460">
        <f t="shared" si="124"/>
        <v>1264.344101172883</v>
      </c>
      <c r="ES55" s="528">
        <f t="shared" si="125"/>
        <v>0.434</v>
      </c>
      <c r="ET55" s="528"/>
      <c r="EV55" s="460">
        <f t="shared" si="126"/>
        <v>434</v>
      </c>
      <c r="EW55" s="528">
        <f t="shared" si="89"/>
        <v>2.7008711300451019E-2</v>
      </c>
      <c r="EX55" s="528">
        <f t="shared" si="90"/>
        <v>1.9126351438253635E-2</v>
      </c>
      <c r="EY55" s="528">
        <f t="shared" si="91"/>
        <v>1.3047060169249032</v>
      </c>
      <c r="EZ55" s="528">
        <f t="shared" si="92"/>
        <v>1.3669586726508141</v>
      </c>
      <c r="FA55" s="528">
        <f t="shared" si="93"/>
        <v>0.48999999999999988</v>
      </c>
      <c r="FB55" s="460">
        <f t="shared" si="127"/>
        <v>1856.9586726508139</v>
      </c>
      <c r="FC55" s="173">
        <f t="shared" si="128"/>
        <v>3.5553027738236969</v>
      </c>
      <c r="FD55" s="5">
        <f t="shared" si="129"/>
        <v>12</v>
      </c>
      <c r="FE55" s="173">
        <f t="shared" si="130"/>
        <v>0.77144110754266226</v>
      </c>
      <c r="FF55" s="5">
        <f t="shared" si="131"/>
        <v>77.144110754266222</v>
      </c>
      <c r="FI55" s="562">
        <f t="shared" si="94"/>
        <v>-50</v>
      </c>
      <c r="FJ55">
        <f t="shared" si="95"/>
        <v>-50</v>
      </c>
      <c r="FL55">
        <f t="shared" si="181"/>
        <v>0.56666337782492848</v>
      </c>
    </row>
    <row r="56" spans="5:168">
      <c r="E56" s="170">
        <v>51</v>
      </c>
      <c r="F56" s="217">
        <f t="shared" si="182"/>
        <v>0.51</v>
      </c>
      <c r="G56" s="217"/>
      <c r="H56" s="217">
        <f t="shared" si="132"/>
        <v>12.24</v>
      </c>
      <c r="I56" s="541">
        <f t="shared" si="133"/>
        <v>23.907436508276749</v>
      </c>
      <c r="J56" s="172">
        <f t="shared" si="134"/>
        <v>16.359148776829688</v>
      </c>
      <c r="K56" s="172">
        <f t="shared" si="135"/>
        <v>40.359148776829684</v>
      </c>
      <c r="L56" s="443"/>
      <c r="M56" s="217">
        <f t="shared" si="136"/>
        <v>0.40627376892834483</v>
      </c>
      <c r="N56" s="172">
        <f t="shared" si="137"/>
        <v>54.31057969182001</v>
      </c>
      <c r="O56" s="172">
        <f t="shared" si="98"/>
        <v>12.24</v>
      </c>
      <c r="P56" s="217">
        <f t="shared" si="138"/>
        <v>2.2629408204925006</v>
      </c>
      <c r="Q56" s="217">
        <f t="shared" si="139"/>
        <v>24</v>
      </c>
      <c r="R56" s="217">
        <f t="shared" si="140"/>
        <v>2.2483713739890518</v>
      </c>
      <c r="S56" s="172">
        <f t="shared" si="141"/>
        <v>224.66595137211036</v>
      </c>
      <c r="T56" s="172">
        <f t="shared" si="142"/>
        <v>24</v>
      </c>
      <c r="U56" s="217">
        <f t="shared" si="143"/>
        <v>2.5756574365067699</v>
      </c>
      <c r="V56" s="217">
        <f t="shared" si="11"/>
        <v>1.0773457186072954</v>
      </c>
      <c r="W56" s="217">
        <f t="shared" si="144"/>
        <v>1.5744446557970104</v>
      </c>
      <c r="X56" s="197">
        <f t="shared" si="145"/>
        <v>350</v>
      </c>
      <c r="Y56" s="443">
        <f t="shared" si="14"/>
        <v>350</v>
      </c>
      <c r="AA56" s="217">
        <f t="shared" si="146"/>
        <v>2.7751142466588519</v>
      </c>
      <c r="AB56" s="173">
        <f t="shared" si="147"/>
        <v>1.6963683651984327</v>
      </c>
      <c r="AC56" s="173">
        <f t="shared" si="148"/>
        <v>0.54949647968278914</v>
      </c>
      <c r="AD56" s="173"/>
      <c r="AE56" s="173">
        <f t="shared" si="149"/>
        <v>1.3583972201351158</v>
      </c>
      <c r="AF56" s="545">
        <f t="shared" si="150"/>
        <v>506.59402996314412</v>
      </c>
      <c r="AG56" s="528">
        <f t="shared" si="151"/>
        <v>0.3523531456006031</v>
      </c>
      <c r="AI56" s="173">
        <f t="shared" si="152"/>
        <v>2.6735203723064909</v>
      </c>
      <c r="AJ56" s="173">
        <f t="shared" si="153"/>
        <v>2.6735203723064909</v>
      </c>
      <c r="AK56" s="173">
        <f t="shared" si="154"/>
        <v>1.5342949259883469</v>
      </c>
      <c r="AM56" s="545">
        <f t="shared" si="155"/>
        <v>510</v>
      </c>
      <c r="AN56" s="460">
        <f t="shared" si="156"/>
        <v>350</v>
      </c>
      <c r="AP56">
        <f t="shared" si="157"/>
        <v>510</v>
      </c>
      <c r="AQ56" s="460">
        <f t="shared" si="158"/>
        <v>350</v>
      </c>
      <c r="AR56" s="460"/>
      <c r="AS56" s="5">
        <f t="shared" si="101"/>
        <v>2.8571428571428572</v>
      </c>
      <c r="AT56" s="5">
        <f t="shared" si="159"/>
        <v>1.1182798169853632</v>
      </c>
      <c r="AU56" s="5">
        <f t="shared" si="102"/>
        <v>1.738863040157494</v>
      </c>
      <c r="AV56" s="5">
        <f t="shared" si="160"/>
        <v>1.6342661887720815</v>
      </c>
      <c r="AW56" s="173">
        <f t="shared" si="103"/>
        <v>0.3913979359448771</v>
      </c>
      <c r="AX56" s="173">
        <f t="shared" si="161"/>
        <v>12.508494566991214</v>
      </c>
      <c r="AY56" s="173">
        <f t="shared" si="162"/>
        <v>0.5426411906291968</v>
      </c>
      <c r="AZ56" s="173">
        <f t="shared" si="104"/>
        <v>23.051133572236775</v>
      </c>
      <c r="BA56" s="460">
        <f t="shared" si="163"/>
        <v>2.3763446110938973</v>
      </c>
      <c r="BB56" s="5">
        <f t="shared" si="164"/>
        <v>0.74187807644981496</v>
      </c>
      <c r="BC56" s="5"/>
      <c r="BD56" s="173">
        <f t="shared" si="105"/>
        <v>0.96567755195121407</v>
      </c>
      <c r="BE56" s="173">
        <f t="shared" si="165"/>
        <v>0.80318467757042933</v>
      </c>
      <c r="BF56" s="173"/>
      <c r="BG56" s="528">
        <f t="shared" si="166"/>
        <v>3.7301325373699588E-2</v>
      </c>
      <c r="BH56" s="528">
        <f t="shared" si="167"/>
        <v>0.8497204259024469</v>
      </c>
      <c r="BI56" s="528">
        <f t="shared" si="168"/>
        <v>0.3347041111158745</v>
      </c>
      <c r="BJ56" s="528">
        <f t="shared" si="169"/>
        <v>9.9767729511904227E-2</v>
      </c>
      <c r="BK56">
        <f t="shared" si="170"/>
        <v>1.0758346428724537E-2</v>
      </c>
      <c r="BL56" s="460">
        <f t="shared" si="106"/>
        <v>345.46245754459903</v>
      </c>
      <c r="BM56" s="528">
        <f t="shared" si="171"/>
        <v>1.0057748145446865</v>
      </c>
      <c r="BN56" s="460">
        <f t="shared" si="107"/>
        <v>1005.7748145446865</v>
      </c>
      <c r="BO56" s="528">
        <f t="shared" si="172"/>
        <v>0.44267999999999996</v>
      </c>
      <c r="BP56" s="528"/>
      <c r="BR56" s="460">
        <f t="shared" si="109"/>
        <v>442.67999999999995</v>
      </c>
      <c r="BS56" s="528">
        <f t="shared" si="173"/>
        <v>2.7975994030274693E-2</v>
      </c>
      <c r="BT56" s="528">
        <f t="shared" si="174"/>
        <v>1.9353168788517436E-2</v>
      </c>
      <c r="BU56" s="528">
        <f t="shared" si="175"/>
        <v>0.18359999999999999</v>
      </c>
      <c r="BV56" s="528">
        <f t="shared" si="176"/>
        <v>0.24320903228634874</v>
      </c>
      <c r="BW56" s="528">
        <f t="shared" si="177"/>
        <v>0.50033978267964863</v>
      </c>
      <c r="BX56" s="460">
        <f t="shared" si="110"/>
        <v>743.54881496599739</v>
      </c>
      <c r="BY56" s="173">
        <f t="shared" si="45"/>
        <v>2.5374660870552828</v>
      </c>
      <c r="BZ56" s="5">
        <f t="shared" si="111"/>
        <v>12.24</v>
      </c>
      <c r="CA56" s="173">
        <f t="shared" si="112"/>
        <v>0.82828814682389673</v>
      </c>
      <c r="CB56" s="5">
        <f t="shared" si="113"/>
        <v>82.828814682389677</v>
      </c>
      <c r="CE56" s="562">
        <f t="shared" si="178"/>
        <v>-50</v>
      </c>
      <c r="CF56">
        <f t="shared" si="179"/>
        <v>-50</v>
      </c>
      <c r="CG56" s="173">
        <f t="shared" si="180"/>
        <v>0.57823270691684836</v>
      </c>
      <c r="CI56" s="170">
        <v>51</v>
      </c>
      <c r="CJ56" s="217">
        <f t="shared" si="114"/>
        <v>0.51</v>
      </c>
      <c r="CK56" s="217"/>
      <c r="CL56" s="217">
        <f t="shared" si="49"/>
        <v>12.24</v>
      </c>
      <c r="CM56" s="541">
        <f t="shared" si="50"/>
        <v>24</v>
      </c>
      <c r="CN56" s="172">
        <f t="shared" si="51"/>
        <v>16.3415</v>
      </c>
      <c r="CO56" s="443">
        <f t="shared" si="52"/>
        <v>40.341499999999996</v>
      </c>
      <c r="CP56" s="443"/>
      <c r="CQ56" s="217">
        <f t="shared" si="53"/>
        <v>0.40507913686898112</v>
      </c>
      <c r="CR56" s="172">
        <f t="shared" si="54"/>
        <v>54.360539956785601</v>
      </c>
      <c r="CS56" s="172">
        <f t="shared" si="115"/>
        <v>12.24</v>
      </c>
      <c r="CT56" s="217">
        <f t="shared" si="55"/>
        <v>2.2650224981994</v>
      </c>
      <c r="CU56" s="217">
        <f t="shared" si="56"/>
        <v>24</v>
      </c>
      <c r="CV56" s="217">
        <f t="shared" si="57"/>
        <v>2.250439649272117</v>
      </c>
      <c r="CW56" s="172">
        <f t="shared" si="58"/>
        <v>225.53549321565845</v>
      </c>
      <c r="CX56" s="172">
        <f t="shared" si="59"/>
        <v>24</v>
      </c>
      <c r="CY56" s="217">
        <f t="shared" si="60"/>
        <v>2.5180264969556037</v>
      </c>
      <c r="CZ56" s="217">
        <f t="shared" si="61"/>
        <v>1.0491777070648349</v>
      </c>
      <c r="DA56" s="217">
        <f t="shared" si="62"/>
        <v>1.5408784364688699</v>
      </c>
      <c r="DB56" s="197">
        <f t="shared" si="63"/>
        <v>350</v>
      </c>
      <c r="DC56" s="443">
        <f t="shared" si="116"/>
        <v>350</v>
      </c>
      <c r="DE56" s="217">
        <f t="shared" si="64"/>
        <v>2.7776855099587272</v>
      </c>
      <c r="DF56" s="173">
        <f t="shared" si="65"/>
        <v>1.6997738946600542</v>
      </c>
      <c r="DG56" s="173">
        <f t="shared" si="66"/>
        <v>0.55110977087390545</v>
      </c>
      <c r="DH56" s="173"/>
      <c r="DI56" s="173">
        <f t="shared" si="67"/>
        <v>1.3598642855443031</v>
      </c>
      <c r="DJ56" s="545">
        <f t="shared" si="117"/>
        <v>506.04749999999984</v>
      </c>
      <c r="DK56" s="528">
        <f t="shared" si="68"/>
        <v>0.35273368606701955</v>
      </c>
      <c r="DM56" s="173">
        <f t="shared" si="69"/>
        <v>2.6720778431774774</v>
      </c>
      <c r="DN56" s="173">
        <f t="shared" si="70"/>
        <v>2.6720778431774774</v>
      </c>
      <c r="DO56" s="173">
        <f t="shared" si="71"/>
        <v>1.5332263858927815</v>
      </c>
      <c r="DQ56" s="545">
        <f t="shared" si="72"/>
        <v>510</v>
      </c>
      <c r="DR56" s="460">
        <f t="shared" si="73"/>
        <v>350</v>
      </c>
      <c r="DT56">
        <f t="shared" si="74"/>
        <v>510</v>
      </c>
      <c r="DU56" s="460">
        <f t="shared" si="75"/>
        <v>350</v>
      </c>
      <c r="DV56" s="460"/>
      <c r="DW56" s="5">
        <f t="shared" si="118"/>
        <v>2.8571428571428572</v>
      </c>
      <c r="DX56" s="5">
        <f t="shared" si="76"/>
        <v>1.1133657679906157</v>
      </c>
      <c r="DY56" s="5">
        <f t="shared" si="119"/>
        <v>1.7437770891522415</v>
      </c>
      <c r="DZ56" s="5">
        <f t="shared" si="77"/>
        <v>1.6351484522090858</v>
      </c>
      <c r="EA56" s="173">
        <f t="shared" si="120"/>
        <v>0.38967801879671549</v>
      </c>
      <c r="EB56" s="173">
        <f t="shared" si="78"/>
        <v>12.495000000000001</v>
      </c>
      <c r="EC56" s="173">
        <f t="shared" si="79"/>
        <v>0.54388108569968874</v>
      </c>
      <c r="ED56" s="173">
        <f t="shared" si="121"/>
        <v>22.973771893401132</v>
      </c>
      <c r="EE56" s="460">
        <f t="shared" si="80"/>
        <v>2.3659022569800583</v>
      </c>
      <c r="EF56" s="5">
        <f t="shared" si="81"/>
        <v>0.74110526288970258</v>
      </c>
      <c r="EG56" s="5"/>
      <c r="EH56" s="173">
        <f t="shared" si="122"/>
        <v>0.96303358442796938</v>
      </c>
      <c r="EI56" s="173">
        <f t="shared" si="82"/>
        <v>0.80388480233887016</v>
      </c>
      <c r="EJ56" s="173"/>
      <c r="EK56" s="528">
        <f t="shared" si="83"/>
        <v>3.709734738944731E-2</v>
      </c>
      <c r="EL56" s="528">
        <f t="shared" si="84"/>
        <v>1.0375329224889882</v>
      </c>
      <c r="EM56" s="528">
        <f t="shared" si="85"/>
        <v>6.9999999999999993E-2</v>
      </c>
      <c r="EN56" s="528">
        <f t="shared" si="86"/>
        <v>9.968049311281249E-2</v>
      </c>
      <c r="EO56">
        <f t="shared" si="87"/>
        <v>1.0800000000000001E-2</v>
      </c>
      <c r="EP56" s="460">
        <f t="shared" si="123"/>
        <v>80.8</v>
      </c>
      <c r="EQ56" s="528">
        <f t="shared" si="88"/>
        <v>1.2763774585786734</v>
      </c>
      <c r="ER56" s="460">
        <f t="shared" si="124"/>
        <v>1276.3774585786734</v>
      </c>
      <c r="ES56" s="528">
        <f t="shared" si="125"/>
        <v>0.44267999999999996</v>
      </c>
      <c r="ET56" s="528"/>
      <c r="EV56" s="460">
        <f t="shared" si="126"/>
        <v>442.67999999999995</v>
      </c>
      <c r="EW56" s="528">
        <f t="shared" si="89"/>
        <v>2.7823010542085483E-2</v>
      </c>
      <c r="EX56" s="528">
        <f t="shared" si="90"/>
        <v>1.938692326294213E-2</v>
      </c>
      <c r="EY56" s="528">
        <f t="shared" si="91"/>
        <v>1.3374048072822495</v>
      </c>
      <c r="EZ56" s="528">
        <f t="shared" si="92"/>
        <v>1.4012373108557343</v>
      </c>
      <c r="FA56" s="528">
        <f t="shared" si="93"/>
        <v>0.49980000000000002</v>
      </c>
      <c r="FB56" s="460">
        <f t="shared" si="127"/>
        <v>1901.0373108557344</v>
      </c>
      <c r="FC56" s="173">
        <f t="shared" si="128"/>
        <v>3.6200947694344077</v>
      </c>
      <c r="FD56" s="5">
        <f t="shared" si="129"/>
        <v>12.24</v>
      </c>
      <c r="FE56" s="173">
        <f t="shared" si="130"/>
        <v>0.77174822584218994</v>
      </c>
      <c r="FF56" s="5">
        <f t="shared" si="131"/>
        <v>77.174822584218987</v>
      </c>
      <c r="FI56" s="562">
        <f t="shared" si="94"/>
        <v>-50</v>
      </c>
      <c r="FJ56">
        <f t="shared" si="95"/>
        <v>-50</v>
      </c>
      <c r="FL56">
        <f t="shared" si="181"/>
        <v>0.57230195827318009</v>
      </c>
    </row>
    <row r="57" spans="5:168">
      <c r="E57" s="170">
        <v>52</v>
      </c>
      <c r="F57" s="217">
        <f t="shared" si="182"/>
        <v>0.52</v>
      </c>
      <c r="G57" s="217"/>
      <c r="H57" s="217">
        <f t="shared" si="132"/>
        <v>12.48</v>
      </c>
      <c r="I57" s="541">
        <f t="shared" si="133"/>
        <v>23.906533428435615</v>
      </c>
      <c r="J57" s="172">
        <f t="shared" si="134"/>
        <v>16.359320964095733</v>
      </c>
      <c r="K57" s="172">
        <f t="shared" si="135"/>
        <v>40.35932096409573</v>
      </c>
      <c r="L57" s="443"/>
      <c r="M57" s="217">
        <f t="shared" si="136"/>
        <v>0.40628544599384031</v>
      </c>
      <c r="N57" s="172">
        <f t="shared" si="137"/>
        <v>54.3100890915644</v>
      </c>
      <c r="O57" s="172">
        <f t="shared" si="98"/>
        <v>12.48</v>
      </c>
      <c r="P57" s="217">
        <f t="shared" si="138"/>
        <v>2.2629203788151835</v>
      </c>
      <c r="Q57" s="217">
        <f t="shared" si="139"/>
        <v>24</v>
      </c>
      <c r="R57" s="217">
        <f t="shared" si="140"/>
        <v>2.2483510639209756</v>
      </c>
      <c r="S57" s="172">
        <f t="shared" si="141"/>
        <v>219.6512055930088</v>
      </c>
      <c r="T57" s="172">
        <f t="shared" si="142"/>
        <v>24</v>
      </c>
      <c r="U57" s="217">
        <f t="shared" si="143"/>
        <v>2.6262121743253077</v>
      </c>
      <c r="V57" s="217">
        <f t="shared" si="11"/>
        <v>1.0985332449754348</v>
      </c>
      <c r="W57" s="217">
        <f t="shared" si="144"/>
        <v>1.6053307958741871</v>
      </c>
      <c r="X57" s="197">
        <f t="shared" si="145"/>
        <v>350</v>
      </c>
      <c r="Y57" s="443">
        <f t="shared" si="14"/>
        <v>344.36873969740566</v>
      </c>
      <c r="AA57" s="217">
        <f t="shared" si="146"/>
        <v>2.775088999244721</v>
      </c>
      <c r="AB57" s="173">
        <f t="shared" si="147"/>
        <v>1.6963350773148151</v>
      </c>
      <c r="AC57" s="173">
        <f t="shared" si="148"/>
        <v>0.54948069779112196</v>
      </c>
      <c r="AD57" s="173"/>
      <c r="AE57" s="173">
        <f t="shared" si="149"/>
        <v>1.3583829225549133</v>
      </c>
      <c r="AF57" s="545">
        <f t="shared" si="150"/>
        <v>516.53268291432687</v>
      </c>
      <c r="AG57" s="528">
        <f t="shared" si="151"/>
        <v>0.35234943696716065</v>
      </c>
      <c r="AI57" s="173">
        <f t="shared" si="152"/>
        <v>2.6996183227890382</v>
      </c>
      <c r="AJ57" s="173">
        <f t="shared" si="153"/>
        <v>2.6996183227890382</v>
      </c>
      <c r="AK57" s="173">
        <f t="shared" si="154"/>
        <v>1.5536267411606044</v>
      </c>
      <c r="AM57" s="545">
        <f t="shared" si="155"/>
        <v>520</v>
      </c>
      <c r="AN57" s="460">
        <f t="shared" si="156"/>
        <v>344.36873969740566</v>
      </c>
      <c r="AP57">
        <f t="shared" si="157"/>
        <v>520</v>
      </c>
      <c r="AQ57" s="460">
        <f t="shared" si="158"/>
        <v>344.36873969740566</v>
      </c>
      <c r="AR57" s="460"/>
      <c r="AS57" s="5">
        <f t="shared" si="101"/>
        <v>2.9038640408496219</v>
      </c>
      <c r="AT57" s="5">
        <f t="shared" si="159"/>
        <v>1.1292387208167867</v>
      </c>
      <c r="AU57" s="5">
        <f t="shared" si="102"/>
        <v>1.7746253200328352</v>
      </c>
      <c r="AV57" s="5">
        <f t="shared" si="160"/>
        <v>1.650201942191835</v>
      </c>
      <c r="AW57" s="173">
        <f t="shared" si="103"/>
        <v>0.38887451510518733</v>
      </c>
      <c r="AX57" s="173">
        <f t="shared" si="161"/>
        <v>12.548691994901338</v>
      </c>
      <c r="AY57" s="173">
        <f t="shared" si="162"/>
        <v>0.55021015310788157</v>
      </c>
      <c r="AZ57" s="173">
        <f t="shared" si="104"/>
        <v>22.807089116803109</v>
      </c>
      <c r="BA57" s="460">
        <f t="shared" si="163"/>
        <v>2.4466838951030381</v>
      </c>
      <c r="BB57" s="5">
        <f t="shared" si="164"/>
        <v>0.77201085567633487</v>
      </c>
      <c r="BC57" s="5"/>
      <c r="BD57" s="173">
        <f t="shared" si="105"/>
        <v>0.97195572245674644</v>
      </c>
      <c r="BE57" s="173">
        <f t="shared" si="165"/>
        <v>0.81270469952565916</v>
      </c>
      <c r="BF57" s="173"/>
      <c r="BG57" s="528">
        <f t="shared" si="166"/>
        <v>3.7787917056656635E-2</v>
      </c>
      <c r="BH57" s="528">
        <f t="shared" si="167"/>
        <v>0.84421381953118591</v>
      </c>
      <c r="BI57" s="528">
        <f t="shared" si="168"/>
        <v>0.32930651149137086</v>
      </c>
      <c r="BJ57" s="528">
        <f t="shared" si="169"/>
        <v>9.8163372668131257E-2</v>
      </c>
      <c r="BK57">
        <f t="shared" si="170"/>
        <v>1.0757940042796026E-2</v>
      </c>
      <c r="BL57" s="460">
        <f t="shared" si="106"/>
        <v>340.06445153416689</v>
      </c>
      <c r="BM57" s="528">
        <f t="shared" si="171"/>
        <v>0.99934033319549698</v>
      </c>
      <c r="BN57" s="460">
        <f t="shared" si="107"/>
        <v>999.34033319549701</v>
      </c>
      <c r="BO57" s="528">
        <f t="shared" si="172"/>
        <v>0.45135999999999998</v>
      </c>
      <c r="BP57" s="528"/>
      <c r="BR57" s="460">
        <f t="shared" si="109"/>
        <v>451.35999999999996</v>
      </c>
      <c r="BS57" s="528">
        <f t="shared" si="173"/>
        <v>2.8340937792492478E-2</v>
      </c>
      <c r="BT57" s="528">
        <f t="shared" si="174"/>
        <v>1.9814667858932759E-2</v>
      </c>
      <c r="BU57" s="528">
        <f t="shared" si="175"/>
        <v>0.18720000000000001</v>
      </c>
      <c r="BV57" s="528">
        <f t="shared" si="176"/>
        <v>0.2478678491194363</v>
      </c>
      <c r="BW57" s="528">
        <f t="shared" si="177"/>
        <v>0.50194767979605348</v>
      </c>
      <c r="BX57" s="460">
        <f t="shared" si="110"/>
        <v>749.81552891548972</v>
      </c>
      <c r="BY57" s="173">
        <f t="shared" si="45"/>
        <v>2.5405803136451537</v>
      </c>
      <c r="BZ57" s="5">
        <f t="shared" si="111"/>
        <v>12.48</v>
      </c>
      <c r="CA57" s="173">
        <f t="shared" si="112"/>
        <v>0.83086004264847124</v>
      </c>
      <c r="CB57" s="5">
        <f t="shared" si="113"/>
        <v>83.086004264847119</v>
      </c>
      <c r="CE57" s="562">
        <f t="shared" si="178"/>
        <v>-50</v>
      </c>
      <c r="CF57">
        <f t="shared" si="179"/>
        <v>-50</v>
      </c>
      <c r="CG57" s="173">
        <f t="shared" si="180"/>
        <v>0.58387413520979126</v>
      </c>
      <c r="CI57" s="170">
        <v>52</v>
      </c>
      <c r="CJ57" s="217">
        <f t="shared" si="114"/>
        <v>0.52</v>
      </c>
      <c r="CK57" s="217"/>
      <c r="CL57" s="217">
        <f t="shared" si="49"/>
        <v>12.48</v>
      </c>
      <c r="CM57" s="541">
        <f t="shared" si="50"/>
        <v>24</v>
      </c>
      <c r="CN57" s="172">
        <f t="shared" si="51"/>
        <v>16.3415</v>
      </c>
      <c r="CO57" s="443">
        <f t="shared" si="52"/>
        <v>40.341499999999996</v>
      </c>
      <c r="CP57" s="443"/>
      <c r="CQ57" s="217">
        <f t="shared" si="53"/>
        <v>0.40507913686898112</v>
      </c>
      <c r="CR57" s="172">
        <f t="shared" si="54"/>
        <v>54.360539956785601</v>
      </c>
      <c r="CS57" s="172">
        <f t="shared" si="115"/>
        <v>12.48</v>
      </c>
      <c r="CT57" s="217">
        <f t="shared" si="55"/>
        <v>2.2650224981994</v>
      </c>
      <c r="CU57" s="217">
        <f t="shared" si="56"/>
        <v>24</v>
      </c>
      <c r="CV57" s="217">
        <f t="shared" si="57"/>
        <v>2.250439649272117</v>
      </c>
      <c r="CW57" s="172">
        <f t="shared" si="58"/>
        <v>220.50965112000674</v>
      </c>
      <c r="CX57" s="172">
        <f t="shared" si="59"/>
        <v>24</v>
      </c>
      <c r="CY57" s="217">
        <f t="shared" si="60"/>
        <v>2.567399565523361</v>
      </c>
      <c r="CZ57" s="217">
        <f t="shared" si="61"/>
        <v>1.0697498189680672</v>
      </c>
      <c r="DA57" s="217">
        <f t="shared" si="62"/>
        <v>1.5710917391447305</v>
      </c>
      <c r="DB57" s="197">
        <f t="shared" si="63"/>
        <v>350</v>
      </c>
      <c r="DC57" s="443">
        <f t="shared" si="116"/>
        <v>350</v>
      </c>
      <c r="DE57" s="217">
        <f t="shared" si="64"/>
        <v>2.7776855099587272</v>
      </c>
      <c r="DF57" s="173">
        <f t="shared" si="65"/>
        <v>1.6997738946600542</v>
      </c>
      <c r="DG57" s="173">
        <f t="shared" si="66"/>
        <v>0.55110977087390545</v>
      </c>
      <c r="DH57" s="173"/>
      <c r="DI57" s="173">
        <f t="shared" si="67"/>
        <v>1.3598642855443031</v>
      </c>
      <c r="DJ57" s="545">
        <f t="shared" si="117"/>
        <v>515.96999999999991</v>
      </c>
      <c r="DK57" s="528">
        <f t="shared" si="68"/>
        <v>0.35273368606701955</v>
      </c>
      <c r="DM57" s="173">
        <f t="shared" si="69"/>
        <v>2.6981475126464081</v>
      </c>
      <c r="DN57" s="173">
        <f t="shared" si="70"/>
        <v>2.6981475126464081</v>
      </c>
      <c r="DO57" s="173">
        <f t="shared" si="71"/>
        <v>1.5525372521660634</v>
      </c>
      <c r="DQ57" s="545">
        <f t="shared" si="72"/>
        <v>520</v>
      </c>
      <c r="DR57" s="460">
        <f t="shared" si="73"/>
        <v>350</v>
      </c>
      <c r="DT57">
        <f t="shared" si="74"/>
        <v>520</v>
      </c>
      <c r="DU57" s="460">
        <f t="shared" si="75"/>
        <v>350</v>
      </c>
      <c r="DV57" s="460"/>
      <c r="DW57" s="5">
        <f t="shared" si="118"/>
        <v>2.8571428571428572</v>
      </c>
      <c r="DX57" s="5">
        <f t="shared" si="76"/>
        <v>1.1242281302693367</v>
      </c>
      <c r="DY57" s="5">
        <f t="shared" si="119"/>
        <v>1.7329147268735206</v>
      </c>
      <c r="DZ57" s="5">
        <f t="shared" si="77"/>
        <v>1.6511014978101206</v>
      </c>
      <c r="EA57" s="173">
        <f t="shared" si="120"/>
        <v>0.3934798455942678</v>
      </c>
      <c r="EB57" s="173">
        <f t="shared" si="78"/>
        <v>12.74</v>
      </c>
      <c r="EC57" s="173">
        <f t="shared" si="79"/>
        <v>0.54576636213424379</v>
      </c>
      <c r="ED57" s="173">
        <f t="shared" si="121"/>
        <v>23.343322131799511</v>
      </c>
      <c r="EE57" s="460">
        <f t="shared" si="80"/>
        <v>2.435827615583563</v>
      </c>
      <c r="EF57" s="5">
        <f t="shared" si="81"/>
        <v>0.75092971497852556</v>
      </c>
      <c r="EG57" s="5"/>
      <c r="EH57" s="173">
        <f t="shared" si="122"/>
        <v>0.97716141210587937</v>
      </c>
      <c r="EI57" s="173">
        <f t="shared" si="82"/>
        <v>0.80919560375441923</v>
      </c>
      <c r="EJ57" s="173"/>
      <c r="EK57" s="528">
        <f t="shared" si="83"/>
        <v>3.8193777012350251E-2</v>
      </c>
      <c r="EL57" s="528">
        <f t="shared" si="84"/>
        <v>1.0476554346087161</v>
      </c>
      <c r="EM57" s="528">
        <f t="shared" si="85"/>
        <v>6.9999999999999993E-2</v>
      </c>
      <c r="EN57" s="528">
        <f t="shared" si="86"/>
        <v>9.968049311281249E-2</v>
      </c>
      <c r="EO57">
        <f t="shared" si="87"/>
        <v>1.0800000000000001E-2</v>
      </c>
      <c r="EP57" s="460">
        <f t="shared" si="123"/>
        <v>80.8</v>
      </c>
      <c r="EQ57" s="528">
        <f t="shared" si="88"/>
        <v>1.2883334462455707</v>
      </c>
      <c r="ER57" s="460">
        <f t="shared" si="124"/>
        <v>1288.3334462455707</v>
      </c>
      <c r="ES57" s="528">
        <f t="shared" si="125"/>
        <v>0.45135999999999998</v>
      </c>
      <c r="ET57" s="528"/>
      <c r="EV57" s="460">
        <f t="shared" si="126"/>
        <v>451.35999999999996</v>
      </c>
      <c r="EW57" s="528">
        <f t="shared" si="89"/>
        <v>2.8645332759262686E-2</v>
      </c>
      <c r="EX57" s="528">
        <f t="shared" si="90"/>
        <v>1.964392575406437E-2</v>
      </c>
      <c r="EY57" s="528">
        <f t="shared" si="91"/>
        <v>1.3702642883660121</v>
      </c>
      <c r="EZ57" s="528">
        <f t="shared" si="92"/>
        <v>1.4356892384248656</v>
      </c>
      <c r="FA57" s="528">
        <f t="shared" si="93"/>
        <v>0.50959999999999994</v>
      </c>
      <c r="FB57" s="460">
        <f t="shared" si="127"/>
        <v>1945.2892384248655</v>
      </c>
      <c r="FC57" s="173">
        <f t="shared" si="128"/>
        <v>3.6849826846704361</v>
      </c>
      <c r="FD57" s="5">
        <f t="shared" si="129"/>
        <v>12.48</v>
      </c>
      <c r="FE57" s="173">
        <f t="shared" si="130"/>
        <v>0.77203918144836758</v>
      </c>
      <c r="FF57" s="5">
        <f t="shared" si="131"/>
        <v>77.203918144836763</v>
      </c>
      <c r="FI57" s="562">
        <f t="shared" si="94"/>
        <v>-50</v>
      </c>
      <c r="FJ57">
        <f t="shared" si="95"/>
        <v>-50</v>
      </c>
      <c r="FL57">
        <f t="shared" si="181"/>
        <v>0.57788552423354222</v>
      </c>
    </row>
    <row r="58" spans="5:168">
      <c r="E58" s="170">
        <v>53</v>
      </c>
      <c r="F58" s="217">
        <f t="shared" si="182"/>
        <v>0.53</v>
      </c>
      <c r="G58" s="217"/>
      <c r="H58" s="217">
        <f t="shared" si="132"/>
        <v>12.72</v>
      </c>
      <c r="I58" s="541">
        <f t="shared" si="133"/>
        <v>23.904960715672004</v>
      </c>
      <c r="J58" s="172">
        <f t="shared" si="134"/>
        <v>16.359620828070888</v>
      </c>
      <c r="K58" s="172">
        <f t="shared" si="135"/>
        <v>40.359620828070888</v>
      </c>
      <c r="L58" s="443"/>
      <c r="M58" s="217">
        <f t="shared" si="136"/>
        <v>0.40630385597689317</v>
      </c>
      <c r="N58" s="172">
        <f t="shared" si="137"/>
        <v>54.308977040843168</v>
      </c>
      <c r="O58" s="172">
        <f t="shared" si="98"/>
        <v>12.72</v>
      </c>
      <c r="P58" s="217">
        <f t="shared" si="138"/>
        <v>2.2628740433684653</v>
      </c>
      <c r="Q58" s="217">
        <f t="shared" si="139"/>
        <v>24</v>
      </c>
      <c r="R58" s="217">
        <f t="shared" si="140"/>
        <v>2.248305026794835</v>
      </c>
      <c r="S58" s="172">
        <f t="shared" si="141"/>
        <v>214.81981074694966</v>
      </c>
      <c r="T58" s="172">
        <f t="shared" si="142"/>
        <v>24</v>
      </c>
      <c r="U58" s="217">
        <f t="shared" si="143"/>
        <v>2.6767992571625951</v>
      </c>
      <c r="V58" s="217">
        <f t="shared" si="11"/>
        <v>1.1197672688111533</v>
      </c>
      <c r="W58" s="217">
        <f t="shared" si="144"/>
        <v>1.6362232873818023</v>
      </c>
      <c r="X58" s="197">
        <f t="shared" si="145"/>
        <v>350</v>
      </c>
      <c r="Y58" s="443">
        <f t="shared" si="14"/>
        <v>338.29607401990762</v>
      </c>
      <c r="AA58" s="217">
        <f t="shared" si="146"/>
        <v>2.7750450234387358</v>
      </c>
      <c r="AB58" s="173">
        <f t="shared" si="147"/>
        <v>1.6962771036093549</v>
      </c>
      <c r="AC58" s="173">
        <f t="shared" si="148"/>
        <v>0.54945321169801831</v>
      </c>
      <c r="AD58" s="173"/>
      <c r="AE58" s="173">
        <f t="shared" si="149"/>
        <v>1.3583580240497941</v>
      </c>
      <c r="AF58" s="545">
        <f t="shared" si="150"/>
        <v>526.47565378491981</v>
      </c>
      <c r="AG58" s="528">
        <f t="shared" si="151"/>
        <v>0.35234297857158275</v>
      </c>
      <c r="AI58" s="173">
        <f t="shared" si="152"/>
        <v>2.725477558037114</v>
      </c>
      <c r="AJ58" s="173">
        <f t="shared" si="153"/>
        <v>2.725477558037114</v>
      </c>
      <c r="AK58" s="173">
        <f t="shared" si="154"/>
        <v>1.572781730233253</v>
      </c>
      <c r="AM58" s="545">
        <f t="shared" si="155"/>
        <v>530</v>
      </c>
      <c r="AN58" s="460">
        <f t="shared" si="156"/>
        <v>338.29607401990762</v>
      </c>
      <c r="AP58">
        <f t="shared" si="157"/>
        <v>530</v>
      </c>
      <c r="AQ58" s="460">
        <f t="shared" si="158"/>
        <v>338.29607401990762</v>
      </c>
      <c r="AR58" s="460"/>
      <c r="AS58" s="5">
        <f t="shared" si="101"/>
        <v>2.9559905561929556</v>
      </c>
      <c r="AT58" s="5">
        <f t="shared" si="159"/>
        <v>1.1401305320908983</v>
      </c>
      <c r="AU58" s="5">
        <f t="shared" si="102"/>
        <v>1.8158600241020573</v>
      </c>
      <c r="AV58" s="5">
        <f t="shared" si="160"/>
        <v>1.6659784396473083</v>
      </c>
      <c r="AW58" s="173">
        <f t="shared" si="103"/>
        <v>0.38570168287657919</v>
      </c>
      <c r="AX58" s="173">
        <f t="shared" si="161"/>
        <v>12.564701710229459</v>
      </c>
      <c r="AY58" s="173">
        <f t="shared" si="162"/>
        <v>0.55836446846615995</v>
      </c>
      <c r="AZ58" s="173">
        <f t="shared" si="104"/>
        <v>22.502688512299116</v>
      </c>
      <c r="BA58" s="460">
        <f t="shared" si="163"/>
        <v>2.5177882583674007</v>
      </c>
      <c r="BB58" s="5">
        <f t="shared" si="164"/>
        <v>0.80519338577548083</v>
      </c>
      <c r="BC58" s="5"/>
      <c r="BD58" s="173">
        <f t="shared" si="105"/>
        <v>0.97725465962724134</v>
      </c>
      <c r="BE58" s="173">
        <f t="shared" si="165"/>
        <v>0.8226166200130588</v>
      </c>
      <c r="BF58" s="173"/>
      <c r="BG58" s="528">
        <f t="shared" si="166"/>
        <v>3.8201066790526213E-2</v>
      </c>
      <c r="BH58" s="528">
        <f t="shared" si="167"/>
        <v>0.83727700456118059</v>
      </c>
      <c r="BI58" s="528">
        <f t="shared" si="168"/>
        <v>0.32347817438847842</v>
      </c>
      <c r="BJ58" s="528">
        <f t="shared" si="169"/>
        <v>9.6433773526535566E-2</v>
      </c>
      <c r="BK58">
        <f t="shared" si="170"/>
        <v>1.0757232322052402E-2</v>
      </c>
      <c r="BL58" s="460">
        <f t="shared" si="106"/>
        <v>334.23540671053081</v>
      </c>
      <c r="BM58" s="528">
        <f t="shared" si="171"/>
        <v>0.99122304167402975</v>
      </c>
      <c r="BN58" s="460">
        <f t="shared" si="107"/>
        <v>991.22304167402979</v>
      </c>
      <c r="BO58" s="528">
        <f t="shared" si="172"/>
        <v>0.46004</v>
      </c>
      <c r="BP58" s="528"/>
      <c r="BR58" s="460">
        <f t="shared" si="109"/>
        <v>460.04</v>
      </c>
      <c r="BS58" s="528">
        <f t="shared" si="173"/>
        <v>2.8650800092894658E-2</v>
      </c>
      <c r="BT58" s="528">
        <f t="shared" si="174"/>
        <v>2.0300943105651274E-2</v>
      </c>
      <c r="BU58" s="528">
        <f t="shared" si="175"/>
        <v>0.1908</v>
      </c>
      <c r="BV58" s="528">
        <f t="shared" si="176"/>
        <v>0.25248894347993311</v>
      </c>
      <c r="BW58" s="528">
        <f t="shared" si="177"/>
        <v>0.50258806840917825</v>
      </c>
      <c r="BX58" s="460">
        <f t="shared" si="110"/>
        <v>755.0770118891113</v>
      </c>
      <c r="BY58" s="173">
        <f t="shared" si="45"/>
        <v>2.5405754602736721</v>
      </c>
      <c r="BZ58" s="5">
        <f t="shared" si="111"/>
        <v>12.72</v>
      </c>
      <c r="CA58" s="173">
        <f t="shared" si="112"/>
        <v>0.83352033696977568</v>
      </c>
      <c r="CB58" s="5">
        <f t="shared" si="113"/>
        <v>83.352033696977571</v>
      </c>
      <c r="CE58" s="562">
        <f t="shared" si="178"/>
        <v>-50</v>
      </c>
      <c r="CF58">
        <f t="shared" si="179"/>
        <v>-50</v>
      </c>
      <c r="CG58" s="173">
        <f t="shared" si="180"/>
        <v>0.58525471123694317</v>
      </c>
      <c r="CI58" s="170">
        <v>53</v>
      </c>
      <c r="CJ58" s="217">
        <f t="shared" si="114"/>
        <v>0.53</v>
      </c>
      <c r="CK58" s="217"/>
      <c r="CL58" s="217">
        <f t="shared" si="49"/>
        <v>12.72</v>
      </c>
      <c r="CM58" s="541">
        <f t="shared" si="50"/>
        <v>24</v>
      </c>
      <c r="CN58" s="172">
        <f t="shared" si="51"/>
        <v>16.3415</v>
      </c>
      <c r="CO58" s="443">
        <f t="shared" si="52"/>
        <v>40.341499999999996</v>
      </c>
      <c r="CP58" s="443"/>
      <c r="CQ58" s="217">
        <f t="shared" si="53"/>
        <v>0.40507913686898112</v>
      </c>
      <c r="CR58" s="172">
        <f t="shared" si="54"/>
        <v>54.360539956785601</v>
      </c>
      <c r="CS58" s="172">
        <f t="shared" si="115"/>
        <v>12.72</v>
      </c>
      <c r="CT58" s="217">
        <f t="shared" si="55"/>
        <v>2.2650224981994</v>
      </c>
      <c r="CU58" s="217">
        <f t="shared" si="56"/>
        <v>24</v>
      </c>
      <c r="CV58" s="217">
        <f t="shared" si="57"/>
        <v>2.250439649272117</v>
      </c>
      <c r="CW58" s="172">
        <f t="shared" si="58"/>
        <v>215.67354286992747</v>
      </c>
      <c r="CX58" s="172">
        <f t="shared" si="59"/>
        <v>24</v>
      </c>
      <c r="CY58" s="217">
        <f t="shared" si="60"/>
        <v>2.6167726340911179</v>
      </c>
      <c r="CZ58" s="217">
        <f t="shared" si="61"/>
        <v>1.0903219308712992</v>
      </c>
      <c r="DA58" s="217">
        <f t="shared" si="62"/>
        <v>1.6013050418205907</v>
      </c>
      <c r="DB58" s="197">
        <f t="shared" si="63"/>
        <v>350</v>
      </c>
      <c r="DC58" s="443">
        <f t="shared" si="116"/>
        <v>350</v>
      </c>
      <c r="DE58" s="217">
        <f t="shared" si="64"/>
        <v>2.7776855099587272</v>
      </c>
      <c r="DF58" s="173">
        <f t="shared" si="65"/>
        <v>1.6997738946600542</v>
      </c>
      <c r="DG58" s="173">
        <f t="shared" si="66"/>
        <v>0.55110977087390545</v>
      </c>
      <c r="DH58" s="173"/>
      <c r="DI58" s="173">
        <f t="shared" si="67"/>
        <v>1.3598642855443031</v>
      </c>
      <c r="DJ58" s="545">
        <f t="shared" si="117"/>
        <v>525.89249999999993</v>
      </c>
      <c r="DK58" s="528">
        <f t="shared" si="68"/>
        <v>0.35273368606701955</v>
      </c>
      <c r="DM58" s="173">
        <f t="shared" si="69"/>
        <v>2.7239676943752471</v>
      </c>
      <c r="DN58" s="173">
        <f t="shared" si="70"/>
        <v>2.7239676943752471</v>
      </c>
      <c r="DO58" s="173">
        <f t="shared" si="71"/>
        <v>1.5716633127059443</v>
      </c>
      <c r="DQ58" s="545">
        <f t="shared" si="72"/>
        <v>530</v>
      </c>
      <c r="DR58" s="460">
        <f t="shared" si="73"/>
        <v>350</v>
      </c>
      <c r="DT58">
        <f t="shared" si="74"/>
        <v>530</v>
      </c>
      <c r="DU58" s="460">
        <f t="shared" si="75"/>
        <v>350</v>
      </c>
      <c r="DV58" s="460"/>
      <c r="DW58" s="5">
        <f t="shared" si="118"/>
        <v>2.8571428571428572</v>
      </c>
      <c r="DX58" s="5">
        <f t="shared" si="76"/>
        <v>1.1349865393230198</v>
      </c>
      <c r="DY58" s="5">
        <f t="shared" si="119"/>
        <v>1.7221563178198374</v>
      </c>
      <c r="DZ58" s="5">
        <f t="shared" si="77"/>
        <v>1.6669018721508106</v>
      </c>
      <c r="EA58" s="173">
        <f t="shared" si="120"/>
        <v>0.39724528876305693</v>
      </c>
      <c r="EB58" s="173">
        <f t="shared" si="78"/>
        <v>12.984999999999999</v>
      </c>
      <c r="EC58" s="173">
        <f t="shared" si="79"/>
        <v>0.54756843440747827</v>
      </c>
      <c r="ED58" s="173">
        <f t="shared" si="121"/>
        <v>23.713930869756982</v>
      </c>
      <c r="EE58" s="460">
        <f t="shared" si="80"/>
        <v>2.5064286076716686</v>
      </c>
      <c r="EF58" s="5">
        <f t="shared" si="81"/>
        <v>0.76061904037042805</v>
      </c>
      <c r="EG58" s="5"/>
      <c r="EH58" s="173">
        <f t="shared" si="122"/>
        <v>0.99122147586061404</v>
      </c>
      <c r="EI58" s="173">
        <f t="shared" si="82"/>
        <v>0.81439943930031322</v>
      </c>
      <c r="EJ58" s="173"/>
      <c r="EK58" s="528">
        <f t="shared" si="83"/>
        <v>3.9300800568291758E-2</v>
      </c>
      <c r="EL58" s="528">
        <f t="shared" si="84"/>
        <v>1.0576810738979008</v>
      </c>
      <c r="EM58" s="528">
        <f t="shared" si="85"/>
        <v>6.9999999999999993E-2</v>
      </c>
      <c r="EN58" s="528">
        <f t="shared" si="86"/>
        <v>9.968049311281249E-2</v>
      </c>
      <c r="EO58">
        <f t="shared" si="87"/>
        <v>1.0800000000000001E-2</v>
      </c>
      <c r="EP58" s="460">
        <f t="shared" si="123"/>
        <v>80.8</v>
      </c>
      <c r="EQ58" s="528">
        <f t="shared" si="88"/>
        <v>1.3002148209824314</v>
      </c>
      <c r="ER58" s="460">
        <f t="shared" si="124"/>
        <v>1300.2148209824313</v>
      </c>
      <c r="ES58" s="528">
        <f t="shared" si="125"/>
        <v>0.46004</v>
      </c>
      <c r="ET58" s="528"/>
      <c r="EV58" s="460">
        <f t="shared" si="126"/>
        <v>460.04</v>
      </c>
      <c r="EW58" s="528">
        <f t="shared" si="89"/>
        <v>2.9475600426218815E-2</v>
      </c>
      <c r="EX58" s="528">
        <f t="shared" si="90"/>
        <v>1.9897393401979935E-2</v>
      </c>
      <c r="EY58" s="528">
        <f t="shared" si="91"/>
        <v>1.4032821366513388</v>
      </c>
      <c r="EZ58" s="528">
        <f t="shared" si="92"/>
        <v>1.4703121459991007</v>
      </c>
      <c r="FA58" s="528">
        <f t="shared" si="93"/>
        <v>0.51940000000000008</v>
      </c>
      <c r="FB58" s="460">
        <f t="shared" si="127"/>
        <v>1989.7121459991008</v>
      </c>
      <c r="FC58" s="173">
        <f t="shared" si="128"/>
        <v>3.7499669669815319</v>
      </c>
      <c r="FD58" s="5">
        <f t="shared" si="129"/>
        <v>12.72</v>
      </c>
      <c r="FE58" s="173">
        <f t="shared" si="130"/>
        <v>0.77231484589499511</v>
      </c>
      <c r="FF58" s="5">
        <f t="shared" si="131"/>
        <v>77.231484589499516</v>
      </c>
      <c r="FI58" s="562">
        <f t="shared" si="94"/>
        <v>-50</v>
      </c>
      <c r="FJ58">
        <f t="shared" si="95"/>
        <v>-50</v>
      </c>
      <c r="FL58">
        <f t="shared" si="181"/>
        <v>0.58341565525278372</v>
      </c>
    </row>
    <row r="59" spans="5:168">
      <c r="E59" s="170">
        <v>54</v>
      </c>
      <c r="F59" s="217">
        <f t="shared" si="182"/>
        <v>0.54</v>
      </c>
      <c r="G59" s="217"/>
      <c r="H59" s="217">
        <f t="shared" si="132"/>
        <v>12.96</v>
      </c>
      <c r="I59" s="541">
        <f t="shared" si="133"/>
        <v>23.902546407208316</v>
      </c>
      <c r="J59" s="172">
        <f t="shared" si="134"/>
        <v>16.360081156332928</v>
      </c>
      <c r="K59" s="172">
        <f t="shared" si="135"/>
        <v>40.360081156332924</v>
      </c>
      <c r="L59" s="443"/>
      <c r="M59" s="217">
        <f t="shared" si="136"/>
        <v>0.40633073664474501</v>
      </c>
      <c r="N59" s="172">
        <f t="shared" si="137"/>
        <v>54.307084710672164</v>
      </c>
      <c r="O59" s="172">
        <f t="shared" si="98"/>
        <v>12.96</v>
      </c>
      <c r="P59" s="217">
        <f t="shared" si="138"/>
        <v>2.2627951962780068</v>
      </c>
      <c r="Q59" s="217">
        <f t="shared" si="139"/>
        <v>24</v>
      </c>
      <c r="R59" s="217">
        <f t="shared" si="140"/>
        <v>2.248226687344018</v>
      </c>
      <c r="S59" s="172">
        <f t="shared" si="141"/>
        <v>210.16012581251471</v>
      </c>
      <c r="T59" s="172">
        <f t="shared" si="142"/>
        <v>24</v>
      </c>
      <c r="U59" s="217">
        <f t="shared" si="143"/>
        <v>2.7274283927828495</v>
      </c>
      <c r="V59" s="217">
        <f t="shared" si="11"/>
        <v>1.141061854380643</v>
      </c>
      <c r="W59" s="217">
        <f t="shared" si="144"/>
        <v>1.667123999398421</v>
      </c>
      <c r="X59" s="197">
        <f t="shared" si="145"/>
        <v>350</v>
      </c>
      <c r="Y59" s="443">
        <f t="shared" si="14"/>
        <v>332.42626905639486</v>
      </c>
      <c r="AA59" s="217">
        <f t="shared" si="146"/>
        <v>2.7749774967071081</v>
      </c>
      <c r="AB59" s="173">
        <f t="shared" si="147"/>
        <v>1.6961880996738972</v>
      </c>
      <c r="AC59" s="173">
        <f t="shared" si="148"/>
        <v>0.54941101234609879</v>
      </c>
      <c r="AD59" s="173"/>
      <c r="AE59" s="173">
        <f t="shared" si="149"/>
        <v>1.358319803543278</v>
      </c>
      <c r="AF59" s="545">
        <f t="shared" si="150"/>
        <v>536.42425020839744</v>
      </c>
      <c r="AG59" s="528">
        <f t="shared" si="151"/>
        <v>0.3523330645968647</v>
      </c>
      <c r="AI59" s="173">
        <f t="shared" si="152"/>
        <v>2.7511081626991341</v>
      </c>
      <c r="AJ59" s="173">
        <f t="shared" si="153"/>
        <v>2.7511081626991341</v>
      </c>
      <c r="AK59" s="173">
        <f t="shared" si="154"/>
        <v>1.5917673633162308</v>
      </c>
      <c r="AM59" s="545">
        <f t="shared" si="155"/>
        <v>540</v>
      </c>
      <c r="AN59" s="460">
        <f t="shared" si="156"/>
        <v>332.42626905639486</v>
      </c>
      <c r="AP59">
        <f t="shared" si="157"/>
        <v>540</v>
      </c>
      <c r="AQ59" s="460">
        <f t="shared" si="158"/>
        <v>332.42626905639486</v>
      </c>
      <c r="AR59" s="460"/>
      <c r="AS59" s="5">
        <f t="shared" si="101"/>
        <v>3.008185853779064</v>
      </c>
      <c r="AT59" s="5">
        <f t="shared" si="159"/>
        <v>1.1509686523898894</v>
      </c>
      <c r="AU59" s="5">
        <f t="shared" si="102"/>
        <v>1.8572172013891746</v>
      </c>
      <c r="AV59" s="5">
        <f t="shared" si="160"/>
        <v>1.6815981145877081</v>
      </c>
      <c r="AW59" s="173">
        <f t="shared" si="103"/>
        <v>0.3826122149148376</v>
      </c>
      <c r="AX59" s="173">
        <f t="shared" si="161"/>
        <v>12.580000855601524</v>
      </c>
      <c r="AY59" s="173">
        <f t="shared" si="162"/>
        <v>0.56644994179535946</v>
      </c>
      <c r="AZ59" s="173">
        <f t="shared" si="104"/>
        <v>22.208495274497324</v>
      </c>
      <c r="BA59" s="460">
        <f t="shared" si="163"/>
        <v>2.5896794678772515</v>
      </c>
      <c r="BB59" s="5">
        <f t="shared" si="164"/>
        <v>0.83915518594931748</v>
      </c>
      <c r="BC59" s="5"/>
      <c r="BD59" s="173">
        <f t="shared" si="105"/>
        <v>0.9824861875818014</v>
      </c>
      <c r="BE59" s="173">
        <f t="shared" si="165"/>
        <v>0.8324379833191391</v>
      </c>
      <c r="BF59" s="173"/>
      <c r="BG59" s="528">
        <f t="shared" si="166"/>
        <v>3.8611164351560909E-2</v>
      </c>
      <c r="BH59" s="528">
        <f t="shared" si="167"/>
        <v>0.83049600907477494</v>
      </c>
      <c r="BI59" s="528">
        <f t="shared" si="168"/>
        <v>0.3178333729238238</v>
      </c>
      <c r="BJ59" s="528">
        <f t="shared" si="169"/>
        <v>9.4762704258248273E-2</v>
      </c>
      <c r="BK59">
        <f t="shared" si="170"/>
        <v>1.0756145883243742E-2</v>
      </c>
      <c r="BL59" s="460">
        <f t="shared" si="106"/>
        <v>328.58951880706752</v>
      </c>
      <c r="BM59" s="528">
        <f t="shared" si="171"/>
        <v>0.98331584405171346</v>
      </c>
      <c r="BN59" s="460">
        <f t="shared" si="107"/>
        <v>983.3158440517135</v>
      </c>
      <c r="BO59" s="528">
        <f t="shared" si="172"/>
        <v>0.46872000000000003</v>
      </c>
      <c r="BP59" s="528"/>
      <c r="BR59" s="460">
        <f t="shared" si="109"/>
        <v>468.72</v>
      </c>
      <c r="BS59" s="528">
        <f t="shared" si="173"/>
        <v>2.8958373263670678E-2</v>
      </c>
      <c r="BT59" s="528">
        <f t="shared" si="174"/>
        <v>2.078858988217306E-2</v>
      </c>
      <c r="BU59" s="528">
        <f t="shared" si="175"/>
        <v>0.19440000000000002</v>
      </c>
      <c r="BV59" s="528">
        <f t="shared" si="176"/>
        <v>0.2571094675172485</v>
      </c>
      <c r="BW59" s="528">
        <f t="shared" si="177"/>
        <v>0.50320003422406101</v>
      </c>
      <c r="BX59" s="460">
        <f t="shared" si="110"/>
        <v>760.30950174130953</v>
      </c>
      <c r="BY59" s="173">
        <f t="shared" si="45"/>
        <v>2.5409348646000902</v>
      </c>
      <c r="BZ59" s="5">
        <f t="shared" si="111"/>
        <v>12.96</v>
      </c>
      <c r="CA59" s="173">
        <f t="shared" si="112"/>
        <v>0.83607860514252652</v>
      </c>
      <c r="CB59" s="5">
        <f t="shared" si="113"/>
        <v>83.60786051425265</v>
      </c>
      <c r="CE59" s="562">
        <f t="shared" si="178"/>
        <v>-50</v>
      </c>
      <c r="CF59">
        <f t="shared" si="179"/>
        <v>-50</v>
      </c>
      <c r="CG59" s="173">
        <f t="shared" si="180"/>
        <v>0.58152462669136396</v>
      </c>
      <c r="CI59" s="170">
        <v>54</v>
      </c>
      <c r="CJ59" s="217">
        <f t="shared" si="114"/>
        <v>0.54</v>
      </c>
      <c r="CK59" s="217"/>
      <c r="CL59" s="217">
        <f t="shared" si="49"/>
        <v>12.96</v>
      </c>
      <c r="CM59" s="541">
        <f t="shared" si="50"/>
        <v>24</v>
      </c>
      <c r="CN59" s="172">
        <f t="shared" si="51"/>
        <v>16.3415</v>
      </c>
      <c r="CO59" s="443">
        <f t="shared" si="52"/>
        <v>40.341499999999996</v>
      </c>
      <c r="CP59" s="443"/>
      <c r="CQ59" s="217">
        <f t="shared" si="53"/>
        <v>0.40507913686898112</v>
      </c>
      <c r="CR59" s="172">
        <f t="shared" si="54"/>
        <v>54.360539956785601</v>
      </c>
      <c r="CS59" s="172">
        <f t="shared" si="115"/>
        <v>12.96</v>
      </c>
      <c r="CT59" s="217">
        <f t="shared" si="55"/>
        <v>2.2650224981994</v>
      </c>
      <c r="CU59" s="217">
        <f t="shared" si="56"/>
        <v>24</v>
      </c>
      <c r="CV59" s="217">
        <f t="shared" si="57"/>
        <v>2.250439649272117</v>
      </c>
      <c r="CW59" s="172">
        <f t="shared" si="58"/>
        <v>211.01662841515562</v>
      </c>
      <c r="CX59" s="172">
        <f t="shared" si="59"/>
        <v>24</v>
      </c>
      <c r="CY59" s="217">
        <f t="shared" si="60"/>
        <v>2.6661457026588748</v>
      </c>
      <c r="CZ59" s="217">
        <f t="shared" si="61"/>
        <v>1.1108940427745313</v>
      </c>
      <c r="DA59" s="217">
        <f t="shared" si="62"/>
        <v>1.6315183444964509</v>
      </c>
      <c r="DB59" s="197">
        <f t="shared" si="63"/>
        <v>350</v>
      </c>
      <c r="DC59" s="443">
        <f t="shared" si="116"/>
        <v>350</v>
      </c>
      <c r="DE59" s="217">
        <f t="shared" si="64"/>
        <v>2.7776855099587272</v>
      </c>
      <c r="DF59" s="173">
        <f t="shared" si="65"/>
        <v>1.6997738946600542</v>
      </c>
      <c r="DG59" s="173">
        <f t="shared" si="66"/>
        <v>0.55110977087390545</v>
      </c>
      <c r="DH59" s="173"/>
      <c r="DI59" s="173">
        <f t="shared" si="67"/>
        <v>1.3598642855443031</v>
      </c>
      <c r="DJ59" s="545">
        <f t="shared" si="117"/>
        <v>535.81499999999983</v>
      </c>
      <c r="DK59" s="528">
        <f t="shared" si="68"/>
        <v>0.35273368606701955</v>
      </c>
      <c r="DM59" s="173">
        <f t="shared" si="69"/>
        <v>2.7495454169735041</v>
      </c>
      <c r="DN59" s="173">
        <f t="shared" si="70"/>
        <v>2.7495454169735041</v>
      </c>
      <c r="DO59" s="173">
        <f t="shared" si="71"/>
        <v>1.5906097738898384</v>
      </c>
      <c r="DQ59" s="545">
        <f t="shared" si="72"/>
        <v>540</v>
      </c>
      <c r="DR59" s="460">
        <f t="shared" si="73"/>
        <v>350</v>
      </c>
      <c r="DT59">
        <f t="shared" si="74"/>
        <v>540</v>
      </c>
      <c r="DU59" s="460">
        <f t="shared" si="75"/>
        <v>350</v>
      </c>
      <c r="DV59" s="460"/>
      <c r="DW59" s="5">
        <f t="shared" si="118"/>
        <v>2.8571428571428572</v>
      </c>
      <c r="DX59" s="5">
        <f t="shared" si="76"/>
        <v>1.1456439237389602</v>
      </c>
      <c r="DY59" s="5">
        <f t="shared" si="119"/>
        <v>1.711498933403897</v>
      </c>
      <c r="DZ59" s="5">
        <f t="shared" si="77"/>
        <v>1.6825538763109289</v>
      </c>
      <c r="EA59" s="173">
        <f t="shared" si="120"/>
        <v>0.40097537330863603</v>
      </c>
      <c r="EB59" s="173">
        <f t="shared" si="78"/>
        <v>13.230000000000002</v>
      </c>
      <c r="EC59" s="173">
        <f t="shared" si="79"/>
        <v>0.54928964656066359</v>
      </c>
      <c r="ED59" s="173">
        <f t="shared" si="121"/>
        <v>24.085653321228001</v>
      </c>
      <c r="EE59" s="460">
        <f t="shared" si="80"/>
        <v>2.577698828412661</v>
      </c>
      <c r="EF59" s="5">
        <f t="shared" si="81"/>
        <v>0.77017452003175357</v>
      </c>
      <c r="EG59" s="5"/>
      <c r="EH59" s="173">
        <f t="shared" si="122"/>
        <v>1.0052153703250677</v>
      </c>
      <c r="EI59" s="173">
        <f t="shared" si="82"/>
        <v>0.81949902818924536</v>
      </c>
      <c r="EJ59" s="173"/>
      <c r="EK59" s="528">
        <f t="shared" si="83"/>
        <v>4.0418317629510522E-2</v>
      </c>
      <c r="EL59" s="528">
        <f t="shared" si="84"/>
        <v>1.0676125694738023</v>
      </c>
      <c r="EM59" s="528">
        <f t="shared" si="85"/>
        <v>6.9999999999999993E-2</v>
      </c>
      <c r="EN59" s="528">
        <f t="shared" si="86"/>
        <v>9.968049311281249E-2</v>
      </c>
      <c r="EO59">
        <f t="shared" si="87"/>
        <v>1.0800000000000001E-2</v>
      </c>
      <c r="EP59" s="460">
        <f t="shared" si="123"/>
        <v>80.8</v>
      </c>
      <c r="EQ59" s="528">
        <f t="shared" si="88"/>
        <v>1.312024209122421</v>
      </c>
      <c r="ER59" s="460">
        <f t="shared" si="124"/>
        <v>1312.0242091224211</v>
      </c>
      <c r="ES59" s="528">
        <f t="shared" si="125"/>
        <v>0.46872000000000003</v>
      </c>
      <c r="ET59" s="528"/>
      <c r="EV59" s="460">
        <f t="shared" si="126"/>
        <v>468.72</v>
      </c>
      <c r="EW59" s="528">
        <f t="shared" si="89"/>
        <v>3.0313738222132888E-2</v>
      </c>
      <c r="EX59" s="528">
        <f t="shared" si="90"/>
        <v>2.0147359716093528E-2</v>
      </c>
      <c r="EY59" s="528">
        <f t="shared" si="91"/>
        <v>1.4364561055293379</v>
      </c>
      <c r="EZ59" s="528">
        <f t="shared" si="92"/>
        <v>1.5051038022023489</v>
      </c>
      <c r="FA59" s="528">
        <f t="shared" si="93"/>
        <v>0.52920000000000011</v>
      </c>
      <c r="FB59" s="460">
        <f t="shared" si="127"/>
        <v>2034.3038022023491</v>
      </c>
      <c r="FC59" s="173">
        <f t="shared" si="128"/>
        <v>3.8150480113247704</v>
      </c>
      <c r="FD59" s="5">
        <f t="shared" si="129"/>
        <v>12.96</v>
      </c>
      <c r="FE59" s="173">
        <f t="shared" si="130"/>
        <v>0.77257603025939203</v>
      </c>
      <c r="FF59" s="5">
        <f t="shared" si="131"/>
        <v>77.257603025939204</v>
      </c>
      <c r="FI59" s="562">
        <f t="shared" si="94"/>
        <v>-50</v>
      </c>
      <c r="FJ59">
        <f t="shared" si="95"/>
        <v>-50</v>
      </c>
      <c r="FL59">
        <f t="shared" si="181"/>
        <v>0.58889385670882499</v>
      </c>
    </row>
    <row r="60" spans="5:168">
      <c r="E60" s="170">
        <v>55</v>
      </c>
      <c r="F60" s="217">
        <f t="shared" si="182"/>
        <v>0.55000000000000004</v>
      </c>
      <c r="G60" s="217"/>
      <c r="H60" s="217">
        <f t="shared" si="132"/>
        <v>13.200000000000001</v>
      </c>
      <c r="I60" s="541">
        <f t="shared" si="133"/>
        <v>23.900106870507599</v>
      </c>
      <c r="J60" s="172">
        <f t="shared" si="134"/>
        <v>16.360546294780036</v>
      </c>
      <c r="K60" s="172">
        <f t="shared" si="135"/>
        <v>40.360546294780036</v>
      </c>
      <c r="L60" s="443"/>
      <c r="M60" s="217">
        <f t="shared" si="136"/>
        <v>0.40635785174672939</v>
      </c>
      <c r="N60" s="172">
        <f t="shared" si="137"/>
        <v>54.305165661354089</v>
      </c>
      <c r="O60" s="172">
        <f t="shared" si="98"/>
        <v>13.200000000000001</v>
      </c>
      <c r="P60" s="217">
        <f t="shared" si="138"/>
        <v>2.2627152358897535</v>
      </c>
      <c r="Q60" s="217">
        <f t="shared" si="139"/>
        <v>24</v>
      </c>
      <c r="R60" s="217">
        <f t="shared" si="140"/>
        <v>2.2481472417631281</v>
      </c>
      <c r="S60" s="172">
        <f t="shared" si="141"/>
        <v>205.66987653566503</v>
      </c>
      <c r="T60" s="172">
        <f t="shared" si="142"/>
        <v>24</v>
      </c>
      <c r="U60" s="217">
        <f t="shared" si="143"/>
        <v>2.7780632105492806</v>
      </c>
      <c r="V60" s="217">
        <f t="shared" si="11"/>
        <v>1.1623643465700868</v>
      </c>
      <c r="W60" s="217">
        <f t="shared" si="144"/>
        <v>1.6980259463803138</v>
      </c>
      <c r="X60" s="197">
        <f t="shared" si="145"/>
        <v>350</v>
      </c>
      <c r="Y60" s="443">
        <f t="shared" si="14"/>
        <v>326.75570900335708</v>
      </c>
      <c r="AA60" s="217">
        <f t="shared" si="146"/>
        <v>2.7749092416773427</v>
      </c>
      <c r="AB60" s="173">
        <f t="shared" si="147"/>
        <v>1.6960981569195523</v>
      </c>
      <c r="AC60" s="173">
        <f t="shared" si="148"/>
        <v>0.54936836612620521</v>
      </c>
      <c r="AD60" s="173"/>
      <c r="AE60" s="173">
        <f t="shared" si="149"/>
        <v>1.3582811858374439</v>
      </c>
      <c r="AF60" s="545">
        <f t="shared" si="150"/>
        <v>546.37356629119222</v>
      </c>
      <c r="AG60" s="528">
        <f t="shared" si="151"/>
        <v>0.35232304759305705</v>
      </c>
      <c r="AI60" s="173">
        <f t="shared" si="152"/>
        <v>2.7765040032924517</v>
      </c>
      <c r="AJ60" s="173">
        <f t="shared" si="153"/>
        <v>2.7780632105492806</v>
      </c>
      <c r="AK60" s="173">
        <f t="shared" si="154"/>
        <v>1.6117340654274506</v>
      </c>
      <c r="AM60" s="545">
        <f t="shared" si="155"/>
        <v>550</v>
      </c>
      <c r="AN60" s="460">
        <f t="shared" si="156"/>
        <v>326.75570900335708</v>
      </c>
      <c r="AP60">
        <f t="shared" si="157"/>
        <v>550</v>
      </c>
      <c r="AQ60">
        <f t="shared" si="158"/>
        <v>326.75570900335708</v>
      </c>
      <c r="AS60" s="5">
        <f t="shared" si="101"/>
        <v>3.0603902929504008</v>
      </c>
      <c r="AT60" s="5">
        <f t="shared" si="159"/>
        <v>1.1623643465700868</v>
      </c>
      <c r="AU60" s="5">
        <f t="shared" si="102"/>
        <v>1.898025946380314</v>
      </c>
      <c r="AV60" s="5">
        <f t="shared" si="160"/>
        <v>1.6980259463803138</v>
      </c>
      <c r="AW60" s="173">
        <f t="shared" si="103"/>
        <v>0.37980918618373261</v>
      </c>
      <c r="AX60" s="173">
        <f t="shared" si="161"/>
        <v>12.608906810979182</v>
      </c>
      <c r="AY60" s="173">
        <f t="shared" si="162"/>
        <v>0.57459691600842755</v>
      </c>
      <c r="AZ60" s="173">
        <f t="shared" si="104"/>
        <v>21.943916613005712</v>
      </c>
      <c r="BA60" s="460">
        <f t="shared" si="163"/>
        <v>2.6637516275564495</v>
      </c>
      <c r="BB60" s="5">
        <f t="shared" si="164"/>
        <v>0.87356452099998616</v>
      </c>
      <c r="BC60" s="5"/>
      <c r="BD60" s="173">
        <f t="shared" si="105"/>
        <v>0.98847167304908756</v>
      </c>
      <c r="BE60" s="173">
        <f t="shared" si="165"/>
        <v>0.8425001645986564</v>
      </c>
      <c r="BF60" s="173"/>
      <c r="BG60" s="528">
        <f t="shared" si="166"/>
        <v>3.9083049936818492E-2</v>
      </c>
      <c r="BH60" s="528">
        <f t="shared" si="167"/>
        <v>0.82433712923584779</v>
      </c>
      <c r="BI60" s="528">
        <f t="shared" si="168"/>
        <v>0.31237985462914869</v>
      </c>
      <c r="BJ60" s="528">
        <f t="shared" si="169"/>
        <v>9.3148379691619113E-2</v>
      </c>
      <c r="BK60">
        <f t="shared" si="170"/>
        <v>1.075504809172842E-2</v>
      </c>
      <c r="BL60" s="460">
        <f t="shared" si="106"/>
        <v>323.13490272087711</v>
      </c>
      <c r="BM60" s="528">
        <f t="shared" si="171"/>
        <v>0.97618597481505986</v>
      </c>
      <c r="BN60" s="460">
        <f t="shared" si="107"/>
        <v>976.18597481505981</v>
      </c>
      <c r="BO60" s="528">
        <f t="shared" si="172"/>
        <v>0.47739999999999999</v>
      </c>
      <c r="BP60" s="528"/>
      <c r="BR60" s="460">
        <f t="shared" si="109"/>
        <v>477.4</v>
      </c>
      <c r="BS60" s="528">
        <f t="shared" si="173"/>
        <v>2.9312287452613866E-2</v>
      </c>
      <c r="BT60" s="528">
        <f t="shared" si="174"/>
        <v>2.1294195820462894E-2</v>
      </c>
      <c r="BU60" s="528">
        <f t="shared" si="175"/>
        <v>0.19800000000000001</v>
      </c>
      <c r="BV60" s="528">
        <f t="shared" si="176"/>
        <v>0.26181198998596844</v>
      </c>
      <c r="BW60" s="528">
        <f t="shared" si="177"/>
        <v>0.50435627243916736</v>
      </c>
      <c r="BX60" s="460">
        <f t="shared" si="110"/>
        <v>766.16826242513582</v>
      </c>
      <c r="BY60" s="173">
        <f t="shared" si="45"/>
        <v>2.5428891399610727</v>
      </c>
      <c r="BZ60" s="5">
        <f t="shared" si="111"/>
        <v>13.200000000000001</v>
      </c>
      <c r="CA60" s="173">
        <f t="shared" si="112"/>
        <v>0.83847379490805707</v>
      </c>
      <c r="CB60" s="5">
        <f t="shared" si="113"/>
        <v>83.847379490805707</v>
      </c>
      <c r="CE60" s="562">
        <f t="shared" si="178"/>
        <v>-50</v>
      </c>
      <c r="CF60">
        <f t="shared" si="179"/>
        <v>-50</v>
      </c>
      <c r="CG60" s="173">
        <f t="shared" si="180"/>
        <v>0.57782892300591149</v>
      </c>
      <c r="CI60" s="170">
        <v>55</v>
      </c>
      <c r="CJ60" s="217">
        <f t="shared" si="114"/>
        <v>0.55000000000000004</v>
      </c>
      <c r="CK60" s="217"/>
      <c r="CL60" s="217">
        <f t="shared" si="49"/>
        <v>13.200000000000001</v>
      </c>
      <c r="CM60" s="541">
        <f t="shared" si="50"/>
        <v>24</v>
      </c>
      <c r="CN60" s="172">
        <f t="shared" si="51"/>
        <v>16.3415</v>
      </c>
      <c r="CO60" s="443">
        <f t="shared" si="52"/>
        <v>40.341499999999996</v>
      </c>
      <c r="CP60" s="443"/>
      <c r="CQ60" s="217">
        <f t="shared" si="53"/>
        <v>0.40507913686898112</v>
      </c>
      <c r="CR60" s="172">
        <f t="shared" si="54"/>
        <v>54.360539956785601</v>
      </c>
      <c r="CS60" s="172">
        <f t="shared" si="115"/>
        <v>13.200000000000001</v>
      </c>
      <c r="CT60" s="217">
        <f t="shared" si="55"/>
        <v>2.2650224981994</v>
      </c>
      <c r="CU60" s="217">
        <f t="shared" si="56"/>
        <v>24</v>
      </c>
      <c r="CV60" s="217">
        <f t="shared" si="57"/>
        <v>2.250439649272117</v>
      </c>
      <c r="CW60" s="172">
        <f t="shared" si="58"/>
        <v>206.52913426306858</v>
      </c>
      <c r="CX60" s="172">
        <f t="shared" si="59"/>
        <v>24</v>
      </c>
      <c r="CY60" s="217">
        <f t="shared" si="60"/>
        <v>2.7155187712266318</v>
      </c>
      <c r="CZ60" s="217">
        <f t="shared" si="61"/>
        <v>1.1314661546777633</v>
      </c>
      <c r="DA60" s="217">
        <f t="shared" si="62"/>
        <v>1.6617316471723111</v>
      </c>
      <c r="DB60" s="197">
        <f t="shared" si="63"/>
        <v>350</v>
      </c>
      <c r="DC60" s="443">
        <f t="shared" si="116"/>
        <v>350</v>
      </c>
      <c r="DE60" s="217">
        <f t="shared" si="64"/>
        <v>2.7776855099587272</v>
      </c>
      <c r="DF60" s="173">
        <f t="shared" si="65"/>
        <v>1.6997738946600542</v>
      </c>
      <c r="DG60" s="173">
        <f t="shared" si="66"/>
        <v>0.55110977087390545</v>
      </c>
      <c r="DH60" s="173"/>
      <c r="DI60" s="173">
        <f t="shared" si="67"/>
        <v>1.3598642855443031</v>
      </c>
      <c r="DJ60" s="545">
        <f t="shared" si="117"/>
        <v>545.73749999999984</v>
      </c>
      <c r="DK60" s="528">
        <f t="shared" si="68"/>
        <v>0.35273368606701955</v>
      </c>
      <c r="DM60" s="173">
        <f t="shared" si="69"/>
        <v>2.7748873851023212</v>
      </c>
      <c r="DN60" s="173">
        <f t="shared" si="70"/>
        <v>2.7748873851023212</v>
      </c>
      <c r="DO60" s="173">
        <f t="shared" si="71"/>
        <v>1.6093816021334066</v>
      </c>
      <c r="DQ60" s="545">
        <f t="shared" si="72"/>
        <v>550</v>
      </c>
      <c r="DR60" s="460">
        <f t="shared" si="73"/>
        <v>350</v>
      </c>
      <c r="DT60">
        <f t="shared" si="74"/>
        <v>550</v>
      </c>
      <c r="DU60">
        <f t="shared" si="75"/>
        <v>350</v>
      </c>
      <c r="DW60" s="5">
        <f t="shared" si="118"/>
        <v>2.8571428571428572</v>
      </c>
      <c r="DX60" s="5">
        <f t="shared" si="76"/>
        <v>1.1562030771259673</v>
      </c>
      <c r="DY60" s="5">
        <f t="shared" si="119"/>
        <v>1.7009397800168899</v>
      </c>
      <c r="DZ60" s="5">
        <f t="shared" si="77"/>
        <v>1.6980616131336301</v>
      </c>
      <c r="EA60" s="173">
        <f t="shared" si="120"/>
        <v>0.40467107699408855</v>
      </c>
      <c r="EB60" s="173">
        <f t="shared" si="78"/>
        <v>13.474999999999998</v>
      </c>
      <c r="EC60" s="173">
        <f t="shared" si="79"/>
        <v>0.55093223459829088</v>
      </c>
      <c r="ED60" s="173">
        <f t="shared" si="121"/>
        <v>24.458543453761092</v>
      </c>
      <c r="EE60" s="460">
        <f t="shared" si="80"/>
        <v>2.6496320517470084</v>
      </c>
      <c r="EF60" s="5">
        <f t="shared" si="81"/>
        <v>0.77959739917440785</v>
      </c>
      <c r="EG60" s="5"/>
      <c r="EH60" s="173">
        <f t="shared" si="122"/>
        <v>1.0191446238315871</v>
      </c>
      <c r="EI60" s="173">
        <f t="shared" si="82"/>
        <v>0.8244969632143917</v>
      </c>
      <c r="EJ60" s="173"/>
      <c r="EK60" s="528">
        <f t="shared" si="83"/>
        <v>4.1546230571393082E-2</v>
      </c>
      <c r="EL60" s="528">
        <f t="shared" si="84"/>
        <v>1.0774525246687634</v>
      </c>
      <c r="EM60" s="528">
        <f t="shared" si="85"/>
        <v>6.9999999999999993E-2</v>
      </c>
      <c r="EN60" s="528">
        <f t="shared" si="86"/>
        <v>9.968049311281249E-2</v>
      </c>
      <c r="EO60">
        <f t="shared" si="87"/>
        <v>1.0800000000000001E-2</v>
      </c>
      <c r="EP60" s="460">
        <f t="shared" si="123"/>
        <v>80.8</v>
      </c>
      <c r="EQ60" s="528">
        <f t="shared" si="88"/>
        <v>1.3237641150200399</v>
      </c>
      <c r="ER60" s="460">
        <f t="shared" si="124"/>
        <v>1323.76411502004</v>
      </c>
      <c r="ES60" s="528">
        <f t="shared" si="125"/>
        <v>0.47739999999999999</v>
      </c>
      <c r="ET60" s="528"/>
      <c r="EV60" s="460">
        <f t="shared" si="126"/>
        <v>477.4</v>
      </c>
      <c r="EW60" s="528">
        <f t="shared" si="89"/>
        <v>3.115967292854481E-2</v>
      </c>
      <c r="EX60" s="528">
        <f t="shared" si="90"/>
        <v>2.0393857270492619E-2</v>
      </c>
      <c r="EY60" s="528">
        <f t="shared" si="91"/>
        <v>1.469784021379998</v>
      </c>
      <c r="EZ60" s="528">
        <f t="shared" si="92"/>
        <v>1.5400620496576376</v>
      </c>
      <c r="FA60" s="528">
        <f t="shared" si="93"/>
        <v>0.53900000000000003</v>
      </c>
      <c r="FB60" s="460">
        <f t="shared" si="127"/>
        <v>2079.0620496576375</v>
      </c>
      <c r="FC60" s="173">
        <f t="shared" si="128"/>
        <v>3.8802261646776777</v>
      </c>
      <c r="FD60" s="5">
        <f t="shared" si="129"/>
        <v>13.200000000000001</v>
      </c>
      <c r="FE60" s="173">
        <f t="shared" si="130"/>
        <v>0.77282349031758846</v>
      </c>
      <c r="FF60" s="5">
        <f t="shared" si="131"/>
        <v>77.282349031758841</v>
      </c>
      <c r="FI60" s="562">
        <f t="shared" si="94"/>
        <v>-50</v>
      </c>
      <c r="FJ60">
        <f t="shared" si="95"/>
        <v>-50</v>
      </c>
      <c r="FL60">
        <f t="shared" si="181"/>
        <v>0.59432156459677055</v>
      </c>
    </row>
    <row r="61" spans="5:168">
      <c r="E61" s="170">
        <v>56</v>
      </c>
      <c r="F61" s="217">
        <f t="shared" si="182"/>
        <v>0.56000000000000005</v>
      </c>
      <c r="G61" s="217"/>
      <c r="H61" s="217">
        <f t="shared" si="132"/>
        <v>13.440000000000001</v>
      </c>
      <c r="I61" s="541">
        <f t="shared" si="133"/>
        <v>23.898546567427495</v>
      </c>
      <c r="J61" s="172">
        <f t="shared" si="134"/>
        <v>16.360843792641607</v>
      </c>
      <c r="K61" s="172">
        <f t="shared" si="135"/>
        <v>40.360843792641603</v>
      </c>
      <c r="L61" s="443"/>
      <c r="M61" s="217">
        <f t="shared" si="136"/>
        <v>0.40637741716110293</v>
      </c>
      <c r="N61" s="172">
        <f t="shared" si="137"/>
        <v>54.304234910915596</v>
      </c>
      <c r="O61" s="172">
        <f t="shared" si="98"/>
        <v>13.440000000000001</v>
      </c>
      <c r="P61" s="217">
        <f t="shared" si="138"/>
        <v>2.262676454621483</v>
      </c>
      <c r="Q61" s="217">
        <f t="shared" si="139"/>
        <v>24</v>
      </c>
      <c r="R61" s="217">
        <f t="shared" si="140"/>
        <v>2.2481087101795203</v>
      </c>
      <c r="S61" s="172">
        <f t="shared" si="141"/>
        <v>201.34760557308726</v>
      </c>
      <c r="T61" s="172">
        <f t="shared" si="142"/>
        <v>24</v>
      </c>
      <c r="U61" s="217">
        <f t="shared" si="143"/>
        <v>2.8286666786829628</v>
      </c>
      <c r="V61" s="217">
        <f t="shared" si="11"/>
        <v>1.1836145226246906</v>
      </c>
      <c r="W61" s="217">
        <f t="shared" si="144"/>
        <v>1.7289246902749442</v>
      </c>
      <c r="X61" s="197">
        <f t="shared" si="145"/>
        <v>350</v>
      </c>
      <c r="Y61" s="443">
        <f t="shared" si="14"/>
        <v>321.28109289534132</v>
      </c>
      <c r="AA61" s="217">
        <f t="shared" si="146"/>
        <v>2.7748655744933095</v>
      </c>
      <c r="AB61" s="173">
        <f t="shared" si="147"/>
        <v>1.6960406258149858</v>
      </c>
      <c r="AC61" s="173">
        <f t="shared" si="148"/>
        <v>0.54934108692036587</v>
      </c>
      <c r="AD61" s="173"/>
      <c r="AE61" s="173">
        <f t="shared" si="149"/>
        <v>1.3582564874934393</v>
      </c>
      <c r="AF61" s="545">
        <f t="shared" si="150"/>
        <v>556.31774695219121</v>
      </c>
      <c r="AG61" s="528">
        <f t="shared" si="151"/>
        <v>0.35231664111704825</v>
      </c>
      <c r="AI61" s="173">
        <f t="shared" si="152"/>
        <v>2.8016567206347447</v>
      </c>
      <c r="AJ61" s="173">
        <f t="shared" si="153"/>
        <v>2.8286666786829628</v>
      </c>
      <c r="AK61" s="173">
        <f t="shared" si="154"/>
        <v>1.6492181158968449</v>
      </c>
      <c r="AM61" s="545">
        <f t="shared" si="155"/>
        <v>560</v>
      </c>
      <c r="AN61" s="460">
        <f t="shared" si="156"/>
        <v>321.28109289534132</v>
      </c>
      <c r="AP61">
        <f t="shared" si="157"/>
        <v>560</v>
      </c>
      <c r="AQ61">
        <f t="shared" si="158"/>
        <v>321.28109289534132</v>
      </c>
      <c r="AS61" s="5">
        <f t="shared" si="101"/>
        <v>3.1125392128996348</v>
      </c>
      <c r="AT61" s="5">
        <f t="shared" si="159"/>
        <v>1.1836145226246906</v>
      </c>
      <c r="AU61" s="5">
        <f t="shared" si="102"/>
        <v>1.9289246902749442</v>
      </c>
      <c r="AV61" s="5">
        <f t="shared" si="160"/>
        <v>1.7289246902749442</v>
      </c>
      <c r="AW61" s="173">
        <f t="shared" si="103"/>
        <v>0.38027296739565825</v>
      </c>
      <c r="AX61" s="173">
        <f t="shared" si="161"/>
        <v>12.853420682911269</v>
      </c>
      <c r="AY61" s="173">
        <f t="shared" si="162"/>
        <v>0.58462590253682511</v>
      </c>
      <c r="AZ61" s="173">
        <f t="shared" si="104"/>
        <v>21.985718776977457</v>
      </c>
      <c r="BA61" s="460">
        <f t="shared" si="163"/>
        <v>2.7617672194576115</v>
      </c>
      <c r="BB61" s="5">
        <f t="shared" si="164"/>
        <v>0.90398620979421684</v>
      </c>
      <c r="BC61" s="5"/>
      <c r="BD61" s="173">
        <f t="shared" si="105"/>
        <v>1.007091369098764</v>
      </c>
      <c r="BE61" s="173">
        <f t="shared" si="165"/>
        <v>0.85752581196159172</v>
      </c>
      <c r="BF61" s="173"/>
      <c r="BG61" s="528">
        <f t="shared" si="166"/>
        <v>4.0569321028528914E-2</v>
      </c>
      <c r="BH61" s="528">
        <f t="shared" si="167"/>
        <v>0.82529592027271048</v>
      </c>
      <c r="BI61" s="528">
        <f t="shared" si="168"/>
        <v>0.30712604639173258</v>
      </c>
      <c r="BJ61" s="528">
        <f t="shared" si="169"/>
        <v>9.1589078896737175E-2</v>
      </c>
      <c r="BK61">
        <f t="shared" si="170"/>
        <v>1.0754345955342373E-2</v>
      </c>
      <c r="BL61" s="460">
        <f t="shared" si="106"/>
        <v>317.88039234707492</v>
      </c>
      <c r="BM61" s="528">
        <f t="shared" si="171"/>
        <v>0.97783364000818673</v>
      </c>
      <c r="BN61" s="460">
        <f t="shared" si="107"/>
        <v>977.83364000818676</v>
      </c>
      <c r="BO61" s="528">
        <f t="shared" si="172"/>
        <v>0.48608000000000001</v>
      </c>
      <c r="BP61" s="528"/>
      <c r="BR61" s="460">
        <f t="shared" si="109"/>
        <v>486.08</v>
      </c>
      <c r="BS61" s="528">
        <f t="shared" si="173"/>
        <v>3.0426990771396684E-2</v>
      </c>
      <c r="BT61" s="528">
        <f t="shared" si="174"/>
        <v>2.2060515545411614E-2</v>
      </c>
      <c r="BU61" s="528">
        <f t="shared" si="175"/>
        <v>0.2016</v>
      </c>
      <c r="BV61" s="528">
        <f t="shared" si="176"/>
        <v>0.26780903811924089</v>
      </c>
      <c r="BW61" s="528">
        <f t="shared" si="177"/>
        <v>0.51413682731645083</v>
      </c>
      <c r="BX61" s="460">
        <f t="shared" si="110"/>
        <v>781.94586543569164</v>
      </c>
      <c r="BY61" s="173">
        <f t="shared" si="45"/>
        <v>2.5637398977909531</v>
      </c>
      <c r="BZ61" s="5">
        <f t="shared" si="111"/>
        <v>13.440000000000001</v>
      </c>
      <c r="CA61" s="173">
        <f t="shared" si="112"/>
        <v>0.83980370124955395</v>
      </c>
      <c r="CB61" s="5">
        <f t="shared" si="113"/>
        <v>83.9803701249554</v>
      </c>
      <c r="CE61" s="562">
        <f t="shared" si="178"/>
        <v>-50</v>
      </c>
      <c r="CF61">
        <f t="shared" si="179"/>
        <v>-50</v>
      </c>
      <c r="CG61" s="173">
        <f t="shared" si="180"/>
        <v>0.57928660669665166</v>
      </c>
      <c r="CI61" s="170">
        <v>56</v>
      </c>
      <c r="CJ61" s="217">
        <f t="shared" si="114"/>
        <v>0.56000000000000005</v>
      </c>
      <c r="CK61" s="217"/>
      <c r="CL61" s="217">
        <f t="shared" si="49"/>
        <v>13.440000000000001</v>
      </c>
      <c r="CM61" s="541">
        <f t="shared" si="50"/>
        <v>24</v>
      </c>
      <c r="CN61" s="172">
        <f t="shared" si="51"/>
        <v>16.3415</v>
      </c>
      <c r="CO61" s="443">
        <f t="shared" si="52"/>
        <v>40.341499999999996</v>
      </c>
      <c r="CP61" s="443"/>
      <c r="CQ61" s="217">
        <f t="shared" si="53"/>
        <v>0.40507913686898112</v>
      </c>
      <c r="CR61" s="172">
        <f t="shared" si="54"/>
        <v>54.360539956785601</v>
      </c>
      <c r="CS61" s="172">
        <f t="shared" si="115"/>
        <v>13.440000000000001</v>
      </c>
      <c r="CT61" s="217">
        <f t="shared" si="55"/>
        <v>2.2650224981994</v>
      </c>
      <c r="CU61" s="217">
        <f t="shared" si="56"/>
        <v>24</v>
      </c>
      <c r="CV61" s="217">
        <f t="shared" si="57"/>
        <v>2.250439649272117</v>
      </c>
      <c r="CW61" s="172">
        <f t="shared" si="58"/>
        <v>202.20198503616407</v>
      </c>
      <c r="CX61" s="172">
        <f t="shared" si="59"/>
        <v>24</v>
      </c>
      <c r="CY61" s="217">
        <f t="shared" si="60"/>
        <v>2.7648918397943887</v>
      </c>
      <c r="CZ61" s="217">
        <f t="shared" si="61"/>
        <v>1.1520382665809954</v>
      </c>
      <c r="DA61" s="217">
        <f t="shared" si="62"/>
        <v>1.6919449498481713</v>
      </c>
      <c r="DB61" s="197">
        <f t="shared" si="63"/>
        <v>350</v>
      </c>
      <c r="DC61" s="443">
        <f t="shared" si="116"/>
        <v>350</v>
      </c>
      <c r="DE61" s="217">
        <f t="shared" si="64"/>
        <v>2.7776855099587272</v>
      </c>
      <c r="DF61" s="173">
        <f t="shared" si="65"/>
        <v>1.6997738946600542</v>
      </c>
      <c r="DG61" s="173">
        <f t="shared" si="66"/>
        <v>0.55110977087390545</v>
      </c>
      <c r="DH61" s="173"/>
      <c r="DI61" s="173">
        <f t="shared" si="67"/>
        <v>1.3598642855443031</v>
      </c>
      <c r="DJ61" s="545">
        <f t="shared" si="117"/>
        <v>555.65999999999985</v>
      </c>
      <c r="DK61" s="528">
        <f t="shared" si="68"/>
        <v>0.35273368606701955</v>
      </c>
      <c r="DM61" s="173">
        <f t="shared" si="69"/>
        <v>2.8</v>
      </c>
      <c r="DN61" s="173">
        <f t="shared" si="70"/>
        <v>2.7648918397943887</v>
      </c>
      <c r="DO61" s="173">
        <f t="shared" si="71"/>
        <v>1.6019774944979011</v>
      </c>
      <c r="DQ61" s="545">
        <f t="shared" si="72"/>
        <v>560</v>
      </c>
      <c r="DR61" s="460">
        <f t="shared" si="73"/>
        <v>350</v>
      </c>
      <c r="DT61">
        <f t="shared" si="74"/>
        <v>560</v>
      </c>
      <c r="DU61">
        <f t="shared" si="75"/>
        <v>350</v>
      </c>
      <c r="DW61" s="5">
        <f t="shared" si="118"/>
        <v>2.8571428571428572</v>
      </c>
      <c r="DX61" s="5">
        <f t="shared" si="76"/>
        <v>1.1520382665809954</v>
      </c>
      <c r="DY61" s="5">
        <f t="shared" si="119"/>
        <v>1.7051045905618618</v>
      </c>
      <c r="DZ61" s="5">
        <f t="shared" si="77"/>
        <v>1.6919449498481713</v>
      </c>
      <c r="EA61" s="173">
        <f t="shared" si="120"/>
        <v>0.40321339330334838</v>
      </c>
      <c r="EB61" s="173">
        <f t="shared" si="78"/>
        <v>13.378097050082799</v>
      </c>
      <c r="EC61" s="173">
        <f t="shared" si="79"/>
        <v>0.5502918147212108</v>
      </c>
      <c r="ED61" s="173">
        <f t="shared" si="121"/>
        <v>24.310914122646761</v>
      </c>
      <c r="EE61" s="460">
        <f t="shared" si="80"/>
        <v>2.6880892886889893</v>
      </c>
      <c r="EF61" s="5">
        <f t="shared" si="81"/>
        <v>0.79571547559553546</v>
      </c>
      <c r="EG61" s="5"/>
      <c r="EH61" s="173">
        <f t="shared" si="122"/>
        <v>1.0136429264696623</v>
      </c>
      <c r="EI61" s="173">
        <f t="shared" si="82"/>
        <v>0.82253215991225959</v>
      </c>
      <c r="EJ61" s="173"/>
      <c r="EK61" s="528">
        <f t="shared" si="83"/>
        <v>4.1098879295279243E-2</v>
      </c>
      <c r="EL61" s="528">
        <f t="shared" si="84"/>
        <v>1.0735713849925039</v>
      </c>
      <c r="EM61" s="528">
        <f t="shared" si="85"/>
        <v>6.9999999999999993E-2</v>
      </c>
      <c r="EN61" s="528">
        <f t="shared" si="86"/>
        <v>9.968049311281249E-2</v>
      </c>
      <c r="EO61">
        <f t="shared" si="87"/>
        <v>1.0800000000000001E-2</v>
      </c>
      <c r="EP61" s="460">
        <f t="shared" si="123"/>
        <v>80.8</v>
      </c>
      <c r="EQ61" s="528">
        <f t="shared" si="88"/>
        <v>1.3191288718736618</v>
      </c>
      <c r="ER61" s="460">
        <f t="shared" si="124"/>
        <v>1319.1288718736619</v>
      </c>
      <c r="ES61" s="528">
        <f t="shared" si="125"/>
        <v>0.48608000000000001</v>
      </c>
      <c r="ET61" s="528"/>
      <c r="EV61" s="460">
        <f t="shared" si="126"/>
        <v>486.08</v>
      </c>
      <c r="EW61" s="528">
        <f t="shared" si="89"/>
        <v>3.0824159471459431E-2</v>
      </c>
      <c r="EX61" s="528">
        <f t="shared" si="90"/>
        <v>2.0296774622697807E-2</v>
      </c>
      <c r="EY61" s="528">
        <f t="shared" si="91"/>
        <v>1.4565838221784697</v>
      </c>
      <c r="EZ61" s="528">
        <f t="shared" si="92"/>
        <v>1.5262155054365771</v>
      </c>
      <c r="FA61" s="528">
        <f t="shared" si="93"/>
        <v>0.53512388200331207</v>
      </c>
      <c r="FB61" s="460">
        <f t="shared" si="127"/>
        <v>2061.3393874398894</v>
      </c>
      <c r="FC61" s="173">
        <f t="shared" si="128"/>
        <v>3.8665482593135514</v>
      </c>
      <c r="FD61" s="5">
        <f t="shared" si="129"/>
        <v>13.440000000000001</v>
      </c>
      <c r="FE61" s="173">
        <f t="shared" si="130"/>
        <v>0.77658466602473664</v>
      </c>
      <c r="FF61" s="5">
        <f t="shared" si="131"/>
        <v>77.658466602473666</v>
      </c>
      <c r="FI61" s="562">
        <f t="shared" si="94"/>
        <v>-50</v>
      </c>
      <c r="FJ61">
        <f t="shared" si="95"/>
        <v>-50</v>
      </c>
      <c r="FL61">
        <f t="shared" si="181"/>
        <v>0.59678660669665162</v>
      </c>
    </row>
    <row r="62" spans="5:168">
      <c r="E62" s="170">
        <v>57</v>
      </c>
      <c r="F62" s="217">
        <f t="shared" si="182"/>
        <v>0.56999999999999995</v>
      </c>
      <c r="G62" s="217"/>
      <c r="H62" s="217">
        <f t="shared" si="132"/>
        <v>13.68</v>
      </c>
      <c r="I62" s="541">
        <f t="shared" si="133"/>
        <v>23.896442026557889</v>
      </c>
      <c r="J62" s="172">
        <f t="shared" si="134"/>
        <v>16.361245058534294</v>
      </c>
      <c r="K62" s="172">
        <f t="shared" si="135"/>
        <v>40.361245058534294</v>
      </c>
      <c r="L62" s="443"/>
      <c r="M62" s="217">
        <f t="shared" si="136"/>
        <v>0.40640448956903252</v>
      </c>
      <c r="N62" s="172">
        <f t="shared" si="137"/>
        <v>54.303070169449015</v>
      </c>
      <c r="O62" s="172">
        <f t="shared" si="98"/>
        <v>13.68</v>
      </c>
      <c r="P62" s="217">
        <f t="shared" si="138"/>
        <v>2.2626279237270421</v>
      </c>
      <c r="Q62" s="217">
        <f t="shared" si="139"/>
        <v>24</v>
      </c>
      <c r="R62" s="217">
        <f t="shared" si="140"/>
        <v>2.248060491740564</v>
      </c>
      <c r="S62" s="172">
        <f t="shared" si="141"/>
        <v>197.17266342358147</v>
      </c>
      <c r="T62" s="172">
        <f t="shared" si="142"/>
        <v>24</v>
      </c>
      <c r="U62" s="217">
        <f t="shared" si="143"/>
        <v>2.8793098958000329</v>
      </c>
      <c r="V62" s="217">
        <f t="shared" si="11"/>
        <v>1.2049115481710804</v>
      </c>
      <c r="W62" s="217">
        <f t="shared" si="144"/>
        <v>1.759835443756854</v>
      </c>
      <c r="X62" s="197">
        <f t="shared" si="145"/>
        <v>350</v>
      </c>
      <c r="Y62" s="443">
        <f t="shared" si="14"/>
        <v>315.98102551345164</v>
      </c>
      <c r="AA62" s="217">
        <f t="shared" si="146"/>
        <v>2.7748066613050724</v>
      </c>
      <c r="AB62" s="173">
        <f t="shared" si="147"/>
        <v>1.6959630219936643</v>
      </c>
      <c r="AC62" s="173">
        <f t="shared" si="148"/>
        <v>0.54930428880838922</v>
      </c>
      <c r="AD62" s="173"/>
      <c r="AE62" s="173">
        <f t="shared" si="149"/>
        <v>1.3582231757252943</v>
      </c>
      <c r="AF62" s="545">
        <f t="shared" si="150"/>
        <v>566.26588032423388</v>
      </c>
      <c r="AG62" s="528">
        <f t="shared" si="151"/>
        <v>0.3523080004145222</v>
      </c>
      <c r="AI62" s="173">
        <f t="shared" si="152"/>
        <v>2.8265954875839787</v>
      </c>
      <c r="AJ62" s="173">
        <f t="shared" si="153"/>
        <v>2.8793098958000329</v>
      </c>
      <c r="AK62" s="173">
        <f t="shared" si="154"/>
        <v>1.6867316100576375</v>
      </c>
      <c r="AM62" s="545">
        <f t="shared" si="155"/>
        <v>570</v>
      </c>
      <c r="AN62" s="460">
        <f t="shared" si="156"/>
        <v>315.98102551345164</v>
      </c>
      <c r="AP62">
        <f t="shared" si="157"/>
        <v>570</v>
      </c>
      <c r="AQ62">
        <f t="shared" si="158"/>
        <v>315.98102551345164</v>
      </c>
      <c r="AS62" s="5">
        <f t="shared" si="101"/>
        <v>3.1647469919279341</v>
      </c>
      <c r="AT62" s="5">
        <f t="shared" si="159"/>
        <v>1.2049115481710804</v>
      </c>
      <c r="AU62" s="5">
        <f t="shared" si="102"/>
        <v>1.9598354437568537</v>
      </c>
      <c r="AV62" s="5">
        <f t="shared" si="160"/>
        <v>1.759835443756854</v>
      </c>
      <c r="AW62" s="173">
        <f t="shared" si="103"/>
        <v>0.38072918664409872</v>
      </c>
      <c r="AX62" s="173">
        <f t="shared" si="161"/>
        <v>13.098085719328779</v>
      </c>
      <c r="AY62" s="173">
        <f t="shared" si="162"/>
        <v>0.59465470578877333</v>
      </c>
      <c r="AZ62" s="173">
        <f t="shared" si="104"/>
        <v>22.026371929496403</v>
      </c>
      <c r="BA62" s="460">
        <f t="shared" si="163"/>
        <v>2.8616649269063155</v>
      </c>
      <c r="BB62" s="5">
        <f t="shared" si="164"/>
        <v>0.93495609237549537</v>
      </c>
      <c r="BC62" s="5"/>
      <c r="BD62" s="173">
        <f t="shared" si="105"/>
        <v>1.0257366374839745</v>
      </c>
      <c r="BE62" s="173">
        <f t="shared" si="165"/>
        <v>0.87255723188317202</v>
      </c>
      <c r="BF62" s="173"/>
      <c r="BG62" s="528">
        <f t="shared" si="166"/>
        <v>4.2085425979077218E-2</v>
      </c>
      <c r="BH62" s="528">
        <f t="shared" si="167"/>
        <v>0.82622149053491278</v>
      </c>
      <c r="BI62" s="528">
        <f t="shared" si="168"/>
        <v>0.30203289030698027</v>
      </c>
      <c r="BJ62" s="528">
        <f t="shared" si="169"/>
        <v>9.0079955426220978E-2</v>
      </c>
      <c r="BK62">
        <f t="shared" si="170"/>
        <v>1.075339891195105E-2</v>
      </c>
      <c r="BL62" s="460">
        <f t="shared" si="106"/>
        <v>312.7862892189313</v>
      </c>
      <c r="BM62" s="528">
        <f t="shared" si="171"/>
        <v>0.97954489338561601</v>
      </c>
      <c r="BN62" s="460">
        <f t="shared" si="107"/>
        <v>979.54489338561598</v>
      </c>
      <c r="BO62" s="528">
        <f t="shared" si="172"/>
        <v>0.49475999999999998</v>
      </c>
      <c r="BP62" s="528"/>
      <c r="BR62" s="460">
        <f t="shared" si="109"/>
        <v>494.76</v>
      </c>
      <c r="BS62" s="528">
        <f t="shared" si="173"/>
        <v>3.1564069484307913E-2</v>
      </c>
      <c r="BT62" s="528">
        <f t="shared" si="174"/>
        <v>2.2840683687348706E-2</v>
      </c>
      <c r="BU62" s="528">
        <f t="shared" si="175"/>
        <v>0.20519999999999999</v>
      </c>
      <c r="BV62" s="528">
        <f t="shared" si="176"/>
        <v>0.27385380984724278</v>
      </c>
      <c r="BW62" s="528">
        <f t="shared" si="177"/>
        <v>0.52392342877315112</v>
      </c>
      <c r="BX62" s="460">
        <f t="shared" si="110"/>
        <v>797.77723862039386</v>
      </c>
      <c r="BY62" s="173">
        <f t="shared" si="45"/>
        <v>2.5848684212249413</v>
      </c>
      <c r="BZ62" s="5">
        <f t="shared" si="111"/>
        <v>13.68</v>
      </c>
      <c r="CA62" s="173">
        <f t="shared" si="112"/>
        <v>0.84107658578708211</v>
      </c>
      <c r="CB62" s="5">
        <f t="shared" si="113"/>
        <v>84.107658578708211</v>
      </c>
      <c r="CE62" s="562">
        <f t="shared" si="178"/>
        <v>-50</v>
      </c>
      <c r="CF62">
        <f t="shared" si="179"/>
        <v>-50</v>
      </c>
      <c r="CG62" s="173">
        <f t="shared" si="180"/>
        <v>0.57764832553875389</v>
      </c>
      <c r="CI62" s="170">
        <v>57</v>
      </c>
      <c r="CJ62" s="217">
        <f t="shared" si="114"/>
        <v>0.56999999999999995</v>
      </c>
      <c r="CK62" s="217"/>
      <c r="CL62" s="217">
        <f t="shared" si="49"/>
        <v>13.68</v>
      </c>
      <c r="CM62" s="541">
        <f t="shared" si="50"/>
        <v>24</v>
      </c>
      <c r="CN62" s="172">
        <f t="shared" si="51"/>
        <v>16.3415</v>
      </c>
      <c r="CO62" s="443">
        <f t="shared" si="52"/>
        <v>40.341499999999996</v>
      </c>
      <c r="CP62" s="443"/>
      <c r="CQ62" s="217">
        <f t="shared" si="53"/>
        <v>0.40507913686898112</v>
      </c>
      <c r="CR62" s="172">
        <f t="shared" si="54"/>
        <v>54.360539956785601</v>
      </c>
      <c r="CS62" s="172">
        <f t="shared" si="115"/>
        <v>13.68</v>
      </c>
      <c r="CT62" s="217">
        <f t="shared" si="55"/>
        <v>2.2650224981994</v>
      </c>
      <c r="CU62" s="217">
        <f t="shared" si="56"/>
        <v>24</v>
      </c>
      <c r="CV62" s="217">
        <f t="shared" si="57"/>
        <v>2.250439649272117</v>
      </c>
      <c r="CW62" s="172">
        <f t="shared" si="58"/>
        <v>198.0267422340159</v>
      </c>
      <c r="CX62" s="172">
        <f t="shared" si="59"/>
        <v>24</v>
      </c>
      <c r="CY62" s="217">
        <f t="shared" si="60"/>
        <v>2.8142649083621452</v>
      </c>
      <c r="CZ62" s="217">
        <f t="shared" si="61"/>
        <v>1.1726103784842272</v>
      </c>
      <c r="DA62" s="217">
        <f t="shared" si="62"/>
        <v>1.7221582525240311</v>
      </c>
      <c r="DB62" s="197">
        <f t="shared" si="63"/>
        <v>350</v>
      </c>
      <c r="DC62" s="443">
        <f t="shared" si="116"/>
        <v>345.45075184530253</v>
      </c>
      <c r="DE62" s="217">
        <f t="shared" si="64"/>
        <v>2.7776855099587272</v>
      </c>
      <c r="DF62" s="173">
        <f t="shared" si="65"/>
        <v>1.6997738946600542</v>
      </c>
      <c r="DG62" s="173">
        <f t="shared" si="66"/>
        <v>0.55110977087390545</v>
      </c>
      <c r="DH62" s="173"/>
      <c r="DI62" s="173">
        <f t="shared" si="67"/>
        <v>1.3598642855443031</v>
      </c>
      <c r="DJ62" s="545">
        <f t="shared" si="117"/>
        <v>565.58249999999975</v>
      </c>
      <c r="DK62" s="528">
        <f t="shared" si="68"/>
        <v>0.35273368606701955</v>
      </c>
      <c r="DM62" s="173">
        <f t="shared" si="69"/>
        <v>2.8248893783651066</v>
      </c>
      <c r="DN62" s="173">
        <f t="shared" si="70"/>
        <v>2.8142649083621452</v>
      </c>
      <c r="DO62" s="173">
        <f t="shared" si="71"/>
        <v>1.6385501378814242</v>
      </c>
      <c r="DQ62" s="545">
        <f t="shared" si="72"/>
        <v>570</v>
      </c>
      <c r="DR62" s="460">
        <f t="shared" si="73"/>
        <v>345.45075184530253</v>
      </c>
      <c r="DT62">
        <f t="shared" si="74"/>
        <v>570</v>
      </c>
      <c r="DU62">
        <f t="shared" si="75"/>
        <v>345.45075184530253</v>
      </c>
      <c r="DW62" s="5">
        <f t="shared" si="118"/>
        <v>2.8947686310082585</v>
      </c>
      <c r="DX62" s="5">
        <f t="shared" si="76"/>
        <v>1.1726103784842272</v>
      </c>
      <c r="DY62" s="5">
        <f t="shared" si="119"/>
        <v>1.7221582525240313</v>
      </c>
      <c r="DZ62" s="5">
        <f t="shared" si="77"/>
        <v>1.7221582525240311</v>
      </c>
      <c r="EA62" s="173">
        <f t="shared" si="120"/>
        <v>0.40507913686898106</v>
      </c>
      <c r="EB62" s="173">
        <f t="shared" si="78"/>
        <v>13.68</v>
      </c>
      <c r="EC62" s="173">
        <f t="shared" si="79"/>
        <v>0.55836734693877554</v>
      </c>
      <c r="ED62" s="173">
        <f t="shared" si="121"/>
        <v>24.499999999999996</v>
      </c>
      <c r="EE62" s="460">
        <f t="shared" si="80"/>
        <v>2.7849496489000392</v>
      </c>
      <c r="EF62" s="5">
        <f t="shared" si="81"/>
        <v>0.81802516994891472</v>
      </c>
      <c r="EG62" s="5"/>
      <c r="EH62" s="173">
        <f t="shared" si="122"/>
        <v>1.03412797330776</v>
      </c>
      <c r="EI62" s="173">
        <f t="shared" si="82"/>
        <v>0.83591050219514129</v>
      </c>
      <c r="EJ62" s="173"/>
      <c r="EK62" s="528">
        <f t="shared" si="83"/>
        <v>4.27768266071046E-2</v>
      </c>
      <c r="EL62" s="528">
        <f t="shared" si="84"/>
        <v>1.0785389999999999</v>
      </c>
      <c r="EM62" s="528">
        <f t="shared" si="85"/>
        <v>6.9090150369060507E-2</v>
      </c>
      <c r="EN62" s="528">
        <f t="shared" si="86"/>
        <v>9.838486082894736E-2</v>
      </c>
      <c r="EO62">
        <f t="shared" si="87"/>
        <v>1.0800000000000001E-2</v>
      </c>
      <c r="EP62" s="460">
        <f t="shared" si="123"/>
        <v>79.890150369060507</v>
      </c>
      <c r="EQ62" s="528">
        <f t="shared" si="88"/>
        <v>1.3246035521349755</v>
      </c>
      <c r="ER62" s="460">
        <f t="shared" si="124"/>
        <v>1324.6035521349754</v>
      </c>
      <c r="ES62" s="528">
        <f t="shared" si="125"/>
        <v>0.49475999999999998</v>
      </c>
      <c r="ET62" s="528"/>
      <c r="EV62" s="460">
        <f t="shared" si="126"/>
        <v>494.76</v>
      </c>
      <c r="EW62" s="528">
        <f t="shared" si="89"/>
        <v>3.2082619955328448E-2</v>
      </c>
      <c r="EX62" s="528">
        <f t="shared" si="90"/>
        <v>2.0962391030403999E-2</v>
      </c>
      <c r="EY62" s="528">
        <f t="shared" si="91"/>
        <v>1.4734920547744264</v>
      </c>
      <c r="EZ62" s="528">
        <f t="shared" si="92"/>
        <v>1.5458277443713127</v>
      </c>
      <c r="FA62" s="528">
        <f t="shared" si="93"/>
        <v>0.54720000000000002</v>
      </c>
      <c r="FB62" s="460">
        <f t="shared" si="127"/>
        <v>2093.0277443713126</v>
      </c>
      <c r="FC62" s="173">
        <f t="shared" si="128"/>
        <v>3.9123912965062884</v>
      </c>
      <c r="FD62" s="5">
        <f t="shared" si="129"/>
        <v>13.68</v>
      </c>
      <c r="FE62" s="173">
        <f t="shared" si="130"/>
        <v>0.77760889747357653</v>
      </c>
      <c r="FF62" s="5">
        <f t="shared" si="131"/>
        <v>77.760889747357652</v>
      </c>
      <c r="FI62" s="562">
        <f t="shared" si="94"/>
        <v>-50</v>
      </c>
      <c r="FJ62">
        <f t="shared" si="95"/>
        <v>-50</v>
      </c>
      <c r="FL62">
        <f t="shared" si="181"/>
        <v>0.594920863131019</v>
      </c>
    </row>
    <row r="63" spans="5:168">
      <c r="E63" s="170">
        <v>58</v>
      </c>
      <c r="F63" s="217">
        <f t="shared" si="182"/>
        <v>0.57999999999999996</v>
      </c>
      <c r="G63" s="217"/>
      <c r="H63" s="217">
        <f t="shared" si="132"/>
        <v>13.919999999999998</v>
      </c>
      <c r="I63" s="541">
        <f t="shared" si="133"/>
        <v>23.894679517211401</v>
      </c>
      <c r="J63" s="172">
        <f t="shared" si="134"/>
        <v>16.361581110400287</v>
      </c>
      <c r="K63" s="172">
        <f t="shared" si="135"/>
        <v>40.361581110400287</v>
      </c>
      <c r="L63" s="443"/>
      <c r="M63" s="217">
        <f t="shared" si="136"/>
        <v>0.40642724277450137</v>
      </c>
      <c r="N63" s="172">
        <f t="shared" si="137"/>
        <v>54.302105004565909</v>
      </c>
      <c r="O63" s="172">
        <f t="shared" si="98"/>
        <v>13.919999999999998</v>
      </c>
      <c r="P63" s="217">
        <f t="shared" si="138"/>
        <v>2.2625877085235797</v>
      </c>
      <c r="Q63" s="217">
        <f t="shared" si="139"/>
        <v>24</v>
      </c>
      <c r="R63" s="217">
        <f t="shared" si="140"/>
        <v>2.248020535453839</v>
      </c>
      <c r="S63" s="172">
        <f t="shared" si="141"/>
        <v>193.14463297711629</v>
      </c>
      <c r="T63" s="172">
        <f t="shared" si="142"/>
        <v>24</v>
      </c>
      <c r="U63" s="217">
        <f t="shared" si="143"/>
        <v>2.9299364123645448</v>
      </c>
      <c r="V63" s="217">
        <f t="shared" si="11"/>
        <v>1.2261877838763662</v>
      </c>
      <c r="W63" s="217">
        <f t="shared" si="144"/>
        <v>1.7907416114583952</v>
      </c>
      <c r="X63" s="197">
        <f t="shared" si="145"/>
        <v>350</v>
      </c>
      <c r="Y63" s="443">
        <f t="shared" si="14"/>
        <v>310.85543918067174</v>
      </c>
      <c r="AA63" s="217">
        <f t="shared" si="146"/>
        <v>2.7747573096722227</v>
      </c>
      <c r="AB63" s="173">
        <f t="shared" si="147"/>
        <v>1.6958980253494207</v>
      </c>
      <c r="AC63" s="173">
        <f t="shared" si="148"/>
        <v>0.54927346775211661</v>
      </c>
      <c r="AD63" s="173"/>
      <c r="AE63" s="173">
        <f t="shared" si="149"/>
        <v>1.3581952790672904</v>
      </c>
      <c r="AF63" s="545">
        <f t="shared" si="150"/>
        <v>576.21220432279245</v>
      </c>
      <c r="AG63" s="528">
        <f t="shared" si="151"/>
        <v>0.3523007643313989</v>
      </c>
      <c r="AI63" s="173">
        <f t="shared" si="152"/>
        <v>2.8513116615872152</v>
      </c>
      <c r="AJ63" s="173">
        <f t="shared" si="153"/>
        <v>2.9299364123645448</v>
      </c>
      <c r="AK63" s="173">
        <f t="shared" si="154"/>
        <v>1.7242327334387575</v>
      </c>
      <c r="AM63" s="545">
        <f t="shared" si="155"/>
        <v>580</v>
      </c>
      <c r="AN63" s="460">
        <f t="shared" si="156"/>
        <v>310.85543918067174</v>
      </c>
      <c r="AP63">
        <f t="shared" si="157"/>
        <v>580</v>
      </c>
      <c r="AQ63">
        <f t="shared" si="158"/>
        <v>310.85543918067174</v>
      </c>
      <c r="AS63" s="5">
        <f t="shared" si="101"/>
        <v>3.2169293953347613</v>
      </c>
      <c r="AT63" s="5">
        <f t="shared" si="159"/>
        <v>1.2261877838763662</v>
      </c>
      <c r="AU63" s="5">
        <f t="shared" si="102"/>
        <v>1.9907416114583951</v>
      </c>
      <c r="AV63" s="5">
        <f t="shared" si="160"/>
        <v>1.7907416114583952</v>
      </c>
      <c r="AW63" s="173">
        <f t="shared" si="103"/>
        <v>0.38116714207486241</v>
      </c>
      <c r="AX63" s="173">
        <f t="shared" si="161"/>
        <v>13.342735145118558</v>
      </c>
      <c r="AY63" s="173">
        <f t="shared" si="162"/>
        <v>0.60468249802142571</v>
      </c>
      <c r="AZ63" s="173">
        <f t="shared" si="104"/>
        <v>22.065687677048963</v>
      </c>
      <c r="BA63" s="460">
        <f t="shared" si="163"/>
        <v>2.963287144367885</v>
      </c>
      <c r="BB63" s="5">
        <f t="shared" si="164"/>
        <v>0.96643282770474959</v>
      </c>
      <c r="BC63" s="5"/>
      <c r="BD63" s="173">
        <f t="shared" si="105"/>
        <v>1.0443721826514474</v>
      </c>
      <c r="BE63" s="173">
        <f t="shared" si="165"/>
        <v>0.88758526589016629</v>
      </c>
      <c r="BF63" s="173"/>
      <c r="BG63" s="528">
        <f t="shared" si="166"/>
        <v>4.3628530235845925E-2</v>
      </c>
      <c r="BH63" s="528">
        <f t="shared" si="167"/>
        <v>0.82711777646346707</v>
      </c>
      <c r="BI63" s="528">
        <f t="shared" si="168"/>
        <v>0.29711164381616606</v>
      </c>
      <c r="BJ63" s="528">
        <f t="shared" si="169"/>
        <v>8.8620227604756657E-2</v>
      </c>
      <c r="BK63">
        <f t="shared" si="170"/>
        <v>1.0752605782745129E-2</v>
      </c>
      <c r="BL63" s="460">
        <f t="shared" si="106"/>
        <v>307.86424959891116</v>
      </c>
      <c r="BM63" s="528">
        <f t="shared" si="171"/>
        <v>0.98131872354741456</v>
      </c>
      <c r="BN63" s="460">
        <f t="shared" si="107"/>
        <v>981.31872354741461</v>
      </c>
      <c r="BO63" s="528">
        <f t="shared" si="172"/>
        <v>0.50344</v>
      </c>
      <c r="BP63" s="528"/>
      <c r="BR63" s="460">
        <f t="shared" si="109"/>
        <v>503.44</v>
      </c>
      <c r="BS63" s="528">
        <f t="shared" si="173"/>
        <v>3.2721397676884444E-2</v>
      </c>
      <c r="BT63" s="528">
        <f t="shared" si="174"/>
        <v>2.3634228126759513E-2</v>
      </c>
      <c r="BU63" s="528">
        <f t="shared" si="175"/>
        <v>0.20879999999999996</v>
      </c>
      <c r="BV63" s="528">
        <f t="shared" si="176"/>
        <v>0.27994308541796908</v>
      </c>
      <c r="BW63" s="528">
        <f t="shared" si="177"/>
        <v>0.53370940580474224</v>
      </c>
      <c r="BX63" s="460">
        <f t="shared" si="110"/>
        <v>813.65249122271132</v>
      </c>
      <c r="BY63" s="173">
        <f t="shared" si="45"/>
        <v>2.6062754643690367</v>
      </c>
      <c r="BZ63" s="5">
        <f t="shared" si="111"/>
        <v>13.919999999999998</v>
      </c>
      <c r="CA63" s="173">
        <f t="shared" si="112"/>
        <v>0.84229504887606299</v>
      </c>
      <c r="CB63" s="5">
        <f t="shared" si="113"/>
        <v>84.229504887606296</v>
      </c>
      <c r="CE63" s="562">
        <f t="shared" si="178"/>
        <v>-50</v>
      </c>
      <c r="CF63">
        <f t="shared" si="179"/>
        <v>-50</v>
      </c>
      <c r="CG63" s="173">
        <f t="shared" si="180"/>
        <v>0.57794612791103406</v>
      </c>
      <c r="CI63" s="170">
        <v>58</v>
      </c>
      <c r="CJ63" s="217">
        <f t="shared" si="114"/>
        <v>0.57999999999999996</v>
      </c>
      <c r="CK63" s="217"/>
      <c r="CL63" s="217">
        <f t="shared" si="49"/>
        <v>13.919999999999998</v>
      </c>
      <c r="CM63" s="541">
        <f t="shared" si="50"/>
        <v>24</v>
      </c>
      <c r="CN63" s="172">
        <f t="shared" si="51"/>
        <v>16.3415</v>
      </c>
      <c r="CO63" s="443">
        <f t="shared" si="52"/>
        <v>40.341499999999996</v>
      </c>
      <c r="CP63" s="443"/>
      <c r="CQ63" s="217">
        <f t="shared" si="53"/>
        <v>0.40507913686898112</v>
      </c>
      <c r="CR63" s="172">
        <f t="shared" si="54"/>
        <v>54.360539956785601</v>
      </c>
      <c r="CS63" s="172">
        <f t="shared" si="115"/>
        <v>13.919999999999998</v>
      </c>
      <c r="CT63" s="217">
        <f t="shared" si="55"/>
        <v>2.2650224981994</v>
      </c>
      <c r="CU63" s="217">
        <f t="shared" si="56"/>
        <v>24</v>
      </c>
      <c r="CV63" s="217">
        <f t="shared" si="57"/>
        <v>2.250439649272117</v>
      </c>
      <c r="CW63" s="172">
        <f t="shared" si="58"/>
        <v>193.99554933020178</v>
      </c>
      <c r="CX63" s="172">
        <f t="shared" si="59"/>
        <v>24</v>
      </c>
      <c r="CY63" s="217">
        <f t="shared" si="60"/>
        <v>2.8636379769299021</v>
      </c>
      <c r="CZ63" s="217">
        <f t="shared" si="61"/>
        <v>1.1931824903874595</v>
      </c>
      <c r="DA63" s="217">
        <f t="shared" si="62"/>
        <v>1.7523715551998913</v>
      </c>
      <c r="DB63" s="197">
        <f t="shared" si="63"/>
        <v>350</v>
      </c>
      <c r="DC63" s="443">
        <f t="shared" si="116"/>
        <v>339.49470439969389</v>
      </c>
      <c r="DE63" s="217">
        <f t="shared" si="64"/>
        <v>2.7776855099587272</v>
      </c>
      <c r="DF63" s="173">
        <f t="shared" si="65"/>
        <v>1.6997738946600542</v>
      </c>
      <c r="DG63" s="173">
        <f t="shared" si="66"/>
        <v>0.55110977087390545</v>
      </c>
      <c r="DH63" s="173"/>
      <c r="DI63" s="173">
        <f t="shared" si="67"/>
        <v>1.3598642855443031</v>
      </c>
      <c r="DJ63" s="545">
        <f t="shared" si="117"/>
        <v>575.50499999999977</v>
      </c>
      <c r="DK63" s="528">
        <f t="shared" si="68"/>
        <v>0.35273368606701955</v>
      </c>
      <c r="DM63" s="173">
        <f t="shared" si="69"/>
        <v>2.8495613697550009</v>
      </c>
      <c r="DN63" s="173">
        <f t="shared" si="70"/>
        <v>2.8636379769299021</v>
      </c>
      <c r="DO63" s="173">
        <f t="shared" si="71"/>
        <v>1.6751227812649478</v>
      </c>
      <c r="DQ63" s="545">
        <f t="shared" si="72"/>
        <v>580</v>
      </c>
      <c r="DR63" s="460">
        <f t="shared" si="73"/>
        <v>339.49470439969389</v>
      </c>
      <c r="DT63">
        <f t="shared" si="74"/>
        <v>580</v>
      </c>
      <c r="DU63">
        <f t="shared" si="75"/>
        <v>339.49470439969389</v>
      </c>
      <c r="DW63" s="5">
        <f t="shared" si="118"/>
        <v>2.9455540455873503</v>
      </c>
      <c r="DX63" s="5">
        <f t="shared" si="76"/>
        <v>1.1931824903874595</v>
      </c>
      <c r="DY63" s="5">
        <f t="shared" si="119"/>
        <v>1.7523715551998909</v>
      </c>
      <c r="DZ63" s="5">
        <f t="shared" si="77"/>
        <v>1.7523715551998913</v>
      </c>
      <c r="EA63" s="173">
        <f t="shared" si="120"/>
        <v>0.40507913686898117</v>
      </c>
      <c r="EB63" s="173">
        <f t="shared" si="78"/>
        <v>13.92</v>
      </c>
      <c r="EC63" s="173">
        <f t="shared" si="79"/>
        <v>0.56816326530612227</v>
      </c>
      <c r="ED63" s="173">
        <f t="shared" si="121"/>
        <v>24.500000000000007</v>
      </c>
      <c r="EE63" s="460">
        <f t="shared" si="80"/>
        <v>2.8835243517696938</v>
      </c>
      <c r="EF63" s="5">
        <f t="shared" si="81"/>
        <v>0.84697958501328041</v>
      </c>
      <c r="EG63" s="5"/>
      <c r="EH63" s="173">
        <f t="shared" si="122"/>
        <v>1.0522705693307031</v>
      </c>
      <c r="EI63" s="173">
        <f t="shared" si="82"/>
        <v>0.85057559872488042</v>
      </c>
      <c r="EJ63" s="173"/>
      <c r="EK63" s="528">
        <f t="shared" si="83"/>
        <v>4.4290934043182482E-2</v>
      </c>
      <c r="EL63" s="528">
        <f t="shared" si="84"/>
        <v>1.0785390000000001</v>
      </c>
      <c r="EM63" s="528">
        <f t="shared" si="85"/>
        <v>6.7898940879938766E-2</v>
      </c>
      <c r="EN63" s="528">
        <f t="shared" si="86"/>
        <v>9.6688570124999998E-2</v>
      </c>
      <c r="EO63">
        <f t="shared" si="87"/>
        <v>1.0800000000000001E-2</v>
      </c>
      <c r="EP63" s="460">
        <f t="shared" si="123"/>
        <v>78.698940879938775</v>
      </c>
      <c r="EQ63" s="528">
        <f t="shared" si="88"/>
        <v>1.3241103063813913</v>
      </c>
      <c r="ER63" s="460">
        <f t="shared" si="124"/>
        <v>1324.1103063813912</v>
      </c>
      <c r="ES63" s="528">
        <f t="shared" si="125"/>
        <v>0.50344</v>
      </c>
      <c r="ET63" s="528"/>
      <c r="EV63" s="460">
        <f t="shared" si="126"/>
        <v>503.44</v>
      </c>
      <c r="EW63" s="528">
        <f t="shared" si="89"/>
        <v>3.321820053238686E-2</v>
      </c>
      <c r="EX63" s="528">
        <f t="shared" si="90"/>
        <v>2.1704365474385662E-2</v>
      </c>
      <c r="EY63" s="528">
        <f t="shared" si="91"/>
        <v>1.4734920547744259</v>
      </c>
      <c r="EZ63" s="528">
        <f t="shared" si="92"/>
        <v>1.5483994020921239</v>
      </c>
      <c r="FA63" s="528">
        <f t="shared" si="93"/>
        <v>0.55679999999999996</v>
      </c>
      <c r="FB63" s="460">
        <f t="shared" si="127"/>
        <v>2105.1994020921238</v>
      </c>
      <c r="FC63" s="173">
        <f t="shared" si="128"/>
        <v>3.9327497084735152</v>
      </c>
      <c r="FD63" s="5">
        <f t="shared" si="129"/>
        <v>13.919999999999998</v>
      </c>
      <c r="FE63" s="173">
        <f t="shared" si="130"/>
        <v>0.77971182183734411</v>
      </c>
      <c r="FF63" s="5">
        <f t="shared" si="131"/>
        <v>77.971182183734413</v>
      </c>
      <c r="FI63" s="562">
        <f t="shared" si="94"/>
        <v>-50</v>
      </c>
      <c r="FJ63">
        <f t="shared" si="95"/>
        <v>-50</v>
      </c>
      <c r="FL63">
        <f t="shared" si="181"/>
        <v>0.59492086313101877</v>
      </c>
    </row>
    <row r="64" spans="5:168">
      <c r="E64" s="170">
        <v>59</v>
      </c>
      <c r="F64" s="217">
        <f t="shared" si="182"/>
        <v>0.59</v>
      </c>
      <c r="G64" s="217"/>
      <c r="H64" s="217">
        <f t="shared" si="132"/>
        <v>14.16</v>
      </c>
      <c r="I64" s="541">
        <f t="shared" si="133"/>
        <v>23.892916953832426</v>
      </c>
      <c r="J64" s="172">
        <f t="shared" si="134"/>
        <v>16.361917172568475</v>
      </c>
      <c r="K64" s="172">
        <f t="shared" si="135"/>
        <v>40.361917172568475</v>
      </c>
      <c r="L64" s="443"/>
      <c r="M64" s="217">
        <f t="shared" si="136"/>
        <v>0.40644999813777966</v>
      </c>
      <c r="N64" s="172">
        <f t="shared" si="137"/>
        <v>54.301139556690714</v>
      </c>
      <c r="O64" s="172">
        <f t="shared" si="98"/>
        <v>14.16</v>
      </c>
      <c r="P64" s="217">
        <f t="shared" si="138"/>
        <v>2.2625474815287796</v>
      </c>
      <c r="Q64" s="217">
        <f t="shared" si="139"/>
        <v>24</v>
      </c>
      <c r="R64" s="217">
        <f t="shared" si="140"/>
        <v>2.2479805674516924</v>
      </c>
      <c r="S64" s="172">
        <f t="shared" si="141"/>
        <v>189.25331049545574</v>
      </c>
      <c r="T64" s="172">
        <f t="shared" si="142"/>
        <v>24</v>
      </c>
      <c r="U64" s="217">
        <f t="shared" si="143"/>
        <v>2.9805668212086398</v>
      </c>
      <c r="V64" s="217">
        <f t="shared" si="11"/>
        <v>1.2474687904234969</v>
      </c>
      <c r="W64" s="217">
        <f t="shared" si="144"/>
        <v>1.8216488873355874</v>
      </c>
      <c r="X64" s="197">
        <f t="shared" si="145"/>
        <v>350</v>
      </c>
      <c r="Y64" s="443">
        <f t="shared" si="14"/>
        <v>305.89293459924642</v>
      </c>
      <c r="AA64" s="217">
        <f t="shared" si="146"/>
        <v>2.7747079446204692</v>
      </c>
      <c r="AB64" s="173">
        <f t="shared" si="147"/>
        <v>1.6958330221059901</v>
      </c>
      <c r="AC64" s="173">
        <f t="shared" si="148"/>
        <v>0.54924264265112954</v>
      </c>
      <c r="AD64" s="173"/>
      <c r="AE64" s="173">
        <f t="shared" si="149"/>
        <v>1.3581673827000438</v>
      </c>
      <c r="AF64" s="545">
        <f t="shared" si="150"/>
        <v>586.15893678939062</v>
      </c>
      <c r="AG64" s="528">
        <f t="shared" si="151"/>
        <v>0.35229352832369476</v>
      </c>
      <c r="AI64" s="173">
        <f t="shared" si="152"/>
        <v>2.8758164224779494</v>
      </c>
      <c r="AJ64" s="173">
        <f t="shared" si="153"/>
        <v>2.9805668212086398</v>
      </c>
      <c r="AK64" s="173">
        <f t="shared" si="154"/>
        <v>1.7617367399899386</v>
      </c>
      <c r="AM64" s="545">
        <f t="shared" si="155"/>
        <v>590</v>
      </c>
      <c r="AN64" s="460">
        <f t="shared" si="156"/>
        <v>305.89293459924642</v>
      </c>
      <c r="AP64">
        <f t="shared" si="157"/>
        <v>590</v>
      </c>
      <c r="AQ64">
        <f t="shared" si="158"/>
        <v>305.89293459924642</v>
      </c>
      <c r="AS64" s="5">
        <f t="shared" si="101"/>
        <v>3.2691176777590849</v>
      </c>
      <c r="AT64" s="5">
        <f t="shared" si="159"/>
        <v>1.2474687904234969</v>
      </c>
      <c r="AU64" s="5">
        <f t="shared" si="102"/>
        <v>2.021648887335588</v>
      </c>
      <c r="AV64" s="5">
        <f t="shared" si="160"/>
        <v>1.8216488873355874</v>
      </c>
      <c r="AW64" s="173">
        <f t="shared" si="103"/>
        <v>0.38159188912361575</v>
      </c>
      <c r="AX64" s="173">
        <f t="shared" si="161"/>
        <v>13.587425494238296</v>
      </c>
      <c r="AY64" s="173">
        <f t="shared" si="162"/>
        <v>0.61470943353102903</v>
      </c>
      <c r="AZ64" s="173">
        <f t="shared" si="104"/>
        <v>22.103818085545026</v>
      </c>
      <c r="BA64" s="460">
        <f t="shared" si="163"/>
        <v>3.0666941097910962</v>
      </c>
      <c r="BB64" s="5">
        <f t="shared" si="164"/>
        <v>0.99843216785355782</v>
      </c>
      <c r="BC64" s="5"/>
      <c r="BD64" s="173">
        <f t="shared" si="105"/>
        <v>1.0630111083228568</v>
      </c>
      <c r="BE64" s="173">
        <f t="shared" si="165"/>
        <v>0.90261315290356958</v>
      </c>
      <c r="BF64" s="173"/>
      <c r="BG64" s="528">
        <f t="shared" si="166"/>
        <v>4.519970465671154E-2</v>
      </c>
      <c r="BH64" s="528">
        <f t="shared" si="167"/>
        <v>0.8279852755457684</v>
      </c>
      <c r="BI64" s="528">
        <f t="shared" si="168"/>
        <v>0.29234697932575554</v>
      </c>
      <c r="BJ64" s="528">
        <f t="shared" si="169"/>
        <v>8.7206944112928675E-2</v>
      </c>
      <c r="BK64">
        <f t="shared" si="170"/>
        <v>1.0751812629224592E-2</v>
      </c>
      <c r="BL64" s="460">
        <f t="shared" si="106"/>
        <v>303.09879195498013</v>
      </c>
      <c r="BM64" s="528">
        <f t="shared" si="171"/>
        <v>0.98315438172691627</v>
      </c>
      <c r="BN64" s="460">
        <f t="shared" si="107"/>
        <v>983.15438172691631</v>
      </c>
      <c r="BO64" s="528">
        <f t="shared" si="172"/>
        <v>0.51212000000000002</v>
      </c>
      <c r="BP64" s="528"/>
      <c r="BR64" s="460">
        <f t="shared" si="109"/>
        <v>512.12</v>
      </c>
      <c r="BS64" s="528">
        <f t="shared" si="173"/>
        <v>3.3899778492533651E-2</v>
      </c>
      <c r="BT64" s="528">
        <f t="shared" si="174"/>
        <v>2.4441315113835679E-2</v>
      </c>
      <c r="BU64" s="528">
        <f t="shared" si="175"/>
        <v>0.21240000000000001</v>
      </c>
      <c r="BV64" s="528">
        <f t="shared" si="176"/>
        <v>0.2860781651126641</v>
      </c>
      <c r="BW64" s="528">
        <f t="shared" si="177"/>
        <v>0.54349701976953191</v>
      </c>
      <c r="BX64" s="460">
        <f t="shared" si="110"/>
        <v>829.57518488219591</v>
      </c>
      <c r="BY64" s="173">
        <f t="shared" si="45"/>
        <v>2.6279483585640921</v>
      </c>
      <c r="BZ64" s="5">
        <f t="shared" si="111"/>
        <v>14.16</v>
      </c>
      <c r="CA64" s="173">
        <f t="shared" si="112"/>
        <v>0.84346220857753063</v>
      </c>
      <c r="CB64" s="5">
        <f t="shared" si="113"/>
        <v>84.346220857753067</v>
      </c>
      <c r="CE64" s="562">
        <f t="shared" si="178"/>
        <v>-50</v>
      </c>
      <c r="CF64">
        <f t="shared" si="179"/>
        <v>-50</v>
      </c>
      <c r="CG64" s="173">
        <f t="shared" si="180"/>
        <v>0.57823383528764427</v>
      </c>
      <c r="CI64" s="170">
        <v>59</v>
      </c>
      <c r="CJ64" s="217">
        <f t="shared" si="114"/>
        <v>0.59</v>
      </c>
      <c r="CK64" s="217"/>
      <c r="CL64" s="217">
        <f t="shared" si="49"/>
        <v>14.16</v>
      </c>
      <c r="CM64" s="541">
        <f t="shared" si="50"/>
        <v>24</v>
      </c>
      <c r="CN64" s="172">
        <f t="shared" si="51"/>
        <v>16.3415</v>
      </c>
      <c r="CO64" s="443">
        <f t="shared" si="52"/>
        <v>40.341499999999996</v>
      </c>
      <c r="CP64" s="443"/>
      <c r="CQ64" s="217">
        <f t="shared" si="53"/>
        <v>0.40507913686898112</v>
      </c>
      <c r="CR64" s="172">
        <f t="shared" si="54"/>
        <v>54.360539956785601</v>
      </c>
      <c r="CS64" s="172">
        <f t="shared" si="115"/>
        <v>14.16</v>
      </c>
      <c r="CT64" s="217">
        <f t="shared" si="55"/>
        <v>2.2650224981994</v>
      </c>
      <c r="CU64" s="217">
        <f t="shared" si="56"/>
        <v>24</v>
      </c>
      <c r="CV64" s="217">
        <f t="shared" si="57"/>
        <v>2.250439649272117</v>
      </c>
      <c r="CW64" s="172">
        <f t="shared" si="58"/>
        <v>190.10108245259696</v>
      </c>
      <c r="CX64" s="172">
        <f t="shared" si="59"/>
        <v>24</v>
      </c>
      <c r="CY64" s="217">
        <f t="shared" si="60"/>
        <v>2.9130110454976594</v>
      </c>
      <c r="CZ64" s="217">
        <f t="shared" si="61"/>
        <v>1.2137546022906915</v>
      </c>
      <c r="DA64" s="217">
        <f t="shared" si="62"/>
        <v>1.7825848578757517</v>
      </c>
      <c r="DB64" s="197">
        <f t="shared" si="63"/>
        <v>350</v>
      </c>
      <c r="DC64" s="443">
        <f t="shared" si="116"/>
        <v>333.74055686749557</v>
      </c>
      <c r="DE64" s="217">
        <f t="shared" si="64"/>
        <v>2.7776855099587272</v>
      </c>
      <c r="DF64" s="173">
        <f t="shared" si="65"/>
        <v>1.6997738946600542</v>
      </c>
      <c r="DG64" s="173">
        <f t="shared" si="66"/>
        <v>0.55110977087390545</v>
      </c>
      <c r="DH64" s="173"/>
      <c r="DI64" s="173">
        <f t="shared" si="67"/>
        <v>1.3598642855443031</v>
      </c>
      <c r="DJ64" s="545">
        <f t="shared" si="117"/>
        <v>585.42749999999978</v>
      </c>
      <c r="DK64" s="528">
        <f t="shared" si="68"/>
        <v>0.35273368606701955</v>
      </c>
      <c r="DM64" s="173">
        <f t="shared" si="69"/>
        <v>2.8740215726399825</v>
      </c>
      <c r="DN64" s="173">
        <f t="shared" si="70"/>
        <v>2.9130110454976594</v>
      </c>
      <c r="DO64" s="173">
        <f t="shared" si="71"/>
        <v>1.7116954246484717</v>
      </c>
      <c r="DQ64" s="545">
        <f t="shared" si="72"/>
        <v>590</v>
      </c>
      <c r="DR64" s="460">
        <f t="shared" si="73"/>
        <v>333.74055686749557</v>
      </c>
      <c r="DT64">
        <f t="shared" si="74"/>
        <v>590</v>
      </c>
      <c r="DU64">
        <f t="shared" si="75"/>
        <v>333.74055686749557</v>
      </c>
      <c r="DW64" s="5">
        <f t="shared" si="118"/>
        <v>2.9963394601664439</v>
      </c>
      <c r="DX64" s="5">
        <f t="shared" si="76"/>
        <v>1.2137546022906915</v>
      </c>
      <c r="DY64" s="5">
        <f t="shared" si="119"/>
        <v>1.7825848578757524</v>
      </c>
      <c r="DZ64" s="5">
        <f t="shared" si="77"/>
        <v>1.7825848578757517</v>
      </c>
      <c r="EA64" s="173">
        <f t="shared" si="120"/>
        <v>0.405079136868981</v>
      </c>
      <c r="EB64" s="173">
        <f t="shared" si="78"/>
        <v>14.159999999999998</v>
      </c>
      <c r="EC64" s="173">
        <f t="shared" si="79"/>
        <v>0.57795918367346955</v>
      </c>
      <c r="ED64" s="173">
        <f t="shared" si="121"/>
        <v>24.499999999999989</v>
      </c>
      <c r="EE64" s="460">
        <f t="shared" si="80"/>
        <v>2.9838133972979501</v>
      </c>
      <c r="EF64" s="5">
        <f t="shared" si="81"/>
        <v>0.87643755512224475</v>
      </c>
      <c r="EG64" s="5"/>
      <c r="EH64" s="173">
        <f t="shared" si="122"/>
        <v>1.0704131653536462</v>
      </c>
      <c r="EI64" s="173">
        <f t="shared" si="82"/>
        <v>0.86524069525462</v>
      </c>
      <c r="EJ64" s="173"/>
      <c r="EK64" s="528">
        <f t="shared" si="83"/>
        <v>4.5831373782496493E-2</v>
      </c>
      <c r="EL64" s="528">
        <f t="shared" si="84"/>
        <v>1.0785389999999999</v>
      </c>
      <c r="EM64" s="528">
        <f t="shared" si="85"/>
        <v>6.6748111373499106E-2</v>
      </c>
      <c r="EN64" s="528">
        <f t="shared" si="86"/>
        <v>9.5049780800847417E-2</v>
      </c>
      <c r="EO64">
        <f t="shared" si="87"/>
        <v>1.0800000000000001E-2</v>
      </c>
      <c r="EP64" s="460">
        <f t="shared" si="123"/>
        <v>77.548111373499111</v>
      </c>
      <c r="EQ64" s="528">
        <f t="shared" si="88"/>
        <v>1.323757843466002</v>
      </c>
      <c r="ER64" s="460">
        <f t="shared" si="124"/>
        <v>1323.757843466002</v>
      </c>
      <c r="ES64" s="528">
        <f t="shared" si="125"/>
        <v>0.51212000000000002</v>
      </c>
      <c r="ET64" s="528"/>
      <c r="EV64" s="460">
        <f t="shared" si="126"/>
        <v>512.12</v>
      </c>
      <c r="EW64" s="528">
        <f t="shared" si="89"/>
        <v>3.437353033687237E-2</v>
      </c>
      <c r="EX64" s="528">
        <f t="shared" si="90"/>
        <v>2.2459243821740943E-2</v>
      </c>
      <c r="EY64" s="528">
        <f t="shared" si="91"/>
        <v>1.4734920547744264</v>
      </c>
      <c r="EZ64" s="528">
        <f t="shared" si="92"/>
        <v>1.5510165807350411</v>
      </c>
      <c r="FA64" s="528">
        <f t="shared" si="93"/>
        <v>0.56640000000000001</v>
      </c>
      <c r="FB64" s="460">
        <f t="shared" si="127"/>
        <v>2117.416580735041</v>
      </c>
      <c r="FC64" s="173">
        <f t="shared" si="128"/>
        <v>3.9532944242010428</v>
      </c>
      <c r="FD64" s="5">
        <f t="shared" si="129"/>
        <v>14.16</v>
      </c>
      <c r="FE64" s="173">
        <f t="shared" si="130"/>
        <v>0.78174625048223834</v>
      </c>
      <c r="FF64" s="5">
        <f t="shared" si="131"/>
        <v>78.174625048223831</v>
      </c>
      <c r="FI64" s="562">
        <f t="shared" si="94"/>
        <v>-50</v>
      </c>
      <c r="FJ64">
        <f t="shared" si="95"/>
        <v>-50</v>
      </c>
      <c r="FL64">
        <f t="shared" si="181"/>
        <v>0.594920863131019</v>
      </c>
    </row>
    <row r="65" spans="5:168">
      <c r="E65" s="170">
        <v>60</v>
      </c>
      <c r="F65" s="217">
        <f t="shared" si="182"/>
        <v>0.6</v>
      </c>
      <c r="G65" s="217"/>
      <c r="H65" s="217">
        <f t="shared" si="132"/>
        <v>14.399999999999999</v>
      </c>
      <c r="I65" s="541">
        <f t="shared" si="133"/>
        <v>23.891154339199215</v>
      </c>
      <c r="J65" s="172">
        <f t="shared" si="134"/>
        <v>16.362253244509144</v>
      </c>
      <c r="K65" s="172">
        <f t="shared" si="135"/>
        <v>40.362253244509148</v>
      </c>
      <c r="L65" s="443"/>
      <c r="M65" s="217">
        <f t="shared" si="136"/>
        <v>0.4064727556311335</v>
      </c>
      <c r="N65" s="172">
        <f t="shared" si="137"/>
        <v>54.300173828348534</v>
      </c>
      <c r="O65" s="172">
        <f t="shared" si="98"/>
        <v>14.399999999999999</v>
      </c>
      <c r="P65" s="217">
        <f t="shared" si="138"/>
        <v>2.2625072428478554</v>
      </c>
      <c r="Q65" s="217">
        <f t="shared" si="139"/>
        <v>24</v>
      </c>
      <c r="R65" s="217">
        <f t="shared" si="140"/>
        <v>2.2479405878386616</v>
      </c>
      <c r="S65" s="172">
        <f t="shared" si="141"/>
        <v>185.49186130141706</v>
      </c>
      <c r="T65" s="172">
        <f t="shared" si="142"/>
        <v>24</v>
      </c>
      <c r="U65" s="217">
        <f t="shared" si="143"/>
        <v>3.0312011231905709</v>
      </c>
      <c r="V65" s="217">
        <f t="shared" si="11"/>
        <v>1.2687545692244568</v>
      </c>
      <c r="W65" s="217">
        <f t="shared" si="144"/>
        <v>1.8525572718462744</v>
      </c>
      <c r="X65" s="197">
        <f t="shared" si="145"/>
        <v>350</v>
      </c>
      <c r="Y65" s="443">
        <f t="shared" si="14"/>
        <v>301.08585036616677</v>
      </c>
      <c r="AA65" s="217">
        <f t="shared" si="146"/>
        <v>2.7746585662252929</v>
      </c>
      <c r="AB65" s="173">
        <f t="shared" si="147"/>
        <v>1.6957680123649319</v>
      </c>
      <c r="AC65" s="173">
        <f t="shared" si="148"/>
        <v>0.54921181355368021</v>
      </c>
      <c r="AD65" s="173"/>
      <c r="AE65" s="173">
        <f t="shared" si="149"/>
        <v>1.3581394866675576</v>
      </c>
      <c r="AF65" s="545">
        <f t="shared" si="150"/>
        <v>596.10607772349636</v>
      </c>
      <c r="AG65" s="528">
        <f t="shared" si="151"/>
        <v>0.35228629240282366</v>
      </c>
      <c r="AI65" s="173">
        <f t="shared" si="152"/>
        <v>2.9001151293171938</v>
      </c>
      <c r="AJ65" s="173">
        <f t="shared" si="153"/>
        <v>3.0312011231905709</v>
      </c>
      <c r="AK65" s="173">
        <f t="shared" si="154"/>
        <v>1.7992436303469248</v>
      </c>
      <c r="AM65" s="545">
        <f t="shared" si="155"/>
        <v>600</v>
      </c>
      <c r="AN65" s="460">
        <f t="shared" si="156"/>
        <v>301.08585036616677</v>
      </c>
      <c r="AP65">
        <f t="shared" si="157"/>
        <v>600</v>
      </c>
      <c r="AQ65">
        <f t="shared" si="158"/>
        <v>301.08585036616677</v>
      </c>
      <c r="AS65" s="5">
        <f t="shared" si="101"/>
        <v>3.3213118410707314</v>
      </c>
      <c r="AT65" s="5">
        <f t="shared" si="159"/>
        <v>1.2687545692244568</v>
      </c>
      <c r="AU65" s="5">
        <f t="shared" si="102"/>
        <v>2.0525572718462746</v>
      </c>
      <c r="AV65" s="5">
        <f t="shared" si="160"/>
        <v>1.8525572718462744</v>
      </c>
      <c r="AW65" s="173">
        <f t="shared" si="103"/>
        <v>0.38200404838090513</v>
      </c>
      <c r="AX65" s="173">
        <f t="shared" si="161"/>
        <v>13.832155318287844</v>
      </c>
      <c r="AY65" s="173">
        <f t="shared" si="162"/>
        <v>0.62473555256212121</v>
      </c>
      <c r="AZ65" s="173">
        <f t="shared" si="104"/>
        <v>22.140816640833691</v>
      </c>
      <c r="BA65" s="460">
        <f t="shared" si="163"/>
        <v>3.1718864230611419</v>
      </c>
      <c r="BB65" s="5">
        <f t="shared" si="164"/>
        <v>1.0309542566447989</v>
      </c>
      <c r="BC65" s="5"/>
      <c r="BD65" s="173">
        <f t="shared" si="105"/>
        <v>1.0816533721514814</v>
      </c>
      <c r="BE65" s="173">
        <f t="shared" si="165"/>
        <v>0.91764092667077468</v>
      </c>
      <c r="BF65" s="173"/>
      <c r="BG65" s="528">
        <f t="shared" si="166"/>
        <v>4.6798960699466846E-2</v>
      </c>
      <c r="BH65" s="528">
        <f t="shared" si="167"/>
        <v>0.82882533996592889</v>
      </c>
      <c r="BI65" s="528">
        <f t="shared" si="168"/>
        <v>0.28773154081788521</v>
      </c>
      <c r="BJ65" s="528">
        <f t="shared" si="169"/>
        <v>8.5837923044444167E-2</v>
      </c>
      <c r="BK65">
        <f t="shared" si="170"/>
        <v>1.0751019452639647E-2</v>
      </c>
      <c r="BL65" s="460">
        <f t="shared" si="106"/>
        <v>298.48256027052486</v>
      </c>
      <c r="BM65" s="528">
        <f t="shared" si="171"/>
        <v>0.98505115346245797</v>
      </c>
      <c r="BN65" s="460">
        <f t="shared" si="107"/>
        <v>985.05115346245793</v>
      </c>
      <c r="BO65" s="528">
        <f t="shared" si="172"/>
        <v>0.52079999999999993</v>
      </c>
      <c r="BP65" s="528"/>
      <c r="BR65" s="460">
        <f t="shared" si="109"/>
        <v>520.79999999999995</v>
      </c>
      <c r="BS65" s="528">
        <f t="shared" si="173"/>
        <v>3.5099220524600128E-2</v>
      </c>
      <c r="BT65" s="528">
        <f t="shared" si="174"/>
        <v>2.526194610903594E-2</v>
      </c>
      <c r="BU65" s="528">
        <f t="shared" si="175"/>
        <v>0.21599999999999997</v>
      </c>
      <c r="BV65" s="528">
        <f t="shared" si="176"/>
        <v>0.29225913481263899</v>
      </c>
      <c r="BW65" s="528">
        <f t="shared" si="177"/>
        <v>0.55328621273151368</v>
      </c>
      <c r="BX65" s="460">
        <f t="shared" si="110"/>
        <v>845.54534754415272</v>
      </c>
      <c r="BY65" s="173">
        <f t="shared" si="45"/>
        <v>2.6498790612771352</v>
      </c>
      <c r="BZ65" s="5">
        <f t="shared" si="111"/>
        <v>14.399999999999999</v>
      </c>
      <c r="CA65" s="173">
        <f t="shared" si="112"/>
        <v>0.84458077082227434</v>
      </c>
      <c r="CB65" s="5">
        <f t="shared" si="113"/>
        <v>84.458077082227433</v>
      </c>
      <c r="CE65" s="562">
        <f t="shared" si="178"/>
        <v>-50</v>
      </c>
      <c r="CF65">
        <f t="shared" si="179"/>
        <v>-50</v>
      </c>
      <c r="CG65" s="173">
        <f t="shared" si="180"/>
        <v>0.57851195241836717</v>
      </c>
      <c r="CI65" s="170">
        <v>60</v>
      </c>
      <c r="CJ65" s="217">
        <f t="shared" si="114"/>
        <v>0.6</v>
      </c>
      <c r="CK65" s="217"/>
      <c r="CL65" s="217">
        <f t="shared" si="49"/>
        <v>14.399999999999999</v>
      </c>
      <c r="CM65" s="541">
        <f t="shared" si="50"/>
        <v>24</v>
      </c>
      <c r="CN65" s="172">
        <f t="shared" si="51"/>
        <v>16.3415</v>
      </c>
      <c r="CO65" s="443">
        <f t="shared" si="52"/>
        <v>40.341499999999996</v>
      </c>
      <c r="CP65" s="443"/>
      <c r="CQ65" s="217">
        <f t="shared" si="53"/>
        <v>0.40507913686898112</v>
      </c>
      <c r="CR65" s="172">
        <f t="shared" si="54"/>
        <v>54.360539956785601</v>
      </c>
      <c r="CS65" s="172">
        <f t="shared" si="115"/>
        <v>14.399999999999999</v>
      </c>
      <c r="CT65" s="217">
        <f t="shared" si="55"/>
        <v>2.2650224981994</v>
      </c>
      <c r="CU65" s="217">
        <f t="shared" si="56"/>
        <v>24</v>
      </c>
      <c r="CV65" s="217">
        <f t="shared" si="57"/>
        <v>2.250439649272117</v>
      </c>
      <c r="CW65" s="172">
        <f t="shared" si="58"/>
        <v>186.33650599564049</v>
      </c>
      <c r="CX65" s="172">
        <f t="shared" si="59"/>
        <v>24</v>
      </c>
      <c r="CY65" s="217">
        <f t="shared" si="60"/>
        <v>2.9623841140654159</v>
      </c>
      <c r="CZ65" s="217">
        <f t="shared" si="61"/>
        <v>1.2343267141939234</v>
      </c>
      <c r="DA65" s="217">
        <f t="shared" si="62"/>
        <v>1.8127981605516117</v>
      </c>
      <c r="DB65" s="197">
        <f t="shared" si="63"/>
        <v>350</v>
      </c>
      <c r="DC65" s="443">
        <f t="shared" si="116"/>
        <v>328.17821425303742</v>
      </c>
      <c r="DE65" s="217">
        <f t="shared" si="64"/>
        <v>2.7776855099587272</v>
      </c>
      <c r="DF65" s="173">
        <f t="shared" si="65"/>
        <v>1.6997738946600542</v>
      </c>
      <c r="DG65" s="173">
        <f t="shared" si="66"/>
        <v>0.55110977087390545</v>
      </c>
      <c r="DH65" s="173"/>
      <c r="DI65" s="173">
        <f t="shared" si="67"/>
        <v>1.3598642855443031</v>
      </c>
      <c r="DJ65" s="545">
        <f t="shared" si="117"/>
        <v>595.3499999999998</v>
      </c>
      <c r="DK65" s="528">
        <f t="shared" si="68"/>
        <v>0.35273368606701955</v>
      </c>
      <c r="DM65" s="173">
        <f t="shared" si="69"/>
        <v>2.8982753492378874</v>
      </c>
      <c r="DN65" s="173">
        <f t="shared" si="70"/>
        <v>2.9623841140654159</v>
      </c>
      <c r="DO65" s="173">
        <f t="shared" si="71"/>
        <v>1.7482680680319951</v>
      </c>
      <c r="DQ65" s="545">
        <f t="shared" si="72"/>
        <v>600</v>
      </c>
      <c r="DR65" s="460">
        <f t="shared" si="73"/>
        <v>328.17821425303742</v>
      </c>
      <c r="DT65">
        <f t="shared" si="74"/>
        <v>600</v>
      </c>
      <c r="DU65">
        <f t="shared" si="75"/>
        <v>328.17821425303742</v>
      </c>
      <c r="DW65" s="5">
        <f t="shared" si="118"/>
        <v>3.0471248747455353</v>
      </c>
      <c r="DX65" s="5">
        <f t="shared" si="76"/>
        <v>1.2343267141939234</v>
      </c>
      <c r="DY65" s="5">
        <f t="shared" si="119"/>
        <v>1.8127981605516119</v>
      </c>
      <c r="DZ65" s="5">
        <f t="shared" si="77"/>
        <v>1.8127981605516117</v>
      </c>
      <c r="EA65" s="173">
        <f t="shared" si="120"/>
        <v>0.405079136868981</v>
      </c>
      <c r="EB65" s="173">
        <f t="shared" si="78"/>
        <v>14.4</v>
      </c>
      <c r="EC65" s="173">
        <f t="shared" si="79"/>
        <v>0.58775510204081638</v>
      </c>
      <c r="ED65" s="173">
        <f t="shared" si="121"/>
        <v>24.5</v>
      </c>
      <c r="EE65" s="460">
        <f t="shared" si="80"/>
        <v>3.0858167854848082</v>
      </c>
      <c r="EF65" s="5">
        <f t="shared" si="81"/>
        <v>0.90639908027580585</v>
      </c>
      <c r="EG65" s="5"/>
      <c r="EH65" s="173">
        <f t="shared" si="122"/>
        <v>1.0885557613765893</v>
      </c>
      <c r="EI65" s="173">
        <f t="shared" si="82"/>
        <v>0.87990579178435924</v>
      </c>
      <c r="EJ65" s="173"/>
      <c r="EK65" s="528">
        <f t="shared" si="83"/>
        <v>4.7398145825046645E-2</v>
      </c>
      <c r="EL65" s="528">
        <f t="shared" si="84"/>
        <v>1.0785389999999999</v>
      </c>
      <c r="EM65" s="528">
        <f t="shared" si="85"/>
        <v>6.5635642850607481E-2</v>
      </c>
      <c r="EN65" s="528">
        <f t="shared" si="86"/>
        <v>9.3465617787499997E-2</v>
      </c>
      <c r="EO65">
        <f t="shared" si="87"/>
        <v>1.0800000000000001E-2</v>
      </c>
      <c r="EP65" s="460">
        <f t="shared" si="123"/>
        <v>76.435642850607479</v>
      </c>
      <c r="EQ65" s="528">
        <f t="shared" si="88"/>
        <v>1.3235413632297839</v>
      </c>
      <c r="ER65" s="460">
        <f t="shared" si="124"/>
        <v>1323.5413632297839</v>
      </c>
      <c r="ES65" s="528">
        <f t="shared" si="125"/>
        <v>0.52079999999999993</v>
      </c>
      <c r="ET65" s="528"/>
      <c r="EV65" s="460">
        <f t="shared" si="126"/>
        <v>520.79999999999995</v>
      </c>
      <c r="EW65" s="528">
        <f t="shared" si="89"/>
        <v>3.5548609368784977E-2</v>
      </c>
      <c r="EX65" s="528">
        <f t="shared" si="90"/>
        <v>2.3227026072469802E-2</v>
      </c>
      <c r="EY65" s="528">
        <f t="shared" si="91"/>
        <v>1.4734920547744272</v>
      </c>
      <c r="EZ65" s="528">
        <f t="shared" si="92"/>
        <v>1.5536793218747935</v>
      </c>
      <c r="FA65" s="528">
        <f t="shared" si="93"/>
        <v>0.57599999999999996</v>
      </c>
      <c r="FB65" s="460">
        <f t="shared" si="127"/>
        <v>2129.6793218747935</v>
      </c>
      <c r="FC65" s="173">
        <f t="shared" si="128"/>
        <v>3.9740206851045774</v>
      </c>
      <c r="FD65" s="5">
        <f t="shared" si="129"/>
        <v>14.399999999999999</v>
      </c>
      <c r="FE65" s="173">
        <f t="shared" si="130"/>
        <v>0.78371523831328704</v>
      </c>
      <c r="FF65" s="5">
        <f t="shared" si="131"/>
        <v>78.371523831328702</v>
      </c>
      <c r="FI65" s="562">
        <f t="shared" si="94"/>
        <v>-50</v>
      </c>
      <c r="FJ65">
        <f t="shared" si="95"/>
        <v>-50</v>
      </c>
      <c r="FL65">
        <f t="shared" si="181"/>
        <v>0.594920863131019</v>
      </c>
    </row>
    <row r="66" spans="5:168">
      <c r="E66" s="170">
        <v>61</v>
      </c>
      <c r="F66" s="217">
        <f t="shared" si="182"/>
        <v>0.61</v>
      </c>
      <c r="G66" s="217"/>
      <c r="H66" s="217">
        <f t="shared" si="132"/>
        <v>14.64</v>
      </c>
      <c r="I66" s="541">
        <f t="shared" si="133"/>
        <v>23.889391675902765</v>
      </c>
      <c r="J66" s="172">
        <f t="shared" si="134"/>
        <v>16.362589325728273</v>
      </c>
      <c r="K66" s="172">
        <f t="shared" si="135"/>
        <v>40.362589325728273</v>
      </c>
      <c r="L66" s="443"/>
      <c r="M66" s="217">
        <f t="shared" si="136"/>
        <v>0.40649551522871008</v>
      </c>
      <c r="N66" s="172">
        <f t="shared" si="137"/>
        <v>54.299207821892622</v>
      </c>
      <c r="O66" s="172">
        <f t="shared" si="98"/>
        <v>14.64</v>
      </c>
      <c r="P66" s="217">
        <f t="shared" si="138"/>
        <v>2.2624669925788594</v>
      </c>
      <c r="Q66" s="217">
        <f t="shared" si="139"/>
        <v>24</v>
      </c>
      <c r="R66" s="217">
        <f t="shared" si="140"/>
        <v>2.2479005967121655</v>
      </c>
      <c r="S66" s="172">
        <f t="shared" si="141"/>
        <v>181.85389890006937</v>
      </c>
      <c r="T66" s="172">
        <f t="shared" si="142"/>
        <v>24</v>
      </c>
      <c r="U66" s="217">
        <f t="shared" si="143"/>
        <v>3.0818393191691085</v>
      </c>
      <c r="V66" s="217">
        <f t="shared" si="11"/>
        <v>1.2900451216921363</v>
      </c>
      <c r="W66" s="217">
        <f t="shared" si="144"/>
        <v>1.8834667654484698</v>
      </c>
      <c r="X66" s="197">
        <f t="shared" si="145"/>
        <v>350</v>
      </c>
      <c r="Y66" s="443">
        <f t="shared" si="14"/>
        <v>296.4269975783609</v>
      </c>
      <c r="AA66" s="217">
        <f t="shared" si="146"/>
        <v>2.7746091745570003</v>
      </c>
      <c r="AB66" s="173">
        <f t="shared" si="147"/>
        <v>1.695702996220928</v>
      </c>
      <c r="AC66" s="173">
        <f t="shared" si="148"/>
        <v>0.54918098050476505</v>
      </c>
      <c r="AD66" s="173"/>
      <c r="AE66" s="173">
        <f t="shared" si="149"/>
        <v>1.3581115910108652</v>
      </c>
      <c r="AF66" s="545">
        <f t="shared" si="150"/>
        <v>606.05362712461306</v>
      </c>
      <c r="AG66" s="528">
        <f t="shared" si="151"/>
        <v>0.35227905657942943</v>
      </c>
      <c r="AI66" s="173">
        <f t="shared" si="152"/>
        <v>2.9242129187181409</v>
      </c>
      <c r="AJ66" s="173">
        <f t="shared" si="153"/>
        <v>3.0818393191691085</v>
      </c>
      <c r="AK66" s="173">
        <f t="shared" si="154"/>
        <v>1.8367534051458416</v>
      </c>
      <c r="AM66" s="545">
        <f t="shared" si="155"/>
        <v>610</v>
      </c>
      <c r="AN66" s="460">
        <f t="shared" si="156"/>
        <v>296.4269975783609</v>
      </c>
      <c r="AP66">
        <f t="shared" si="157"/>
        <v>610</v>
      </c>
      <c r="AQ66">
        <f t="shared" si="158"/>
        <v>296.4269975783609</v>
      </c>
      <c r="AS66" s="5">
        <f t="shared" si="101"/>
        <v>3.373511887140606</v>
      </c>
      <c r="AT66" s="5">
        <f t="shared" si="159"/>
        <v>1.2900451216921363</v>
      </c>
      <c r="AU66" s="5">
        <f t="shared" si="102"/>
        <v>2.0834667654484695</v>
      </c>
      <c r="AV66" s="5">
        <f t="shared" si="160"/>
        <v>1.8834667654484698</v>
      </c>
      <c r="AW66" s="173">
        <f t="shared" si="103"/>
        <v>0.3824042021638111</v>
      </c>
      <c r="AX66" s="173">
        <f t="shared" si="161"/>
        <v>14.076923258194016</v>
      </c>
      <c r="AY66" s="173">
        <f t="shared" si="162"/>
        <v>0.63476089287724857</v>
      </c>
      <c r="AZ66" s="173">
        <f t="shared" si="104"/>
        <v>22.17673365853722</v>
      </c>
      <c r="BA66" s="460">
        <f t="shared" si="163"/>
        <v>3.2788646843008462</v>
      </c>
      <c r="BB66" s="5">
        <f t="shared" si="164"/>
        <v>1.0639992379592806</v>
      </c>
      <c r="BC66" s="5"/>
      <c r="BD66" s="173">
        <f t="shared" si="105"/>
        <v>1.1002989344618355</v>
      </c>
      <c r="BE66" s="173">
        <f t="shared" si="165"/>
        <v>0.9326686188873935</v>
      </c>
      <c r="BF66" s="173"/>
      <c r="BG66" s="528">
        <f t="shared" si="166"/>
        <v>4.8426309807114015E-2</v>
      </c>
      <c r="BH66" s="528">
        <f t="shared" si="167"/>
        <v>0.82963923851506638</v>
      </c>
      <c r="BI66" s="528">
        <f t="shared" si="168"/>
        <v>0.2832584259384538</v>
      </c>
      <c r="BJ66" s="528">
        <f t="shared" si="169"/>
        <v>8.4511117057362597E-2</v>
      </c>
      <c r="BK66">
        <f t="shared" si="170"/>
        <v>1.0750226254156245E-2</v>
      </c>
      <c r="BL66" s="460">
        <f t="shared" si="106"/>
        <v>294.00865219261004</v>
      </c>
      <c r="BM66" s="528">
        <f t="shared" si="171"/>
        <v>0.9870083774435312</v>
      </c>
      <c r="BN66" s="460">
        <f t="shared" si="107"/>
        <v>987.00837744353123</v>
      </c>
      <c r="BO66" s="528">
        <f t="shared" si="172"/>
        <v>0.52947999999999995</v>
      </c>
      <c r="BP66" s="528"/>
      <c r="BR66" s="460">
        <f t="shared" si="109"/>
        <v>529.4799999999999</v>
      </c>
      <c r="BS66" s="528">
        <f t="shared" si="173"/>
        <v>3.6319732355335511E-2</v>
      </c>
      <c r="BT66" s="528">
        <f t="shared" si="174"/>
        <v>2.6096122579719539E-2</v>
      </c>
      <c r="BU66" s="528">
        <f t="shared" si="175"/>
        <v>0.21959999999999999</v>
      </c>
      <c r="BV66" s="528">
        <f t="shared" si="176"/>
        <v>0.29848608123518894</v>
      </c>
      <c r="BW66" s="528">
        <f t="shared" si="177"/>
        <v>0.56307693032776074</v>
      </c>
      <c r="BX66" s="460">
        <f t="shared" si="110"/>
        <v>861.56301156294967</v>
      </c>
      <c r="BY66" s="173">
        <f t="shared" si="45"/>
        <v>2.6720600411990909</v>
      </c>
      <c r="BZ66" s="5">
        <f t="shared" si="111"/>
        <v>14.64</v>
      </c>
      <c r="CA66" s="173">
        <f t="shared" si="112"/>
        <v>0.84565325935560842</v>
      </c>
      <c r="CB66" s="5">
        <f t="shared" si="113"/>
        <v>84.565325935560836</v>
      </c>
      <c r="CE66" s="562">
        <f t="shared" si="178"/>
        <v>-50</v>
      </c>
      <c r="CF66">
        <f t="shared" si="179"/>
        <v>-50</v>
      </c>
      <c r="CG66" s="173">
        <f t="shared" si="180"/>
        <v>0.57878095095464011</v>
      </c>
      <c r="CI66" s="170">
        <v>61</v>
      </c>
      <c r="CJ66" s="217">
        <f t="shared" si="114"/>
        <v>0.61</v>
      </c>
      <c r="CK66" s="217"/>
      <c r="CL66" s="217">
        <f t="shared" si="49"/>
        <v>14.64</v>
      </c>
      <c r="CM66" s="541">
        <f t="shared" si="50"/>
        <v>24</v>
      </c>
      <c r="CN66" s="172">
        <f t="shared" si="51"/>
        <v>16.3415</v>
      </c>
      <c r="CO66" s="443">
        <f t="shared" si="52"/>
        <v>40.341499999999996</v>
      </c>
      <c r="CP66" s="443"/>
      <c r="CQ66" s="217">
        <f t="shared" si="53"/>
        <v>0.40507913686898112</v>
      </c>
      <c r="CR66" s="172">
        <f t="shared" si="54"/>
        <v>54.360539956785601</v>
      </c>
      <c r="CS66" s="172">
        <f t="shared" si="115"/>
        <v>14.64</v>
      </c>
      <c r="CT66" s="217">
        <f t="shared" si="55"/>
        <v>2.2650224981994</v>
      </c>
      <c r="CU66" s="217">
        <f t="shared" si="56"/>
        <v>24</v>
      </c>
      <c r="CV66" s="217">
        <f t="shared" si="57"/>
        <v>2.250439649272117</v>
      </c>
      <c r="CW66" s="172">
        <f t="shared" si="58"/>
        <v>182.69543259860993</v>
      </c>
      <c r="CX66" s="172">
        <f t="shared" si="59"/>
        <v>24</v>
      </c>
      <c r="CY66" s="217">
        <f t="shared" si="60"/>
        <v>3.0117571826331733</v>
      </c>
      <c r="CZ66" s="217">
        <f t="shared" si="61"/>
        <v>1.2548988260971556</v>
      </c>
      <c r="DA66" s="217">
        <f t="shared" si="62"/>
        <v>1.8430114632274721</v>
      </c>
      <c r="DB66" s="197">
        <f t="shared" si="63"/>
        <v>350</v>
      </c>
      <c r="DC66" s="443">
        <f t="shared" si="116"/>
        <v>322.79824352757771</v>
      </c>
      <c r="DE66" s="217">
        <f t="shared" si="64"/>
        <v>2.7776855099587272</v>
      </c>
      <c r="DF66" s="173">
        <f t="shared" si="65"/>
        <v>1.6997738946600542</v>
      </c>
      <c r="DG66" s="173">
        <f t="shared" si="66"/>
        <v>0.55110977087390545</v>
      </c>
      <c r="DH66" s="173"/>
      <c r="DI66" s="173">
        <f t="shared" si="67"/>
        <v>1.3598642855443031</v>
      </c>
      <c r="DJ66" s="545">
        <f t="shared" si="117"/>
        <v>605.27249999999981</v>
      </c>
      <c r="DK66" s="528">
        <f t="shared" si="68"/>
        <v>0.35273368606701955</v>
      </c>
      <c r="DM66" s="173">
        <f t="shared" si="69"/>
        <v>2.9223278392404914</v>
      </c>
      <c r="DN66" s="173">
        <f t="shared" si="70"/>
        <v>3.0117571826331733</v>
      </c>
      <c r="DO66" s="173">
        <f t="shared" si="71"/>
        <v>1.7848407114155191</v>
      </c>
      <c r="DQ66" s="545">
        <f t="shared" si="72"/>
        <v>610</v>
      </c>
      <c r="DR66" s="460">
        <f t="shared" si="73"/>
        <v>322.79824352757771</v>
      </c>
      <c r="DT66">
        <f t="shared" si="74"/>
        <v>610</v>
      </c>
      <c r="DU66">
        <f t="shared" si="75"/>
        <v>322.79824352757771</v>
      </c>
      <c r="DW66" s="5">
        <f t="shared" si="118"/>
        <v>3.0979102893246284</v>
      </c>
      <c r="DX66" s="5">
        <f t="shared" si="76"/>
        <v>1.2548988260971556</v>
      </c>
      <c r="DY66" s="5">
        <f t="shared" si="119"/>
        <v>1.8430114632274728</v>
      </c>
      <c r="DZ66" s="5">
        <f t="shared" si="77"/>
        <v>1.8430114632274721</v>
      </c>
      <c r="EA66" s="173">
        <f t="shared" si="120"/>
        <v>0.405079136868981</v>
      </c>
      <c r="EB66" s="173">
        <f t="shared" si="78"/>
        <v>14.639999999999997</v>
      </c>
      <c r="EC66" s="173">
        <f t="shared" si="79"/>
        <v>0.59755102040816344</v>
      </c>
      <c r="ED66" s="173">
        <f t="shared" si="121"/>
        <v>24.499999999999989</v>
      </c>
      <c r="EE66" s="460">
        <f t="shared" si="80"/>
        <v>3.1895345163302706</v>
      </c>
      <c r="EF66" s="5">
        <f t="shared" si="81"/>
        <v>0.93686416047396515</v>
      </c>
      <c r="EG66" s="5"/>
      <c r="EH66" s="173">
        <f t="shared" si="122"/>
        <v>1.1066983573995326</v>
      </c>
      <c r="EI66" s="173">
        <f t="shared" si="82"/>
        <v>0.8945708883140987</v>
      </c>
      <c r="EJ66" s="173"/>
      <c r="EK66" s="528">
        <f t="shared" si="83"/>
        <v>4.8991250170832945E-2</v>
      </c>
      <c r="EL66" s="528">
        <f t="shared" si="84"/>
        <v>1.0785389999999999</v>
      </c>
      <c r="EM66" s="528">
        <f t="shared" si="85"/>
        <v>6.4559648705515532E-2</v>
      </c>
      <c r="EN66" s="528">
        <f t="shared" si="86"/>
        <v>9.193339454508194E-2</v>
      </c>
      <c r="EO66">
        <f t="shared" si="87"/>
        <v>1.0800000000000001E-2</v>
      </c>
      <c r="EP66" s="460">
        <f t="shared" si="123"/>
        <v>75.359648705515539</v>
      </c>
      <c r="EQ66" s="528">
        <f t="shared" si="88"/>
        <v>1.3234563882095338</v>
      </c>
      <c r="ER66" s="460">
        <f t="shared" si="124"/>
        <v>1323.4563882095338</v>
      </c>
      <c r="ES66" s="528">
        <f t="shared" si="125"/>
        <v>0.52947999999999995</v>
      </c>
      <c r="ET66" s="528"/>
      <c r="EV66" s="460">
        <f t="shared" si="126"/>
        <v>529.4799999999999</v>
      </c>
      <c r="EW66" s="528">
        <f t="shared" si="89"/>
        <v>3.6743437628124709E-2</v>
      </c>
      <c r="EX66" s="528">
        <f t="shared" si="90"/>
        <v>2.4007712226572268E-2</v>
      </c>
      <c r="EY66" s="528">
        <f t="shared" si="91"/>
        <v>1.473492054774427</v>
      </c>
      <c r="EZ66" s="528">
        <f t="shared" si="92"/>
        <v>1.5563876678294764</v>
      </c>
      <c r="FA66" s="528">
        <f t="shared" si="93"/>
        <v>0.5855999999999999</v>
      </c>
      <c r="FB66" s="460">
        <f t="shared" si="127"/>
        <v>2141.9876678294763</v>
      </c>
      <c r="FC66" s="173">
        <f t="shared" si="128"/>
        <v>3.99492405603901</v>
      </c>
      <c r="FD66" s="5">
        <f t="shared" si="129"/>
        <v>14.64</v>
      </c>
      <c r="FE66" s="173">
        <f t="shared" si="130"/>
        <v>0.78562166156269486</v>
      </c>
      <c r="FF66" s="5">
        <f t="shared" si="131"/>
        <v>78.562166156269484</v>
      </c>
      <c r="FI66" s="562">
        <f t="shared" si="94"/>
        <v>-50</v>
      </c>
      <c r="FJ66">
        <f t="shared" si="95"/>
        <v>-50</v>
      </c>
      <c r="FL66">
        <f t="shared" si="181"/>
        <v>0.594920863131019</v>
      </c>
    </row>
    <row r="67" spans="5:168">
      <c r="E67" s="170">
        <v>62</v>
      </c>
      <c r="F67" s="217">
        <f t="shared" si="182"/>
        <v>0.62</v>
      </c>
      <c r="G67" s="217"/>
      <c r="H67" s="217">
        <f t="shared" si="132"/>
        <v>14.879999999999999</v>
      </c>
      <c r="I67" s="541">
        <f t="shared" si="133"/>
        <v>23.887628966362314</v>
      </c>
      <c r="J67" s="172">
        <f t="shared" si="134"/>
        <v>16.362925415764586</v>
      </c>
      <c r="K67" s="172">
        <f t="shared" si="135"/>
        <v>40.362925415764586</v>
      </c>
      <c r="L67" s="443"/>
      <c r="M67" s="217">
        <f t="shared" si="136"/>
        <v>0.40651827690638176</v>
      </c>
      <c r="N67" s="172">
        <f t="shared" si="137"/>
        <v>54.298241539518578</v>
      </c>
      <c r="O67" s="172">
        <f t="shared" si="98"/>
        <v>14.879999999999999</v>
      </c>
      <c r="P67" s="217">
        <f t="shared" si="138"/>
        <v>2.2624267308132739</v>
      </c>
      <c r="Q67" s="217">
        <f t="shared" si="139"/>
        <v>24</v>
      </c>
      <c r="R67" s="217">
        <f t="shared" si="140"/>
        <v>2.2478605941630976</v>
      </c>
      <c r="S67" s="172">
        <f t="shared" si="141"/>
        <v>178.33344883526595</v>
      </c>
      <c r="T67" s="172">
        <f t="shared" si="142"/>
        <v>24</v>
      </c>
      <c r="U67" s="217">
        <f t="shared" si="143"/>
        <v>3.1324814100035199</v>
      </c>
      <c r="V67" s="217">
        <f t="shared" si="11"/>
        <v>1.3113404492403018</v>
      </c>
      <c r="W67" s="217">
        <f t="shared" si="144"/>
        <v>1.9143773686003502</v>
      </c>
      <c r="X67" s="197">
        <f t="shared" si="145"/>
        <v>350</v>
      </c>
      <c r="Y67" s="443">
        <f t="shared" si="14"/>
        <v>291.90962396031046</v>
      </c>
      <c r="AA67" s="217">
        <f t="shared" si="146"/>
        <v>2.7745597696811504</v>
      </c>
      <c r="AB67" s="173">
        <f t="shared" si="147"/>
        <v>1.6956379737623493</v>
      </c>
      <c r="AC67" s="173">
        <f t="shared" si="148"/>
        <v>0.54915014354639247</v>
      </c>
      <c r="AD67" s="173"/>
      <c r="AE67" s="173">
        <f t="shared" si="149"/>
        <v>1.3580836957682763</v>
      </c>
      <c r="AF67" s="545">
        <f t="shared" si="150"/>
        <v>616.00158499227689</v>
      </c>
      <c r="AG67" s="528">
        <f t="shared" si="151"/>
        <v>0.35227182086344905</v>
      </c>
      <c r="AI67" s="173">
        <f t="shared" si="152"/>
        <v>2.9481147175607134</v>
      </c>
      <c r="AJ67" s="173">
        <f t="shared" si="153"/>
        <v>3.1324814100035199</v>
      </c>
      <c r="AK67" s="173">
        <f t="shared" si="154"/>
        <v>1.8742660650231833</v>
      </c>
      <c r="AM67" s="545">
        <f t="shared" si="155"/>
        <v>620</v>
      </c>
      <c r="AN67" s="460">
        <f t="shared" si="156"/>
        <v>291.90962396031046</v>
      </c>
      <c r="AP67">
        <f t="shared" si="157"/>
        <v>620</v>
      </c>
      <c r="AQ67">
        <f t="shared" si="158"/>
        <v>291.90962396031046</v>
      </c>
      <c r="AS67" s="5">
        <f t="shared" si="101"/>
        <v>3.4257178178406518</v>
      </c>
      <c r="AT67" s="5">
        <f t="shared" si="159"/>
        <v>1.3113404492403018</v>
      </c>
      <c r="AU67" s="5">
        <f t="shared" si="102"/>
        <v>2.11437736860035</v>
      </c>
      <c r="AV67" s="5">
        <f t="shared" si="160"/>
        <v>1.9143773686003502</v>
      </c>
      <c r="AW67" s="173">
        <f t="shared" si="103"/>
        <v>0.3827928974216811</v>
      </c>
      <c r="AX67" s="173">
        <f t="shared" si="161"/>
        <v>14.321728037428898</v>
      </c>
      <c r="AY67" s="173">
        <f t="shared" si="162"/>
        <v>0.64478548994539797</v>
      </c>
      <c r="AZ67" s="173">
        <f t="shared" si="104"/>
        <v>22.211616515504556</v>
      </c>
      <c r="BA67" s="460">
        <f t="shared" si="163"/>
        <v>3.3876294938707798</v>
      </c>
      <c r="BB67" s="5">
        <f t="shared" si="164"/>
        <v>1.0975672557357601</v>
      </c>
      <c r="BC67" s="5"/>
      <c r="BD67" s="173">
        <f t="shared" si="105"/>
        <v>1.1189477580447158</v>
      </c>
      <c r="BE67" s="173">
        <f t="shared" si="165"/>
        <v>0.94769625935137336</v>
      </c>
      <c r="BF67" s="173"/>
      <c r="BG67" s="528">
        <f t="shared" si="166"/>
        <v>5.0081763409331841E-2</v>
      </c>
      <c r="BH67" s="528">
        <f t="shared" si="167"/>
        <v>0.83042816292254029</v>
      </c>
      <c r="BI67" s="528">
        <f t="shared" si="168"/>
        <v>0.27892115155496972</v>
      </c>
      <c r="BJ67" s="528">
        <f t="shared" si="169"/>
        <v>8.3224603157904434E-2</v>
      </c>
      <c r="BK67">
        <f t="shared" si="170"/>
        <v>1.074943303486304E-2</v>
      </c>
      <c r="BL67" s="460">
        <f t="shared" si="106"/>
        <v>289.67058458983274</v>
      </c>
      <c r="BM67" s="528">
        <f t="shared" si="171"/>
        <v>0.98902544164044981</v>
      </c>
      <c r="BN67" s="460">
        <f t="shared" si="107"/>
        <v>989.0254416404498</v>
      </c>
      <c r="BO67" s="528">
        <f t="shared" si="172"/>
        <v>0.53815999999999997</v>
      </c>
      <c r="BP67" s="528"/>
      <c r="BR67" s="460">
        <f t="shared" si="109"/>
        <v>538.16</v>
      </c>
      <c r="BS67" s="528">
        <f t="shared" si="173"/>
        <v>3.7561322556998879E-2</v>
      </c>
      <c r="BT67" s="528">
        <f t="shared" si="174"/>
        <v>2.6943845999657563E-2</v>
      </c>
      <c r="BU67" s="528">
        <f t="shared" si="175"/>
        <v>0.22319999999999998</v>
      </c>
      <c r="BV67" s="528">
        <f t="shared" si="176"/>
        <v>0.3047590919378238</v>
      </c>
      <c r="BW67" s="528">
        <f t="shared" si="177"/>
        <v>0.57286912149715596</v>
      </c>
      <c r="BX67" s="460">
        <f t="shared" si="110"/>
        <v>877.62821343497978</v>
      </c>
      <c r="BY67" s="173">
        <f t="shared" si="45"/>
        <v>2.6944842396652624</v>
      </c>
      <c r="BZ67" s="5">
        <f t="shared" si="111"/>
        <v>14.879999999999999</v>
      </c>
      <c r="CA67" s="173">
        <f t="shared" si="112"/>
        <v>0.84668203044139045</v>
      </c>
      <c r="CB67" s="5">
        <f t="shared" si="113"/>
        <v>84.668203044139048</v>
      </c>
      <c r="CE67" s="562">
        <f t="shared" si="178"/>
        <v>-50</v>
      </c>
      <c r="CF67">
        <f t="shared" si="179"/>
        <v>-50</v>
      </c>
      <c r="CG67" s="173">
        <f t="shared" si="180"/>
        <v>0.57904127211877521</v>
      </c>
      <c r="CI67" s="170">
        <v>62</v>
      </c>
      <c r="CJ67" s="217">
        <f t="shared" si="114"/>
        <v>0.62</v>
      </c>
      <c r="CK67" s="217"/>
      <c r="CL67" s="217">
        <f t="shared" si="49"/>
        <v>14.879999999999999</v>
      </c>
      <c r="CM67" s="541">
        <f t="shared" si="50"/>
        <v>24</v>
      </c>
      <c r="CN67" s="172">
        <f t="shared" si="51"/>
        <v>16.3415</v>
      </c>
      <c r="CO67" s="443">
        <f t="shared" si="52"/>
        <v>40.341499999999996</v>
      </c>
      <c r="CP67" s="443"/>
      <c r="CQ67" s="217">
        <f t="shared" si="53"/>
        <v>0.40507913686898112</v>
      </c>
      <c r="CR67" s="172">
        <f t="shared" si="54"/>
        <v>54.360539956785601</v>
      </c>
      <c r="CS67" s="172">
        <f t="shared" si="115"/>
        <v>14.879999999999999</v>
      </c>
      <c r="CT67" s="217">
        <f t="shared" si="55"/>
        <v>2.2650224981994</v>
      </c>
      <c r="CU67" s="217">
        <f t="shared" si="56"/>
        <v>24</v>
      </c>
      <c r="CV67" s="217">
        <f t="shared" si="57"/>
        <v>2.250439649272117</v>
      </c>
      <c r="CW67" s="172">
        <f t="shared" si="58"/>
        <v>179.17188699696888</v>
      </c>
      <c r="CX67" s="172">
        <f t="shared" si="59"/>
        <v>24</v>
      </c>
      <c r="CY67" s="217">
        <f t="shared" si="60"/>
        <v>3.0611302512009297</v>
      </c>
      <c r="CZ67" s="217">
        <f t="shared" si="61"/>
        <v>1.2754709380003875</v>
      </c>
      <c r="DA67" s="217">
        <f t="shared" si="62"/>
        <v>1.8732247659033321</v>
      </c>
      <c r="DB67" s="197">
        <f t="shared" si="63"/>
        <v>350</v>
      </c>
      <c r="DC67" s="443">
        <f t="shared" si="116"/>
        <v>317.5918202448749</v>
      </c>
      <c r="DE67" s="217">
        <f t="shared" si="64"/>
        <v>2.7776855099587272</v>
      </c>
      <c r="DF67" s="173">
        <f t="shared" si="65"/>
        <v>1.6997738946600542</v>
      </c>
      <c r="DG67" s="173">
        <f t="shared" si="66"/>
        <v>0.55110977087390545</v>
      </c>
      <c r="DH67" s="173"/>
      <c r="DI67" s="173">
        <f t="shared" si="67"/>
        <v>1.3598642855443031</v>
      </c>
      <c r="DJ67" s="545">
        <f t="shared" si="117"/>
        <v>615.19499999999982</v>
      </c>
      <c r="DK67" s="528">
        <f t="shared" si="68"/>
        <v>0.35273368606701955</v>
      </c>
      <c r="DM67" s="173">
        <f t="shared" si="69"/>
        <v>2.9461839725312466</v>
      </c>
      <c r="DN67" s="173">
        <f t="shared" si="70"/>
        <v>3.0611302512009297</v>
      </c>
      <c r="DO67" s="173">
        <f t="shared" si="71"/>
        <v>1.8214133547990425</v>
      </c>
      <c r="DQ67" s="545">
        <f t="shared" si="72"/>
        <v>620</v>
      </c>
      <c r="DR67" s="460">
        <f t="shared" si="73"/>
        <v>317.5918202448749</v>
      </c>
      <c r="DT67">
        <f t="shared" si="74"/>
        <v>620</v>
      </c>
      <c r="DU67">
        <f t="shared" si="75"/>
        <v>317.5918202448749</v>
      </c>
      <c r="DW67" s="5">
        <f t="shared" si="118"/>
        <v>3.1486957039037198</v>
      </c>
      <c r="DX67" s="5">
        <f t="shared" si="76"/>
        <v>1.2754709380003875</v>
      </c>
      <c r="DY67" s="5">
        <f t="shared" si="119"/>
        <v>1.8732247659033323</v>
      </c>
      <c r="DZ67" s="5">
        <f t="shared" si="77"/>
        <v>1.8732247659033321</v>
      </c>
      <c r="EA67" s="173">
        <f t="shared" si="120"/>
        <v>0.405079136868981</v>
      </c>
      <c r="EB67" s="173">
        <f t="shared" si="78"/>
        <v>14.879999999999999</v>
      </c>
      <c r="EC67" s="173">
        <f t="shared" si="79"/>
        <v>0.60734693877551027</v>
      </c>
      <c r="ED67" s="173">
        <f t="shared" si="121"/>
        <v>24.499999999999996</v>
      </c>
      <c r="EE67" s="460">
        <f t="shared" si="80"/>
        <v>3.2949665898343343</v>
      </c>
      <c r="EF67" s="5">
        <f t="shared" si="81"/>
        <v>0.96783279571672154</v>
      </c>
      <c r="EG67" s="5"/>
      <c r="EH67" s="173">
        <f t="shared" si="122"/>
        <v>1.1248409534224755</v>
      </c>
      <c r="EI67" s="173">
        <f t="shared" si="82"/>
        <v>0.90923598484383783</v>
      </c>
      <c r="EJ67" s="173"/>
      <c r="EK67" s="528">
        <f t="shared" si="83"/>
        <v>5.0610686819855345E-2</v>
      </c>
      <c r="EL67" s="528">
        <f t="shared" si="84"/>
        <v>1.0785389999999999</v>
      </c>
      <c r="EM67" s="528">
        <f t="shared" si="85"/>
        <v>6.3518364048974971E-2</v>
      </c>
      <c r="EN67" s="528">
        <f t="shared" si="86"/>
        <v>9.0450597858870954E-2</v>
      </c>
      <c r="EO67">
        <f t="shared" si="87"/>
        <v>1.0800000000000001E-2</v>
      </c>
      <c r="EP67" s="460">
        <f t="shared" si="123"/>
        <v>74.318364048974971</v>
      </c>
      <c r="EQ67" s="528">
        <f t="shared" si="88"/>
        <v>1.3234987377664225</v>
      </c>
      <c r="ER67" s="460">
        <f t="shared" si="124"/>
        <v>1323.4987377664224</v>
      </c>
      <c r="ES67" s="528">
        <f t="shared" si="125"/>
        <v>0.53815999999999997</v>
      </c>
      <c r="ET67" s="528"/>
      <c r="EV67" s="460">
        <f t="shared" si="126"/>
        <v>538.16</v>
      </c>
      <c r="EW67" s="528">
        <f t="shared" si="89"/>
        <v>3.7958015114891504E-2</v>
      </c>
      <c r="EX67" s="528">
        <f t="shared" si="90"/>
        <v>2.480130228404831E-2</v>
      </c>
      <c r="EY67" s="528">
        <f t="shared" si="91"/>
        <v>1.4734920547744275</v>
      </c>
      <c r="EZ67" s="528">
        <f t="shared" si="92"/>
        <v>1.5591416616622467</v>
      </c>
      <c r="FA67" s="528">
        <f t="shared" si="93"/>
        <v>0.59519999999999995</v>
      </c>
      <c r="FB67" s="460">
        <f t="shared" si="127"/>
        <v>2154.3416616622462</v>
      </c>
      <c r="FC67" s="173">
        <f t="shared" si="128"/>
        <v>4.0160003994286688</v>
      </c>
      <c r="FD67" s="5">
        <f t="shared" si="129"/>
        <v>14.879999999999999</v>
      </c>
      <c r="FE67" s="173">
        <f t="shared" si="130"/>
        <v>0.78746823060238214</v>
      </c>
      <c r="FF67" s="5">
        <f t="shared" si="131"/>
        <v>78.746823060238214</v>
      </c>
      <c r="FI67" s="562">
        <f t="shared" si="94"/>
        <v>-50</v>
      </c>
      <c r="FJ67">
        <f t="shared" si="95"/>
        <v>-50</v>
      </c>
      <c r="FL67">
        <f t="shared" si="181"/>
        <v>0.594920863131019</v>
      </c>
    </row>
    <row r="68" spans="5:168">
      <c r="E68" s="170">
        <v>63</v>
      </c>
      <c r="F68" s="217">
        <f t="shared" si="182"/>
        <v>0.63</v>
      </c>
      <c r="G68" s="217"/>
      <c r="H68" s="217">
        <f t="shared" si="132"/>
        <v>15.120000000000001</v>
      </c>
      <c r="I68" s="541">
        <f t="shared" si="133"/>
        <v>23.885866212839375</v>
      </c>
      <c r="J68" s="172">
        <f t="shared" si="134"/>
        <v>16.363261514186902</v>
      </c>
      <c r="K68" s="172">
        <f t="shared" si="135"/>
        <v>40.363261514186902</v>
      </c>
      <c r="L68" s="443"/>
      <c r="M68" s="217">
        <f t="shared" si="136"/>
        <v>0.40654104064160507</v>
      </c>
      <c r="N68" s="172">
        <f t="shared" si="137"/>
        <v>54.297274983277198</v>
      </c>
      <c r="O68" s="172">
        <f t="shared" si="98"/>
        <v>15.120000000000001</v>
      </c>
      <c r="P68" s="217">
        <f t="shared" si="138"/>
        <v>2.2623864576365498</v>
      </c>
      <c r="Q68" s="217">
        <f t="shared" si="139"/>
        <v>24</v>
      </c>
      <c r="R68" s="217">
        <f t="shared" si="140"/>
        <v>2.2478205802763598</v>
      </c>
      <c r="S68" s="172">
        <f t="shared" si="141"/>
        <v>174.92491598840138</v>
      </c>
      <c r="T68" s="172">
        <f t="shared" si="142"/>
        <v>24</v>
      </c>
      <c r="U68" s="217">
        <f t="shared" si="143"/>
        <v>3.1831273965535525</v>
      </c>
      <c r="V68" s="217">
        <f t="shared" si="11"/>
        <v>1.3326405532835672</v>
      </c>
      <c r="W68" s="217">
        <f t="shared" si="144"/>
        <v>1.9452890817602531</v>
      </c>
      <c r="X68" s="197">
        <f t="shared" si="145"/>
        <v>350</v>
      </c>
      <c r="Y68" s="443">
        <f t="shared" si="14"/>
        <v>287.52738121091988</v>
      </c>
      <c r="AA68" s="217">
        <f t="shared" si="146"/>
        <v>2.7745103516589489</v>
      </c>
      <c r="AB68" s="173">
        <f t="shared" si="147"/>
        <v>1.6955729450717734</v>
      </c>
      <c r="AC68" s="173">
        <f t="shared" si="148"/>
        <v>0.54911930271782883</v>
      </c>
      <c r="AD68" s="173"/>
      <c r="AE68" s="173">
        <f t="shared" si="149"/>
        <v>1.3580558009755954</v>
      </c>
      <c r="AF68" s="545">
        <f t="shared" si="150"/>
        <v>625.94995132605504</v>
      </c>
      <c r="AG68" s="528">
        <f t="shared" si="151"/>
        <v>0.35226458526416971</v>
      </c>
      <c r="AI68" s="173">
        <f t="shared" si="152"/>
        <v>2.9718252547867667</v>
      </c>
      <c r="AJ68" s="173">
        <f t="shared" si="153"/>
        <v>3.1831273965535525</v>
      </c>
      <c r="AK68" s="173">
        <f t="shared" si="154"/>
        <v>1.9117816106158001</v>
      </c>
      <c r="AM68" s="545">
        <f t="shared" si="155"/>
        <v>630</v>
      </c>
      <c r="AN68" s="460">
        <f t="shared" si="156"/>
        <v>287.52738121091988</v>
      </c>
      <c r="AP68">
        <f t="shared" si="157"/>
        <v>630</v>
      </c>
      <c r="AQ68">
        <f t="shared" si="158"/>
        <v>287.52738121091988</v>
      </c>
      <c r="AS68" s="5">
        <f t="shared" si="101"/>
        <v>3.4779296350438202</v>
      </c>
      <c r="AT68" s="5">
        <f t="shared" si="159"/>
        <v>1.3326405532835672</v>
      </c>
      <c r="AU68" s="5">
        <f t="shared" si="102"/>
        <v>2.1452890817602528</v>
      </c>
      <c r="AV68" s="5">
        <f t="shared" si="160"/>
        <v>1.9452890817602531</v>
      </c>
      <c r="AW68" s="173">
        <f t="shared" si="103"/>
        <v>0.38317064838109544</v>
      </c>
      <c r="AX68" s="173">
        <f t="shared" si="161"/>
        <v>14.566568455836711</v>
      </c>
      <c r="AY68" s="173">
        <f t="shared" si="162"/>
        <v>0.65480937711352261</v>
      </c>
      <c r="AZ68" s="173">
        <f t="shared" si="104"/>
        <v>22.245509861278823</v>
      </c>
      <c r="BA68" s="460">
        <f t="shared" si="163"/>
        <v>3.498181452369364</v>
      </c>
      <c r="BB68" s="5">
        <f t="shared" si="164"/>
        <v>1.131658453970968</v>
      </c>
      <c r="BC68" s="5"/>
      <c r="BD68" s="173">
        <f t="shared" si="105"/>
        <v>1.1375998079708343</v>
      </c>
      <c r="BE68" s="173">
        <f t="shared" si="165"/>
        <v>0.96272387610342947</v>
      </c>
      <c r="BF68" s="173"/>
      <c r="BG68" s="528">
        <f t="shared" si="166"/>
        <v>5.1765332923811157E-2</v>
      </c>
      <c r="BH68" s="528">
        <f t="shared" si="167"/>
        <v>0.8311932336190051</v>
      </c>
      <c r="BI68" s="528">
        <f t="shared" si="168"/>
        <v>0.27471362240528396</v>
      </c>
      <c r="BJ68" s="528">
        <f t="shared" si="169"/>
        <v>8.1976573401080333E-2</v>
      </c>
      <c r="BK68">
        <f t="shared" si="170"/>
        <v>1.0748639795777719E-2</v>
      </c>
      <c r="BL68" s="460">
        <f t="shared" si="106"/>
        <v>285.46226220106166</v>
      </c>
      <c r="BM68" s="528">
        <f t="shared" si="171"/>
        <v>0.99110177978274561</v>
      </c>
      <c r="BN68" s="460">
        <f t="shared" si="107"/>
        <v>991.10177978274555</v>
      </c>
      <c r="BO68" s="528">
        <f t="shared" si="172"/>
        <v>0.54683999999999988</v>
      </c>
      <c r="BP68" s="528"/>
      <c r="BR68" s="460">
        <f t="shared" si="109"/>
        <v>546.83999999999992</v>
      </c>
      <c r="BS68" s="528">
        <f t="shared" si="173"/>
        <v>3.8823999692858366E-2</v>
      </c>
      <c r="BT68" s="528">
        <f t="shared" si="174"/>
        <v>2.7805117848588343E-2</v>
      </c>
      <c r="BU68" s="528">
        <f t="shared" si="175"/>
        <v>0.2268</v>
      </c>
      <c r="BV68" s="528">
        <f t="shared" si="176"/>
        <v>0.31107825532247146</v>
      </c>
      <c r="BW68" s="528">
        <f t="shared" si="177"/>
        <v>0.58266273823346837</v>
      </c>
      <c r="BX68" s="460">
        <f t="shared" si="110"/>
        <v>893.74099355593978</v>
      </c>
      <c r="BY68" s="173">
        <f t="shared" si="45"/>
        <v>2.7171450355397466</v>
      </c>
      <c r="BZ68" s="5">
        <f t="shared" si="111"/>
        <v>15.120000000000001</v>
      </c>
      <c r="CA68" s="173">
        <f t="shared" si="112"/>
        <v>0.84766928619316873</v>
      </c>
      <c r="CB68" s="5">
        <f t="shared" si="113"/>
        <v>84.766928619316872</v>
      </c>
      <c r="CE68" s="562">
        <f t="shared" si="178"/>
        <v>-50</v>
      </c>
      <c r="CF68">
        <f t="shared" si="179"/>
        <v>-50</v>
      </c>
      <c r="CG68" s="173">
        <f t="shared" si="180"/>
        <v>0.57929332911896947</v>
      </c>
      <c r="CI68" s="170">
        <v>63</v>
      </c>
      <c r="CJ68" s="217">
        <f t="shared" si="114"/>
        <v>0.63</v>
      </c>
      <c r="CK68" s="217"/>
      <c r="CL68" s="217">
        <f t="shared" si="49"/>
        <v>15.120000000000001</v>
      </c>
      <c r="CM68" s="541">
        <f t="shared" si="50"/>
        <v>24</v>
      </c>
      <c r="CN68" s="172">
        <f t="shared" si="51"/>
        <v>16.3415</v>
      </c>
      <c r="CO68" s="443">
        <f t="shared" si="52"/>
        <v>40.341499999999996</v>
      </c>
      <c r="CP68" s="443"/>
      <c r="CQ68" s="217">
        <f t="shared" si="53"/>
        <v>0.40507913686898112</v>
      </c>
      <c r="CR68" s="172">
        <f t="shared" si="54"/>
        <v>54.360539956785601</v>
      </c>
      <c r="CS68" s="172">
        <f t="shared" si="115"/>
        <v>15.120000000000001</v>
      </c>
      <c r="CT68" s="217">
        <f t="shared" si="55"/>
        <v>2.2650224981994</v>
      </c>
      <c r="CU68" s="217">
        <f t="shared" si="56"/>
        <v>24</v>
      </c>
      <c r="CV68" s="217">
        <f t="shared" si="57"/>
        <v>2.250439649272117</v>
      </c>
      <c r="CW68" s="172">
        <f t="shared" si="58"/>
        <v>175.76027331644519</v>
      </c>
      <c r="CX68" s="172">
        <f t="shared" si="59"/>
        <v>24</v>
      </c>
      <c r="CY68" s="217">
        <f t="shared" si="60"/>
        <v>3.1105033197686871</v>
      </c>
      <c r="CZ68" s="217">
        <f t="shared" si="61"/>
        <v>1.2960430499036197</v>
      </c>
      <c r="DA68" s="217">
        <f t="shared" si="62"/>
        <v>1.9034380685791925</v>
      </c>
      <c r="DB68" s="197">
        <f t="shared" si="63"/>
        <v>350</v>
      </c>
      <c r="DC68" s="443">
        <f t="shared" si="116"/>
        <v>312.55068024098796</v>
      </c>
      <c r="DE68" s="217">
        <f t="shared" si="64"/>
        <v>2.7776855099587272</v>
      </c>
      <c r="DF68" s="173">
        <f t="shared" si="65"/>
        <v>1.6997738946600542</v>
      </c>
      <c r="DG68" s="173">
        <f t="shared" si="66"/>
        <v>0.55110977087390545</v>
      </c>
      <c r="DH68" s="173"/>
      <c r="DI68" s="173">
        <f t="shared" si="67"/>
        <v>1.3598642855443031</v>
      </c>
      <c r="DJ68" s="545">
        <f t="shared" si="117"/>
        <v>625.11749999999972</v>
      </c>
      <c r="DK68" s="528">
        <f t="shared" si="68"/>
        <v>0.35273368606701955</v>
      </c>
      <c r="DM68" s="173">
        <f t="shared" si="69"/>
        <v>2.9698484809834995</v>
      </c>
      <c r="DN68" s="173">
        <f t="shared" si="70"/>
        <v>3.1105033197686871</v>
      </c>
      <c r="DO68" s="173">
        <f t="shared" si="71"/>
        <v>1.8579859981825664</v>
      </c>
      <c r="DQ68" s="545">
        <f t="shared" si="72"/>
        <v>630</v>
      </c>
      <c r="DR68" s="460">
        <f t="shared" si="73"/>
        <v>312.55068024098796</v>
      </c>
      <c r="DT68">
        <f t="shared" si="74"/>
        <v>630</v>
      </c>
      <c r="DU68">
        <f t="shared" si="75"/>
        <v>312.55068024098796</v>
      </c>
      <c r="DW68" s="5">
        <f t="shared" si="118"/>
        <v>3.199481118482812</v>
      </c>
      <c r="DX68" s="5">
        <f t="shared" si="76"/>
        <v>1.2960430499036197</v>
      </c>
      <c r="DY68" s="5">
        <f t="shared" si="119"/>
        <v>1.9034380685791923</v>
      </c>
      <c r="DZ68" s="5">
        <f t="shared" si="77"/>
        <v>1.9034380685791925</v>
      </c>
      <c r="EA68" s="173">
        <f t="shared" si="120"/>
        <v>0.40507913686898112</v>
      </c>
      <c r="EB68" s="173">
        <f t="shared" si="78"/>
        <v>15.12</v>
      </c>
      <c r="EC68" s="173">
        <f t="shared" si="79"/>
        <v>0.6171428571428571</v>
      </c>
      <c r="ED68" s="173">
        <f t="shared" si="121"/>
        <v>24.5</v>
      </c>
      <c r="EE68" s="460">
        <f t="shared" si="80"/>
        <v>3.4021130059970015</v>
      </c>
      <c r="EF68" s="5">
        <f t="shared" si="81"/>
        <v>0.9993049860040758</v>
      </c>
      <c r="EG68" s="5"/>
      <c r="EH68" s="173">
        <f t="shared" si="122"/>
        <v>1.142983549445419</v>
      </c>
      <c r="EI68" s="173">
        <f t="shared" si="82"/>
        <v>0.92390108137357729</v>
      </c>
      <c r="EJ68" s="173"/>
      <c r="EK68" s="528">
        <f t="shared" si="83"/>
        <v>5.2256455772113942E-2</v>
      </c>
      <c r="EL68" s="528">
        <f t="shared" si="84"/>
        <v>1.0785389999999999</v>
      </c>
      <c r="EM68" s="528">
        <f t="shared" si="85"/>
        <v>6.2510136048197593E-2</v>
      </c>
      <c r="EN68" s="528">
        <f t="shared" si="86"/>
        <v>8.9014874083333306E-2</v>
      </c>
      <c r="EO68">
        <f t="shared" si="87"/>
        <v>1.0800000000000001E-2</v>
      </c>
      <c r="EP68" s="460">
        <f t="shared" si="123"/>
        <v>73.310136048197592</v>
      </c>
      <c r="EQ68" s="528">
        <f t="shared" si="88"/>
        <v>1.3236645046795825</v>
      </c>
      <c r="ER68" s="460">
        <f t="shared" si="124"/>
        <v>1323.6645046795825</v>
      </c>
      <c r="ES68" s="528">
        <f t="shared" si="125"/>
        <v>0.54683999999999988</v>
      </c>
      <c r="ET68" s="528"/>
      <c r="EV68" s="460">
        <f t="shared" si="126"/>
        <v>546.83999999999992</v>
      </c>
      <c r="EW68" s="528">
        <f t="shared" si="89"/>
        <v>3.9192341829085459E-2</v>
      </c>
      <c r="EX68" s="528">
        <f t="shared" si="90"/>
        <v>2.5607796244897962E-2</v>
      </c>
      <c r="EY68" s="528">
        <f t="shared" si="91"/>
        <v>1.473492054774427</v>
      </c>
      <c r="EZ68" s="528">
        <f t="shared" si="92"/>
        <v>1.5619413471830406</v>
      </c>
      <c r="FA68" s="528">
        <f t="shared" si="93"/>
        <v>0.6048</v>
      </c>
      <c r="FB68" s="460">
        <f t="shared" si="127"/>
        <v>2166.7413471830405</v>
      </c>
      <c r="FC68" s="173">
        <f t="shared" si="128"/>
        <v>4.0372458518626235</v>
      </c>
      <c r="FD68" s="5">
        <f t="shared" si="129"/>
        <v>15.120000000000001</v>
      </c>
      <c r="FE68" s="173">
        <f t="shared" si="130"/>
        <v>0.7892575016742247</v>
      </c>
      <c r="FF68" s="5">
        <f t="shared" si="131"/>
        <v>78.925750167422464</v>
      </c>
      <c r="FI68" s="562">
        <f t="shared" si="94"/>
        <v>-50</v>
      </c>
      <c r="FJ68">
        <f t="shared" si="95"/>
        <v>-50</v>
      </c>
      <c r="FL68">
        <f t="shared" si="181"/>
        <v>0.59492086313101888</v>
      </c>
    </row>
    <row r="69" spans="5:168">
      <c r="E69" s="170">
        <v>64</v>
      </c>
      <c r="F69" s="217">
        <f t="shared" si="182"/>
        <v>0.64</v>
      </c>
      <c r="G69" s="217"/>
      <c r="H69" s="217">
        <f t="shared" ref="H69:H100" si="183">F69*Vout</f>
        <v>15.36</v>
      </c>
      <c r="I69" s="541">
        <f t="shared" ref="I69:I105" si="184">Vin-F69*(Rdcr_pri+RON/1000)/CG69/Nps</f>
        <v>23.884103417450341</v>
      </c>
      <c r="J69" s="172">
        <f t="shared" ref="J69:J105" si="185">(T69+Vfwd1+F69/CG69*Rdcr_sec)*Nps</f>
        <v>16.363597620591687</v>
      </c>
      <c r="K69" s="172">
        <f t="shared" ref="K69:K105" si="186">(Vout+Vfwd1+F69/CG69*Rdcr_sec)*Nps+VIN_nom</f>
        <v>40.36359762059169</v>
      </c>
      <c r="L69" s="443"/>
      <c r="M69" s="217">
        <f t="shared" ref="M69:M105" si="187">(Vout+Vfwd1+F69/FL69*Rdcr_sec)*Nps/((Vout+Vfwd1+F69/FL69*Rdcr_sec)*Nps+I69)</f>
        <v>0.40656380641329432</v>
      </c>
      <c r="N69" s="172">
        <f t="shared" ref="N69:N100" si="188">M69*I69*(Isw_max+VIN_nom/Lmag*ILIM_delay)*0.5*Efficiency</f>
        <v>54.296308155086145</v>
      </c>
      <c r="O69" s="172">
        <f t="shared" si="98"/>
        <v>15.36</v>
      </c>
      <c r="P69" s="217">
        <f t="shared" ref="P69:P100" si="189">N69/Vout</f>
        <v>2.2623461731285892</v>
      </c>
      <c r="Q69" s="217">
        <f t="shared" ref="Q69:Q105" si="190">MIN(Vout,N69/F69)</f>
        <v>24</v>
      </c>
      <c r="R69" s="217">
        <f t="shared" ref="R69:R100" si="191">Isw_max/2*I69*Nps*(Q69+Vfwd1+F69/FL69*Rdcr_sec)/Q69/(I69+Nps*(Q69+Vfwd1+F69/FL69*Rdcr_sec))</f>
        <v>2.2477805551313383</v>
      </c>
      <c r="S69" s="172">
        <f t="shared" ref="S69:S105" si="192">(SQRT(Isw_max^2*Nps^2*I69^2+4*Isw_max*F69/Efficiency*(Nps^2*Vfwd1*I69-Nps*I69^2)+4*(F69/Efficiency)^2*Nps^2*Vfwd1^2+8*(F69/Efficiency)^2*Nps*Vfwd1*I69+4*(F69/Efficiency)^2*I69^2)-2*F69/Efficiency*I69-2*F69/Efficiency*Nps*Vfwd1+Isw_max*Nps*I69)/(4*F69/Efficiency*Nps)</f>
        <v>171.62305494289939</v>
      </c>
      <c r="T69" s="172">
        <f t="shared" ref="T69:T100" si="193">MIN(Vout, S69)</f>
        <v>24</v>
      </c>
      <c r="U69" s="217">
        <f t="shared" ref="U69:U105" si="194">MIN(2*(Vout+Vfwd1+F69/FL69*Rdcr_sec)*F69/(I69*M69), Isw_max)</f>
        <v>3.2337772796794075</v>
      </c>
      <c r="V69" s="217">
        <f t="shared" ref="V69:V104" si="195">L*U69/I69*1000000</f>
        <v>1.3539454352373665</v>
      </c>
      <c r="W69" s="217">
        <f t="shared" ref="W69:W105" si="196">L*U69/J69*1000000</f>
        <v>1.9762019053866704</v>
      </c>
      <c r="X69" s="197">
        <f t="shared" ref="X69:X105" si="197">IF(1/((350000*L)*(1/I69+1/J69))&gt;Isw_min, 350, 0.001/((Isw_min*L)*(1/I69+1/J69)))</f>
        <v>350</v>
      </c>
      <c r="Y69" s="443">
        <f t="shared" ref="Y69:Y104" si="198">MIN(1/(V69+W69+0.2)*1000, 350)</f>
        <v>283.27429523755416</v>
      </c>
      <c r="AA69" s="217">
        <f t="shared" ref="AA69:AA105" si="199">1/((X69*1000*L)*(1/I69+1/J69))</f>
        <v>2.7744609205475914</v>
      </c>
      <c r="AB69" s="173">
        <f t="shared" ref="AB69:AB100" si="200">L*AA69/J69*1000000</f>
        <v>1.6955079102264496</v>
      </c>
      <c r="AC69" s="173">
        <f t="shared" ref="AC69:AC100" si="201">0.5*AB69*AA69*Nps*X69/1000</f>
        <v>0.5490884580558183</v>
      </c>
      <c r="AD69" s="173"/>
      <c r="AE69" s="173">
        <f t="shared" ref="AE69:AE105" si="202">L*Isw_min/J69*1000000</f>
        <v>1.3580279066663274</v>
      </c>
      <c r="AF69" s="545">
        <f t="shared" ref="AF69:AF100" si="203">MAX(12, F69/(0.5*AE69/1000000*Isw_min*Nps)/1000)</f>
        <v>635.898726125542</v>
      </c>
      <c r="AG69" s="528">
        <f t="shared" ref="AG69:AG105" si="204">0.5*AE69/1000000*Isw_min*Nps*X69*1000</f>
        <v>0.35225734979028239</v>
      </c>
      <c r="AI69" s="173">
        <f t="shared" ref="AI69:AI105" si="205">SQRT(F69/Efficiency/(0.5*L/J69*Fsw_DCM*Nps))</f>
        <v>2.9953490723559049</v>
      </c>
      <c r="AJ69" s="173">
        <f t="shared" ref="AJ69:AJ100" si="206">MAX(IF(F69&gt;AC69,U69,AI69),Isw_min)</f>
        <v>3.2337772796794075</v>
      </c>
      <c r="AK69" s="173">
        <f t="shared" ref="AK69:AK100" si="207">IF(F69&gt;AG69, (AJ69-Isw_min)/1.08*0.8+1.2, AF69*0.2/350+1)</f>
        <v>1.949300042560878</v>
      </c>
      <c r="AM69" s="545">
        <f t="shared" ref="AM69:AM105" si="208">F69*1000</f>
        <v>640</v>
      </c>
      <c r="AN69" s="460">
        <f t="shared" ref="AN69:AN105" si="209">IF(F69&gt;AG69, Y69, AF69)</f>
        <v>283.27429523755416</v>
      </c>
      <c r="AP69">
        <f t="shared" ref="AP69:AP105" si="210">IF(H69&gt;N69, "",AM69)</f>
        <v>640</v>
      </c>
      <c r="AQ69">
        <f t="shared" ref="AQ69:AQ105" si="211">IF(H69&gt;N69, "",AN69)</f>
        <v>283.27429523755416</v>
      </c>
      <c r="AS69" s="5">
        <f t="shared" si="101"/>
        <v>3.5301473406240369</v>
      </c>
      <c r="AT69" s="5">
        <f t="shared" ref="AT69:AT105" si="212">L*AJ69/I69*1000000</f>
        <v>1.3539454352373665</v>
      </c>
      <c r="AU69" s="5">
        <f t="shared" si="102"/>
        <v>2.1762019053866704</v>
      </c>
      <c r="AV69" s="5">
        <f t="shared" ref="AV69:AV105" si="213">L*AJ69/J69*1000000</f>
        <v>1.9762019053866704</v>
      </c>
      <c r="AW69" s="173">
        <f t="shared" si="103"/>
        <v>0.38353793895696847</v>
      </c>
      <c r="AX69" s="173">
        <f t="shared" ref="AX69:AX132" si="214">0.5*L*AJ69^2*AN69*1000</f>
        <v>14.811443384006418</v>
      </c>
      <c r="AY69" s="173">
        <f t="shared" ref="AY69:AY132" si="215">AJ69*Nps/2*(1-AW69)</f>
        <v>0.66483258576289606</v>
      </c>
      <c r="AZ69" s="173">
        <f t="shared" si="104"/>
        <v>22.278455811563859</v>
      </c>
      <c r="BA69" s="460">
        <f t="shared" ref="BA69:BA105" si="216">F69*AT69/Vout_ripple*1000</f>
        <v>3.6105211606329775</v>
      </c>
      <c r="BB69" s="5">
        <f t="shared" ref="BB69:BB105" si="217">H69/Efficiency/I69*AU69/Vinripple1</f>
        <v>1.1662729767196331</v>
      </c>
      <c r="BC69" s="5"/>
      <c r="BD69" s="173">
        <f t="shared" si="105"/>
        <v>1.1562550514211007</v>
      </c>
      <c r="BE69" s="173">
        <f t="shared" ref="BE69:BE132" si="218">AJ69*Nps*SQRT((1-AW69)/3)</f>
        <v>0.97775149555517993</v>
      </c>
      <c r="BF69" s="173"/>
      <c r="BG69" s="528">
        <f t="shared" ref="BG69:BG105" si="219">Rdson*BD69^2</f>
        <v>5.347702975747249E-2</v>
      </c>
      <c r="BH69" s="528">
        <f t="shared" ref="BH69:BH105" si="220">0.5*K69*AJ69*AN69*1000*Tfall</f>
        <v>0.83193550498989766</v>
      </c>
      <c r="BI69" s="528">
        <f t="shared" ref="BI69:BI105" si="221">Qg*Vdd*AN69*1000*0+Qg*I69*AN69*1000</f>
        <v>0.27063010251836417</v>
      </c>
      <c r="BJ69" s="528">
        <f t="shared" ref="BJ69:BJ105" si="222">0.5*(Coss+Csw)*K69^2*AN69*1000</f>
        <v>8.0765326413565666E-2</v>
      </c>
      <c r="BK69">
        <f t="shared" ref="BK69:BK105" si="223">I69*IQ</f>
        <v>1.0747846537852653E-2</v>
      </c>
      <c r="BL69" s="460">
        <f t="shared" si="106"/>
        <v>281.37794905621683</v>
      </c>
      <c r="BM69" s="528">
        <f t="shared" ref="BM69:BM105" si="224">(BH69+BI69*0+BJ69+BK69*0+BG69*(1+RdsonTC*(Ta-25)))/(1-BG69*RdsonTC*ThetaJA)</f>
        <v>0.99323686815035406</v>
      </c>
      <c r="BN69" s="460">
        <f t="shared" si="107"/>
        <v>993.2368681503541</v>
      </c>
      <c r="BO69" s="528">
        <f t="shared" ref="BO69:BO105" si="225">Vfwd2*F69*(1+Diode_TC/1000*(Ta-25))</f>
        <v>0.5555199999999999</v>
      </c>
      <c r="BP69" s="528"/>
      <c r="BR69" s="460">
        <f t="shared" si="109"/>
        <v>555.51999999999987</v>
      </c>
      <c r="BS69" s="528">
        <f t="shared" ref="BS69:BS105" si="226">Rdcr_pri*BD69^2</f>
        <v>4.0107772318104369E-2</v>
      </c>
      <c r="BT69" s="528">
        <f t="shared" ref="BT69:BT105" si="227">Rdcr_sec*BE69^2</f>
        <v>2.8679939611811731E-2</v>
      </c>
      <c r="BU69" s="528">
        <f t="shared" ref="BU69:BU105" si="228">AJ69^2.5*AN69^2.5*k_core*0+BZ69*0.015</f>
        <v>0.23039999999999999</v>
      </c>
      <c r="BV69" s="528">
        <f t="shared" ref="BV69:BV100" si="229">(BU69+(BS69+BT69)*(1+Ltc*(Ta-25)))/(1-(BS69+BT69)*Ltc*ThetaCa)</f>
        <v>0.31744366063966067</v>
      </c>
      <c r="BW69" s="528">
        <f t="shared" ref="BW69:BW105" si="230">0.5*Lleak*0.000000001*AJ69^2*AN69*1000</f>
        <v>0.5924577353602567</v>
      </c>
      <c r="BX69" s="460">
        <f t="shared" si="110"/>
        <v>909.90139599991733</v>
      </c>
      <c r="BY69" s="173">
        <f t="shared" ref="BY69:BY104" si="231">SUM(BM69,BO69:BQ69,BV69, BW69)+BK69+BI69</f>
        <v>2.7400362132064879</v>
      </c>
      <c r="BZ69" s="5">
        <f t="shared" si="111"/>
        <v>15.36</v>
      </c>
      <c r="CA69" s="173">
        <f t="shared" si="112"/>
        <v>0.84861708667702829</v>
      </c>
      <c r="CB69" s="5">
        <f t="shared" si="113"/>
        <v>84.861708667702828</v>
      </c>
      <c r="CE69" s="562">
        <f t="shared" ref="CE69:CE105" si="232">IF(ABS(F69-Ioutmax_Vinnom)&lt;Iout/200, AN69, -50)</f>
        <v>-50</v>
      </c>
      <c r="CF69">
        <f t="shared" ref="CF69:CF105" si="233">IF(ABS(F69-Ioutmax_Vinnom)&lt;Iout/200, N69*CA69, -50)</f>
        <v>-50</v>
      </c>
      <c r="CG69" s="173">
        <f t="shared" ref="CG69:CG105" si="234">MIN(SQRT(2*DU69*1000*Ls1_*CL69)/CU69,1-EA69-0.00000005*DU69*1000)</f>
        <v>0.57953750933790771</v>
      </c>
      <c r="CI69" s="170">
        <v>64</v>
      </c>
      <c r="CJ69" s="217">
        <f t="shared" si="114"/>
        <v>0.64</v>
      </c>
      <c r="CK69" s="217"/>
      <c r="CL69" s="217">
        <f t="shared" ref="CL69:CL105" si="235">CJ69*Vout</f>
        <v>15.36</v>
      </c>
      <c r="CM69" s="541">
        <f t="shared" ref="CM69:CM105" si="236">Vin</f>
        <v>24</v>
      </c>
      <c r="CN69" s="172">
        <f t="shared" ref="CN69:CN105" si="237">(CX69+Vfwd1)*Nps</f>
        <v>16.3415</v>
      </c>
      <c r="CO69" s="443">
        <f t="shared" ref="CO69:CO105" si="238">(Vout+Vfwd1)*Nps+CM69</f>
        <v>40.341499999999996</v>
      </c>
      <c r="CP69" s="443"/>
      <c r="CQ69" s="217">
        <f t="shared" ref="CQ69:CQ105" si="239">(Vout+Vfwd1)*Nps/((Vout+Vfwd1)*Nps+CM69)</f>
        <v>0.40507913686898112</v>
      </c>
      <c r="CR69" s="172">
        <f t="shared" ref="CR69:CR105" si="240">CQ69*CM69*(Isw_max+VIN_nom/Lmag*ILIM_delay)*0.5*Efficiency</f>
        <v>54.360539956785601</v>
      </c>
      <c r="CS69" s="172">
        <f t="shared" si="115"/>
        <v>15.36</v>
      </c>
      <c r="CT69" s="217">
        <f t="shared" ref="CT69:CT105" si="241">CR69/Vout</f>
        <v>2.2650224981994</v>
      </c>
      <c r="CU69" s="217">
        <f t="shared" ref="CU69:CU105" si="242">MIN(Vout,CR69/CJ69)</f>
        <v>24</v>
      </c>
      <c r="CV69" s="217">
        <f t="shared" ref="CV69:CV105" si="243">Isw_max/2*CM69*Nps*(CU69+Vfwd1)/CU69/(CM69+Nps*(CU69+Vfwd1))</f>
        <v>2.250439649272117</v>
      </c>
      <c r="CW69" s="172">
        <f t="shared" ref="CW69:CW105" si="244">(SQRT(Isw_max^2*Nps^2*CM69^2+4*Isw_max*CJ69/Efficiency*(Nps^2*Vfwd1*CM69-Nps*CM69^2)+4*(CJ69/Efficiency)^2*Nps^2*Vfwd1^2+8*(CJ69/Efficiency)^2*Nps*Vfwd1*CM69+4*(CJ69/Efficiency)^2*CM69^2)-2*CJ69/Efficiency*CM69-2*CJ69/Efficiency*Nps*Vfwd1+Isw_max*Nps*CM69)/(4*CJ69/Efficiency*Nps)</f>
        <v>172.45534543329177</v>
      </c>
      <c r="CX69" s="172">
        <f t="shared" ref="CX69:CX105" si="245">MIN(Vout, CW69)</f>
        <v>24</v>
      </c>
      <c r="CY69" s="217">
        <f t="shared" ref="CY69:CY105" si="246">MIN(2*Vout*CJ69/(CM69*CQ69), Isw_max)</f>
        <v>3.159876388336444</v>
      </c>
      <c r="CZ69" s="217">
        <f t="shared" ref="CZ69:CZ105" si="247">L*CY69/CM69*1000000</f>
        <v>1.3166151618068518</v>
      </c>
      <c r="DA69" s="217">
        <f t="shared" ref="DA69:DA105" si="248">L*CY69/CN69*1000000</f>
        <v>1.9336513712550527</v>
      </c>
      <c r="DB69" s="197">
        <f t="shared" ref="DB69:DB105" si="249">IF(1/((350000*L)*(1/CM69+1/CN69))&gt;Isw_min, 350, 0.001/((Isw_min*L)*(1/CM69+1/CN69)))</f>
        <v>350</v>
      </c>
      <c r="DC69" s="443">
        <f t="shared" si="116"/>
        <v>307.66707586222253</v>
      </c>
      <c r="DE69" s="217">
        <f t="shared" ref="DE69:DE105" si="250">1/((DB69*1000*L)*(1/CM69+1/CN69))</f>
        <v>2.7776855099587272</v>
      </c>
      <c r="DF69" s="173">
        <f t="shared" ref="DF69:DF105" si="251">L*DE69/CN69*1000000</f>
        <v>1.6997738946600542</v>
      </c>
      <c r="DG69" s="173">
        <f t="shared" ref="DG69:DG105" si="252">0.5*DF69*DE69*Nps*DB69/1000</f>
        <v>0.55110977087390545</v>
      </c>
      <c r="DH69" s="173"/>
      <c r="DI69" s="173">
        <f t="shared" ref="DI69:DI105" si="253">L*Isw_min/CN69*1000000</f>
        <v>1.3598642855443031</v>
      </c>
      <c r="DJ69" s="545">
        <f t="shared" si="117"/>
        <v>635.03999999999974</v>
      </c>
      <c r="DK69" s="528">
        <f t="shared" ref="DK69:DK105" si="254">0.5*DI69/1000000*Isw_min*Nps*DB69*1000</f>
        <v>0.35273368606701955</v>
      </c>
      <c r="DM69" s="173">
        <f t="shared" ref="DM69:DM105" si="255">SQRT(CJ69/Efficiency/(0.5*L/CN69*Fsw_DCM*Nps))</f>
        <v>2.9933259094191529</v>
      </c>
      <c r="DN69" s="173">
        <f t="shared" ref="DN69:DN105" si="256">MAX(IF(CJ69&gt;DG69,CY69,DM69),Isw_min)</f>
        <v>3.159876388336444</v>
      </c>
      <c r="DO69" s="173">
        <f t="shared" ref="DO69:DO105" si="257">IF(CJ69&gt;DK69, (DN69-Isw_min)/1.08*0.8+1.2, DJ69*0.2/350+1)</f>
        <v>1.89455864156609</v>
      </c>
      <c r="DQ69" s="545">
        <f t="shared" ref="DQ69:DQ105" si="258">CJ69*1000</f>
        <v>640</v>
      </c>
      <c r="DR69" s="460">
        <f t="shared" ref="DR69:DR105" si="259">IF(CJ69&gt;DK69, DC69, DJ69)</f>
        <v>307.66707586222253</v>
      </c>
      <c r="DT69">
        <f t="shared" ref="DT69:DT105" si="260">IF(CL69&gt;CR69, "",DQ69)</f>
        <v>640</v>
      </c>
      <c r="DU69">
        <f t="shared" ref="DU69:DU105" si="261">IF(CL69&gt;CR69, "",DR69)</f>
        <v>307.66707586222253</v>
      </c>
      <c r="DW69" s="5">
        <f t="shared" si="118"/>
        <v>3.2502665330619043</v>
      </c>
      <c r="DX69" s="5">
        <f t="shared" ref="DX69:DX105" si="262">L*DN69/CM69*1000000</f>
        <v>1.3166151618068518</v>
      </c>
      <c r="DY69" s="5">
        <f t="shared" si="119"/>
        <v>1.9336513712550525</v>
      </c>
      <c r="DZ69" s="5">
        <f t="shared" ref="DZ69:DZ105" si="263">L*DN69/CN69*1000000</f>
        <v>1.9336513712550527</v>
      </c>
      <c r="EA69" s="173">
        <f t="shared" si="120"/>
        <v>0.40507913686898112</v>
      </c>
      <c r="EB69" s="173">
        <f t="shared" ref="EB69:EB105" si="264">0.5*L*DN69^2*DR69*1000</f>
        <v>15.36</v>
      </c>
      <c r="EC69" s="173">
        <f t="shared" ref="EC69:EC105" si="265">DN69*Nps/2*(1-EA69)</f>
        <v>0.62693877551020416</v>
      </c>
      <c r="ED69" s="173">
        <f t="shared" si="121"/>
        <v>24.499999999999996</v>
      </c>
      <c r="EE69" s="460">
        <f t="shared" ref="EE69:EE105" si="266">CJ69*DX69/Vout_ripple*1000</f>
        <v>3.5109737648182713</v>
      </c>
      <c r="EF69" s="5">
        <f t="shared" ref="EF69:EF105" si="267">CL69/Efficiency/CM69*DY69/Vinripple1</f>
        <v>1.0312807313360279</v>
      </c>
      <c r="EG69" s="5"/>
      <c r="EH69" s="173">
        <f t="shared" si="122"/>
        <v>1.1611261454683621</v>
      </c>
      <c r="EI69" s="173">
        <f t="shared" ref="EI69:EI105" si="268">DN69*Nps*SQRT((1-EA69)/3)</f>
        <v>0.93856617790331665</v>
      </c>
      <c r="EJ69" s="173"/>
      <c r="EK69" s="528">
        <f t="shared" ref="EK69:EK105" si="269">Rdson*EH69^2</f>
        <v>5.3928557027608647E-2</v>
      </c>
      <c r="EL69" s="528">
        <f t="shared" ref="EL69:EL105" si="270">0.5*CO69*DN69*DR69*1000*Trise</f>
        <v>1.0785389999999999</v>
      </c>
      <c r="EM69" s="528">
        <f t="shared" ref="EM69:EM105" si="271">Qg*Vdd*DR69*1000</f>
        <v>6.1533415172444497E-2</v>
      </c>
      <c r="EN69" s="528">
        <f t="shared" ref="EN69:EN105" si="272">0.5*(Coss+Csw)*CO69^2*DR69*1000</f>
        <v>8.7624016675781222E-2</v>
      </c>
      <c r="EO69">
        <f t="shared" ref="EO69:EO105" si="273">CM69*IQ</f>
        <v>1.0800000000000001E-2</v>
      </c>
      <c r="EP69" s="460">
        <f t="shared" si="123"/>
        <v>72.333415172444504</v>
      </c>
      <c r="EQ69" s="528">
        <f t="shared" ref="EQ69:EQ105" si="274">(EL69+EM69+EN69+EO69+EK69*(1+RdsonTC*(Ta-25)))/(1-EK69*RdsonTC*ThetaJA)</f>
        <v>1.3239500339351382</v>
      </c>
      <c r="ER69" s="460">
        <f t="shared" si="124"/>
        <v>1323.9500339351382</v>
      </c>
      <c r="ES69" s="528">
        <f t="shared" si="125"/>
        <v>0.5555199999999999</v>
      </c>
      <c r="ET69" s="528"/>
      <c r="EV69" s="460">
        <f t="shared" si="126"/>
        <v>555.51999999999987</v>
      </c>
      <c r="EW69" s="528">
        <f t="shared" ref="EW69:EW105" si="275">Rdcr_pri*EH69^2</f>
        <v>4.0446417770706483E-2</v>
      </c>
      <c r="EX69" s="528">
        <f t="shared" ref="EX69:EX105" si="276">Rdcr_sec*EI69^2</f>
        <v>2.6427194109121206E-2</v>
      </c>
      <c r="EY69" s="528">
        <f t="shared" ref="EY69:EY105" si="277">DN69^2.5*DR69^2.5*k_core</f>
        <v>1.4734920547744279</v>
      </c>
      <c r="EZ69" s="528">
        <f t="shared" ref="EZ69:EZ105" si="278">(EY69+(EW69+EX69)*(1+Ltc*(Ta-25)))/(1-(EW69+EX69)*Ltc*ThetaCa)</f>
        <v>1.5647867689503323</v>
      </c>
      <c r="FA69" s="528">
        <f t="shared" ref="FA69:FA105" si="279">0.5*Lleak*0.000000001*DN69^2*DR69*1000</f>
        <v>0.61439999999999995</v>
      </c>
      <c r="FB69" s="460">
        <f t="shared" si="127"/>
        <v>2179.1867689503324</v>
      </c>
      <c r="FC69" s="173">
        <f t="shared" si="128"/>
        <v>4.0586568028854701</v>
      </c>
      <c r="FD69" s="5">
        <f t="shared" si="129"/>
        <v>15.36</v>
      </c>
      <c r="FE69" s="173">
        <f t="shared" si="130"/>
        <v>0.79099188764269301</v>
      </c>
      <c r="FF69" s="5">
        <f t="shared" si="131"/>
        <v>79.0991887642693</v>
      </c>
      <c r="FI69" s="562">
        <f t="shared" ref="FI69:FI105" si="280">IF(ABS(CJ69-Ioutmax_Vinnom)&lt;Iout/200, DR69, -50)</f>
        <v>-50</v>
      </c>
      <c r="FJ69">
        <f t="shared" ref="FJ69:FJ105" si="281">IF(ABS(CJ69-Ioutmax_Vinnom)&lt;Iout/200, CR69*FE69, -50)</f>
        <v>-50</v>
      </c>
      <c r="FL69">
        <f t="shared" ref="FL69:FL105" si="282">MIN(SQRT(2*L*DR69*1000*CJ69*(CX69+Vfwd1))/(Nps*(CX69+Vfwd1)), 1-EA69)</f>
        <v>0.59492086313101888</v>
      </c>
    </row>
    <row r="70" spans="5:168">
      <c r="E70" s="170">
        <v>65</v>
      </c>
      <c r="F70" s="217">
        <f t="shared" ref="F70:F101" si="283">IF(PLOT_TYPE=1, E70/100*Iout_max, min_I*EXP(N70*rr/100))</f>
        <v>0.65</v>
      </c>
      <c r="G70" s="217"/>
      <c r="H70" s="217">
        <f t="shared" si="183"/>
        <v>15.600000000000001</v>
      </c>
      <c r="I70" s="541">
        <f t="shared" si="184"/>
        <v>23.882340582177982</v>
      </c>
      <c r="J70" s="172">
        <f t="shared" si="185"/>
        <v>16.363933734600895</v>
      </c>
      <c r="K70" s="172">
        <f t="shared" si="186"/>
        <v>40.363933734600892</v>
      </c>
      <c r="L70" s="443"/>
      <c r="M70" s="217">
        <f t="shared" si="187"/>
        <v>0.40658657420170591</v>
      </c>
      <c r="N70" s="172">
        <f t="shared" si="188"/>
        <v>54.295341056740362</v>
      </c>
      <c r="O70" s="172">
        <f t="shared" ref="O70:O133" si="284">T70*F70</f>
        <v>15.600000000000001</v>
      </c>
      <c r="P70" s="217">
        <f t="shared" si="189"/>
        <v>2.2623058773641818</v>
      </c>
      <c r="Q70" s="217">
        <f t="shared" si="190"/>
        <v>24</v>
      </c>
      <c r="R70" s="217">
        <f t="shared" si="191"/>
        <v>2.2477405188023427</v>
      </c>
      <c r="S70" s="172">
        <f t="shared" si="192"/>
        <v>168.42294308427961</v>
      </c>
      <c r="T70" s="172">
        <f t="shared" si="193"/>
        <v>24</v>
      </c>
      <c r="U70" s="217">
        <f t="shared" si="194"/>
        <v>3.2844310602417357</v>
      </c>
      <c r="V70" s="217">
        <f t="shared" si="195"/>
        <v>1.3752550965179344</v>
      </c>
      <c r="W70" s="217">
        <f t="shared" si="196"/>
        <v>2.0071158399382516</v>
      </c>
      <c r="X70" s="197">
        <f t="shared" si="197"/>
        <v>350</v>
      </c>
      <c r="Y70" s="443">
        <f t="shared" si="198"/>
        <v>279.14473898374041</v>
      </c>
      <c r="AA70" s="217">
        <f t="shared" si="199"/>
        <v>2.7744114764005792</v>
      </c>
      <c r="AB70" s="173">
        <f t="shared" si="200"/>
        <v>1.695442869298716</v>
      </c>
      <c r="AC70" s="173">
        <f t="shared" si="201"/>
        <v>0.54905760959477956</v>
      </c>
      <c r="AD70" s="173"/>
      <c r="AE70" s="173">
        <f t="shared" si="202"/>
        <v>1.3580000128718568</v>
      </c>
      <c r="AF70" s="545">
        <f t="shared" si="203"/>
        <v>645.84790939035747</v>
      </c>
      <c r="AG70" s="528">
        <f t="shared" si="204"/>
        <v>0.35225011444992782</v>
      </c>
      <c r="AI70" s="173">
        <f t="shared" si="205"/>
        <v>3.0186905354337945</v>
      </c>
      <c r="AJ70" s="173">
        <f t="shared" si="153"/>
        <v>3.2844310602417357</v>
      </c>
      <c r="AK70" s="173">
        <f t="shared" si="207"/>
        <v>1.9868213614959358</v>
      </c>
      <c r="AM70" s="545">
        <f t="shared" si="208"/>
        <v>650</v>
      </c>
      <c r="AN70" s="460">
        <f t="shared" si="209"/>
        <v>279.14473898374041</v>
      </c>
      <c r="AP70">
        <f t="shared" si="210"/>
        <v>650</v>
      </c>
      <c r="AQ70">
        <f t="shared" si="211"/>
        <v>279.14473898374041</v>
      </c>
      <c r="AS70" s="5">
        <f t="shared" ref="AS70:AS133" si="285">1/AN70*1000</f>
        <v>3.5823709364561869</v>
      </c>
      <c r="AT70" s="5">
        <f t="shared" si="212"/>
        <v>1.3752550965179344</v>
      </c>
      <c r="AU70" s="5">
        <f t="shared" ref="AU70:AU105" si="286">AS70-AT70</f>
        <v>2.2071158399382522</v>
      </c>
      <c r="AV70" s="5">
        <f t="shared" si="213"/>
        <v>2.0071158399382516</v>
      </c>
      <c r="AW70" s="173">
        <f t="shared" ref="AW70:AW105" si="287">AT70/AS70</f>
        <v>0.38389522495355755</v>
      </c>
      <c r="AX70" s="173">
        <f t="shared" si="214"/>
        <v>15.056351758134841</v>
      </c>
      <c r="AY70" s="173">
        <f t="shared" si="215"/>
        <v>0.67485514545184866</v>
      </c>
      <c r="AZ70" s="173">
        <f t="shared" ref="AZ70:AZ133" si="288">AX70/AY70</f>
        <v>22.310494125452468</v>
      </c>
      <c r="BA70" s="460">
        <f t="shared" si="216"/>
        <v>3.7246492197360728</v>
      </c>
      <c r="BB70" s="5">
        <f t="shared" si="217"/>
        <v>1.2014109680945111</v>
      </c>
      <c r="BC70" s="5"/>
      <c r="BD70" s="173">
        <f t="shared" ref="BD70:BD133" si="289">AJ70*SQRT(AW70/3)</f>
        <v>1.1749134575318501</v>
      </c>
      <c r="BE70" s="173">
        <f t="shared" si="218"/>
        <v>0.99277914260623823</v>
      </c>
      <c r="BF70" s="173"/>
      <c r="BG70" s="528">
        <f t="shared" si="219"/>
        <v>5.5216865307577863E-2</v>
      </c>
      <c r="BH70" s="528">
        <f t="shared" si="220"/>
        <v>0.83265597017116266</v>
      </c>
      <c r="BI70" s="528">
        <f t="shared" si="221"/>
        <v>0.26666518912531456</v>
      </c>
      <c r="BJ70" s="528">
        <f t="shared" si="222"/>
        <v>7.9589259655232281E-2</v>
      </c>
      <c r="BK70">
        <f t="shared" si="223"/>
        <v>1.0747053261980092E-2</v>
      </c>
      <c r="BL70" s="460">
        <f t="shared" ref="BL70:BL105" si="290">(BK70+BI70)*1000</f>
        <v>277.41224238729467</v>
      </c>
      <c r="BM70" s="528">
        <f t="shared" si="224"/>
        <v>0.9954302226458166</v>
      </c>
      <c r="BN70" s="460">
        <f t="shared" ref="BN70:BN105" si="291">BM70*1000</f>
        <v>995.43022264581657</v>
      </c>
      <c r="BO70" s="528">
        <f t="shared" si="225"/>
        <v>0.56419999999999992</v>
      </c>
      <c r="BP70" s="528"/>
      <c r="BR70" s="460">
        <f t="shared" ref="BR70:BR105" si="292">SUM(BO70:BQ70)*1000</f>
        <v>564.19999999999993</v>
      </c>
      <c r="BS70" s="528">
        <f t="shared" si="226"/>
        <v>4.1412648980683392E-2</v>
      </c>
      <c r="BT70" s="528">
        <f t="shared" si="227"/>
        <v>2.9568312779819323E-2</v>
      </c>
      <c r="BU70" s="528">
        <f t="shared" si="228"/>
        <v>0.23400000000000001</v>
      </c>
      <c r="BV70" s="528">
        <f t="shared" si="229"/>
        <v>0.32385539799269153</v>
      </c>
      <c r="BW70" s="528">
        <f t="shared" si="230"/>
        <v>0.60225407032539358</v>
      </c>
      <c r="BX70" s="460">
        <f t="shared" ref="BX70:BX105" si="293">1000*(BV70+BW70)</f>
        <v>926.10946831808508</v>
      </c>
      <c r="BY70" s="173">
        <f t="shared" si="231"/>
        <v>2.7631519333511965</v>
      </c>
      <c r="BZ70" s="5">
        <f t="shared" ref="BZ70:BZ105" si="294">MIN(H70,O70)</f>
        <v>15.600000000000001</v>
      </c>
      <c r="CA70" s="173">
        <f t="shared" ref="CA70:CA104" si="295">BZ70/(BZ70+BY70)</f>
        <v>0.84952736091385528</v>
      </c>
      <c r="CB70" s="5">
        <f t="shared" ref="CB70:CB104" si="296">CA70*100</f>
        <v>84.952736091385532</v>
      </c>
      <c r="CE70" s="562">
        <f t="shared" si="232"/>
        <v>-50</v>
      </c>
      <c r="CF70">
        <f t="shared" si="233"/>
        <v>-50</v>
      </c>
      <c r="CG70" s="173">
        <f t="shared" si="234"/>
        <v>0.57977417631934014</v>
      </c>
      <c r="CI70" s="170">
        <v>65</v>
      </c>
      <c r="CJ70" s="217">
        <f t="shared" ref="CJ70:CJ105" si="297">IF(PLOT_TYPE=1, CI70/100*Iout_max, min_I*EXP(CR70*rr/100))</f>
        <v>0.65</v>
      </c>
      <c r="CK70" s="217"/>
      <c r="CL70" s="217">
        <f t="shared" si="235"/>
        <v>15.600000000000001</v>
      </c>
      <c r="CM70" s="541">
        <f t="shared" si="236"/>
        <v>24</v>
      </c>
      <c r="CN70" s="172">
        <f t="shared" si="237"/>
        <v>16.3415</v>
      </c>
      <c r="CO70" s="443">
        <f t="shared" si="238"/>
        <v>40.341499999999996</v>
      </c>
      <c r="CP70" s="443"/>
      <c r="CQ70" s="217">
        <f t="shared" si="239"/>
        <v>0.40507913686898112</v>
      </c>
      <c r="CR70" s="172">
        <f t="shared" si="240"/>
        <v>54.360539956785601</v>
      </c>
      <c r="CS70" s="172">
        <f t="shared" ref="CS70:CS105" si="298">CX70*CJ70</f>
        <v>15.600000000000001</v>
      </c>
      <c r="CT70" s="217">
        <f t="shared" si="241"/>
        <v>2.2650224981994</v>
      </c>
      <c r="CU70" s="217">
        <f t="shared" si="242"/>
        <v>24</v>
      </c>
      <c r="CV70" s="217">
        <f t="shared" si="243"/>
        <v>2.250439649272117</v>
      </c>
      <c r="CW70" s="172">
        <f t="shared" si="244"/>
        <v>169.25218007052493</v>
      </c>
      <c r="CX70" s="172">
        <f t="shared" si="245"/>
        <v>24</v>
      </c>
      <c r="CY70" s="217">
        <f t="shared" si="246"/>
        <v>3.2092494569042014</v>
      </c>
      <c r="CZ70" s="217">
        <f t="shared" si="247"/>
        <v>1.3371872737100841</v>
      </c>
      <c r="DA70" s="217">
        <f t="shared" si="248"/>
        <v>1.9638646739309129</v>
      </c>
      <c r="DB70" s="197">
        <f t="shared" si="249"/>
        <v>350</v>
      </c>
      <c r="DC70" s="443">
        <f t="shared" ref="DC70:DC105" si="299">MIN(1/(CZ70+DA70)*1000, 350)</f>
        <v>302.93373623357297</v>
      </c>
      <c r="DE70" s="217">
        <f t="shared" si="250"/>
        <v>2.7776855099587272</v>
      </c>
      <c r="DF70" s="173">
        <f t="shared" si="251"/>
        <v>1.6997738946600542</v>
      </c>
      <c r="DG70" s="173">
        <f t="shared" si="252"/>
        <v>0.55110977087390545</v>
      </c>
      <c r="DH70" s="173"/>
      <c r="DI70" s="173">
        <f t="shared" si="253"/>
        <v>1.3598642855443031</v>
      </c>
      <c r="DJ70" s="545">
        <f t="shared" ref="DJ70:DJ105" si="300">MAX(12, CJ70/(0.5*DI70/1000000*Isw_min*Nps)/1000)</f>
        <v>644.96249999999975</v>
      </c>
      <c r="DK70" s="528">
        <f t="shared" si="254"/>
        <v>0.35273368606701955</v>
      </c>
      <c r="DM70" s="173">
        <f t="shared" si="255"/>
        <v>3.0166206257996713</v>
      </c>
      <c r="DN70" s="173">
        <f t="shared" si="256"/>
        <v>3.2092494569042014</v>
      </c>
      <c r="DO70" s="173">
        <f t="shared" si="257"/>
        <v>1.9311312849496141</v>
      </c>
      <c r="DQ70" s="545">
        <f t="shared" si="258"/>
        <v>650</v>
      </c>
      <c r="DR70" s="460">
        <f t="shared" si="259"/>
        <v>302.93373623357297</v>
      </c>
      <c r="DT70">
        <f t="shared" si="260"/>
        <v>650</v>
      </c>
      <c r="DU70">
        <f t="shared" si="261"/>
        <v>302.93373623357297</v>
      </c>
      <c r="DW70" s="5">
        <f t="shared" ref="DW70:DW105" si="301">1/DR70*1000</f>
        <v>3.3010519476409965</v>
      </c>
      <c r="DX70" s="5">
        <f t="shared" si="262"/>
        <v>1.3371872737100841</v>
      </c>
      <c r="DY70" s="5">
        <f t="shared" ref="DY70:DY105" si="302">DW70-DX70</f>
        <v>1.9638646739309125</v>
      </c>
      <c r="DZ70" s="5">
        <f t="shared" si="263"/>
        <v>1.9638646739309129</v>
      </c>
      <c r="EA70" s="173">
        <f t="shared" ref="EA70:EA105" si="303">DX70/DW70</f>
        <v>0.40507913686898117</v>
      </c>
      <c r="EB70" s="173">
        <f t="shared" si="264"/>
        <v>15.600000000000007</v>
      </c>
      <c r="EC70" s="173">
        <f t="shared" si="265"/>
        <v>0.63673469387755099</v>
      </c>
      <c r="ED70" s="173">
        <f t="shared" ref="ED70:ED105" si="304">EB70/EC70</f>
        <v>24.500000000000011</v>
      </c>
      <c r="EE70" s="460">
        <f t="shared" si="266"/>
        <v>3.6215488662981445</v>
      </c>
      <c r="EF70" s="5">
        <f t="shared" si="267"/>
        <v>1.0637600317125775</v>
      </c>
      <c r="EG70" s="5"/>
      <c r="EH70" s="173">
        <f t="shared" ref="EH70:EH105" si="305">DN70*SQRT(EA70/3)</f>
        <v>1.1792687414913054</v>
      </c>
      <c r="EI70" s="173">
        <f t="shared" si="268"/>
        <v>0.95323127443305589</v>
      </c>
      <c r="EJ70" s="173"/>
      <c r="EK70" s="528">
        <f t="shared" si="269"/>
        <v>5.5626990586339499E-2</v>
      </c>
      <c r="EL70" s="528">
        <f t="shared" si="270"/>
        <v>1.0785390000000001</v>
      </c>
      <c r="EM70" s="528">
        <f t="shared" si="271"/>
        <v>6.058674724671459E-2</v>
      </c>
      <c r="EN70" s="528">
        <f t="shared" si="272"/>
        <v>8.6275954880769223E-2</v>
      </c>
      <c r="EO70">
        <f t="shared" si="273"/>
        <v>1.0800000000000001E-2</v>
      </c>
      <c r="EP70" s="460">
        <f t="shared" ref="EP70:EP105" si="306">(EO70+EM70)*1000</f>
        <v>71.386747246714592</v>
      </c>
      <c r="EQ70" s="528">
        <f t="shared" si="274"/>
        <v>1.3243519034742681</v>
      </c>
      <c r="ER70" s="460">
        <f t="shared" ref="ER70:ER105" si="307">EQ70*1000</f>
        <v>1324.3519034742681</v>
      </c>
      <c r="ES70" s="528">
        <f t="shared" ref="ES70:ES105" si="308">Vfwd2*CJ70*(1+Diode_TC/1000*(Ta-25))</f>
        <v>0.56419999999999992</v>
      </c>
      <c r="ET70" s="528"/>
      <c r="EV70" s="460">
        <f t="shared" ref="EV70:EV105" si="309">SUM(ES70:EU70)*1000</f>
        <v>564.19999999999993</v>
      </c>
      <c r="EW70" s="528">
        <f t="shared" si="275"/>
        <v>4.1720242939754619E-2</v>
      </c>
      <c r="EX70" s="528">
        <f t="shared" si="276"/>
        <v>2.7259495876718037E-2</v>
      </c>
      <c r="EY70" s="528">
        <f t="shared" si="277"/>
        <v>1.4734920547744264</v>
      </c>
      <c r="EZ70" s="528">
        <f t="shared" si="278"/>
        <v>1.5676779722729104</v>
      </c>
      <c r="FA70" s="528">
        <f t="shared" si="279"/>
        <v>0.62400000000000022</v>
      </c>
      <c r="FB70" s="460">
        <f t="shared" ref="FB70:FB105" si="310">1000*(EZ70+FA70)</f>
        <v>2191.6779722729107</v>
      </c>
      <c r="FC70" s="173">
        <f t="shared" ref="FC70:FC105" si="311">SUM(EQ70,ES70:EU70,EZ70, FA70)</f>
        <v>4.0802298757471789</v>
      </c>
      <c r="FD70" s="5">
        <f t="shared" ref="FD70:FD105" si="312">MIN(CL70,CS70)</f>
        <v>15.600000000000001</v>
      </c>
      <c r="FE70" s="173">
        <f t="shared" ref="FE70:FE105" si="313">FD70/(FD70+FC70)</f>
        <v>0.79267366786322824</v>
      </c>
      <c r="FF70" s="5">
        <f t="shared" ref="FF70:FF105" si="314">FE70*100</f>
        <v>79.267366786322825</v>
      </c>
      <c r="FI70" s="562">
        <f t="shared" si="280"/>
        <v>-50</v>
      </c>
      <c r="FJ70">
        <f t="shared" si="281"/>
        <v>-50</v>
      </c>
      <c r="FL70">
        <f t="shared" si="282"/>
        <v>0.59492086313101877</v>
      </c>
    </row>
    <row r="71" spans="5:168">
      <c r="E71" s="170">
        <v>66</v>
      </c>
      <c r="F71" s="217">
        <f t="shared" si="283"/>
        <v>0.66</v>
      </c>
      <c r="G71" s="217"/>
      <c r="H71" s="217">
        <f t="shared" si="183"/>
        <v>15.84</v>
      </c>
      <c r="I71" s="541">
        <f t="shared" si="184"/>
        <v>23.880577708881802</v>
      </c>
      <c r="J71" s="172">
        <f t="shared" si="185"/>
        <v>16.36426985585998</v>
      </c>
      <c r="K71" s="172">
        <f t="shared" si="186"/>
        <v>40.36426985585998</v>
      </c>
      <c r="L71" s="443"/>
      <c r="M71" s="217">
        <f t="shared" si="187"/>
        <v>0.40660934398833437</v>
      </c>
      <c r="N71" s="172">
        <f t="shared" si="188"/>
        <v>54.294373689921692</v>
      </c>
      <c r="O71" s="172">
        <f t="shared" si="284"/>
        <v>15.84</v>
      </c>
      <c r="P71" s="217">
        <f t="shared" si="189"/>
        <v>2.2622655704134038</v>
      </c>
      <c r="Q71" s="217">
        <f t="shared" si="190"/>
        <v>24</v>
      </c>
      <c r="R71" s="217">
        <f t="shared" si="191"/>
        <v>2.2477004713589981</v>
      </c>
      <c r="S71" s="172">
        <f t="shared" si="192"/>
        <v>165.31995614566546</v>
      </c>
      <c r="T71" s="172">
        <f t="shared" si="193"/>
        <v>24</v>
      </c>
      <c r="U71" s="217">
        <f t="shared" si="194"/>
        <v>3.3350887391016122</v>
      </c>
      <c r="V71" s="217">
        <f t="shared" si="195"/>
        <v>1.3965695385422801</v>
      </c>
      <c r="W71" s="217">
        <f t="shared" si="196"/>
        <v>2.0380308858737926</v>
      </c>
      <c r="X71" s="197">
        <f t="shared" si="197"/>
        <v>350</v>
      </c>
      <c r="Y71" s="443">
        <f t="shared" si="198"/>
        <v>275.13340759064539</v>
      </c>
      <c r="AA71" s="217">
        <f t="shared" si="199"/>
        <v>2.7743620192680121</v>
      </c>
      <c r="AB71" s="173">
        <f t="shared" si="200"/>
        <v>1.6953778223563847</v>
      </c>
      <c r="AC71" s="173">
        <f t="shared" si="201"/>
        <v>0.54902675736698903</v>
      </c>
      <c r="AD71" s="173"/>
      <c r="AE71" s="173">
        <f t="shared" si="202"/>
        <v>1.3579721196216117</v>
      </c>
      <c r="AF71" s="545">
        <f t="shared" si="203"/>
        <v>655.79750112014574</v>
      </c>
      <c r="AG71" s="528">
        <f t="shared" si="204"/>
        <v>0.35224287925073916</v>
      </c>
      <c r="AI71" s="173">
        <f t="shared" si="205"/>
        <v>3.0418538418776748</v>
      </c>
      <c r="AJ71" s="173">
        <f t="shared" si="153"/>
        <v>3.3350887391016122</v>
      </c>
      <c r="AK71" s="173">
        <f t="shared" si="207"/>
        <v>2.0243455680588074</v>
      </c>
      <c r="AM71" s="545">
        <f t="shared" si="208"/>
        <v>660</v>
      </c>
      <c r="AN71" s="460">
        <f t="shared" si="209"/>
        <v>275.13340759064539</v>
      </c>
      <c r="AP71">
        <f t="shared" si="210"/>
        <v>660</v>
      </c>
      <c r="AQ71">
        <f t="shared" si="211"/>
        <v>275.13340759064539</v>
      </c>
      <c r="AS71" s="5">
        <f t="shared" si="285"/>
        <v>3.6346004244160728</v>
      </c>
      <c r="AT71" s="5">
        <f t="shared" si="212"/>
        <v>1.3965695385422801</v>
      </c>
      <c r="AU71" s="5">
        <f t="shared" si="286"/>
        <v>2.2380308858737927</v>
      </c>
      <c r="AV71" s="5">
        <f t="shared" si="213"/>
        <v>2.0380308858737926</v>
      </c>
      <c r="AW71" s="173">
        <f t="shared" si="287"/>
        <v>0.38424293607643267</v>
      </c>
      <c r="AX71" s="173">
        <f t="shared" si="214"/>
        <v>15.301292575330823</v>
      </c>
      <c r="AY71" s="173">
        <f t="shared" si="215"/>
        <v>0.68487708404623937</v>
      </c>
      <c r="AZ71" s="173">
        <f t="shared" si="288"/>
        <v>22.341662367984497</v>
      </c>
      <c r="BA71" s="460">
        <f t="shared" si="216"/>
        <v>3.8405662309912705</v>
      </c>
      <c r="BB71" s="5">
        <f t="shared" si="217"/>
        <v>1.2370725722663998</v>
      </c>
      <c r="BC71" s="5"/>
      <c r="BD71" s="173">
        <f t="shared" si="289"/>
        <v>1.1935749972534941</v>
      </c>
      <c r="BE71" s="173">
        <f t="shared" si="218"/>
        <v>1.007806840751341</v>
      </c>
      <c r="BF71" s="173"/>
      <c r="BG71" s="528">
        <f t="shared" si="219"/>
        <v>5.6984850962747143E-2</v>
      </c>
      <c r="BH71" s="528">
        <f t="shared" si="220"/>
        <v>0.83335556543308553</v>
      </c>
      <c r="BI71" s="528">
        <f t="shared" si="221"/>
        <v>0.26281378881111428</v>
      </c>
      <c r="BJ71" s="528">
        <f t="shared" si="222"/>
        <v>7.8446862345322985E-2</v>
      </c>
      <c r="BK71">
        <f t="shared" si="223"/>
        <v>1.0746259968996811E-2</v>
      </c>
      <c r="BL71" s="460">
        <f t="shared" si="290"/>
        <v>273.56004878011106</v>
      </c>
      <c r="BM71" s="528">
        <f t="shared" si="224"/>
        <v>0.99768139611937889</v>
      </c>
      <c r="BN71" s="460">
        <f t="shared" si="291"/>
        <v>997.68139611937886</v>
      </c>
      <c r="BO71" s="528">
        <f t="shared" si="225"/>
        <v>0.57287999999999994</v>
      </c>
      <c r="BP71" s="528"/>
      <c r="BR71" s="460">
        <f t="shared" si="292"/>
        <v>572.88</v>
      </c>
      <c r="BS71" s="528">
        <f t="shared" si="226"/>
        <v>4.2738638222060352E-2</v>
      </c>
      <c r="BT71" s="528">
        <f t="shared" si="227"/>
        <v>3.0470238847955959E-2</v>
      </c>
      <c r="BU71" s="528">
        <f t="shared" si="228"/>
        <v>0.23759999999999998</v>
      </c>
      <c r="BV71" s="528">
        <f t="shared" si="229"/>
        <v>0.33031355834179654</v>
      </c>
      <c r="BW71" s="528">
        <f t="shared" si="230"/>
        <v>0.61205170301323297</v>
      </c>
      <c r="BX71" s="460">
        <f t="shared" si="293"/>
        <v>942.36526135502947</v>
      </c>
      <c r="BY71" s="173">
        <f t="shared" si="231"/>
        <v>2.7864867062545193</v>
      </c>
      <c r="BZ71" s="5">
        <f t="shared" si="294"/>
        <v>15.84</v>
      </c>
      <c r="CA71" s="173">
        <f t="shared" si="295"/>
        <v>0.85040191689402955</v>
      </c>
      <c r="CB71" s="5">
        <f t="shared" si="296"/>
        <v>85.04019168940296</v>
      </c>
      <c r="CE71" s="562">
        <f t="shared" si="232"/>
        <v>-50</v>
      </c>
      <c r="CF71">
        <f t="shared" si="233"/>
        <v>-50</v>
      </c>
      <c r="CG71" s="173">
        <f t="shared" si="234"/>
        <v>0.58000367157406274</v>
      </c>
      <c r="CI71" s="170">
        <v>66</v>
      </c>
      <c r="CJ71" s="217">
        <f t="shared" si="297"/>
        <v>0.66</v>
      </c>
      <c r="CK71" s="217"/>
      <c r="CL71" s="217">
        <f t="shared" si="235"/>
        <v>15.84</v>
      </c>
      <c r="CM71" s="541">
        <f t="shared" si="236"/>
        <v>24</v>
      </c>
      <c r="CN71" s="172">
        <f t="shared" si="237"/>
        <v>16.3415</v>
      </c>
      <c r="CO71" s="443">
        <f t="shared" si="238"/>
        <v>40.341499999999996</v>
      </c>
      <c r="CP71" s="443"/>
      <c r="CQ71" s="217">
        <f t="shared" si="239"/>
        <v>0.40507913686898112</v>
      </c>
      <c r="CR71" s="172">
        <f t="shared" si="240"/>
        <v>54.360539956785601</v>
      </c>
      <c r="CS71" s="172">
        <f t="shared" si="298"/>
        <v>15.84</v>
      </c>
      <c r="CT71" s="217">
        <f t="shared" si="241"/>
        <v>2.2650224981994</v>
      </c>
      <c r="CU71" s="217">
        <f t="shared" si="242"/>
        <v>24</v>
      </c>
      <c r="CV71" s="217">
        <f t="shared" si="243"/>
        <v>2.250439649272117</v>
      </c>
      <c r="CW71" s="172">
        <f t="shared" si="244"/>
        <v>166.14615233996224</v>
      </c>
      <c r="CX71" s="172">
        <f t="shared" si="245"/>
        <v>24</v>
      </c>
      <c r="CY71" s="217">
        <f t="shared" si="246"/>
        <v>3.2586225254719579</v>
      </c>
      <c r="CZ71" s="217">
        <f t="shared" si="247"/>
        <v>1.3577593856133159</v>
      </c>
      <c r="DA71" s="217">
        <f t="shared" si="248"/>
        <v>1.9940779766067731</v>
      </c>
      <c r="DB71" s="197">
        <f t="shared" si="249"/>
        <v>350</v>
      </c>
      <c r="DC71" s="443">
        <f t="shared" si="299"/>
        <v>298.34383113912486</v>
      </c>
      <c r="DE71" s="217">
        <f t="shared" si="250"/>
        <v>2.7776855099587272</v>
      </c>
      <c r="DF71" s="173">
        <f t="shared" si="251"/>
        <v>1.6997738946600542</v>
      </c>
      <c r="DG71" s="173">
        <f t="shared" si="252"/>
        <v>0.55110977087390545</v>
      </c>
      <c r="DH71" s="173"/>
      <c r="DI71" s="173">
        <f t="shared" si="253"/>
        <v>1.3598642855443031</v>
      </c>
      <c r="DJ71" s="545">
        <f t="shared" si="300"/>
        <v>654.88499999999988</v>
      </c>
      <c r="DK71" s="528">
        <f t="shared" si="254"/>
        <v>0.35273368606701955</v>
      </c>
      <c r="DM71" s="173">
        <f t="shared" si="255"/>
        <v>3.0397368307141326</v>
      </c>
      <c r="DN71" s="173">
        <f t="shared" si="256"/>
        <v>3.2586225254719579</v>
      </c>
      <c r="DO71" s="173">
        <f t="shared" si="257"/>
        <v>1.9677039283331375</v>
      </c>
      <c r="DQ71" s="545">
        <f t="shared" si="258"/>
        <v>660</v>
      </c>
      <c r="DR71" s="460">
        <f t="shared" si="259"/>
        <v>298.34383113912486</v>
      </c>
      <c r="DT71">
        <f t="shared" si="260"/>
        <v>660</v>
      </c>
      <c r="DU71">
        <f t="shared" si="261"/>
        <v>298.34383113912486</v>
      </c>
      <c r="DW71" s="5">
        <f t="shared" si="301"/>
        <v>3.3518373622200892</v>
      </c>
      <c r="DX71" s="5">
        <f t="shared" si="262"/>
        <v>1.3577593856133159</v>
      </c>
      <c r="DY71" s="5">
        <f t="shared" si="302"/>
        <v>1.9940779766067733</v>
      </c>
      <c r="DZ71" s="5">
        <f t="shared" si="263"/>
        <v>1.9940779766067731</v>
      </c>
      <c r="EA71" s="173">
        <f t="shared" si="303"/>
        <v>0.40507913686898106</v>
      </c>
      <c r="EB71" s="173">
        <f t="shared" si="264"/>
        <v>15.839999999999996</v>
      </c>
      <c r="EC71" s="173">
        <f t="shared" si="265"/>
        <v>0.64653061224489805</v>
      </c>
      <c r="ED71" s="173">
        <f t="shared" si="304"/>
        <v>24.499999999999989</v>
      </c>
      <c r="EE71" s="460">
        <f t="shared" si="266"/>
        <v>3.7338383104366191</v>
      </c>
      <c r="EF71" s="5">
        <f t="shared" si="267"/>
        <v>1.0967428871337253</v>
      </c>
      <c r="EG71" s="5"/>
      <c r="EH71" s="173">
        <f t="shared" si="305"/>
        <v>1.1974113375142486</v>
      </c>
      <c r="EI71" s="173">
        <f t="shared" si="268"/>
        <v>0.96789637096279524</v>
      </c>
      <c r="EJ71" s="173"/>
      <c r="EK71" s="528">
        <f t="shared" si="269"/>
        <v>5.7351756448306465E-2</v>
      </c>
      <c r="EL71" s="528">
        <f t="shared" si="270"/>
        <v>1.0785389999999999</v>
      </c>
      <c r="EM71" s="528">
        <f t="shared" si="271"/>
        <v>5.9668766227824965E-2</v>
      </c>
      <c r="EN71" s="528">
        <f t="shared" si="272"/>
        <v>8.4968743443181796E-2</v>
      </c>
      <c r="EO71">
        <f t="shared" si="273"/>
        <v>1.0800000000000001E-2</v>
      </c>
      <c r="EP71" s="460">
        <f t="shared" si="306"/>
        <v>70.468766227824972</v>
      </c>
      <c r="EQ71" s="528">
        <f t="shared" si="274"/>
        <v>1.3248669066925467</v>
      </c>
      <c r="ER71" s="460">
        <f t="shared" si="307"/>
        <v>1324.8669066925468</v>
      </c>
      <c r="ES71" s="528">
        <f t="shared" si="308"/>
        <v>0.57287999999999994</v>
      </c>
      <c r="ET71" s="528"/>
      <c r="EV71" s="460">
        <f t="shared" si="309"/>
        <v>572.88</v>
      </c>
      <c r="EW71" s="528">
        <f t="shared" si="275"/>
        <v>4.3013817336229845E-2</v>
      </c>
      <c r="EX71" s="528">
        <f t="shared" si="276"/>
        <v>2.8104701547688467E-2</v>
      </c>
      <c r="EY71" s="528">
        <f t="shared" si="277"/>
        <v>1.4734920547744272</v>
      </c>
      <c r="EZ71" s="528">
        <f t="shared" si="278"/>
        <v>1.5706150032117083</v>
      </c>
      <c r="FA71" s="528">
        <f t="shared" si="279"/>
        <v>0.63359999999999994</v>
      </c>
      <c r="FB71" s="460">
        <f t="shared" si="310"/>
        <v>2204.2150032117083</v>
      </c>
      <c r="FC71" s="173">
        <f t="shared" si="311"/>
        <v>4.1019619099042544</v>
      </c>
      <c r="FD71" s="5">
        <f t="shared" si="312"/>
        <v>15.84</v>
      </c>
      <c r="FE71" s="173">
        <f t="shared" si="313"/>
        <v>0.79430499724969394</v>
      </c>
      <c r="FF71" s="5">
        <f t="shared" si="314"/>
        <v>79.430499724969394</v>
      </c>
      <c r="FI71" s="562">
        <f t="shared" si="280"/>
        <v>-50</v>
      </c>
      <c r="FJ71">
        <f t="shared" si="281"/>
        <v>-50</v>
      </c>
      <c r="FL71">
        <f t="shared" si="282"/>
        <v>0.594920863131019</v>
      </c>
    </row>
    <row r="72" spans="5:168">
      <c r="E72" s="170">
        <v>67</v>
      </c>
      <c r="F72" s="217">
        <f t="shared" si="283"/>
        <v>0.67</v>
      </c>
      <c r="G72" s="217"/>
      <c r="H72" s="217">
        <f t="shared" si="183"/>
        <v>16.080000000000002</v>
      </c>
      <c r="I72" s="541">
        <f t="shared" si="184"/>
        <v>23.878814799307474</v>
      </c>
      <c r="J72" s="172">
        <f t="shared" si="185"/>
        <v>16.3646059840361</v>
      </c>
      <c r="K72" s="172">
        <f t="shared" si="186"/>
        <v>40.364605984036103</v>
      </c>
      <c r="L72" s="443"/>
      <c r="M72" s="217">
        <f t="shared" si="187"/>
        <v>0.40663211575581787</v>
      </c>
      <c r="N72" s="172">
        <f t="shared" si="188"/>
        <v>54.29340605620753</v>
      </c>
      <c r="O72" s="172">
        <f t="shared" si="284"/>
        <v>16.080000000000002</v>
      </c>
      <c r="P72" s="217">
        <f t="shared" si="189"/>
        <v>2.2622252523419806</v>
      </c>
      <c r="Q72" s="217">
        <f t="shared" si="190"/>
        <v>24</v>
      </c>
      <c r="R72" s="217">
        <f t="shared" si="191"/>
        <v>2.2476604128666047</v>
      </c>
      <c r="S72" s="172">
        <f t="shared" si="192"/>
        <v>162.3097459432407</v>
      </c>
      <c r="T72" s="172">
        <f t="shared" si="193"/>
        <v>24</v>
      </c>
      <c r="U72" s="217">
        <f t="shared" si="194"/>
        <v>3.3857503171205265</v>
      </c>
      <c r="V72" s="217">
        <f t="shared" si="195"/>
        <v>1.4178887627281733</v>
      </c>
      <c r="W72" s="217">
        <f t="shared" si="196"/>
        <v>2.0689470436522415</v>
      </c>
      <c r="X72" s="197">
        <f t="shared" si="197"/>
        <v>350</v>
      </c>
      <c r="Y72" s="443">
        <f t="shared" si="198"/>
        <v>271.23529566177211</v>
      </c>
      <c r="AA72" s="217">
        <f t="shared" si="199"/>
        <v>2.7743125491968419</v>
      </c>
      <c r="AB72" s="173">
        <f t="shared" si="200"/>
        <v>1.6953127694630856</v>
      </c>
      <c r="AC72" s="173">
        <f t="shared" si="201"/>
        <v>0.54899590140274346</v>
      </c>
      <c r="AD72" s="173"/>
      <c r="AE72" s="173">
        <f t="shared" si="202"/>
        <v>1.357944226943216</v>
      </c>
      <c r="AF72" s="545">
        <f t="shared" si="203"/>
        <v>665.74750131457188</v>
      </c>
      <c r="AG72" s="528">
        <f t="shared" si="204"/>
        <v>0.35223564419988201</v>
      </c>
      <c r="AI72" s="173">
        <f t="shared" si="205"/>
        <v>3.0648430310774271</v>
      </c>
      <c r="AJ72" s="173">
        <f t="shared" si="206"/>
        <v>3.3857503171205265</v>
      </c>
      <c r="AK72" s="173">
        <f t="shared" si="207"/>
        <v>2.0618726628876329</v>
      </c>
      <c r="AM72" s="545">
        <f t="shared" si="208"/>
        <v>670</v>
      </c>
      <c r="AN72" s="460">
        <f t="shared" si="209"/>
        <v>271.23529566177211</v>
      </c>
      <c r="AP72">
        <f t="shared" si="210"/>
        <v>670</v>
      </c>
      <c r="AQ72">
        <f t="shared" si="211"/>
        <v>271.23529566177211</v>
      </c>
      <c r="AS72" s="5">
        <f t="shared" si="285"/>
        <v>3.6868358063804156</v>
      </c>
      <c r="AT72" s="5">
        <f t="shared" si="212"/>
        <v>1.4178887627281733</v>
      </c>
      <c r="AU72" s="5">
        <f t="shared" si="286"/>
        <v>2.2689470436522425</v>
      </c>
      <c r="AV72" s="5">
        <f t="shared" si="213"/>
        <v>2.0689470436522415</v>
      </c>
      <c r="AW72" s="173">
        <f t="shared" si="287"/>
        <v>0.3845814777740803</v>
      </c>
      <c r="AX72" s="173">
        <f t="shared" si="214"/>
        <v>15.546264889317042</v>
      </c>
      <c r="AY72" s="173">
        <f t="shared" si="215"/>
        <v>0.69489842783888256</v>
      </c>
      <c r="AZ72" s="173">
        <f t="shared" si="288"/>
        <v>22.371996059432099</v>
      </c>
      <c r="BA72" s="460">
        <f t="shared" si="216"/>
        <v>3.9582727959494841</v>
      </c>
      <c r="BB72" s="5">
        <f t="shared" si="217"/>
        <v>1.2732579334641774</v>
      </c>
      <c r="BC72" s="5"/>
      <c r="BD72" s="173">
        <f t="shared" si="289"/>
        <v>1.2122396432212619</v>
      </c>
      <c r="BE72" s="173">
        <f t="shared" si="218"/>
        <v>1.0228346121784984</v>
      </c>
      <c r="BF72" s="173"/>
      <c r="BG72" s="528">
        <f t="shared" si="219"/>
        <v>5.8780998103888489E-2</v>
      </c>
      <c r="BH72" s="528">
        <f t="shared" si="220"/>
        <v>0.8340351741929094</v>
      </c>
      <c r="BI72" s="528">
        <f t="shared" si="221"/>
        <v>0.25907109568571451</v>
      </c>
      <c r="BJ72" s="528">
        <f t="shared" si="222"/>
        <v>7.7336708987607819E-2</v>
      </c>
      <c r="BK72">
        <f t="shared" si="223"/>
        <v>1.0745466659688363E-2</v>
      </c>
      <c r="BL72" s="460">
        <f t="shared" si="290"/>
        <v>269.81656234540287</v>
      </c>
      <c r="BM72" s="528">
        <f t="shared" si="224"/>
        <v>0.999989975922006</v>
      </c>
      <c r="BN72" s="460">
        <f t="shared" si="291"/>
        <v>999.98997592200601</v>
      </c>
      <c r="BO72" s="528">
        <f t="shared" si="225"/>
        <v>0.58155999999999997</v>
      </c>
      <c r="BP72" s="528"/>
      <c r="BR72" s="460">
        <f t="shared" si="292"/>
        <v>581.55999999999995</v>
      </c>
      <c r="BS72" s="528">
        <f t="shared" si="226"/>
        <v>4.4085748577916369E-2</v>
      </c>
      <c r="BT72" s="528">
        <f t="shared" si="227"/>
        <v>3.1385719316110172E-2</v>
      </c>
      <c r="BU72" s="528">
        <f t="shared" si="228"/>
        <v>0.24120000000000003</v>
      </c>
      <c r="BV72" s="528">
        <f t="shared" si="229"/>
        <v>0.33681823350830048</v>
      </c>
      <c r="BW72" s="528">
        <f t="shared" si="230"/>
        <v>0.62185059557268163</v>
      </c>
      <c r="BX72" s="460">
        <f t="shared" si="293"/>
        <v>958.66882908098216</v>
      </c>
      <c r="BY72" s="173">
        <f t="shared" si="231"/>
        <v>2.8100353673483909</v>
      </c>
      <c r="BZ72" s="5">
        <f t="shared" si="294"/>
        <v>16.080000000000002</v>
      </c>
      <c r="CA72" s="173">
        <f t="shared" si="295"/>
        <v>0.85124245070469462</v>
      </c>
      <c r="CB72" s="5">
        <f t="shared" si="296"/>
        <v>85.124245070469456</v>
      </c>
      <c r="CE72" s="562">
        <f t="shared" si="232"/>
        <v>-50</v>
      </c>
      <c r="CF72">
        <f t="shared" si="233"/>
        <v>-50</v>
      </c>
      <c r="CG72" s="173">
        <f t="shared" si="234"/>
        <v>0.58022631622416654</v>
      </c>
      <c r="CI72" s="170">
        <v>67</v>
      </c>
      <c r="CJ72" s="217">
        <f t="shared" si="297"/>
        <v>0.67</v>
      </c>
      <c r="CK72" s="217"/>
      <c r="CL72" s="217">
        <f t="shared" si="235"/>
        <v>16.080000000000002</v>
      </c>
      <c r="CM72" s="541">
        <f t="shared" si="236"/>
        <v>24</v>
      </c>
      <c r="CN72" s="172">
        <f t="shared" si="237"/>
        <v>16.3415</v>
      </c>
      <c r="CO72" s="443">
        <f t="shared" si="238"/>
        <v>40.341499999999996</v>
      </c>
      <c r="CP72" s="443"/>
      <c r="CQ72" s="217">
        <f t="shared" si="239"/>
        <v>0.40507913686898112</v>
      </c>
      <c r="CR72" s="172">
        <f t="shared" si="240"/>
        <v>54.360539956785601</v>
      </c>
      <c r="CS72" s="172">
        <f t="shared" si="298"/>
        <v>16.080000000000002</v>
      </c>
      <c r="CT72" s="217">
        <f t="shared" si="241"/>
        <v>2.2650224981994</v>
      </c>
      <c r="CU72" s="217">
        <f t="shared" si="242"/>
        <v>24</v>
      </c>
      <c r="CV72" s="217">
        <f t="shared" si="243"/>
        <v>2.250439649272117</v>
      </c>
      <c r="CW72" s="172">
        <f t="shared" si="244"/>
        <v>163.13291347452738</v>
      </c>
      <c r="CX72" s="172">
        <f t="shared" si="245"/>
        <v>24</v>
      </c>
      <c r="CY72" s="217">
        <f t="shared" si="246"/>
        <v>3.3079955940397152</v>
      </c>
      <c r="CZ72" s="217">
        <f t="shared" si="247"/>
        <v>1.3783314975165479</v>
      </c>
      <c r="DA72" s="217">
        <f t="shared" si="248"/>
        <v>2.0242912792826333</v>
      </c>
      <c r="DB72" s="197">
        <f t="shared" si="249"/>
        <v>350</v>
      </c>
      <c r="DC72" s="443">
        <f t="shared" si="299"/>
        <v>293.89093813704835</v>
      </c>
      <c r="DE72" s="217">
        <f t="shared" si="250"/>
        <v>2.7776855099587272</v>
      </c>
      <c r="DF72" s="173">
        <f t="shared" si="251"/>
        <v>1.6997738946600542</v>
      </c>
      <c r="DG72" s="173">
        <f t="shared" si="252"/>
        <v>0.55110977087390545</v>
      </c>
      <c r="DH72" s="173"/>
      <c r="DI72" s="173">
        <f t="shared" si="253"/>
        <v>1.3598642855443031</v>
      </c>
      <c r="DJ72" s="545">
        <f t="shared" si="300"/>
        <v>664.80749999999989</v>
      </c>
      <c r="DK72" s="528">
        <f t="shared" si="254"/>
        <v>0.35273368606701955</v>
      </c>
      <c r="DM72" s="173">
        <f t="shared" si="255"/>
        <v>3.0626785662227105</v>
      </c>
      <c r="DN72" s="173">
        <f t="shared" si="256"/>
        <v>3.3079955940397152</v>
      </c>
      <c r="DO72" s="173">
        <f t="shared" si="257"/>
        <v>2.0042765717166615</v>
      </c>
      <c r="DQ72" s="545">
        <f t="shared" si="258"/>
        <v>670</v>
      </c>
      <c r="DR72" s="460">
        <f t="shared" si="259"/>
        <v>293.89093813704835</v>
      </c>
      <c r="DT72">
        <f t="shared" si="260"/>
        <v>670</v>
      </c>
      <c r="DU72">
        <f t="shared" si="261"/>
        <v>293.89093813704835</v>
      </c>
      <c r="DW72" s="5">
        <f t="shared" si="301"/>
        <v>3.4026227767991819</v>
      </c>
      <c r="DX72" s="5">
        <f t="shared" si="262"/>
        <v>1.3783314975165479</v>
      </c>
      <c r="DY72" s="5">
        <f t="shared" si="302"/>
        <v>2.0242912792826342</v>
      </c>
      <c r="DZ72" s="5">
        <f t="shared" si="263"/>
        <v>2.0242912792826333</v>
      </c>
      <c r="EA72" s="173">
        <f t="shared" si="303"/>
        <v>0.405079136868981</v>
      </c>
      <c r="EB72" s="173">
        <f t="shared" si="264"/>
        <v>16.080000000000002</v>
      </c>
      <c r="EC72" s="173">
        <f t="shared" si="265"/>
        <v>0.656326530612245</v>
      </c>
      <c r="ED72" s="173">
        <f t="shared" si="304"/>
        <v>24.5</v>
      </c>
      <c r="EE72" s="460">
        <f t="shared" si="266"/>
        <v>3.8478420972336966</v>
      </c>
      <c r="EF72" s="5">
        <f t="shared" si="267"/>
        <v>1.1302292975994706</v>
      </c>
      <c r="EG72" s="5"/>
      <c r="EH72" s="173">
        <f t="shared" si="305"/>
        <v>1.2155539335371917</v>
      </c>
      <c r="EI72" s="173">
        <f t="shared" si="268"/>
        <v>0.98256146749253459</v>
      </c>
      <c r="EJ72" s="173"/>
      <c r="EK72" s="528">
        <f t="shared" si="269"/>
        <v>5.9102854613509573E-2</v>
      </c>
      <c r="EL72" s="528">
        <f t="shared" si="270"/>
        <v>1.0785389999999999</v>
      </c>
      <c r="EM72" s="528">
        <f t="shared" si="271"/>
        <v>5.8778187627409668E-2</v>
      </c>
      <c r="EN72" s="528">
        <f t="shared" si="272"/>
        <v>8.3700553242537293E-2</v>
      </c>
      <c r="EO72">
        <f t="shared" si="273"/>
        <v>1.0800000000000001E-2</v>
      </c>
      <c r="EP72" s="460">
        <f t="shared" si="306"/>
        <v>69.578187627409662</v>
      </c>
      <c r="EQ72" s="528">
        <f t="shared" si="274"/>
        <v>1.3254920365076217</v>
      </c>
      <c r="ER72" s="460">
        <f t="shared" si="307"/>
        <v>1325.4920365076216</v>
      </c>
      <c r="ES72" s="528">
        <f t="shared" si="308"/>
        <v>0.58155999999999997</v>
      </c>
      <c r="ET72" s="528"/>
      <c r="EV72" s="460">
        <f t="shared" si="309"/>
        <v>581.55999999999995</v>
      </c>
      <c r="EW72" s="528">
        <f t="shared" si="275"/>
        <v>4.4327140960132176E-2</v>
      </c>
      <c r="EX72" s="528">
        <f t="shared" si="276"/>
        <v>2.8962811122032493E-2</v>
      </c>
      <c r="EY72" s="528">
        <f t="shared" si="277"/>
        <v>1.4734920547744264</v>
      </c>
      <c r="EZ72" s="528">
        <f t="shared" si="278"/>
        <v>1.5735979085816338</v>
      </c>
      <c r="FA72" s="528">
        <f t="shared" si="279"/>
        <v>0.64319999999999999</v>
      </c>
      <c r="FB72" s="460">
        <f t="shared" si="310"/>
        <v>2216.7979085816337</v>
      </c>
      <c r="FC72" s="173">
        <f t="shared" si="311"/>
        <v>4.1238499450892556</v>
      </c>
      <c r="FD72" s="5">
        <f t="shared" si="312"/>
        <v>16.080000000000002</v>
      </c>
      <c r="FE72" s="173">
        <f t="shared" si="313"/>
        <v>0.7958879146154223</v>
      </c>
      <c r="FF72" s="5">
        <f t="shared" si="314"/>
        <v>79.588791461542229</v>
      </c>
      <c r="FI72" s="562">
        <f t="shared" si="280"/>
        <v>-50</v>
      </c>
      <c r="FJ72">
        <f t="shared" si="281"/>
        <v>-50</v>
      </c>
      <c r="FL72">
        <f t="shared" si="282"/>
        <v>0.594920863131019</v>
      </c>
    </row>
    <row r="73" spans="5:168">
      <c r="E73" s="170">
        <v>68</v>
      </c>
      <c r="F73" s="217">
        <f t="shared" si="283"/>
        <v>0.68</v>
      </c>
      <c r="G73" s="217"/>
      <c r="H73" s="217">
        <f t="shared" si="183"/>
        <v>16.32</v>
      </c>
      <c r="I73" s="541">
        <f t="shared" si="184"/>
        <v>23.877051855095431</v>
      </c>
      <c r="J73" s="172">
        <f t="shared" si="185"/>
        <v>16.364942118816479</v>
      </c>
      <c r="K73" s="172">
        <f t="shared" si="186"/>
        <v>40.364942118816479</v>
      </c>
      <c r="L73" s="443"/>
      <c r="M73" s="217">
        <f t="shared" si="187"/>
        <v>0.40665488948785128</v>
      </c>
      <c r="N73" s="172">
        <f t="shared" si="188"/>
        <v>54.292438157078607</v>
      </c>
      <c r="O73" s="172">
        <f t="shared" si="284"/>
        <v>16.32</v>
      </c>
      <c r="P73" s="217">
        <f t="shared" si="189"/>
        <v>2.2621849232116085</v>
      </c>
      <c r="Q73" s="217">
        <f t="shared" si="190"/>
        <v>24</v>
      </c>
      <c r="R73" s="217">
        <f t="shared" si="191"/>
        <v>2.2476203433864645</v>
      </c>
      <c r="S73" s="172">
        <f t="shared" si="192"/>
        <v>159.38822007622039</v>
      </c>
      <c r="T73" s="172">
        <f t="shared" si="193"/>
        <v>24</v>
      </c>
      <c r="U73" s="217">
        <f t="shared" si="194"/>
        <v>3.4364157951603773</v>
      </c>
      <c r="V73" s="217">
        <f t="shared" si="195"/>
        <v>1.4392127704941247</v>
      </c>
      <c r="W73" s="217">
        <f t="shared" si="196"/>
        <v>2.0998643137326907</v>
      </c>
      <c r="X73" s="197">
        <f t="shared" si="197"/>
        <v>350</v>
      </c>
      <c r="Y73" s="443">
        <f t="shared" si="198"/>
        <v>267.44567642600094</v>
      </c>
      <c r="AA73" s="217">
        <f t="shared" si="199"/>
        <v>2.7742630662311161</v>
      </c>
      <c r="AB73" s="173">
        <f t="shared" si="200"/>
        <v>1.6952477106785833</v>
      </c>
      <c r="AC73" s="173">
        <f t="shared" si="201"/>
        <v>0.54896504173050997</v>
      </c>
      <c r="AD73" s="173"/>
      <c r="AE73" s="173">
        <f t="shared" si="202"/>
        <v>1.357916334862622</v>
      </c>
      <c r="AF73" s="545">
        <f t="shared" si="203"/>
        <v>675.697909973322</v>
      </c>
      <c r="AG73" s="528">
        <f t="shared" si="204"/>
        <v>0.35222840930408789</v>
      </c>
      <c r="AI73" s="173">
        <f t="shared" si="205"/>
        <v>3.0876619922049171</v>
      </c>
      <c r="AJ73" s="173">
        <f t="shared" si="206"/>
        <v>3.4364157951603773</v>
      </c>
      <c r="AK73" s="173">
        <f t="shared" si="207"/>
        <v>2.0994026466208555</v>
      </c>
      <c r="AM73" s="545">
        <f t="shared" si="208"/>
        <v>680</v>
      </c>
      <c r="AN73" s="460">
        <f t="shared" si="209"/>
        <v>267.44567642600094</v>
      </c>
      <c r="AP73">
        <f t="shared" si="210"/>
        <v>680</v>
      </c>
      <c r="AQ73">
        <f t="shared" si="211"/>
        <v>267.44567642600094</v>
      </c>
      <c r="AS73" s="5">
        <f t="shared" si="285"/>
        <v>3.7390770842268157</v>
      </c>
      <c r="AT73" s="5">
        <f t="shared" si="212"/>
        <v>1.4392127704941247</v>
      </c>
      <c r="AU73" s="5">
        <f t="shared" si="286"/>
        <v>2.2998643137326908</v>
      </c>
      <c r="AV73" s="5">
        <f t="shared" si="213"/>
        <v>2.0998643137326907</v>
      </c>
      <c r="AW73" s="173">
        <f t="shared" si="287"/>
        <v>0.38491123292574003</v>
      </c>
      <c r="AX73" s="173">
        <f t="shared" si="214"/>
        <v>15.791267806490865</v>
      </c>
      <c r="AY73" s="173">
        <f t="shared" si="215"/>
        <v>0.70491920165900301</v>
      </c>
      <c r="AZ73" s="173">
        <f t="shared" si="288"/>
        <v>22.401528812559881</v>
      </c>
      <c r="BA73" s="460">
        <f t="shared" si="216"/>
        <v>4.0777695164000205</v>
      </c>
      <c r="BB73" s="5">
        <f t="shared" si="217"/>
        <v>1.309967195974814</v>
      </c>
      <c r="BC73" s="5"/>
      <c r="BD73" s="173">
        <f t="shared" si="289"/>
        <v>1.2309073696368438</v>
      </c>
      <c r="BE73" s="173">
        <f t="shared" si="218"/>
        <v>1.0378624778590289</v>
      </c>
      <c r="BF73" s="173"/>
      <c r="BG73" s="528">
        <f t="shared" si="219"/>
        <v>6.0605318105051743E-2</v>
      </c>
      <c r="BH73" s="528">
        <f t="shared" si="220"/>
        <v>0.83469563069242492</v>
      </c>
      <c r="BI73" s="528">
        <f t="shared" si="221"/>
        <v>0.25543257137778796</v>
      </c>
      <c r="BJ73" s="528">
        <f t="shared" si="222"/>
        <v>7.6257453436175113E-2</v>
      </c>
      <c r="BK73">
        <f t="shared" si="223"/>
        <v>1.0744673334792943E-2</v>
      </c>
      <c r="BL73" s="460">
        <f t="shared" si="290"/>
        <v>266.17724471258094</v>
      </c>
      <c r="BM73" s="528">
        <f t="shared" si="224"/>
        <v>1.0023555816641725</v>
      </c>
      <c r="BN73" s="460">
        <f t="shared" si="291"/>
        <v>1002.3555816641725</v>
      </c>
      <c r="BO73" s="528">
        <f t="shared" si="225"/>
        <v>0.59023999999999999</v>
      </c>
      <c r="BP73" s="528"/>
      <c r="BR73" s="460">
        <f t="shared" si="292"/>
        <v>590.24</v>
      </c>
      <c r="BS73" s="528">
        <f t="shared" si="226"/>
        <v>4.5453988578788802E-2</v>
      </c>
      <c r="BT73" s="528">
        <f t="shared" si="227"/>
        <v>3.2314755688430494E-2</v>
      </c>
      <c r="BU73" s="528">
        <f t="shared" si="228"/>
        <v>0.24479999999999999</v>
      </c>
      <c r="BV73" s="528">
        <f t="shared" si="229"/>
        <v>0.34336951617878125</v>
      </c>
      <c r="BW73" s="528">
        <f t="shared" si="230"/>
        <v>0.63165071225963465</v>
      </c>
      <c r="BX73" s="460">
        <f t="shared" si="293"/>
        <v>975.02022843841598</v>
      </c>
      <c r="BY73" s="173">
        <f t="shared" si="231"/>
        <v>2.8337930548151697</v>
      </c>
      <c r="BZ73" s="5">
        <f t="shared" si="294"/>
        <v>16.32</v>
      </c>
      <c r="CA73" s="173">
        <f t="shared" si="295"/>
        <v>0.85205055485849213</v>
      </c>
      <c r="CB73" s="5">
        <f t="shared" si="296"/>
        <v>85.205055485849215</v>
      </c>
      <c r="CE73" s="562">
        <f t="shared" si="232"/>
        <v>-50</v>
      </c>
      <c r="CF73">
        <f t="shared" si="233"/>
        <v>-50</v>
      </c>
      <c r="CG73" s="173">
        <f t="shared" si="234"/>
        <v>0.5804424125022084</v>
      </c>
      <c r="CI73" s="170">
        <v>68</v>
      </c>
      <c r="CJ73" s="217">
        <f t="shared" si="297"/>
        <v>0.68</v>
      </c>
      <c r="CK73" s="217"/>
      <c r="CL73" s="217">
        <f t="shared" si="235"/>
        <v>16.32</v>
      </c>
      <c r="CM73" s="541">
        <f t="shared" si="236"/>
        <v>24</v>
      </c>
      <c r="CN73" s="172">
        <f t="shared" si="237"/>
        <v>16.3415</v>
      </c>
      <c r="CO73" s="443">
        <f t="shared" si="238"/>
        <v>40.341499999999996</v>
      </c>
      <c r="CP73" s="443"/>
      <c r="CQ73" s="217">
        <f t="shared" si="239"/>
        <v>0.40507913686898112</v>
      </c>
      <c r="CR73" s="172">
        <f t="shared" si="240"/>
        <v>54.360539956785601</v>
      </c>
      <c r="CS73" s="172">
        <f t="shared" si="298"/>
        <v>16.32</v>
      </c>
      <c r="CT73" s="217">
        <f t="shared" si="241"/>
        <v>2.2650224981994</v>
      </c>
      <c r="CU73" s="217">
        <f t="shared" si="242"/>
        <v>24</v>
      </c>
      <c r="CV73" s="217">
        <f t="shared" si="243"/>
        <v>2.250439649272117</v>
      </c>
      <c r="CW73" s="172">
        <f t="shared" si="244"/>
        <v>160.20837052535379</v>
      </c>
      <c r="CX73" s="172">
        <f t="shared" si="245"/>
        <v>24</v>
      </c>
      <c r="CY73" s="217">
        <f t="shared" si="246"/>
        <v>3.3573686626074717</v>
      </c>
      <c r="CZ73" s="217">
        <f t="shared" si="247"/>
        <v>1.3989036094197802</v>
      </c>
      <c r="DA73" s="217">
        <f t="shared" si="248"/>
        <v>2.0545045819584935</v>
      </c>
      <c r="DB73" s="197">
        <f t="shared" si="249"/>
        <v>350</v>
      </c>
      <c r="DC73" s="443">
        <f t="shared" si="299"/>
        <v>289.56901257620945</v>
      </c>
      <c r="DE73" s="217">
        <f t="shared" si="250"/>
        <v>2.7776855099587272</v>
      </c>
      <c r="DF73" s="173">
        <f t="shared" si="251"/>
        <v>1.6997738946600542</v>
      </c>
      <c r="DG73" s="173">
        <f t="shared" si="252"/>
        <v>0.55110977087390545</v>
      </c>
      <c r="DH73" s="173"/>
      <c r="DI73" s="173">
        <f t="shared" si="253"/>
        <v>1.3598642855443031</v>
      </c>
      <c r="DJ73" s="545">
        <f t="shared" si="300"/>
        <v>674.7299999999999</v>
      </c>
      <c r="DK73" s="528">
        <f t="shared" si="254"/>
        <v>0.35273368606701955</v>
      </c>
      <c r="DM73" s="173">
        <f t="shared" si="255"/>
        <v>3.0854497241083023</v>
      </c>
      <c r="DN73" s="173">
        <f t="shared" si="256"/>
        <v>3.3573686626074717</v>
      </c>
      <c r="DO73" s="173">
        <f t="shared" si="257"/>
        <v>2.0408492151001845</v>
      </c>
      <c r="DQ73" s="545">
        <f t="shared" si="258"/>
        <v>680</v>
      </c>
      <c r="DR73" s="460">
        <f t="shared" si="259"/>
        <v>289.56901257620945</v>
      </c>
      <c r="DT73">
        <f t="shared" si="260"/>
        <v>680</v>
      </c>
      <c r="DU73">
        <f t="shared" si="261"/>
        <v>289.56901257620945</v>
      </c>
      <c r="DW73" s="5">
        <f t="shared" si="301"/>
        <v>3.4534081913782737</v>
      </c>
      <c r="DX73" s="5">
        <f t="shared" si="262"/>
        <v>1.3989036094197802</v>
      </c>
      <c r="DY73" s="5">
        <f t="shared" si="302"/>
        <v>2.0545045819584935</v>
      </c>
      <c r="DZ73" s="5">
        <f t="shared" si="263"/>
        <v>2.0545045819584935</v>
      </c>
      <c r="EA73" s="173">
        <f t="shared" si="303"/>
        <v>0.40507913686898112</v>
      </c>
      <c r="EB73" s="173">
        <f t="shared" si="264"/>
        <v>16.319999999999997</v>
      </c>
      <c r="EC73" s="173">
        <f t="shared" si="265"/>
        <v>0.66612244897959172</v>
      </c>
      <c r="ED73" s="173">
        <f t="shared" si="304"/>
        <v>24.5</v>
      </c>
      <c r="EE73" s="460">
        <f t="shared" si="266"/>
        <v>3.9635602266893777</v>
      </c>
      <c r="EF73" s="5">
        <f t="shared" si="267"/>
        <v>1.1642192631098129</v>
      </c>
      <c r="EG73" s="5"/>
      <c r="EH73" s="173">
        <f t="shared" si="305"/>
        <v>1.2336965295601348</v>
      </c>
      <c r="EI73" s="173">
        <f t="shared" si="268"/>
        <v>0.99722656402227383</v>
      </c>
      <c r="EJ73" s="173"/>
      <c r="EK73" s="528">
        <f t="shared" si="269"/>
        <v>6.0880285081948822E-2</v>
      </c>
      <c r="EL73" s="528">
        <f t="shared" si="270"/>
        <v>1.0785390000000001</v>
      </c>
      <c r="EM73" s="528">
        <f t="shared" si="271"/>
        <v>5.7913802515241891E-2</v>
      </c>
      <c r="EN73" s="528">
        <f t="shared" si="272"/>
        <v>8.2469662753676454E-2</v>
      </c>
      <c r="EO73">
        <f t="shared" si="273"/>
        <v>1.0800000000000001E-2</v>
      </c>
      <c r="EP73" s="460">
        <f t="shared" si="306"/>
        <v>68.713802515241895</v>
      </c>
      <c r="EQ73" s="528">
        <f t="shared" si="274"/>
        <v>1.3262244708337969</v>
      </c>
      <c r="ER73" s="460">
        <f t="shared" si="307"/>
        <v>1326.2244708337969</v>
      </c>
      <c r="ES73" s="528">
        <f t="shared" si="308"/>
        <v>0.59023999999999999</v>
      </c>
      <c r="ET73" s="528"/>
      <c r="EV73" s="460">
        <f t="shared" si="309"/>
        <v>590.24</v>
      </c>
      <c r="EW73" s="528">
        <f t="shared" si="275"/>
        <v>4.5660213811461611E-2</v>
      </c>
      <c r="EX73" s="528">
        <f t="shared" si="276"/>
        <v>2.9833824599750106E-2</v>
      </c>
      <c r="EY73" s="528">
        <f t="shared" si="277"/>
        <v>1.4734920547744264</v>
      </c>
      <c r="EZ73" s="528">
        <f t="shared" si="278"/>
        <v>1.5766267359534658</v>
      </c>
      <c r="FA73" s="528">
        <f t="shared" si="279"/>
        <v>0.65279999999999994</v>
      </c>
      <c r="FB73" s="460">
        <f t="shared" si="310"/>
        <v>2229.426735953466</v>
      </c>
      <c r="FC73" s="173">
        <f t="shared" si="311"/>
        <v>4.1458912067872626</v>
      </c>
      <c r="FD73" s="5">
        <f t="shared" si="312"/>
        <v>16.32</v>
      </c>
      <c r="FE73" s="173">
        <f t="shared" si="313"/>
        <v>0.7974243503545877</v>
      </c>
      <c r="FF73" s="5">
        <f t="shared" si="314"/>
        <v>79.742435035458769</v>
      </c>
      <c r="FI73" s="562">
        <f t="shared" si="280"/>
        <v>-50</v>
      </c>
      <c r="FJ73">
        <f t="shared" si="281"/>
        <v>-50</v>
      </c>
      <c r="FL73">
        <f t="shared" si="282"/>
        <v>0.59492086313101888</v>
      </c>
    </row>
    <row r="74" spans="5:168">
      <c r="E74" s="170">
        <v>69</v>
      </c>
      <c r="F74" s="217">
        <f t="shared" si="283"/>
        <v>0.69</v>
      </c>
      <c r="G74" s="217"/>
      <c r="H74" s="217">
        <f t="shared" si="183"/>
        <v>16.559999999999999</v>
      </c>
      <c r="I74" s="541">
        <f t="shared" si="184"/>
        <v>23.875288877788666</v>
      </c>
      <c r="J74" s="172">
        <f t="shared" si="185"/>
        <v>16.365278259906919</v>
      </c>
      <c r="K74" s="172">
        <f t="shared" si="186"/>
        <v>40.365278259906916</v>
      </c>
      <c r="L74" s="443"/>
      <c r="M74" s="217">
        <f t="shared" si="187"/>
        <v>0.40667766516910842</v>
      </c>
      <c r="N74" s="172">
        <f t="shared" si="188"/>
        <v>54.291469993926263</v>
      </c>
      <c r="O74" s="172">
        <f t="shared" si="284"/>
        <v>16.559999999999999</v>
      </c>
      <c r="P74" s="217">
        <f t="shared" si="189"/>
        <v>2.2621445830802611</v>
      </c>
      <c r="Q74" s="217">
        <f t="shared" si="190"/>
        <v>24</v>
      </c>
      <c r="R74" s="217">
        <f t="shared" si="191"/>
        <v>2.2475802629761747</v>
      </c>
      <c r="S74" s="172">
        <f t="shared" si="192"/>
        <v>156.55152339203732</v>
      </c>
      <c r="T74" s="172">
        <f t="shared" si="193"/>
        <v>24</v>
      </c>
      <c r="U74" s="217">
        <f t="shared" si="194"/>
        <v>3.4870851740834508</v>
      </c>
      <c r="V74" s="217">
        <f t="shared" si="195"/>
        <v>1.4605415632593701</v>
      </c>
      <c r="W74" s="217">
        <f t="shared" si="196"/>
        <v>2.1307826965743781</v>
      </c>
      <c r="X74" s="197">
        <f t="shared" si="197"/>
        <v>350</v>
      </c>
      <c r="Y74" s="443">
        <f t="shared" si="198"/>
        <v>263.76008261658166</v>
      </c>
      <c r="AA74" s="217">
        <f t="shared" si="199"/>
        <v>2.7742135704121869</v>
      </c>
      <c r="AB74" s="173">
        <f t="shared" si="200"/>
        <v>1.6951826460590631</v>
      </c>
      <c r="AC74" s="173">
        <f t="shared" si="201"/>
        <v>0.54893417837706049</v>
      </c>
      <c r="AD74" s="173"/>
      <c r="AE74" s="173">
        <f t="shared" si="202"/>
        <v>1.3578884434042382</v>
      </c>
      <c r="AF74" s="545">
        <f t="shared" si="203"/>
        <v>685.64872709609995</v>
      </c>
      <c r="AG74" s="528">
        <f t="shared" si="204"/>
        <v>0.35222117456968827</v>
      </c>
      <c r="AI74" s="173">
        <f t="shared" si="205"/>
        <v>3.1103144719193088</v>
      </c>
      <c r="AJ74" s="173">
        <f t="shared" si="206"/>
        <v>3.4870851740834508</v>
      </c>
      <c r="AK74" s="173">
        <f t="shared" si="207"/>
        <v>2.1369355198972064</v>
      </c>
      <c r="AM74" s="545">
        <f t="shared" si="208"/>
        <v>690</v>
      </c>
      <c r="AN74" s="460">
        <f t="shared" si="209"/>
        <v>263.76008261658166</v>
      </c>
      <c r="AP74">
        <f t="shared" si="210"/>
        <v>690</v>
      </c>
      <c r="AQ74">
        <f t="shared" si="211"/>
        <v>263.76008261658166</v>
      </c>
      <c r="AS74" s="5">
        <f t="shared" si="285"/>
        <v>3.7913242598337491</v>
      </c>
      <c r="AT74" s="5">
        <f t="shared" si="212"/>
        <v>1.4605415632593701</v>
      </c>
      <c r="AU74" s="5">
        <f t="shared" si="286"/>
        <v>2.3307826965743788</v>
      </c>
      <c r="AV74" s="5">
        <f t="shared" si="213"/>
        <v>2.1307826965743781</v>
      </c>
      <c r="AW74" s="173">
        <f t="shared" si="287"/>
        <v>0.38523256339024281</v>
      </c>
      <c r="AX74" s="173">
        <f t="shared" si="214"/>
        <v>16.03630048230934</v>
      </c>
      <c r="AY74" s="173">
        <f t="shared" si="215"/>
        <v>0.71493942897267593</v>
      </c>
      <c r="AZ74" s="173">
        <f t="shared" si="288"/>
        <v>22.430292458974488</v>
      </c>
      <c r="BA74" s="460">
        <f t="shared" si="216"/>
        <v>4.1990569943706886</v>
      </c>
      <c r="BB74" s="5">
        <f t="shared" si="217"/>
        <v>1.3472005041434092</v>
      </c>
      <c r="BC74" s="5"/>
      <c r="BD74" s="173">
        <f t="shared" si="289"/>
        <v>1.2495781521598686</v>
      </c>
      <c r="BE74" s="173">
        <f t="shared" si="218"/>
        <v>1.0528904576302482</v>
      </c>
      <c r="BF74" s="173"/>
      <c r="BG74" s="528">
        <f t="shared" si="219"/>
        <v>6.2457822334210863E-2</v>
      </c>
      <c r="BH74" s="528">
        <f t="shared" si="220"/>
        <v>0.83533772337269041</v>
      </c>
      <c r="BI74" s="528">
        <f t="shared" si="221"/>
        <v>0.25189392667601168</v>
      </c>
      <c r="BJ74" s="528">
        <f t="shared" si="222"/>
        <v>7.5207823449913322E-2</v>
      </c>
      <c r="BK74">
        <f t="shared" si="223"/>
        <v>1.0743879995004899E-2</v>
      </c>
      <c r="BL74" s="460">
        <f t="shared" si="290"/>
        <v>262.63780667101662</v>
      </c>
      <c r="BM74" s="528">
        <f t="shared" si="224"/>
        <v>1.0047778631606539</v>
      </c>
      <c r="BN74" s="460">
        <f t="shared" si="291"/>
        <v>1004.7778631606539</v>
      </c>
      <c r="BO74" s="528">
        <f t="shared" si="225"/>
        <v>0.5989199999999999</v>
      </c>
      <c r="BP74" s="528"/>
      <c r="BR74" s="460">
        <f t="shared" si="292"/>
        <v>598.91999999999985</v>
      </c>
      <c r="BS74" s="528">
        <f t="shared" si="226"/>
        <v>4.6843366750658144E-2</v>
      </c>
      <c r="BT74" s="528">
        <f t="shared" si="227"/>
        <v>3.3257349473065009E-2</v>
      </c>
      <c r="BU74" s="528">
        <f t="shared" si="228"/>
        <v>0.24839999999999998</v>
      </c>
      <c r="BV74" s="528">
        <f t="shared" si="229"/>
        <v>0.34996749990923715</v>
      </c>
      <c r="BW74" s="528">
        <f t="shared" si="230"/>
        <v>0.64145201929237361</v>
      </c>
      <c r="BX74" s="460">
        <f t="shared" si="293"/>
        <v>991.4195192016108</v>
      </c>
      <c r="BY74" s="173">
        <f t="shared" si="231"/>
        <v>2.8577551890332815</v>
      </c>
      <c r="BZ74" s="5">
        <f t="shared" si="294"/>
        <v>16.559999999999999</v>
      </c>
      <c r="CA74" s="173">
        <f t="shared" si="295"/>
        <v>0.85282772590277178</v>
      </c>
      <c r="CB74" s="5">
        <f t="shared" si="296"/>
        <v>85.282772590277176</v>
      </c>
      <c r="CE74" s="562">
        <f t="shared" si="232"/>
        <v>-50</v>
      </c>
      <c r="CF74">
        <f t="shared" si="233"/>
        <v>-50</v>
      </c>
      <c r="CG74" s="173">
        <f t="shared" si="234"/>
        <v>0.58065224512001734</v>
      </c>
      <c r="CI74" s="170">
        <v>69</v>
      </c>
      <c r="CJ74" s="217">
        <f t="shared" si="297"/>
        <v>0.69</v>
      </c>
      <c r="CK74" s="217"/>
      <c r="CL74" s="217">
        <f t="shared" si="235"/>
        <v>16.559999999999999</v>
      </c>
      <c r="CM74" s="541">
        <f t="shared" si="236"/>
        <v>24</v>
      </c>
      <c r="CN74" s="172">
        <f t="shared" si="237"/>
        <v>16.3415</v>
      </c>
      <c r="CO74" s="443">
        <f t="shared" si="238"/>
        <v>40.341499999999996</v>
      </c>
      <c r="CP74" s="443"/>
      <c r="CQ74" s="217">
        <f t="shared" si="239"/>
        <v>0.40507913686898112</v>
      </c>
      <c r="CR74" s="172">
        <f t="shared" si="240"/>
        <v>54.360539956785601</v>
      </c>
      <c r="CS74" s="172">
        <f t="shared" si="298"/>
        <v>16.559999999999999</v>
      </c>
      <c r="CT74" s="217">
        <f t="shared" si="241"/>
        <v>2.2650224981994</v>
      </c>
      <c r="CU74" s="217">
        <f t="shared" si="242"/>
        <v>24</v>
      </c>
      <c r="CV74" s="217">
        <f t="shared" si="243"/>
        <v>2.250439649272117</v>
      </c>
      <c r="CW74" s="172">
        <f t="shared" si="244"/>
        <v>157.36866782436005</v>
      </c>
      <c r="CX74" s="172">
        <f t="shared" si="245"/>
        <v>24</v>
      </c>
      <c r="CY74" s="217">
        <f t="shared" si="246"/>
        <v>3.4067417311752286</v>
      </c>
      <c r="CZ74" s="217">
        <f t="shared" si="247"/>
        <v>1.419475721323012</v>
      </c>
      <c r="DA74" s="217">
        <f t="shared" si="248"/>
        <v>2.0847178846343537</v>
      </c>
      <c r="DB74" s="197">
        <f t="shared" si="249"/>
        <v>350</v>
      </c>
      <c r="DC74" s="443">
        <f t="shared" si="299"/>
        <v>285.37236022003248</v>
      </c>
      <c r="DE74" s="217">
        <f t="shared" si="250"/>
        <v>2.7776855099587272</v>
      </c>
      <c r="DF74" s="173">
        <f t="shared" si="251"/>
        <v>1.6997738946600542</v>
      </c>
      <c r="DG74" s="173">
        <f t="shared" si="252"/>
        <v>0.55110977087390545</v>
      </c>
      <c r="DH74" s="173"/>
      <c r="DI74" s="173">
        <f t="shared" si="253"/>
        <v>1.3598642855443031</v>
      </c>
      <c r="DJ74" s="545">
        <f t="shared" si="300"/>
        <v>684.6524999999998</v>
      </c>
      <c r="DK74" s="528">
        <f t="shared" si="254"/>
        <v>0.35273368606701955</v>
      </c>
      <c r="DM74" s="173">
        <f t="shared" si="255"/>
        <v>3.1080540535840102</v>
      </c>
      <c r="DN74" s="173">
        <f t="shared" si="256"/>
        <v>3.4067417311752286</v>
      </c>
      <c r="DO74" s="173">
        <f t="shared" si="257"/>
        <v>2.0774218584837083</v>
      </c>
      <c r="DQ74" s="545">
        <f t="shared" si="258"/>
        <v>690</v>
      </c>
      <c r="DR74" s="460">
        <f t="shared" si="259"/>
        <v>285.37236022003248</v>
      </c>
      <c r="DT74">
        <f t="shared" si="260"/>
        <v>690</v>
      </c>
      <c r="DU74">
        <f t="shared" si="261"/>
        <v>285.37236022003248</v>
      </c>
      <c r="DW74" s="5">
        <f t="shared" si="301"/>
        <v>3.504193605957366</v>
      </c>
      <c r="DX74" s="5">
        <f t="shared" si="262"/>
        <v>1.419475721323012</v>
      </c>
      <c r="DY74" s="5">
        <f t="shared" si="302"/>
        <v>2.0847178846343537</v>
      </c>
      <c r="DZ74" s="5">
        <f t="shared" si="263"/>
        <v>2.0847178846343537</v>
      </c>
      <c r="EA74" s="173">
        <f t="shared" si="303"/>
        <v>0.405079136868981</v>
      </c>
      <c r="EB74" s="173">
        <f t="shared" si="264"/>
        <v>16.559999999999995</v>
      </c>
      <c r="EC74" s="173">
        <f t="shared" si="265"/>
        <v>0.67591836734693889</v>
      </c>
      <c r="ED74" s="173">
        <f t="shared" si="304"/>
        <v>24.499999999999989</v>
      </c>
      <c r="EE74" s="460">
        <f t="shared" si="266"/>
        <v>4.0809926988036596</v>
      </c>
      <c r="EF74" s="5">
        <f t="shared" si="267"/>
        <v>1.1987127836647531</v>
      </c>
      <c r="EG74" s="5"/>
      <c r="EH74" s="173">
        <f t="shared" si="305"/>
        <v>1.2518391255830779</v>
      </c>
      <c r="EI74" s="173">
        <f t="shared" si="268"/>
        <v>1.0118916605520132</v>
      </c>
      <c r="EJ74" s="173"/>
      <c r="EK74" s="528">
        <f t="shared" si="269"/>
        <v>6.2684047853624206E-2</v>
      </c>
      <c r="EL74" s="528">
        <f t="shared" si="270"/>
        <v>1.0785389999999999</v>
      </c>
      <c r="EM74" s="528">
        <f t="shared" si="271"/>
        <v>5.7074472044006494E-2</v>
      </c>
      <c r="EN74" s="528">
        <f t="shared" si="272"/>
        <v>8.1274450249999991E-2</v>
      </c>
      <c r="EO74">
        <f t="shared" si="273"/>
        <v>1.0800000000000001E-2</v>
      </c>
      <c r="EP74" s="460">
        <f t="shared" si="306"/>
        <v>67.874472044006495</v>
      </c>
      <c r="EQ74" s="528">
        <f t="shared" si="274"/>
        <v>1.3270615593208159</v>
      </c>
      <c r="ER74" s="460">
        <f t="shared" si="307"/>
        <v>1327.0615593208158</v>
      </c>
      <c r="ES74" s="528">
        <f t="shared" si="308"/>
        <v>0.5989199999999999</v>
      </c>
      <c r="ET74" s="528"/>
      <c r="EV74" s="460">
        <f t="shared" si="309"/>
        <v>598.91999999999985</v>
      </c>
      <c r="EW74" s="528">
        <f t="shared" si="275"/>
        <v>4.7013035890218144E-2</v>
      </c>
      <c r="EX74" s="528">
        <f t="shared" si="276"/>
        <v>3.0717741980841321E-2</v>
      </c>
      <c r="EY74" s="528">
        <f t="shared" si="277"/>
        <v>1.4734920547744277</v>
      </c>
      <c r="EZ74" s="528">
        <f t="shared" si="278"/>
        <v>1.5797015336557547</v>
      </c>
      <c r="FA74" s="528">
        <f t="shared" si="279"/>
        <v>0.66239999999999988</v>
      </c>
      <c r="FB74" s="460">
        <f t="shared" si="310"/>
        <v>2242.1015336557548</v>
      </c>
      <c r="FC74" s="173">
        <f t="shared" si="311"/>
        <v>4.1680830929765706</v>
      </c>
      <c r="FD74" s="5">
        <f t="shared" si="312"/>
        <v>16.559999999999999</v>
      </c>
      <c r="FE74" s="173">
        <f t="shared" si="313"/>
        <v>0.79891613352375701</v>
      </c>
      <c r="FF74" s="5">
        <f t="shared" si="314"/>
        <v>79.8916133523757</v>
      </c>
      <c r="FI74" s="562">
        <f t="shared" si="280"/>
        <v>-50</v>
      </c>
      <c r="FJ74">
        <f t="shared" si="281"/>
        <v>-50</v>
      </c>
      <c r="FL74">
        <f t="shared" si="282"/>
        <v>0.594920863131019</v>
      </c>
    </row>
    <row r="75" spans="5:168">
      <c r="E75" s="170">
        <v>70</v>
      </c>
      <c r="F75" s="217">
        <f t="shared" si="283"/>
        <v>0.7</v>
      </c>
      <c r="G75" s="217"/>
      <c r="H75" s="217">
        <f t="shared" si="183"/>
        <v>16.799999999999997</v>
      </c>
      <c r="I75" s="541">
        <f t="shared" si="184"/>
        <v>23.873525868839867</v>
      </c>
      <c r="J75" s="172">
        <f t="shared" si="185"/>
        <v>16.365614407030446</v>
      </c>
      <c r="K75" s="172">
        <f t="shared" si="186"/>
        <v>40.365614407030449</v>
      </c>
      <c r="L75" s="443"/>
      <c r="M75" s="217">
        <f t="shared" si="187"/>
        <v>0.4067004427851702</v>
      </c>
      <c r="N75" s="172">
        <f t="shared" si="188"/>
        <v>54.290501568058922</v>
      </c>
      <c r="O75" s="172">
        <f t="shared" si="284"/>
        <v>16.799999999999997</v>
      </c>
      <c r="P75" s="217">
        <f t="shared" si="189"/>
        <v>2.2621042320024549</v>
      </c>
      <c r="Q75" s="217">
        <f t="shared" si="190"/>
        <v>24</v>
      </c>
      <c r="R75" s="217">
        <f t="shared" si="191"/>
        <v>2.2475401716899044</v>
      </c>
      <c r="S75" s="172">
        <f t="shared" si="192"/>
        <v>153.79602104022376</v>
      </c>
      <c r="T75" s="172">
        <f t="shared" si="193"/>
        <v>24</v>
      </c>
      <c r="U75" s="217">
        <f t="shared" si="194"/>
        <v>3.5377584547524199</v>
      </c>
      <c r="V75" s="217">
        <f t="shared" si="195"/>
        <v>1.4818751424438577</v>
      </c>
      <c r="W75" s="217">
        <f t="shared" si="196"/>
        <v>2.1617021926366826</v>
      </c>
      <c r="X75" s="197">
        <f t="shared" si="197"/>
        <v>350</v>
      </c>
      <c r="Y75" s="443">
        <f t="shared" si="198"/>
        <v>260.17428890345082</v>
      </c>
      <c r="AA75" s="217">
        <f t="shared" si="199"/>
        <v>2.7741640617789147</v>
      </c>
      <c r="AB75" s="173">
        <f t="shared" si="200"/>
        <v>1.6951175756573928</v>
      </c>
      <c r="AC75" s="173">
        <f t="shared" si="201"/>
        <v>0.54890331136759751</v>
      </c>
      <c r="AD75" s="173"/>
      <c r="AE75" s="173">
        <f t="shared" si="202"/>
        <v>1.3578605525910388</v>
      </c>
      <c r="AF75" s="545">
        <f t="shared" si="203"/>
        <v>695.5999526826281</v>
      </c>
      <c r="AG75" s="528">
        <f t="shared" si="204"/>
        <v>0.35221394000264228</v>
      </c>
      <c r="AI75" s="173">
        <f t="shared" si="205"/>
        <v>3.1328040815715736</v>
      </c>
      <c r="AJ75" s="173">
        <f t="shared" si="206"/>
        <v>3.5377584547524199</v>
      </c>
      <c r="AK75" s="173">
        <f t="shared" si="207"/>
        <v>2.1744712833557021</v>
      </c>
      <c r="AM75" s="545">
        <f t="shared" si="208"/>
        <v>700</v>
      </c>
      <c r="AN75" s="460">
        <f t="shared" si="209"/>
        <v>260.17428890345082</v>
      </c>
      <c r="AP75">
        <f t="shared" si="210"/>
        <v>700</v>
      </c>
      <c r="AQ75">
        <f t="shared" si="211"/>
        <v>260.17428890345082</v>
      </c>
      <c r="AS75" s="5">
        <f t="shared" si="285"/>
        <v>3.84357733508054</v>
      </c>
      <c r="AT75" s="5">
        <f t="shared" si="212"/>
        <v>1.4818751424438577</v>
      </c>
      <c r="AU75" s="5">
        <f t="shared" si="286"/>
        <v>2.3617021926366824</v>
      </c>
      <c r="AV75" s="5">
        <f t="shared" si="213"/>
        <v>2.1617021926366826</v>
      </c>
      <c r="AW75" s="173">
        <f t="shared" si="287"/>
        <v>0.38554581142903055</v>
      </c>
      <c r="AX75" s="173">
        <f t="shared" si="214"/>
        <v>16.281362117968118</v>
      </c>
      <c r="AY75" s="173">
        <f t="shared" si="215"/>
        <v>0.72495913197510742</v>
      </c>
      <c r="AZ75" s="173">
        <f t="shared" si="288"/>
        <v>22.458317165562878</v>
      </c>
      <c r="BA75" s="460">
        <f t="shared" si="216"/>
        <v>4.3221358321279171</v>
      </c>
      <c r="BB75" s="5">
        <f t="shared" si="217"/>
        <v>1.3849580023732071</v>
      </c>
      <c r="BC75" s="5"/>
      <c r="BD75" s="173">
        <f t="shared" si="289"/>
        <v>1.2682519678082909</v>
      </c>
      <c r="BE75" s="173">
        <f t="shared" si="218"/>
        <v>1.0679185702715059</v>
      </c>
      <c r="BF75" s="173"/>
      <c r="BG75" s="528">
        <f t="shared" si="219"/>
        <v>6.4338522153984085E-2</v>
      </c>
      <c r="BH75" s="528">
        <f t="shared" si="220"/>
        <v>0.83596219797461224</v>
      </c>
      <c r="BI75" s="528">
        <f t="shared" si="221"/>
        <v>0.248451104661742</v>
      </c>
      <c r="BJ75" s="528">
        <f t="shared" si="222"/>
        <v>7.4186615689368254E-2</v>
      </c>
      <c r="BK75">
        <f t="shared" si="223"/>
        <v>1.074308664097794E-2</v>
      </c>
      <c r="BL75" s="460">
        <f t="shared" si="290"/>
        <v>259.1941913027199</v>
      </c>
      <c r="BM75" s="528">
        <f t="shared" si="224"/>
        <v>1.0072564985437413</v>
      </c>
      <c r="BN75" s="460">
        <f t="shared" si="291"/>
        <v>1007.2564985437414</v>
      </c>
      <c r="BO75" s="528">
        <f t="shared" si="225"/>
        <v>0.60759999999999992</v>
      </c>
      <c r="BP75" s="528"/>
      <c r="BR75" s="460">
        <f t="shared" si="292"/>
        <v>607.59999999999991</v>
      </c>
      <c r="BS75" s="528">
        <f t="shared" si="226"/>
        <v>4.8253891615488063E-2</v>
      </c>
      <c r="BT75" s="528">
        <f t="shared" si="227"/>
        <v>3.4213502181922123E-2</v>
      </c>
      <c r="BU75" s="528">
        <f t="shared" si="228"/>
        <v>0.25199999999999995</v>
      </c>
      <c r="BV75" s="528">
        <f t="shared" si="229"/>
        <v>0.35661227912926419</v>
      </c>
      <c r="BW75" s="528">
        <f t="shared" si="230"/>
        <v>0.65125448471872482</v>
      </c>
      <c r="BX75" s="460">
        <f t="shared" si="293"/>
        <v>1007.866763847989</v>
      </c>
      <c r="BY75" s="173">
        <f t="shared" si="231"/>
        <v>2.8819174536944505</v>
      </c>
      <c r="BZ75" s="5">
        <f t="shared" si="294"/>
        <v>16.799999999999997</v>
      </c>
      <c r="CA75" s="173">
        <f t="shared" si="295"/>
        <v>0.8535753713796066</v>
      </c>
      <c r="CB75" s="5">
        <f t="shared" si="296"/>
        <v>85.357537137960662</v>
      </c>
      <c r="CE75" s="562">
        <f t="shared" si="232"/>
        <v>-50</v>
      </c>
      <c r="CF75">
        <f t="shared" si="233"/>
        <v>-50</v>
      </c>
      <c r="CG75" s="173">
        <f t="shared" si="234"/>
        <v>0.5808560825201744</v>
      </c>
      <c r="CI75" s="170">
        <v>70</v>
      </c>
      <c r="CJ75" s="217">
        <f t="shared" si="297"/>
        <v>0.7</v>
      </c>
      <c r="CK75" s="217"/>
      <c r="CL75" s="217">
        <f t="shared" si="235"/>
        <v>16.799999999999997</v>
      </c>
      <c r="CM75" s="541">
        <f t="shared" si="236"/>
        <v>24</v>
      </c>
      <c r="CN75" s="172">
        <f t="shared" si="237"/>
        <v>16.3415</v>
      </c>
      <c r="CO75" s="443">
        <f t="shared" si="238"/>
        <v>40.341499999999996</v>
      </c>
      <c r="CP75" s="443"/>
      <c r="CQ75" s="217">
        <f t="shared" si="239"/>
        <v>0.40507913686898112</v>
      </c>
      <c r="CR75" s="172">
        <f t="shared" si="240"/>
        <v>54.360539956785601</v>
      </c>
      <c r="CS75" s="172">
        <f t="shared" si="298"/>
        <v>16.799999999999997</v>
      </c>
      <c r="CT75" s="217">
        <f t="shared" si="241"/>
        <v>2.2650224981994</v>
      </c>
      <c r="CU75" s="217">
        <f t="shared" si="242"/>
        <v>24</v>
      </c>
      <c r="CV75" s="217">
        <f t="shared" si="243"/>
        <v>2.250439649272117</v>
      </c>
      <c r="CW75" s="172">
        <f t="shared" si="244"/>
        <v>154.61017003574949</v>
      </c>
      <c r="CX75" s="172">
        <f t="shared" si="245"/>
        <v>24</v>
      </c>
      <c r="CY75" s="217">
        <f t="shared" si="246"/>
        <v>3.4561147997429851</v>
      </c>
      <c r="CZ75" s="217">
        <f t="shared" si="247"/>
        <v>1.4400478332262439</v>
      </c>
      <c r="DA75" s="217">
        <f t="shared" si="248"/>
        <v>2.1149311873102135</v>
      </c>
      <c r="DB75" s="197">
        <f t="shared" si="249"/>
        <v>350</v>
      </c>
      <c r="DC75" s="443">
        <f t="shared" si="299"/>
        <v>281.29561221688925</v>
      </c>
      <c r="DE75" s="217">
        <f t="shared" si="250"/>
        <v>2.7776855099587272</v>
      </c>
      <c r="DF75" s="173">
        <f t="shared" si="251"/>
        <v>1.6997738946600542</v>
      </c>
      <c r="DG75" s="173">
        <f t="shared" si="252"/>
        <v>0.55110977087390545</v>
      </c>
      <c r="DH75" s="173"/>
      <c r="DI75" s="173">
        <f t="shared" si="253"/>
        <v>1.3598642855443031</v>
      </c>
      <c r="DJ75" s="545">
        <f t="shared" si="300"/>
        <v>694.57499999999982</v>
      </c>
      <c r="DK75" s="528">
        <f t="shared" si="254"/>
        <v>0.35273368606701955</v>
      </c>
      <c r="DM75" s="173">
        <f t="shared" si="255"/>
        <v>3.1304951684997051</v>
      </c>
      <c r="DN75" s="173">
        <f t="shared" si="256"/>
        <v>3.4561147997429851</v>
      </c>
      <c r="DO75" s="173">
        <f t="shared" si="257"/>
        <v>2.1139945018672317</v>
      </c>
      <c r="DQ75" s="545">
        <f t="shared" si="258"/>
        <v>700</v>
      </c>
      <c r="DR75" s="460">
        <f t="shared" si="259"/>
        <v>281.29561221688925</v>
      </c>
      <c r="DT75">
        <f t="shared" si="260"/>
        <v>700</v>
      </c>
      <c r="DU75">
        <f t="shared" si="261"/>
        <v>281.29561221688925</v>
      </c>
      <c r="DW75" s="5">
        <f t="shared" si="301"/>
        <v>3.5549790205364569</v>
      </c>
      <c r="DX75" s="5">
        <f t="shared" si="262"/>
        <v>1.4400478332262439</v>
      </c>
      <c r="DY75" s="5">
        <f t="shared" si="302"/>
        <v>2.114931187310213</v>
      </c>
      <c r="DZ75" s="5">
        <f t="shared" si="263"/>
        <v>2.1149311873102135</v>
      </c>
      <c r="EA75" s="173">
        <f t="shared" si="303"/>
        <v>0.40507913686898112</v>
      </c>
      <c r="EB75" s="173">
        <f t="shared" si="264"/>
        <v>16.8</v>
      </c>
      <c r="EC75" s="173">
        <f t="shared" si="265"/>
        <v>0.68571428571428561</v>
      </c>
      <c r="ED75" s="173">
        <f t="shared" si="304"/>
        <v>24.500000000000004</v>
      </c>
      <c r="EE75" s="460">
        <f t="shared" si="266"/>
        <v>4.200139513576544</v>
      </c>
      <c r="EF75" s="5">
        <f t="shared" si="267"/>
        <v>1.2337098592642906</v>
      </c>
      <c r="EG75" s="5"/>
      <c r="EH75" s="173">
        <f t="shared" si="305"/>
        <v>1.269981721606021</v>
      </c>
      <c r="EI75" s="173">
        <f t="shared" si="268"/>
        <v>1.0265567570817524</v>
      </c>
      <c r="EJ75" s="173"/>
      <c r="EK75" s="528">
        <f t="shared" si="269"/>
        <v>6.4514142928535717E-2</v>
      </c>
      <c r="EL75" s="528">
        <f t="shared" si="270"/>
        <v>1.0785390000000001</v>
      </c>
      <c r="EM75" s="528">
        <f t="shared" si="271"/>
        <v>5.625912244337785E-2</v>
      </c>
      <c r="EN75" s="528">
        <f t="shared" si="272"/>
        <v>8.0113386675000009E-2</v>
      </c>
      <c r="EO75">
        <f t="shared" si="273"/>
        <v>1.0800000000000001E-2</v>
      </c>
      <c r="EP75" s="460">
        <f t="shared" si="306"/>
        <v>67.059122443377845</v>
      </c>
      <c r="EQ75" s="528">
        <f t="shared" si="274"/>
        <v>1.3280008112304544</v>
      </c>
      <c r="ER75" s="460">
        <f t="shared" si="307"/>
        <v>1328.0008112304545</v>
      </c>
      <c r="ES75" s="528">
        <f t="shared" si="308"/>
        <v>0.60759999999999992</v>
      </c>
      <c r="ET75" s="528"/>
      <c r="EV75" s="460">
        <f t="shared" si="309"/>
        <v>607.59999999999991</v>
      </c>
      <c r="EW75" s="528">
        <f t="shared" si="275"/>
        <v>4.8385607196401781E-2</v>
      </c>
      <c r="EX75" s="528">
        <f t="shared" si="276"/>
        <v>3.1614563265306116E-2</v>
      </c>
      <c r="EY75" s="528">
        <f t="shared" si="277"/>
        <v>1.4734920547744255</v>
      </c>
      <c r="EZ75" s="528">
        <f t="shared" si="278"/>
        <v>1.5828223507767627</v>
      </c>
      <c r="FA75" s="528">
        <f t="shared" si="279"/>
        <v>0.67199999999999993</v>
      </c>
      <c r="FB75" s="460">
        <f t="shared" si="310"/>
        <v>2254.8223507767625</v>
      </c>
      <c r="FC75" s="173">
        <f t="shared" si="311"/>
        <v>4.1904231620072165</v>
      </c>
      <c r="FD75" s="5">
        <f t="shared" si="312"/>
        <v>16.799999999999997</v>
      </c>
      <c r="FE75" s="173">
        <f t="shared" si="313"/>
        <v>0.80036499837735964</v>
      </c>
      <c r="FF75" s="5">
        <f t="shared" si="314"/>
        <v>80.03649983773596</v>
      </c>
      <c r="FI75" s="562">
        <f t="shared" si="280"/>
        <v>-50</v>
      </c>
      <c r="FJ75">
        <f t="shared" si="281"/>
        <v>-50</v>
      </c>
      <c r="FL75">
        <f t="shared" si="282"/>
        <v>0.59492086313101888</v>
      </c>
    </row>
    <row r="76" spans="5:168">
      <c r="E76" s="170">
        <v>71</v>
      </c>
      <c r="F76" s="217">
        <f t="shared" si="283"/>
        <v>0.71</v>
      </c>
      <c r="G76" s="217"/>
      <c r="H76" s="217">
        <f t="shared" si="183"/>
        <v>17.04</v>
      </c>
      <c r="I76" s="541">
        <f t="shared" si="184"/>
        <v>23.871762829617932</v>
      </c>
      <c r="J76" s="172">
        <f t="shared" si="185"/>
        <v>16.365950559926045</v>
      </c>
      <c r="K76" s="172">
        <f t="shared" si="186"/>
        <v>40.365950559926048</v>
      </c>
      <c r="L76" s="443"/>
      <c r="M76" s="217">
        <f t="shared" si="187"/>
        <v>0.40672322232245911</v>
      </c>
      <c r="N76" s="172">
        <f t="shared" si="188"/>
        <v>54.289532880708137</v>
      </c>
      <c r="O76" s="172">
        <f t="shared" si="284"/>
        <v>17.04</v>
      </c>
      <c r="P76" s="217">
        <f t="shared" si="189"/>
        <v>2.2620638700295057</v>
      </c>
      <c r="Q76" s="217">
        <f t="shared" si="190"/>
        <v>24</v>
      </c>
      <c r="R76" s="217">
        <f t="shared" si="191"/>
        <v>2.2475000695786362</v>
      </c>
      <c r="S76" s="172">
        <f t="shared" si="192"/>
        <v>151.11828295835716</v>
      </c>
      <c r="T76" s="172">
        <f t="shared" si="193"/>
        <v>24</v>
      </c>
      <c r="U76" s="217">
        <f t="shared" si="194"/>
        <v>3.5884356380303273</v>
      </c>
      <c r="V76" s="217">
        <f t="shared" si="195"/>
        <v>1.5032135094682324</v>
      </c>
      <c r="W76" s="217">
        <f t="shared" si="196"/>
        <v>2.1926228023791263</v>
      </c>
      <c r="X76" s="197">
        <f t="shared" si="197"/>
        <v>350</v>
      </c>
      <c r="Y76" s="443">
        <f t="shared" si="198"/>
        <v>256.68429573361931</v>
      </c>
      <c r="AA76" s="217">
        <f t="shared" si="199"/>
        <v>2.7741145403678429</v>
      </c>
      <c r="AB76" s="173">
        <f t="shared" si="200"/>
        <v>1.6950524995233636</v>
      </c>
      <c r="AC76" s="173">
        <f t="shared" si="201"/>
        <v>0.5488724407258665</v>
      </c>
      <c r="AD76" s="173"/>
      <c r="AE76" s="173">
        <f t="shared" si="202"/>
        <v>1.3578326624446706</v>
      </c>
      <c r="AF76" s="545">
        <f t="shared" si="203"/>
        <v>705.5515867326435</v>
      </c>
      <c r="AG76" s="528">
        <f t="shared" si="204"/>
        <v>0.35220670560856487</v>
      </c>
      <c r="AI76" s="173">
        <f t="shared" si="205"/>
        <v>3.1551343039473916</v>
      </c>
      <c r="AJ76" s="173">
        <f t="shared" si="206"/>
        <v>3.5884356380303273</v>
      </c>
      <c r="AK76" s="173">
        <f t="shared" si="207"/>
        <v>2.2120099376356332</v>
      </c>
      <c r="AM76" s="545">
        <f t="shared" si="208"/>
        <v>710</v>
      </c>
      <c r="AN76" s="460">
        <f t="shared" si="209"/>
        <v>256.68429573361931</v>
      </c>
      <c r="AP76">
        <f t="shared" si="210"/>
        <v>710</v>
      </c>
      <c r="AQ76">
        <f t="shared" si="211"/>
        <v>256.68429573361931</v>
      </c>
      <c r="AS76" s="5">
        <f t="shared" si="285"/>
        <v>3.8958363118473578</v>
      </c>
      <c r="AT76" s="5">
        <f t="shared" si="212"/>
        <v>1.5032135094682324</v>
      </c>
      <c r="AU76" s="5">
        <f t="shared" si="286"/>
        <v>2.3926228023791252</v>
      </c>
      <c r="AV76" s="5">
        <f t="shared" si="213"/>
        <v>2.1926228023791263</v>
      </c>
      <c r="AW76" s="173">
        <f t="shared" si="287"/>
        <v>0.38585130101511556</v>
      </c>
      <c r="AX76" s="173">
        <f t="shared" si="214"/>
        <v>16.526451957346314</v>
      </c>
      <c r="AY76" s="173">
        <f t="shared" si="215"/>
        <v>0.73497833167552096</v>
      </c>
      <c r="AZ76" s="173">
        <f t="shared" si="288"/>
        <v>22.48563154191385</v>
      </c>
      <c r="BA76" s="460">
        <f t="shared" si="216"/>
        <v>4.447006632176854</v>
      </c>
      <c r="BB76" s="5">
        <f t="shared" si="217"/>
        <v>1.4232398351256299</v>
      </c>
      <c r="BC76" s="5"/>
      <c r="BD76" s="173">
        <f t="shared" si="289"/>
        <v>1.2869287948668253</v>
      </c>
      <c r="BE76" s="173">
        <f t="shared" si="218"/>
        <v>1.082946833574185</v>
      </c>
      <c r="BF76" s="173"/>
      <c r="BG76" s="528">
        <f t="shared" si="219"/>
        <v>6.6247428922295168E-2</v>
      </c>
      <c r="BH76" s="528">
        <f t="shared" si="220"/>
        <v>0.8365697603909994</v>
      </c>
      <c r="BI76" s="528">
        <f t="shared" si="221"/>
        <v>0.24510026519361885</v>
      </c>
      <c r="BJ76" s="528">
        <f t="shared" si="222"/>
        <v>7.319269111460841E-2</v>
      </c>
      <c r="BK76">
        <f t="shared" si="223"/>
        <v>1.0742293273328068E-2</v>
      </c>
      <c r="BL76" s="460">
        <f t="shared" si="290"/>
        <v>255.84255846694691</v>
      </c>
      <c r="BM76" s="528">
        <f t="shared" si="224"/>
        <v>1.0097911925291385</v>
      </c>
      <c r="BN76" s="460">
        <f t="shared" si="291"/>
        <v>1009.7911925291385</v>
      </c>
      <c r="BO76" s="528">
        <f t="shared" si="225"/>
        <v>0.61627999999999994</v>
      </c>
      <c r="BP76" s="528"/>
      <c r="BR76" s="460">
        <f t="shared" si="292"/>
        <v>616.28</v>
      </c>
      <c r="BS76" s="528">
        <f t="shared" si="226"/>
        <v>4.9685571691721379E-2</v>
      </c>
      <c r="BT76" s="528">
        <f t="shared" si="227"/>
        <v>3.5183215330450601E-2</v>
      </c>
      <c r="BU76" s="528">
        <f t="shared" si="228"/>
        <v>0.25559999999999999</v>
      </c>
      <c r="BV76" s="528">
        <f t="shared" si="229"/>
        <v>0.36330394914624575</v>
      </c>
      <c r="BW76" s="528">
        <f t="shared" si="230"/>
        <v>0.66105807829385244</v>
      </c>
      <c r="BX76" s="460">
        <f t="shared" si="293"/>
        <v>1024.3620274400982</v>
      </c>
      <c r="BY76" s="173">
        <f t="shared" si="231"/>
        <v>2.9062757784361835</v>
      </c>
      <c r="BZ76" s="5">
        <f t="shared" si="294"/>
        <v>17.04</v>
      </c>
      <c r="CA76" s="173">
        <f t="shared" si="295"/>
        <v>0.85429481619931569</v>
      </c>
      <c r="CB76" s="5">
        <f t="shared" si="296"/>
        <v>85.429481619931565</v>
      </c>
      <c r="CE76" s="562">
        <f t="shared" si="232"/>
        <v>-50</v>
      </c>
      <c r="CF76">
        <f t="shared" si="233"/>
        <v>-50</v>
      </c>
      <c r="CG76" s="173">
        <f t="shared" si="234"/>
        <v>0.58105417802173565</v>
      </c>
      <c r="CI76" s="170">
        <v>71</v>
      </c>
      <c r="CJ76" s="217">
        <f t="shared" si="297"/>
        <v>0.71</v>
      </c>
      <c r="CK76" s="217"/>
      <c r="CL76" s="217">
        <f t="shared" si="235"/>
        <v>17.04</v>
      </c>
      <c r="CM76" s="541">
        <f t="shared" si="236"/>
        <v>24</v>
      </c>
      <c r="CN76" s="172">
        <f t="shared" si="237"/>
        <v>16.3415</v>
      </c>
      <c r="CO76" s="443">
        <f t="shared" si="238"/>
        <v>40.341499999999996</v>
      </c>
      <c r="CP76" s="443"/>
      <c r="CQ76" s="217">
        <f t="shared" si="239"/>
        <v>0.40507913686898112</v>
      </c>
      <c r="CR76" s="172">
        <f t="shared" si="240"/>
        <v>54.360539956785601</v>
      </c>
      <c r="CS76" s="172">
        <f t="shared" si="298"/>
        <v>17.04</v>
      </c>
      <c r="CT76" s="217">
        <f t="shared" si="241"/>
        <v>2.2650224981994</v>
      </c>
      <c r="CU76" s="217">
        <f t="shared" si="242"/>
        <v>24</v>
      </c>
      <c r="CV76" s="217">
        <f t="shared" si="243"/>
        <v>2.250439649272117</v>
      </c>
      <c r="CW76" s="172">
        <f t="shared" si="244"/>
        <v>151.92944663977974</v>
      </c>
      <c r="CX76" s="172">
        <f t="shared" si="245"/>
        <v>24</v>
      </c>
      <c r="CY76" s="217">
        <f t="shared" si="246"/>
        <v>3.5054878683107424</v>
      </c>
      <c r="CZ76" s="217">
        <f t="shared" si="247"/>
        <v>1.4606199451294763</v>
      </c>
      <c r="DA76" s="217">
        <f t="shared" si="248"/>
        <v>2.1451444899860741</v>
      </c>
      <c r="DB76" s="197">
        <f t="shared" si="249"/>
        <v>350</v>
      </c>
      <c r="DC76" s="443">
        <f t="shared" si="299"/>
        <v>277.3337021856654</v>
      </c>
      <c r="DE76" s="217">
        <f t="shared" si="250"/>
        <v>2.7776855099587272</v>
      </c>
      <c r="DF76" s="173">
        <f t="shared" si="251"/>
        <v>1.6997738946600542</v>
      </c>
      <c r="DG76" s="173">
        <f t="shared" si="252"/>
        <v>0.55110977087390545</v>
      </c>
      <c r="DH76" s="173"/>
      <c r="DI76" s="173">
        <f t="shared" si="253"/>
        <v>1.3598642855443031</v>
      </c>
      <c r="DJ76" s="545">
        <f t="shared" si="300"/>
        <v>704.49749999999972</v>
      </c>
      <c r="DK76" s="528">
        <f t="shared" si="254"/>
        <v>0.35273368606701955</v>
      </c>
      <c r="DM76" s="173">
        <f t="shared" si="255"/>
        <v>3.1527765540868891</v>
      </c>
      <c r="DN76" s="173">
        <f t="shared" si="256"/>
        <v>3.5054878683107424</v>
      </c>
      <c r="DO76" s="173">
        <f t="shared" si="257"/>
        <v>2.1505671452507555</v>
      </c>
      <c r="DQ76" s="545">
        <f t="shared" si="258"/>
        <v>710</v>
      </c>
      <c r="DR76" s="460">
        <f t="shared" si="259"/>
        <v>277.3337021856654</v>
      </c>
      <c r="DT76">
        <f t="shared" si="260"/>
        <v>710</v>
      </c>
      <c r="DU76">
        <f t="shared" si="261"/>
        <v>277.3337021856654</v>
      </c>
      <c r="DW76" s="5">
        <f t="shared" si="301"/>
        <v>3.60576443511555</v>
      </c>
      <c r="DX76" s="5">
        <f t="shared" si="262"/>
        <v>1.4606199451294763</v>
      </c>
      <c r="DY76" s="5">
        <f t="shared" si="302"/>
        <v>2.1451444899860737</v>
      </c>
      <c r="DZ76" s="5">
        <f t="shared" si="263"/>
        <v>2.1451444899860741</v>
      </c>
      <c r="EA76" s="173">
        <f t="shared" si="303"/>
        <v>0.40507913686898112</v>
      </c>
      <c r="EB76" s="173">
        <f t="shared" si="264"/>
        <v>17.039999999999996</v>
      </c>
      <c r="EC76" s="173">
        <f t="shared" si="265"/>
        <v>0.69551020408163255</v>
      </c>
      <c r="ED76" s="173">
        <f t="shared" si="304"/>
        <v>24.499999999999996</v>
      </c>
      <c r="EE76" s="460">
        <f t="shared" si="266"/>
        <v>4.3210006710080338</v>
      </c>
      <c r="EF76" s="5">
        <f t="shared" si="267"/>
        <v>1.2692104899084267</v>
      </c>
      <c r="EG76" s="5"/>
      <c r="EH76" s="173">
        <f t="shared" si="305"/>
        <v>1.2881243176289643</v>
      </c>
      <c r="EI76" s="173">
        <f t="shared" si="268"/>
        <v>1.0412218536114917</v>
      </c>
      <c r="EJ76" s="173"/>
      <c r="EK76" s="528">
        <f t="shared" si="269"/>
        <v>6.6370570306683391E-2</v>
      </c>
      <c r="EL76" s="528">
        <f t="shared" si="270"/>
        <v>1.0785389999999999</v>
      </c>
      <c r="EM76" s="528">
        <f t="shared" si="271"/>
        <v>5.5466740437133073E-2</v>
      </c>
      <c r="EN76" s="528">
        <f t="shared" si="272"/>
        <v>7.8985029116197175E-2</v>
      </c>
      <c r="EO76">
        <f t="shared" si="273"/>
        <v>1.0800000000000001E-2</v>
      </c>
      <c r="EP76" s="460">
        <f t="shared" si="306"/>
        <v>66.266740437133066</v>
      </c>
      <c r="EQ76" s="528">
        <f t="shared" si="274"/>
        <v>1.3290398843387505</v>
      </c>
      <c r="ER76" s="460">
        <f t="shared" si="307"/>
        <v>1329.0398843387504</v>
      </c>
      <c r="ES76" s="528">
        <f t="shared" si="308"/>
        <v>0.61627999999999994</v>
      </c>
      <c r="ET76" s="528"/>
      <c r="EV76" s="460">
        <f t="shared" si="309"/>
        <v>616.28</v>
      </c>
      <c r="EW76" s="528">
        <f t="shared" si="275"/>
        <v>4.9777927730012543E-2</v>
      </c>
      <c r="EX76" s="528">
        <f t="shared" si="276"/>
        <v>3.252428845314452E-2</v>
      </c>
      <c r="EY76" s="528">
        <f t="shared" si="277"/>
        <v>1.473492054774427</v>
      </c>
      <c r="EZ76" s="528">
        <f t="shared" si="278"/>
        <v>1.5859892371664566</v>
      </c>
      <c r="FA76" s="528">
        <f t="shared" si="279"/>
        <v>0.68159999999999998</v>
      </c>
      <c r="FB76" s="460">
        <f t="shared" si="310"/>
        <v>2267.5892371664563</v>
      </c>
      <c r="FC76" s="173">
        <f t="shared" si="311"/>
        <v>4.2129091215052075</v>
      </c>
      <c r="FD76" s="5">
        <f t="shared" si="312"/>
        <v>17.04</v>
      </c>
      <c r="FE76" s="173">
        <f t="shared" si="313"/>
        <v>0.80177259040541016</v>
      </c>
      <c r="FF76" s="5">
        <f t="shared" si="314"/>
        <v>80.177259040541017</v>
      </c>
      <c r="FI76" s="562">
        <f t="shared" si="280"/>
        <v>-50</v>
      </c>
      <c r="FJ76">
        <f t="shared" si="281"/>
        <v>-50</v>
      </c>
      <c r="FL76">
        <f t="shared" si="282"/>
        <v>0.59492086313101888</v>
      </c>
    </row>
    <row r="77" spans="5:168">
      <c r="E77" s="170">
        <v>72</v>
      </c>
      <c r="F77" s="217">
        <f t="shared" si="283"/>
        <v>0.72</v>
      </c>
      <c r="G77" s="217"/>
      <c r="H77" s="217">
        <f t="shared" si="183"/>
        <v>17.28</v>
      </c>
      <c r="I77" s="541">
        <f t="shared" si="184"/>
        <v>23.869999761413911</v>
      </c>
      <c r="J77" s="172">
        <f t="shared" si="185"/>
        <v>16.36628671834757</v>
      </c>
      <c r="K77" s="172">
        <f t="shared" si="186"/>
        <v>40.366286718347567</v>
      </c>
      <c r="L77" s="443"/>
      <c r="M77" s="217">
        <f t="shared" si="187"/>
        <v>0.40674600376817965</v>
      </c>
      <c r="N77" s="172">
        <f t="shared" si="188"/>
        <v>54.288563933033984</v>
      </c>
      <c r="O77" s="172">
        <f t="shared" si="284"/>
        <v>17.28</v>
      </c>
      <c r="P77" s="217">
        <f t="shared" si="189"/>
        <v>2.2620234972097495</v>
      </c>
      <c r="Q77" s="217">
        <f t="shared" si="190"/>
        <v>24</v>
      </c>
      <c r="R77" s="217">
        <f t="shared" si="191"/>
        <v>2.2474599566903959</v>
      </c>
      <c r="S77" s="172">
        <f t="shared" si="192"/>
        <v>148.51506965084138</v>
      </c>
      <c r="T77" s="172">
        <f t="shared" si="193"/>
        <v>24</v>
      </c>
      <c r="U77" s="217">
        <f t="shared" si="194"/>
        <v>3.639116724780584</v>
      </c>
      <c r="V77" s="217">
        <f t="shared" si="195"/>
        <v>1.5245566657538274</v>
      </c>
      <c r="W77" s="217">
        <f t="shared" si="196"/>
        <v>2.2235445262613669</v>
      </c>
      <c r="X77" s="197">
        <f t="shared" si="197"/>
        <v>350</v>
      </c>
      <c r="Y77" s="443">
        <f t="shared" si="198"/>
        <v>253.28631444970108</v>
      </c>
      <c r="AA77" s="217">
        <f t="shared" si="199"/>
        <v>2.774065006213366</v>
      </c>
      <c r="AB77" s="173">
        <f t="shared" si="200"/>
        <v>1.6949874177039048</v>
      </c>
      <c r="AC77" s="173">
        <f t="shared" si="201"/>
        <v>0.54884156647425841</v>
      </c>
      <c r="AD77" s="173"/>
      <c r="AE77" s="173">
        <f t="shared" si="202"/>
        <v>1.3578047729855429</v>
      </c>
      <c r="AF77" s="545">
        <f t="shared" si="203"/>
        <v>715.50362924589945</v>
      </c>
      <c r="AG77" s="528">
        <f t="shared" si="204"/>
        <v>0.35219947139274999</v>
      </c>
      <c r="AI77" s="173">
        <f t="shared" si="205"/>
        <v>3.1773084995841132</v>
      </c>
      <c r="AJ77" s="173">
        <f t="shared" si="206"/>
        <v>3.639116724780584</v>
      </c>
      <c r="AK77" s="173">
        <f t="shared" si="207"/>
        <v>2.249551483376564</v>
      </c>
      <c r="AM77" s="545">
        <f t="shared" si="208"/>
        <v>720</v>
      </c>
      <c r="AN77" s="460">
        <f t="shared" si="209"/>
        <v>253.28631444970108</v>
      </c>
      <c r="AP77">
        <f t="shared" si="210"/>
        <v>720</v>
      </c>
      <c r="AQ77">
        <f t="shared" si="211"/>
        <v>253.28631444970108</v>
      </c>
      <c r="AS77" s="5">
        <f t="shared" si="285"/>
        <v>3.9481011920151934</v>
      </c>
      <c r="AT77" s="5">
        <f t="shared" si="212"/>
        <v>1.5245566657538274</v>
      </c>
      <c r="AU77" s="5">
        <f t="shared" si="286"/>
        <v>2.4235445262613657</v>
      </c>
      <c r="AV77" s="5">
        <f t="shared" si="213"/>
        <v>2.2235445262613669</v>
      </c>
      <c r="AW77" s="173">
        <f t="shared" si="287"/>
        <v>0.38614933903851179</v>
      </c>
      <c r="AX77" s="173">
        <f t="shared" si="214"/>
        <v>16.771569284193262</v>
      </c>
      <c r="AY77" s="173">
        <f t="shared" si="215"/>
        <v>0.7449970479753264</v>
      </c>
      <c r="AZ77" s="173">
        <f t="shared" si="288"/>
        <v>22.512262739527959</v>
      </c>
      <c r="BA77" s="460">
        <f t="shared" si="216"/>
        <v>4.573669997261482</v>
      </c>
      <c r="BB77" s="5">
        <f t="shared" si="217"/>
        <v>1.4620461469202988</v>
      </c>
      <c r="BC77" s="5"/>
      <c r="BD77" s="173">
        <f t="shared" si="289"/>
        <v>1.3056086128027033</v>
      </c>
      <c r="BE77" s="173">
        <f t="shared" si="218"/>
        <v>1.0979752644062157</v>
      </c>
      <c r="BF77" s="173"/>
      <c r="BG77" s="528">
        <f t="shared" si="219"/>
        <v>6.8184553992983968E-2</v>
      </c>
      <c r="BH77" s="528">
        <f t="shared" si="220"/>
        <v>0.83716107929304751</v>
      </c>
      <c r="BI77" s="528">
        <f t="shared" si="221"/>
        <v>0.24183777061935091</v>
      </c>
      <c r="BJ77" s="528">
        <f t="shared" si="222"/>
        <v>7.2224970747096093E-2</v>
      </c>
      <c r="BK77">
        <f t="shared" si="223"/>
        <v>1.074149989263626E-2</v>
      </c>
      <c r="BL77" s="460">
        <f t="shared" si="290"/>
        <v>252.5792705119872</v>
      </c>
      <c r="BM77" s="528">
        <f t="shared" si="224"/>
        <v>1.0123816748205028</v>
      </c>
      <c r="BN77" s="460">
        <f t="shared" si="291"/>
        <v>1012.3816748205028</v>
      </c>
      <c r="BO77" s="528">
        <f t="shared" si="225"/>
        <v>0.62495999999999996</v>
      </c>
      <c r="BP77" s="528"/>
      <c r="BR77" s="460">
        <f t="shared" si="292"/>
        <v>624.95999999999992</v>
      </c>
      <c r="BS77" s="528">
        <f t="shared" si="226"/>
        <v>5.1138415494737979E-2</v>
      </c>
      <c r="BT77" s="528">
        <f t="shared" si="227"/>
        <v>3.6166490437436978E-2</v>
      </c>
      <c r="BU77" s="528">
        <f t="shared" si="228"/>
        <v>0.25919999999999999</v>
      </c>
      <c r="BV77" s="528">
        <f t="shared" si="229"/>
        <v>0.37004260614955969</v>
      </c>
      <c r="BW77" s="528">
        <f t="shared" si="230"/>
        <v>0.67086277136773054</v>
      </c>
      <c r="BX77" s="460">
        <f t="shared" si="293"/>
        <v>1040.9053775172904</v>
      </c>
      <c r="BY77" s="173">
        <f t="shared" si="231"/>
        <v>2.93082632284978</v>
      </c>
      <c r="BZ77" s="5">
        <f t="shared" si="294"/>
        <v>17.28</v>
      </c>
      <c r="CA77" s="173">
        <f t="shared" si="295"/>
        <v>0.85498730848346016</v>
      </c>
      <c r="CB77" s="5">
        <f t="shared" si="296"/>
        <v>85.498730848346014</v>
      </c>
      <c r="CE77" s="562">
        <f t="shared" si="232"/>
        <v>-50</v>
      </c>
      <c r="CF77">
        <f t="shared" si="233"/>
        <v>-50</v>
      </c>
      <c r="CG77" s="173">
        <f t="shared" si="234"/>
        <v>0.58124677087047583</v>
      </c>
      <c r="CI77" s="170">
        <v>72</v>
      </c>
      <c r="CJ77" s="217">
        <f t="shared" si="297"/>
        <v>0.72</v>
      </c>
      <c r="CK77" s="217"/>
      <c r="CL77" s="217">
        <f t="shared" si="235"/>
        <v>17.28</v>
      </c>
      <c r="CM77" s="541">
        <f t="shared" si="236"/>
        <v>24</v>
      </c>
      <c r="CN77" s="172">
        <f t="shared" si="237"/>
        <v>16.3415</v>
      </c>
      <c r="CO77" s="443">
        <f t="shared" si="238"/>
        <v>40.341499999999996</v>
      </c>
      <c r="CP77" s="443"/>
      <c r="CQ77" s="217">
        <f t="shared" si="239"/>
        <v>0.40507913686898112</v>
      </c>
      <c r="CR77" s="172">
        <f t="shared" si="240"/>
        <v>54.360539956785601</v>
      </c>
      <c r="CS77" s="172">
        <f t="shared" si="298"/>
        <v>17.28</v>
      </c>
      <c r="CT77" s="217">
        <f t="shared" si="241"/>
        <v>2.2650224981994</v>
      </c>
      <c r="CU77" s="217">
        <f t="shared" si="242"/>
        <v>24</v>
      </c>
      <c r="CV77" s="217">
        <f t="shared" si="243"/>
        <v>2.250439649272117</v>
      </c>
      <c r="CW77" s="172">
        <f t="shared" si="244"/>
        <v>149.3232577095537</v>
      </c>
      <c r="CX77" s="172">
        <f t="shared" si="245"/>
        <v>24</v>
      </c>
      <c r="CY77" s="217">
        <f t="shared" si="246"/>
        <v>3.5548609368784998</v>
      </c>
      <c r="CZ77" s="217">
        <f t="shared" si="247"/>
        <v>1.4811920570327082</v>
      </c>
      <c r="DA77" s="217">
        <f t="shared" si="248"/>
        <v>2.1753577926619343</v>
      </c>
      <c r="DB77" s="197">
        <f t="shared" si="249"/>
        <v>350</v>
      </c>
      <c r="DC77" s="443">
        <f t="shared" si="299"/>
        <v>273.48184521086444</v>
      </c>
      <c r="DE77" s="217">
        <f t="shared" si="250"/>
        <v>2.7776855099587272</v>
      </c>
      <c r="DF77" s="173">
        <f t="shared" si="251"/>
        <v>1.6997738946600542</v>
      </c>
      <c r="DG77" s="173">
        <f t="shared" si="252"/>
        <v>0.55110977087390545</v>
      </c>
      <c r="DH77" s="173"/>
      <c r="DI77" s="173">
        <f t="shared" si="253"/>
        <v>1.3598642855443031</v>
      </c>
      <c r="DJ77" s="545">
        <f t="shared" si="300"/>
        <v>714.41999999999973</v>
      </c>
      <c r="DK77" s="528">
        <f t="shared" si="254"/>
        <v>0.35273368606701955</v>
      </c>
      <c r="DM77" s="173">
        <f t="shared" si="255"/>
        <v>3.1749015732775083</v>
      </c>
      <c r="DN77" s="173">
        <f t="shared" si="256"/>
        <v>3.5548609368784998</v>
      </c>
      <c r="DO77" s="173">
        <f t="shared" si="257"/>
        <v>2.1871397886342794</v>
      </c>
      <c r="DQ77" s="545">
        <f t="shared" si="258"/>
        <v>720</v>
      </c>
      <c r="DR77" s="460">
        <f t="shared" si="259"/>
        <v>273.48184521086444</v>
      </c>
      <c r="DT77">
        <f t="shared" si="260"/>
        <v>720</v>
      </c>
      <c r="DU77">
        <f t="shared" si="261"/>
        <v>273.48184521086444</v>
      </c>
      <c r="DW77" s="5">
        <f t="shared" si="301"/>
        <v>3.6565498496946431</v>
      </c>
      <c r="DX77" s="5">
        <f t="shared" si="262"/>
        <v>1.4811920570327082</v>
      </c>
      <c r="DY77" s="5">
        <f t="shared" si="302"/>
        <v>2.1753577926619352</v>
      </c>
      <c r="DZ77" s="5">
        <f t="shared" si="263"/>
        <v>2.1753577926619343</v>
      </c>
      <c r="EA77" s="173">
        <f t="shared" si="303"/>
        <v>0.405079136868981</v>
      </c>
      <c r="EB77" s="173">
        <f t="shared" si="264"/>
        <v>17.279999999999998</v>
      </c>
      <c r="EC77" s="173">
        <f t="shared" si="265"/>
        <v>0.70530612244897983</v>
      </c>
      <c r="ED77" s="173">
        <f t="shared" si="304"/>
        <v>24.499999999999989</v>
      </c>
      <c r="EE77" s="460">
        <f t="shared" si="266"/>
        <v>4.4435761710981243</v>
      </c>
      <c r="EF77" s="5">
        <f t="shared" si="267"/>
        <v>1.305214675597161</v>
      </c>
      <c r="EG77" s="5"/>
      <c r="EH77" s="173">
        <f t="shared" si="305"/>
        <v>1.3062669136519074</v>
      </c>
      <c r="EI77" s="173">
        <f t="shared" si="268"/>
        <v>1.0558869501412314</v>
      </c>
      <c r="EJ77" s="173"/>
      <c r="EK77" s="528">
        <f t="shared" si="269"/>
        <v>6.8253329988067185E-2</v>
      </c>
      <c r="EL77" s="528">
        <f t="shared" si="270"/>
        <v>1.0785389999999997</v>
      </c>
      <c r="EM77" s="528">
        <f t="shared" si="271"/>
        <v>5.4696369042172885E-2</v>
      </c>
      <c r="EN77" s="528">
        <f t="shared" si="272"/>
        <v>7.7888014822916643E-2</v>
      </c>
      <c r="EO77">
        <f t="shared" si="273"/>
        <v>1.0800000000000001E-2</v>
      </c>
      <c r="EP77" s="460">
        <f t="shared" si="306"/>
        <v>65.496369042172887</v>
      </c>
      <c r="EQ77" s="528">
        <f t="shared" si="274"/>
        <v>1.3301765747642018</v>
      </c>
      <c r="ER77" s="460">
        <f t="shared" si="307"/>
        <v>1330.1765747642019</v>
      </c>
      <c r="ES77" s="528">
        <f t="shared" si="308"/>
        <v>0.62495999999999996</v>
      </c>
      <c r="ET77" s="528"/>
      <c r="EV77" s="460">
        <f t="shared" si="309"/>
        <v>624.95999999999992</v>
      </c>
      <c r="EW77" s="528">
        <f t="shared" si="275"/>
        <v>5.1189997491050389E-2</v>
      </c>
      <c r="EX77" s="528">
        <f t="shared" si="276"/>
        <v>3.3446917544356532E-2</v>
      </c>
      <c r="EY77" s="528">
        <f t="shared" si="277"/>
        <v>1.473492054774423</v>
      </c>
      <c r="EZ77" s="528">
        <f t="shared" si="278"/>
        <v>1.589202243438486</v>
      </c>
      <c r="FA77" s="528">
        <f t="shared" si="279"/>
        <v>0.69120000000000004</v>
      </c>
      <c r="FB77" s="460">
        <f t="shared" si="310"/>
        <v>2280.402243438486</v>
      </c>
      <c r="FC77" s="173">
        <f t="shared" si="311"/>
        <v>4.2355388182026878</v>
      </c>
      <c r="FD77" s="5">
        <f t="shared" si="312"/>
        <v>17.28</v>
      </c>
      <c r="FE77" s="173">
        <f t="shared" si="313"/>
        <v>0.80314047191700744</v>
      </c>
      <c r="FF77" s="5">
        <f t="shared" si="314"/>
        <v>80.314047191700737</v>
      </c>
      <c r="FI77" s="562">
        <f t="shared" si="280"/>
        <v>-50</v>
      </c>
      <c r="FJ77">
        <f t="shared" si="281"/>
        <v>-50</v>
      </c>
      <c r="FL77">
        <f t="shared" si="282"/>
        <v>0.594920863131019</v>
      </c>
    </row>
    <row r="78" spans="5:168">
      <c r="E78" s="170">
        <v>73</v>
      </c>
      <c r="F78" s="217">
        <f t="shared" si="283"/>
        <v>0.73</v>
      </c>
      <c r="G78" s="217"/>
      <c r="H78" s="217">
        <f t="shared" si="183"/>
        <v>17.52</v>
      </c>
      <c r="I78" s="541">
        <f t="shared" si="184"/>
        <v>23.868236665446481</v>
      </c>
      <c r="J78" s="172">
        <f t="shared" si="185"/>
        <v>16.36662288206265</v>
      </c>
      <c r="K78" s="172">
        <f t="shared" si="186"/>
        <v>40.36662288206265</v>
      </c>
      <c r="L78" s="443"/>
      <c r="M78" s="217">
        <f t="shared" si="187"/>
        <v>0.40676878711026321</v>
      </c>
      <c r="N78" s="172">
        <f t="shared" si="188"/>
        <v>54.287594726130095</v>
      </c>
      <c r="O78" s="172">
        <f t="shared" si="284"/>
        <v>17.52</v>
      </c>
      <c r="P78" s="217">
        <f t="shared" si="189"/>
        <v>2.2619831135887538</v>
      </c>
      <c r="Q78" s="217">
        <f t="shared" si="190"/>
        <v>24</v>
      </c>
      <c r="R78" s="217">
        <f t="shared" si="191"/>
        <v>2.2474198330704573</v>
      </c>
      <c r="S78" s="172">
        <f t="shared" si="192"/>
        <v>145.98331913655383</v>
      </c>
      <c r="T78" s="172">
        <f t="shared" si="193"/>
        <v>24</v>
      </c>
      <c r="U78" s="217">
        <f t="shared" si="194"/>
        <v>3.6898017158669569</v>
      </c>
      <c r="V78" s="217">
        <f t="shared" si="195"/>
        <v>1.5459046127226488</v>
      </c>
      <c r="W78" s="217">
        <f t="shared" si="196"/>
        <v>2.2544673647432019</v>
      </c>
      <c r="X78" s="197">
        <f t="shared" si="197"/>
        <v>350</v>
      </c>
      <c r="Y78" s="443">
        <f t="shared" si="198"/>
        <v>249.97675357017135</v>
      </c>
      <c r="AA78" s="217">
        <f t="shared" si="199"/>
        <v>2.7740154593478779</v>
      </c>
      <c r="AB78" s="173">
        <f t="shared" si="200"/>
        <v>1.6949223302432903</v>
      </c>
      <c r="AC78" s="173">
        <f t="shared" si="201"/>
        <v>0.54881068863390714</v>
      </c>
      <c r="AD78" s="173"/>
      <c r="AE78" s="173">
        <f t="shared" si="202"/>
        <v>1.3577768842329194</v>
      </c>
      <c r="AF78" s="545">
        <f t="shared" si="203"/>
        <v>725.45608022216197</v>
      </c>
      <c r="AG78" s="528">
        <f t="shared" si="204"/>
        <v>0.3521922373601945</v>
      </c>
      <c r="AI78" s="173">
        <f t="shared" si="205"/>
        <v>3.1993299126941857</v>
      </c>
      <c r="AJ78" s="173">
        <f t="shared" si="206"/>
        <v>3.6898017158669569</v>
      </c>
      <c r="AK78" s="173">
        <f t="shared" si="207"/>
        <v>2.2870959212183219</v>
      </c>
      <c r="AM78" s="545">
        <f t="shared" si="208"/>
        <v>730</v>
      </c>
      <c r="AN78" s="460">
        <f t="shared" si="209"/>
        <v>249.97675357017135</v>
      </c>
      <c r="AP78">
        <f t="shared" si="210"/>
        <v>730</v>
      </c>
      <c r="AQ78">
        <f t="shared" si="211"/>
        <v>249.97675357017135</v>
      </c>
      <c r="AS78" s="5">
        <f t="shared" si="285"/>
        <v>4.0003719774658508</v>
      </c>
      <c r="AT78" s="5">
        <f t="shared" si="212"/>
        <v>1.5459046127226488</v>
      </c>
      <c r="AU78" s="5">
        <f t="shared" si="286"/>
        <v>2.454467364743202</v>
      </c>
      <c r="AV78" s="5">
        <f t="shared" si="213"/>
        <v>2.2544673647432019</v>
      </c>
      <c r="AW78" s="173">
        <f t="shared" si="287"/>
        <v>0.38644021641756071</v>
      </c>
      <c r="AX78" s="173">
        <f t="shared" si="214"/>
        <v>17.0167134195347</v>
      </c>
      <c r="AY78" s="173">
        <f t="shared" si="215"/>
        <v>0.75501529974018944</v>
      </c>
      <c r="AZ78" s="173">
        <f t="shared" si="288"/>
        <v>22.538236543538087</v>
      </c>
      <c r="BA78" s="460">
        <f t="shared" si="216"/>
        <v>4.7021265303647235</v>
      </c>
      <c r="BB78" s="5">
        <f t="shared" si="217"/>
        <v>1.5013770823350603</v>
      </c>
      <c r="BC78" s="5"/>
      <c r="BD78" s="173">
        <f t="shared" si="289"/>
        <v>1.3242914021880552</v>
      </c>
      <c r="BE78" s="173">
        <f t="shared" si="218"/>
        <v>1.1130038787715981</v>
      </c>
      <c r="BF78" s="173"/>
      <c r="BG78" s="528">
        <f t="shared" si="219"/>
        <v>7.0149908716368212E-2</v>
      </c>
      <c r="BH78" s="528">
        <f t="shared" si="220"/>
        <v>0.83773678855177491</v>
      </c>
      <c r="BI78" s="528">
        <f t="shared" si="221"/>
        <v>0.23866017260291372</v>
      </c>
      <c r="BJ78" s="528">
        <f t="shared" si="222"/>
        <v>7.1282431762409879E-2</v>
      </c>
      <c r="BK78">
        <f t="shared" si="223"/>
        <v>1.0740706499450916E-2</v>
      </c>
      <c r="BL78" s="460">
        <f t="shared" si="290"/>
        <v>249.40087910236463</v>
      </c>
      <c r="BM78" s="528">
        <f t="shared" si="224"/>
        <v>1.015027698640006</v>
      </c>
      <c r="BN78" s="460">
        <f t="shared" si="291"/>
        <v>1015.027698640006</v>
      </c>
      <c r="BO78" s="528">
        <f t="shared" si="225"/>
        <v>0.63363999999999998</v>
      </c>
      <c r="BP78" s="528"/>
      <c r="BR78" s="460">
        <f t="shared" si="292"/>
        <v>633.64</v>
      </c>
      <c r="BS78" s="528">
        <f t="shared" si="226"/>
        <v>5.2612431537276162E-2</v>
      </c>
      <c r="BT78" s="528">
        <f t="shared" si="227"/>
        <v>3.7163329024818663E-2</v>
      </c>
      <c r="BU78" s="528">
        <f t="shared" si="228"/>
        <v>0.26279999999999998</v>
      </c>
      <c r="BV78" s="528">
        <f t="shared" si="229"/>
        <v>0.37682834721480279</v>
      </c>
      <c r="BW78" s="528">
        <f t="shared" si="230"/>
        <v>0.68066853678138795</v>
      </c>
      <c r="BX78" s="460">
        <f t="shared" si="293"/>
        <v>1057.4968839961907</v>
      </c>
      <c r="BY78" s="173">
        <f t="shared" si="231"/>
        <v>2.9555654617385616</v>
      </c>
      <c r="BZ78" s="5">
        <f t="shared" si="294"/>
        <v>17.52</v>
      </c>
      <c r="CA78" s="173">
        <f t="shared" si="295"/>
        <v>0.85565402492734832</v>
      </c>
      <c r="CB78" s="5">
        <f t="shared" si="296"/>
        <v>85.565402492734833</v>
      </c>
      <c r="CE78" s="562">
        <f t="shared" si="232"/>
        <v>-50</v>
      </c>
      <c r="CF78">
        <f t="shared" si="233"/>
        <v>-50</v>
      </c>
      <c r="CG78" s="173">
        <f t="shared" si="234"/>
        <v>0.58143408720281198</v>
      </c>
      <c r="CI78" s="170">
        <v>73</v>
      </c>
      <c r="CJ78" s="217">
        <f t="shared" si="297"/>
        <v>0.73</v>
      </c>
      <c r="CK78" s="217"/>
      <c r="CL78" s="217">
        <f t="shared" si="235"/>
        <v>17.52</v>
      </c>
      <c r="CM78" s="541">
        <f t="shared" si="236"/>
        <v>24</v>
      </c>
      <c r="CN78" s="172">
        <f t="shared" si="237"/>
        <v>16.3415</v>
      </c>
      <c r="CO78" s="443">
        <f t="shared" si="238"/>
        <v>40.341499999999996</v>
      </c>
      <c r="CP78" s="443"/>
      <c r="CQ78" s="217">
        <f t="shared" si="239"/>
        <v>0.40507913686898112</v>
      </c>
      <c r="CR78" s="172">
        <f t="shared" si="240"/>
        <v>54.360539956785601</v>
      </c>
      <c r="CS78" s="172">
        <f t="shared" si="298"/>
        <v>17.52</v>
      </c>
      <c r="CT78" s="217">
        <f t="shared" si="241"/>
        <v>2.2650224981994</v>
      </c>
      <c r="CU78" s="217">
        <f t="shared" si="242"/>
        <v>24</v>
      </c>
      <c r="CV78" s="217">
        <f t="shared" si="243"/>
        <v>2.250439649272117</v>
      </c>
      <c r="CW78" s="172">
        <f t="shared" si="244"/>
        <v>146.78854085684375</v>
      </c>
      <c r="CX78" s="172">
        <f t="shared" si="245"/>
        <v>24</v>
      </c>
      <c r="CY78" s="217">
        <f t="shared" si="246"/>
        <v>3.6042340054462563</v>
      </c>
      <c r="CZ78" s="217">
        <f t="shared" si="247"/>
        <v>1.5017641689359402</v>
      </c>
      <c r="DA78" s="217">
        <f t="shared" si="248"/>
        <v>2.2055710953377945</v>
      </c>
      <c r="DB78" s="197">
        <f t="shared" si="249"/>
        <v>350</v>
      </c>
      <c r="DC78" s="443">
        <f t="shared" si="299"/>
        <v>269.73551856414031</v>
      </c>
      <c r="DE78" s="217">
        <f t="shared" si="250"/>
        <v>2.7776855099587272</v>
      </c>
      <c r="DF78" s="173">
        <f t="shared" si="251"/>
        <v>1.6997738946600542</v>
      </c>
      <c r="DG78" s="173">
        <f t="shared" si="252"/>
        <v>0.55110977087390545</v>
      </c>
      <c r="DH78" s="173"/>
      <c r="DI78" s="173">
        <f t="shared" si="253"/>
        <v>1.3598642855443031</v>
      </c>
      <c r="DJ78" s="545">
        <f t="shared" si="300"/>
        <v>724.34249999999975</v>
      </c>
      <c r="DK78" s="528">
        <f t="shared" si="254"/>
        <v>0.35273368606701955</v>
      </c>
      <c r="DM78" s="173">
        <f t="shared" si="255"/>
        <v>3.1968734726291559</v>
      </c>
      <c r="DN78" s="173">
        <f t="shared" si="256"/>
        <v>3.6042340054462563</v>
      </c>
      <c r="DO78" s="173">
        <f t="shared" si="257"/>
        <v>2.2237124320178028</v>
      </c>
      <c r="DQ78" s="545">
        <f t="shared" si="258"/>
        <v>730</v>
      </c>
      <c r="DR78" s="460">
        <f t="shared" si="259"/>
        <v>269.73551856414031</v>
      </c>
      <c r="DT78">
        <f t="shared" si="260"/>
        <v>730</v>
      </c>
      <c r="DU78">
        <f t="shared" si="261"/>
        <v>269.73551856414031</v>
      </c>
      <c r="DW78" s="5">
        <f t="shared" si="301"/>
        <v>3.7073352642737349</v>
      </c>
      <c r="DX78" s="5">
        <f t="shared" si="262"/>
        <v>1.5017641689359402</v>
      </c>
      <c r="DY78" s="5">
        <f t="shared" si="302"/>
        <v>2.2055710953377945</v>
      </c>
      <c r="DZ78" s="5">
        <f t="shared" si="263"/>
        <v>2.2055710953377945</v>
      </c>
      <c r="EA78" s="173">
        <f t="shared" si="303"/>
        <v>0.405079136868981</v>
      </c>
      <c r="EB78" s="173">
        <f t="shared" si="264"/>
        <v>17.519999999999996</v>
      </c>
      <c r="EC78" s="173">
        <f t="shared" si="265"/>
        <v>0.71510204081632667</v>
      </c>
      <c r="ED78" s="173">
        <f t="shared" si="304"/>
        <v>24.499999999999989</v>
      </c>
      <c r="EE78" s="460">
        <f t="shared" si="266"/>
        <v>4.5678660138468183</v>
      </c>
      <c r="EF78" s="5">
        <f t="shared" si="267"/>
        <v>1.3417224163304913</v>
      </c>
      <c r="EG78" s="5"/>
      <c r="EH78" s="173">
        <f t="shared" si="305"/>
        <v>1.3244095096748503</v>
      </c>
      <c r="EI78" s="173">
        <f t="shared" si="268"/>
        <v>1.0705520466709706</v>
      </c>
      <c r="EJ78" s="173"/>
      <c r="EK78" s="528">
        <f t="shared" si="269"/>
        <v>7.0162421972687086E-2</v>
      </c>
      <c r="EL78" s="528">
        <f t="shared" si="270"/>
        <v>1.0785389999999999</v>
      </c>
      <c r="EM78" s="528">
        <f t="shared" si="271"/>
        <v>5.3947103712828057E-2</v>
      </c>
      <c r="EN78" s="528">
        <f t="shared" si="272"/>
        <v>7.6821055715753414E-2</v>
      </c>
      <c r="EO78">
        <f t="shared" si="273"/>
        <v>1.0800000000000001E-2</v>
      </c>
      <c r="EP78" s="460">
        <f t="shared" si="306"/>
        <v>64.747103712828064</v>
      </c>
      <c r="EQ78" s="528">
        <f t="shared" si="274"/>
        <v>1.3314088076331374</v>
      </c>
      <c r="ER78" s="460">
        <f t="shared" si="307"/>
        <v>1331.4088076331375</v>
      </c>
      <c r="ES78" s="528">
        <f t="shared" si="308"/>
        <v>0.63363999999999998</v>
      </c>
      <c r="ET78" s="528"/>
      <c r="EV78" s="460">
        <f t="shared" si="309"/>
        <v>633.64</v>
      </c>
      <c r="EW78" s="528">
        <f t="shared" si="275"/>
        <v>5.2621816479515318E-2</v>
      </c>
      <c r="EX78" s="528">
        <f t="shared" si="276"/>
        <v>3.4382450538942115E-2</v>
      </c>
      <c r="EY78" s="528">
        <f t="shared" si="277"/>
        <v>1.4734920547744257</v>
      </c>
      <c r="EZ78" s="528">
        <f t="shared" si="278"/>
        <v>1.5924614209722618</v>
      </c>
      <c r="FA78" s="528">
        <f t="shared" si="279"/>
        <v>0.70079999999999987</v>
      </c>
      <c r="FB78" s="460">
        <f t="shared" si="310"/>
        <v>2293.2614209722619</v>
      </c>
      <c r="FC78" s="173">
        <f t="shared" si="311"/>
        <v>4.2583102286053993</v>
      </c>
      <c r="FD78" s="5">
        <f t="shared" si="312"/>
        <v>17.52</v>
      </c>
      <c r="FE78" s="173">
        <f t="shared" si="313"/>
        <v>0.80447012720885069</v>
      </c>
      <c r="FF78" s="5">
        <f t="shared" si="314"/>
        <v>80.44701272088507</v>
      </c>
      <c r="FI78" s="562">
        <f t="shared" si="280"/>
        <v>-50</v>
      </c>
      <c r="FJ78">
        <f t="shared" si="281"/>
        <v>-50</v>
      </c>
      <c r="FL78">
        <f t="shared" si="282"/>
        <v>0.594920863131019</v>
      </c>
    </row>
    <row r="79" spans="5:168">
      <c r="E79" s="170">
        <v>74</v>
      </c>
      <c r="F79" s="217">
        <f t="shared" si="283"/>
        <v>0.74</v>
      </c>
      <c r="G79" s="217"/>
      <c r="H79" s="217">
        <f t="shared" si="183"/>
        <v>17.759999999999998</v>
      </c>
      <c r="I79" s="541">
        <f t="shared" si="184"/>
        <v>23.866473542866931</v>
      </c>
      <c r="J79" s="172">
        <f t="shared" si="185"/>
        <v>16.366959050851776</v>
      </c>
      <c r="K79" s="172">
        <f t="shared" si="186"/>
        <v>40.366959050851776</v>
      </c>
      <c r="L79" s="443"/>
      <c r="M79" s="217">
        <f t="shared" si="187"/>
        <v>0.40679157233731811</v>
      </c>
      <c r="N79" s="172">
        <f t="shared" si="188"/>
        <v>54.286625261028291</v>
      </c>
      <c r="O79" s="172">
        <f t="shared" si="284"/>
        <v>17.759999999999998</v>
      </c>
      <c r="P79" s="217">
        <f t="shared" si="189"/>
        <v>2.2619427192095123</v>
      </c>
      <c r="Q79" s="217">
        <f t="shared" si="190"/>
        <v>24</v>
      </c>
      <c r="R79" s="217">
        <f t="shared" si="191"/>
        <v>2.2473796987615375</v>
      </c>
      <c r="S79" s="172">
        <f t="shared" si="192"/>
        <v>143.52013495479054</v>
      </c>
      <c r="T79" s="172">
        <f t="shared" si="193"/>
        <v>24</v>
      </c>
      <c r="U79" s="217">
        <f t="shared" si="194"/>
        <v>3.7404906121535646</v>
      </c>
      <c r="V79" s="217">
        <f t="shared" si="195"/>
        <v>1.5672573517973711</v>
      </c>
      <c r="W79" s="217">
        <f t="shared" si="196"/>
        <v>2.285391318284566</v>
      </c>
      <c r="X79" s="197">
        <f t="shared" si="197"/>
        <v>350</v>
      </c>
      <c r="Y79" s="443">
        <f t="shared" si="198"/>
        <v>246.75220612690856</v>
      </c>
      <c r="AA79" s="217">
        <f t="shared" si="199"/>
        <v>2.7739658998019094</v>
      </c>
      <c r="AB79" s="173">
        <f t="shared" si="200"/>
        <v>1.6948572371833153</v>
      </c>
      <c r="AC79" s="173">
        <f t="shared" si="201"/>
        <v>0.54877980722477293</v>
      </c>
      <c r="AD79" s="173"/>
      <c r="AE79" s="173">
        <f t="shared" si="202"/>
        <v>1.3577489962049931</v>
      </c>
      <c r="AF79" s="545">
        <f t="shared" si="203"/>
        <v>735.40893966121075</v>
      </c>
      <c r="AG79" s="528">
        <f t="shared" si="204"/>
        <v>0.35218500351561743</v>
      </c>
      <c r="AI79" s="173">
        <f t="shared" si="205"/>
        <v>3.2212016767246174</v>
      </c>
      <c r="AJ79" s="173">
        <f t="shared" si="206"/>
        <v>3.7404906121535646</v>
      </c>
      <c r="AK79" s="173">
        <f t="shared" si="207"/>
        <v>2.3246432518009943</v>
      </c>
      <c r="AM79" s="545">
        <f t="shared" si="208"/>
        <v>740</v>
      </c>
      <c r="AN79" s="460">
        <f t="shared" si="209"/>
        <v>246.75220612690856</v>
      </c>
      <c r="AP79">
        <f t="shared" si="210"/>
        <v>740</v>
      </c>
      <c r="AQ79">
        <f t="shared" si="211"/>
        <v>246.75220612690856</v>
      </c>
      <c r="AS79" s="5">
        <f t="shared" si="285"/>
        <v>4.0526486700819371</v>
      </c>
      <c r="AT79" s="5">
        <f t="shared" si="212"/>
        <v>1.5672573517973711</v>
      </c>
      <c r="AU79" s="5">
        <f t="shared" si="286"/>
        <v>2.4853913182845657</v>
      </c>
      <c r="AV79" s="5">
        <f t="shared" si="213"/>
        <v>2.285391318284566</v>
      </c>
      <c r="AW79" s="173">
        <f t="shared" si="287"/>
        <v>0.38672420912461775</v>
      </c>
      <c r="AX79" s="173">
        <f t="shared" si="214"/>
        <v>17.26188371927892</v>
      </c>
      <c r="AY79" s="173">
        <f t="shared" si="215"/>
        <v>0.7650331048665453</v>
      </c>
      <c r="AZ79" s="173">
        <f t="shared" si="288"/>
        <v>22.563577457592682</v>
      </c>
      <c r="BA79" s="460">
        <f t="shared" si="216"/>
        <v>4.8323768347085609</v>
      </c>
      <c r="BB79" s="5">
        <f t="shared" si="217"/>
        <v>1.5412327860060115</v>
      </c>
      <c r="BC79" s="5"/>
      <c r="BD79" s="173">
        <f t="shared" si="289"/>
        <v>1.3429771446283374</v>
      </c>
      <c r="BE79" s="173">
        <f t="shared" si="218"/>
        <v>1.1280326918653805</v>
      </c>
      <c r="BF79" s="173"/>
      <c r="BG79" s="528">
        <f t="shared" si="219"/>
        <v>7.2143504439763292E-2</v>
      </c>
      <c r="BH79" s="528">
        <f t="shared" si="220"/>
        <v>0.83829748947286042</v>
      </c>
      <c r="BI79" s="528">
        <f t="shared" si="221"/>
        <v>0.23556419996687641</v>
      </c>
      <c r="BJ79" s="528">
        <f t="shared" si="222"/>
        <v>7.0364103884074103E-2</v>
      </c>
      <c r="BK79">
        <f t="shared" si="223"/>
        <v>1.0739913094290119E-2</v>
      </c>
      <c r="BL79" s="460">
        <f t="shared" si="290"/>
        <v>246.30411306116653</v>
      </c>
      <c r="BM79" s="528">
        <f t="shared" si="224"/>
        <v>1.0177290393736314</v>
      </c>
      <c r="BN79" s="460">
        <f t="shared" si="291"/>
        <v>1017.7290393736314</v>
      </c>
      <c r="BO79" s="528">
        <f t="shared" si="225"/>
        <v>0.64232</v>
      </c>
      <c r="BP79" s="528"/>
      <c r="BR79" s="460">
        <f t="shared" si="292"/>
        <v>642.32000000000005</v>
      </c>
      <c r="BS79" s="528">
        <f t="shared" si="226"/>
        <v>5.4107628329822466E-2</v>
      </c>
      <c r="BT79" s="528">
        <f t="shared" si="227"/>
        <v>3.817373261751169E-2</v>
      </c>
      <c r="BU79" s="528">
        <f t="shared" si="228"/>
        <v>0.26639999999999997</v>
      </c>
      <c r="BV79" s="528">
        <f t="shared" si="229"/>
        <v>0.38366127030803904</v>
      </c>
      <c r="BW79" s="528">
        <f t="shared" si="230"/>
        <v>0.69047534877115679</v>
      </c>
      <c r="BX79" s="460">
        <f t="shared" si="293"/>
        <v>1074.136619079196</v>
      </c>
      <c r="BY79" s="173">
        <f t="shared" si="231"/>
        <v>2.980489771513994</v>
      </c>
      <c r="BZ79" s="5">
        <f t="shared" si="294"/>
        <v>17.759999999999998</v>
      </c>
      <c r="CA79" s="173">
        <f t="shared" si="295"/>
        <v>0.8562960757268353</v>
      </c>
      <c r="CB79" s="5">
        <f t="shared" si="296"/>
        <v>85.629607572683526</v>
      </c>
      <c r="CE79" s="562">
        <f t="shared" si="232"/>
        <v>-50</v>
      </c>
      <c r="CF79">
        <f t="shared" si="233"/>
        <v>-50</v>
      </c>
      <c r="CG79" s="173">
        <f t="shared" si="234"/>
        <v>0.58161634093157133</v>
      </c>
      <c r="CI79" s="170">
        <v>74</v>
      </c>
      <c r="CJ79" s="217">
        <f t="shared" si="297"/>
        <v>0.74</v>
      </c>
      <c r="CK79" s="217"/>
      <c r="CL79" s="217">
        <f t="shared" si="235"/>
        <v>17.759999999999998</v>
      </c>
      <c r="CM79" s="541">
        <f t="shared" si="236"/>
        <v>24</v>
      </c>
      <c r="CN79" s="172">
        <f t="shared" si="237"/>
        <v>16.3415</v>
      </c>
      <c r="CO79" s="443">
        <f t="shared" si="238"/>
        <v>40.341499999999996</v>
      </c>
      <c r="CP79" s="443"/>
      <c r="CQ79" s="217">
        <f t="shared" si="239"/>
        <v>0.40507913686898112</v>
      </c>
      <c r="CR79" s="172">
        <f t="shared" si="240"/>
        <v>54.360539956785601</v>
      </c>
      <c r="CS79" s="172">
        <f t="shared" si="298"/>
        <v>17.759999999999998</v>
      </c>
      <c r="CT79" s="217">
        <f t="shared" si="241"/>
        <v>2.2650224981994</v>
      </c>
      <c r="CU79" s="217">
        <f t="shared" si="242"/>
        <v>24</v>
      </c>
      <c r="CV79" s="217">
        <f t="shared" si="243"/>
        <v>2.250439649272117</v>
      </c>
      <c r="CW79" s="172">
        <f t="shared" si="244"/>
        <v>144.32239923636479</v>
      </c>
      <c r="CX79" s="172">
        <f t="shared" si="245"/>
        <v>24</v>
      </c>
      <c r="CY79" s="217">
        <f t="shared" si="246"/>
        <v>3.6536070740140127</v>
      </c>
      <c r="CZ79" s="217">
        <f t="shared" si="247"/>
        <v>1.5223362808391721</v>
      </c>
      <c r="DA79" s="217">
        <f t="shared" si="248"/>
        <v>2.2357843980136538</v>
      </c>
      <c r="DB79" s="197">
        <f t="shared" si="249"/>
        <v>350</v>
      </c>
      <c r="DC79" s="443">
        <f t="shared" si="299"/>
        <v>266.09044398894935</v>
      </c>
      <c r="DE79" s="217">
        <f t="shared" si="250"/>
        <v>2.7776855099587272</v>
      </c>
      <c r="DF79" s="173">
        <f t="shared" si="251"/>
        <v>1.6997738946600542</v>
      </c>
      <c r="DG79" s="173">
        <f t="shared" si="252"/>
        <v>0.55110977087390545</v>
      </c>
      <c r="DH79" s="173"/>
      <c r="DI79" s="173">
        <f t="shared" si="253"/>
        <v>1.3598642855443031</v>
      </c>
      <c r="DJ79" s="545">
        <f t="shared" si="300"/>
        <v>734.26499999999976</v>
      </c>
      <c r="DK79" s="528">
        <f t="shared" si="254"/>
        <v>0.35273368606701955</v>
      </c>
      <c r="DM79" s="173">
        <f t="shared" si="255"/>
        <v>3.2186953878862159</v>
      </c>
      <c r="DN79" s="173">
        <f t="shared" si="256"/>
        <v>3.6536070740140127</v>
      </c>
      <c r="DO79" s="173">
        <f t="shared" si="257"/>
        <v>2.2602850754013262</v>
      </c>
      <c r="DQ79" s="545">
        <f t="shared" si="258"/>
        <v>740</v>
      </c>
      <c r="DR79" s="460">
        <f t="shared" si="259"/>
        <v>266.09044398894935</v>
      </c>
      <c r="DT79">
        <f t="shared" si="260"/>
        <v>740</v>
      </c>
      <c r="DU79">
        <f t="shared" si="261"/>
        <v>266.09044398894935</v>
      </c>
      <c r="DW79" s="5">
        <f t="shared" si="301"/>
        <v>3.7581206788528254</v>
      </c>
      <c r="DX79" s="5">
        <f t="shared" si="262"/>
        <v>1.5223362808391721</v>
      </c>
      <c r="DY79" s="5">
        <f t="shared" si="302"/>
        <v>2.2357843980136534</v>
      </c>
      <c r="DZ79" s="5">
        <f t="shared" si="263"/>
        <v>2.2357843980136538</v>
      </c>
      <c r="EA79" s="173">
        <f t="shared" si="303"/>
        <v>0.40507913686898117</v>
      </c>
      <c r="EB79" s="173">
        <f t="shared" si="264"/>
        <v>17.760000000000002</v>
      </c>
      <c r="EC79" s="173">
        <f t="shared" si="265"/>
        <v>0.72489795918367328</v>
      </c>
      <c r="ED79" s="173">
        <f t="shared" si="304"/>
        <v>24.500000000000007</v>
      </c>
      <c r="EE79" s="460">
        <f t="shared" si="266"/>
        <v>4.6938701992541141</v>
      </c>
      <c r="EF79" s="5">
        <f t="shared" si="267"/>
        <v>1.3787337121084191</v>
      </c>
      <c r="EG79" s="5"/>
      <c r="EH79" s="173">
        <f t="shared" si="305"/>
        <v>1.3425521056977936</v>
      </c>
      <c r="EI79" s="173">
        <f t="shared" si="268"/>
        <v>1.0852171432007096</v>
      </c>
      <c r="EJ79" s="173"/>
      <c r="EK79" s="528">
        <f t="shared" si="269"/>
        <v>7.2097846260543191E-2</v>
      </c>
      <c r="EL79" s="528">
        <f t="shared" si="270"/>
        <v>1.0785390000000004</v>
      </c>
      <c r="EM79" s="528">
        <f t="shared" si="271"/>
        <v>5.3218088797789866E-2</v>
      </c>
      <c r="EN79" s="528">
        <f t="shared" si="272"/>
        <v>7.5782933341216233E-2</v>
      </c>
      <c r="EO79">
        <f t="shared" si="273"/>
        <v>1.0800000000000001E-2</v>
      </c>
      <c r="EP79" s="460">
        <f t="shared" si="306"/>
        <v>64.018088797789858</v>
      </c>
      <c r="EQ79" s="528">
        <f t="shared" si="274"/>
        <v>1.3327346285031123</v>
      </c>
      <c r="ER79" s="460">
        <f t="shared" si="307"/>
        <v>1332.7346285031124</v>
      </c>
      <c r="ES79" s="528">
        <f t="shared" si="308"/>
        <v>0.64232</v>
      </c>
      <c r="ET79" s="528"/>
      <c r="EV79" s="460">
        <f t="shared" si="309"/>
        <v>642.32000000000005</v>
      </c>
      <c r="EW79" s="528">
        <f t="shared" si="275"/>
        <v>5.4073384695407387E-2</v>
      </c>
      <c r="EX79" s="528">
        <f t="shared" si="276"/>
        <v>3.5330887436901284E-2</v>
      </c>
      <c r="EY79" s="528">
        <f t="shared" si="277"/>
        <v>1.4734920547744297</v>
      </c>
      <c r="EZ79" s="528">
        <f t="shared" si="278"/>
        <v>1.5957668219149881</v>
      </c>
      <c r="FA79" s="528">
        <f t="shared" si="279"/>
        <v>0.71040000000000003</v>
      </c>
      <c r="FB79" s="460">
        <f t="shared" si="310"/>
        <v>2306.1668219149883</v>
      </c>
      <c r="FC79" s="173">
        <f t="shared" si="311"/>
        <v>4.2812214504181005</v>
      </c>
      <c r="FD79" s="5">
        <f t="shared" si="312"/>
        <v>17.759999999999998</v>
      </c>
      <c r="FE79" s="173">
        <f t="shared" si="313"/>
        <v>0.80576296735420305</v>
      </c>
      <c r="FF79" s="5">
        <f t="shared" si="314"/>
        <v>80.5762967354203</v>
      </c>
      <c r="FI79" s="562">
        <f t="shared" si="280"/>
        <v>-50</v>
      </c>
      <c r="FJ79">
        <f t="shared" si="281"/>
        <v>-50</v>
      </c>
      <c r="FL79">
        <f t="shared" si="282"/>
        <v>0.59492086313101877</v>
      </c>
    </row>
    <row r="80" spans="5:168">
      <c r="E80" s="170">
        <v>75</v>
      </c>
      <c r="F80" s="217">
        <f t="shared" si="283"/>
        <v>0.75</v>
      </c>
      <c r="G80" s="217"/>
      <c r="H80" s="217">
        <f t="shared" si="183"/>
        <v>18</v>
      </c>
      <c r="I80" s="541">
        <f t="shared" si="184"/>
        <v>23.864710394763762</v>
      </c>
      <c r="J80" s="172">
        <f t="shared" si="185"/>
        <v>16.367295224507409</v>
      </c>
      <c r="K80" s="172">
        <f t="shared" si="186"/>
        <v>40.367295224507409</v>
      </c>
      <c r="L80" s="443"/>
      <c r="M80" s="217">
        <f t="shared" si="187"/>
        <v>0.40681435943858335</v>
      </c>
      <c r="N80" s="172">
        <f t="shared" si="188"/>
        <v>54.285655538702706</v>
      </c>
      <c r="O80" s="172">
        <f t="shared" si="284"/>
        <v>18</v>
      </c>
      <c r="P80" s="217">
        <f t="shared" si="189"/>
        <v>2.2619023141126129</v>
      </c>
      <c r="Q80" s="217">
        <f t="shared" si="190"/>
        <v>24</v>
      </c>
      <c r="R80" s="217">
        <f t="shared" si="191"/>
        <v>2.2473395538039629</v>
      </c>
      <c r="S80" s="172">
        <f t="shared" si="192"/>
        <v>141.12277513073462</v>
      </c>
      <c r="T80" s="172">
        <f t="shared" si="193"/>
        <v>24</v>
      </c>
      <c r="U80" s="217">
        <f t="shared" si="194"/>
        <v>3.7911834145048697</v>
      </c>
      <c r="V80" s="217">
        <f t="shared" si="195"/>
        <v>1.5886148844013235</v>
      </c>
      <c r="W80" s="217">
        <f t="shared" si="196"/>
        <v>2.3163163873455273</v>
      </c>
      <c r="X80" s="197">
        <f t="shared" si="197"/>
        <v>350</v>
      </c>
      <c r="Y80" s="443">
        <f t="shared" si="198"/>
        <v>243.6094379661686</v>
      </c>
      <c r="AA80" s="217">
        <f t="shared" si="199"/>
        <v>2.7739163276042595</v>
      </c>
      <c r="AB80" s="173">
        <f t="shared" si="200"/>
        <v>1.694792138563471</v>
      </c>
      <c r="AC80" s="173">
        <f t="shared" si="201"/>
        <v>0.54874892226572614</v>
      </c>
      <c r="AD80" s="173"/>
      <c r="AE80" s="173">
        <f t="shared" si="202"/>
        <v>1.3577211089189618</v>
      </c>
      <c r="AF80" s="545">
        <f t="shared" si="203"/>
        <v>745.36220756283717</v>
      </c>
      <c r="AG80" s="528">
        <f t="shared" si="204"/>
        <v>0.3521777698634796</v>
      </c>
      <c r="AI80" s="173">
        <f t="shared" si="205"/>
        <v>3.2429268195794392</v>
      </c>
      <c r="AJ80" s="173">
        <f t="shared" si="206"/>
        <v>3.7911834145048697</v>
      </c>
      <c r="AK80" s="173">
        <f t="shared" si="207"/>
        <v>2.3621934757649239</v>
      </c>
      <c r="AM80" s="545">
        <f t="shared" si="208"/>
        <v>750</v>
      </c>
      <c r="AN80" s="460">
        <f t="shared" si="209"/>
        <v>243.6094379661686</v>
      </c>
      <c r="AP80">
        <f t="shared" si="210"/>
        <v>750</v>
      </c>
      <c r="AQ80">
        <f t="shared" si="211"/>
        <v>243.6094379661686</v>
      </c>
      <c r="AS80" s="5">
        <f t="shared" si="285"/>
        <v>4.1049312717468505</v>
      </c>
      <c r="AT80" s="5">
        <f t="shared" si="212"/>
        <v>1.5886148844013235</v>
      </c>
      <c r="AU80" s="5">
        <f t="shared" si="286"/>
        <v>2.516316387345527</v>
      </c>
      <c r="AV80" s="5">
        <f t="shared" si="213"/>
        <v>2.3163163873455273</v>
      </c>
      <c r="AW80" s="173">
        <f t="shared" si="287"/>
        <v>0.38700157913369632</v>
      </c>
      <c r="AX80" s="173">
        <f t="shared" si="214"/>
        <v>17.507079572005058</v>
      </c>
      <c r="AY80" s="173">
        <f t="shared" si="215"/>
        <v>0.77505048034305324</v>
      </c>
      <c r="AZ80" s="173">
        <f t="shared" si="288"/>
        <v>22.588308782488678</v>
      </c>
      <c r="BA80" s="460">
        <f t="shared" si="216"/>
        <v>4.9644215137541359</v>
      </c>
      <c r="BB80" s="5">
        <f t="shared" si="217"/>
        <v>1.5816134026275301</v>
      </c>
      <c r="BC80" s="5"/>
      <c r="BD80" s="173">
        <f t="shared" si="289"/>
        <v>1.3616658226962437</v>
      </c>
      <c r="BE80" s="173">
        <f t="shared" si="218"/>
        <v>1.1430617181244913</v>
      </c>
      <c r="BF80" s="173"/>
      <c r="BG80" s="528">
        <f t="shared" si="219"/>
        <v>7.4165352507961524E-2</v>
      </c>
      <c r="BH80" s="528">
        <f t="shared" si="220"/>
        <v>0.83884375286144153</v>
      </c>
      <c r="BI80" s="528">
        <f t="shared" si="221"/>
        <v>0.23254674745975124</v>
      </c>
      <c r="BJ80" s="528">
        <f t="shared" si="222"/>
        <v>6.9469066051766601E-2</v>
      </c>
      <c r="BK80">
        <f t="shared" si="223"/>
        <v>1.0739119677643693E-2</v>
      </c>
      <c r="BL80" s="460">
        <f t="shared" si="290"/>
        <v>243.28586713739492</v>
      </c>
      <c r="BM80" s="528">
        <f t="shared" si="224"/>
        <v>1.0204854933210397</v>
      </c>
      <c r="BN80" s="460">
        <f t="shared" si="291"/>
        <v>1020.4854933210397</v>
      </c>
      <c r="BO80" s="528">
        <f t="shared" si="225"/>
        <v>0.65099999999999991</v>
      </c>
      <c r="BP80" s="528"/>
      <c r="BR80" s="460">
        <f t="shared" si="292"/>
        <v>650.99999999999989</v>
      </c>
      <c r="BS80" s="528">
        <f t="shared" si="226"/>
        <v>5.5624014380971143E-2</v>
      </c>
      <c r="BT80" s="528">
        <f t="shared" si="227"/>
        <v>3.919770274325142E-2</v>
      </c>
      <c r="BU80" s="528">
        <f t="shared" si="228"/>
        <v>0.27</v>
      </c>
      <c r="BV80" s="528">
        <f t="shared" si="229"/>
        <v>0.39054147429006875</v>
      </c>
      <c r="BW80" s="528">
        <f t="shared" si="230"/>
        <v>0.70028318288020219</v>
      </c>
      <c r="BX80" s="460">
        <f t="shared" si="293"/>
        <v>1090.8246571702709</v>
      </c>
      <c r="BY80" s="173">
        <f t="shared" si="231"/>
        <v>3.0055960176287058</v>
      </c>
      <c r="BZ80" s="5">
        <f t="shared" si="294"/>
        <v>18</v>
      </c>
      <c r="CA80" s="173">
        <f t="shared" si="295"/>
        <v>0.85691450910955858</v>
      </c>
      <c r="CB80" s="5">
        <f t="shared" si="296"/>
        <v>85.691450910955851</v>
      </c>
      <c r="CE80" s="562">
        <f t="shared" si="232"/>
        <v>-50</v>
      </c>
      <c r="CF80">
        <f t="shared" si="233"/>
        <v>-50</v>
      </c>
      <c r="CG80" s="173">
        <f t="shared" si="234"/>
        <v>0.58179373456089745</v>
      </c>
      <c r="CI80" s="170">
        <v>75</v>
      </c>
      <c r="CJ80" s="217">
        <f t="shared" si="297"/>
        <v>0.75</v>
      </c>
      <c r="CK80" s="217"/>
      <c r="CL80" s="217">
        <f t="shared" si="235"/>
        <v>18</v>
      </c>
      <c r="CM80" s="541">
        <f t="shared" si="236"/>
        <v>24</v>
      </c>
      <c r="CN80" s="172">
        <f t="shared" si="237"/>
        <v>16.3415</v>
      </c>
      <c r="CO80" s="443">
        <f t="shared" si="238"/>
        <v>40.341499999999996</v>
      </c>
      <c r="CP80" s="443"/>
      <c r="CQ80" s="217">
        <f t="shared" si="239"/>
        <v>0.40507913686898112</v>
      </c>
      <c r="CR80" s="172">
        <f t="shared" si="240"/>
        <v>54.360539956785601</v>
      </c>
      <c r="CS80" s="172">
        <f t="shared" si="298"/>
        <v>18</v>
      </c>
      <c r="CT80" s="217">
        <f t="shared" si="241"/>
        <v>2.2650224981994</v>
      </c>
      <c r="CU80" s="217">
        <f t="shared" si="242"/>
        <v>24</v>
      </c>
      <c r="CV80" s="217">
        <f t="shared" si="243"/>
        <v>2.250439649272117</v>
      </c>
      <c r="CW80" s="172">
        <f t="shared" si="244"/>
        <v>141.92209050970814</v>
      </c>
      <c r="CX80" s="172">
        <f t="shared" si="245"/>
        <v>24</v>
      </c>
      <c r="CY80" s="217">
        <f t="shared" si="246"/>
        <v>3.7029801425817701</v>
      </c>
      <c r="CZ80" s="217">
        <f t="shared" si="247"/>
        <v>1.5429083927424043</v>
      </c>
      <c r="DA80" s="217">
        <f t="shared" si="248"/>
        <v>2.2659977006895144</v>
      </c>
      <c r="DB80" s="197">
        <f t="shared" si="249"/>
        <v>350</v>
      </c>
      <c r="DC80" s="443">
        <f t="shared" si="299"/>
        <v>262.54257140242993</v>
      </c>
      <c r="DE80" s="217">
        <f t="shared" si="250"/>
        <v>2.7776855099587272</v>
      </c>
      <c r="DF80" s="173">
        <f t="shared" si="251"/>
        <v>1.6997738946600542</v>
      </c>
      <c r="DG80" s="173">
        <f t="shared" si="252"/>
        <v>0.55110977087390545</v>
      </c>
      <c r="DH80" s="173"/>
      <c r="DI80" s="173">
        <f t="shared" si="253"/>
        <v>1.3598642855443031</v>
      </c>
      <c r="DJ80" s="545">
        <f t="shared" si="300"/>
        <v>744.18749999999977</v>
      </c>
      <c r="DK80" s="528">
        <f t="shared" si="254"/>
        <v>0.35273368606701955</v>
      </c>
      <c r="DM80" s="173">
        <f t="shared" si="255"/>
        <v>3.2403703492039297</v>
      </c>
      <c r="DN80" s="173">
        <f t="shared" si="256"/>
        <v>3.7029801425817701</v>
      </c>
      <c r="DO80" s="173">
        <f t="shared" si="257"/>
        <v>2.29685771878485</v>
      </c>
      <c r="DQ80" s="545">
        <f t="shared" si="258"/>
        <v>750</v>
      </c>
      <c r="DR80" s="460">
        <f t="shared" si="259"/>
        <v>262.54257140242993</v>
      </c>
      <c r="DT80">
        <f t="shared" si="260"/>
        <v>750</v>
      </c>
      <c r="DU80">
        <f t="shared" si="261"/>
        <v>262.54257140242993</v>
      </c>
      <c r="DW80" s="5">
        <f t="shared" si="301"/>
        <v>3.808906093431919</v>
      </c>
      <c r="DX80" s="5">
        <f t="shared" si="262"/>
        <v>1.5429083927424043</v>
      </c>
      <c r="DY80" s="5">
        <f t="shared" si="302"/>
        <v>2.2659977006895149</v>
      </c>
      <c r="DZ80" s="5">
        <f t="shared" si="263"/>
        <v>2.2659977006895144</v>
      </c>
      <c r="EA80" s="173">
        <f t="shared" si="303"/>
        <v>0.40507913686898106</v>
      </c>
      <c r="EB80" s="173">
        <f t="shared" si="264"/>
        <v>18</v>
      </c>
      <c r="EC80" s="173">
        <f t="shared" si="265"/>
        <v>0.73469387755102045</v>
      </c>
      <c r="ED80" s="173">
        <f t="shared" si="304"/>
        <v>24.5</v>
      </c>
      <c r="EE80" s="460">
        <f t="shared" si="266"/>
        <v>4.8215887273200133</v>
      </c>
      <c r="EF80" s="5">
        <f t="shared" si="267"/>
        <v>1.4162485629309467</v>
      </c>
      <c r="EG80" s="5"/>
      <c r="EH80" s="173">
        <f t="shared" si="305"/>
        <v>1.3606947017207369</v>
      </c>
      <c r="EI80" s="173">
        <f t="shared" si="268"/>
        <v>1.0998822397304491</v>
      </c>
      <c r="EJ80" s="173"/>
      <c r="EK80" s="528">
        <f t="shared" si="269"/>
        <v>7.4059602851635417E-2</v>
      </c>
      <c r="EL80" s="528">
        <f t="shared" si="270"/>
        <v>1.0785390000000001</v>
      </c>
      <c r="EM80" s="528">
        <f t="shared" si="271"/>
        <v>5.2508514280485981E-2</v>
      </c>
      <c r="EN80" s="528">
        <f t="shared" si="272"/>
        <v>7.4772494229999986E-2</v>
      </c>
      <c r="EO80">
        <f t="shared" si="273"/>
        <v>1.0800000000000001E-2</v>
      </c>
      <c r="EP80" s="460">
        <f t="shared" si="306"/>
        <v>63.30851428048598</v>
      </c>
      <c r="EQ80" s="528">
        <f t="shared" si="274"/>
        <v>1.3341521954735847</v>
      </c>
      <c r="ER80" s="460">
        <f t="shared" si="307"/>
        <v>1334.1521954735847</v>
      </c>
      <c r="ES80" s="528">
        <f t="shared" si="308"/>
        <v>0.65099999999999991</v>
      </c>
      <c r="ET80" s="528"/>
      <c r="EV80" s="460">
        <f t="shared" si="309"/>
        <v>650.99999999999989</v>
      </c>
      <c r="EW80" s="528">
        <f t="shared" si="275"/>
        <v>5.5544702138726559E-2</v>
      </c>
      <c r="EX80" s="528">
        <f t="shared" si="276"/>
        <v>3.6292228238234074E-2</v>
      </c>
      <c r="EY80" s="528">
        <f t="shared" si="277"/>
        <v>1.4734920547744244</v>
      </c>
      <c r="EZ80" s="528">
        <f t="shared" si="278"/>
        <v>1.5991184991837795</v>
      </c>
      <c r="FA80" s="528">
        <f t="shared" si="279"/>
        <v>0.72</v>
      </c>
      <c r="FB80" s="460">
        <f t="shared" si="310"/>
        <v>2319.118499183779</v>
      </c>
      <c r="FC80" s="173">
        <f t="shared" si="311"/>
        <v>4.3042706946573643</v>
      </c>
      <c r="FD80" s="5">
        <f t="shared" si="312"/>
        <v>18</v>
      </c>
      <c r="FE80" s="173">
        <f t="shared" si="313"/>
        <v>0.8070203346443251</v>
      </c>
      <c r="FF80" s="5">
        <f t="shared" si="314"/>
        <v>80.702033464432503</v>
      </c>
      <c r="FI80" s="562">
        <f t="shared" si="280"/>
        <v>-50</v>
      </c>
      <c r="FJ80">
        <f t="shared" si="281"/>
        <v>-50</v>
      </c>
      <c r="FL80">
        <f t="shared" si="282"/>
        <v>0.594920863131019</v>
      </c>
    </row>
    <row r="81" spans="5:168">
      <c r="E81" s="170">
        <v>76</v>
      </c>
      <c r="F81" s="217">
        <f t="shared" si="283"/>
        <v>0.76</v>
      </c>
      <c r="G81" s="217"/>
      <c r="H81" s="217">
        <f t="shared" si="183"/>
        <v>18.240000000000002</v>
      </c>
      <c r="I81" s="541">
        <f t="shared" si="184"/>
        <v>23.862947222166913</v>
      </c>
      <c r="J81" s="172">
        <f t="shared" si="185"/>
        <v>16.367631402833165</v>
      </c>
      <c r="K81" s="172">
        <f t="shared" si="186"/>
        <v>40.367631402833169</v>
      </c>
      <c r="L81" s="443"/>
      <c r="M81" s="217">
        <f t="shared" si="187"/>
        <v>0.40683714840388613</v>
      </c>
      <c r="N81" s="172">
        <f t="shared" si="188"/>
        <v>54.284685560073761</v>
      </c>
      <c r="O81" s="172">
        <f t="shared" si="284"/>
        <v>18.240000000000002</v>
      </c>
      <c r="P81" s="217">
        <f t="shared" si="189"/>
        <v>2.2618618983364067</v>
      </c>
      <c r="Q81" s="217">
        <f t="shared" si="190"/>
        <v>24</v>
      </c>
      <c r="R81" s="217">
        <f t="shared" si="191"/>
        <v>2.2472993982358385</v>
      </c>
      <c r="S81" s="172">
        <f t="shared" si="192"/>
        <v>138.7886420120719</v>
      </c>
      <c r="T81" s="172">
        <f t="shared" si="193"/>
        <v>24</v>
      </c>
      <c r="U81" s="217">
        <f t="shared" si="194"/>
        <v>3.8418801237856752</v>
      </c>
      <c r="V81" s="217">
        <f t="shared" si="195"/>
        <v>1.6099772119584848</v>
      </c>
      <c r="W81" s="217">
        <f t="shared" si="196"/>
        <v>2.3472425723862909</v>
      </c>
      <c r="X81" s="197">
        <f t="shared" si="197"/>
        <v>350</v>
      </c>
      <c r="Y81" s="443">
        <f t="shared" si="198"/>
        <v>240.54537692854052</v>
      </c>
      <c r="AA81" s="217">
        <f t="shared" si="199"/>
        <v>2.7738667427821073</v>
      </c>
      <c r="AB81" s="173">
        <f t="shared" si="200"/>
        <v>1.6947270344210974</v>
      </c>
      <c r="AC81" s="173">
        <f t="shared" si="201"/>
        <v>0.54871803377461792</v>
      </c>
      <c r="AD81" s="173"/>
      <c r="AE81" s="173">
        <f t="shared" si="202"/>
        <v>1.3576932223910942</v>
      </c>
      <c r="AF81" s="545">
        <f t="shared" si="203"/>
        <v>755.31588392684353</v>
      </c>
      <c r="AG81" s="528">
        <f t="shared" si="204"/>
        <v>0.35217053640800117</v>
      </c>
      <c r="AI81" s="173">
        <f t="shared" si="205"/>
        <v>3.2645082685297924</v>
      </c>
      <c r="AJ81" s="173">
        <f t="shared" si="206"/>
        <v>3.8418801237856752</v>
      </c>
      <c r="AK81" s="173">
        <f t="shared" si="207"/>
        <v>2.3997465937507059</v>
      </c>
      <c r="AM81" s="545">
        <f t="shared" si="208"/>
        <v>760</v>
      </c>
      <c r="AN81" s="460">
        <f t="shared" si="209"/>
        <v>240.54537692854052</v>
      </c>
      <c r="AP81">
        <f t="shared" si="210"/>
        <v>760</v>
      </c>
      <c r="AQ81">
        <f t="shared" si="211"/>
        <v>240.54537692854052</v>
      </c>
      <c r="AS81" s="5">
        <f t="shared" si="285"/>
        <v>4.1572197843447762</v>
      </c>
      <c r="AT81" s="5">
        <f t="shared" si="212"/>
        <v>1.6099772119584848</v>
      </c>
      <c r="AU81" s="5">
        <f t="shared" si="286"/>
        <v>2.5472425723862915</v>
      </c>
      <c r="AV81" s="5">
        <f t="shared" si="213"/>
        <v>2.3472425723862909</v>
      </c>
      <c r="AW81" s="173">
        <f t="shared" si="287"/>
        <v>0.38727257529691445</v>
      </c>
      <c r="AX81" s="173">
        <f t="shared" si="214"/>
        <v>17.752300396917537</v>
      </c>
      <c r="AY81" s="173">
        <f t="shared" si="215"/>
        <v>0.78506744230743375</v>
      </c>
      <c r="AZ81" s="173">
        <f t="shared" si="288"/>
        <v>22.612452689084648</v>
      </c>
      <c r="BA81" s="460">
        <f t="shared" si="216"/>
        <v>5.0982611712018686</v>
      </c>
      <c r="BB81" s="5">
        <f t="shared" si="217"/>
        <v>1.6225190769522966</v>
      </c>
      <c r="BC81" s="5"/>
      <c r="BD81" s="173">
        <f t="shared" si="289"/>
        <v>1.3803574198706359</v>
      </c>
      <c r="BE81" s="173">
        <f t="shared" si="218"/>
        <v>1.1580909712747869</v>
      </c>
      <c r="BF81" s="173"/>
      <c r="BG81" s="528">
        <f t="shared" si="219"/>
        <v>7.6215464263676758E-2</v>
      </c>
      <c r="BH81" s="528">
        <f t="shared" si="220"/>
        <v>0.83937612093177583</v>
      </c>
      <c r="BI81" s="528">
        <f t="shared" si="221"/>
        <v>0.22960486536728034</v>
      </c>
      <c r="BJ81" s="528">
        <f t="shared" si="222"/>
        <v>6.8596443339853735E-2</v>
      </c>
      <c r="BK81">
        <f t="shared" si="223"/>
        <v>1.0738326249975111E-2</v>
      </c>
      <c r="BL81" s="460">
        <f t="shared" si="290"/>
        <v>240.34319161725546</v>
      </c>
      <c r="BM81" s="528">
        <f t="shared" si="224"/>
        <v>1.0232968765408705</v>
      </c>
      <c r="BN81" s="460">
        <f t="shared" si="291"/>
        <v>1023.2968765408706</v>
      </c>
      <c r="BO81" s="528">
        <f t="shared" si="225"/>
        <v>0.65967999999999993</v>
      </c>
      <c r="BP81" s="528"/>
      <c r="BR81" s="460">
        <f t="shared" si="292"/>
        <v>659.68</v>
      </c>
      <c r="BS81" s="528">
        <f t="shared" si="226"/>
        <v>5.7161598197757568E-2</v>
      </c>
      <c r="BT81" s="528">
        <f t="shared" si="227"/>
        <v>4.0235240932445376E-2</v>
      </c>
      <c r="BU81" s="528">
        <f t="shared" si="228"/>
        <v>0.27360000000000001</v>
      </c>
      <c r="BV81" s="528">
        <f t="shared" si="229"/>
        <v>0.39746905892072648</v>
      </c>
      <c r="BW81" s="528">
        <f t="shared" si="230"/>
        <v>0.71009201587670134</v>
      </c>
      <c r="BX81" s="460">
        <f t="shared" si="293"/>
        <v>1107.5610747974279</v>
      </c>
      <c r="BY81" s="173">
        <f t="shared" si="231"/>
        <v>3.0308811429555536</v>
      </c>
      <c r="BZ81" s="5">
        <f t="shared" si="294"/>
        <v>18.240000000000002</v>
      </c>
      <c r="CA81" s="173">
        <f t="shared" si="295"/>
        <v>0.85751031550663737</v>
      </c>
      <c r="CB81" s="5">
        <f t="shared" si="296"/>
        <v>85.75103155066374</v>
      </c>
      <c r="CE81" s="562">
        <f t="shared" si="232"/>
        <v>-50</v>
      </c>
      <c r="CF81">
        <f t="shared" si="233"/>
        <v>-50</v>
      </c>
      <c r="CG81" s="173">
        <f t="shared" si="234"/>
        <v>0.58196645993682006</v>
      </c>
      <c r="CI81" s="170">
        <v>76</v>
      </c>
      <c r="CJ81" s="217">
        <f t="shared" si="297"/>
        <v>0.76</v>
      </c>
      <c r="CK81" s="217"/>
      <c r="CL81" s="217">
        <f t="shared" si="235"/>
        <v>18.240000000000002</v>
      </c>
      <c r="CM81" s="541">
        <f t="shared" si="236"/>
        <v>24</v>
      </c>
      <c r="CN81" s="172">
        <f t="shared" si="237"/>
        <v>16.3415</v>
      </c>
      <c r="CO81" s="443">
        <f t="shared" si="238"/>
        <v>40.341499999999996</v>
      </c>
      <c r="CP81" s="443"/>
      <c r="CQ81" s="217">
        <f t="shared" si="239"/>
        <v>0.40507913686898112</v>
      </c>
      <c r="CR81" s="172">
        <f t="shared" si="240"/>
        <v>54.360539956785601</v>
      </c>
      <c r="CS81" s="172">
        <f t="shared" si="298"/>
        <v>18.240000000000002</v>
      </c>
      <c r="CT81" s="217">
        <f t="shared" si="241"/>
        <v>2.2650224981994</v>
      </c>
      <c r="CU81" s="217">
        <f t="shared" si="242"/>
        <v>24</v>
      </c>
      <c r="CV81" s="217">
        <f t="shared" si="243"/>
        <v>2.250439649272117</v>
      </c>
      <c r="CW81" s="172">
        <f t="shared" si="244"/>
        <v>139.58501668054561</v>
      </c>
      <c r="CX81" s="172">
        <f t="shared" si="245"/>
        <v>24</v>
      </c>
      <c r="CY81" s="217">
        <f t="shared" si="246"/>
        <v>3.7523532111495275</v>
      </c>
      <c r="CZ81" s="217">
        <f t="shared" si="247"/>
        <v>1.5634805046456366</v>
      </c>
      <c r="DA81" s="217">
        <f t="shared" si="248"/>
        <v>2.2962110033653751</v>
      </c>
      <c r="DB81" s="197">
        <f t="shared" si="249"/>
        <v>350</v>
      </c>
      <c r="DC81" s="443">
        <f t="shared" si="299"/>
        <v>259.08806388397687</v>
      </c>
      <c r="DE81" s="217">
        <f t="shared" si="250"/>
        <v>2.7776855099587272</v>
      </c>
      <c r="DF81" s="173">
        <f t="shared" si="251"/>
        <v>1.6997738946600542</v>
      </c>
      <c r="DG81" s="173">
        <f t="shared" si="252"/>
        <v>0.55110977087390545</v>
      </c>
      <c r="DH81" s="173"/>
      <c r="DI81" s="173">
        <f t="shared" si="253"/>
        <v>1.3598642855443031</v>
      </c>
      <c r="DJ81" s="545">
        <f t="shared" si="300"/>
        <v>754.10999999999979</v>
      </c>
      <c r="DK81" s="528">
        <f t="shared" si="254"/>
        <v>0.35273368606701955</v>
      </c>
      <c r="DM81" s="173">
        <f t="shared" si="255"/>
        <v>3.2619012860600178</v>
      </c>
      <c r="DN81" s="173">
        <f t="shared" si="256"/>
        <v>3.7523532111495275</v>
      </c>
      <c r="DO81" s="173">
        <f t="shared" si="257"/>
        <v>2.3334303621683743</v>
      </c>
      <c r="DQ81" s="545">
        <f t="shared" si="258"/>
        <v>760</v>
      </c>
      <c r="DR81" s="460">
        <f t="shared" si="259"/>
        <v>259.08806388397687</v>
      </c>
      <c r="DT81">
        <f t="shared" si="260"/>
        <v>760</v>
      </c>
      <c r="DU81">
        <f t="shared" si="261"/>
        <v>259.08806388397687</v>
      </c>
      <c r="DW81" s="5">
        <f t="shared" si="301"/>
        <v>3.8596915080110112</v>
      </c>
      <c r="DX81" s="5">
        <f t="shared" si="262"/>
        <v>1.5634805046456366</v>
      </c>
      <c r="DY81" s="5">
        <f t="shared" si="302"/>
        <v>2.2962110033653746</v>
      </c>
      <c r="DZ81" s="5">
        <f t="shared" si="263"/>
        <v>2.2962110033653751</v>
      </c>
      <c r="EA81" s="173">
        <f t="shared" si="303"/>
        <v>0.40507913686898112</v>
      </c>
      <c r="EB81" s="173">
        <f t="shared" si="264"/>
        <v>18.240000000000002</v>
      </c>
      <c r="EC81" s="173">
        <f t="shared" si="265"/>
        <v>0.74448979591836739</v>
      </c>
      <c r="ED81" s="173">
        <f t="shared" si="304"/>
        <v>24.5</v>
      </c>
      <c r="EE81" s="460">
        <f t="shared" si="266"/>
        <v>4.951021598044516</v>
      </c>
      <c r="EF81" s="5">
        <f t="shared" si="267"/>
        <v>1.4542669687980707</v>
      </c>
      <c r="EG81" s="5"/>
      <c r="EH81" s="173">
        <f t="shared" si="305"/>
        <v>1.3788372977436802</v>
      </c>
      <c r="EI81" s="173">
        <f t="shared" si="268"/>
        <v>1.1145473362601885</v>
      </c>
      <c r="EJ81" s="173"/>
      <c r="EK81" s="528">
        <f t="shared" si="269"/>
        <v>7.6047691745963777E-2</v>
      </c>
      <c r="EL81" s="528">
        <f t="shared" si="270"/>
        <v>1.0785390000000001</v>
      </c>
      <c r="EM81" s="528">
        <f t="shared" si="271"/>
        <v>5.181761277679537E-2</v>
      </c>
      <c r="EN81" s="528">
        <f t="shared" si="272"/>
        <v>7.3788645621710516E-2</v>
      </c>
      <c r="EO81">
        <f t="shared" si="273"/>
        <v>1.0800000000000001E-2</v>
      </c>
      <c r="EP81" s="460">
        <f t="shared" si="306"/>
        <v>62.617612776795369</v>
      </c>
      <c r="EQ81" s="528">
        <f t="shared" si="274"/>
        <v>1.3356597719206105</v>
      </c>
      <c r="ER81" s="460">
        <f t="shared" si="307"/>
        <v>1335.6597719206104</v>
      </c>
      <c r="ES81" s="528">
        <f t="shared" si="308"/>
        <v>0.65967999999999993</v>
      </c>
      <c r="ET81" s="528"/>
      <c r="EV81" s="460">
        <f t="shared" si="309"/>
        <v>659.68</v>
      </c>
      <c r="EW81" s="528">
        <f t="shared" si="275"/>
        <v>5.703576880947283E-2</v>
      </c>
      <c r="EX81" s="528">
        <f t="shared" si="276"/>
        <v>3.7266472942940457E-2</v>
      </c>
      <c r="EY81" s="528">
        <f t="shared" si="277"/>
        <v>1.4734920547744279</v>
      </c>
      <c r="EZ81" s="528">
        <f t="shared" si="278"/>
        <v>1.6025165064678333</v>
      </c>
      <c r="FA81" s="528">
        <f t="shared" si="279"/>
        <v>0.72960000000000014</v>
      </c>
      <c r="FB81" s="460">
        <f t="shared" si="310"/>
        <v>2332.1165064678335</v>
      </c>
      <c r="FC81" s="173">
        <f t="shared" si="311"/>
        <v>4.3274562783884445</v>
      </c>
      <c r="FD81" s="5">
        <f t="shared" si="312"/>
        <v>18.240000000000002</v>
      </c>
      <c r="FE81" s="173">
        <f t="shared" si="313"/>
        <v>0.80824350671136114</v>
      </c>
      <c r="FF81" s="5">
        <f t="shared" si="314"/>
        <v>80.824350671136116</v>
      </c>
      <c r="FI81" s="562">
        <f t="shared" si="280"/>
        <v>-50</v>
      </c>
      <c r="FJ81">
        <f t="shared" si="281"/>
        <v>-50</v>
      </c>
      <c r="FL81">
        <f t="shared" si="282"/>
        <v>0.59492086313101888</v>
      </c>
    </row>
    <row r="82" spans="5:168">
      <c r="E82" s="170">
        <v>77</v>
      </c>
      <c r="F82" s="217">
        <f t="shared" si="283"/>
        <v>0.77</v>
      </c>
      <c r="G82" s="217"/>
      <c r="H82" s="217">
        <f t="shared" si="183"/>
        <v>18.48</v>
      </c>
      <c r="I82" s="541">
        <f t="shared" si="184"/>
        <v>23.861184026051642</v>
      </c>
      <c r="J82" s="172">
        <f t="shared" si="185"/>
        <v>16.367967585643107</v>
      </c>
      <c r="K82" s="172">
        <f t="shared" si="186"/>
        <v>40.367967585643107</v>
      </c>
      <c r="L82" s="443"/>
      <c r="M82" s="217">
        <f t="shared" si="187"/>
        <v>0.40685993922360297</v>
      </c>
      <c r="N82" s="172">
        <f t="shared" si="188"/>
        <v>54.283715326011674</v>
      </c>
      <c r="O82" s="172">
        <f t="shared" si="284"/>
        <v>18.48</v>
      </c>
      <c r="P82" s="217">
        <f t="shared" si="189"/>
        <v>2.2618214719171532</v>
      </c>
      <c r="Q82" s="217">
        <f t="shared" si="190"/>
        <v>24</v>
      </c>
      <c r="R82" s="217">
        <f t="shared" si="191"/>
        <v>2.2472592320931888</v>
      </c>
      <c r="S82" s="172">
        <f t="shared" si="192"/>
        <v>136.51527289755828</v>
      </c>
      <c r="T82" s="172">
        <f t="shared" si="193"/>
        <v>24</v>
      </c>
      <c r="U82" s="217">
        <f t="shared" si="194"/>
        <v>3.8925807408611148</v>
      </c>
      <c r="V82" s="217">
        <f t="shared" si="195"/>
        <v>1.6313443358934725</v>
      </c>
      <c r="W82" s="217">
        <f t="shared" si="196"/>
        <v>2.3781698738671917</v>
      </c>
      <c r="X82" s="197">
        <f t="shared" si="197"/>
        <v>350</v>
      </c>
      <c r="Y82" s="443">
        <f t="shared" si="198"/>
        <v>237.5571028317911</v>
      </c>
      <c r="AA82" s="217">
        <f t="shared" si="199"/>
        <v>2.7738171453611229</v>
      </c>
      <c r="AB82" s="173">
        <f t="shared" si="200"/>
        <v>1.6946619247915244</v>
      </c>
      <c r="AC82" s="173">
        <f t="shared" si="201"/>
        <v>0.54868714176834854</v>
      </c>
      <c r="AD82" s="173"/>
      <c r="AE82" s="173">
        <f t="shared" si="202"/>
        <v>1.3576653366367906</v>
      </c>
      <c r="AF82" s="545">
        <f t="shared" si="203"/>
        <v>765.26996875304371</v>
      </c>
      <c r="AG82" s="528">
        <f t="shared" si="204"/>
        <v>0.35216330315317645</v>
      </c>
      <c r="AI82" s="173">
        <f t="shared" si="205"/>
        <v>3.2859488548341949</v>
      </c>
      <c r="AJ82" s="173">
        <f t="shared" si="206"/>
        <v>3.8925807408611148</v>
      </c>
      <c r="AK82" s="173">
        <f t="shared" si="207"/>
        <v>2.4373026063991796</v>
      </c>
      <c r="AM82" s="545">
        <f t="shared" si="208"/>
        <v>770</v>
      </c>
      <c r="AN82" s="460">
        <f t="shared" si="209"/>
        <v>237.5571028317911</v>
      </c>
      <c r="AP82">
        <f t="shared" si="210"/>
        <v>770</v>
      </c>
      <c r="AQ82">
        <f t="shared" si="211"/>
        <v>237.5571028317911</v>
      </c>
      <c r="AS82" s="5">
        <f t="shared" si="285"/>
        <v>4.2095142097606644</v>
      </c>
      <c r="AT82" s="5">
        <f t="shared" si="212"/>
        <v>1.6313443358934725</v>
      </c>
      <c r="AU82" s="5">
        <f t="shared" si="286"/>
        <v>2.5781698738671919</v>
      </c>
      <c r="AV82" s="5">
        <f t="shared" si="213"/>
        <v>2.3781698738671917</v>
      </c>
      <c r="AW82" s="173">
        <f t="shared" si="287"/>
        <v>0.38753743415590564</v>
      </c>
      <c r="AX82" s="173">
        <f t="shared" si="214"/>
        <v>17.9975456419523</v>
      </c>
      <c r="AY82" s="173">
        <f t="shared" si="215"/>
        <v>0.79508400609908525</v>
      </c>
      <c r="AZ82" s="173">
        <f t="shared" si="288"/>
        <v>22.636030285973835</v>
      </c>
      <c r="BA82" s="460">
        <f t="shared" si="216"/>
        <v>5.2338964109915578</v>
      </c>
      <c r="BB82" s="5">
        <f t="shared" si="217"/>
        <v>1.6639499537913174</v>
      </c>
      <c r="BC82" s="5"/>
      <c r="BD82" s="173">
        <f t="shared" si="289"/>
        <v>1.3990519204800356</v>
      </c>
      <c r="BE82" s="173">
        <f t="shared" si="218"/>
        <v>1.1731204643746342</v>
      </c>
      <c r="BF82" s="173"/>
      <c r="BG82" s="528">
        <f t="shared" si="219"/>
        <v>7.829385104795504E-2</v>
      </c>
      <c r="BH82" s="528">
        <f t="shared" si="220"/>
        <v>0.83989510907520359</v>
      </c>
      <c r="BI82" s="528">
        <f t="shared" si="221"/>
        <v>0.22673574989460166</v>
      </c>
      <c r="BJ82" s="528">
        <f t="shared" si="222"/>
        <v>6.7745404104582435E-2</v>
      </c>
      <c r="BK82">
        <f t="shared" si="223"/>
        <v>1.0737532811723238E-2</v>
      </c>
      <c r="BL82" s="460">
        <f t="shared" si="290"/>
        <v>237.47328270632491</v>
      </c>
      <c r="BM82" s="528">
        <f t="shared" si="224"/>
        <v>1.026163023783246</v>
      </c>
      <c r="BN82" s="460">
        <f t="shared" si="291"/>
        <v>1026.163023783246</v>
      </c>
      <c r="BO82" s="528">
        <f t="shared" si="225"/>
        <v>0.66835999999999995</v>
      </c>
      <c r="BP82" s="528"/>
      <c r="BR82" s="460">
        <f t="shared" si="292"/>
        <v>668.3599999999999</v>
      </c>
      <c r="BS82" s="528">
        <f t="shared" si="226"/>
        <v>5.872038828596627E-2</v>
      </c>
      <c r="BT82" s="528">
        <f t="shared" si="227"/>
        <v>4.1286348718036721E-2</v>
      </c>
      <c r="BU82" s="528">
        <f t="shared" si="228"/>
        <v>0.2772</v>
      </c>
      <c r="BV82" s="528">
        <f t="shared" si="229"/>
        <v>0.40444412486320436</v>
      </c>
      <c r="BW82" s="528">
        <f t="shared" si="230"/>
        <v>0.71990182567809213</v>
      </c>
      <c r="BX82" s="460">
        <f t="shared" si="293"/>
        <v>1124.3459505412966</v>
      </c>
      <c r="BY82" s="173">
        <f t="shared" si="231"/>
        <v>3.0563422570308676</v>
      </c>
      <c r="BZ82" s="5">
        <f t="shared" si="294"/>
        <v>18.48</v>
      </c>
      <c r="CA82" s="173">
        <f t="shared" si="295"/>
        <v>0.85808443139720825</v>
      </c>
      <c r="CB82" s="5">
        <f t="shared" si="296"/>
        <v>85.808443139720822</v>
      </c>
      <c r="CE82" s="562">
        <f t="shared" si="232"/>
        <v>-50</v>
      </c>
      <c r="CF82">
        <f t="shared" si="233"/>
        <v>-50</v>
      </c>
      <c r="CG82" s="173">
        <f t="shared" si="234"/>
        <v>0.58213469893934222</v>
      </c>
      <c r="CI82" s="170">
        <v>77</v>
      </c>
      <c r="CJ82" s="217">
        <f t="shared" si="297"/>
        <v>0.77</v>
      </c>
      <c r="CK82" s="217"/>
      <c r="CL82" s="217">
        <f t="shared" si="235"/>
        <v>18.48</v>
      </c>
      <c r="CM82" s="541">
        <f t="shared" si="236"/>
        <v>24</v>
      </c>
      <c r="CN82" s="172">
        <f t="shared" si="237"/>
        <v>16.3415</v>
      </c>
      <c r="CO82" s="443">
        <f t="shared" si="238"/>
        <v>40.341499999999996</v>
      </c>
      <c r="CP82" s="443"/>
      <c r="CQ82" s="217">
        <f t="shared" si="239"/>
        <v>0.40507913686898112</v>
      </c>
      <c r="CR82" s="172">
        <f t="shared" si="240"/>
        <v>54.360539956785601</v>
      </c>
      <c r="CS82" s="172">
        <f t="shared" si="298"/>
        <v>18.48</v>
      </c>
      <c r="CT82" s="217">
        <f t="shared" si="241"/>
        <v>2.2650224981994</v>
      </c>
      <c r="CU82" s="217">
        <f t="shared" si="242"/>
        <v>24</v>
      </c>
      <c r="CV82" s="217">
        <f t="shared" si="243"/>
        <v>2.250439649272117</v>
      </c>
      <c r="CW82" s="172">
        <f t="shared" si="244"/>
        <v>137.30871472189841</v>
      </c>
      <c r="CX82" s="172">
        <f t="shared" si="245"/>
        <v>24</v>
      </c>
      <c r="CY82" s="217">
        <f t="shared" si="246"/>
        <v>3.8017262797172844</v>
      </c>
      <c r="CZ82" s="217">
        <f t="shared" si="247"/>
        <v>1.5840526165488686</v>
      </c>
      <c r="DA82" s="217">
        <f t="shared" si="248"/>
        <v>2.3264243060412353</v>
      </c>
      <c r="DB82" s="197">
        <f t="shared" si="249"/>
        <v>350</v>
      </c>
      <c r="DC82" s="443">
        <f t="shared" si="299"/>
        <v>255.72328383353559</v>
      </c>
      <c r="DE82" s="217">
        <f t="shared" si="250"/>
        <v>2.7776855099587272</v>
      </c>
      <c r="DF82" s="173">
        <f t="shared" si="251"/>
        <v>1.6997738946600542</v>
      </c>
      <c r="DG82" s="173">
        <f t="shared" si="252"/>
        <v>0.55110977087390545</v>
      </c>
      <c r="DH82" s="173"/>
      <c r="DI82" s="173">
        <f t="shared" si="253"/>
        <v>1.3598642855443031</v>
      </c>
      <c r="DJ82" s="545">
        <f t="shared" si="300"/>
        <v>764.0324999999998</v>
      </c>
      <c r="DK82" s="528">
        <f t="shared" si="254"/>
        <v>0.35273368606701955</v>
      </c>
      <c r="DM82" s="173">
        <f t="shared" si="255"/>
        <v>3.2832910318764008</v>
      </c>
      <c r="DN82" s="173">
        <f t="shared" si="256"/>
        <v>3.8017262797172844</v>
      </c>
      <c r="DO82" s="173">
        <f t="shared" si="257"/>
        <v>2.3700030055518977</v>
      </c>
      <c r="DQ82" s="545">
        <f t="shared" si="258"/>
        <v>770</v>
      </c>
      <c r="DR82" s="460">
        <f t="shared" si="259"/>
        <v>255.72328383353559</v>
      </c>
      <c r="DT82">
        <f t="shared" si="260"/>
        <v>770</v>
      </c>
      <c r="DU82">
        <f t="shared" si="261"/>
        <v>255.72328383353559</v>
      </c>
      <c r="DW82" s="5">
        <f t="shared" si="301"/>
        <v>3.9104769225901044</v>
      </c>
      <c r="DX82" s="5">
        <f t="shared" si="262"/>
        <v>1.5840526165488686</v>
      </c>
      <c r="DY82" s="5">
        <f t="shared" si="302"/>
        <v>2.3264243060412357</v>
      </c>
      <c r="DZ82" s="5">
        <f t="shared" si="263"/>
        <v>2.3264243060412353</v>
      </c>
      <c r="EA82" s="173">
        <f t="shared" si="303"/>
        <v>0.40507913686898106</v>
      </c>
      <c r="EB82" s="173">
        <f t="shared" si="264"/>
        <v>18.480000000000004</v>
      </c>
      <c r="EC82" s="173">
        <f t="shared" si="265"/>
        <v>0.75428571428571445</v>
      </c>
      <c r="ED82" s="173">
        <f t="shared" si="304"/>
        <v>24.5</v>
      </c>
      <c r="EE82" s="460">
        <f t="shared" si="266"/>
        <v>5.0821688114276204</v>
      </c>
      <c r="EF82" s="5">
        <f t="shared" si="267"/>
        <v>1.4927889297097927</v>
      </c>
      <c r="EG82" s="5"/>
      <c r="EH82" s="173">
        <f t="shared" si="305"/>
        <v>1.3969798937666233</v>
      </c>
      <c r="EI82" s="173">
        <f t="shared" si="268"/>
        <v>1.1292124327899278</v>
      </c>
      <c r="EJ82" s="173"/>
      <c r="EK82" s="528">
        <f t="shared" si="269"/>
        <v>7.8062112943528258E-2</v>
      </c>
      <c r="EL82" s="528">
        <f t="shared" si="270"/>
        <v>1.0785389999999999</v>
      </c>
      <c r="EM82" s="528">
        <f t="shared" si="271"/>
        <v>5.1144656766707118E-2</v>
      </c>
      <c r="EN82" s="528">
        <f t="shared" si="272"/>
        <v>7.2830351522727252E-2</v>
      </c>
      <c r="EO82">
        <f t="shared" si="273"/>
        <v>1.0800000000000001E-2</v>
      </c>
      <c r="EP82" s="460">
        <f t="shared" si="306"/>
        <v>61.944656766707112</v>
      </c>
      <c r="EQ82" s="528">
        <f t="shared" si="274"/>
        <v>1.3372557197988311</v>
      </c>
      <c r="ER82" s="460">
        <f t="shared" si="307"/>
        <v>1337.255719798831</v>
      </c>
      <c r="ES82" s="528">
        <f t="shared" si="308"/>
        <v>0.66835999999999995</v>
      </c>
      <c r="ET82" s="528"/>
      <c r="EV82" s="460">
        <f t="shared" si="309"/>
        <v>668.3599999999999</v>
      </c>
      <c r="EW82" s="528">
        <f t="shared" si="275"/>
        <v>5.8546584707646183E-2</v>
      </c>
      <c r="EX82" s="528">
        <f t="shared" si="276"/>
        <v>3.8253621551020411E-2</v>
      </c>
      <c r="EY82" s="528">
        <f t="shared" si="277"/>
        <v>1.4734920547744284</v>
      </c>
      <c r="EZ82" s="528">
        <f t="shared" si="278"/>
        <v>1.6059608982305404</v>
      </c>
      <c r="FA82" s="528">
        <f t="shared" si="279"/>
        <v>0.73920000000000008</v>
      </c>
      <c r="FB82" s="460">
        <f t="shared" si="310"/>
        <v>2345.1608982305406</v>
      </c>
      <c r="FC82" s="173">
        <f t="shared" si="311"/>
        <v>4.3507766180293714</v>
      </c>
      <c r="FD82" s="5">
        <f t="shared" si="312"/>
        <v>18.48</v>
      </c>
      <c r="FE82" s="173">
        <f t="shared" si="313"/>
        <v>0.80943370035894524</v>
      </c>
      <c r="FF82" s="5">
        <f t="shared" si="314"/>
        <v>80.943370035894517</v>
      </c>
      <c r="FI82" s="562">
        <f t="shared" si="280"/>
        <v>-50</v>
      </c>
      <c r="FJ82">
        <f t="shared" si="281"/>
        <v>-50</v>
      </c>
      <c r="FL82">
        <f t="shared" si="282"/>
        <v>0.594920863131019</v>
      </c>
    </row>
    <row r="83" spans="5:168">
      <c r="E83" s="170">
        <v>78</v>
      </c>
      <c r="F83" s="217">
        <f t="shared" si="283"/>
        <v>0.78</v>
      </c>
      <c r="G83" s="217"/>
      <c r="H83" s="217">
        <f t="shared" si="183"/>
        <v>18.72</v>
      </c>
      <c r="I83" s="541">
        <f t="shared" si="184"/>
        <v>23.859420807342115</v>
      </c>
      <c r="J83" s="172">
        <f t="shared" si="185"/>
        <v>16.368303772761017</v>
      </c>
      <c r="K83" s="172">
        <f t="shared" si="186"/>
        <v>40.368303772761017</v>
      </c>
      <c r="L83" s="443"/>
      <c r="M83" s="217">
        <f t="shared" si="187"/>
        <v>0.40688273188862367</v>
      </c>
      <c r="N83" s="172">
        <f t="shared" si="188"/>
        <v>54.28274483733977</v>
      </c>
      <c r="O83" s="172">
        <f t="shared" si="284"/>
        <v>18.72</v>
      </c>
      <c r="P83" s="217">
        <f t="shared" si="189"/>
        <v>2.2617810348891569</v>
      </c>
      <c r="Q83" s="217">
        <f t="shared" si="190"/>
        <v>24</v>
      </c>
      <c r="R83" s="217">
        <f t="shared" si="191"/>
        <v>2.2472190554100995</v>
      </c>
      <c r="S83" s="172">
        <f t="shared" si="192"/>
        <v>134.30033138646667</v>
      </c>
      <c r="T83" s="172">
        <f t="shared" si="193"/>
        <v>24</v>
      </c>
      <c r="U83" s="217">
        <f t="shared" si="194"/>
        <v>3.9432852665966514</v>
      </c>
      <c r="V83" s="217">
        <f t="shared" si="195"/>
        <v>1.6527162576315384</v>
      </c>
      <c r="W83" s="217">
        <f t="shared" si="196"/>
        <v>2.4090982922487001</v>
      </c>
      <c r="X83" s="197">
        <f t="shared" si="197"/>
        <v>350</v>
      </c>
      <c r="Y83" s="443">
        <f t="shared" si="198"/>
        <v>234.6418381879383</v>
      </c>
      <c r="AA83" s="217">
        <f t="shared" si="199"/>
        <v>2.7737675353655624</v>
      </c>
      <c r="AB83" s="173">
        <f t="shared" si="200"/>
        <v>1.6945968097082069</v>
      </c>
      <c r="AC83" s="173">
        <f t="shared" si="201"/>
        <v>0.54865624626293008</v>
      </c>
      <c r="AD83" s="173"/>
      <c r="AE83" s="173">
        <f t="shared" si="202"/>
        <v>1.3576374516706422</v>
      </c>
      <c r="AF83" s="545">
        <f t="shared" si="203"/>
        <v>775.22446204125981</v>
      </c>
      <c r="AG83" s="528">
        <f t="shared" si="204"/>
        <v>0.35215607010279054</v>
      </c>
      <c r="AI83" s="173">
        <f t="shared" si="205"/>
        <v>3.3072513180896053</v>
      </c>
      <c r="AJ83" s="173">
        <f t="shared" si="206"/>
        <v>3.9432852665966514</v>
      </c>
      <c r="AK83" s="173">
        <f t="shared" si="207"/>
        <v>2.4748615143514288</v>
      </c>
      <c r="AM83" s="545">
        <f t="shared" si="208"/>
        <v>780</v>
      </c>
      <c r="AN83" s="460">
        <f t="shared" si="209"/>
        <v>234.6418381879383</v>
      </c>
      <c r="AP83">
        <f t="shared" si="210"/>
        <v>780</v>
      </c>
      <c r="AQ83">
        <f t="shared" si="211"/>
        <v>234.6418381879383</v>
      </c>
      <c r="AS83" s="5">
        <f t="shared" si="285"/>
        <v>4.2618145498802384</v>
      </c>
      <c r="AT83" s="5">
        <f t="shared" si="212"/>
        <v>1.6527162576315384</v>
      </c>
      <c r="AU83" s="5">
        <f t="shared" si="286"/>
        <v>2.6090982922487003</v>
      </c>
      <c r="AV83" s="5">
        <f t="shared" si="213"/>
        <v>2.4090982922487001</v>
      </c>
      <c r="AW83" s="173">
        <f t="shared" si="287"/>
        <v>0.38779638069375438</v>
      </c>
      <c r="AX83" s="173">
        <f t="shared" si="214"/>
        <v>18.242814782021878</v>
      </c>
      <c r="AY83" s="173">
        <f t="shared" si="215"/>
        <v>0.80510018630784919</v>
      </c>
      <c r="AZ83" s="173">
        <f t="shared" si="288"/>
        <v>22.659061682351052</v>
      </c>
      <c r="BA83" s="460">
        <f t="shared" si="216"/>
        <v>5.3713278373025002</v>
      </c>
      <c r="BB83" s="5">
        <f t="shared" si="217"/>
        <v>1.7059061780139593</v>
      </c>
      <c r="BC83" s="5"/>
      <c r="BD83" s="173">
        <f t="shared" si="289"/>
        <v>1.4177493096502993</v>
      </c>
      <c r="BE83" s="173">
        <f t="shared" si="218"/>
        <v>1.1881502098553329</v>
      </c>
      <c r="BF83" s="173"/>
      <c r="BG83" s="528">
        <f t="shared" si="219"/>
        <v>8.0400524200556017E-2</v>
      </c>
      <c r="BH83" s="528">
        <f t="shared" si="220"/>
        <v>0.84040120749851588</v>
      </c>
      <c r="BI83" s="528">
        <f t="shared" si="221"/>
        <v>0.22393673425337191</v>
      </c>
      <c r="BJ83" s="528">
        <f t="shared" si="222"/>
        <v>6.6915157340374731E-2</v>
      </c>
      <c r="BK83">
        <f t="shared" si="223"/>
        <v>1.0736739363303952E-2</v>
      </c>
      <c r="BL83" s="460">
        <f t="shared" si="290"/>
        <v>234.67347361667584</v>
      </c>
      <c r="BM83" s="528">
        <f t="shared" si="224"/>
        <v>1.0290837875020391</v>
      </c>
      <c r="BN83" s="460">
        <f t="shared" si="291"/>
        <v>1029.0837875020391</v>
      </c>
      <c r="BO83" s="528">
        <f t="shared" si="225"/>
        <v>0.67703999999999986</v>
      </c>
      <c r="BP83" s="528"/>
      <c r="BR83" s="460">
        <f t="shared" si="292"/>
        <v>677.03999999999985</v>
      </c>
      <c r="BS83" s="528">
        <f t="shared" si="226"/>
        <v>6.0300393150417013E-2</v>
      </c>
      <c r="BT83" s="528">
        <f t="shared" si="227"/>
        <v>4.2351027635378152E-2</v>
      </c>
      <c r="BU83" s="528">
        <f t="shared" si="228"/>
        <v>0.28079999999999999</v>
      </c>
      <c r="BV83" s="528">
        <f t="shared" si="229"/>
        <v>0.41146677368840695</v>
      </c>
      <c r="BW83" s="528">
        <f t="shared" si="230"/>
        <v>0.72971259128087507</v>
      </c>
      <c r="BX83" s="460">
        <f t="shared" si="293"/>
        <v>1141.179364969282</v>
      </c>
      <c r="BY83" s="173">
        <f t="shared" si="231"/>
        <v>3.0819766260879971</v>
      </c>
      <c r="BZ83" s="5">
        <f t="shared" si="294"/>
        <v>18.72</v>
      </c>
      <c r="CA83" s="173">
        <f t="shared" si="295"/>
        <v>0.85863774285492356</v>
      </c>
      <c r="CB83" s="5">
        <f t="shared" si="296"/>
        <v>85.863774285492354</v>
      </c>
      <c r="CE83" s="562">
        <f t="shared" si="232"/>
        <v>-50</v>
      </c>
      <c r="CF83">
        <f t="shared" si="233"/>
        <v>-50</v>
      </c>
      <c r="CG83" s="173">
        <f t="shared" si="234"/>
        <v>0.58229862412128663</v>
      </c>
      <c r="CI83" s="170">
        <v>78</v>
      </c>
      <c r="CJ83" s="217">
        <f t="shared" si="297"/>
        <v>0.78</v>
      </c>
      <c r="CK83" s="217"/>
      <c r="CL83" s="217">
        <f t="shared" si="235"/>
        <v>18.72</v>
      </c>
      <c r="CM83" s="541">
        <f t="shared" si="236"/>
        <v>24</v>
      </c>
      <c r="CN83" s="172">
        <f t="shared" si="237"/>
        <v>16.3415</v>
      </c>
      <c r="CO83" s="443">
        <f t="shared" si="238"/>
        <v>40.341499999999996</v>
      </c>
      <c r="CP83" s="443"/>
      <c r="CQ83" s="217">
        <f t="shared" si="239"/>
        <v>0.40507913686898112</v>
      </c>
      <c r="CR83" s="172">
        <f t="shared" si="240"/>
        <v>54.360539956785601</v>
      </c>
      <c r="CS83" s="172">
        <f t="shared" si="298"/>
        <v>18.72</v>
      </c>
      <c r="CT83" s="217">
        <f t="shared" si="241"/>
        <v>2.2650224981994</v>
      </c>
      <c r="CU83" s="217">
        <f t="shared" si="242"/>
        <v>24</v>
      </c>
      <c r="CV83" s="217">
        <f t="shared" si="243"/>
        <v>2.250439649272117</v>
      </c>
      <c r="CW83" s="172">
        <f t="shared" si="244"/>
        <v>135.0908479243875</v>
      </c>
      <c r="CX83" s="172">
        <f t="shared" si="245"/>
        <v>24</v>
      </c>
      <c r="CY83" s="217">
        <f t="shared" si="246"/>
        <v>3.8510993482850409</v>
      </c>
      <c r="CZ83" s="217">
        <f t="shared" si="247"/>
        <v>1.6046247284521005</v>
      </c>
      <c r="DA83" s="217">
        <f t="shared" si="248"/>
        <v>2.356637608717095</v>
      </c>
      <c r="DB83" s="197">
        <f t="shared" si="249"/>
        <v>350</v>
      </c>
      <c r="DC83" s="443">
        <f t="shared" si="299"/>
        <v>252.44478019464418</v>
      </c>
      <c r="DE83" s="217">
        <f t="shared" si="250"/>
        <v>2.7776855099587272</v>
      </c>
      <c r="DF83" s="173">
        <f t="shared" si="251"/>
        <v>1.6997738946600542</v>
      </c>
      <c r="DG83" s="173">
        <f t="shared" si="252"/>
        <v>0.55110977087390545</v>
      </c>
      <c r="DH83" s="173"/>
      <c r="DI83" s="173">
        <f t="shared" si="253"/>
        <v>1.3598642855443031</v>
      </c>
      <c r="DJ83" s="545">
        <f t="shared" si="300"/>
        <v>773.95499999999981</v>
      </c>
      <c r="DK83" s="528">
        <f t="shared" si="254"/>
        <v>0.35273368606701955</v>
      </c>
      <c r="DM83" s="173">
        <f t="shared" si="255"/>
        <v>3.3045423283716611</v>
      </c>
      <c r="DN83" s="173">
        <f t="shared" si="256"/>
        <v>3.8510993482850409</v>
      </c>
      <c r="DO83" s="173">
        <f t="shared" si="257"/>
        <v>2.4065756489354211</v>
      </c>
      <c r="DQ83" s="545">
        <f t="shared" si="258"/>
        <v>780</v>
      </c>
      <c r="DR83" s="460">
        <f t="shared" si="259"/>
        <v>252.44478019464418</v>
      </c>
      <c r="DT83">
        <f t="shared" si="260"/>
        <v>780</v>
      </c>
      <c r="DU83">
        <f t="shared" si="261"/>
        <v>252.44478019464418</v>
      </c>
      <c r="DW83" s="5">
        <f t="shared" si="301"/>
        <v>3.9612623371691953</v>
      </c>
      <c r="DX83" s="5">
        <f t="shared" si="262"/>
        <v>1.6046247284521005</v>
      </c>
      <c r="DY83" s="5">
        <f t="shared" si="302"/>
        <v>2.3566376087170946</v>
      </c>
      <c r="DZ83" s="5">
        <f t="shared" si="263"/>
        <v>2.356637608717095</v>
      </c>
      <c r="EA83" s="173">
        <f t="shared" si="303"/>
        <v>0.40507913686898112</v>
      </c>
      <c r="EB83" s="173">
        <f t="shared" si="264"/>
        <v>18.72</v>
      </c>
      <c r="EC83" s="173">
        <f t="shared" si="265"/>
        <v>0.76408163265306117</v>
      </c>
      <c r="ED83" s="173">
        <f t="shared" si="304"/>
        <v>24.5</v>
      </c>
      <c r="EE83" s="460">
        <f t="shared" si="266"/>
        <v>5.2150303674693266</v>
      </c>
      <c r="EF83" s="5">
        <f t="shared" si="267"/>
        <v>1.5318144456661111</v>
      </c>
      <c r="EG83" s="5"/>
      <c r="EH83" s="173">
        <f t="shared" si="305"/>
        <v>1.4151224897895662</v>
      </c>
      <c r="EI83" s="173">
        <f t="shared" si="268"/>
        <v>1.143877529319667</v>
      </c>
      <c r="EJ83" s="173"/>
      <c r="EK83" s="528">
        <f t="shared" si="269"/>
        <v>8.0102866444328846E-2</v>
      </c>
      <c r="EL83" s="528">
        <f t="shared" si="270"/>
        <v>1.0785390000000001</v>
      </c>
      <c r="EM83" s="528">
        <f t="shared" si="271"/>
        <v>5.0488956038928834E-2</v>
      </c>
      <c r="EN83" s="528">
        <f t="shared" si="272"/>
        <v>7.1896629067307691E-2</v>
      </c>
      <c r="EO83">
        <f t="shared" si="273"/>
        <v>1.0800000000000001E-2</v>
      </c>
      <c r="EP83" s="460">
        <f t="shared" si="306"/>
        <v>61.288956038928838</v>
      </c>
      <c r="EQ83" s="528">
        <f t="shared" si="274"/>
        <v>1.3389384934598783</v>
      </c>
      <c r="ER83" s="460">
        <f t="shared" si="307"/>
        <v>1338.9384934598781</v>
      </c>
      <c r="ES83" s="528">
        <f t="shared" si="308"/>
        <v>0.67703999999999986</v>
      </c>
      <c r="ET83" s="528"/>
      <c r="EV83" s="460">
        <f t="shared" si="309"/>
        <v>677.03999999999985</v>
      </c>
      <c r="EW83" s="528">
        <f t="shared" si="275"/>
        <v>6.0077149833246635E-2</v>
      </c>
      <c r="EX83" s="528">
        <f t="shared" si="276"/>
        <v>3.9253674062473973E-2</v>
      </c>
      <c r="EY83" s="528">
        <f t="shared" si="277"/>
        <v>1.4734920547744272</v>
      </c>
      <c r="EZ83" s="528">
        <f t="shared" si="278"/>
        <v>1.6094517297117334</v>
      </c>
      <c r="FA83" s="528">
        <f t="shared" si="279"/>
        <v>0.74880000000000013</v>
      </c>
      <c r="FB83" s="460">
        <f t="shared" si="310"/>
        <v>2358.2517297117338</v>
      </c>
      <c r="FC83" s="173">
        <f t="shared" si="311"/>
        <v>4.3742302231716117</v>
      </c>
      <c r="FD83" s="5">
        <f t="shared" si="312"/>
        <v>18.72</v>
      </c>
      <c r="FE83" s="173">
        <f t="shared" si="313"/>
        <v>0.81059207512434317</v>
      </c>
      <c r="FF83" s="5">
        <f t="shared" si="314"/>
        <v>81.059207512434313</v>
      </c>
      <c r="FI83" s="562">
        <f t="shared" si="280"/>
        <v>-50</v>
      </c>
      <c r="FJ83">
        <f t="shared" si="281"/>
        <v>-50</v>
      </c>
      <c r="FL83">
        <f t="shared" si="282"/>
        <v>0.59492086313101888</v>
      </c>
    </row>
    <row r="84" spans="5:168">
      <c r="E84" s="170">
        <v>79</v>
      </c>
      <c r="F84" s="217">
        <f t="shared" si="283"/>
        <v>0.79</v>
      </c>
      <c r="G84" s="217"/>
      <c r="H84" s="217">
        <f t="shared" si="183"/>
        <v>18.96</v>
      </c>
      <c r="I84" s="541">
        <f t="shared" si="184"/>
        <v>23.8576575669147</v>
      </c>
      <c r="J84" s="172">
        <f t="shared" si="185"/>
        <v>16.36863996401981</v>
      </c>
      <c r="K84" s="172">
        <f t="shared" si="186"/>
        <v>40.368639964019806</v>
      </c>
      <c r="L84" s="443"/>
      <c r="M84" s="217">
        <f t="shared" si="187"/>
        <v>0.40690552639031791</v>
      </c>
      <c r="N84" s="172">
        <f t="shared" si="188"/>
        <v>54.281774094837488</v>
      </c>
      <c r="O84" s="172">
        <f t="shared" si="284"/>
        <v>18.96</v>
      </c>
      <c r="P84" s="217">
        <f t="shared" si="189"/>
        <v>2.2617405872848955</v>
      </c>
      <c r="Q84" s="217">
        <f t="shared" si="190"/>
        <v>24</v>
      </c>
      <c r="R84" s="217">
        <f t="shared" si="191"/>
        <v>2.2471788682188372</v>
      </c>
      <c r="S84" s="172">
        <f t="shared" si="192"/>
        <v>132.14159938503875</v>
      </c>
      <c r="T84" s="172">
        <f t="shared" si="193"/>
        <v>24</v>
      </c>
      <c r="U84" s="217">
        <f t="shared" si="194"/>
        <v>3.9939937018580709</v>
      </c>
      <c r="V84" s="217">
        <f t="shared" si="195"/>
        <v>1.6740929785985603</v>
      </c>
      <c r="W84" s="217">
        <f t="shared" si="196"/>
        <v>2.4400278279914143</v>
      </c>
      <c r="X84" s="197">
        <f t="shared" si="197"/>
        <v>350</v>
      </c>
      <c r="Y84" s="443">
        <f t="shared" si="198"/>
        <v>231.79693959252691</v>
      </c>
      <c r="AA84" s="217">
        <f t="shared" si="199"/>
        <v>2.7737179128183631</v>
      </c>
      <c r="AB84" s="173">
        <f t="shared" si="200"/>
        <v>1.6945316892028419</v>
      </c>
      <c r="AC84" s="173">
        <f t="shared" si="201"/>
        <v>0.5486253472735434</v>
      </c>
      <c r="AD84" s="173"/>
      <c r="AE84" s="173">
        <f t="shared" si="202"/>
        <v>1.3576095675064805</v>
      </c>
      <c r="AF84" s="545">
        <f t="shared" si="203"/>
        <v>785.17936379132493</v>
      </c>
      <c r="AG84" s="528">
        <f t="shared" si="204"/>
        <v>0.35214883726043095</v>
      </c>
      <c r="AI84" s="173">
        <f t="shared" si="205"/>
        <v>3.3284183103322289</v>
      </c>
      <c r="AJ84" s="173">
        <f t="shared" si="206"/>
        <v>3.9939937018580709</v>
      </c>
      <c r="AK84" s="173">
        <f t="shared" si="207"/>
        <v>2.5124233182487767</v>
      </c>
      <c r="AM84" s="545">
        <f t="shared" si="208"/>
        <v>790</v>
      </c>
      <c r="AN84" s="460">
        <f t="shared" si="209"/>
        <v>231.79693959252691</v>
      </c>
      <c r="AP84">
        <f t="shared" si="210"/>
        <v>790</v>
      </c>
      <c r="AQ84">
        <f t="shared" si="211"/>
        <v>231.79693959252691</v>
      </c>
      <c r="AS84" s="5">
        <f t="shared" si="285"/>
        <v>4.3141208065899752</v>
      </c>
      <c r="AT84" s="5">
        <f t="shared" si="212"/>
        <v>1.6740929785985603</v>
      </c>
      <c r="AU84" s="5">
        <f t="shared" si="286"/>
        <v>2.6400278279914149</v>
      </c>
      <c r="AV84" s="5">
        <f t="shared" si="213"/>
        <v>2.4400278279914143</v>
      </c>
      <c r="AW84" s="173">
        <f t="shared" si="287"/>
        <v>0.38804962903248397</v>
      </c>
      <c r="AX84" s="173">
        <f t="shared" si="214"/>
        <v>18.488107317387477</v>
      </c>
      <c r="AY84" s="173">
        <f t="shared" si="215"/>
        <v>0.81511599681923874</v>
      </c>
      <c r="AZ84" s="173">
        <f t="shared" si="288"/>
        <v>22.681566046467157</v>
      </c>
      <c r="BA84" s="460">
        <f t="shared" si="216"/>
        <v>5.5105560545535948</v>
      </c>
      <c r="BB84" s="5">
        <f t="shared" si="217"/>
        <v>1.7483878945479663</v>
      </c>
      <c r="BC84" s="5"/>
      <c r="BD84" s="173">
        <f t="shared" si="289"/>
        <v>1.4364495732561131</v>
      </c>
      <c r="BE84" s="173">
        <f t="shared" si="218"/>
        <v>1.2031802195586296</v>
      </c>
      <c r="BF84" s="173"/>
      <c r="BG84" s="528">
        <f t="shared" si="219"/>
        <v>8.2535495060306788E-2</v>
      </c>
      <c r="BH84" s="528">
        <f t="shared" si="220"/>
        <v>0.84089488274369228</v>
      </c>
      <c r="BI84" s="528">
        <f t="shared" si="221"/>
        <v>0.22120528039429277</v>
      </c>
      <c r="BJ84" s="528">
        <f t="shared" si="222"/>
        <v>6.6104950227560841E-2</v>
      </c>
      <c r="BK84">
        <f t="shared" si="223"/>
        <v>1.0735945905111614E-2</v>
      </c>
      <c r="BL84" s="460">
        <f t="shared" si="290"/>
        <v>231.94122629940438</v>
      </c>
      <c r="BM84" s="528">
        <f t="shared" si="224"/>
        <v>1.0320590369402116</v>
      </c>
      <c r="BN84" s="460">
        <f t="shared" si="291"/>
        <v>1032.0590369402116</v>
      </c>
      <c r="BO84" s="528">
        <f t="shared" si="225"/>
        <v>0.68571999999999989</v>
      </c>
      <c r="BP84" s="528"/>
      <c r="BR84" s="460">
        <f t="shared" si="292"/>
        <v>685.71999999999991</v>
      </c>
      <c r="BS84" s="528">
        <f t="shared" si="226"/>
        <v>6.1901621295230087E-2</v>
      </c>
      <c r="BT84" s="528">
        <f t="shared" si="227"/>
        <v>4.3429279222114571E-2</v>
      </c>
      <c r="BU84" s="528">
        <f t="shared" si="228"/>
        <v>0.28439999999999999</v>
      </c>
      <c r="BV84" s="528">
        <f t="shared" si="229"/>
        <v>0.41853710787933579</v>
      </c>
      <c r="BW84" s="528">
        <f t="shared" si="230"/>
        <v>0.73952429269549913</v>
      </c>
      <c r="BX84" s="460">
        <f t="shared" si="293"/>
        <v>1158.0614005748348</v>
      </c>
      <c r="BY84" s="173">
        <f t="shared" si="231"/>
        <v>3.1077816638144506</v>
      </c>
      <c r="BZ84" s="5">
        <f t="shared" si="294"/>
        <v>18.96</v>
      </c>
      <c r="CA84" s="173">
        <f t="shared" si="295"/>
        <v>0.85917108882265125</v>
      </c>
      <c r="CB84" s="5">
        <f t="shared" si="296"/>
        <v>85.917108882265126</v>
      </c>
      <c r="CE84" s="562">
        <f t="shared" si="232"/>
        <v>-50</v>
      </c>
      <c r="CF84">
        <f t="shared" si="233"/>
        <v>-50</v>
      </c>
      <c r="CG84" s="173">
        <f t="shared" si="234"/>
        <v>0.5824583992986252</v>
      </c>
      <c r="CI84" s="170">
        <v>79</v>
      </c>
      <c r="CJ84" s="217">
        <f t="shared" si="297"/>
        <v>0.79</v>
      </c>
      <c r="CK84" s="217"/>
      <c r="CL84" s="217">
        <f t="shared" si="235"/>
        <v>18.96</v>
      </c>
      <c r="CM84" s="541">
        <f t="shared" si="236"/>
        <v>24</v>
      </c>
      <c r="CN84" s="172">
        <f t="shared" si="237"/>
        <v>16.3415</v>
      </c>
      <c r="CO84" s="443">
        <f t="shared" si="238"/>
        <v>40.341499999999996</v>
      </c>
      <c r="CP84" s="443"/>
      <c r="CQ84" s="217">
        <f t="shared" si="239"/>
        <v>0.40507913686898112</v>
      </c>
      <c r="CR84" s="172">
        <f t="shared" si="240"/>
        <v>54.360539956785601</v>
      </c>
      <c r="CS84" s="172">
        <f t="shared" si="298"/>
        <v>18.96</v>
      </c>
      <c r="CT84" s="217">
        <f t="shared" si="241"/>
        <v>2.2650224981994</v>
      </c>
      <c r="CU84" s="217">
        <f t="shared" si="242"/>
        <v>24</v>
      </c>
      <c r="CV84" s="217">
        <f t="shared" si="243"/>
        <v>2.250439649272117</v>
      </c>
      <c r="CW84" s="172">
        <f t="shared" si="244"/>
        <v>132.92919790158126</v>
      </c>
      <c r="CX84" s="172">
        <f t="shared" si="245"/>
        <v>24</v>
      </c>
      <c r="CY84" s="217">
        <f t="shared" si="246"/>
        <v>3.9004724168527982</v>
      </c>
      <c r="CZ84" s="217">
        <f t="shared" si="247"/>
        <v>1.6251968403553327</v>
      </c>
      <c r="DA84" s="217">
        <f t="shared" si="248"/>
        <v>2.3868509113929557</v>
      </c>
      <c r="DB84" s="197">
        <f t="shared" si="249"/>
        <v>350</v>
      </c>
      <c r="DC84" s="443">
        <f t="shared" si="299"/>
        <v>249.24927664787646</v>
      </c>
      <c r="DE84" s="217">
        <f t="shared" si="250"/>
        <v>2.7776855099587272</v>
      </c>
      <c r="DF84" s="173">
        <f t="shared" si="251"/>
        <v>1.6997738946600542</v>
      </c>
      <c r="DG84" s="173">
        <f t="shared" si="252"/>
        <v>0.55110977087390545</v>
      </c>
      <c r="DH84" s="173"/>
      <c r="DI84" s="173">
        <f t="shared" si="253"/>
        <v>1.3598642855443031</v>
      </c>
      <c r="DJ84" s="545">
        <f t="shared" si="300"/>
        <v>783.87749999999971</v>
      </c>
      <c r="DK84" s="528">
        <f t="shared" si="254"/>
        <v>0.35273368606701955</v>
      </c>
      <c r="DM84" s="173">
        <f t="shared" si="255"/>
        <v>3.3256578296631778</v>
      </c>
      <c r="DN84" s="173">
        <f t="shared" si="256"/>
        <v>3.9004724168527982</v>
      </c>
      <c r="DO84" s="173">
        <f t="shared" si="257"/>
        <v>2.4431482923189449</v>
      </c>
      <c r="DQ84" s="545">
        <f t="shared" si="258"/>
        <v>790</v>
      </c>
      <c r="DR84" s="460">
        <f t="shared" si="259"/>
        <v>249.24927664787646</v>
      </c>
      <c r="DT84">
        <f t="shared" si="260"/>
        <v>790</v>
      </c>
      <c r="DU84">
        <f t="shared" si="261"/>
        <v>249.24927664787646</v>
      </c>
      <c r="DW84" s="5">
        <f t="shared" si="301"/>
        <v>4.0120477517482893</v>
      </c>
      <c r="DX84" s="5">
        <f t="shared" si="262"/>
        <v>1.6251968403553327</v>
      </c>
      <c r="DY84" s="5">
        <f t="shared" si="302"/>
        <v>2.3868509113929566</v>
      </c>
      <c r="DZ84" s="5">
        <f t="shared" si="263"/>
        <v>2.3868509113929557</v>
      </c>
      <c r="EA84" s="173">
        <f t="shared" si="303"/>
        <v>0.405079136868981</v>
      </c>
      <c r="EB84" s="173">
        <f t="shared" si="264"/>
        <v>18.96</v>
      </c>
      <c r="EC84" s="173">
        <f t="shared" si="265"/>
        <v>0.77387755102040834</v>
      </c>
      <c r="ED84" s="173">
        <f t="shared" si="304"/>
        <v>24.499999999999996</v>
      </c>
      <c r="EE84" s="460">
        <f t="shared" si="266"/>
        <v>5.3496062661696371</v>
      </c>
      <c r="EF84" s="5">
        <f t="shared" si="267"/>
        <v>1.5713435166670295</v>
      </c>
      <c r="EG84" s="5"/>
      <c r="EH84" s="173">
        <f t="shared" si="305"/>
        <v>1.4332650858125093</v>
      </c>
      <c r="EI84" s="173">
        <f t="shared" si="268"/>
        <v>1.1585426258494065</v>
      </c>
      <c r="EJ84" s="173"/>
      <c r="EK84" s="528">
        <f t="shared" si="269"/>
        <v>8.2169952248365596E-2</v>
      </c>
      <c r="EL84" s="528">
        <f t="shared" si="270"/>
        <v>1.0785389999999999</v>
      </c>
      <c r="EM84" s="528">
        <f t="shared" si="271"/>
        <v>4.9849855329575289E-2</v>
      </c>
      <c r="EN84" s="528">
        <f t="shared" si="272"/>
        <v>7.0986545155063266E-2</v>
      </c>
      <c r="EO84">
        <f t="shared" si="273"/>
        <v>1.0800000000000001E-2</v>
      </c>
      <c r="EP84" s="460">
        <f t="shared" si="306"/>
        <v>60.649855329575288</v>
      </c>
      <c r="EQ84" s="528">
        <f t="shared" si="274"/>
        <v>1.3407066339414553</v>
      </c>
      <c r="ER84" s="460">
        <f t="shared" si="307"/>
        <v>1340.7066339414553</v>
      </c>
      <c r="ES84" s="528">
        <f t="shared" si="308"/>
        <v>0.68571999999999989</v>
      </c>
      <c r="ET84" s="528"/>
      <c r="EV84" s="460">
        <f t="shared" si="309"/>
        <v>685.71999999999991</v>
      </c>
      <c r="EW84" s="528">
        <f t="shared" si="275"/>
        <v>6.162746418627419E-2</v>
      </c>
      <c r="EX84" s="528">
        <f t="shared" si="276"/>
        <v>4.0266630477301134E-2</v>
      </c>
      <c r="EY84" s="528">
        <f t="shared" si="277"/>
        <v>1.4734920547744257</v>
      </c>
      <c r="EZ84" s="528">
        <f t="shared" si="278"/>
        <v>1.6129890569299095</v>
      </c>
      <c r="FA84" s="528">
        <f t="shared" si="279"/>
        <v>0.75839999999999996</v>
      </c>
      <c r="FB84" s="460">
        <f t="shared" si="310"/>
        <v>2371.3890569299092</v>
      </c>
      <c r="FC84" s="173">
        <f t="shared" si="311"/>
        <v>4.397815690871365</v>
      </c>
      <c r="FD84" s="5">
        <f t="shared" si="312"/>
        <v>18.96</v>
      </c>
      <c r="FE84" s="173">
        <f t="shared" si="313"/>
        <v>0.81171973659377294</v>
      </c>
      <c r="FF84" s="5">
        <f t="shared" si="314"/>
        <v>81.171973659377301</v>
      </c>
      <c r="FI84" s="562">
        <f t="shared" si="280"/>
        <v>-50</v>
      </c>
      <c r="FJ84">
        <f t="shared" si="281"/>
        <v>-50</v>
      </c>
      <c r="FL84">
        <f t="shared" si="282"/>
        <v>0.594920863131019</v>
      </c>
    </row>
    <row r="85" spans="5:168">
      <c r="E85" s="170">
        <v>80</v>
      </c>
      <c r="F85" s="217">
        <f t="shared" si="283"/>
        <v>0.8</v>
      </c>
      <c r="G85" s="217"/>
      <c r="H85" s="217">
        <f t="shared" si="183"/>
        <v>19.200000000000003</v>
      </c>
      <c r="I85" s="541">
        <f t="shared" si="184"/>
        <v>23.855894305601016</v>
      </c>
      <c r="J85" s="172">
        <f t="shared" si="185"/>
        <v>16.368976159260917</v>
      </c>
      <c r="K85" s="172">
        <f t="shared" si="186"/>
        <v>40.368976159260917</v>
      </c>
      <c r="L85" s="443"/>
      <c r="M85" s="217">
        <f t="shared" si="187"/>
        <v>0.40692832272050505</v>
      </c>
      <c r="N85" s="172">
        <f t="shared" si="188"/>
        <v>54.280803099243201</v>
      </c>
      <c r="O85" s="172">
        <f t="shared" si="284"/>
        <v>19.200000000000003</v>
      </c>
      <c r="P85" s="217">
        <f t="shared" si="189"/>
        <v>2.2617001291351335</v>
      </c>
      <c r="Q85" s="217">
        <f t="shared" si="190"/>
        <v>24</v>
      </c>
      <c r="R85" s="217">
        <f t="shared" si="191"/>
        <v>2.2471386705499699</v>
      </c>
      <c r="S85" s="172">
        <f t="shared" si="192"/>
        <v>130.03696971245296</v>
      </c>
      <c r="T85" s="172">
        <f t="shared" si="193"/>
        <v>24</v>
      </c>
      <c r="U85" s="217">
        <f t="shared" si="194"/>
        <v>4.0447060475114798</v>
      </c>
      <c r="V85" s="217">
        <f t="shared" si="195"/>
        <v>1.6954745002210385</v>
      </c>
      <c r="W85" s="217">
        <f t="shared" si="196"/>
        <v>2.4709584815560657</v>
      </c>
      <c r="X85" s="197">
        <f t="shared" si="197"/>
        <v>350</v>
      </c>
      <c r="Y85" s="443">
        <f t="shared" si="198"/>
        <v>229.01988972999368</v>
      </c>
      <c r="AA85" s="217">
        <f t="shared" si="199"/>
        <v>2.7736682777412258</v>
      </c>
      <c r="AB85" s="173">
        <f t="shared" si="200"/>
        <v>1.6944665633054847</v>
      </c>
      <c r="AC85" s="173">
        <f t="shared" si="201"/>
        <v>0.54859444481459152</v>
      </c>
      <c r="AD85" s="173"/>
      <c r="AE85" s="173">
        <f t="shared" si="202"/>
        <v>1.3575816841574282</v>
      </c>
      <c r="AF85" s="545">
        <f t="shared" si="203"/>
        <v>795.13467400307889</v>
      </c>
      <c r="AG85" s="528">
        <f t="shared" si="204"/>
        <v>0.35214160462950184</v>
      </c>
      <c r="AI85" s="173">
        <f t="shared" si="205"/>
        <v>3.3494523999054162</v>
      </c>
      <c r="AJ85" s="173">
        <f t="shared" si="206"/>
        <v>4.0447060475114798</v>
      </c>
      <c r="AK85" s="173">
        <f t="shared" si="207"/>
        <v>2.5499880187327832</v>
      </c>
      <c r="AM85" s="545">
        <f t="shared" si="208"/>
        <v>800</v>
      </c>
      <c r="AN85" s="460">
        <f t="shared" si="209"/>
        <v>229.01988972999368</v>
      </c>
      <c r="AP85">
        <f t="shared" si="210"/>
        <v>800</v>
      </c>
      <c r="AQ85">
        <f t="shared" si="211"/>
        <v>229.01988972999368</v>
      </c>
      <c r="AS85" s="5">
        <f t="shared" si="285"/>
        <v>4.3664329817771046</v>
      </c>
      <c r="AT85" s="5">
        <f t="shared" si="212"/>
        <v>1.6954745002210385</v>
      </c>
      <c r="AU85" s="5">
        <f t="shared" si="286"/>
        <v>2.6709584815560659</v>
      </c>
      <c r="AV85" s="5">
        <f t="shared" si="213"/>
        <v>2.4709584815560657</v>
      </c>
      <c r="AW85" s="173">
        <f t="shared" si="287"/>
        <v>0.38829738308063838</v>
      </c>
      <c r="AX85" s="173">
        <f t="shared" si="214"/>
        <v>18.733422772147634</v>
      </c>
      <c r="AY85" s="173">
        <f t="shared" si="215"/>
        <v>0.82513145085643536</v>
      </c>
      <c r="AZ85" s="173">
        <f t="shared" si="288"/>
        <v>22.703561660028232</v>
      </c>
      <c r="BA85" s="460">
        <f t="shared" si="216"/>
        <v>5.6515816674034625</v>
      </c>
      <c r="BB85" s="5">
        <f t="shared" si="217"/>
        <v>1.7913952483794924</v>
      </c>
      <c r="BC85" s="5"/>
      <c r="BD85" s="173">
        <f t="shared" si="289"/>
        <v>1.4551526978759863</v>
      </c>
      <c r="BE85" s="173">
        <f t="shared" si="218"/>
        <v>1.2182105047715743</v>
      </c>
      <c r="BF85" s="173"/>
      <c r="BG85" s="528">
        <f t="shared" si="219"/>
        <v>8.4698774965430476E-2</v>
      </c>
      <c r="BH85" s="528">
        <f t="shared" si="220"/>
        <v>0.84137657909889574</v>
      </c>
      <c r="BI85" s="528">
        <f t="shared" si="221"/>
        <v>0.21853897133116515</v>
      </c>
      <c r="BJ85" s="528">
        <f t="shared" si="222"/>
        <v>6.5314065855569578E-2</v>
      </c>
      <c r="BK85">
        <f t="shared" si="223"/>
        <v>1.0735152437520457E-2</v>
      </c>
      <c r="BL85" s="460">
        <f t="shared" si="290"/>
        <v>229.2741237686856</v>
      </c>
      <c r="BM85" s="528">
        <f t="shared" si="224"/>
        <v>1.0350886572821343</v>
      </c>
      <c r="BN85" s="460">
        <f t="shared" si="291"/>
        <v>1035.0886572821344</v>
      </c>
      <c r="BO85" s="528">
        <f t="shared" si="225"/>
        <v>0.69439999999999991</v>
      </c>
      <c r="BP85" s="528"/>
      <c r="BR85" s="460">
        <f t="shared" si="292"/>
        <v>694.39999999999986</v>
      </c>
      <c r="BS85" s="528">
        <f t="shared" si="226"/>
        <v>6.3524081224072854E-2</v>
      </c>
      <c r="BT85" s="528">
        <f t="shared" si="227"/>
        <v>4.4521105018074415E-2</v>
      </c>
      <c r="BU85" s="528">
        <f t="shared" si="228"/>
        <v>0.28800000000000003</v>
      </c>
      <c r="BV85" s="528">
        <f t="shared" si="229"/>
        <v>0.42565523083550799</v>
      </c>
      <c r="BW85" s="528">
        <f t="shared" si="230"/>
        <v>0.74933691088590515</v>
      </c>
      <c r="BX85" s="460">
        <f t="shared" si="293"/>
        <v>1174.9921417214132</v>
      </c>
      <c r="BY85" s="173">
        <f t="shared" si="231"/>
        <v>3.1337549227722326</v>
      </c>
      <c r="BZ85" s="5">
        <f t="shared" si="294"/>
        <v>19.200000000000003</v>
      </c>
      <c r="CA85" s="173">
        <f t="shared" si="295"/>
        <v>0.85968526413903856</v>
      </c>
      <c r="CB85" s="5">
        <f t="shared" si="296"/>
        <v>85.968526413903859</v>
      </c>
      <c r="CE85" s="562">
        <f t="shared" si="232"/>
        <v>-50</v>
      </c>
      <c r="CF85">
        <f t="shared" si="233"/>
        <v>-50</v>
      </c>
      <c r="CG85" s="173">
        <f t="shared" si="234"/>
        <v>0.5826141800965301</v>
      </c>
      <c r="CI85" s="170">
        <v>80</v>
      </c>
      <c r="CJ85" s="217">
        <f t="shared" si="297"/>
        <v>0.8</v>
      </c>
      <c r="CK85" s="217"/>
      <c r="CL85" s="217">
        <f t="shared" si="235"/>
        <v>19.200000000000003</v>
      </c>
      <c r="CM85" s="541">
        <f t="shared" si="236"/>
        <v>24</v>
      </c>
      <c r="CN85" s="172">
        <f t="shared" si="237"/>
        <v>16.3415</v>
      </c>
      <c r="CO85" s="443">
        <f t="shared" si="238"/>
        <v>40.341499999999996</v>
      </c>
      <c r="CP85" s="443"/>
      <c r="CQ85" s="217">
        <f t="shared" si="239"/>
        <v>0.40507913686898112</v>
      </c>
      <c r="CR85" s="172">
        <f t="shared" si="240"/>
        <v>54.360539956785601</v>
      </c>
      <c r="CS85" s="172">
        <f t="shared" si="298"/>
        <v>19.200000000000003</v>
      </c>
      <c r="CT85" s="217">
        <f t="shared" si="241"/>
        <v>2.2650224981994</v>
      </c>
      <c r="CU85" s="217">
        <f t="shared" si="242"/>
        <v>24</v>
      </c>
      <c r="CV85" s="217">
        <f t="shared" si="243"/>
        <v>2.250439649272117</v>
      </c>
      <c r="CW85" s="172">
        <f t="shared" si="244"/>
        <v>130.82165719494472</v>
      </c>
      <c r="CX85" s="172">
        <f t="shared" si="245"/>
        <v>24</v>
      </c>
      <c r="CY85" s="217">
        <f t="shared" si="246"/>
        <v>3.9498454854205556</v>
      </c>
      <c r="CZ85" s="217">
        <f t="shared" si="247"/>
        <v>1.6457689522585648</v>
      </c>
      <c r="DA85" s="217">
        <f t="shared" si="248"/>
        <v>2.4170642140688159</v>
      </c>
      <c r="DB85" s="197">
        <f t="shared" si="249"/>
        <v>350</v>
      </c>
      <c r="DC85" s="443">
        <f t="shared" si="299"/>
        <v>246.13366068977803</v>
      </c>
      <c r="DE85" s="217">
        <f t="shared" si="250"/>
        <v>2.7776855099587272</v>
      </c>
      <c r="DF85" s="173">
        <f t="shared" si="251"/>
        <v>1.6997738946600542</v>
      </c>
      <c r="DG85" s="173">
        <f t="shared" si="252"/>
        <v>0.55110977087390545</v>
      </c>
      <c r="DH85" s="173"/>
      <c r="DI85" s="173">
        <f t="shared" si="253"/>
        <v>1.3598642855443031</v>
      </c>
      <c r="DJ85" s="545">
        <f t="shared" si="300"/>
        <v>793.79999999999973</v>
      </c>
      <c r="DK85" s="528">
        <f t="shared" si="254"/>
        <v>0.35273368606701955</v>
      </c>
      <c r="DM85" s="173">
        <f t="shared" si="255"/>
        <v>3.3466401061363023</v>
      </c>
      <c r="DN85" s="173">
        <f t="shared" si="256"/>
        <v>3.9498454854205556</v>
      </c>
      <c r="DO85" s="173">
        <f t="shared" si="257"/>
        <v>2.4797209357024688</v>
      </c>
      <c r="DQ85" s="545">
        <f t="shared" si="258"/>
        <v>800</v>
      </c>
      <c r="DR85" s="460">
        <f t="shared" si="259"/>
        <v>246.13366068977803</v>
      </c>
      <c r="DT85">
        <f t="shared" si="260"/>
        <v>800</v>
      </c>
      <c r="DU85">
        <f t="shared" si="261"/>
        <v>246.13366068977803</v>
      </c>
      <c r="DW85" s="5">
        <f t="shared" si="301"/>
        <v>4.0628331663273807</v>
      </c>
      <c r="DX85" s="5">
        <f t="shared" si="262"/>
        <v>1.6457689522585648</v>
      </c>
      <c r="DY85" s="5">
        <f t="shared" si="302"/>
        <v>2.4170642140688159</v>
      </c>
      <c r="DZ85" s="5">
        <f t="shared" si="263"/>
        <v>2.4170642140688159</v>
      </c>
      <c r="EA85" s="173">
        <f t="shared" si="303"/>
        <v>0.40507913686898106</v>
      </c>
      <c r="EB85" s="173">
        <f t="shared" si="264"/>
        <v>19.200000000000006</v>
      </c>
      <c r="EC85" s="173">
        <f t="shared" si="265"/>
        <v>0.78367346938775539</v>
      </c>
      <c r="ED85" s="173">
        <f t="shared" si="304"/>
        <v>24.5</v>
      </c>
      <c r="EE85" s="460">
        <f t="shared" si="266"/>
        <v>5.4858965075285502</v>
      </c>
      <c r="EF85" s="5">
        <f t="shared" si="267"/>
        <v>1.6113761427125441</v>
      </c>
      <c r="EG85" s="5"/>
      <c r="EH85" s="173">
        <f t="shared" si="305"/>
        <v>1.4514076818354529</v>
      </c>
      <c r="EI85" s="173">
        <f t="shared" si="268"/>
        <v>1.1732077223791459</v>
      </c>
      <c r="EJ85" s="173"/>
      <c r="EK85" s="528">
        <f t="shared" si="269"/>
        <v>8.4263370355638523E-2</v>
      </c>
      <c r="EL85" s="528">
        <f t="shared" si="270"/>
        <v>1.0785389999999999</v>
      </c>
      <c r="EM85" s="528">
        <f t="shared" si="271"/>
        <v>4.9226732137955601E-2</v>
      </c>
      <c r="EN85" s="528">
        <f t="shared" si="272"/>
        <v>7.009921334062498E-2</v>
      </c>
      <c r="EO85">
        <f t="shared" si="273"/>
        <v>1.0800000000000001E-2</v>
      </c>
      <c r="EP85" s="460">
        <f t="shared" si="306"/>
        <v>60.026732137955605</v>
      </c>
      <c r="EQ85" s="528">
        <f t="shared" si="274"/>
        <v>1.3425587636859349</v>
      </c>
      <c r="ER85" s="460">
        <f t="shared" si="307"/>
        <v>1342.5587636859348</v>
      </c>
      <c r="ES85" s="528">
        <f t="shared" si="308"/>
        <v>0.69439999999999991</v>
      </c>
      <c r="ET85" s="528"/>
      <c r="EV85" s="460">
        <f t="shared" si="309"/>
        <v>694.39999999999986</v>
      </c>
      <c r="EW85" s="528">
        <f t="shared" si="275"/>
        <v>6.3197527766728892E-2</v>
      </c>
      <c r="EX85" s="528">
        <f t="shared" si="276"/>
        <v>4.1292490795501895E-2</v>
      </c>
      <c r="EY85" s="528">
        <f t="shared" si="277"/>
        <v>1.4734920547744264</v>
      </c>
      <c r="EZ85" s="528">
        <f t="shared" si="278"/>
        <v>1.6165729366845019</v>
      </c>
      <c r="FA85" s="528">
        <f t="shared" si="279"/>
        <v>0.76800000000000024</v>
      </c>
      <c r="FB85" s="460">
        <f t="shared" si="310"/>
        <v>2384.5729366845017</v>
      </c>
      <c r="FC85" s="173">
        <f t="shared" si="311"/>
        <v>4.4215317003704371</v>
      </c>
      <c r="FD85" s="5">
        <f t="shared" si="312"/>
        <v>19.200000000000003</v>
      </c>
      <c r="FE85" s="173">
        <f t="shared" si="313"/>
        <v>0.81281773949057257</v>
      </c>
      <c r="FF85" s="5">
        <f t="shared" si="314"/>
        <v>81.281773949057254</v>
      </c>
      <c r="FI85" s="562">
        <f t="shared" si="280"/>
        <v>-50</v>
      </c>
      <c r="FJ85">
        <f t="shared" si="281"/>
        <v>-50</v>
      </c>
      <c r="FL85">
        <f t="shared" si="282"/>
        <v>0.594920863131019</v>
      </c>
    </row>
    <row r="86" spans="5:168">
      <c r="E86" s="170">
        <v>81</v>
      </c>
      <c r="F86" s="217">
        <f t="shared" si="283"/>
        <v>0.81</v>
      </c>
      <c r="G86" s="217"/>
      <c r="H86" s="217">
        <f t="shared" si="183"/>
        <v>19.440000000000001</v>
      </c>
      <c r="I86" s="541">
        <f t="shared" si="184"/>
        <v>23.854131024190767</v>
      </c>
      <c r="J86" s="172">
        <f t="shared" si="185"/>
        <v>16.369312358333769</v>
      </c>
      <c r="K86" s="172">
        <f t="shared" si="186"/>
        <v>40.369312358333772</v>
      </c>
      <c r="L86" s="443"/>
      <c r="M86" s="217">
        <f t="shared" si="187"/>
        <v>0.40695112087142554</v>
      </c>
      <c r="N86" s="172">
        <f t="shared" si="188"/>
        <v>54.279831851256816</v>
      </c>
      <c r="O86" s="172">
        <f t="shared" si="284"/>
        <v>19.440000000000001</v>
      </c>
      <c r="P86" s="217">
        <f t="shared" si="189"/>
        <v>2.261659660469034</v>
      </c>
      <c r="Q86" s="217">
        <f t="shared" si="190"/>
        <v>24</v>
      </c>
      <c r="R86" s="217">
        <f t="shared" si="191"/>
        <v>2.2470984624324717</v>
      </c>
      <c r="S86" s="172">
        <f t="shared" si="192"/>
        <v>127.98443925450003</v>
      </c>
      <c r="T86" s="172">
        <f t="shared" si="193"/>
        <v>24</v>
      </c>
      <c r="U86" s="217">
        <f t="shared" si="194"/>
        <v>4.0954223044233009</v>
      </c>
      <c r="V86" s="217">
        <f t="shared" si="195"/>
        <v>1.7168608239260879</v>
      </c>
      <c r="W86" s="217">
        <f t="shared" si="196"/>
        <v>2.5018902534035181</v>
      </c>
      <c r="X86" s="197">
        <f t="shared" si="197"/>
        <v>350</v>
      </c>
      <c r="Y86" s="443">
        <f t="shared" si="198"/>
        <v>226.30828994430081</v>
      </c>
      <c r="AA86" s="217">
        <f t="shared" si="199"/>
        <v>2.7736186301546923</v>
      </c>
      <c r="AB86" s="173">
        <f t="shared" si="200"/>
        <v>1.6944014320446501</v>
      </c>
      <c r="AC86" s="173">
        <f t="shared" si="201"/>
        <v>0.54856353889974829</v>
      </c>
      <c r="AD86" s="173"/>
      <c r="AE86" s="173">
        <f t="shared" si="202"/>
        <v>1.3575538016359427</v>
      </c>
      <c r="AF86" s="545">
        <f t="shared" si="203"/>
        <v>805.09039267637047</v>
      </c>
      <c r="AG86" s="528">
        <f t="shared" si="204"/>
        <v>0.35213437221323429</v>
      </c>
      <c r="AI86" s="173">
        <f t="shared" si="205"/>
        <v>3.3703560751106423</v>
      </c>
      <c r="AJ86" s="173">
        <f t="shared" si="206"/>
        <v>4.0954223044233009</v>
      </c>
      <c r="AK86" s="173">
        <f t="shared" si="207"/>
        <v>2.5875556164452433</v>
      </c>
      <c r="AM86" s="545">
        <f t="shared" si="208"/>
        <v>810</v>
      </c>
      <c r="AN86" s="460">
        <f t="shared" si="209"/>
        <v>226.30828994430081</v>
      </c>
      <c r="AP86">
        <f t="shared" si="210"/>
        <v>810</v>
      </c>
      <c r="AQ86">
        <f t="shared" si="211"/>
        <v>226.30828994430081</v>
      </c>
      <c r="AS86" s="5">
        <f t="shared" si="285"/>
        <v>4.4187510773296053</v>
      </c>
      <c r="AT86" s="5">
        <f t="shared" si="212"/>
        <v>1.7168608239260879</v>
      </c>
      <c r="AU86" s="5">
        <f t="shared" si="286"/>
        <v>2.7018902534035174</v>
      </c>
      <c r="AV86" s="5">
        <f t="shared" si="213"/>
        <v>2.5018902534035181</v>
      </c>
      <c r="AW86" s="173">
        <f t="shared" si="287"/>
        <v>0.38853983713507634</v>
      </c>
      <c r="AX86" s="173">
        <f t="shared" si="214"/>
        <v>18.978760692833614</v>
      </c>
      <c r="AY86" s="173">
        <f t="shared" si="215"/>
        <v>0.83514656101931484</v>
      </c>
      <c r="AZ86" s="173">
        <f t="shared" si="288"/>
        <v>22.725065968863738</v>
      </c>
      <c r="BA86" s="460">
        <f t="shared" si="216"/>
        <v>5.7944052807505466</v>
      </c>
      <c r="BB86" s="5">
        <f t="shared" si="217"/>
        <v>1.8349283845531261</v>
      </c>
      <c r="BC86" s="5"/>
      <c r="BD86" s="173">
        <f t="shared" si="289"/>
        <v>1.4738586707504526</v>
      </c>
      <c r="BE86" s="173">
        <f t="shared" si="218"/>
        <v>1.2332410762589316</v>
      </c>
      <c r="BF86" s="173"/>
      <c r="BG86" s="528">
        <f t="shared" si="219"/>
        <v>8.689037525385164E-2</v>
      </c>
      <c r="BH86" s="528">
        <f t="shared" si="220"/>
        <v>0.84184671990970528</v>
      </c>
      <c r="BI86" s="528">
        <f t="shared" si="221"/>
        <v>0.21593550400767622</v>
      </c>
      <c r="BJ86" s="528">
        <f t="shared" si="222"/>
        <v>6.4541821107102965E-2</v>
      </c>
      <c r="BK86">
        <f t="shared" si="223"/>
        <v>1.0734358960885844E-2</v>
      </c>
      <c r="BL86" s="460">
        <f t="shared" si="290"/>
        <v>226.66986296856206</v>
      </c>
      <c r="BM86" s="528">
        <f t="shared" si="224"/>
        <v>1.0381725488674021</v>
      </c>
      <c r="BN86" s="460">
        <f t="shared" si="291"/>
        <v>1038.1725488674022</v>
      </c>
      <c r="BO86" s="528">
        <f t="shared" si="225"/>
        <v>0.70307999999999993</v>
      </c>
      <c r="BP86" s="528"/>
      <c r="BR86" s="460">
        <f t="shared" si="292"/>
        <v>703.07999999999993</v>
      </c>
      <c r="BS86" s="528">
        <f t="shared" si="226"/>
        <v>6.516778144038872E-2</v>
      </c>
      <c r="BT86" s="528">
        <f t="shared" si="227"/>
        <v>4.5626506565168638E-2</v>
      </c>
      <c r="BU86" s="528">
        <f t="shared" si="228"/>
        <v>0.29160000000000003</v>
      </c>
      <c r="BV86" s="528">
        <f t="shared" si="229"/>
        <v>0.43282124687740792</v>
      </c>
      <c r="BW86" s="528">
        <f t="shared" si="230"/>
        <v>0.75915042771334451</v>
      </c>
      <c r="BX86" s="460">
        <f t="shared" si="293"/>
        <v>1191.9716745907524</v>
      </c>
      <c r="BY86" s="173">
        <f t="shared" si="231"/>
        <v>3.159894086426716</v>
      </c>
      <c r="BZ86" s="5">
        <f t="shared" si="294"/>
        <v>19.440000000000001</v>
      </c>
      <c r="CA86" s="173">
        <f t="shared" si="295"/>
        <v>0.86018102233830751</v>
      </c>
      <c r="CB86" s="5">
        <f t="shared" si="296"/>
        <v>86.018102233830746</v>
      </c>
      <c r="CE86" s="562">
        <f t="shared" si="232"/>
        <v>-50</v>
      </c>
      <c r="CF86">
        <f t="shared" si="233"/>
        <v>-50</v>
      </c>
      <c r="CG86" s="173">
        <f t="shared" si="234"/>
        <v>0.5827661144549805</v>
      </c>
      <c r="CI86" s="170">
        <v>81</v>
      </c>
      <c r="CJ86" s="217">
        <f t="shared" si="297"/>
        <v>0.81</v>
      </c>
      <c r="CK86" s="217"/>
      <c r="CL86" s="217">
        <f t="shared" si="235"/>
        <v>19.440000000000001</v>
      </c>
      <c r="CM86" s="541">
        <f t="shared" si="236"/>
        <v>24</v>
      </c>
      <c r="CN86" s="172">
        <f t="shared" si="237"/>
        <v>16.3415</v>
      </c>
      <c r="CO86" s="443">
        <f t="shared" si="238"/>
        <v>40.341499999999996</v>
      </c>
      <c r="CP86" s="443"/>
      <c r="CQ86" s="217">
        <f t="shared" si="239"/>
        <v>0.40507913686898112</v>
      </c>
      <c r="CR86" s="172">
        <f t="shared" si="240"/>
        <v>54.360539956785601</v>
      </c>
      <c r="CS86" s="172">
        <f t="shared" si="298"/>
        <v>19.440000000000001</v>
      </c>
      <c r="CT86" s="217">
        <f t="shared" si="241"/>
        <v>2.2650224981994</v>
      </c>
      <c r="CU86" s="217">
        <f t="shared" si="242"/>
        <v>24</v>
      </c>
      <c r="CV86" s="217">
        <f t="shared" si="243"/>
        <v>2.250439649272117</v>
      </c>
      <c r="CW86" s="172">
        <f t="shared" si="244"/>
        <v>128.7662224265724</v>
      </c>
      <c r="CX86" s="172">
        <f t="shared" si="245"/>
        <v>24</v>
      </c>
      <c r="CY86" s="217">
        <f t="shared" si="246"/>
        <v>3.9992185539883121</v>
      </c>
      <c r="CZ86" s="217">
        <f t="shared" si="247"/>
        <v>1.6663410641617971</v>
      </c>
      <c r="DA86" s="217">
        <f t="shared" si="248"/>
        <v>2.4472775167446761</v>
      </c>
      <c r="DB86" s="197">
        <f t="shared" si="249"/>
        <v>350</v>
      </c>
      <c r="DC86" s="443">
        <f t="shared" si="299"/>
        <v>243.09497352076843</v>
      </c>
      <c r="DE86" s="217">
        <f t="shared" si="250"/>
        <v>2.7776855099587272</v>
      </c>
      <c r="DF86" s="173">
        <f t="shared" si="251"/>
        <v>1.6997738946600542</v>
      </c>
      <c r="DG86" s="173">
        <f t="shared" si="252"/>
        <v>0.55110977087390545</v>
      </c>
      <c r="DH86" s="173"/>
      <c r="DI86" s="173">
        <f t="shared" si="253"/>
        <v>1.3598642855443031</v>
      </c>
      <c r="DJ86" s="545">
        <f t="shared" si="300"/>
        <v>803.72249999999974</v>
      </c>
      <c r="DK86" s="528">
        <f t="shared" si="254"/>
        <v>0.35273368606701955</v>
      </c>
      <c r="DM86" s="173">
        <f t="shared" si="255"/>
        <v>3.3674916480965473</v>
      </c>
      <c r="DN86" s="173">
        <f t="shared" si="256"/>
        <v>3.9992185539883121</v>
      </c>
      <c r="DO86" s="173">
        <f t="shared" si="257"/>
        <v>2.5162935790859926</v>
      </c>
      <c r="DQ86" s="545">
        <f t="shared" si="258"/>
        <v>810</v>
      </c>
      <c r="DR86" s="460">
        <f t="shared" si="259"/>
        <v>243.09497352076843</v>
      </c>
      <c r="DT86">
        <f t="shared" si="260"/>
        <v>810</v>
      </c>
      <c r="DU86">
        <f t="shared" si="261"/>
        <v>243.09497352076843</v>
      </c>
      <c r="DW86" s="5">
        <f t="shared" si="301"/>
        <v>4.1136185809064729</v>
      </c>
      <c r="DX86" s="5">
        <f t="shared" si="262"/>
        <v>1.6663410641617971</v>
      </c>
      <c r="DY86" s="5">
        <f t="shared" si="302"/>
        <v>2.4472775167446761</v>
      </c>
      <c r="DZ86" s="5">
        <f t="shared" si="263"/>
        <v>2.4472775167446761</v>
      </c>
      <c r="EA86" s="173">
        <f t="shared" si="303"/>
        <v>0.40507913686898112</v>
      </c>
      <c r="EB86" s="173">
        <f t="shared" si="264"/>
        <v>19.440000000000001</v>
      </c>
      <c r="EC86" s="173">
        <f t="shared" si="265"/>
        <v>0.79346938775510201</v>
      </c>
      <c r="ED86" s="173">
        <f t="shared" si="304"/>
        <v>24.500000000000004</v>
      </c>
      <c r="EE86" s="460">
        <f t="shared" si="266"/>
        <v>5.6239010915460659</v>
      </c>
      <c r="EF86" s="5">
        <f t="shared" si="267"/>
        <v>1.6519123238026563</v>
      </c>
      <c r="EG86" s="5"/>
      <c r="EH86" s="173">
        <f t="shared" si="305"/>
        <v>1.469550277858396</v>
      </c>
      <c r="EI86" s="173">
        <f t="shared" si="268"/>
        <v>1.187872818908885</v>
      </c>
      <c r="EJ86" s="173"/>
      <c r="EK86" s="528">
        <f t="shared" si="269"/>
        <v>8.6383120766147542E-2</v>
      </c>
      <c r="EL86" s="528">
        <f t="shared" si="270"/>
        <v>1.0785389999999999</v>
      </c>
      <c r="EM86" s="528">
        <f t="shared" si="271"/>
        <v>4.8618994704153679E-2</v>
      </c>
      <c r="EN86" s="528">
        <f t="shared" si="272"/>
        <v>6.9233790953703689E-2</v>
      </c>
      <c r="EO86">
        <f t="shared" si="273"/>
        <v>1.0800000000000001E-2</v>
      </c>
      <c r="EP86" s="460">
        <f t="shared" si="306"/>
        <v>59.418994704153683</v>
      </c>
      <c r="EQ86" s="528">
        <f t="shared" si="274"/>
        <v>1.3444935816513695</v>
      </c>
      <c r="ER86" s="460">
        <f t="shared" si="307"/>
        <v>1344.4935816513694</v>
      </c>
      <c r="ES86" s="528">
        <f t="shared" si="308"/>
        <v>0.70307999999999993</v>
      </c>
      <c r="ET86" s="528"/>
      <c r="EV86" s="460">
        <f t="shared" si="309"/>
        <v>703.07999999999993</v>
      </c>
      <c r="EW86" s="528">
        <f t="shared" si="275"/>
        <v>6.4787340574610663E-2</v>
      </c>
      <c r="EX86" s="528">
        <f t="shared" si="276"/>
        <v>4.2331255017076214E-2</v>
      </c>
      <c r="EY86" s="528">
        <f t="shared" si="277"/>
        <v>1.4734920547744277</v>
      </c>
      <c r="EZ86" s="528">
        <f t="shared" si="278"/>
        <v>1.6202034265581795</v>
      </c>
      <c r="FA86" s="528">
        <f t="shared" si="279"/>
        <v>0.77760000000000018</v>
      </c>
      <c r="FB86" s="460">
        <f t="shared" si="310"/>
        <v>2397.8034265581796</v>
      </c>
      <c r="FC86" s="173">
        <f t="shared" si="311"/>
        <v>4.4453770082095492</v>
      </c>
      <c r="FD86" s="5">
        <f t="shared" si="312"/>
        <v>19.440000000000001</v>
      </c>
      <c r="FE86" s="173">
        <f t="shared" si="313"/>
        <v>0.81388709055412245</v>
      </c>
      <c r="FF86" s="5">
        <f t="shared" si="314"/>
        <v>81.388709055412249</v>
      </c>
      <c r="FI86" s="562">
        <f t="shared" si="280"/>
        <v>-50</v>
      </c>
      <c r="FJ86">
        <f t="shared" si="281"/>
        <v>-50</v>
      </c>
      <c r="FL86">
        <f t="shared" si="282"/>
        <v>0.59492086313101888</v>
      </c>
    </row>
    <row r="87" spans="5:168">
      <c r="E87" s="170">
        <v>82</v>
      </c>
      <c r="F87" s="217">
        <f t="shared" si="283"/>
        <v>0.82</v>
      </c>
      <c r="G87" s="217"/>
      <c r="H87" s="217">
        <f t="shared" si="183"/>
        <v>19.68</v>
      </c>
      <c r="I87" s="541">
        <f t="shared" si="184"/>
        <v>23.852367723434337</v>
      </c>
      <c r="J87" s="172">
        <f t="shared" si="185"/>
        <v>16.369648561095296</v>
      </c>
      <c r="K87" s="172">
        <f t="shared" si="186"/>
        <v>40.369648561095296</v>
      </c>
      <c r="L87" s="443"/>
      <c r="M87" s="217">
        <f t="shared" si="187"/>
        <v>0.4069739208357146</v>
      </c>
      <c r="N87" s="172">
        <f t="shared" si="188"/>
        <v>54.278860351542143</v>
      </c>
      <c r="O87" s="172">
        <f t="shared" si="284"/>
        <v>19.68</v>
      </c>
      <c r="P87" s="217">
        <f t="shared" si="189"/>
        <v>2.2616191813142561</v>
      </c>
      <c r="Q87" s="217">
        <f t="shared" si="190"/>
        <v>24</v>
      </c>
      <c r="R87" s="217">
        <f t="shared" si="191"/>
        <v>2.2470582438938242</v>
      </c>
      <c r="S87" s="172">
        <f t="shared" si="192"/>
        <v>125.98210261820935</v>
      </c>
      <c r="T87" s="172">
        <f t="shared" si="193"/>
        <v>24</v>
      </c>
      <c r="U87" s="217">
        <f t="shared" si="194"/>
        <v>4.1461424734602659</v>
      </c>
      <c r="V87" s="217">
        <f t="shared" si="195"/>
        <v>1.7382519511414323</v>
      </c>
      <c r="W87" s="217">
        <f t="shared" si="196"/>
        <v>2.5328231439947584</v>
      </c>
      <c r="X87" s="197">
        <f t="shared" si="197"/>
        <v>350</v>
      </c>
      <c r="Y87" s="443">
        <f t="shared" si="198"/>
        <v>223.65985332875286</v>
      </c>
      <c r="AA87" s="217">
        <f t="shared" si="199"/>
        <v>2.7735689700782191</v>
      </c>
      <c r="AB87" s="173">
        <f t="shared" si="200"/>
        <v>1.6943362954474079</v>
      </c>
      <c r="AC87" s="173">
        <f t="shared" si="201"/>
        <v>0.5485326295420041</v>
      </c>
      <c r="AD87" s="173"/>
      <c r="AE87" s="173">
        <f t="shared" si="202"/>
        <v>1.3575259199538572</v>
      </c>
      <c r="AF87" s="545">
        <f t="shared" si="203"/>
        <v>815.04651981105633</v>
      </c>
      <c r="AG87" s="528">
        <f t="shared" si="204"/>
        <v>0.3521271400146978</v>
      </c>
      <c r="AI87" s="173">
        <f t="shared" si="205"/>
        <v>3.3911317476562299</v>
      </c>
      <c r="AJ87" s="173">
        <f t="shared" si="206"/>
        <v>4.1461424734602659</v>
      </c>
      <c r="AK87" s="173">
        <f t="shared" si="207"/>
        <v>2.6251261120281804</v>
      </c>
      <c r="AM87" s="545">
        <f t="shared" si="208"/>
        <v>820</v>
      </c>
      <c r="AN87" s="460">
        <f t="shared" si="209"/>
        <v>223.65985332875286</v>
      </c>
      <c r="AP87">
        <f t="shared" si="210"/>
        <v>820</v>
      </c>
      <c r="AQ87">
        <f t="shared" si="211"/>
        <v>223.65985332875286</v>
      </c>
      <c r="AS87" s="5">
        <f t="shared" si="285"/>
        <v>4.4710750951361904</v>
      </c>
      <c r="AT87" s="5">
        <f t="shared" si="212"/>
        <v>1.7382519511414323</v>
      </c>
      <c r="AU87" s="5">
        <f t="shared" si="286"/>
        <v>2.7328231439947581</v>
      </c>
      <c r="AV87" s="5">
        <f t="shared" si="213"/>
        <v>2.5328231439947584</v>
      </c>
      <c r="AW87" s="173">
        <f t="shared" si="287"/>
        <v>0.38877717644071119</v>
      </c>
      <c r="AX87" s="173">
        <f t="shared" si="214"/>
        <v>19.224120647103099</v>
      </c>
      <c r="AY87" s="173">
        <f t="shared" si="215"/>
        <v>0.84516133932074378</v>
      </c>
      <c r="AZ87" s="173">
        <f t="shared" si="288"/>
        <v>22.746095630159239</v>
      </c>
      <c r="BA87" s="460">
        <f t="shared" si="216"/>
        <v>5.9390274997332266</v>
      </c>
      <c r="BB87" s="5">
        <f t="shared" si="217"/>
        <v>1.8789874481719147</v>
      </c>
      <c r="BC87" s="5"/>
      <c r="BD87" s="173">
        <f t="shared" si="289"/>
        <v>1.4925674797432162</v>
      </c>
      <c r="BE87" s="173">
        <f t="shared" si="218"/>
        <v>1.2482719442933441</v>
      </c>
      <c r="BF87" s="173"/>
      <c r="BG87" s="528">
        <f t="shared" si="219"/>
        <v>8.9110307263480654E-2</v>
      </c>
      <c r="BH87" s="528">
        <f t="shared" si="220"/>
        <v>0.84230570879871713</v>
      </c>
      <c r="BI87" s="528">
        <f t="shared" si="221"/>
        <v>0.21339268266267208</v>
      </c>
      <c r="BJ87" s="528">
        <f t="shared" si="222"/>
        <v>6.3787564690170537E-2</v>
      </c>
      <c r="BK87">
        <f t="shared" si="223"/>
        <v>1.0733565475545451E-2</v>
      </c>
      <c r="BL87" s="460">
        <f t="shared" si="290"/>
        <v>224.12624813821753</v>
      </c>
      <c r="BM87" s="528">
        <f t="shared" si="224"/>
        <v>1.041310626461158</v>
      </c>
      <c r="BN87" s="460">
        <f t="shared" si="291"/>
        <v>1041.3106264611581</v>
      </c>
      <c r="BO87" s="528">
        <f t="shared" si="225"/>
        <v>0.71175999999999995</v>
      </c>
      <c r="BP87" s="528"/>
      <c r="BR87" s="460">
        <f t="shared" si="292"/>
        <v>711.76</v>
      </c>
      <c r="BS87" s="528">
        <f t="shared" si="226"/>
        <v>6.6832730447610483E-2</v>
      </c>
      <c r="BT87" s="528">
        <f t="shared" si="227"/>
        <v>4.6745485407296561E-2</v>
      </c>
      <c r="BU87" s="528">
        <f t="shared" si="228"/>
        <v>0.29519999999999996</v>
      </c>
      <c r="BV87" s="528">
        <f t="shared" si="229"/>
        <v>0.44003526125097536</v>
      </c>
      <c r="BW87" s="528">
        <f t="shared" si="230"/>
        <v>0.76896482588412396</v>
      </c>
      <c r="BX87" s="460">
        <f t="shared" si="293"/>
        <v>1209.0000871350992</v>
      </c>
      <c r="BY87" s="173">
        <f t="shared" si="231"/>
        <v>3.186196961734475</v>
      </c>
      <c r="BZ87" s="5">
        <f t="shared" si="294"/>
        <v>19.68</v>
      </c>
      <c r="CA87" s="173">
        <f t="shared" si="295"/>
        <v>0.86065907824259413</v>
      </c>
      <c r="CB87" s="5">
        <f t="shared" si="296"/>
        <v>86.065907824259412</v>
      </c>
      <c r="CE87" s="562">
        <f t="shared" si="232"/>
        <v>-50</v>
      </c>
      <c r="CF87">
        <f t="shared" si="233"/>
        <v>-50</v>
      </c>
      <c r="CG87" s="173">
        <f t="shared" si="234"/>
        <v>0.58291434309737133</v>
      </c>
      <c r="CI87" s="170">
        <v>82</v>
      </c>
      <c r="CJ87" s="217">
        <f t="shared" si="297"/>
        <v>0.82</v>
      </c>
      <c r="CK87" s="217"/>
      <c r="CL87" s="217">
        <f t="shared" si="235"/>
        <v>19.68</v>
      </c>
      <c r="CM87" s="541">
        <f t="shared" si="236"/>
        <v>24</v>
      </c>
      <c r="CN87" s="172">
        <f t="shared" si="237"/>
        <v>16.3415</v>
      </c>
      <c r="CO87" s="443">
        <f t="shared" si="238"/>
        <v>40.341499999999996</v>
      </c>
      <c r="CP87" s="443"/>
      <c r="CQ87" s="217">
        <f t="shared" si="239"/>
        <v>0.40507913686898112</v>
      </c>
      <c r="CR87" s="172">
        <f t="shared" si="240"/>
        <v>54.360539956785601</v>
      </c>
      <c r="CS87" s="172">
        <f t="shared" si="298"/>
        <v>19.68</v>
      </c>
      <c r="CT87" s="217">
        <f t="shared" si="241"/>
        <v>2.2650224981994</v>
      </c>
      <c r="CU87" s="217">
        <f t="shared" si="242"/>
        <v>24</v>
      </c>
      <c r="CV87" s="217">
        <f t="shared" si="243"/>
        <v>2.250439649272117</v>
      </c>
      <c r="CW87" s="172">
        <f t="shared" si="244"/>
        <v>126.76098795294337</v>
      </c>
      <c r="CX87" s="172">
        <f t="shared" si="245"/>
        <v>24</v>
      </c>
      <c r="CY87" s="217">
        <f t="shared" si="246"/>
        <v>4.048591622556069</v>
      </c>
      <c r="CZ87" s="217">
        <f t="shared" si="247"/>
        <v>1.6869131760650289</v>
      </c>
      <c r="DA87" s="217">
        <f t="shared" si="248"/>
        <v>2.4774908194205363</v>
      </c>
      <c r="DB87" s="197">
        <f t="shared" si="249"/>
        <v>350</v>
      </c>
      <c r="DC87" s="443">
        <f t="shared" si="299"/>
        <v>240.13040067295415</v>
      </c>
      <c r="DE87" s="217">
        <f t="shared" si="250"/>
        <v>2.7776855099587272</v>
      </c>
      <c r="DF87" s="173">
        <f t="shared" si="251"/>
        <v>1.6997738946600542</v>
      </c>
      <c r="DG87" s="173">
        <f t="shared" si="252"/>
        <v>0.55110977087390545</v>
      </c>
      <c r="DH87" s="173"/>
      <c r="DI87" s="173">
        <f t="shared" si="253"/>
        <v>1.3598642855443031</v>
      </c>
      <c r="DJ87" s="545">
        <f t="shared" si="300"/>
        <v>813.64499999999964</v>
      </c>
      <c r="DK87" s="528">
        <f t="shared" si="254"/>
        <v>0.35273368606701955</v>
      </c>
      <c r="DM87" s="173">
        <f t="shared" si="255"/>
        <v>3.3882148692194827</v>
      </c>
      <c r="DN87" s="173">
        <f t="shared" si="256"/>
        <v>4.048591622556069</v>
      </c>
      <c r="DO87" s="173">
        <f t="shared" si="257"/>
        <v>2.552866222469516</v>
      </c>
      <c r="DQ87" s="545">
        <f t="shared" si="258"/>
        <v>820</v>
      </c>
      <c r="DR87" s="460">
        <f t="shared" si="259"/>
        <v>240.13040067295415</v>
      </c>
      <c r="DT87">
        <f t="shared" si="260"/>
        <v>820</v>
      </c>
      <c r="DU87">
        <f t="shared" si="261"/>
        <v>240.13040067295415</v>
      </c>
      <c r="DW87" s="5">
        <f t="shared" si="301"/>
        <v>4.1644039954855652</v>
      </c>
      <c r="DX87" s="5">
        <f t="shared" si="262"/>
        <v>1.6869131760650289</v>
      </c>
      <c r="DY87" s="5">
        <f t="shared" si="302"/>
        <v>2.4774908194205363</v>
      </c>
      <c r="DZ87" s="5">
        <f t="shared" si="263"/>
        <v>2.4774908194205363</v>
      </c>
      <c r="EA87" s="173">
        <f t="shared" si="303"/>
        <v>0.40507913686898106</v>
      </c>
      <c r="EB87" s="173">
        <f t="shared" si="264"/>
        <v>19.68</v>
      </c>
      <c r="EC87" s="173">
        <f t="shared" si="265"/>
        <v>0.80326530612244906</v>
      </c>
      <c r="ED87" s="173">
        <f t="shared" si="304"/>
        <v>24.499999999999996</v>
      </c>
      <c r="EE87" s="460">
        <f t="shared" si="266"/>
        <v>5.7636200182221824</v>
      </c>
      <c r="EF87" s="5">
        <f t="shared" si="267"/>
        <v>1.6929520599373662</v>
      </c>
      <c r="EG87" s="5"/>
      <c r="EH87" s="173">
        <f t="shared" si="305"/>
        <v>1.4876928738813391</v>
      </c>
      <c r="EI87" s="173">
        <f t="shared" si="268"/>
        <v>1.2025379154386244</v>
      </c>
      <c r="EJ87" s="173"/>
      <c r="EK87" s="528">
        <f t="shared" si="269"/>
        <v>8.8529203479892724E-2</v>
      </c>
      <c r="EL87" s="528">
        <f t="shared" si="270"/>
        <v>1.0785389999999997</v>
      </c>
      <c r="EM87" s="528">
        <f t="shared" si="271"/>
        <v>4.802608013459083E-2</v>
      </c>
      <c r="EN87" s="528">
        <f t="shared" si="272"/>
        <v>6.8389476429878027E-2</v>
      </c>
      <c r="EO87">
        <f t="shared" si="273"/>
        <v>1.0800000000000001E-2</v>
      </c>
      <c r="EP87" s="460">
        <f t="shared" si="306"/>
        <v>58.826080134590825</v>
      </c>
      <c r="EQ87" s="528">
        <f t="shared" si="274"/>
        <v>1.3465098587814492</v>
      </c>
      <c r="ER87" s="460">
        <f t="shared" si="307"/>
        <v>1346.5098587814493</v>
      </c>
      <c r="ES87" s="528">
        <f t="shared" si="308"/>
        <v>0.71175999999999995</v>
      </c>
      <c r="ET87" s="528"/>
      <c r="EV87" s="460">
        <f t="shared" si="309"/>
        <v>711.76</v>
      </c>
      <c r="EW87" s="528">
        <f t="shared" si="275"/>
        <v>6.6396902609919539E-2</v>
      </c>
      <c r="EX87" s="528">
        <f t="shared" si="276"/>
        <v>4.3382923142024167E-2</v>
      </c>
      <c r="EY87" s="528">
        <f t="shared" si="277"/>
        <v>1.4734920547744266</v>
      </c>
      <c r="EZ87" s="528">
        <f t="shared" si="278"/>
        <v>1.6238805849191882</v>
      </c>
      <c r="FA87" s="528">
        <f t="shared" si="279"/>
        <v>0.78720000000000001</v>
      </c>
      <c r="FB87" s="460">
        <f t="shared" si="310"/>
        <v>2411.0805849191884</v>
      </c>
      <c r="FC87" s="173">
        <f t="shared" si="311"/>
        <v>4.4693504437006375</v>
      </c>
      <c r="FD87" s="5">
        <f t="shared" si="312"/>
        <v>19.68</v>
      </c>
      <c r="FE87" s="173">
        <f t="shared" si="313"/>
        <v>0.81492875122583397</v>
      </c>
      <c r="FF87" s="5">
        <f t="shared" si="314"/>
        <v>81.492875122583399</v>
      </c>
      <c r="FI87" s="562">
        <f t="shared" si="280"/>
        <v>-50</v>
      </c>
      <c r="FJ87">
        <f t="shared" si="281"/>
        <v>-50</v>
      </c>
      <c r="FL87">
        <f t="shared" si="282"/>
        <v>0.594920863131019</v>
      </c>
    </row>
    <row r="88" spans="5:168">
      <c r="E88" s="170">
        <v>83</v>
      </c>
      <c r="F88" s="217">
        <f t="shared" si="283"/>
        <v>0.83</v>
      </c>
      <c r="G88" s="217"/>
      <c r="H88" s="217">
        <f t="shared" si="183"/>
        <v>19.919999999999998</v>
      </c>
      <c r="I88" s="541">
        <f t="shared" si="184"/>
        <v>23.85060440404521</v>
      </c>
      <c r="J88" s="172">
        <f t="shared" si="185"/>
        <v>16.369984767409459</v>
      </c>
      <c r="K88" s="172">
        <f t="shared" si="186"/>
        <v>40.369984767409463</v>
      </c>
      <c r="L88" s="443"/>
      <c r="M88" s="217">
        <f t="shared" si="187"/>
        <v>0.40699672260637831</v>
      </c>
      <c r="N88" s="172">
        <f t="shared" si="188"/>
        <v>54.277888600729106</v>
      </c>
      <c r="O88" s="172">
        <f t="shared" si="284"/>
        <v>19.919999999999998</v>
      </c>
      <c r="P88" s="217">
        <f t="shared" si="189"/>
        <v>2.261578691697046</v>
      </c>
      <c r="Q88" s="217">
        <f t="shared" si="190"/>
        <v>24</v>
      </c>
      <c r="R88" s="217">
        <f t="shared" si="191"/>
        <v>2.2470180149601044</v>
      </c>
      <c r="S88" s="172">
        <f t="shared" si="192"/>
        <v>124.02814624517897</v>
      </c>
      <c r="T88" s="172">
        <f t="shared" si="193"/>
        <v>24</v>
      </c>
      <c r="U88" s="217">
        <f t="shared" si="194"/>
        <v>4.196866555489418</v>
      </c>
      <c r="V88" s="217">
        <f t="shared" si="195"/>
        <v>1.7596478832954037</v>
      </c>
      <c r="W88" s="217">
        <f t="shared" si="196"/>
        <v>2.5637571537909074</v>
      </c>
      <c r="X88" s="197">
        <f t="shared" si="197"/>
        <v>350</v>
      </c>
      <c r="Y88" s="443">
        <f t="shared" si="198"/>
        <v>221.07239829315313</v>
      </c>
      <c r="AA88" s="217">
        <f t="shared" si="199"/>
        <v>2.7735192975302425</v>
      </c>
      <c r="AB88" s="173">
        <f t="shared" si="200"/>
        <v>1.694271153539473</v>
      </c>
      <c r="AC88" s="173">
        <f t="shared" si="201"/>
        <v>0.54850171675370729</v>
      </c>
      <c r="AD88" s="173"/>
      <c r="AE88" s="173">
        <f t="shared" si="202"/>
        <v>1.3574980391224201</v>
      </c>
      <c r="AF88" s="545">
        <f t="shared" si="203"/>
        <v>825.00305540699969</v>
      </c>
      <c r="AG88" s="528">
        <f t="shared" si="204"/>
        <v>0.35211990803681004</v>
      </c>
      <c r="AI88" s="173">
        <f t="shared" si="205"/>
        <v>3.4117817559173651</v>
      </c>
      <c r="AJ88" s="173">
        <f t="shared" si="206"/>
        <v>4.196866555489418</v>
      </c>
      <c r="AK88" s="173">
        <f t="shared" si="207"/>
        <v>2.6626995061238485</v>
      </c>
      <c r="AM88" s="545">
        <f t="shared" si="208"/>
        <v>830</v>
      </c>
      <c r="AN88" s="460">
        <f t="shared" si="209"/>
        <v>221.07239829315313</v>
      </c>
      <c r="AP88">
        <f t="shared" si="210"/>
        <v>830</v>
      </c>
      <c r="AQ88">
        <f t="shared" si="211"/>
        <v>221.07239829315313</v>
      </c>
      <c r="AS88" s="5">
        <f t="shared" si="285"/>
        <v>4.5234050370863113</v>
      </c>
      <c r="AT88" s="5">
        <f t="shared" si="212"/>
        <v>1.7596478832954037</v>
      </c>
      <c r="AU88" s="5">
        <f t="shared" si="286"/>
        <v>2.7637571537909076</v>
      </c>
      <c r="AV88" s="5">
        <f t="shared" si="213"/>
        <v>2.5637571537909074</v>
      </c>
      <c r="AW88" s="173">
        <f t="shared" si="287"/>
        <v>0.38900957771158529</v>
      </c>
      <c r="AX88" s="173">
        <f t="shared" si="214"/>
        <v>19.469502222523975</v>
      </c>
      <c r="AY88" s="173">
        <f t="shared" si="215"/>
        <v>0.85517579722037251</v>
      </c>
      <c r="AZ88" s="173">
        <f t="shared" si="288"/>
        <v>22.766666556521859</v>
      </c>
      <c r="BA88" s="460">
        <f t="shared" si="216"/>
        <v>6.085448929729937</v>
      </c>
      <c r="BB88" s="5">
        <f t="shared" si="217"/>
        <v>1.9235725843973916</v>
      </c>
      <c r="BC88" s="5"/>
      <c r="BD88" s="173">
        <f t="shared" si="289"/>
        <v>1.5112791133050056</v>
      </c>
      <c r="BE88" s="173">
        <f t="shared" si="218"/>
        <v>1.2633031186834318</v>
      </c>
      <c r="BF88" s="173"/>
      <c r="BG88" s="528">
        <f t="shared" si="219"/>
        <v>9.1358582332478552E-2</v>
      </c>
      <c r="BH88" s="528">
        <f t="shared" si="220"/>
        <v>0.84275393080089478</v>
      </c>
      <c r="BI88" s="528">
        <f t="shared" si="221"/>
        <v>0.21090841265374061</v>
      </c>
      <c r="BJ88" s="528">
        <f t="shared" si="222"/>
        <v>6.3050675306066048E-2</v>
      </c>
      <c r="BK88">
        <f t="shared" si="223"/>
        <v>1.0732771981820344E-2</v>
      </c>
      <c r="BL88" s="460">
        <f t="shared" si="290"/>
        <v>221.64118463556096</v>
      </c>
      <c r="BM88" s="528">
        <f t="shared" si="224"/>
        <v>1.0445028185763947</v>
      </c>
      <c r="BN88" s="460">
        <f t="shared" si="291"/>
        <v>1044.5028185763947</v>
      </c>
      <c r="BO88" s="528">
        <f t="shared" si="225"/>
        <v>0.72043999999999997</v>
      </c>
      <c r="BP88" s="528"/>
      <c r="BR88" s="460">
        <f t="shared" si="292"/>
        <v>720.43999999999994</v>
      </c>
      <c r="BS88" s="528">
        <f t="shared" si="226"/>
        <v>6.8518936749358911E-2</v>
      </c>
      <c r="BT88" s="528">
        <f t="shared" si="227"/>
        <v>4.7878043090258546E-2</v>
      </c>
      <c r="BU88" s="528">
        <f t="shared" si="228"/>
        <v>0.29879999999999995</v>
      </c>
      <c r="BV88" s="528">
        <f t="shared" si="229"/>
        <v>0.44729738013212988</v>
      </c>
      <c r="BW88" s="528">
        <f t="shared" si="230"/>
        <v>0.77878008890095896</v>
      </c>
      <c r="BX88" s="460">
        <f t="shared" si="293"/>
        <v>1226.0774690330888</v>
      </c>
      <c r="BY88" s="173">
        <f t="shared" si="231"/>
        <v>3.2126614722450446</v>
      </c>
      <c r="BZ88" s="5">
        <f t="shared" si="294"/>
        <v>19.919999999999998</v>
      </c>
      <c r="CA88" s="173">
        <f t="shared" si="295"/>
        <v>0.86112011036431535</v>
      </c>
      <c r="CB88" s="5">
        <f t="shared" si="296"/>
        <v>86.112011036431539</v>
      </c>
      <c r="CE88" s="562">
        <f t="shared" si="232"/>
        <v>-50</v>
      </c>
      <c r="CF88">
        <f t="shared" si="233"/>
        <v>-50</v>
      </c>
      <c r="CG88" s="173">
        <f t="shared" si="234"/>
        <v>0.58305899996524657</v>
      </c>
      <c r="CI88" s="170">
        <v>83</v>
      </c>
      <c r="CJ88" s="217">
        <f t="shared" si="297"/>
        <v>0.83</v>
      </c>
      <c r="CK88" s="217"/>
      <c r="CL88" s="217">
        <f t="shared" si="235"/>
        <v>19.919999999999998</v>
      </c>
      <c r="CM88" s="541">
        <f t="shared" si="236"/>
        <v>24</v>
      </c>
      <c r="CN88" s="172">
        <f t="shared" si="237"/>
        <v>16.3415</v>
      </c>
      <c r="CO88" s="443">
        <f t="shared" si="238"/>
        <v>40.341499999999996</v>
      </c>
      <c r="CP88" s="443"/>
      <c r="CQ88" s="217">
        <f t="shared" si="239"/>
        <v>0.40507913686898112</v>
      </c>
      <c r="CR88" s="172">
        <f t="shared" si="240"/>
        <v>54.360539956785601</v>
      </c>
      <c r="CS88" s="172">
        <f t="shared" si="298"/>
        <v>19.919999999999998</v>
      </c>
      <c r="CT88" s="217">
        <f t="shared" si="241"/>
        <v>2.2650224981994</v>
      </c>
      <c r="CU88" s="217">
        <f t="shared" si="242"/>
        <v>24</v>
      </c>
      <c r="CV88" s="217">
        <f t="shared" si="243"/>
        <v>2.250439649272117</v>
      </c>
      <c r="CW88" s="172">
        <f t="shared" si="244"/>
        <v>124.80413997744351</v>
      </c>
      <c r="CX88" s="172">
        <f t="shared" si="245"/>
        <v>24</v>
      </c>
      <c r="CY88" s="217">
        <f t="shared" si="246"/>
        <v>4.097964691123825</v>
      </c>
      <c r="CZ88" s="217">
        <f t="shared" si="247"/>
        <v>1.7074852879682603</v>
      </c>
      <c r="DA88" s="217">
        <f t="shared" si="248"/>
        <v>2.5077041220963956</v>
      </c>
      <c r="DB88" s="197">
        <f t="shared" si="249"/>
        <v>350</v>
      </c>
      <c r="DC88" s="443">
        <f t="shared" si="299"/>
        <v>237.23726331544881</v>
      </c>
      <c r="DE88" s="217">
        <f t="shared" si="250"/>
        <v>2.7776855099587272</v>
      </c>
      <c r="DF88" s="173">
        <f t="shared" si="251"/>
        <v>1.6997738946600542</v>
      </c>
      <c r="DG88" s="173">
        <f t="shared" si="252"/>
        <v>0.55110977087390545</v>
      </c>
      <c r="DH88" s="173"/>
      <c r="DI88" s="173">
        <f t="shared" si="253"/>
        <v>1.3598642855443031</v>
      </c>
      <c r="DJ88" s="545">
        <f t="shared" si="300"/>
        <v>823.56749999999965</v>
      </c>
      <c r="DK88" s="528">
        <f t="shared" si="254"/>
        <v>0.35273368606701955</v>
      </c>
      <c r="DM88" s="173">
        <f t="shared" si="255"/>
        <v>3.408812109811862</v>
      </c>
      <c r="DN88" s="173">
        <f t="shared" si="256"/>
        <v>4.097964691123825</v>
      </c>
      <c r="DO88" s="173">
        <f t="shared" si="257"/>
        <v>2.589438865853039</v>
      </c>
      <c r="DQ88" s="545">
        <f t="shared" si="258"/>
        <v>830</v>
      </c>
      <c r="DR88" s="460">
        <f t="shared" si="259"/>
        <v>237.23726331544881</v>
      </c>
      <c r="DT88">
        <f t="shared" si="260"/>
        <v>830</v>
      </c>
      <c r="DU88">
        <f t="shared" si="261"/>
        <v>237.23726331544881</v>
      </c>
      <c r="DW88" s="5">
        <f t="shared" si="301"/>
        <v>4.2151894100646556</v>
      </c>
      <c r="DX88" s="5">
        <f t="shared" si="262"/>
        <v>1.7074852879682603</v>
      </c>
      <c r="DY88" s="5">
        <f t="shared" si="302"/>
        <v>2.5077041220963956</v>
      </c>
      <c r="DZ88" s="5">
        <f t="shared" si="263"/>
        <v>2.5077041220963956</v>
      </c>
      <c r="EA88" s="173">
        <f t="shared" si="303"/>
        <v>0.40507913686898106</v>
      </c>
      <c r="EB88" s="173">
        <f t="shared" si="264"/>
        <v>19.920000000000002</v>
      </c>
      <c r="EC88" s="173">
        <f t="shared" si="265"/>
        <v>0.81306122448979579</v>
      </c>
      <c r="ED88" s="173">
        <f t="shared" si="304"/>
        <v>24.500000000000007</v>
      </c>
      <c r="EE88" s="460">
        <f t="shared" si="266"/>
        <v>5.9050532875568997</v>
      </c>
      <c r="EF88" s="5">
        <f t="shared" si="267"/>
        <v>1.7344953511166732</v>
      </c>
      <c r="EG88" s="5"/>
      <c r="EH88" s="173">
        <f t="shared" si="305"/>
        <v>1.505835469904282</v>
      </c>
      <c r="EI88" s="173">
        <f t="shared" si="268"/>
        <v>1.2172030119683634</v>
      </c>
      <c r="EJ88" s="173"/>
      <c r="EK88" s="528">
        <f t="shared" si="269"/>
        <v>9.0701618496873984E-2</v>
      </c>
      <c r="EL88" s="528">
        <f t="shared" si="270"/>
        <v>1.0785390000000004</v>
      </c>
      <c r="EM88" s="528">
        <f t="shared" si="271"/>
        <v>4.7447452663089758E-2</v>
      </c>
      <c r="EN88" s="528">
        <f t="shared" si="272"/>
        <v>6.756550683433736E-2</v>
      </c>
      <c r="EO88">
        <f t="shared" si="273"/>
        <v>1.0800000000000001E-2</v>
      </c>
      <c r="EP88" s="460">
        <f t="shared" si="306"/>
        <v>58.247452663089753</v>
      </c>
      <c r="EQ88" s="528">
        <f t="shared" si="274"/>
        <v>1.3486064338041501</v>
      </c>
      <c r="ER88" s="460">
        <f t="shared" si="307"/>
        <v>1348.6064338041501</v>
      </c>
      <c r="ES88" s="528">
        <f t="shared" si="308"/>
        <v>0.72043999999999997</v>
      </c>
      <c r="ET88" s="528"/>
      <c r="EV88" s="460">
        <f t="shared" si="309"/>
        <v>720.43999999999994</v>
      </c>
      <c r="EW88" s="528">
        <f t="shared" si="275"/>
        <v>6.8026213872655492E-2</v>
      </c>
      <c r="EX88" s="528">
        <f t="shared" si="276"/>
        <v>4.4447495170345679E-2</v>
      </c>
      <c r="EY88" s="528">
        <f t="shared" si="277"/>
        <v>1.4734920547744261</v>
      </c>
      <c r="EZ88" s="528">
        <f t="shared" si="278"/>
        <v>1.6276044709237287</v>
      </c>
      <c r="FA88" s="528">
        <f t="shared" si="279"/>
        <v>0.79679999999999995</v>
      </c>
      <c r="FB88" s="460">
        <f t="shared" si="310"/>
        <v>2424.4044709237282</v>
      </c>
      <c r="FC88" s="173">
        <f t="shared" si="311"/>
        <v>4.4934509047278786</v>
      </c>
      <c r="FD88" s="5">
        <f t="shared" si="312"/>
        <v>19.919999999999998</v>
      </c>
      <c r="FE88" s="173">
        <f t="shared" si="313"/>
        <v>0.8159436401570872</v>
      </c>
      <c r="FF88" s="5">
        <f t="shared" si="314"/>
        <v>81.59436401570872</v>
      </c>
      <c r="FI88" s="562">
        <f t="shared" si="280"/>
        <v>-50</v>
      </c>
      <c r="FJ88">
        <f t="shared" si="281"/>
        <v>-50</v>
      </c>
      <c r="FL88">
        <f t="shared" si="282"/>
        <v>0.594920863131019</v>
      </c>
    </row>
    <row r="89" spans="5:168">
      <c r="E89" s="170">
        <v>84</v>
      </c>
      <c r="F89" s="217">
        <f t="shared" si="283"/>
        <v>0.84</v>
      </c>
      <c r="G89" s="217"/>
      <c r="H89" s="217">
        <f t="shared" si="183"/>
        <v>20.16</v>
      </c>
      <c r="I89" s="541">
        <f t="shared" si="184"/>
        <v>23.848841066702214</v>
      </c>
      <c r="J89" s="172">
        <f t="shared" si="185"/>
        <v>16.370320977146822</v>
      </c>
      <c r="K89" s="172">
        <f t="shared" si="186"/>
        <v>40.370320977146818</v>
      </c>
      <c r="L89" s="443"/>
      <c r="M89" s="217">
        <f t="shared" si="187"/>
        <v>0.40701952617677062</v>
      </c>
      <c r="N89" s="172">
        <f t="shared" si="188"/>
        <v>54.276916599415827</v>
      </c>
      <c r="O89" s="172">
        <f t="shared" si="284"/>
        <v>20.16</v>
      </c>
      <c r="P89" s="217">
        <f t="shared" si="189"/>
        <v>2.2615381916423263</v>
      </c>
      <c r="Q89" s="217">
        <f t="shared" si="190"/>
        <v>24</v>
      </c>
      <c r="R89" s="217">
        <f t="shared" si="191"/>
        <v>2.2469777756560756</v>
      </c>
      <c r="S89" s="172">
        <f t="shared" si="192"/>
        <v>122.12084294538278</v>
      </c>
      <c r="T89" s="172">
        <f t="shared" si="193"/>
        <v>24</v>
      </c>
      <c r="U89" s="217">
        <f t="shared" si="194"/>
        <v>4.2475945513781079</v>
      </c>
      <c r="V89" s="217">
        <f t="shared" si="195"/>
        <v>1.7810486218169344</v>
      </c>
      <c r="W89" s="217">
        <f t="shared" si="196"/>
        <v>2.5946922832532144</v>
      </c>
      <c r="X89" s="197">
        <f t="shared" si="197"/>
        <v>350</v>
      </c>
      <c r="Y89" s="443">
        <f t="shared" si="198"/>
        <v>218.54384257027098</v>
      </c>
      <c r="AA89" s="217">
        <f t="shared" si="199"/>
        <v>2.7734696125282405</v>
      </c>
      <c r="AB89" s="173">
        <f t="shared" si="200"/>
        <v>1.694206006345288</v>
      </c>
      <c r="AC89" s="173">
        <f t="shared" si="201"/>
        <v>0.54847080054660424</v>
      </c>
      <c r="AD89" s="173"/>
      <c r="AE89" s="173">
        <f t="shared" si="202"/>
        <v>1.3574701591523302</v>
      </c>
      <c r="AF89" s="545">
        <f t="shared" si="203"/>
        <v>834.95999946407005</v>
      </c>
      <c r="AG89" s="528">
        <f t="shared" si="204"/>
        <v>0.3521126762823461</v>
      </c>
      <c r="AI89" s="173">
        <f t="shared" si="205"/>
        <v>3.4323083680198549</v>
      </c>
      <c r="AJ89" s="173">
        <f t="shared" si="206"/>
        <v>4.2475945513781079</v>
      </c>
      <c r="AK89" s="173">
        <f t="shared" si="207"/>
        <v>2.7002757993747304</v>
      </c>
      <c r="AM89" s="545">
        <f t="shared" si="208"/>
        <v>840</v>
      </c>
      <c r="AN89" s="460">
        <f t="shared" si="209"/>
        <v>218.54384257027098</v>
      </c>
      <c r="AP89">
        <f t="shared" si="210"/>
        <v>840</v>
      </c>
      <c r="AQ89">
        <f t="shared" si="211"/>
        <v>218.54384257027098</v>
      </c>
      <c r="AS89" s="5">
        <f t="shared" si="285"/>
        <v>4.5757409050701492</v>
      </c>
      <c r="AT89" s="5">
        <f t="shared" si="212"/>
        <v>1.7810486218169344</v>
      </c>
      <c r="AU89" s="5">
        <f t="shared" si="286"/>
        <v>2.7946922832532151</v>
      </c>
      <c r="AV89" s="5">
        <f t="shared" si="213"/>
        <v>2.5946922832532144</v>
      </c>
      <c r="AW89" s="173">
        <f t="shared" si="287"/>
        <v>0.38923720961635822</v>
      </c>
      <c r="AX89" s="173">
        <f t="shared" si="214"/>
        <v>19.714905025441332</v>
      </c>
      <c r="AY89" s="173">
        <f t="shared" si="215"/>
        <v>0.86518994565611851</v>
      </c>
      <c r="AZ89" s="173">
        <f t="shared" si="288"/>
        <v>22.786793957124058</v>
      </c>
      <c r="BA89" s="460">
        <f t="shared" si="216"/>
        <v>6.2336701763592703</v>
      </c>
      <c r="BB89" s="5">
        <f t="shared" si="217"/>
        <v>1.9686839384496055</v>
      </c>
      <c r="BC89" s="5"/>
      <c r="BD89" s="173">
        <f t="shared" si="289"/>
        <v>1.5299935604399133</v>
      </c>
      <c r="BE89" s="173">
        <f t="shared" si="218"/>
        <v>1.2783346087999876</v>
      </c>
      <c r="BF89" s="173"/>
      <c r="BG89" s="528">
        <f t="shared" si="219"/>
        <v>9.3635211799504112E-2</v>
      </c>
      <c r="BH89" s="528">
        <f t="shared" si="220"/>
        <v>0.84319175342138808</v>
      </c>
      <c r="BI89" s="528">
        <f t="shared" si="221"/>
        <v>0.20848069470259131</v>
      </c>
      <c r="BJ89" s="528">
        <f t="shared" si="222"/>
        <v>6.23305599424566E-2</v>
      </c>
      <c r="BK89">
        <f t="shared" si="223"/>
        <v>1.0731978480015995E-2</v>
      </c>
      <c r="BL89" s="460">
        <f t="shared" si="290"/>
        <v>219.21267318260732</v>
      </c>
      <c r="BM89" s="528">
        <f t="shared" si="224"/>
        <v>1.0477490668441309</v>
      </c>
      <c r="BN89" s="460">
        <f t="shared" si="291"/>
        <v>1047.749066844131</v>
      </c>
      <c r="BO89" s="528">
        <f t="shared" si="225"/>
        <v>0.72911999999999999</v>
      </c>
      <c r="BP89" s="528"/>
      <c r="BR89" s="460">
        <f t="shared" si="292"/>
        <v>729.12</v>
      </c>
      <c r="BS89" s="528">
        <f t="shared" si="226"/>
        <v>7.022640884962808E-2</v>
      </c>
      <c r="BT89" s="528">
        <f t="shared" si="227"/>
        <v>4.9024181161674514E-2</v>
      </c>
      <c r="BU89" s="528">
        <f t="shared" si="228"/>
        <v>0.3024</v>
      </c>
      <c r="BV89" s="528">
        <f t="shared" si="229"/>
        <v>0.4546077106313331</v>
      </c>
      <c r="BW89" s="528">
        <f t="shared" si="230"/>
        <v>0.78859620101765338</v>
      </c>
      <c r="BX89" s="460">
        <f t="shared" si="293"/>
        <v>1243.2039116489864</v>
      </c>
      <c r="BY89" s="173">
        <f t="shared" si="231"/>
        <v>3.2392856516757247</v>
      </c>
      <c r="BZ89" s="5">
        <f t="shared" si="294"/>
        <v>20.16</v>
      </c>
      <c r="CA89" s="173">
        <f t="shared" si="295"/>
        <v>0.86156476313439312</v>
      </c>
      <c r="CB89" s="5">
        <f t="shared" si="296"/>
        <v>86.156476313439313</v>
      </c>
      <c r="CE89" s="562">
        <f t="shared" si="232"/>
        <v>-50</v>
      </c>
      <c r="CF89">
        <f t="shared" si="233"/>
        <v>-50</v>
      </c>
      <c r="CG89" s="173">
        <f t="shared" si="234"/>
        <v>0.58320021262198185</v>
      </c>
      <c r="CI89" s="170">
        <v>84</v>
      </c>
      <c r="CJ89" s="217">
        <f t="shared" si="297"/>
        <v>0.84</v>
      </c>
      <c r="CK89" s="217"/>
      <c r="CL89" s="217">
        <f t="shared" si="235"/>
        <v>20.16</v>
      </c>
      <c r="CM89" s="541">
        <f t="shared" si="236"/>
        <v>24</v>
      </c>
      <c r="CN89" s="172">
        <f t="shared" si="237"/>
        <v>16.3415</v>
      </c>
      <c r="CO89" s="443">
        <f t="shared" si="238"/>
        <v>40.341499999999996</v>
      </c>
      <c r="CP89" s="443"/>
      <c r="CQ89" s="217">
        <f t="shared" si="239"/>
        <v>0.40507913686898112</v>
      </c>
      <c r="CR89" s="172">
        <f t="shared" si="240"/>
        <v>54.360539956785601</v>
      </c>
      <c r="CS89" s="172">
        <f t="shared" si="298"/>
        <v>20.16</v>
      </c>
      <c r="CT89" s="217">
        <f t="shared" si="241"/>
        <v>2.2650224981994</v>
      </c>
      <c r="CU89" s="217">
        <f t="shared" si="242"/>
        <v>24</v>
      </c>
      <c r="CV89" s="217">
        <f t="shared" si="243"/>
        <v>2.250439649272117</v>
      </c>
      <c r="CW89" s="172">
        <f t="shared" si="244"/>
        <v>122.89395108342428</v>
      </c>
      <c r="CX89" s="172">
        <f t="shared" si="245"/>
        <v>24</v>
      </c>
      <c r="CY89" s="217">
        <f t="shared" si="246"/>
        <v>4.1473377596915828</v>
      </c>
      <c r="CZ89" s="217">
        <f t="shared" si="247"/>
        <v>1.7280573998714932</v>
      </c>
      <c r="DA89" s="217">
        <f t="shared" si="248"/>
        <v>2.5379174247722567</v>
      </c>
      <c r="DB89" s="197">
        <f t="shared" si="249"/>
        <v>350</v>
      </c>
      <c r="DC89" s="443">
        <f t="shared" si="299"/>
        <v>234.41301018074097</v>
      </c>
      <c r="DE89" s="217">
        <f t="shared" si="250"/>
        <v>2.7776855099587272</v>
      </c>
      <c r="DF89" s="173">
        <f t="shared" si="251"/>
        <v>1.6997738946600542</v>
      </c>
      <c r="DG89" s="173">
        <f t="shared" si="252"/>
        <v>0.55110977087390545</v>
      </c>
      <c r="DH89" s="173"/>
      <c r="DI89" s="173">
        <f t="shared" si="253"/>
        <v>1.3598642855443031</v>
      </c>
      <c r="DJ89" s="545">
        <f t="shared" si="300"/>
        <v>833.48999999999978</v>
      </c>
      <c r="DK89" s="528">
        <f t="shared" si="254"/>
        <v>0.35273368606701955</v>
      </c>
      <c r="DM89" s="173">
        <f t="shared" si="255"/>
        <v>3.4292856398964489</v>
      </c>
      <c r="DN89" s="173">
        <f t="shared" si="256"/>
        <v>4.1473377596915828</v>
      </c>
      <c r="DO89" s="173">
        <f t="shared" si="257"/>
        <v>2.6260115092365632</v>
      </c>
      <c r="DQ89" s="545">
        <f t="shared" si="258"/>
        <v>840</v>
      </c>
      <c r="DR89" s="460">
        <f t="shared" si="259"/>
        <v>234.41301018074097</v>
      </c>
      <c r="DT89">
        <f t="shared" si="260"/>
        <v>840</v>
      </c>
      <c r="DU89">
        <f t="shared" si="261"/>
        <v>234.41301018074097</v>
      </c>
      <c r="DW89" s="5">
        <f t="shared" si="301"/>
        <v>4.2659748246437497</v>
      </c>
      <c r="DX89" s="5">
        <f t="shared" si="262"/>
        <v>1.7280573998714932</v>
      </c>
      <c r="DY89" s="5">
        <f t="shared" si="302"/>
        <v>2.5379174247722567</v>
      </c>
      <c r="DZ89" s="5">
        <f t="shared" si="263"/>
        <v>2.5379174247722567</v>
      </c>
      <c r="EA89" s="173">
        <f t="shared" si="303"/>
        <v>0.40507913686898112</v>
      </c>
      <c r="EB89" s="173">
        <f t="shared" si="264"/>
        <v>20.16</v>
      </c>
      <c r="EC89" s="173">
        <f t="shared" si="265"/>
        <v>0.82285714285714284</v>
      </c>
      <c r="ED89" s="173">
        <f t="shared" si="304"/>
        <v>24.5</v>
      </c>
      <c r="EE89" s="460">
        <f t="shared" si="266"/>
        <v>6.0482008995502259</v>
      </c>
      <c r="EF89" s="5">
        <f t="shared" si="267"/>
        <v>1.7765421973405793</v>
      </c>
      <c r="EG89" s="5"/>
      <c r="EH89" s="173">
        <f t="shared" si="305"/>
        <v>1.5239780659272253</v>
      </c>
      <c r="EI89" s="173">
        <f t="shared" si="268"/>
        <v>1.2318681084981029</v>
      </c>
      <c r="EJ89" s="173"/>
      <c r="EK89" s="528">
        <f t="shared" si="269"/>
        <v>9.2900365817091463E-2</v>
      </c>
      <c r="EL89" s="528">
        <f t="shared" si="270"/>
        <v>1.0785389999999999</v>
      </c>
      <c r="EM89" s="528">
        <f t="shared" si="271"/>
        <v>4.6882602036148191E-2</v>
      </c>
      <c r="EN89" s="528">
        <f t="shared" si="272"/>
        <v>6.676115556249998E-2</v>
      </c>
      <c r="EO89">
        <f t="shared" si="273"/>
        <v>1.0800000000000001E-2</v>
      </c>
      <c r="EP89" s="460">
        <f t="shared" si="306"/>
        <v>57.682602036148197</v>
      </c>
      <c r="EQ89" s="528">
        <f t="shared" si="274"/>
        <v>1.3507822093316997</v>
      </c>
      <c r="ER89" s="460">
        <f t="shared" si="307"/>
        <v>1350.7822093316997</v>
      </c>
      <c r="ES89" s="528">
        <f t="shared" si="308"/>
        <v>0.72911999999999999</v>
      </c>
      <c r="ET89" s="528"/>
      <c r="EV89" s="460">
        <f t="shared" si="309"/>
        <v>729.12</v>
      </c>
      <c r="EW89" s="528">
        <f t="shared" si="275"/>
        <v>6.967527436281859E-2</v>
      </c>
      <c r="EX89" s="528">
        <f t="shared" si="276"/>
        <v>4.5524971102040818E-2</v>
      </c>
      <c r="EY89" s="528">
        <f t="shared" si="277"/>
        <v>1.4734920547744244</v>
      </c>
      <c r="EZ89" s="528">
        <f t="shared" si="278"/>
        <v>1.6313751445183529</v>
      </c>
      <c r="FA89" s="528">
        <f t="shared" si="279"/>
        <v>0.80640000000000012</v>
      </c>
      <c r="FB89" s="460">
        <f t="shared" si="310"/>
        <v>2437.775144518353</v>
      </c>
      <c r="FC89" s="173">
        <f t="shared" si="311"/>
        <v>4.5176773538500523</v>
      </c>
      <c r="FD89" s="5">
        <f t="shared" si="312"/>
        <v>20.16</v>
      </c>
      <c r="FE89" s="173">
        <f t="shared" si="313"/>
        <v>0.81693263555270401</v>
      </c>
      <c r="FF89" s="5">
        <f t="shared" si="314"/>
        <v>81.693263555270406</v>
      </c>
      <c r="FI89" s="562">
        <f t="shared" si="280"/>
        <v>-50</v>
      </c>
      <c r="FJ89">
        <f t="shared" si="281"/>
        <v>-50</v>
      </c>
      <c r="FL89">
        <f t="shared" si="282"/>
        <v>0.59492086313101888</v>
      </c>
    </row>
    <row r="90" spans="5:168">
      <c r="E90" s="170">
        <v>85</v>
      </c>
      <c r="F90" s="217">
        <f t="shared" si="283"/>
        <v>0.85</v>
      </c>
      <c r="G90" s="217"/>
      <c r="H90" s="217">
        <f t="shared" si="183"/>
        <v>20.399999999999999</v>
      </c>
      <c r="I90" s="541">
        <f t="shared" si="184"/>
        <v>23.847077712051597</v>
      </c>
      <c r="J90" s="172">
        <f t="shared" si="185"/>
        <v>16.370657190184176</v>
      </c>
      <c r="K90" s="172">
        <f t="shared" si="186"/>
        <v>40.370657190184176</v>
      </c>
      <c r="L90" s="443"/>
      <c r="M90" s="217">
        <f t="shared" si="187"/>
        <v>0.40704233154057312</v>
      </c>
      <c r="N90" s="172">
        <f t="shared" si="188"/>
        <v>54.275944348170547</v>
      </c>
      <c r="O90" s="172">
        <f t="shared" si="284"/>
        <v>20.399999999999999</v>
      </c>
      <c r="P90" s="217">
        <f t="shared" si="189"/>
        <v>2.2614976811737728</v>
      </c>
      <c r="Q90" s="217">
        <f t="shared" si="190"/>
        <v>24</v>
      </c>
      <c r="R90" s="217">
        <f t="shared" si="191"/>
        <v>2.2469375260052584</v>
      </c>
      <c r="S90" s="172">
        <f t="shared" si="192"/>
        <v>120.25854681682837</v>
      </c>
      <c r="T90" s="172">
        <f t="shared" si="193"/>
        <v>24</v>
      </c>
      <c r="U90" s="217">
        <f t="shared" si="194"/>
        <v>4.2983264619939812</v>
      </c>
      <c r="V90" s="217">
        <f t="shared" si="195"/>
        <v>1.8024541681355517</v>
      </c>
      <c r="W90" s="217">
        <f t="shared" si="196"/>
        <v>2.6256285328430509</v>
      </c>
      <c r="X90" s="197">
        <f t="shared" si="197"/>
        <v>350</v>
      </c>
      <c r="Y90" s="443">
        <f t="shared" si="198"/>
        <v>216.07219762701106</v>
      </c>
      <c r="AA90" s="217">
        <f t="shared" si="199"/>
        <v>2.7734199150887937</v>
      </c>
      <c r="AB90" s="173">
        <f t="shared" si="200"/>
        <v>1.6941408538880973</v>
      </c>
      <c r="AC90" s="173">
        <f t="shared" si="201"/>
        <v>0.54843988093187457</v>
      </c>
      <c r="AD90" s="173"/>
      <c r="AE90" s="173">
        <f t="shared" si="202"/>
        <v>1.3574422800537687</v>
      </c>
      <c r="AF90" s="545">
        <f t="shared" si="203"/>
        <v>844.91735198214394</v>
      </c>
      <c r="AG90" s="528">
        <f t="shared" si="204"/>
        <v>0.35210544475394701</v>
      </c>
      <c r="AI90" s="173">
        <f t="shared" si="205"/>
        <v>3.4527137847591534</v>
      </c>
      <c r="AJ90" s="173">
        <f t="shared" si="206"/>
        <v>4.2983264619939812</v>
      </c>
      <c r="AK90" s="173">
        <f t="shared" si="207"/>
        <v>2.7378549924235251</v>
      </c>
      <c r="AM90" s="545">
        <f t="shared" si="208"/>
        <v>850</v>
      </c>
      <c r="AN90" s="460">
        <f t="shared" si="209"/>
        <v>216.07219762701106</v>
      </c>
      <c r="AP90">
        <f t="shared" si="210"/>
        <v>850</v>
      </c>
      <c r="AQ90">
        <f t="shared" si="211"/>
        <v>216.07219762701106</v>
      </c>
      <c r="AS90" s="5">
        <f t="shared" si="285"/>
        <v>4.6280827009786041</v>
      </c>
      <c r="AT90" s="5">
        <f t="shared" si="212"/>
        <v>1.8024541681355517</v>
      </c>
      <c r="AU90" s="5">
        <f t="shared" si="286"/>
        <v>2.8256285328430524</v>
      </c>
      <c r="AV90" s="5">
        <f t="shared" si="213"/>
        <v>2.6256285328430509</v>
      </c>
      <c r="AW90" s="173">
        <f t="shared" si="287"/>
        <v>0.3894602332310147</v>
      </c>
      <c r="AX90" s="173">
        <f t="shared" si="214"/>
        <v>19.960328679920789</v>
      </c>
      <c r="AY90" s="173">
        <f t="shared" si="215"/>
        <v>0.87520379507352153</v>
      </c>
      <c r="AZ90" s="173">
        <f t="shared" si="288"/>
        <v>22.806492376148828</v>
      </c>
      <c r="BA90" s="460">
        <f t="shared" si="216"/>
        <v>6.3836918454800795</v>
      </c>
      <c r="BB90" s="5">
        <f t="shared" si="217"/>
        <v>2.014321655607139</v>
      </c>
      <c r="BC90" s="5"/>
      <c r="BD90" s="173">
        <f t="shared" si="289"/>
        <v>1.5487108106740224</v>
      </c>
      <c r="BE90" s="173">
        <f t="shared" si="218"/>
        <v>1.293366423600413</v>
      </c>
      <c r="BF90" s="173"/>
      <c r="BG90" s="528">
        <f t="shared" si="219"/>
        <v>9.5940207003943512E-2</v>
      </c>
      <c r="BH90" s="528">
        <f t="shared" si="220"/>
        <v>0.84361952762192349</v>
      </c>
      <c r="BI90" s="528">
        <f t="shared" si="221"/>
        <v>0.20610761952900414</v>
      </c>
      <c r="BJ90" s="528">
        <f t="shared" si="222"/>
        <v>6.1626652281728138E-2</v>
      </c>
      <c r="BK90">
        <f t="shared" si="223"/>
        <v>1.0731184970423219E-2</v>
      </c>
      <c r="BL90" s="460">
        <f t="shared" si="290"/>
        <v>216.83880449942737</v>
      </c>
      <c r="BM90" s="528">
        <f t="shared" si="224"/>
        <v>1.0510493254277065</v>
      </c>
      <c r="BN90" s="460">
        <f t="shared" si="291"/>
        <v>1051.0493254277064</v>
      </c>
      <c r="BO90" s="528">
        <f t="shared" si="225"/>
        <v>0.73780000000000001</v>
      </c>
      <c r="BP90" s="528"/>
      <c r="BR90" s="460">
        <f t="shared" si="292"/>
        <v>737.8</v>
      </c>
      <c r="BS90" s="528">
        <f t="shared" si="226"/>
        <v>7.1955155252957634E-2</v>
      </c>
      <c r="BT90" s="528">
        <f t="shared" si="227"/>
        <v>5.0183901170907687E-2</v>
      </c>
      <c r="BU90" s="528">
        <f t="shared" si="228"/>
        <v>0.30599999999999999</v>
      </c>
      <c r="BV90" s="528">
        <f t="shared" si="229"/>
        <v>0.46196636079818965</v>
      </c>
      <c r="BW90" s="528">
        <f t="shared" si="230"/>
        <v>0.79841314719683165</v>
      </c>
      <c r="BX90" s="460">
        <f t="shared" si="293"/>
        <v>1260.3795079950212</v>
      </c>
      <c r="BY90" s="173">
        <f t="shared" si="231"/>
        <v>3.2660676379221547</v>
      </c>
      <c r="BZ90" s="5">
        <f t="shared" si="294"/>
        <v>20.399999999999999</v>
      </c>
      <c r="CA90" s="173">
        <f t="shared" si="295"/>
        <v>0.86199364897070363</v>
      </c>
      <c r="CB90" s="5">
        <f t="shared" si="296"/>
        <v>86.199364897070367</v>
      </c>
      <c r="CE90" s="562">
        <f t="shared" si="232"/>
        <v>-50</v>
      </c>
      <c r="CF90">
        <f t="shared" si="233"/>
        <v>-50</v>
      </c>
      <c r="CG90" s="173">
        <f t="shared" si="234"/>
        <v>0.58333810262797037</v>
      </c>
      <c r="CI90" s="170">
        <v>85</v>
      </c>
      <c r="CJ90" s="217">
        <f t="shared" si="297"/>
        <v>0.85</v>
      </c>
      <c r="CK90" s="217"/>
      <c r="CL90" s="217">
        <f t="shared" si="235"/>
        <v>20.399999999999999</v>
      </c>
      <c r="CM90" s="541">
        <f t="shared" si="236"/>
        <v>24</v>
      </c>
      <c r="CN90" s="172">
        <f t="shared" si="237"/>
        <v>16.3415</v>
      </c>
      <c r="CO90" s="443">
        <f t="shared" si="238"/>
        <v>40.341499999999996</v>
      </c>
      <c r="CP90" s="443"/>
      <c r="CQ90" s="217">
        <f t="shared" si="239"/>
        <v>0.40507913686898112</v>
      </c>
      <c r="CR90" s="172">
        <f t="shared" si="240"/>
        <v>54.360539956785601</v>
      </c>
      <c r="CS90" s="172">
        <f t="shared" si="298"/>
        <v>20.399999999999999</v>
      </c>
      <c r="CT90" s="217">
        <f t="shared" si="241"/>
        <v>2.2650224981994</v>
      </c>
      <c r="CU90" s="217">
        <f t="shared" si="242"/>
        <v>24</v>
      </c>
      <c r="CV90" s="217">
        <f t="shared" si="243"/>
        <v>2.250439649272117</v>
      </c>
      <c r="CW90" s="172">
        <f t="shared" si="244"/>
        <v>121.02877515316572</v>
      </c>
      <c r="CX90" s="172">
        <f t="shared" si="245"/>
        <v>24</v>
      </c>
      <c r="CY90" s="217">
        <f t="shared" si="246"/>
        <v>4.1967108282593397</v>
      </c>
      <c r="CZ90" s="217">
        <f t="shared" si="247"/>
        <v>1.748629511774725</v>
      </c>
      <c r="DA90" s="217">
        <f t="shared" si="248"/>
        <v>2.5681307274481169</v>
      </c>
      <c r="DB90" s="197">
        <f t="shared" si="249"/>
        <v>350</v>
      </c>
      <c r="DC90" s="443">
        <f t="shared" si="299"/>
        <v>231.65521006096756</v>
      </c>
      <c r="DE90" s="217">
        <f t="shared" si="250"/>
        <v>2.7776855099587272</v>
      </c>
      <c r="DF90" s="173">
        <f t="shared" si="251"/>
        <v>1.6997738946600542</v>
      </c>
      <c r="DG90" s="173">
        <f t="shared" si="252"/>
        <v>0.55110977087390545</v>
      </c>
      <c r="DH90" s="173"/>
      <c r="DI90" s="173">
        <f t="shared" si="253"/>
        <v>1.3598642855443031</v>
      </c>
      <c r="DJ90" s="545">
        <f t="shared" si="300"/>
        <v>843.4124999999998</v>
      </c>
      <c r="DK90" s="528">
        <f t="shared" si="254"/>
        <v>0.35273368606701955</v>
      </c>
      <c r="DM90" s="173">
        <f t="shared" si="255"/>
        <v>3.4496376621320679</v>
      </c>
      <c r="DN90" s="173">
        <f t="shared" si="256"/>
        <v>4.1967108282593397</v>
      </c>
      <c r="DO90" s="173">
        <f t="shared" si="257"/>
        <v>2.6625841526200871</v>
      </c>
      <c r="DQ90" s="545">
        <f t="shared" si="258"/>
        <v>850</v>
      </c>
      <c r="DR90" s="460">
        <f t="shared" si="259"/>
        <v>231.65521006096756</v>
      </c>
      <c r="DT90">
        <f t="shared" si="260"/>
        <v>850</v>
      </c>
      <c r="DU90">
        <f t="shared" si="261"/>
        <v>231.65521006096756</v>
      </c>
      <c r="DW90" s="5">
        <f t="shared" si="301"/>
        <v>4.316760239222841</v>
      </c>
      <c r="DX90" s="5">
        <f t="shared" si="262"/>
        <v>1.748629511774725</v>
      </c>
      <c r="DY90" s="5">
        <f t="shared" si="302"/>
        <v>2.568130727448116</v>
      </c>
      <c r="DZ90" s="5">
        <f t="shared" si="263"/>
        <v>2.5681307274481169</v>
      </c>
      <c r="EA90" s="173">
        <f t="shared" si="303"/>
        <v>0.40507913686898117</v>
      </c>
      <c r="EB90" s="173">
        <f t="shared" si="264"/>
        <v>20.400000000000002</v>
      </c>
      <c r="EC90" s="173">
        <f t="shared" si="265"/>
        <v>0.83265306122448957</v>
      </c>
      <c r="ED90" s="173">
        <f t="shared" si="304"/>
        <v>24.500000000000011</v>
      </c>
      <c r="EE90" s="460">
        <f t="shared" si="266"/>
        <v>6.1930628542021511</v>
      </c>
      <c r="EF90" s="5">
        <f t="shared" si="267"/>
        <v>1.819092598609082</v>
      </c>
      <c r="EG90" s="5"/>
      <c r="EH90" s="173">
        <f t="shared" si="305"/>
        <v>1.5421206619501686</v>
      </c>
      <c r="EI90" s="173">
        <f t="shared" si="268"/>
        <v>1.2465332050278422</v>
      </c>
      <c r="EJ90" s="173"/>
      <c r="EK90" s="528">
        <f t="shared" si="269"/>
        <v>9.5125445440545048E-2</v>
      </c>
      <c r="EL90" s="528">
        <f t="shared" si="270"/>
        <v>1.0785389999999999</v>
      </c>
      <c r="EM90" s="528">
        <f t="shared" si="271"/>
        <v>4.6331042012193506E-2</v>
      </c>
      <c r="EN90" s="528">
        <f t="shared" si="272"/>
        <v>6.5975730202941174E-2</v>
      </c>
      <c r="EO90">
        <f t="shared" si="273"/>
        <v>1.0800000000000001E-2</v>
      </c>
      <c r="EP90" s="460">
        <f t="shared" si="306"/>
        <v>57.131042012193504</v>
      </c>
      <c r="EQ90" s="528">
        <f t="shared" si="274"/>
        <v>1.3530361482370816</v>
      </c>
      <c r="ER90" s="460">
        <f t="shared" si="307"/>
        <v>1353.0361482370815</v>
      </c>
      <c r="ES90" s="528">
        <f t="shared" si="308"/>
        <v>0.73780000000000001</v>
      </c>
      <c r="ET90" s="528"/>
      <c r="EV90" s="460">
        <f t="shared" si="309"/>
        <v>737.8</v>
      </c>
      <c r="EW90" s="528">
        <f t="shared" si="275"/>
        <v>7.1344084080408779E-2</v>
      </c>
      <c r="EX90" s="528">
        <f t="shared" si="276"/>
        <v>4.6615350937109529E-2</v>
      </c>
      <c r="EY90" s="528">
        <f t="shared" si="277"/>
        <v>1.4734920547744272</v>
      </c>
      <c r="EZ90" s="528">
        <f t="shared" si="278"/>
        <v>1.635192666442417</v>
      </c>
      <c r="FA90" s="528">
        <f t="shared" si="279"/>
        <v>0.81599999999999995</v>
      </c>
      <c r="FB90" s="460">
        <f t="shared" si="310"/>
        <v>2451.1926664424172</v>
      </c>
      <c r="FC90" s="173">
        <f t="shared" si="311"/>
        <v>4.5420288146794983</v>
      </c>
      <c r="FD90" s="5">
        <f t="shared" si="312"/>
        <v>20.399999999999999</v>
      </c>
      <c r="FE90" s="173">
        <f t="shared" si="313"/>
        <v>0.81789657736237109</v>
      </c>
      <c r="FF90" s="5">
        <f t="shared" si="314"/>
        <v>81.789657736237103</v>
      </c>
      <c r="FI90" s="562">
        <f t="shared" si="280"/>
        <v>-50</v>
      </c>
      <c r="FJ90">
        <f t="shared" si="281"/>
        <v>-50</v>
      </c>
      <c r="FL90">
        <f t="shared" si="282"/>
        <v>0.59492086313101877</v>
      </c>
    </row>
    <row r="91" spans="5:168">
      <c r="E91" s="170">
        <v>86</v>
      </c>
      <c r="F91" s="217">
        <f t="shared" si="283"/>
        <v>0.86</v>
      </c>
      <c r="G91" s="217"/>
      <c r="H91" s="217">
        <f t="shared" si="183"/>
        <v>20.64</v>
      </c>
      <c r="I91" s="541">
        <f t="shared" si="184"/>
        <v>23.84531434070896</v>
      </c>
      <c r="J91" s="172">
        <f t="shared" si="185"/>
        <v>16.370993406404143</v>
      </c>
      <c r="K91" s="172">
        <f t="shared" si="186"/>
        <v>40.370993406404139</v>
      </c>
      <c r="L91" s="443"/>
      <c r="M91" s="217">
        <f t="shared" si="187"/>
        <v>0.40706513869177474</v>
      </c>
      <c r="N91" s="172">
        <f t="shared" si="188"/>
        <v>54.274971847533301</v>
      </c>
      <c r="O91" s="172">
        <f t="shared" si="284"/>
        <v>20.64</v>
      </c>
      <c r="P91" s="217">
        <f t="shared" si="189"/>
        <v>2.2614571603138875</v>
      </c>
      <c r="Q91" s="217">
        <f t="shared" si="190"/>
        <v>24</v>
      </c>
      <c r="R91" s="217">
        <f t="shared" si="191"/>
        <v>2.2468972660300137</v>
      </c>
      <c r="S91" s="172">
        <f t="shared" si="192"/>
        <v>118.43968851965879</v>
      </c>
      <c r="T91" s="172">
        <f t="shared" si="193"/>
        <v>24</v>
      </c>
      <c r="U91" s="217">
        <f t="shared" si="194"/>
        <v>4.349062288204995</v>
      </c>
      <c r="V91" s="217">
        <f t="shared" si="195"/>
        <v>1.8238645236813813</v>
      </c>
      <c r="W91" s="217">
        <f t="shared" si="196"/>
        <v>2.6565659030219222</v>
      </c>
      <c r="X91" s="197">
        <f t="shared" si="197"/>
        <v>350</v>
      </c>
      <c r="Y91" s="443">
        <f t="shared" si="198"/>
        <v>213.65556344875688</v>
      </c>
      <c r="AA91" s="217">
        <f t="shared" si="199"/>
        <v>2.773370205227633</v>
      </c>
      <c r="AB91" s="173">
        <f t="shared" si="200"/>
        <v>1.6940756961900205</v>
      </c>
      <c r="AC91" s="173">
        <f t="shared" si="201"/>
        <v>0.54840895792016475</v>
      </c>
      <c r="AD91" s="173"/>
      <c r="AE91" s="173">
        <f t="shared" si="202"/>
        <v>1.3574144018364305</v>
      </c>
      <c r="AF91" s="545">
        <f t="shared" si="203"/>
        <v>854.87511296110358</v>
      </c>
      <c r="AG91" s="528">
        <f t="shared" si="204"/>
        <v>0.35209821345412751</v>
      </c>
      <c r="AI91" s="173">
        <f t="shared" si="205"/>
        <v>3.4730001423652705</v>
      </c>
      <c r="AJ91" s="173">
        <f t="shared" si="206"/>
        <v>4.349062288204995</v>
      </c>
      <c r="AK91" s="173">
        <f t="shared" si="207"/>
        <v>2.7754370859131647</v>
      </c>
      <c r="AM91" s="545">
        <f t="shared" si="208"/>
        <v>860</v>
      </c>
      <c r="AN91" s="460">
        <f t="shared" si="209"/>
        <v>213.65556344875688</v>
      </c>
      <c r="AP91">
        <f t="shared" si="210"/>
        <v>860</v>
      </c>
      <c r="AQ91">
        <f t="shared" si="211"/>
        <v>213.65556344875688</v>
      </c>
      <c r="AS91" s="5">
        <f t="shared" si="285"/>
        <v>4.6804304267033041</v>
      </c>
      <c r="AT91" s="5">
        <f t="shared" si="212"/>
        <v>1.8238645236813813</v>
      </c>
      <c r="AU91" s="5">
        <f t="shared" si="286"/>
        <v>2.8565659030219228</v>
      </c>
      <c r="AV91" s="5">
        <f t="shared" si="213"/>
        <v>2.6565659030219222</v>
      </c>
      <c r="AW91" s="173">
        <f t="shared" si="287"/>
        <v>0.38967880246134412</v>
      </c>
      <c r="AX91" s="173">
        <f t="shared" si="214"/>
        <v>20.205772826762566</v>
      </c>
      <c r="AY91" s="173">
        <f t="shared" si="215"/>
        <v>0.88521735545314451</v>
      </c>
      <c r="AZ91" s="173">
        <f t="shared" si="288"/>
        <v>22.825775728740869</v>
      </c>
      <c r="BA91" s="460">
        <f t="shared" si="216"/>
        <v>6.5355145431916171</v>
      </c>
      <c r="BB91" s="5">
        <f t="shared" si="217"/>
        <v>2.0604858812071449</v>
      </c>
      <c r="BC91" s="5"/>
      <c r="BD91" s="173">
        <f t="shared" si="289"/>
        <v>1.5674308540261566</v>
      </c>
      <c r="BE91" s="173">
        <f t="shared" si="218"/>
        <v>1.3083985716515456</v>
      </c>
      <c r="BF91" s="173"/>
      <c r="BG91" s="528">
        <f t="shared" si="219"/>
        <v>9.8273579286126678E-2</v>
      </c>
      <c r="BH91" s="528">
        <f t="shared" si="220"/>
        <v>0.84403758874132906</v>
      </c>
      <c r="BI91" s="528">
        <f t="shared" si="221"/>
        <v>0.2037873628430758</v>
      </c>
      <c r="BJ91" s="528">
        <f t="shared" si="222"/>
        <v>6.0938411215607481E-2</v>
      </c>
      <c r="BK91">
        <f t="shared" si="223"/>
        <v>1.0730391453319032E-2</v>
      </c>
      <c r="BL91" s="460">
        <f t="shared" si="290"/>
        <v>214.51775429639483</v>
      </c>
      <c r="BM91" s="528">
        <f t="shared" si="224"/>
        <v>1.0544035604778024</v>
      </c>
      <c r="BN91" s="460">
        <f t="shared" si="291"/>
        <v>1054.4035604778023</v>
      </c>
      <c r="BO91" s="528">
        <f t="shared" si="225"/>
        <v>0.74647999999999992</v>
      </c>
      <c r="BP91" s="528"/>
      <c r="BR91" s="460">
        <f t="shared" si="292"/>
        <v>746.4799999999999</v>
      </c>
      <c r="BS91" s="528">
        <f t="shared" si="226"/>
        <v>7.3705184464594994E-2</v>
      </c>
      <c r="BT91" s="528">
        <f t="shared" si="227"/>
        <v>5.1357204668994134E-2</v>
      </c>
      <c r="BU91" s="528">
        <f t="shared" si="228"/>
        <v>0.30959999999999999</v>
      </c>
      <c r="BV91" s="528">
        <f t="shared" si="229"/>
        <v>0.46937343962608963</v>
      </c>
      <c r="BW91" s="528">
        <f t="shared" si="230"/>
        <v>0.80823091307050265</v>
      </c>
      <c r="BX91" s="460">
        <f t="shared" si="293"/>
        <v>1277.6043526965923</v>
      </c>
      <c r="BY91" s="173">
        <f t="shared" si="231"/>
        <v>3.2930056674707897</v>
      </c>
      <c r="BZ91" s="5">
        <f t="shared" si="294"/>
        <v>20.64</v>
      </c>
      <c r="CA91" s="173">
        <f t="shared" si="295"/>
        <v>0.86240735019978831</v>
      </c>
      <c r="CB91" s="5">
        <f t="shared" si="296"/>
        <v>86.240735019978828</v>
      </c>
      <c r="CE91" s="562">
        <f t="shared" si="232"/>
        <v>-50</v>
      </c>
      <c r="CF91">
        <f t="shared" si="233"/>
        <v>-50</v>
      </c>
      <c r="CG91" s="173">
        <f t="shared" si="234"/>
        <v>0.58347278588963403</v>
      </c>
      <c r="CI91" s="170">
        <v>86</v>
      </c>
      <c r="CJ91" s="217">
        <f t="shared" si="297"/>
        <v>0.86</v>
      </c>
      <c r="CK91" s="217"/>
      <c r="CL91" s="217">
        <f t="shared" si="235"/>
        <v>20.64</v>
      </c>
      <c r="CM91" s="541">
        <f t="shared" si="236"/>
        <v>24</v>
      </c>
      <c r="CN91" s="172">
        <f t="shared" si="237"/>
        <v>16.3415</v>
      </c>
      <c r="CO91" s="443">
        <f t="shared" si="238"/>
        <v>40.341499999999996</v>
      </c>
      <c r="CP91" s="443"/>
      <c r="CQ91" s="217">
        <f t="shared" si="239"/>
        <v>0.40507913686898112</v>
      </c>
      <c r="CR91" s="172">
        <f t="shared" si="240"/>
        <v>54.360539956785601</v>
      </c>
      <c r="CS91" s="172">
        <f t="shared" si="298"/>
        <v>20.64</v>
      </c>
      <c r="CT91" s="217">
        <f t="shared" si="241"/>
        <v>2.2650224981994</v>
      </c>
      <c r="CU91" s="217">
        <f t="shared" si="242"/>
        <v>24</v>
      </c>
      <c r="CV91" s="217">
        <f t="shared" si="243"/>
        <v>2.250439649272117</v>
      </c>
      <c r="CW91" s="172">
        <f t="shared" si="244"/>
        <v>119.20704264133315</v>
      </c>
      <c r="CX91" s="172">
        <f t="shared" si="245"/>
        <v>24</v>
      </c>
      <c r="CY91" s="217">
        <f t="shared" si="246"/>
        <v>4.2460838968270966</v>
      </c>
      <c r="CZ91" s="217">
        <f t="shared" si="247"/>
        <v>1.7692016236779571</v>
      </c>
      <c r="DA91" s="217">
        <f t="shared" si="248"/>
        <v>2.5983440301239771</v>
      </c>
      <c r="DB91" s="197">
        <f t="shared" si="249"/>
        <v>350</v>
      </c>
      <c r="DC91" s="443">
        <f t="shared" si="299"/>
        <v>228.96154482770049</v>
      </c>
      <c r="DE91" s="217">
        <f t="shared" si="250"/>
        <v>2.7776855099587272</v>
      </c>
      <c r="DF91" s="173">
        <f t="shared" si="251"/>
        <v>1.6997738946600542</v>
      </c>
      <c r="DG91" s="173">
        <f t="shared" si="252"/>
        <v>0.55110977087390545</v>
      </c>
      <c r="DH91" s="173"/>
      <c r="DI91" s="173">
        <f t="shared" si="253"/>
        <v>1.3598642855443031</v>
      </c>
      <c r="DJ91" s="545">
        <f t="shared" si="300"/>
        <v>853.33499999999981</v>
      </c>
      <c r="DK91" s="528">
        <f t="shared" si="254"/>
        <v>0.35273368606701955</v>
      </c>
      <c r="DM91" s="173">
        <f t="shared" si="255"/>
        <v>3.4698703145794942</v>
      </c>
      <c r="DN91" s="173">
        <f t="shared" si="256"/>
        <v>4.2460838968270966</v>
      </c>
      <c r="DO91" s="173">
        <f t="shared" si="257"/>
        <v>2.6991567960036109</v>
      </c>
      <c r="DQ91" s="545">
        <f t="shared" si="258"/>
        <v>860</v>
      </c>
      <c r="DR91" s="460">
        <f t="shared" si="259"/>
        <v>228.96154482770049</v>
      </c>
      <c r="DT91">
        <f t="shared" si="260"/>
        <v>860</v>
      </c>
      <c r="DU91">
        <f t="shared" si="261"/>
        <v>228.96154482770049</v>
      </c>
      <c r="DW91" s="5">
        <f t="shared" si="301"/>
        <v>4.3675456538019342</v>
      </c>
      <c r="DX91" s="5">
        <f t="shared" si="262"/>
        <v>1.7692016236779571</v>
      </c>
      <c r="DY91" s="5">
        <f t="shared" si="302"/>
        <v>2.5983440301239771</v>
      </c>
      <c r="DZ91" s="5">
        <f t="shared" si="263"/>
        <v>2.5983440301239771</v>
      </c>
      <c r="EA91" s="173">
        <f t="shared" si="303"/>
        <v>0.40507913686898106</v>
      </c>
      <c r="EB91" s="173">
        <f t="shared" si="264"/>
        <v>20.64</v>
      </c>
      <c r="EC91" s="173">
        <f t="shared" si="265"/>
        <v>0.84244897959183696</v>
      </c>
      <c r="ED91" s="173">
        <f t="shared" si="304"/>
        <v>24.499999999999993</v>
      </c>
      <c r="EE91" s="460">
        <f t="shared" si="266"/>
        <v>6.3396391515126806</v>
      </c>
      <c r="EF91" s="5">
        <f t="shared" si="267"/>
        <v>1.8621465549221832</v>
      </c>
      <c r="EG91" s="5"/>
      <c r="EH91" s="173">
        <f t="shared" si="305"/>
        <v>1.5602632579731117</v>
      </c>
      <c r="EI91" s="173">
        <f t="shared" si="268"/>
        <v>1.2611983015575816</v>
      </c>
      <c r="EJ91" s="173"/>
      <c r="EK91" s="528">
        <f t="shared" si="269"/>
        <v>9.7376857367234768E-2</v>
      </c>
      <c r="EL91" s="528">
        <f t="shared" si="270"/>
        <v>1.0785389999999999</v>
      </c>
      <c r="EM91" s="528">
        <f t="shared" si="271"/>
        <v>4.5792308965540096E-2</v>
      </c>
      <c r="EN91" s="528">
        <f t="shared" si="272"/>
        <v>6.5208570549418587E-2</v>
      </c>
      <c r="EO91">
        <f t="shared" si="273"/>
        <v>1.0800000000000001E-2</v>
      </c>
      <c r="EP91" s="460">
        <f t="shared" si="306"/>
        <v>56.592308965540099</v>
      </c>
      <c r="EQ91" s="528">
        <f t="shared" si="274"/>
        <v>1.3553672702845783</v>
      </c>
      <c r="ER91" s="460">
        <f t="shared" si="307"/>
        <v>1355.3672702845784</v>
      </c>
      <c r="ES91" s="528">
        <f t="shared" si="308"/>
        <v>0.74647999999999992</v>
      </c>
      <c r="ET91" s="528"/>
      <c r="EV91" s="460">
        <f t="shared" si="309"/>
        <v>746.4799999999999</v>
      </c>
      <c r="EW91" s="528">
        <f t="shared" si="275"/>
        <v>7.3032643025426072E-2</v>
      </c>
      <c r="EX91" s="528">
        <f t="shared" si="276"/>
        <v>4.7718634675551853E-2</v>
      </c>
      <c r="EY91" s="528">
        <f t="shared" si="277"/>
        <v>1.4734920547744268</v>
      </c>
      <c r="EZ91" s="528">
        <f t="shared" si="278"/>
        <v>1.639057098230535</v>
      </c>
      <c r="FA91" s="528">
        <f t="shared" si="279"/>
        <v>0.8256</v>
      </c>
      <c r="FB91" s="460">
        <f t="shared" si="310"/>
        <v>2464.6570982305352</v>
      </c>
      <c r="FC91" s="173">
        <f t="shared" si="311"/>
        <v>4.5665043685151128</v>
      </c>
      <c r="FD91" s="5">
        <f t="shared" si="312"/>
        <v>20.64</v>
      </c>
      <c r="FE91" s="173">
        <f t="shared" si="313"/>
        <v>0.8188362693313781</v>
      </c>
      <c r="FF91" s="5">
        <f t="shared" si="314"/>
        <v>81.883626933137805</v>
      </c>
      <c r="FI91" s="562">
        <f t="shared" si="280"/>
        <v>-50</v>
      </c>
      <c r="FJ91">
        <f t="shared" si="281"/>
        <v>-50</v>
      </c>
      <c r="FL91">
        <f t="shared" si="282"/>
        <v>0.594920863131019</v>
      </c>
    </row>
    <row r="92" spans="5:168">
      <c r="E92" s="170">
        <v>87</v>
      </c>
      <c r="F92" s="217">
        <f t="shared" si="283"/>
        <v>0.87</v>
      </c>
      <c r="G92" s="217"/>
      <c r="H92" s="217">
        <f t="shared" si="183"/>
        <v>20.88</v>
      </c>
      <c r="I92" s="541">
        <f t="shared" si="184"/>
        <v>23.843550953261047</v>
      </c>
      <c r="J92" s="172">
        <f t="shared" si="185"/>
        <v>16.371329625694852</v>
      </c>
      <c r="K92" s="172">
        <f t="shared" si="186"/>
        <v>40.371329625694855</v>
      </c>
      <c r="L92" s="443"/>
      <c r="M92" s="217">
        <f t="shared" si="187"/>
        <v>0.40708794762465489</v>
      </c>
      <c r="N92" s="172">
        <f t="shared" si="188"/>
        <v>54.273999098017747</v>
      </c>
      <c r="O92" s="172">
        <f t="shared" si="284"/>
        <v>20.88</v>
      </c>
      <c r="P92" s="217">
        <f t="shared" si="189"/>
        <v>2.2614166290840729</v>
      </c>
      <c r="Q92" s="217">
        <f t="shared" si="190"/>
        <v>24</v>
      </c>
      <c r="R92" s="217">
        <f t="shared" si="191"/>
        <v>2.2468569957516027</v>
      </c>
      <c r="S92" s="172">
        <f t="shared" si="192"/>
        <v>116.66277087617995</v>
      </c>
      <c r="T92" s="172">
        <f t="shared" si="193"/>
        <v>24</v>
      </c>
      <c r="U92" s="217">
        <f t="shared" si="194"/>
        <v>4.3998020308793935</v>
      </c>
      <c r="V92" s="217">
        <f t="shared" si="195"/>
        <v>1.8452796898851342</v>
      </c>
      <c r="W92" s="217">
        <f t="shared" si="196"/>
        <v>2.6875043942514552</v>
      </c>
      <c r="X92" s="197">
        <f t="shared" si="197"/>
        <v>350</v>
      </c>
      <c r="Y92" s="443">
        <f t="shared" si="198"/>
        <v>211.29212366814147</v>
      </c>
      <c r="AA92" s="217">
        <f t="shared" si="199"/>
        <v>2.7733204829596936</v>
      </c>
      <c r="AB92" s="173">
        <f t="shared" si="200"/>
        <v>1.6940105332721167</v>
      </c>
      <c r="AC92" s="173">
        <f t="shared" si="201"/>
        <v>0.54837803152162001</v>
      </c>
      <c r="AD92" s="173"/>
      <c r="AE92" s="173">
        <f t="shared" si="202"/>
        <v>1.3573865245095535</v>
      </c>
      <c r="AF92" s="545">
        <f t="shared" si="203"/>
        <v>864.83328240083665</v>
      </c>
      <c r="AG92" s="528">
        <f t="shared" si="204"/>
        <v>0.35209098238528364</v>
      </c>
      <c r="AI92" s="173">
        <f t="shared" si="205"/>
        <v>3.4931695151234026</v>
      </c>
      <c r="AJ92" s="173">
        <f t="shared" si="206"/>
        <v>4.3998020308793935</v>
      </c>
      <c r="AK92" s="173">
        <f t="shared" si="207"/>
        <v>2.8130220804867934</v>
      </c>
      <c r="AM92" s="545">
        <f t="shared" si="208"/>
        <v>870</v>
      </c>
      <c r="AN92" s="460">
        <f t="shared" si="209"/>
        <v>211.29212366814147</v>
      </c>
      <c r="AP92">
        <f t="shared" si="210"/>
        <v>870</v>
      </c>
      <c r="AQ92">
        <f t="shared" si="211"/>
        <v>211.29212366814147</v>
      </c>
      <c r="AS92" s="5">
        <f t="shared" si="285"/>
        <v>4.7327840841365898</v>
      </c>
      <c r="AT92" s="5">
        <f t="shared" si="212"/>
        <v>1.8452796898851342</v>
      </c>
      <c r="AU92" s="5">
        <f t="shared" si="286"/>
        <v>2.8875043942514553</v>
      </c>
      <c r="AV92" s="5">
        <f t="shared" si="213"/>
        <v>2.6875043942514552</v>
      </c>
      <c r="AW92" s="173">
        <f t="shared" si="287"/>
        <v>0.38989306443751953</v>
      </c>
      <c r="AX92" s="173">
        <f t="shared" si="214"/>
        <v>20.451237122580459</v>
      </c>
      <c r="AY92" s="173">
        <f t="shared" si="215"/>
        <v>0.89523063633615851</v>
      </c>
      <c r="AZ92" s="173">
        <f t="shared" si="288"/>
        <v>22.844657334650279</v>
      </c>
      <c r="BA92" s="460">
        <f t="shared" si="216"/>
        <v>6.6891388758336117</v>
      </c>
      <c r="BB92" s="5">
        <f t="shared" si="217"/>
        <v>2.1071767606453649</v>
      </c>
      <c r="BC92" s="5"/>
      <c r="BD92" s="173">
        <f t="shared" si="289"/>
        <v>1.5861536809805581</v>
      </c>
      <c r="BE92" s="173">
        <f t="shared" si="218"/>
        <v>1.3234310611509785</v>
      </c>
      <c r="BF92" s="173"/>
      <c r="BG92" s="528">
        <f t="shared" si="219"/>
        <v>0.10063533998752697</v>
      </c>
      <c r="BH92" s="528">
        <f t="shared" si="220"/>
        <v>0.84444625735527512</v>
      </c>
      <c r="BI92" s="528">
        <f t="shared" si="221"/>
        <v>0.20151818066816263</v>
      </c>
      <c r="BJ92" s="528">
        <f t="shared" si="222"/>
        <v>6.0265319457875173E-2</v>
      </c>
      <c r="BK92">
        <f t="shared" si="223"/>
        <v>1.0729597928967471E-2</v>
      </c>
      <c r="BL92" s="460">
        <f t="shared" si="290"/>
        <v>212.24777859713009</v>
      </c>
      <c r="BM92" s="528">
        <f t="shared" si="224"/>
        <v>1.057811749625067</v>
      </c>
      <c r="BN92" s="460">
        <f t="shared" si="291"/>
        <v>1057.811749625067</v>
      </c>
      <c r="BO92" s="528">
        <f t="shared" si="225"/>
        <v>0.75515999999999994</v>
      </c>
      <c r="BP92" s="528"/>
      <c r="BR92" s="460">
        <f t="shared" si="292"/>
        <v>755.16</v>
      </c>
      <c r="BS92" s="528">
        <f t="shared" si="226"/>
        <v>7.5476504990645218E-2</v>
      </c>
      <c r="BT92" s="528">
        <f t="shared" si="227"/>
        <v>5.2544093208576149E-2</v>
      </c>
      <c r="BU92" s="528">
        <f t="shared" si="228"/>
        <v>0.31319999999999998</v>
      </c>
      <c r="BV92" s="528">
        <f t="shared" si="229"/>
        <v>0.47682905705689005</v>
      </c>
      <c r="BW92" s="528">
        <f t="shared" si="230"/>
        <v>0.81804948490321838</v>
      </c>
      <c r="BX92" s="460">
        <f t="shared" si="293"/>
        <v>1294.8785419601086</v>
      </c>
      <c r="BY92" s="173">
        <f t="shared" si="231"/>
        <v>3.320098070182306</v>
      </c>
      <c r="BZ92" s="5">
        <f t="shared" si="294"/>
        <v>20.88</v>
      </c>
      <c r="CA92" s="173">
        <f t="shared" si="295"/>
        <v>0.8628064208436782</v>
      </c>
      <c r="CB92" s="5">
        <f t="shared" si="296"/>
        <v>86.280642084367827</v>
      </c>
      <c r="CE92" s="562">
        <f t="shared" si="232"/>
        <v>-50</v>
      </c>
      <c r="CF92">
        <f t="shared" si="233"/>
        <v>-50</v>
      </c>
      <c r="CG92" s="173">
        <f t="shared" si="234"/>
        <v>0.5836043729843623</v>
      </c>
      <c r="CI92" s="170">
        <v>87</v>
      </c>
      <c r="CJ92" s="217">
        <f t="shared" si="297"/>
        <v>0.87</v>
      </c>
      <c r="CK92" s="217"/>
      <c r="CL92" s="217">
        <f t="shared" si="235"/>
        <v>20.88</v>
      </c>
      <c r="CM92" s="541">
        <f t="shared" si="236"/>
        <v>24</v>
      </c>
      <c r="CN92" s="172">
        <f t="shared" si="237"/>
        <v>16.3415</v>
      </c>
      <c r="CO92" s="443">
        <f t="shared" si="238"/>
        <v>40.341499999999996</v>
      </c>
      <c r="CP92" s="443"/>
      <c r="CQ92" s="217">
        <f t="shared" si="239"/>
        <v>0.40507913686898112</v>
      </c>
      <c r="CR92" s="172">
        <f t="shared" si="240"/>
        <v>54.360539956785601</v>
      </c>
      <c r="CS92" s="172">
        <f t="shared" si="298"/>
        <v>20.88</v>
      </c>
      <c r="CT92" s="217">
        <f t="shared" si="241"/>
        <v>2.2650224981994</v>
      </c>
      <c r="CU92" s="217">
        <f t="shared" si="242"/>
        <v>24</v>
      </c>
      <c r="CV92" s="217">
        <f t="shared" si="243"/>
        <v>2.250439649272117</v>
      </c>
      <c r="CW92" s="172">
        <f t="shared" si="244"/>
        <v>117.42725617440453</v>
      </c>
      <c r="CX92" s="172">
        <f t="shared" si="245"/>
        <v>24</v>
      </c>
      <c r="CY92" s="217">
        <f t="shared" si="246"/>
        <v>4.2954569653948536</v>
      </c>
      <c r="CZ92" s="217">
        <f t="shared" si="247"/>
        <v>1.7897737355811891</v>
      </c>
      <c r="DA92" s="217">
        <f t="shared" si="248"/>
        <v>2.6285573327998368</v>
      </c>
      <c r="DB92" s="197">
        <f t="shared" si="249"/>
        <v>350</v>
      </c>
      <c r="DC92" s="443">
        <f t="shared" si="299"/>
        <v>226.32980293312926</v>
      </c>
      <c r="DE92" s="217">
        <f t="shared" si="250"/>
        <v>2.7776855099587272</v>
      </c>
      <c r="DF92" s="173">
        <f t="shared" si="251"/>
        <v>1.6997738946600542</v>
      </c>
      <c r="DG92" s="173">
        <f t="shared" si="252"/>
        <v>0.55110977087390545</v>
      </c>
      <c r="DH92" s="173"/>
      <c r="DI92" s="173">
        <f t="shared" si="253"/>
        <v>1.3598642855443031</v>
      </c>
      <c r="DJ92" s="545">
        <f t="shared" si="300"/>
        <v>863.25749999999982</v>
      </c>
      <c r="DK92" s="528">
        <f t="shared" si="254"/>
        <v>0.35273368606701955</v>
      </c>
      <c r="DM92" s="173">
        <f t="shared" si="255"/>
        <v>3.4899856733230292</v>
      </c>
      <c r="DN92" s="173">
        <f t="shared" si="256"/>
        <v>4.2954569653948536</v>
      </c>
      <c r="DO92" s="173">
        <f t="shared" si="257"/>
        <v>2.7357294393871343</v>
      </c>
      <c r="DQ92" s="545">
        <f t="shared" si="258"/>
        <v>870</v>
      </c>
      <c r="DR92" s="460">
        <f t="shared" si="259"/>
        <v>226.32980293312926</v>
      </c>
      <c r="DT92">
        <f t="shared" si="260"/>
        <v>870</v>
      </c>
      <c r="DU92">
        <f t="shared" si="261"/>
        <v>226.32980293312926</v>
      </c>
      <c r="DW92" s="5">
        <f t="shared" si="301"/>
        <v>4.4183310683810255</v>
      </c>
      <c r="DX92" s="5">
        <f t="shared" si="262"/>
        <v>1.7897737355811891</v>
      </c>
      <c r="DY92" s="5">
        <f t="shared" si="302"/>
        <v>2.6285573327998364</v>
      </c>
      <c r="DZ92" s="5">
        <f t="shared" si="263"/>
        <v>2.6285573327998368</v>
      </c>
      <c r="EA92" s="173">
        <f t="shared" si="303"/>
        <v>0.40507913686898117</v>
      </c>
      <c r="EB92" s="173">
        <f t="shared" si="264"/>
        <v>20.88</v>
      </c>
      <c r="EC92" s="173">
        <f t="shared" si="265"/>
        <v>0.85224489795918346</v>
      </c>
      <c r="ED92" s="173">
        <f t="shared" si="304"/>
        <v>24.500000000000004</v>
      </c>
      <c r="EE92" s="460">
        <f t="shared" si="266"/>
        <v>6.4879297914818101</v>
      </c>
      <c r="EF92" s="5">
        <f t="shared" si="267"/>
        <v>1.9057040662798812</v>
      </c>
      <c r="EG92" s="5"/>
      <c r="EH92" s="173">
        <f t="shared" si="305"/>
        <v>1.5784058539960548</v>
      </c>
      <c r="EI92" s="173">
        <f t="shared" si="268"/>
        <v>1.2758633980873206</v>
      </c>
      <c r="EJ92" s="173"/>
      <c r="EK92" s="528">
        <f t="shared" si="269"/>
        <v>9.9654601597160608E-2</v>
      </c>
      <c r="EL92" s="528">
        <f t="shared" si="270"/>
        <v>1.0785390000000001</v>
      </c>
      <c r="EM92" s="528">
        <f t="shared" si="271"/>
        <v>4.5265960586625846E-2</v>
      </c>
      <c r="EN92" s="528">
        <f t="shared" si="272"/>
        <v>6.4459046749999999E-2</v>
      </c>
      <c r="EO92">
        <f t="shared" si="273"/>
        <v>1.0800000000000001E-2</v>
      </c>
      <c r="EP92" s="460">
        <f t="shared" si="306"/>
        <v>56.065960586625842</v>
      </c>
      <c r="EQ92" s="528">
        <f t="shared" si="274"/>
        <v>1.3577746489939415</v>
      </c>
      <c r="ER92" s="460">
        <f t="shared" si="307"/>
        <v>1357.7746489939416</v>
      </c>
      <c r="ES92" s="528">
        <f t="shared" si="308"/>
        <v>0.75515999999999994</v>
      </c>
      <c r="ET92" s="528"/>
      <c r="EV92" s="460">
        <f t="shared" si="309"/>
        <v>755.16</v>
      </c>
      <c r="EW92" s="528">
        <f t="shared" si="275"/>
        <v>7.4740951197870456E-2</v>
      </c>
      <c r="EX92" s="528">
        <f t="shared" si="276"/>
        <v>4.8834822317367743E-2</v>
      </c>
      <c r="EY92" s="528">
        <f t="shared" si="277"/>
        <v>1.4734920547744277</v>
      </c>
      <c r="EZ92" s="528">
        <f t="shared" si="278"/>
        <v>1.6429685022151155</v>
      </c>
      <c r="FA92" s="528">
        <f t="shared" si="279"/>
        <v>0.83520000000000005</v>
      </c>
      <c r="FB92" s="460">
        <f t="shared" si="310"/>
        <v>2478.1685022151155</v>
      </c>
      <c r="FC92" s="173">
        <f t="shared" si="311"/>
        <v>4.5911031512090572</v>
      </c>
      <c r="FD92" s="5">
        <f t="shared" si="312"/>
        <v>20.88</v>
      </c>
      <c r="FE92" s="173">
        <f t="shared" si="313"/>
        <v>0.81975248092106567</v>
      </c>
      <c r="FF92" s="5">
        <f t="shared" si="314"/>
        <v>81.975248092106568</v>
      </c>
      <c r="FI92" s="562">
        <f t="shared" si="280"/>
        <v>-50</v>
      </c>
      <c r="FJ92">
        <f t="shared" si="281"/>
        <v>-50</v>
      </c>
      <c r="FL92">
        <f t="shared" si="282"/>
        <v>0.59492086313101877</v>
      </c>
    </row>
    <row r="93" spans="5:168">
      <c r="E93" s="170">
        <v>88</v>
      </c>
      <c r="F93" s="217">
        <f t="shared" si="283"/>
        <v>0.88</v>
      </c>
      <c r="G93" s="217"/>
      <c r="H93" s="217">
        <f t="shared" si="183"/>
        <v>21.12</v>
      </c>
      <c r="I93" s="541">
        <f t="shared" si="184"/>
        <v>23.84178755026743</v>
      </c>
      <c r="J93" s="172">
        <f t="shared" si="185"/>
        <v>16.371665847949604</v>
      </c>
      <c r="K93" s="172">
        <f t="shared" si="186"/>
        <v>40.3716658479496</v>
      </c>
      <c r="L93" s="443"/>
      <c r="M93" s="217">
        <f t="shared" si="187"/>
        <v>0.40711075833376525</v>
      </c>
      <c r="N93" s="172">
        <f t="shared" si="188"/>
        <v>54.273026100112475</v>
      </c>
      <c r="O93" s="172">
        <f t="shared" si="284"/>
        <v>21.12</v>
      </c>
      <c r="P93" s="217">
        <f t="shared" si="189"/>
        <v>2.2613760875046864</v>
      </c>
      <c r="Q93" s="217">
        <f t="shared" si="190"/>
        <v>24</v>
      </c>
      <c r="R93" s="217">
        <f t="shared" si="191"/>
        <v>2.2468167151902541</v>
      </c>
      <c r="S93" s="172">
        <f t="shared" si="192"/>
        <v>114.92636477088833</v>
      </c>
      <c r="T93" s="172">
        <f t="shared" si="193"/>
        <v>24</v>
      </c>
      <c r="U93" s="217">
        <f t="shared" si="194"/>
        <v>4.4505456908857228</v>
      </c>
      <c r="V93" s="217">
        <f t="shared" si="195"/>
        <v>1.8666996681781112</v>
      </c>
      <c r="W93" s="217">
        <f t="shared" si="196"/>
        <v>2.718444006993407</v>
      </c>
      <c r="X93" s="197">
        <f t="shared" si="197"/>
        <v>350</v>
      </c>
      <c r="Y93" s="443">
        <f t="shared" si="198"/>
        <v>208.98014101199502</v>
      </c>
      <c r="AA93" s="217">
        <f t="shared" si="199"/>
        <v>2.7732707482991574</v>
      </c>
      <c r="AB93" s="173">
        <f t="shared" si="200"/>
        <v>1.6939453651544467</v>
      </c>
      <c r="AC93" s="173">
        <f t="shared" si="201"/>
        <v>0.54834710174591228</v>
      </c>
      <c r="AD93" s="173"/>
      <c r="AE93" s="173">
        <f t="shared" si="202"/>
        <v>1.3573586480819453</v>
      </c>
      <c r="AF93" s="545">
        <f t="shared" si="203"/>
        <v>874.79186030123492</v>
      </c>
      <c r="AG93" s="528">
        <f t="shared" si="204"/>
        <v>0.35208375154970017</v>
      </c>
      <c r="AI93" s="173">
        <f t="shared" si="205"/>
        <v>3.5132239178593769</v>
      </c>
      <c r="AJ93" s="173">
        <f t="shared" si="206"/>
        <v>4.4505456908857228</v>
      </c>
      <c r="AK93" s="173">
        <f t="shared" si="207"/>
        <v>2.8506099767877782</v>
      </c>
      <c r="AM93" s="545">
        <f t="shared" si="208"/>
        <v>880</v>
      </c>
      <c r="AN93" s="460">
        <f t="shared" si="209"/>
        <v>208.98014101199502</v>
      </c>
      <c r="AP93">
        <f t="shared" si="210"/>
        <v>880</v>
      </c>
      <c r="AQ93">
        <f t="shared" si="211"/>
        <v>208.98014101199502</v>
      </c>
      <c r="AS93" s="5">
        <f t="shared" si="285"/>
        <v>4.7851436751715184</v>
      </c>
      <c r="AT93" s="5">
        <f t="shared" si="212"/>
        <v>1.8666996681781112</v>
      </c>
      <c r="AU93" s="5">
        <f t="shared" si="286"/>
        <v>2.9184440069934072</v>
      </c>
      <c r="AV93" s="5">
        <f t="shared" si="213"/>
        <v>2.718444006993407</v>
      </c>
      <c r="AW93" s="173">
        <f t="shared" si="287"/>
        <v>0.390103159882906</v>
      </c>
      <c r="AX93" s="173">
        <f t="shared" si="214"/>
        <v>20.696721238941169</v>
      </c>
      <c r="AY93" s="173">
        <f t="shared" si="215"/>
        <v>0.90524364684826186</v>
      </c>
      <c r="AZ93" s="173">
        <f t="shared" si="288"/>
        <v>22.863149949739864</v>
      </c>
      <c r="BA93" s="460">
        <f t="shared" si="216"/>
        <v>6.8445654499864075</v>
      </c>
      <c r="BB93" s="5">
        <f t="shared" si="217"/>
        <v>2.1543944393761625</v>
      </c>
      <c r="BC93" s="5"/>
      <c r="BD93" s="173">
        <f t="shared" si="289"/>
        <v>1.6048792824613809</v>
      </c>
      <c r="BE93" s="173">
        <f t="shared" si="218"/>
        <v>1.3384638999470084</v>
      </c>
      <c r="BF93" s="173"/>
      <c r="BG93" s="528">
        <f t="shared" si="219"/>
        <v>0.10302550045095027</v>
      </c>
      <c r="BH93" s="528">
        <f t="shared" si="220"/>
        <v>0.84484584007985442</v>
      </c>
      <c r="BI93" s="528">
        <f t="shared" si="221"/>
        <v>0.19929840496931658</v>
      </c>
      <c r="BJ93" s="528">
        <f t="shared" si="222"/>
        <v>5.9606882247692144E-2</v>
      </c>
      <c r="BK93">
        <f t="shared" si="223"/>
        <v>1.0728804397620343E-2</v>
      </c>
      <c r="BL93" s="460">
        <f t="shared" si="290"/>
        <v>210.02720936693692</v>
      </c>
      <c r="BM93" s="528">
        <f t="shared" si="224"/>
        <v>1.0612738815075149</v>
      </c>
      <c r="BN93" s="460">
        <f t="shared" si="291"/>
        <v>1061.2738815075149</v>
      </c>
      <c r="BO93" s="528">
        <f t="shared" si="225"/>
        <v>0.76383999999999996</v>
      </c>
      <c r="BP93" s="528"/>
      <c r="BR93" s="460">
        <f t="shared" si="292"/>
        <v>763.83999999999992</v>
      </c>
      <c r="BS93" s="528">
        <f t="shared" si="226"/>
        <v>7.7269125338212702E-2</v>
      </c>
      <c r="BT93" s="528">
        <f t="shared" si="227"/>
        <v>5.3744568343840657E-2</v>
      </c>
      <c r="BU93" s="528">
        <f t="shared" si="228"/>
        <v>0.31680000000000003</v>
      </c>
      <c r="BV93" s="528">
        <f t="shared" si="229"/>
        <v>0.48433332398563933</v>
      </c>
      <c r="BW93" s="528">
        <f t="shared" si="230"/>
        <v>0.82786884955764695</v>
      </c>
      <c r="BX93" s="460">
        <f t="shared" si="293"/>
        <v>1312.2021735432863</v>
      </c>
      <c r="BY93" s="173">
        <f t="shared" si="231"/>
        <v>3.3473432644177383</v>
      </c>
      <c r="BZ93" s="5">
        <f t="shared" si="294"/>
        <v>21.12</v>
      </c>
      <c r="CA93" s="173">
        <f t="shared" si="295"/>
        <v>0.86319138828261355</v>
      </c>
      <c r="CB93" s="5">
        <f t="shared" si="296"/>
        <v>86.319138828261359</v>
      </c>
      <c r="CE93" s="562">
        <f t="shared" si="232"/>
        <v>-50</v>
      </c>
      <c r="CF93">
        <f t="shared" si="233"/>
        <v>-50</v>
      </c>
      <c r="CG93" s="173">
        <f t="shared" si="234"/>
        <v>0.58373296946330178</v>
      </c>
      <c r="CI93" s="170">
        <v>88</v>
      </c>
      <c r="CJ93" s="217">
        <f t="shared" si="297"/>
        <v>0.88</v>
      </c>
      <c r="CK93" s="217"/>
      <c r="CL93" s="217">
        <f t="shared" si="235"/>
        <v>21.12</v>
      </c>
      <c r="CM93" s="541">
        <f t="shared" si="236"/>
        <v>24</v>
      </c>
      <c r="CN93" s="172">
        <f t="shared" si="237"/>
        <v>16.3415</v>
      </c>
      <c r="CO93" s="443">
        <f t="shared" si="238"/>
        <v>40.341499999999996</v>
      </c>
      <c r="CP93" s="443"/>
      <c r="CQ93" s="217">
        <f t="shared" si="239"/>
        <v>0.40507913686898112</v>
      </c>
      <c r="CR93" s="172">
        <f t="shared" si="240"/>
        <v>54.360539956785601</v>
      </c>
      <c r="CS93" s="172">
        <f t="shared" si="298"/>
        <v>21.12</v>
      </c>
      <c r="CT93" s="217">
        <f t="shared" si="241"/>
        <v>2.2650224981994</v>
      </c>
      <c r="CU93" s="217">
        <f t="shared" si="242"/>
        <v>24</v>
      </c>
      <c r="CV93" s="217">
        <f t="shared" si="243"/>
        <v>2.250439649272117</v>
      </c>
      <c r="CW93" s="172">
        <f t="shared" si="244"/>
        <v>115.68798645014006</v>
      </c>
      <c r="CX93" s="172">
        <f t="shared" si="245"/>
        <v>24</v>
      </c>
      <c r="CY93" s="217">
        <f t="shared" si="246"/>
        <v>4.3448300339626105</v>
      </c>
      <c r="CZ93" s="217">
        <f t="shared" si="247"/>
        <v>1.8103458474844212</v>
      </c>
      <c r="DA93" s="217">
        <f t="shared" si="248"/>
        <v>2.6587706354756975</v>
      </c>
      <c r="DB93" s="197">
        <f t="shared" si="249"/>
        <v>350</v>
      </c>
      <c r="DC93" s="443">
        <f t="shared" si="299"/>
        <v>223.75787335434367</v>
      </c>
      <c r="DE93" s="217">
        <f t="shared" si="250"/>
        <v>2.7776855099587272</v>
      </c>
      <c r="DF93" s="173">
        <f t="shared" si="251"/>
        <v>1.6997738946600542</v>
      </c>
      <c r="DG93" s="173">
        <f t="shared" si="252"/>
        <v>0.55110977087390545</v>
      </c>
      <c r="DH93" s="173"/>
      <c r="DI93" s="173">
        <f t="shared" si="253"/>
        <v>1.3598642855443031</v>
      </c>
      <c r="DJ93" s="545">
        <f t="shared" si="300"/>
        <v>873.17999999999972</v>
      </c>
      <c r="DK93" s="528">
        <f t="shared" si="254"/>
        <v>0.35273368606701955</v>
      </c>
      <c r="DM93" s="173">
        <f t="shared" si="255"/>
        <v>3.5099857549568485</v>
      </c>
      <c r="DN93" s="173">
        <f t="shared" si="256"/>
        <v>4.3448300339626105</v>
      </c>
      <c r="DO93" s="173">
        <f t="shared" si="257"/>
        <v>2.7723020827706577</v>
      </c>
      <c r="DQ93" s="545">
        <f t="shared" si="258"/>
        <v>880</v>
      </c>
      <c r="DR93" s="460">
        <f t="shared" si="259"/>
        <v>223.75787335434367</v>
      </c>
      <c r="DT93">
        <f t="shared" si="260"/>
        <v>880</v>
      </c>
      <c r="DU93">
        <f t="shared" si="261"/>
        <v>223.75787335434367</v>
      </c>
      <c r="DW93" s="5">
        <f t="shared" si="301"/>
        <v>4.4691164829601187</v>
      </c>
      <c r="DX93" s="5">
        <f t="shared" si="262"/>
        <v>1.8103458474844212</v>
      </c>
      <c r="DY93" s="5">
        <f t="shared" si="302"/>
        <v>2.6587706354756975</v>
      </c>
      <c r="DZ93" s="5">
        <f t="shared" si="263"/>
        <v>2.6587706354756975</v>
      </c>
      <c r="EA93" s="173">
        <f t="shared" si="303"/>
        <v>0.40507913686898106</v>
      </c>
      <c r="EB93" s="173">
        <f t="shared" si="264"/>
        <v>21.12</v>
      </c>
      <c r="EC93" s="173">
        <f t="shared" si="265"/>
        <v>0.86204081632653073</v>
      </c>
      <c r="ED93" s="173">
        <f t="shared" si="304"/>
        <v>24.499999999999996</v>
      </c>
      <c r="EE93" s="460">
        <f t="shared" si="266"/>
        <v>6.637934774109544</v>
      </c>
      <c r="EF93" s="5">
        <f t="shared" si="267"/>
        <v>1.9497651326821779</v>
      </c>
      <c r="EG93" s="5"/>
      <c r="EH93" s="173">
        <f t="shared" si="305"/>
        <v>1.5965484500189979</v>
      </c>
      <c r="EI93" s="173">
        <f t="shared" si="268"/>
        <v>1.2905284946170603</v>
      </c>
      <c r="EJ93" s="173"/>
      <c r="EK93" s="528">
        <f t="shared" si="269"/>
        <v>0.10195867813032258</v>
      </c>
      <c r="EL93" s="528">
        <f t="shared" si="270"/>
        <v>1.0785389999999999</v>
      </c>
      <c r="EM93" s="528">
        <f t="shared" si="271"/>
        <v>4.4751574670868731E-2</v>
      </c>
      <c r="EN93" s="528">
        <f t="shared" si="272"/>
        <v>6.3726557582386351E-2</v>
      </c>
      <c r="EO93">
        <f t="shared" si="273"/>
        <v>1.0800000000000001E-2</v>
      </c>
      <c r="EP93" s="460">
        <f t="shared" si="306"/>
        <v>55.551574670868725</v>
      </c>
      <c r="EQ93" s="528">
        <f t="shared" si="274"/>
        <v>1.3602574087196282</v>
      </c>
      <c r="ER93" s="460">
        <f t="shared" si="307"/>
        <v>1360.2574087196283</v>
      </c>
      <c r="ES93" s="528">
        <f t="shared" si="308"/>
        <v>0.76383999999999996</v>
      </c>
      <c r="ET93" s="528"/>
      <c r="EV93" s="460">
        <f t="shared" si="309"/>
        <v>763.83999999999992</v>
      </c>
      <c r="EW93" s="528">
        <f t="shared" si="275"/>
        <v>7.646900859774193E-2</v>
      </c>
      <c r="EX93" s="528">
        <f t="shared" si="276"/>
        <v>4.9963913862557274E-2</v>
      </c>
      <c r="EY93" s="528">
        <f t="shared" si="277"/>
        <v>1.473492054774425</v>
      </c>
      <c r="EZ93" s="528">
        <f t="shared" si="278"/>
        <v>1.6469269415288841</v>
      </c>
      <c r="FA93" s="528">
        <f t="shared" si="279"/>
        <v>0.8448</v>
      </c>
      <c r="FB93" s="460">
        <f t="shared" si="310"/>
        <v>2491.7269415288843</v>
      </c>
      <c r="FC93" s="173">
        <f t="shared" si="311"/>
        <v>4.6158243502485128</v>
      </c>
      <c r="FD93" s="5">
        <f t="shared" si="312"/>
        <v>21.12</v>
      </c>
      <c r="FE93" s="173">
        <f t="shared" si="313"/>
        <v>0.82064594910852584</v>
      </c>
      <c r="FF93" s="5">
        <f t="shared" si="314"/>
        <v>82.064594910852577</v>
      </c>
      <c r="FI93" s="562">
        <f t="shared" si="280"/>
        <v>-50</v>
      </c>
      <c r="FJ93">
        <f t="shared" si="281"/>
        <v>-50</v>
      </c>
      <c r="FL93">
        <f t="shared" si="282"/>
        <v>0.594920863131019</v>
      </c>
    </row>
    <row r="94" spans="5:168">
      <c r="E94" s="170">
        <v>89</v>
      </c>
      <c r="F94" s="217">
        <f t="shared" si="283"/>
        <v>0.89</v>
      </c>
      <c r="G94" s="217"/>
      <c r="H94" s="217">
        <f t="shared" si="183"/>
        <v>21.36</v>
      </c>
      <c r="I94" s="541">
        <f t="shared" si="184"/>
        <v>23.840024132262048</v>
      </c>
      <c r="J94" s="172">
        <f t="shared" si="185"/>
        <v>16.372002073066604</v>
      </c>
      <c r="K94" s="172">
        <f t="shared" si="186"/>
        <v>40.372002073066604</v>
      </c>
      <c r="L94" s="443"/>
      <c r="M94" s="217">
        <f t="shared" si="187"/>
        <v>0.40713357081391571</v>
      </c>
      <c r="N94" s="172">
        <f t="shared" si="188"/>
        <v>54.272052854282663</v>
      </c>
      <c r="O94" s="172">
        <f t="shared" si="284"/>
        <v>21.36</v>
      </c>
      <c r="P94" s="217">
        <f t="shared" si="189"/>
        <v>2.2613355355951108</v>
      </c>
      <c r="Q94" s="217">
        <f t="shared" si="190"/>
        <v>24</v>
      </c>
      <c r="R94" s="217">
        <f t="shared" si="191"/>
        <v>2.2467764243652248</v>
      </c>
      <c r="S94" s="172">
        <f t="shared" si="192"/>
        <v>113.22910532690246</v>
      </c>
      <c r="T94" s="172">
        <f t="shared" si="193"/>
        <v>24</v>
      </c>
      <c r="U94" s="217">
        <f t="shared" si="194"/>
        <v>4.5012932690928205</v>
      </c>
      <c r="V94" s="217">
        <f t="shared" si="195"/>
        <v>1.8881244599921962</v>
      </c>
      <c r="W94" s="217">
        <f t="shared" si="196"/>
        <v>2.7493847417096582</v>
      </c>
      <c r="X94" s="197">
        <f t="shared" si="197"/>
        <v>350</v>
      </c>
      <c r="Y94" s="443">
        <f t="shared" si="198"/>
        <v>206.71795304248641</v>
      </c>
      <c r="AA94" s="217">
        <f t="shared" si="199"/>
        <v>2.7732210012595022</v>
      </c>
      <c r="AB94" s="173">
        <f t="shared" si="200"/>
        <v>1.6938801918561304</v>
      </c>
      <c r="AC94" s="173">
        <f t="shared" si="201"/>
        <v>0.54831616860226873</v>
      </c>
      <c r="AD94" s="173"/>
      <c r="AE94" s="173">
        <f t="shared" si="202"/>
        <v>1.3573307725620041</v>
      </c>
      <c r="AF94" s="545">
        <f t="shared" si="203"/>
        <v>884.75084666219743</v>
      </c>
      <c r="AG94" s="528">
        <f t="shared" si="204"/>
        <v>0.35207652094955538</v>
      </c>
      <c r="AI94" s="173">
        <f t="shared" si="205"/>
        <v>3.5331653082983432</v>
      </c>
      <c r="AJ94" s="173">
        <f t="shared" si="206"/>
        <v>4.5012932690928205</v>
      </c>
      <c r="AK94" s="173">
        <f t="shared" si="207"/>
        <v>2.8882007754597021</v>
      </c>
      <c r="AM94" s="545">
        <f t="shared" si="208"/>
        <v>890</v>
      </c>
      <c r="AN94" s="460">
        <f t="shared" si="209"/>
        <v>206.71795304248641</v>
      </c>
      <c r="AP94">
        <f t="shared" si="210"/>
        <v>890</v>
      </c>
      <c r="AQ94">
        <f t="shared" si="211"/>
        <v>206.71795304248641</v>
      </c>
      <c r="AS94" s="5">
        <f t="shared" si="285"/>
        <v>4.8375092017018551</v>
      </c>
      <c r="AT94" s="5">
        <f t="shared" si="212"/>
        <v>1.8881244599921962</v>
      </c>
      <c r="AU94" s="5">
        <f t="shared" si="286"/>
        <v>2.9493847417096588</v>
      </c>
      <c r="AV94" s="5">
        <f t="shared" si="213"/>
        <v>2.7493847417096582</v>
      </c>
      <c r="AW94" s="173">
        <f t="shared" si="287"/>
        <v>0.39030922345903685</v>
      </c>
      <c r="AX94" s="173">
        <f t="shared" si="214"/>
        <v>20.942224861559133</v>
      </c>
      <c r="AY94" s="173">
        <f t="shared" si="215"/>
        <v>0.91525639572204942</v>
      </c>
      <c r="AZ94" s="173">
        <f t="shared" si="288"/>
        <v>22.881265795512665</v>
      </c>
      <c r="BA94" s="460">
        <f t="shared" si="216"/>
        <v>7.001794872471061</v>
      </c>
      <c r="BB94" s="5">
        <f t="shared" si="217"/>
        <v>2.2021390629125412</v>
      </c>
      <c r="BC94" s="5"/>
      <c r="BD94" s="173">
        <f t="shared" si="289"/>
        <v>1.6236076498088341</v>
      </c>
      <c r="BE94" s="173">
        <f t="shared" si="218"/>
        <v>1.3534970955572982</v>
      </c>
      <c r="BF94" s="173"/>
      <c r="BG94" s="528">
        <f t="shared" si="219"/>
        <v>0.10544407202071061</v>
      </c>
      <c r="BH94" s="528">
        <f t="shared" si="220"/>
        <v>0.84523663032324414</v>
      </c>
      <c r="BI94" s="528">
        <f t="shared" si="221"/>
        <v>0.19712643956418757</v>
      </c>
      <c r="BJ94" s="528">
        <f t="shared" si="222"/>
        <v>5.8962626136711146E-2</v>
      </c>
      <c r="BK94">
        <f t="shared" si="223"/>
        <v>1.0728010859517922E-2</v>
      </c>
      <c r="BL94" s="460">
        <f t="shared" si="290"/>
        <v>207.85445042370549</v>
      </c>
      <c r="BM94" s="528">
        <f t="shared" si="224"/>
        <v>1.0647899553301112</v>
      </c>
      <c r="BN94" s="460">
        <f t="shared" si="291"/>
        <v>1064.7899553301113</v>
      </c>
      <c r="BO94" s="528">
        <f t="shared" si="225"/>
        <v>0.77251999999999998</v>
      </c>
      <c r="BP94" s="528"/>
      <c r="BR94" s="460">
        <f t="shared" si="292"/>
        <v>772.52</v>
      </c>
      <c r="BS94" s="528">
        <f t="shared" si="226"/>
        <v>7.9083054015532964E-2</v>
      </c>
      <c r="BT94" s="528">
        <f t="shared" si="227"/>
        <v>5.495863163046126E-2</v>
      </c>
      <c r="BU94" s="528">
        <f t="shared" si="228"/>
        <v>0.32039999999999996</v>
      </c>
      <c r="BV94" s="528">
        <f t="shared" si="229"/>
        <v>0.49188635226534527</v>
      </c>
      <c r="BW94" s="528">
        <f t="shared" si="230"/>
        <v>0.83768899446236522</v>
      </c>
      <c r="BX94" s="460">
        <f t="shared" si="293"/>
        <v>1329.5753467277104</v>
      </c>
      <c r="BY94" s="173">
        <f t="shared" si="231"/>
        <v>3.3747397524815277</v>
      </c>
      <c r="BZ94" s="5">
        <f t="shared" si="294"/>
        <v>21.36</v>
      </c>
      <c r="CA94" s="173">
        <f t="shared" si="295"/>
        <v>0.86356275480347611</v>
      </c>
      <c r="CB94" s="5">
        <f t="shared" si="296"/>
        <v>86.356275480347605</v>
      </c>
      <c r="CE94" s="562">
        <f t="shared" si="232"/>
        <v>-50</v>
      </c>
      <c r="CF94">
        <f t="shared" si="233"/>
        <v>-50</v>
      </c>
      <c r="CG94" s="173">
        <f t="shared" si="234"/>
        <v>0.58385867613372555</v>
      </c>
      <c r="CI94" s="170">
        <v>89</v>
      </c>
      <c r="CJ94" s="217">
        <f t="shared" si="297"/>
        <v>0.89</v>
      </c>
      <c r="CK94" s="217"/>
      <c r="CL94" s="217">
        <f t="shared" si="235"/>
        <v>21.36</v>
      </c>
      <c r="CM94" s="541">
        <f t="shared" si="236"/>
        <v>24</v>
      </c>
      <c r="CN94" s="172">
        <f t="shared" si="237"/>
        <v>16.3415</v>
      </c>
      <c r="CO94" s="443">
        <f t="shared" si="238"/>
        <v>40.341499999999996</v>
      </c>
      <c r="CP94" s="443"/>
      <c r="CQ94" s="217">
        <f t="shared" si="239"/>
        <v>0.40507913686898112</v>
      </c>
      <c r="CR94" s="172">
        <f t="shared" si="240"/>
        <v>54.360539956785601</v>
      </c>
      <c r="CS94" s="172">
        <f t="shared" si="298"/>
        <v>21.36</v>
      </c>
      <c r="CT94" s="217">
        <f t="shared" si="241"/>
        <v>2.2650224981994</v>
      </c>
      <c r="CU94" s="217">
        <f t="shared" si="242"/>
        <v>24</v>
      </c>
      <c r="CV94" s="217">
        <f t="shared" si="243"/>
        <v>2.250439649272117</v>
      </c>
      <c r="CW94" s="172">
        <f t="shared" si="244"/>
        <v>113.987868413494</v>
      </c>
      <c r="CX94" s="172">
        <f t="shared" si="245"/>
        <v>24</v>
      </c>
      <c r="CY94" s="217">
        <f t="shared" si="246"/>
        <v>4.3942031025303674</v>
      </c>
      <c r="CZ94" s="217">
        <f t="shared" si="247"/>
        <v>1.8309179593876532</v>
      </c>
      <c r="DA94" s="217">
        <f t="shared" si="248"/>
        <v>2.6889839381515577</v>
      </c>
      <c r="DB94" s="197">
        <f t="shared" si="249"/>
        <v>350</v>
      </c>
      <c r="DC94" s="443">
        <f t="shared" si="299"/>
        <v>221.24373994586787</v>
      </c>
      <c r="DE94" s="217">
        <f t="shared" si="250"/>
        <v>2.7776855099587272</v>
      </c>
      <c r="DF94" s="173">
        <f t="shared" si="251"/>
        <v>1.6997738946600542</v>
      </c>
      <c r="DG94" s="173">
        <f t="shared" si="252"/>
        <v>0.55110977087390545</v>
      </c>
      <c r="DH94" s="173"/>
      <c r="DI94" s="173">
        <f t="shared" si="253"/>
        <v>1.3598642855443031</v>
      </c>
      <c r="DJ94" s="545">
        <f t="shared" si="300"/>
        <v>883.10249999999974</v>
      </c>
      <c r="DK94" s="528">
        <f t="shared" si="254"/>
        <v>0.35273368606701955</v>
      </c>
      <c r="DM94" s="173">
        <f t="shared" si="255"/>
        <v>3.5298725189445581</v>
      </c>
      <c r="DN94" s="173">
        <f t="shared" si="256"/>
        <v>4.3942031025303674</v>
      </c>
      <c r="DO94" s="173">
        <f t="shared" si="257"/>
        <v>2.8088747261541815</v>
      </c>
      <c r="DQ94" s="545">
        <f t="shared" si="258"/>
        <v>890</v>
      </c>
      <c r="DR94" s="460">
        <f t="shared" si="259"/>
        <v>221.24373994586787</v>
      </c>
      <c r="DT94">
        <f t="shared" si="260"/>
        <v>890</v>
      </c>
      <c r="DU94">
        <f t="shared" si="261"/>
        <v>221.24373994586787</v>
      </c>
      <c r="DW94" s="5">
        <f t="shared" si="301"/>
        <v>4.5199018975392109</v>
      </c>
      <c r="DX94" s="5">
        <f t="shared" si="262"/>
        <v>1.8309179593876532</v>
      </c>
      <c r="DY94" s="5">
        <f t="shared" si="302"/>
        <v>2.6889839381515577</v>
      </c>
      <c r="DZ94" s="5">
        <f t="shared" si="263"/>
        <v>2.6889839381515577</v>
      </c>
      <c r="EA94" s="173">
        <f t="shared" si="303"/>
        <v>0.40507913686898106</v>
      </c>
      <c r="EB94" s="173">
        <f t="shared" si="264"/>
        <v>21.359999999999996</v>
      </c>
      <c r="EC94" s="173">
        <f t="shared" si="265"/>
        <v>0.87183673469387768</v>
      </c>
      <c r="ED94" s="173">
        <f t="shared" si="304"/>
        <v>24.499999999999993</v>
      </c>
      <c r="EE94" s="460">
        <f t="shared" si="266"/>
        <v>6.7896540993958814</v>
      </c>
      <c r="EF94" s="5">
        <f t="shared" si="267"/>
        <v>1.9943297541290717</v>
      </c>
      <c r="EG94" s="5"/>
      <c r="EH94" s="173">
        <f t="shared" si="305"/>
        <v>1.6146910460419412</v>
      </c>
      <c r="EI94" s="173">
        <f t="shared" si="268"/>
        <v>1.3051935911467996</v>
      </c>
      <c r="EJ94" s="173"/>
      <c r="EK94" s="528">
        <f t="shared" si="269"/>
        <v>0.10428908696672075</v>
      </c>
      <c r="EL94" s="528">
        <f t="shared" si="270"/>
        <v>1.0785389999999999</v>
      </c>
      <c r="EM94" s="528">
        <f t="shared" si="271"/>
        <v>4.4248747989173567E-2</v>
      </c>
      <c r="EN94" s="528">
        <f t="shared" si="272"/>
        <v>6.3010528845505606E-2</v>
      </c>
      <c r="EO94">
        <f t="shared" si="273"/>
        <v>1.0800000000000001E-2</v>
      </c>
      <c r="EP94" s="460">
        <f t="shared" si="306"/>
        <v>55.04874798917357</v>
      </c>
      <c r="EQ94" s="528">
        <f t="shared" si="274"/>
        <v>1.3628147219282107</v>
      </c>
      <c r="ER94" s="460">
        <f t="shared" si="307"/>
        <v>1362.8147219282107</v>
      </c>
      <c r="ES94" s="528">
        <f t="shared" si="308"/>
        <v>0.77251999999999998</v>
      </c>
      <c r="ET94" s="528"/>
      <c r="EV94" s="460">
        <f t="shared" si="309"/>
        <v>772.52</v>
      </c>
      <c r="EW94" s="528">
        <f t="shared" si="275"/>
        <v>7.8216815225040551E-2</v>
      </c>
      <c r="EX94" s="528">
        <f t="shared" si="276"/>
        <v>5.1105909311120364E-2</v>
      </c>
      <c r="EY94" s="528">
        <f t="shared" si="277"/>
        <v>1.4734920547744259</v>
      </c>
      <c r="EZ94" s="528">
        <f t="shared" si="278"/>
        <v>1.6509324801074849</v>
      </c>
      <c r="FA94" s="528">
        <f t="shared" si="279"/>
        <v>0.85439999999999994</v>
      </c>
      <c r="FB94" s="460">
        <f t="shared" si="310"/>
        <v>2505.332480107485</v>
      </c>
      <c r="FC94" s="173">
        <f t="shared" si="311"/>
        <v>4.6406672020356954</v>
      </c>
      <c r="FD94" s="5">
        <f t="shared" si="312"/>
        <v>21.36</v>
      </c>
      <c r="FE94" s="173">
        <f t="shared" si="313"/>
        <v>0.82151738007429453</v>
      </c>
      <c r="FF94" s="5">
        <f t="shared" si="314"/>
        <v>82.151738007429458</v>
      </c>
      <c r="FI94" s="562">
        <f t="shared" si="280"/>
        <v>-50</v>
      </c>
      <c r="FJ94">
        <f t="shared" si="281"/>
        <v>-50</v>
      </c>
      <c r="FL94">
        <f t="shared" si="282"/>
        <v>0.594920863131019</v>
      </c>
    </row>
    <row r="95" spans="5:168">
      <c r="E95" s="170">
        <v>90</v>
      </c>
      <c r="F95" s="217">
        <f t="shared" si="283"/>
        <v>0.9</v>
      </c>
      <c r="G95" s="217"/>
      <c r="H95" s="217">
        <f t="shared" si="183"/>
        <v>21.6</v>
      </c>
      <c r="I95" s="541">
        <f t="shared" si="184"/>
        <v>23.838260699754667</v>
      </c>
      <c r="J95" s="172">
        <f t="shared" si="185"/>
        <v>16.372338300948652</v>
      </c>
      <c r="K95" s="172">
        <f t="shared" si="186"/>
        <v>40.372338300948655</v>
      </c>
      <c r="L95" s="443"/>
      <c r="M95" s="217">
        <f t="shared" si="187"/>
        <v>0.40715638506015844</v>
      </c>
      <c r="N95" s="172">
        <f t="shared" si="188"/>
        <v>54.271079360971214</v>
      </c>
      <c r="O95" s="172">
        <f t="shared" si="284"/>
        <v>21.6</v>
      </c>
      <c r="P95" s="217">
        <f t="shared" si="189"/>
        <v>2.2612949733738006</v>
      </c>
      <c r="Q95" s="217">
        <f t="shared" si="190"/>
        <v>24</v>
      </c>
      <c r="R95" s="217">
        <f t="shared" si="191"/>
        <v>2.2467361232948502</v>
      </c>
      <c r="S95" s="172">
        <f t="shared" si="192"/>
        <v>111.56968833730168</v>
      </c>
      <c r="T95" s="172">
        <f t="shared" si="193"/>
        <v>24</v>
      </c>
      <c r="U95" s="217">
        <f t="shared" si="194"/>
        <v>4.552044766369816</v>
      </c>
      <c r="V95" s="217">
        <f t="shared" si="195"/>
        <v>1.9095540667598554</v>
      </c>
      <c r="W95" s="217">
        <f t="shared" si="196"/>
        <v>2.7803265988622163</v>
      </c>
      <c r="X95" s="197">
        <f t="shared" si="197"/>
        <v>350</v>
      </c>
      <c r="Y95" s="443">
        <f t="shared" si="198"/>
        <v>204.50396817051643</v>
      </c>
      <c r="AA95" s="217">
        <f t="shared" si="199"/>
        <v>2.773171241853535</v>
      </c>
      <c r="AB95" s="173">
        <f t="shared" si="200"/>
        <v>1.6938150133953993</v>
      </c>
      <c r="AC95" s="173">
        <f t="shared" si="201"/>
        <v>0.54828523209949598</v>
      </c>
      <c r="AD95" s="173"/>
      <c r="AE95" s="173">
        <f t="shared" si="202"/>
        <v>1.3573028979577473</v>
      </c>
      <c r="AF95" s="545">
        <f t="shared" si="203"/>
        <v>894.7102414836254</v>
      </c>
      <c r="AG95" s="528">
        <f t="shared" si="204"/>
        <v>0.3520692905869291</v>
      </c>
      <c r="AI95" s="173">
        <f t="shared" si="205"/>
        <v>3.5529955893045084</v>
      </c>
      <c r="AJ95" s="173">
        <f t="shared" si="206"/>
        <v>4.552044766369816</v>
      </c>
      <c r="AK95" s="173">
        <f t="shared" si="207"/>
        <v>2.9257944771463658</v>
      </c>
      <c r="AM95" s="545">
        <f t="shared" si="208"/>
        <v>900</v>
      </c>
      <c r="AN95" s="460">
        <f t="shared" si="209"/>
        <v>204.50396817051643</v>
      </c>
      <c r="AP95">
        <f t="shared" si="210"/>
        <v>900</v>
      </c>
      <c r="AQ95">
        <f t="shared" si="211"/>
        <v>204.50396817051643</v>
      </c>
      <c r="AS95" s="5">
        <f t="shared" si="285"/>
        <v>4.8898806656220719</v>
      </c>
      <c r="AT95" s="5">
        <f t="shared" si="212"/>
        <v>1.9095540667598554</v>
      </c>
      <c r="AU95" s="5">
        <f t="shared" si="286"/>
        <v>2.9803265988622165</v>
      </c>
      <c r="AV95" s="5">
        <f t="shared" si="213"/>
        <v>2.7803265988622163</v>
      </c>
      <c r="AW95" s="173">
        <f t="shared" si="287"/>
        <v>0.39051138408853769</v>
      </c>
      <c r="AX95" s="173">
        <f t="shared" si="214"/>
        <v>21.187747689542821</v>
      </c>
      <c r="AY95" s="173">
        <f t="shared" si="215"/>
        <v>0.92526889131795531</v>
      </c>
      <c r="AZ95" s="173">
        <f t="shared" si="288"/>
        <v>22.89901658680315</v>
      </c>
      <c r="BA95" s="460">
        <f t="shared" si="216"/>
        <v>7.1608277503494575</v>
      </c>
      <c r="BB95" s="5">
        <f t="shared" si="217"/>
        <v>2.2504107768261798</v>
      </c>
      <c r="BC95" s="5"/>
      <c r="BD95" s="173">
        <f t="shared" si="289"/>
        <v>1.6423387747568652</v>
      </c>
      <c r="BE95" s="173">
        <f t="shared" si="218"/>
        <v>1.3685306551863579</v>
      </c>
      <c r="BF95" s="173"/>
      <c r="BG95" s="528">
        <f t="shared" si="219"/>
        <v>0.10789106604279525</v>
      </c>
      <c r="BH95" s="528">
        <f t="shared" si="220"/>
        <v>0.84561890898931091</v>
      </c>
      <c r="BI95" s="528">
        <f t="shared" si="221"/>
        <v>0.19500075629532404</v>
      </c>
      <c r="BJ95" s="528">
        <f t="shared" si="222"/>
        <v>5.833209785372262E-2</v>
      </c>
      <c r="BK95">
        <f t="shared" si="223"/>
        <v>1.0727217314889599E-2</v>
      </c>
      <c r="BL95" s="460">
        <f t="shared" si="290"/>
        <v>205.72797361021364</v>
      </c>
      <c r="BM95" s="528">
        <f t="shared" si="224"/>
        <v>1.068359980454161</v>
      </c>
      <c r="BN95" s="460">
        <f t="shared" si="291"/>
        <v>1068.3599804541611</v>
      </c>
      <c r="BO95" s="528">
        <f t="shared" si="225"/>
        <v>0.78120000000000001</v>
      </c>
      <c r="BP95" s="528"/>
      <c r="BR95" s="460">
        <f t="shared" si="292"/>
        <v>781.2</v>
      </c>
      <c r="BS95" s="528">
        <f t="shared" si="226"/>
        <v>8.0918299532096435E-2</v>
      </c>
      <c r="BT95" s="528">
        <f t="shared" si="227"/>
        <v>5.618628462554405E-2</v>
      </c>
      <c r="BU95" s="528">
        <f t="shared" si="228"/>
        <v>0.32400000000000001</v>
      </c>
      <c r="BV95" s="528">
        <f t="shared" si="229"/>
        <v>0.49948825471178498</v>
      </c>
      <c r="BW95" s="528">
        <f t="shared" si="230"/>
        <v>0.84750990758171274</v>
      </c>
      <c r="BX95" s="460">
        <f t="shared" si="293"/>
        <v>1346.9981622934977</v>
      </c>
      <c r="BY95" s="173">
        <f t="shared" si="231"/>
        <v>3.4022861163578724</v>
      </c>
      <c r="BZ95" s="5">
        <f t="shared" si="294"/>
        <v>21.6</v>
      </c>
      <c r="CA95" s="173">
        <f t="shared" si="295"/>
        <v>0.86392099904288722</v>
      </c>
      <c r="CB95" s="5">
        <f t="shared" si="296"/>
        <v>86.392099904288727</v>
      </c>
      <c r="CE95" s="562">
        <f t="shared" si="232"/>
        <v>-50</v>
      </c>
      <c r="CF95">
        <f t="shared" si="233"/>
        <v>-50</v>
      </c>
      <c r="CG95" s="173">
        <f t="shared" si="234"/>
        <v>0.58398158932258437</v>
      </c>
      <c r="CI95" s="170">
        <v>90</v>
      </c>
      <c r="CJ95" s="217">
        <f t="shared" si="297"/>
        <v>0.9</v>
      </c>
      <c r="CK95" s="217"/>
      <c r="CL95" s="217">
        <f t="shared" si="235"/>
        <v>21.6</v>
      </c>
      <c r="CM95" s="541">
        <f t="shared" si="236"/>
        <v>24</v>
      </c>
      <c r="CN95" s="172">
        <f t="shared" si="237"/>
        <v>16.3415</v>
      </c>
      <c r="CO95" s="443">
        <f t="shared" si="238"/>
        <v>40.341499999999996</v>
      </c>
      <c r="CP95" s="443"/>
      <c r="CQ95" s="217">
        <f t="shared" si="239"/>
        <v>0.40507913686898112</v>
      </c>
      <c r="CR95" s="172">
        <f t="shared" si="240"/>
        <v>54.360539956785601</v>
      </c>
      <c r="CS95" s="172">
        <f t="shared" si="298"/>
        <v>21.6</v>
      </c>
      <c r="CT95" s="217">
        <f t="shared" si="241"/>
        <v>2.2650224981994</v>
      </c>
      <c r="CU95" s="217">
        <f t="shared" si="242"/>
        <v>24</v>
      </c>
      <c r="CV95" s="217">
        <f t="shared" si="243"/>
        <v>2.250439649272117</v>
      </c>
      <c r="CW95" s="172">
        <f t="shared" si="244"/>
        <v>112.32559768746869</v>
      </c>
      <c r="CX95" s="172">
        <f t="shared" si="245"/>
        <v>24</v>
      </c>
      <c r="CY95" s="217">
        <f t="shared" si="246"/>
        <v>4.4435761710981243</v>
      </c>
      <c r="CZ95" s="217">
        <f t="shared" si="247"/>
        <v>1.8514900712908853</v>
      </c>
      <c r="DA95" s="217">
        <f t="shared" si="248"/>
        <v>2.7191972408274179</v>
      </c>
      <c r="DB95" s="197">
        <f t="shared" si="249"/>
        <v>350</v>
      </c>
      <c r="DC95" s="443">
        <f t="shared" si="299"/>
        <v>218.78547616869159</v>
      </c>
      <c r="DE95" s="217">
        <f t="shared" si="250"/>
        <v>2.7776855099587272</v>
      </c>
      <c r="DF95" s="173">
        <f t="shared" si="251"/>
        <v>1.6997738946600542</v>
      </c>
      <c r="DG95" s="173">
        <f t="shared" si="252"/>
        <v>0.55110977087390545</v>
      </c>
      <c r="DH95" s="173"/>
      <c r="DI95" s="173">
        <f t="shared" si="253"/>
        <v>1.3598642855443031</v>
      </c>
      <c r="DJ95" s="545">
        <f t="shared" si="300"/>
        <v>893.02499999999975</v>
      </c>
      <c r="DK95" s="528">
        <f t="shared" si="254"/>
        <v>0.35273368606701955</v>
      </c>
      <c r="DM95" s="173">
        <f t="shared" si="255"/>
        <v>3.5496478698597693</v>
      </c>
      <c r="DN95" s="173">
        <f t="shared" si="256"/>
        <v>4.4435761710981243</v>
      </c>
      <c r="DO95" s="173">
        <f t="shared" si="257"/>
        <v>2.8454473695377054</v>
      </c>
      <c r="DQ95" s="545">
        <f t="shared" si="258"/>
        <v>900</v>
      </c>
      <c r="DR95" s="460">
        <f t="shared" si="259"/>
        <v>218.78547616869159</v>
      </c>
      <c r="DT95">
        <f t="shared" si="260"/>
        <v>900</v>
      </c>
      <c r="DU95">
        <f t="shared" si="261"/>
        <v>218.78547616869159</v>
      </c>
      <c r="DW95" s="5">
        <f t="shared" si="301"/>
        <v>4.5706873121183031</v>
      </c>
      <c r="DX95" s="5">
        <f t="shared" si="262"/>
        <v>1.8514900712908853</v>
      </c>
      <c r="DY95" s="5">
        <f t="shared" si="302"/>
        <v>2.7191972408274179</v>
      </c>
      <c r="DZ95" s="5">
        <f t="shared" si="263"/>
        <v>2.7191972408274179</v>
      </c>
      <c r="EA95" s="173">
        <f t="shared" si="303"/>
        <v>0.40507913686898106</v>
      </c>
      <c r="EB95" s="173">
        <f t="shared" si="264"/>
        <v>21.599999999999998</v>
      </c>
      <c r="EC95" s="173">
        <f t="shared" si="265"/>
        <v>0.88163265306122462</v>
      </c>
      <c r="ED95" s="173">
        <f t="shared" si="304"/>
        <v>24.499999999999993</v>
      </c>
      <c r="EE95" s="460">
        <f t="shared" si="266"/>
        <v>6.9430877673408196</v>
      </c>
      <c r="EF95" s="5">
        <f t="shared" si="267"/>
        <v>2.039397930620563</v>
      </c>
      <c r="EG95" s="5"/>
      <c r="EH95" s="173">
        <f t="shared" si="305"/>
        <v>1.6328336420648843</v>
      </c>
      <c r="EI95" s="173">
        <f t="shared" si="268"/>
        <v>1.3198586876765388</v>
      </c>
      <c r="EJ95" s="173"/>
      <c r="EK95" s="528">
        <f t="shared" si="269"/>
        <v>0.10664582810635499</v>
      </c>
      <c r="EL95" s="528">
        <f t="shared" si="270"/>
        <v>1.0785389999999999</v>
      </c>
      <c r="EM95" s="528">
        <f t="shared" si="271"/>
        <v>4.3757095233738316E-2</v>
      </c>
      <c r="EN95" s="528">
        <f t="shared" si="272"/>
        <v>6.2310411858333317E-2</v>
      </c>
      <c r="EO95">
        <f t="shared" si="273"/>
        <v>1.0800000000000001E-2</v>
      </c>
      <c r="EP95" s="460">
        <f t="shared" si="306"/>
        <v>54.557095233738323</v>
      </c>
      <c r="EQ95" s="528">
        <f t="shared" si="274"/>
        <v>1.3654458066585657</v>
      </c>
      <c r="ER95" s="460">
        <f t="shared" si="307"/>
        <v>1365.4458066585657</v>
      </c>
      <c r="ES95" s="528">
        <f t="shared" si="308"/>
        <v>0.78120000000000001</v>
      </c>
      <c r="ET95" s="528"/>
      <c r="EV95" s="460">
        <f t="shared" si="309"/>
        <v>781.2</v>
      </c>
      <c r="EW95" s="528">
        <f t="shared" si="275"/>
        <v>7.9984371079766248E-2</v>
      </c>
      <c r="EX95" s="528">
        <f t="shared" si="276"/>
        <v>5.2260808663057053E-2</v>
      </c>
      <c r="EY95" s="528">
        <f t="shared" si="277"/>
        <v>1.4734920547744264</v>
      </c>
      <c r="EZ95" s="528">
        <f t="shared" si="278"/>
        <v>1.6549851826920732</v>
      </c>
      <c r="FA95" s="528">
        <f t="shared" si="279"/>
        <v>0.86399999999999999</v>
      </c>
      <c r="FB95" s="460">
        <f t="shared" si="310"/>
        <v>2518.9851826920731</v>
      </c>
      <c r="FC95" s="173">
        <f t="shared" si="311"/>
        <v>4.6656309893506389</v>
      </c>
      <c r="FD95" s="5">
        <f t="shared" si="312"/>
        <v>21.6</v>
      </c>
      <c r="FE95" s="173">
        <f t="shared" si="313"/>
        <v>0.82236745078607432</v>
      </c>
      <c r="FF95" s="5">
        <f t="shared" si="314"/>
        <v>82.236745078607427</v>
      </c>
      <c r="FI95" s="562">
        <f t="shared" si="280"/>
        <v>-50</v>
      </c>
      <c r="FJ95">
        <f t="shared" si="281"/>
        <v>-50</v>
      </c>
      <c r="FL95">
        <f t="shared" si="282"/>
        <v>0.594920863131019</v>
      </c>
    </row>
    <row r="96" spans="5:168">
      <c r="E96" s="170">
        <v>91</v>
      </c>
      <c r="F96" s="217">
        <f t="shared" si="283"/>
        <v>0.91</v>
      </c>
      <c r="G96" s="217"/>
      <c r="H96" s="217">
        <f t="shared" si="183"/>
        <v>21.84</v>
      </c>
      <c r="I96" s="541">
        <f t="shared" si="184"/>
        <v>23.836497253232224</v>
      </c>
      <c r="J96" s="172">
        <f t="shared" si="185"/>
        <v>16.372674531502902</v>
      </c>
      <c r="K96" s="172">
        <f t="shared" si="186"/>
        <v>40.372674531502902</v>
      </c>
      <c r="L96" s="443"/>
      <c r="M96" s="217">
        <f t="shared" si="187"/>
        <v>0.40717920106777511</v>
      </c>
      <c r="N96" s="172">
        <f t="shared" si="188"/>
        <v>54.270105620600113</v>
      </c>
      <c r="O96" s="172">
        <f t="shared" si="284"/>
        <v>21.84</v>
      </c>
      <c r="P96" s="217">
        <f t="shared" si="189"/>
        <v>2.2612544008583382</v>
      </c>
      <c r="Q96" s="217">
        <f t="shared" si="190"/>
        <v>24</v>
      </c>
      <c r="R96" s="217">
        <f t="shared" si="191"/>
        <v>2.2466958119966001</v>
      </c>
      <c r="S96" s="172">
        <f t="shared" si="192"/>
        <v>109.94686693176294</v>
      </c>
      <c r="T96" s="217">
        <f t="shared" si="193"/>
        <v>24</v>
      </c>
      <c r="U96" s="217">
        <f t="shared" si="194"/>
        <v>4.6028001835861296</v>
      </c>
      <c r="V96" s="217">
        <f t="shared" si="195"/>
        <v>1.9309884899141339</v>
      </c>
      <c r="W96" s="217">
        <f t="shared" si="196"/>
        <v>2.8112695789132158</v>
      </c>
      <c r="X96" s="197">
        <f t="shared" si="197"/>
        <v>350</v>
      </c>
      <c r="Y96" s="443">
        <f t="shared" si="198"/>
        <v>202.33666192127237</v>
      </c>
      <c r="AA96" s="217">
        <f t="shared" si="199"/>
        <v>2.7731214700934319</v>
      </c>
      <c r="AB96" s="173">
        <f t="shared" si="200"/>
        <v>1.6937498297896465</v>
      </c>
      <c r="AC96" s="173">
        <f t="shared" si="201"/>
        <v>0.54825429224600342</v>
      </c>
      <c r="AD96" s="173"/>
      <c r="AE96" s="173">
        <f t="shared" si="202"/>
        <v>1.3572750242768294</v>
      </c>
      <c r="AF96" s="545">
        <f t="shared" si="203"/>
        <v>904.67004476542616</v>
      </c>
      <c r="AG96" s="528">
        <f t="shared" si="204"/>
        <v>0.3520620604638065</v>
      </c>
      <c r="AI96" s="173">
        <f t="shared" si="205"/>
        <v>3.572716611009187</v>
      </c>
      <c r="AJ96" s="173">
        <f t="shared" si="206"/>
        <v>4.6028001835861296</v>
      </c>
      <c r="AK96" s="173">
        <f t="shared" si="207"/>
        <v>2.9633910824917828</v>
      </c>
      <c r="AM96" s="545">
        <f t="shared" si="208"/>
        <v>910</v>
      </c>
      <c r="AN96" s="460">
        <f t="shared" si="209"/>
        <v>202.33666192127237</v>
      </c>
      <c r="AP96">
        <f t="shared" si="210"/>
        <v>910</v>
      </c>
      <c r="AQ96">
        <f t="shared" si="211"/>
        <v>202.33666192127237</v>
      </c>
      <c r="AS96" s="5">
        <f t="shared" si="285"/>
        <v>4.9422580688273499</v>
      </c>
      <c r="AT96" s="5">
        <f t="shared" si="212"/>
        <v>1.9309884899141339</v>
      </c>
      <c r="AU96" s="5">
        <f t="shared" si="286"/>
        <v>3.011269578913216</v>
      </c>
      <c r="AV96" s="5">
        <f t="shared" si="213"/>
        <v>2.8112695789132158</v>
      </c>
      <c r="AW96" s="173">
        <f t="shared" si="287"/>
        <v>0.39070976525762435</v>
      </c>
      <c r="AX96" s="173">
        <f t="shared" si="214"/>
        <v>21.433289434688771</v>
      </c>
      <c r="AY96" s="173">
        <f t="shared" si="215"/>
        <v>0.93528114164386922</v>
      </c>
      <c r="AZ96" s="173">
        <f t="shared" si="288"/>
        <v>22.91641355776423</v>
      </c>
      <c r="BA96" s="460">
        <f t="shared" si="216"/>
        <v>7.3216646909244236</v>
      </c>
      <c r="BB96" s="5">
        <f t="shared" si="217"/>
        <v>2.2992097267474549</v>
      </c>
      <c r="BC96" s="5"/>
      <c r="BD96" s="173">
        <f t="shared" si="289"/>
        <v>1.661072649412265</v>
      </c>
      <c r="BE96" s="173">
        <f t="shared" si="218"/>
        <v>1.3835645857419285</v>
      </c>
      <c r="BF96" s="173"/>
      <c r="BG96" s="528">
        <f t="shared" si="219"/>
        <v>0.11036649386501925</v>
      </c>
      <c r="BH96" s="528">
        <f t="shared" si="220"/>
        <v>0.84599294513671708</v>
      </c>
      <c r="BI96" s="528">
        <f t="shared" si="221"/>
        <v>0.19291989144458346</v>
      </c>
      <c r="BJ96" s="528">
        <f t="shared" si="222"/>
        <v>5.7714863241114675E-2</v>
      </c>
      <c r="BK96">
        <f t="shared" si="223"/>
        <v>1.0726423763954501E-2</v>
      </c>
      <c r="BL96" s="460">
        <f t="shared" si="290"/>
        <v>203.64631520853797</v>
      </c>
      <c r="BM96" s="528">
        <f t="shared" si="224"/>
        <v>1.0719839760143415</v>
      </c>
      <c r="BN96" s="460">
        <f t="shared" si="291"/>
        <v>1071.9839760143416</v>
      </c>
      <c r="BO96" s="528">
        <f t="shared" si="225"/>
        <v>0.78988000000000003</v>
      </c>
      <c r="BP96" s="528"/>
      <c r="BR96" s="460">
        <f t="shared" si="292"/>
        <v>789.88</v>
      </c>
      <c r="BS96" s="528">
        <f t="shared" si="226"/>
        <v>8.2774870398764425E-2</v>
      </c>
      <c r="BT96" s="528">
        <f t="shared" si="227"/>
        <v>5.7427528887577031E-2</v>
      </c>
      <c r="BU96" s="528">
        <f t="shared" si="228"/>
        <v>0.3276</v>
      </c>
      <c r="BV96" s="528">
        <f t="shared" si="229"/>
        <v>0.50713914510836078</v>
      </c>
      <c r="BW96" s="528">
        <f t="shared" si="230"/>
        <v>0.85733157738755073</v>
      </c>
      <c r="BX96" s="460">
        <f t="shared" si="293"/>
        <v>1364.4707224959113</v>
      </c>
      <c r="BY96" s="173">
        <f t="shared" si="231"/>
        <v>3.4299810137187907</v>
      </c>
      <c r="BZ96" s="5">
        <f t="shared" si="294"/>
        <v>21.84</v>
      </c>
      <c r="CA96" s="173">
        <f t="shared" si="295"/>
        <v>0.86426657733313328</v>
      </c>
      <c r="CB96" s="5">
        <f t="shared" si="296"/>
        <v>86.426657733313334</v>
      </c>
      <c r="CE96" s="562">
        <f t="shared" si="232"/>
        <v>-50</v>
      </c>
      <c r="CF96">
        <f t="shared" si="233"/>
        <v>-50</v>
      </c>
      <c r="CG96" s="173">
        <f t="shared" si="234"/>
        <v>0.58410180112267707</v>
      </c>
      <c r="CI96" s="170">
        <v>91</v>
      </c>
      <c r="CJ96" s="217">
        <f t="shared" si="297"/>
        <v>0.91</v>
      </c>
      <c r="CK96" s="217"/>
      <c r="CL96" s="217">
        <f t="shared" si="235"/>
        <v>21.84</v>
      </c>
      <c r="CM96" s="541">
        <f t="shared" si="236"/>
        <v>24</v>
      </c>
      <c r="CN96" s="172">
        <f t="shared" si="237"/>
        <v>16.3415</v>
      </c>
      <c r="CO96" s="443">
        <f t="shared" si="238"/>
        <v>40.341499999999996</v>
      </c>
      <c r="CP96" s="443"/>
      <c r="CQ96" s="217">
        <f t="shared" si="239"/>
        <v>0.40507913686898112</v>
      </c>
      <c r="CR96" s="172">
        <f t="shared" si="240"/>
        <v>54.360539956785601</v>
      </c>
      <c r="CS96" s="172">
        <f t="shared" si="298"/>
        <v>21.84</v>
      </c>
      <c r="CT96" s="217">
        <f t="shared" si="241"/>
        <v>2.2650224981994</v>
      </c>
      <c r="CU96" s="217">
        <f t="shared" si="242"/>
        <v>24</v>
      </c>
      <c r="CV96" s="217">
        <f t="shared" si="243"/>
        <v>2.250439649272117</v>
      </c>
      <c r="CW96" s="172">
        <f t="shared" si="244"/>
        <v>110.6999272392997</v>
      </c>
      <c r="CX96" s="217">
        <f t="shared" si="245"/>
        <v>24</v>
      </c>
      <c r="CY96" s="217">
        <f t="shared" si="246"/>
        <v>4.4929492396658812</v>
      </c>
      <c r="CZ96" s="217">
        <f t="shared" si="247"/>
        <v>1.8720621831941173</v>
      </c>
      <c r="DA96" s="217">
        <f t="shared" si="248"/>
        <v>2.7494105435032781</v>
      </c>
      <c r="DB96" s="197">
        <f t="shared" si="249"/>
        <v>350</v>
      </c>
      <c r="DC96" s="443">
        <f t="shared" si="299"/>
        <v>216.38124016683781</v>
      </c>
      <c r="DE96" s="217">
        <f t="shared" si="250"/>
        <v>2.7776855099587272</v>
      </c>
      <c r="DF96" s="173">
        <f t="shared" si="251"/>
        <v>1.6997738946600542</v>
      </c>
      <c r="DG96" s="173">
        <f t="shared" si="252"/>
        <v>0.55110977087390545</v>
      </c>
      <c r="DH96" s="173"/>
      <c r="DI96" s="173">
        <f t="shared" si="253"/>
        <v>1.3598642855443031</v>
      </c>
      <c r="DJ96" s="545">
        <f t="shared" si="300"/>
        <v>902.94749999999976</v>
      </c>
      <c r="DK96" s="528">
        <f t="shared" si="254"/>
        <v>0.35273368606701955</v>
      </c>
      <c r="DM96" s="173">
        <f t="shared" si="255"/>
        <v>3.5693136595149491</v>
      </c>
      <c r="DN96" s="173">
        <f t="shared" si="256"/>
        <v>4.4929492396658812</v>
      </c>
      <c r="DO96" s="173">
        <f t="shared" si="257"/>
        <v>2.8820200129212292</v>
      </c>
      <c r="DQ96" s="545">
        <f t="shared" si="258"/>
        <v>910</v>
      </c>
      <c r="DR96" s="460">
        <f t="shared" si="259"/>
        <v>216.38124016683781</v>
      </c>
      <c r="DT96">
        <f t="shared" si="260"/>
        <v>910</v>
      </c>
      <c r="DU96">
        <f t="shared" si="261"/>
        <v>216.38124016683781</v>
      </c>
      <c r="DW96" s="5">
        <f t="shared" si="301"/>
        <v>4.6214727266973954</v>
      </c>
      <c r="DX96" s="5">
        <f t="shared" si="262"/>
        <v>1.8720621831941173</v>
      </c>
      <c r="DY96" s="5">
        <f t="shared" si="302"/>
        <v>2.7494105435032781</v>
      </c>
      <c r="DZ96" s="5">
        <f t="shared" si="263"/>
        <v>2.7494105435032781</v>
      </c>
      <c r="EA96" s="173">
        <f t="shared" si="303"/>
        <v>0.40507913686898106</v>
      </c>
      <c r="EB96" s="173">
        <f t="shared" si="264"/>
        <v>21.84</v>
      </c>
      <c r="EC96" s="173">
        <f t="shared" si="265"/>
        <v>0.89142857142857157</v>
      </c>
      <c r="ED96" s="173">
        <f t="shared" si="304"/>
        <v>24.499999999999996</v>
      </c>
      <c r="EE96" s="460">
        <f t="shared" si="266"/>
        <v>7.0982357779443612</v>
      </c>
      <c r="EF96" s="5">
        <f t="shared" si="267"/>
        <v>2.0849696621566522</v>
      </c>
      <c r="EG96" s="5"/>
      <c r="EH96" s="173">
        <f t="shared" si="305"/>
        <v>1.6509762380878275</v>
      </c>
      <c r="EI96" s="173">
        <f t="shared" si="268"/>
        <v>1.3345237842062783</v>
      </c>
      <c r="EJ96" s="173"/>
      <c r="EK96" s="528">
        <f t="shared" si="269"/>
        <v>0.10902890154922538</v>
      </c>
      <c r="EL96" s="528">
        <f t="shared" si="270"/>
        <v>1.0785389999999997</v>
      </c>
      <c r="EM96" s="528">
        <f t="shared" si="271"/>
        <v>4.3276248033367555E-2</v>
      </c>
      <c r="EN96" s="528">
        <f t="shared" si="272"/>
        <v>6.162568205769229E-2</v>
      </c>
      <c r="EO96">
        <f t="shared" si="273"/>
        <v>1.0800000000000001E-2</v>
      </c>
      <c r="EP96" s="460">
        <f t="shared" si="306"/>
        <v>54.076248033367555</v>
      </c>
      <c r="EQ96" s="528">
        <f t="shared" si="274"/>
        <v>1.3681499241508084</v>
      </c>
      <c r="ER96" s="460">
        <f t="shared" si="307"/>
        <v>1368.1499241508084</v>
      </c>
      <c r="ES96" s="528">
        <f t="shared" si="308"/>
        <v>0.78988000000000003</v>
      </c>
      <c r="ET96" s="528"/>
      <c r="EV96" s="460">
        <f t="shared" si="309"/>
        <v>789.88</v>
      </c>
      <c r="EW96" s="528">
        <f t="shared" si="275"/>
        <v>8.1771676161919035E-2</v>
      </c>
      <c r="EX96" s="528">
        <f t="shared" si="276"/>
        <v>5.3428611918367355E-2</v>
      </c>
      <c r="EY96" s="528">
        <f t="shared" si="277"/>
        <v>1.4734920547744257</v>
      </c>
      <c r="EZ96" s="528">
        <f t="shared" si="278"/>
        <v>1.6590851148319807</v>
      </c>
      <c r="FA96" s="528">
        <f t="shared" si="279"/>
        <v>0.87359999999999993</v>
      </c>
      <c r="FB96" s="460">
        <f t="shared" si="310"/>
        <v>2532.6851148319806</v>
      </c>
      <c r="FC96" s="173">
        <f t="shared" si="311"/>
        <v>4.6907150389827885</v>
      </c>
      <c r="FD96" s="5">
        <f t="shared" si="312"/>
        <v>21.84</v>
      </c>
      <c r="FE96" s="173">
        <f t="shared" si="313"/>
        <v>0.8231968104858649</v>
      </c>
      <c r="FF96" s="5">
        <f t="shared" si="314"/>
        <v>82.319681048586489</v>
      </c>
      <c r="FI96" s="562">
        <f t="shared" si="280"/>
        <v>-50</v>
      </c>
      <c r="FJ96">
        <f t="shared" si="281"/>
        <v>-50</v>
      </c>
      <c r="FL96">
        <f t="shared" si="282"/>
        <v>0.594920863131019</v>
      </c>
    </row>
    <row r="97" spans="5:168" ht="13">
      <c r="E97" s="170">
        <v>92</v>
      </c>
      <c r="F97" s="217">
        <f t="shared" si="283"/>
        <v>0.92</v>
      </c>
      <c r="G97" s="217"/>
      <c r="H97" s="217">
        <f t="shared" si="183"/>
        <v>22.080000000000002</v>
      </c>
      <c r="I97" s="541">
        <f t="shared" si="184"/>
        <v>23.834733793160112</v>
      </c>
      <c r="J97" s="172">
        <f t="shared" si="185"/>
        <v>16.373010764640625</v>
      </c>
      <c r="K97" s="172">
        <f t="shared" si="186"/>
        <v>40.373010764640625</v>
      </c>
      <c r="L97" s="443"/>
      <c r="M97" s="217">
        <f t="shared" si="187"/>
        <v>0.40720201883226387</v>
      </c>
      <c r="N97" s="172">
        <f t="shared" si="188"/>
        <v>54.269131633571547</v>
      </c>
      <c r="O97" s="172">
        <f t="shared" si="284"/>
        <v>22.080000000000002</v>
      </c>
      <c r="P97" s="217">
        <f t="shared" si="189"/>
        <v>2.2612138180654813</v>
      </c>
      <c r="Q97" s="217">
        <f t="shared" si="190"/>
        <v>24</v>
      </c>
      <c r="R97" s="217">
        <f t="shared" si="191"/>
        <v>2.2466554904871252</v>
      </c>
      <c r="S97" s="172">
        <f t="shared" si="192"/>
        <v>108.35944846059294</v>
      </c>
      <c r="T97" s="532">
        <f t="shared" si="193"/>
        <v>24</v>
      </c>
      <c r="U97" s="217">
        <f t="shared" si="194"/>
        <v>4.6535595216114656</v>
      </c>
      <c r="V97" s="217">
        <f t="shared" si="195"/>
        <v>1.9524277308886517</v>
      </c>
      <c r="W97" s="217">
        <f t="shared" si="196"/>
        <v>2.8422136823249122</v>
      </c>
      <c r="X97" s="197">
        <f t="shared" si="197"/>
        <v>350</v>
      </c>
      <c r="Y97" s="443">
        <f t="shared" si="198"/>
        <v>200.21457343353055</v>
      </c>
      <c r="AA97" s="217">
        <f t="shared" si="199"/>
        <v>2.7730716859907751</v>
      </c>
      <c r="AB97" s="173">
        <f t="shared" si="200"/>
        <v>1.6936846410554729</v>
      </c>
      <c r="AC97" s="173">
        <f t="shared" si="201"/>
        <v>0.54822334904982573</v>
      </c>
      <c r="AD97" s="173"/>
      <c r="AE97" s="173">
        <f t="shared" si="202"/>
        <v>1.3572471515265621</v>
      </c>
      <c r="AF97" s="545">
        <f t="shared" si="203"/>
        <v>914.63025650751058</v>
      </c>
      <c r="AG97" s="528">
        <f t="shared" si="204"/>
        <v>0.35205483058208437</v>
      </c>
      <c r="AI97" s="173">
        <f t="shared" si="205"/>
        <v>3.5923301728338819</v>
      </c>
      <c r="AJ97" s="173">
        <f t="shared" si="206"/>
        <v>4.6535595216114656</v>
      </c>
      <c r="AK97" s="173">
        <f t="shared" si="207"/>
        <v>3.0009905921401803</v>
      </c>
      <c r="AM97" s="545">
        <f t="shared" si="208"/>
        <v>920</v>
      </c>
      <c r="AN97" s="460">
        <f t="shared" si="209"/>
        <v>200.21457343353055</v>
      </c>
      <c r="AP97">
        <f t="shared" si="210"/>
        <v>920</v>
      </c>
      <c r="AQ97">
        <f t="shared" si="211"/>
        <v>200.21457343353055</v>
      </c>
      <c r="AS97" s="5">
        <f t="shared" si="285"/>
        <v>4.9946414132135644</v>
      </c>
      <c r="AT97" s="5">
        <f t="shared" si="212"/>
        <v>1.9524277308886517</v>
      </c>
      <c r="AU97" s="5">
        <f t="shared" si="286"/>
        <v>3.0422136823249124</v>
      </c>
      <c r="AV97" s="5">
        <f t="shared" si="213"/>
        <v>2.8422136823249122</v>
      </c>
      <c r="AW97" s="173">
        <f t="shared" si="287"/>
        <v>0.39090448529966737</v>
      </c>
      <c r="AX97" s="173">
        <f t="shared" si="214"/>
        <v>21.678849820819728</v>
      </c>
      <c r="AY97" s="173">
        <f t="shared" si="215"/>
        <v>0.9452931543735239</v>
      </c>
      <c r="AZ97" s="173">
        <f t="shared" si="288"/>
        <v>22.933467486270963</v>
      </c>
      <c r="BA97" s="460">
        <f t="shared" si="216"/>
        <v>7.4843063017398324</v>
      </c>
      <c r="BB97" s="5">
        <f t="shared" si="217"/>
        <v>2.3485360583654646</v>
      </c>
      <c r="BC97" s="5"/>
      <c r="BD97" s="173">
        <f t="shared" si="289"/>
        <v>1.6798092662350868</v>
      </c>
      <c r="BE97" s="173">
        <f t="shared" si="218"/>
        <v>1.3985988938503457</v>
      </c>
      <c r="BF97" s="173"/>
      <c r="BG97" s="528">
        <f t="shared" si="219"/>
        <v>0.11287036683717043</v>
      </c>
      <c r="BH97" s="528">
        <f t="shared" si="220"/>
        <v>0.84635899659676883</v>
      </c>
      <c r="BI97" s="528">
        <f t="shared" si="221"/>
        <v>0.1908824423719723</v>
      </c>
      <c r="BJ97" s="528">
        <f t="shared" si="222"/>
        <v>5.7110506257902614E-2</v>
      </c>
      <c r="BK97">
        <f t="shared" si="223"/>
        <v>1.0725630206922051E-2</v>
      </c>
      <c r="BL97" s="460">
        <f t="shared" si="290"/>
        <v>201.60807257889434</v>
      </c>
      <c r="BM97" s="528">
        <f t="shared" si="224"/>
        <v>1.0756619705613877</v>
      </c>
      <c r="BN97" s="460">
        <f t="shared" si="291"/>
        <v>1075.6619705613878</v>
      </c>
      <c r="BO97" s="528">
        <f t="shared" si="225"/>
        <v>0.79856000000000005</v>
      </c>
      <c r="BP97" s="528"/>
      <c r="BR97" s="460">
        <f t="shared" si="292"/>
        <v>798.56000000000006</v>
      </c>
      <c r="BS97" s="528">
        <f t="shared" si="226"/>
        <v>8.4652775127877819E-2</v>
      </c>
      <c r="BT97" s="528">
        <f t="shared" si="227"/>
        <v>5.8682365976382315E-2</v>
      </c>
      <c r="BU97" s="528">
        <f t="shared" si="228"/>
        <v>0.33119999999999999</v>
      </c>
      <c r="BV97" s="528">
        <f t="shared" si="229"/>
        <v>0.51483913821100014</v>
      </c>
      <c r="BW97" s="528">
        <f t="shared" si="230"/>
        <v>0.86715399283278904</v>
      </c>
      <c r="BX97" s="460">
        <f t="shared" si="293"/>
        <v>1381.9931310437892</v>
      </c>
      <c r="BY97" s="173">
        <f t="shared" si="231"/>
        <v>3.457823174184071</v>
      </c>
      <c r="BZ97" s="5">
        <f t="shared" si="294"/>
        <v>22.080000000000002</v>
      </c>
      <c r="CA97" s="173">
        <f t="shared" si="295"/>
        <v>0.86459992495838289</v>
      </c>
      <c r="CB97" s="5">
        <f t="shared" si="296"/>
        <v>86.459992495838293</v>
      </c>
      <c r="CE97" s="562">
        <f t="shared" si="232"/>
        <v>-50</v>
      </c>
      <c r="CF97">
        <f t="shared" si="233"/>
        <v>-50</v>
      </c>
      <c r="CG97" s="173">
        <f t="shared" si="234"/>
        <v>0.58421939962276781</v>
      </c>
      <c r="CI97" s="170">
        <v>92</v>
      </c>
      <c r="CJ97" s="217">
        <f t="shared" si="297"/>
        <v>0.92</v>
      </c>
      <c r="CK97" s="217"/>
      <c r="CL97" s="217">
        <f t="shared" si="235"/>
        <v>22.080000000000002</v>
      </c>
      <c r="CM97" s="541">
        <f t="shared" si="236"/>
        <v>24</v>
      </c>
      <c r="CN97" s="172">
        <f t="shared" si="237"/>
        <v>16.3415</v>
      </c>
      <c r="CO97" s="443">
        <f t="shared" si="238"/>
        <v>40.341499999999996</v>
      </c>
      <c r="CP97" s="443"/>
      <c r="CQ97" s="217">
        <f t="shared" si="239"/>
        <v>0.40507913686898112</v>
      </c>
      <c r="CR97" s="172">
        <f t="shared" si="240"/>
        <v>54.360539956785601</v>
      </c>
      <c r="CS97" s="172">
        <f t="shared" si="298"/>
        <v>22.080000000000002</v>
      </c>
      <c r="CT97" s="217">
        <f t="shared" si="241"/>
        <v>2.2650224981994</v>
      </c>
      <c r="CU97" s="217">
        <f t="shared" si="242"/>
        <v>24</v>
      </c>
      <c r="CV97" s="217">
        <f t="shared" si="243"/>
        <v>2.250439649272117</v>
      </c>
      <c r="CW97" s="172">
        <f t="shared" si="244"/>
        <v>109.10966426406586</v>
      </c>
      <c r="CX97" s="532">
        <f t="shared" si="245"/>
        <v>24</v>
      </c>
      <c r="CY97" s="217">
        <f t="shared" si="246"/>
        <v>4.542322308233639</v>
      </c>
      <c r="CZ97" s="217">
        <f t="shared" si="247"/>
        <v>1.8926342950973496</v>
      </c>
      <c r="DA97" s="217">
        <f t="shared" si="248"/>
        <v>2.7796238461791387</v>
      </c>
      <c r="DB97" s="197">
        <f t="shared" si="249"/>
        <v>350</v>
      </c>
      <c r="DC97" s="443">
        <f t="shared" si="299"/>
        <v>214.02927016502431</v>
      </c>
      <c r="DE97" s="217">
        <f t="shared" si="250"/>
        <v>2.7776855099587272</v>
      </c>
      <c r="DF97" s="173">
        <f t="shared" si="251"/>
        <v>1.6997738946600542</v>
      </c>
      <c r="DG97" s="173">
        <f t="shared" si="252"/>
        <v>0.55110977087390545</v>
      </c>
      <c r="DH97" s="173"/>
      <c r="DI97" s="173">
        <f t="shared" si="253"/>
        <v>1.3598642855443031</v>
      </c>
      <c r="DJ97" s="545">
        <f t="shared" si="300"/>
        <v>912.86999999999978</v>
      </c>
      <c r="DK97" s="528">
        <f t="shared" si="254"/>
        <v>0.35273368606701955</v>
      </c>
      <c r="DM97" s="173">
        <f t="shared" si="255"/>
        <v>3.5888716889852721</v>
      </c>
      <c r="DN97" s="173">
        <f t="shared" si="256"/>
        <v>4.542322308233639</v>
      </c>
      <c r="DO97" s="173">
        <f t="shared" si="257"/>
        <v>2.9185926563047531</v>
      </c>
      <c r="DQ97" s="545">
        <f t="shared" si="258"/>
        <v>920</v>
      </c>
      <c r="DR97" s="460">
        <f t="shared" si="259"/>
        <v>214.02927016502431</v>
      </c>
      <c r="DT97">
        <f t="shared" si="260"/>
        <v>920</v>
      </c>
      <c r="DU97">
        <f t="shared" si="261"/>
        <v>214.02927016502431</v>
      </c>
      <c r="DW97" s="5">
        <f t="shared" si="301"/>
        <v>4.6722581412764894</v>
      </c>
      <c r="DX97" s="5">
        <f t="shared" si="262"/>
        <v>1.8926342950973496</v>
      </c>
      <c r="DY97" s="5">
        <f t="shared" si="302"/>
        <v>2.77962384617914</v>
      </c>
      <c r="DZ97" s="5">
        <f t="shared" si="263"/>
        <v>2.7796238461791387</v>
      </c>
      <c r="EA97" s="173">
        <f t="shared" si="303"/>
        <v>0.40507913686898095</v>
      </c>
      <c r="EB97" s="173">
        <f t="shared" si="264"/>
        <v>22.080000000000002</v>
      </c>
      <c r="EC97" s="173">
        <f t="shared" si="265"/>
        <v>0.90122448979591863</v>
      </c>
      <c r="ED97" s="173">
        <f t="shared" si="304"/>
        <v>24.499999999999996</v>
      </c>
      <c r="EE97" s="460">
        <f t="shared" si="266"/>
        <v>7.2550981312065073</v>
      </c>
      <c r="EF97" s="5">
        <f t="shared" si="267"/>
        <v>2.1310449487373404</v>
      </c>
      <c r="EG97" s="5"/>
      <c r="EH97" s="173">
        <f t="shared" si="305"/>
        <v>1.6691188341107708</v>
      </c>
      <c r="EI97" s="173">
        <f t="shared" si="268"/>
        <v>1.3491888807360177</v>
      </c>
      <c r="EJ97" s="173"/>
      <c r="EK97" s="528">
        <f t="shared" si="269"/>
        <v>0.11143830729533194</v>
      </c>
      <c r="EL97" s="528">
        <f t="shared" si="270"/>
        <v>1.0785389999999999</v>
      </c>
      <c r="EM97" s="528">
        <f t="shared" si="271"/>
        <v>4.280585403300486E-2</v>
      </c>
      <c r="EN97" s="528">
        <f t="shared" si="272"/>
        <v>6.0955837687499966E-2</v>
      </c>
      <c r="EO97">
        <f t="shared" si="273"/>
        <v>1.0800000000000001E-2</v>
      </c>
      <c r="EP97" s="460">
        <f t="shared" si="306"/>
        <v>53.60585403300486</v>
      </c>
      <c r="EQ97" s="528">
        <f t="shared" si="274"/>
        <v>1.3709263766311559</v>
      </c>
      <c r="ER97" s="460">
        <f t="shared" si="307"/>
        <v>1370.926376631156</v>
      </c>
      <c r="ES97" s="528">
        <f t="shared" si="308"/>
        <v>0.79856000000000005</v>
      </c>
      <c r="ET97" s="528"/>
      <c r="EV97" s="460">
        <f t="shared" si="309"/>
        <v>798.56000000000006</v>
      </c>
      <c r="EW97" s="528">
        <f t="shared" si="275"/>
        <v>8.3578730471498955E-2</v>
      </c>
      <c r="EX97" s="528">
        <f t="shared" si="276"/>
        <v>5.4609319077051244E-2</v>
      </c>
      <c r="EY97" s="528">
        <f t="shared" si="277"/>
        <v>1.4734920547744239</v>
      </c>
      <c r="EZ97" s="528">
        <f t="shared" si="278"/>
        <v>1.6632323428874003</v>
      </c>
      <c r="FA97" s="528">
        <f t="shared" si="279"/>
        <v>0.8832000000000001</v>
      </c>
      <c r="FB97" s="460">
        <f t="shared" si="310"/>
        <v>2546.4323428874004</v>
      </c>
      <c r="FC97" s="173">
        <f t="shared" si="311"/>
        <v>4.715918719518557</v>
      </c>
      <c r="FD97" s="5">
        <f t="shared" si="312"/>
        <v>22.080000000000002</v>
      </c>
      <c r="FE97" s="173">
        <f t="shared" si="313"/>
        <v>0.82400608208729154</v>
      </c>
      <c r="FF97" s="5">
        <f t="shared" si="314"/>
        <v>82.400608208729153</v>
      </c>
      <c r="FI97" s="562">
        <f t="shared" si="280"/>
        <v>-50</v>
      </c>
      <c r="FJ97">
        <f t="shared" si="281"/>
        <v>-50</v>
      </c>
      <c r="FL97">
        <f t="shared" si="282"/>
        <v>0.594920863131019</v>
      </c>
    </row>
    <row r="98" spans="5:168" ht="13">
      <c r="E98" s="170">
        <v>93</v>
      </c>
      <c r="F98" s="217">
        <f t="shared" si="283"/>
        <v>0.93</v>
      </c>
      <c r="G98" s="217"/>
      <c r="H98" s="217">
        <f t="shared" si="183"/>
        <v>22.32</v>
      </c>
      <c r="I98" s="541">
        <f t="shared" si="184"/>
        <v>23.832970319983332</v>
      </c>
      <c r="J98" s="172">
        <f t="shared" si="185"/>
        <v>16.373347000276972</v>
      </c>
      <c r="K98" s="172">
        <f t="shared" si="186"/>
        <v>40.373347000276972</v>
      </c>
      <c r="L98" s="443"/>
      <c r="M98" s="217">
        <f t="shared" si="187"/>
        <v>0.40722483834932771</v>
      </c>
      <c r="N98" s="172">
        <f t="shared" si="188"/>
        <v>54.268157400269025</v>
      </c>
      <c r="O98" s="172">
        <f t="shared" si="284"/>
        <v>22.32</v>
      </c>
      <c r="P98" s="217">
        <f t="shared" si="189"/>
        <v>2.2611732250112095</v>
      </c>
      <c r="Q98" s="217">
        <f t="shared" si="190"/>
        <v>24</v>
      </c>
      <c r="R98" s="217">
        <f t="shared" si="191"/>
        <v>2.2466151587823</v>
      </c>
      <c r="S98" s="172">
        <f t="shared" si="192"/>
        <v>106.80629157979284</v>
      </c>
      <c r="T98" s="532">
        <f t="shared" si="193"/>
        <v>24</v>
      </c>
      <c r="U98" s="217">
        <f t="shared" si="194"/>
        <v>4.7043227813158177</v>
      </c>
      <c r="V98" s="217">
        <f t="shared" si="195"/>
        <v>1.9738717911176034</v>
      </c>
      <c r="W98" s="217">
        <f t="shared" si="196"/>
        <v>2.8731589095596881</v>
      </c>
      <c r="X98" s="197">
        <f t="shared" si="197"/>
        <v>350</v>
      </c>
      <c r="Y98" s="443">
        <f t="shared" si="198"/>
        <v>198.1363021758128</v>
      </c>
      <c r="AA98" s="217">
        <f t="shared" si="199"/>
        <v>2.7730218895565821</v>
      </c>
      <c r="AB98" s="173">
        <f t="shared" si="200"/>
        <v>1.6936194472087314</v>
      </c>
      <c r="AC98" s="173">
        <f t="shared" si="201"/>
        <v>0.54819240251864365</v>
      </c>
      <c r="AD98" s="173"/>
      <c r="AE98" s="173">
        <f t="shared" si="202"/>
        <v>1.3572192797139346</v>
      </c>
      <c r="AF98" s="545">
        <f t="shared" si="203"/>
        <v>924.59087670979329</v>
      </c>
      <c r="AG98" s="528">
        <f t="shared" si="204"/>
        <v>0.35204760094357557</v>
      </c>
      <c r="AI98" s="173">
        <f t="shared" si="205"/>
        <v>3.6118380254146638</v>
      </c>
      <c r="AJ98" s="173">
        <f t="shared" si="206"/>
        <v>4.7043227813158177</v>
      </c>
      <c r="AK98" s="173">
        <f t="shared" si="207"/>
        <v>3.0385930067359963</v>
      </c>
      <c r="AM98" s="545">
        <f t="shared" si="208"/>
        <v>930</v>
      </c>
      <c r="AN98" s="460">
        <f t="shared" si="209"/>
        <v>198.1363021758128</v>
      </c>
      <c r="AP98">
        <f t="shared" si="210"/>
        <v>930</v>
      </c>
      <c r="AQ98">
        <f t="shared" si="211"/>
        <v>198.1363021758128</v>
      </c>
      <c r="AS98" s="5">
        <f t="shared" si="285"/>
        <v>5.0470307006772916</v>
      </c>
      <c r="AT98" s="5">
        <f t="shared" si="212"/>
        <v>1.9738717911176034</v>
      </c>
      <c r="AU98" s="5">
        <f t="shared" si="286"/>
        <v>3.0731589095596883</v>
      </c>
      <c r="AV98" s="5">
        <f t="shared" si="213"/>
        <v>2.8731589095596881</v>
      </c>
      <c r="AW98" s="173">
        <f t="shared" si="287"/>
        <v>0.39109565766119025</v>
      </c>
      <c r="AX98" s="173">
        <f t="shared" si="214"/>
        <v>21.924428583163905</v>
      </c>
      <c r="AY98" s="173">
        <f t="shared" si="215"/>
        <v>0.95530493686374718</v>
      </c>
      <c r="AZ98" s="173">
        <f t="shared" si="288"/>
        <v>22.950188716852548</v>
      </c>
      <c r="BA98" s="460">
        <f t="shared" si="216"/>
        <v>7.6487531905807131</v>
      </c>
      <c r="BB98" s="5">
        <f t="shared" si="217"/>
        <v>2.3983899174280587</v>
      </c>
      <c r="BC98" s="5"/>
      <c r="BD98" s="173">
        <f t="shared" si="289"/>
        <v>1.6985486180202931</v>
      </c>
      <c r="BE98" s="173">
        <f t="shared" si="218"/>
        <v>1.4136335858709626</v>
      </c>
      <c r="BF98" s="173"/>
      <c r="BG98" s="528">
        <f t="shared" si="219"/>
        <v>0.1154026963111459</v>
      </c>
      <c r="BH98" s="528">
        <f t="shared" si="220"/>
        <v>0.84671731055299226</v>
      </c>
      <c r="BI98" s="528">
        <f t="shared" si="221"/>
        <v>0.18888706436269584</v>
      </c>
      <c r="BJ98" s="528">
        <f t="shared" si="222"/>
        <v>5.6518628044516517E-2</v>
      </c>
      <c r="BK98">
        <f t="shared" si="223"/>
        <v>1.07248366439925E-2</v>
      </c>
      <c r="BL98" s="460">
        <f t="shared" si="290"/>
        <v>199.61190100668836</v>
      </c>
      <c r="BM98" s="528">
        <f t="shared" si="224"/>
        <v>1.0793940017286026</v>
      </c>
      <c r="BN98" s="460">
        <f t="shared" si="291"/>
        <v>1079.3940017286025</v>
      </c>
      <c r="BO98" s="528">
        <f t="shared" si="225"/>
        <v>0.80724000000000007</v>
      </c>
      <c r="BP98" s="528"/>
      <c r="BR98" s="460">
        <f t="shared" si="292"/>
        <v>807.24000000000012</v>
      </c>
      <c r="BS98" s="528">
        <f t="shared" si="226"/>
        <v>8.6552022233359421E-2</v>
      </c>
      <c r="BT98" s="528">
        <f t="shared" si="227"/>
        <v>5.9950797453071879E-2</v>
      </c>
      <c r="BU98" s="528">
        <f t="shared" si="228"/>
        <v>0.33479999999999999</v>
      </c>
      <c r="BV98" s="528">
        <f t="shared" si="229"/>
        <v>0.52258834975310353</v>
      </c>
      <c r="BW98" s="528">
        <f t="shared" si="230"/>
        <v>0.8769771433265563</v>
      </c>
      <c r="BX98" s="460">
        <f t="shared" si="293"/>
        <v>1399.5654930796597</v>
      </c>
      <c r="BY98" s="173">
        <f t="shared" si="231"/>
        <v>3.485811395814951</v>
      </c>
      <c r="BZ98" s="5">
        <f t="shared" si="294"/>
        <v>22.32</v>
      </c>
      <c r="CA98" s="173">
        <f t="shared" si="295"/>
        <v>0.86492145732800862</v>
      </c>
      <c r="CB98" s="5">
        <f t="shared" si="296"/>
        <v>86.492145732800864</v>
      </c>
      <c r="CE98" s="562">
        <f t="shared" si="232"/>
        <v>-50</v>
      </c>
      <c r="CF98">
        <f t="shared" si="233"/>
        <v>-50</v>
      </c>
      <c r="CG98" s="173">
        <f t="shared" si="234"/>
        <v>0.58433446912285647</v>
      </c>
      <c r="CI98" s="170">
        <v>93</v>
      </c>
      <c r="CJ98" s="217">
        <f t="shared" si="297"/>
        <v>0.93</v>
      </c>
      <c r="CK98" s="217"/>
      <c r="CL98" s="217">
        <f t="shared" si="235"/>
        <v>22.32</v>
      </c>
      <c r="CM98" s="541">
        <f t="shared" si="236"/>
        <v>24</v>
      </c>
      <c r="CN98" s="172">
        <f t="shared" si="237"/>
        <v>16.3415</v>
      </c>
      <c r="CO98" s="443">
        <f t="shared" si="238"/>
        <v>40.341499999999996</v>
      </c>
      <c r="CP98" s="443"/>
      <c r="CQ98" s="217">
        <f t="shared" si="239"/>
        <v>0.40507913686898112</v>
      </c>
      <c r="CR98" s="172">
        <f t="shared" si="240"/>
        <v>54.360539956785601</v>
      </c>
      <c r="CS98" s="172">
        <f t="shared" si="298"/>
        <v>22.32</v>
      </c>
      <c r="CT98" s="217">
        <f t="shared" si="241"/>
        <v>2.2650224981994</v>
      </c>
      <c r="CU98" s="217">
        <f t="shared" si="242"/>
        <v>24</v>
      </c>
      <c r="CV98" s="217">
        <f t="shared" si="243"/>
        <v>2.250439649272117</v>
      </c>
      <c r="CW98" s="172">
        <f t="shared" si="244"/>
        <v>107.55366726935998</v>
      </c>
      <c r="CX98" s="532">
        <f t="shared" si="245"/>
        <v>24</v>
      </c>
      <c r="CY98" s="217">
        <f t="shared" si="246"/>
        <v>4.5916953768013951</v>
      </c>
      <c r="CZ98" s="217">
        <f t="shared" si="247"/>
        <v>1.9132064070005812</v>
      </c>
      <c r="DA98" s="217">
        <f t="shared" si="248"/>
        <v>2.8098371488549985</v>
      </c>
      <c r="DB98" s="197">
        <f t="shared" si="249"/>
        <v>350</v>
      </c>
      <c r="DC98" s="443">
        <f t="shared" si="299"/>
        <v>211.72788016324992</v>
      </c>
      <c r="DE98" s="217">
        <f t="shared" si="250"/>
        <v>2.7776855099587272</v>
      </c>
      <c r="DF98" s="173">
        <f t="shared" si="251"/>
        <v>1.6997738946600542</v>
      </c>
      <c r="DG98" s="173">
        <f t="shared" si="252"/>
        <v>0.55110977087390545</v>
      </c>
      <c r="DH98" s="173"/>
      <c r="DI98" s="173">
        <f t="shared" si="253"/>
        <v>1.3598642855443031</v>
      </c>
      <c r="DJ98" s="545">
        <f t="shared" si="300"/>
        <v>922.79249999999979</v>
      </c>
      <c r="DK98" s="528">
        <f t="shared" si="254"/>
        <v>0.35273368606701955</v>
      </c>
      <c r="DM98" s="173">
        <f t="shared" si="255"/>
        <v>3.6083237105337429</v>
      </c>
      <c r="DN98" s="173">
        <f t="shared" si="256"/>
        <v>4.5916953768013951</v>
      </c>
      <c r="DO98" s="173">
        <f t="shared" si="257"/>
        <v>2.955165299688276</v>
      </c>
      <c r="DQ98" s="545">
        <f t="shared" si="258"/>
        <v>930</v>
      </c>
      <c r="DR98" s="460">
        <f t="shared" si="259"/>
        <v>211.72788016324992</v>
      </c>
      <c r="DT98">
        <f t="shared" si="260"/>
        <v>930</v>
      </c>
      <c r="DU98">
        <f t="shared" si="261"/>
        <v>211.72788016324992</v>
      </c>
      <c r="DW98" s="5">
        <f t="shared" si="301"/>
        <v>4.7230435558555799</v>
      </c>
      <c r="DX98" s="5">
        <f t="shared" si="262"/>
        <v>1.9132064070005812</v>
      </c>
      <c r="DY98" s="5">
        <f t="shared" si="302"/>
        <v>2.8098371488549985</v>
      </c>
      <c r="DZ98" s="5">
        <f t="shared" si="263"/>
        <v>2.8098371488549985</v>
      </c>
      <c r="EA98" s="173">
        <f t="shared" si="303"/>
        <v>0.405079136868981</v>
      </c>
      <c r="EB98" s="173">
        <f t="shared" si="264"/>
        <v>22.32</v>
      </c>
      <c r="EC98" s="173">
        <f t="shared" si="265"/>
        <v>0.91102040816326535</v>
      </c>
      <c r="ED98" s="173">
        <f t="shared" si="304"/>
        <v>24.5</v>
      </c>
      <c r="EE98" s="460">
        <f t="shared" si="266"/>
        <v>7.4136748271272523</v>
      </c>
      <c r="EF98" s="5">
        <f t="shared" si="267"/>
        <v>2.1776237903626234</v>
      </c>
      <c r="EG98" s="5"/>
      <c r="EH98" s="173">
        <f t="shared" si="305"/>
        <v>1.6872614301337134</v>
      </c>
      <c r="EI98" s="173">
        <f t="shared" si="268"/>
        <v>1.3638539772657567</v>
      </c>
      <c r="EJ98" s="173"/>
      <c r="EK98" s="528">
        <f t="shared" si="269"/>
        <v>0.11387404534467456</v>
      </c>
      <c r="EL98" s="528">
        <f t="shared" si="270"/>
        <v>1.0785389999999999</v>
      </c>
      <c r="EM98" s="528">
        <f t="shared" si="271"/>
        <v>4.2345576032649983E-2</v>
      </c>
      <c r="EN98" s="528">
        <f t="shared" si="272"/>
        <v>6.0300398572580634E-2</v>
      </c>
      <c r="EO98">
        <f t="shared" si="273"/>
        <v>1.0800000000000001E-2</v>
      </c>
      <c r="EP98" s="460">
        <f t="shared" si="306"/>
        <v>53.145576032649977</v>
      </c>
      <c r="EQ98" s="528">
        <f t="shared" si="274"/>
        <v>1.3737745052410006</v>
      </c>
      <c r="ER98" s="460">
        <f t="shared" si="307"/>
        <v>1373.7745052410007</v>
      </c>
      <c r="ES98" s="528">
        <f t="shared" si="308"/>
        <v>0.80724000000000007</v>
      </c>
      <c r="ET98" s="528"/>
      <c r="EV98" s="460">
        <f t="shared" si="309"/>
        <v>807.24000000000012</v>
      </c>
      <c r="EW98" s="528">
        <f t="shared" si="275"/>
        <v>8.5405534008505909E-2</v>
      </c>
      <c r="EX98" s="528">
        <f t="shared" si="276"/>
        <v>5.5802930139108697E-2</v>
      </c>
      <c r="EY98" s="528">
        <f t="shared" si="277"/>
        <v>1.473492054774425</v>
      </c>
      <c r="EZ98" s="528">
        <f t="shared" si="278"/>
        <v>1.6674269340321104</v>
      </c>
      <c r="FA98" s="528">
        <f t="shared" si="279"/>
        <v>0.89279999999999993</v>
      </c>
      <c r="FB98" s="460">
        <f t="shared" si="310"/>
        <v>2560.2269340321104</v>
      </c>
      <c r="FC98" s="173">
        <f t="shared" si="311"/>
        <v>4.7412414392731117</v>
      </c>
      <c r="FD98" s="5">
        <f t="shared" si="312"/>
        <v>22.32</v>
      </c>
      <c r="FE98" s="173">
        <f t="shared" si="313"/>
        <v>0.82479586348938527</v>
      </c>
      <c r="FF98" s="5">
        <f t="shared" si="314"/>
        <v>82.479586348938525</v>
      </c>
      <c r="FI98" s="562">
        <f t="shared" si="280"/>
        <v>-50</v>
      </c>
      <c r="FJ98">
        <f t="shared" si="281"/>
        <v>-50</v>
      </c>
      <c r="FL98">
        <f t="shared" si="282"/>
        <v>0.594920863131019</v>
      </c>
    </row>
    <row r="99" spans="5:168" ht="13">
      <c r="E99" s="170">
        <v>94</v>
      </c>
      <c r="F99" s="217">
        <f t="shared" si="283"/>
        <v>0.94</v>
      </c>
      <c r="G99" s="217"/>
      <c r="H99" s="217">
        <f t="shared" si="183"/>
        <v>22.56</v>
      </c>
      <c r="I99" s="541">
        <f t="shared" si="184"/>
        <v>23.831206834127613</v>
      </c>
      <c r="J99" s="172">
        <f t="shared" si="185"/>
        <v>16.373683238330774</v>
      </c>
      <c r="K99" s="172">
        <f t="shared" si="186"/>
        <v>40.37368323833077</v>
      </c>
      <c r="L99" s="443"/>
      <c r="M99" s="217">
        <f t="shared" si="187"/>
        <v>0.40724765961486309</v>
      </c>
      <c r="N99" s="172">
        <f t="shared" si="188"/>
        <v>54.267182921058307</v>
      </c>
      <c r="O99" s="172">
        <f t="shared" si="284"/>
        <v>22.56</v>
      </c>
      <c r="P99" s="217">
        <f t="shared" si="189"/>
        <v>2.2611326217107628</v>
      </c>
      <c r="Q99" s="217">
        <f t="shared" si="190"/>
        <v>24</v>
      </c>
      <c r="R99" s="217">
        <f t="shared" si="191"/>
        <v>2.2465748168972692</v>
      </c>
      <c r="S99" s="172">
        <f t="shared" si="192"/>
        <v>105.28630352218475</v>
      </c>
      <c r="T99" s="532">
        <f t="shared" si="193"/>
        <v>24</v>
      </c>
      <c r="U99" s="217">
        <f t="shared" si="194"/>
        <v>4.755089963569465</v>
      </c>
      <c r="V99" s="217">
        <f t="shared" si="195"/>
        <v>1.9953206720357577</v>
      </c>
      <c r="W99" s="217">
        <f t="shared" si="196"/>
        <v>2.9041052610800513</v>
      </c>
      <c r="X99" s="197">
        <f t="shared" si="197"/>
        <v>350</v>
      </c>
      <c r="Y99" s="443">
        <f t="shared" si="198"/>
        <v>196.10050486388536</v>
      </c>
      <c r="AA99" s="217">
        <f t="shared" si="199"/>
        <v>2.7729720808013387</v>
      </c>
      <c r="AB99" s="173">
        <f t="shared" si="200"/>
        <v>1.6935542482645656</v>
      </c>
      <c r="AC99" s="173">
        <f t="shared" si="201"/>
        <v>0.54816145265980232</v>
      </c>
      <c r="AD99" s="173"/>
      <c r="AE99" s="173">
        <f t="shared" si="202"/>
        <v>1.3571914088456303</v>
      </c>
      <c r="AF99" s="545">
        <f t="shared" si="203"/>
        <v>934.55190537219255</v>
      </c>
      <c r="AG99" s="528">
        <f t="shared" si="204"/>
        <v>0.35204037155001378</v>
      </c>
      <c r="AI99" s="173">
        <f t="shared" si="205"/>
        <v>3.6312418724336708</v>
      </c>
      <c r="AJ99" s="173">
        <f t="shared" si="206"/>
        <v>4.755089963569465</v>
      </c>
      <c r="AK99" s="173">
        <f t="shared" si="207"/>
        <v>3.0761983269238833</v>
      </c>
      <c r="AM99" s="545">
        <f t="shared" si="208"/>
        <v>940</v>
      </c>
      <c r="AN99" s="460">
        <f t="shared" si="209"/>
        <v>196.10050486388536</v>
      </c>
      <c r="AP99">
        <f t="shared" si="210"/>
        <v>940</v>
      </c>
      <c r="AQ99">
        <f t="shared" si="211"/>
        <v>196.10050486388536</v>
      </c>
      <c r="AS99" s="5">
        <f t="shared" si="285"/>
        <v>5.0994259331158096</v>
      </c>
      <c r="AT99" s="5">
        <f t="shared" si="212"/>
        <v>1.9953206720357577</v>
      </c>
      <c r="AU99" s="5">
        <f t="shared" si="286"/>
        <v>3.1041052610800519</v>
      </c>
      <c r="AV99" s="5">
        <f t="shared" si="213"/>
        <v>2.9041052610800513</v>
      </c>
      <c r="AW99" s="173">
        <f t="shared" si="287"/>
        <v>0.39128339115155913</v>
      </c>
      <c r="AX99" s="173">
        <f t="shared" si="214"/>
        <v>22.170025467772156</v>
      </c>
      <c r="AY99" s="173">
        <f t="shared" si="215"/>
        <v>0.96531649617065252</v>
      </c>
      <c r="AZ99" s="173">
        <f t="shared" si="288"/>
        <v>22.966587182254937</v>
      </c>
      <c r="BA99" s="460">
        <f t="shared" si="216"/>
        <v>7.8150059654733832</v>
      </c>
      <c r="BB99" s="5">
        <f t="shared" si="217"/>
        <v>2.4487714497418671</v>
      </c>
      <c r="BC99" s="5"/>
      <c r="BD99" s="173">
        <f t="shared" si="289"/>
        <v>1.7172906978805307</v>
      </c>
      <c r="BE99" s="173">
        <f t="shared" si="218"/>
        <v>1.4286686679096912</v>
      </c>
      <c r="BF99" s="173"/>
      <c r="BG99" s="528">
        <f t="shared" si="219"/>
        <v>0.11796349364108</v>
      </c>
      <c r="BH99" s="528">
        <f t="shared" si="220"/>
        <v>0.84706812408517174</v>
      </c>
      <c r="BI99" s="528">
        <f t="shared" si="221"/>
        <v>0.18693246766752403</v>
      </c>
      <c r="BJ99" s="528">
        <f t="shared" si="222"/>
        <v>5.5938846044929734E-2</v>
      </c>
      <c r="BK99">
        <f t="shared" si="223"/>
        <v>1.0724043075357426E-2</v>
      </c>
      <c r="BL99" s="460">
        <f t="shared" si="290"/>
        <v>197.65651074288147</v>
      </c>
      <c r="BM99" s="528">
        <f t="shared" si="224"/>
        <v>1.0831801159205219</v>
      </c>
      <c r="BN99" s="460">
        <f t="shared" si="291"/>
        <v>1083.180115920522</v>
      </c>
      <c r="BO99" s="528">
        <f t="shared" si="225"/>
        <v>0.81591999999999987</v>
      </c>
      <c r="BP99" s="528"/>
      <c r="BR99" s="460">
        <f t="shared" si="292"/>
        <v>815.91999999999985</v>
      </c>
      <c r="BS99" s="528">
        <f t="shared" si="226"/>
        <v>8.8472620230809998E-2</v>
      </c>
      <c r="BT99" s="528">
        <f t="shared" si="227"/>
        <v>6.1232824880005539E-2</v>
      </c>
      <c r="BU99" s="528">
        <f t="shared" si="228"/>
        <v>0.33839999999999998</v>
      </c>
      <c r="BV99" s="528">
        <f t="shared" si="229"/>
        <v>0.53038689645053694</v>
      </c>
      <c r="BW99" s="528">
        <f t="shared" si="230"/>
        <v>0.88680101871088635</v>
      </c>
      <c r="BX99" s="460">
        <f t="shared" si="293"/>
        <v>1417.1879151614232</v>
      </c>
      <c r="BY99" s="173">
        <f t="shared" si="231"/>
        <v>3.5139445418248263</v>
      </c>
      <c r="BZ99" s="5">
        <f t="shared" si="294"/>
        <v>22.56</v>
      </c>
      <c r="CA99" s="173">
        <f t="shared" si="295"/>
        <v>0.86523157107325432</v>
      </c>
      <c r="CB99" s="5">
        <f t="shared" si="296"/>
        <v>86.523157107325432</v>
      </c>
      <c r="CE99" s="562">
        <f t="shared" si="232"/>
        <v>-50</v>
      </c>
      <c r="CF99">
        <f t="shared" si="233"/>
        <v>-50</v>
      </c>
      <c r="CG99" s="173">
        <f t="shared" si="234"/>
        <v>0.58444709033570919</v>
      </c>
      <c r="CI99" s="170">
        <v>94</v>
      </c>
      <c r="CJ99" s="217">
        <f t="shared" si="297"/>
        <v>0.94</v>
      </c>
      <c r="CK99" s="217"/>
      <c r="CL99" s="217">
        <f t="shared" si="235"/>
        <v>22.56</v>
      </c>
      <c r="CM99" s="541">
        <f t="shared" si="236"/>
        <v>24</v>
      </c>
      <c r="CN99" s="172">
        <f t="shared" si="237"/>
        <v>16.3415</v>
      </c>
      <c r="CO99" s="443">
        <f t="shared" si="238"/>
        <v>40.341499999999996</v>
      </c>
      <c r="CP99" s="443"/>
      <c r="CQ99" s="217">
        <f t="shared" si="239"/>
        <v>0.40507913686898112</v>
      </c>
      <c r="CR99" s="172">
        <f t="shared" si="240"/>
        <v>54.360539956785601</v>
      </c>
      <c r="CS99" s="172">
        <f t="shared" si="298"/>
        <v>22.56</v>
      </c>
      <c r="CT99" s="217">
        <f t="shared" si="241"/>
        <v>2.2650224981994</v>
      </c>
      <c r="CU99" s="217">
        <f t="shared" si="242"/>
        <v>24</v>
      </c>
      <c r="CV99" s="217">
        <f t="shared" si="243"/>
        <v>2.250439649272117</v>
      </c>
      <c r="CW99" s="172">
        <f t="shared" si="244"/>
        <v>106.03084334604672</v>
      </c>
      <c r="CX99" s="532">
        <f t="shared" si="245"/>
        <v>24</v>
      </c>
      <c r="CY99" s="217">
        <f t="shared" si="246"/>
        <v>4.641068445369152</v>
      </c>
      <c r="CZ99" s="217">
        <f t="shared" si="247"/>
        <v>1.9337785189038137</v>
      </c>
      <c r="DA99" s="217">
        <f t="shared" si="248"/>
        <v>2.8400504515308587</v>
      </c>
      <c r="DB99" s="197">
        <f t="shared" si="249"/>
        <v>350</v>
      </c>
      <c r="DC99" s="443">
        <f t="shared" si="299"/>
        <v>209.47545590619407</v>
      </c>
      <c r="DE99" s="217">
        <f t="shared" si="250"/>
        <v>2.7776855099587272</v>
      </c>
      <c r="DF99" s="173">
        <f t="shared" si="251"/>
        <v>1.6997738946600542</v>
      </c>
      <c r="DG99" s="173">
        <f t="shared" si="252"/>
        <v>0.55110977087390545</v>
      </c>
      <c r="DH99" s="173"/>
      <c r="DI99" s="173">
        <f t="shared" si="253"/>
        <v>1.3598642855443031</v>
      </c>
      <c r="DJ99" s="545">
        <f t="shared" si="300"/>
        <v>932.71499999999969</v>
      </c>
      <c r="DK99" s="528">
        <f t="shared" si="254"/>
        <v>0.35273368606701955</v>
      </c>
      <c r="DM99" s="173">
        <f t="shared" si="255"/>
        <v>3.6276714294434105</v>
      </c>
      <c r="DN99" s="173">
        <f t="shared" si="256"/>
        <v>4.641068445369152</v>
      </c>
      <c r="DO99" s="173">
        <f t="shared" si="257"/>
        <v>2.9917379430717999</v>
      </c>
      <c r="DQ99" s="545">
        <f t="shared" si="258"/>
        <v>940</v>
      </c>
      <c r="DR99" s="460">
        <f t="shared" si="259"/>
        <v>209.47545590619407</v>
      </c>
      <c r="DT99">
        <f t="shared" si="260"/>
        <v>940</v>
      </c>
      <c r="DU99">
        <f t="shared" si="261"/>
        <v>209.47545590619407</v>
      </c>
      <c r="DW99" s="5">
        <f t="shared" si="301"/>
        <v>4.7738289704346721</v>
      </c>
      <c r="DX99" s="5">
        <f t="shared" si="262"/>
        <v>1.9337785189038137</v>
      </c>
      <c r="DY99" s="5">
        <f t="shared" si="302"/>
        <v>2.8400504515308587</v>
      </c>
      <c r="DZ99" s="5">
        <f t="shared" si="263"/>
        <v>2.8400504515308587</v>
      </c>
      <c r="EA99" s="173">
        <f t="shared" si="303"/>
        <v>0.40507913686898112</v>
      </c>
      <c r="EB99" s="173">
        <f t="shared" si="264"/>
        <v>22.559999999999995</v>
      </c>
      <c r="EC99" s="173">
        <f t="shared" si="265"/>
        <v>0.92081632653061218</v>
      </c>
      <c r="ED99" s="173">
        <f t="shared" si="304"/>
        <v>24.499999999999996</v>
      </c>
      <c r="EE99" s="460">
        <f t="shared" si="266"/>
        <v>7.5739658657066027</v>
      </c>
      <c r="EF99" s="5">
        <f t="shared" si="267"/>
        <v>2.2247061870325053</v>
      </c>
      <c r="EG99" s="5"/>
      <c r="EH99" s="173">
        <f t="shared" si="305"/>
        <v>1.705404026156657</v>
      </c>
      <c r="EI99" s="173">
        <f t="shared" si="268"/>
        <v>1.3785190737954962</v>
      </c>
      <c r="EJ99" s="173"/>
      <c r="EK99" s="528">
        <f t="shared" si="269"/>
        <v>0.11633611569725343</v>
      </c>
      <c r="EL99" s="528">
        <f t="shared" si="270"/>
        <v>1.0785389999999999</v>
      </c>
      <c r="EM99" s="528">
        <f t="shared" si="271"/>
        <v>4.1895091181238811E-2</v>
      </c>
      <c r="EN99" s="528">
        <f t="shared" si="272"/>
        <v>5.9658904970744664E-2</v>
      </c>
      <c r="EO99">
        <f t="shared" si="273"/>
        <v>1.0800000000000001E-2</v>
      </c>
      <c r="EP99" s="460">
        <f t="shared" si="306"/>
        <v>52.695091181238816</v>
      </c>
      <c r="EQ99" s="528">
        <f t="shared" si="274"/>
        <v>1.3766936880994876</v>
      </c>
      <c r="ER99" s="460">
        <f t="shared" si="307"/>
        <v>1376.6936880994876</v>
      </c>
      <c r="ES99" s="528">
        <f t="shared" si="308"/>
        <v>0.81591999999999987</v>
      </c>
      <c r="ET99" s="528"/>
      <c r="EV99" s="460">
        <f t="shared" si="309"/>
        <v>815.91999999999985</v>
      </c>
      <c r="EW99" s="528">
        <f t="shared" si="275"/>
        <v>8.7252086772940066E-2</v>
      </c>
      <c r="EX99" s="528">
        <f t="shared" si="276"/>
        <v>5.7009445104539778E-2</v>
      </c>
      <c r="EY99" s="528">
        <f t="shared" si="277"/>
        <v>1.4734920547744272</v>
      </c>
      <c r="EZ99" s="528">
        <f t="shared" si="278"/>
        <v>1.6716689562562264</v>
      </c>
      <c r="FA99" s="528">
        <f t="shared" si="279"/>
        <v>0.90239999999999998</v>
      </c>
      <c r="FB99" s="460">
        <f t="shared" si="310"/>
        <v>2574.0689562562261</v>
      </c>
      <c r="FC99" s="173">
        <f t="shared" si="311"/>
        <v>4.766682644355714</v>
      </c>
      <c r="FD99" s="5">
        <f t="shared" si="312"/>
        <v>22.56</v>
      </c>
      <c r="FE99" s="173">
        <f t="shared" si="313"/>
        <v>0.82556672881257076</v>
      </c>
      <c r="FF99" s="5">
        <f t="shared" si="314"/>
        <v>82.556672881257072</v>
      </c>
      <c r="FI99" s="562">
        <f t="shared" si="280"/>
        <v>-50</v>
      </c>
      <c r="FJ99">
        <f t="shared" si="281"/>
        <v>-50</v>
      </c>
      <c r="FL99">
        <f t="shared" si="282"/>
        <v>0.59492086313101888</v>
      </c>
    </row>
    <row r="100" spans="5:168" ht="13">
      <c r="E100" s="170">
        <v>95</v>
      </c>
      <c r="F100" s="217">
        <f t="shared" si="283"/>
        <v>0.95</v>
      </c>
      <c r="G100" s="217"/>
      <c r="H100" s="217">
        <f t="shared" si="183"/>
        <v>22.799999999999997</v>
      </c>
      <c r="I100" s="541">
        <f t="shared" si="184"/>
        <v>23.829443336000441</v>
      </c>
      <c r="J100" s="172">
        <f t="shared" si="185"/>
        <v>16.374019478724328</v>
      </c>
      <c r="K100" s="172">
        <f t="shared" si="186"/>
        <v>40.374019478724328</v>
      </c>
      <c r="L100" s="443"/>
      <c r="M100" s="217">
        <f t="shared" si="187"/>
        <v>0.4072704826249498</v>
      </c>
      <c r="N100" s="172">
        <f t="shared" si="188"/>
        <v>54.266208196288439</v>
      </c>
      <c r="O100" s="172">
        <f t="shared" si="284"/>
        <v>22.799999999999997</v>
      </c>
      <c r="P100" s="217">
        <f t="shared" si="189"/>
        <v>2.2610920081786849</v>
      </c>
      <c r="Q100" s="217">
        <f t="shared" si="190"/>
        <v>24</v>
      </c>
      <c r="R100" s="217">
        <f t="shared" si="191"/>
        <v>2.2465344648464796</v>
      </c>
      <c r="S100" s="172">
        <f t="shared" si="192"/>
        <v>103.79843754089067</v>
      </c>
      <c r="T100" s="532">
        <f t="shared" si="193"/>
        <v>24</v>
      </c>
      <c r="U100" s="217">
        <f t="shared" si="194"/>
        <v>4.8058610692429697</v>
      </c>
      <c r="V100" s="217">
        <f t="shared" si="195"/>
        <v>2.0167743750784535</v>
      </c>
      <c r="W100" s="217">
        <f t="shared" si="196"/>
        <v>2.9350527373486344</v>
      </c>
      <c r="X100" s="197">
        <f t="shared" si="197"/>
        <v>350</v>
      </c>
      <c r="Y100" s="443">
        <f t="shared" si="198"/>
        <v>194.10589256534425</v>
      </c>
      <c r="AA100" s="217">
        <f t="shared" si="199"/>
        <v>2.7729222597350254</v>
      </c>
      <c r="AB100" s="173">
        <f t="shared" si="200"/>
        <v>1.6934890442374502</v>
      </c>
      <c r="AC100" s="173">
        <f t="shared" si="201"/>
        <v>0.54813049948032966</v>
      </c>
      <c r="AD100" s="173"/>
      <c r="AE100" s="173">
        <f t="shared" si="202"/>
        <v>1.3571635389280434</v>
      </c>
      <c r="AF100" s="545">
        <f t="shared" si="203"/>
        <v>944.51334249463025</v>
      </c>
      <c r="AG100" s="528">
        <f t="shared" si="204"/>
        <v>0.35203314240305744</v>
      </c>
      <c r="AI100" s="173">
        <f t="shared" si="205"/>
        <v>3.6505433723631451</v>
      </c>
      <c r="AJ100" s="173">
        <f t="shared" si="206"/>
        <v>4.8058610692429697</v>
      </c>
      <c r="AK100" s="173">
        <f t="shared" si="207"/>
        <v>3.1138065533487014</v>
      </c>
      <c r="AM100" s="545">
        <f t="shared" si="208"/>
        <v>950</v>
      </c>
      <c r="AN100" s="460">
        <f t="shared" si="209"/>
        <v>194.10589256534425</v>
      </c>
      <c r="AP100">
        <f t="shared" si="210"/>
        <v>950</v>
      </c>
      <c r="AQ100">
        <f t="shared" si="211"/>
        <v>194.10589256534425</v>
      </c>
      <c r="AS100" s="5">
        <f t="shared" si="285"/>
        <v>5.151827112427088</v>
      </c>
      <c r="AT100" s="5">
        <f t="shared" si="212"/>
        <v>2.0167743750784535</v>
      </c>
      <c r="AU100" s="5">
        <f t="shared" si="286"/>
        <v>3.1350527373486345</v>
      </c>
      <c r="AV100" s="5">
        <f t="shared" si="213"/>
        <v>2.9350527373486344</v>
      </c>
      <c r="AW100" s="173">
        <f t="shared" si="287"/>
        <v>0.39146779017751754</v>
      </c>
      <c r="AX100" s="173">
        <f t="shared" si="214"/>
        <v>22.415640230970634</v>
      </c>
      <c r="AY100" s="173">
        <f t="shared" si="215"/>
        <v>0.97532783906484866</v>
      </c>
      <c r="AZ100" s="173">
        <f t="shared" si="288"/>
        <v>22.982672423728733</v>
      </c>
      <c r="BA100" s="460">
        <f t="shared" si="216"/>
        <v>7.9830652346855446</v>
      </c>
      <c r="BB100" s="5">
        <f t="shared" si="217"/>
        <v>2.4996808011723224</v>
      </c>
      <c r="BC100" s="5"/>
      <c r="BD100" s="173">
        <f t="shared" si="289"/>
        <v>1.73603549922996</v>
      </c>
      <c r="BE100" s="173">
        <f t="shared" si="218"/>
        <v>1.4437041458317303</v>
      </c>
      <c r="BF100" s="173"/>
      <c r="BG100" s="528">
        <f t="shared" si="219"/>
        <v>0.12055277018346466</v>
      </c>
      <c r="BH100" s="528">
        <f t="shared" si="220"/>
        <v>0.8474116646803731</v>
      </c>
      <c r="BI100" s="528">
        <f t="shared" si="221"/>
        <v>0.18501741472278641</v>
      </c>
      <c r="BJ100" s="528">
        <f t="shared" si="222"/>
        <v>5.5370793182068209E-2</v>
      </c>
      <c r="BK100">
        <f t="shared" si="223"/>
        <v>1.0723249501200198E-2</v>
      </c>
      <c r="BL100" s="460">
        <f t="shared" si="290"/>
        <v>195.74066422398661</v>
      </c>
      <c r="BM100" s="528">
        <f t="shared" si="224"/>
        <v>1.087020368022197</v>
      </c>
      <c r="BN100" s="460">
        <f t="shared" si="291"/>
        <v>1087.0203680221971</v>
      </c>
      <c r="BO100" s="528">
        <f t="shared" si="225"/>
        <v>0.82459999999999989</v>
      </c>
      <c r="BP100" s="528"/>
      <c r="BR100" s="460">
        <f t="shared" si="292"/>
        <v>824.59999999999991</v>
      </c>
      <c r="BS100" s="528">
        <f t="shared" si="226"/>
        <v>9.0414577637598498E-2</v>
      </c>
      <c r="BT100" s="528">
        <f t="shared" si="227"/>
        <v>6.2528449820751786E-2</v>
      </c>
      <c r="BU100" s="528">
        <f t="shared" si="228"/>
        <v>0.34199999999999997</v>
      </c>
      <c r="BV100" s="528">
        <f t="shared" si="229"/>
        <v>0.53823489600667362</v>
      </c>
      <c r="BW100" s="528">
        <f t="shared" si="230"/>
        <v>0.89662560923882539</v>
      </c>
      <c r="BX100" s="460">
        <f t="shared" si="293"/>
        <v>1434.8605052454991</v>
      </c>
      <c r="BY100" s="173">
        <f t="shared" si="231"/>
        <v>3.5422215374916823</v>
      </c>
      <c r="BZ100" s="5">
        <f t="shared" si="294"/>
        <v>22.799999999999997</v>
      </c>
      <c r="CA100" s="173">
        <f t="shared" si="295"/>
        <v>0.86553064507296018</v>
      </c>
      <c r="CB100" s="5">
        <f t="shared" si="296"/>
        <v>86.553064507296014</v>
      </c>
      <c r="CE100" s="562">
        <f t="shared" si="232"/>
        <v>-50</v>
      </c>
      <c r="CF100">
        <f t="shared" si="233"/>
        <v>-50</v>
      </c>
      <c r="CG100" s="173">
        <f t="shared" si="234"/>
        <v>0.58455734057565989</v>
      </c>
      <c r="CI100" s="170">
        <v>95</v>
      </c>
      <c r="CJ100" s="217">
        <f t="shared" si="297"/>
        <v>0.95</v>
      </c>
      <c r="CK100" s="217"/>
      <c r="CL100" s="217">
        <f t="shared" si="235"/>
        <v>22.799999999999997</v>
      </c>
      <c r="CM100" s="541">
        <f t="shared" si="236"/>
        <v>24</v>
      </c>
      <c r="CN100" s="172">
        <f t="shared" si="237"/>
        <v>16.3415</v>
      </c>
      <c r="CO100" s="443">
        <f t="shared" si="238"/>
        <v>40.341499999999996</v>
      </c>
      <c r="CP100" s="443"/>
      <c r="CQ100" s="217">
        <f t="shared" si="239"/>
        <v>0.40507913686898112</v>
      </c>
      <c r="CR100" s="172">
        <f t="shared" si="240"/>
        <v>54.360539956785601</v>
      </c>
      <c r="CS100" s="172">
        <f t="shared" si="298"/>
        <v>22.799999999999997</v>
      </c>
      <c r="CT100" s="217">
        <f t="shared" si="241"/>
        <v>2.2650224981994</v>
      </c>
      <c r="CU100" s="217">
        <f t="shared" si="242"/>
        <v>24</v>
      </c>
      <c r="CV100" s="217">
        <f t="shared" si="243"/>
        <v>2.250439649272117</v>
      </c>
      <c r="CW100" s="172">
        <f t="shared" si="244"/>
        <v>104.54014561139688</v>
      </c>
      <c r="CX100" s="532">
        <f t="shared" si="245"/>
        <v>24</v>
      </c>
      <c r="CY100" s="217">
        <f t="shared" si="246"/>
        <v>4.6904415139369089</v>
      </c>
      <c r="CZ100" s="217">
        <f t="shared" si="247"/>
        <v>1.9543506308070455</v>
      </c>
      <c r="DA100" s="217">
        <f t="shared" si="248"/>
        <v>2.8702637542067189</v>
      </c>
      <c r="DB100" s="197">
        <f t="shared" si="249"/>
        <v>350</v>
      </c>
      <c r="DC100" s="443">
        <f t="shared" si="299"/>
        <v>207.27045110718151</v>
      </c>
      <c r="DE100" s="217">
        <f t="shared" si="250"/>
        <v>2.7776855099587272</v>
      </c>
      <c r="DF100" s="173">
        <f t="shared" si="251"/>
        <v>1.6997738946600542</v>
      </c>
      <c r="DG100" s="173">
        <f t="shared" si="252"/>
        <v>0.55110977087390545</v>
      </c>
      <c r="DH100" s="173"/>
      <c r="DI100" s="173">
        <f t="shared" si="253"/>
        <v>1.3598642855443031</v>
      </c>
      <c r="DJ100" s="545">
        <f t="shared" si="300"/>
        <v>942.6374999999997</v>
      </c>
      <c r="DK100" s="528">
        <f t="shared" si="254"/>
        <v>0.35273368606701955</v>
      </c>
      <c r="DM100" s="173">
        <f t="shared" si="255"/>
        <v>3.6469165057620936</v>
      </c>
      <c r="DN100" s="173">
        <f t="shared" si="256"/>
        <v>4.6904415139369089</v>
      </c>
      <c r="DO100" s="173">
        <f t="shared" si="257"/>
        <v>3.0283105864553233</v>
      </c>
      <c r="DQ100" s="545">
        <f t="shared" si="258"/>
        <v>950</v>
      </c>
      <c r="DR100" s="460">
        <f t="shared" si="259"/>
        <v>207.27045110718151</v>
      </c>
      <c r="DT100">
        <f t="shared" si="260"/>
        <v>950</v>
      </c>
      <c r="DU100">
        <f t="shared" si="261"/>
        <v>207.27045110718151</v>
      </c>
      <c r="DW100" s="5">
        <f t="shared" si="301"/>
        <v>4.8246143850137644</v>
      </c>
      <c r="DX100" s="5">
        <f t="shared" si="262"/>
        <v>1.9543506308070455</v>
      </c>
      <c r="DY100" s="5">
        <f t="shared" si="302"/>
        <v>2.8702637542067189</v>
      </c>
      <c r="DZ100" s="5">
        <f t="shared" si="263"/>
        <v>2.8702637542067189</v>
      </c>
      <c r="EA100" s="173">
        <f t="shared" si="303"/>
        <v>0.40507913686898106</v>
      </c>
      <c r="EB100" s="173">
        <f t="shared" si="264"/>
        <v>22.8</v>
      </c>
      <c r="EC100" s="173">
        <f t="shared" si="265"/>
        <v>0.93061224489795935</v>
      </c>
      <c r="ED100" s="173">
        <f t="shared" si="304"/>
        <v>24.499999999999996</v>
      </c>
      <c r="EE100" s="460">
        <f t="shared" si="266"/>
        <v>7.7359712469445547</v>
      </c>
      <c r="EF100" s="5">
        <f t="shared" si="267"/>
        <v>2.2722921387469848</v>
      </c>
      <c r="EG100" s="5"/>
      <c r="EH100" s="173">
        <f t="shared" si="305"/>
        <v>1.7235466221796001</v>
      </c>
      <c r="EI100" s="173">
        <f t="shared" si="268"/>
        <v>1.3931841703252357</v>
      </c>
      <c r="EJ100" s="173"/>
      <c r="EK100" s="528">
        <f t="shared" si="269"/>
        <v>0.11882451835306837</v>
      </c>
      <c r="EL100" s="528">
        <f t="shared" si="270"/>
        <v>1.0785389999999999</v>
      </c>
      <c r="EM100" s="528">
        <f t="shared" si="271"/>
        <v>4.1454090221436299E-2</v>
      </c>
      <c r="EN100" s="528">
        <f t="shared" si="272"/>
        <v>5.903091649736842E-2</v>
      </c>
      <c r="EO100">
        <f t="shared" si="273"/>
        <v>1.0800000000000001E-2</v>
      </c>
      <c r="EP100" s="460">
        <f t="shared" si="306"/>
        <v>52.2540902214363</v>
      </c>
      <c r="EQ100" s="528">
        <f t="shared" si="274"/>
        <v>1.3796833384897713</v>
      </c>
      <c r="ER100" s="460">
        <f t="shared" si="307"/>
        <v>1379.6833384897714</v>
      </c>
      <c r="ES100" s="528">
        <f t="shared" si="308"/>
        <v>0.82459999999999989</v>
      </c>
      <c r="ET100" s="528"/>
      <c r="EV100" s="460">
        <f t="shared" si="309"/>
        <v>824.59999999999991</v>
      </c>
      <c r="EW100" s="528">
        <f t="shared" si="275"/>
        <v>8.9118388764801271E-2</v>
      </c>
      <c r="EX100" s="528">
        <f t="shared" si="276"/>
        <v>5.8228863973344452E-2</v>
      </c>
      <c r="EY100" s="528">
        <f t="shared" si="277"/>
        <v>1.4734920547744284</v>
      </c>
      <c r="EZ100" s="528">
        <f t="shared" si="278"/>
        <v>1.6759584783689989</v>
      </c>
      <c r="FA100" s="528">
        <f t="shared" si="279"/>
        <v>0.91200000000000003</v>
      </c>
      <c r="FB100" s="460">
        <f t="shared" si="310"/>
        <v>2587.9584783689988</v>
      </c>
      <c r="FC100" s="173">
        <f t="shared" si="311"/>
        <v>4.7922418168587697</v>
      </c>
      <c r="FD100" s="5">
        <f t="shared" si="312"/>
        <v>22.799999999999997</v>
      </c>
      <c r="FE100" s="173">
        <f t="shared" si="313"/>
        <v>0.82631922956217618</v>
      </c>
      <c r="FF100" s="5">
        <f t="shared" si="314"/>
        <v>82.631922956217622</v>
      </c>
      <c r="FI100" s="562">
        <f t="shared" si="280"/>
        <v>-50</v>
      </c>
      <c r="FJ100">
        <f t="shared" si="281"/>
        <v>-50</v>
      </c>
      <c r="FL100">
        <f t="shared" si="282"/>
        <v>0.594920863131019</v>
      </c>
    </row>
    <row r="101" spans="5:168" ht="13">
      <c r="E101" s="170">
        <v>96</v>
      </c>
      <c r="F101" s="217">
        <f t="shared" si="283"/>
        <v>0.96</v>
      </c>
      <c r="G101" s="217"/>
      <c r="H101" s="217">
        <f>F101*Vout</f>
        <v>23.04</v>
      </c>
      <c r="I101" s="541">
        <f t="shared" si="184"/>
        <v>23.827679825992028</v>
      </c>
      <c r="J101" s="172">
        <f t="shared" si="185"/>
        <v>16.374355721383242</v>
      </c>
      <c r="K101" s="172">
        <f t="shared" si="186"/>
        <v>40.374355721383239</v>
      </c>
      <c r="L101" s="443"/>
      <c r="M101" s="217">
        <f t="shared" si="187"/>
        <v>0.4072933073758413</v>
      </c>
      <c r="N101" s="172">
        <f>M101*I101*(Isw_max+VIN_nom/Lmag*ILIM_delay)*0.5*Efficiency</f>
        <v>54.265233226292615</v>
      </c>
      <c r="O101" s="172">
        <f t="shared" si="284"/>
        <v>23.04</v>
      </c>
      <c r="P101" s="217">
        <f>N101/Vout</f>
        <v>2.2610513844288591</v>
      </c>
      <c r="Q101" s="217">
        <f t="shared" si="190"/>
        <v>24</v>
      </c>
      <c r="R101" s="217">
        <f>Isw_max/2*I101*Nps*(Q101+Vfwd1+F101/FL101*Rdcr_sec)/Q101/(I101+Nps*(Q101+Vfwd1+F101/FL101*Rdcr_sec))</f>
        <v>2.2464941026437275</v>
      </c>
      <c r="S101" s="172">
        <f t="shared" si="192"/>
        <v>102.34169051259639</v>
      </c>
      <c r="T101" s="532">
        <f>MIN(Vout, S101)</f>
        <v>24</v>
      </c>
      <c r="U101" s="217">
        <f t="shared" si="194"/>
        <v>4.856636099207174</v>
      </c>
      <c r="V101" s="217">
        <f t="shared" si="195"/>
        <v>2.038232901681595</v>
      </c>
      <c r="W101" s="217">
        <f t="shared" si="196"/>
        <v>2.9660013388281907</v>
      </c>
      <c r="X101" s="197">
        <f t="shared" si="197"/>
        <v>350</v>
      </c>
      <c r="Y101" s="443">
        <f t="shared" si="198"/>
        <v>192.15122797817111</v>
      </c>
      <c r="AA101" s="217">
        <f t="shared" si="199"/>
        <v>2.7728724263671465</v>
      </c>
      <c r="AB101" s="173">
        <f>L*AA101/J101*1000000</f>
        <v>1.6934238351412247</v>
      </c>
      <c r="AC101" s="173">
        <f>0.5*AB101*AA101*Nps*X101/1000</f>
        <v>0.54809954298695329</v>
      </c>
      <c r="AD101" s="173"/>
      <c r="AE101" s="173">
        <f t="shared" si="202"/>
        <v>1.3571356699672932</v>
      </c>
      <c r="AF101" s="545">
        <f>MAX(12, F101/(0.5*AE101/1000000*Isw_min*Nps)/1000)</f>
        <v>954.4751880770317</v>
      </c>
      <c r="AG101" s="528">
        <f t="shared" si="204"/>
        <v>0.35202591350429402</v>
      </c>
      <c r="AI101" s="173">
        <f t="shared" si="205"/>
        <v>3.6697441401270638</v>
      </c>
      <c r="AJ101" s="173">
        <f>MAX(IF(F101&gt;AC101,U101,AI101),Isw_min)</f>
        <v>4.856636099207174</v>
      </c>
      <c r="AK101" s="173">
        <f>IF(F101&gt;AG101, (AJ101-Isw_min)/1.08*0.8+1.2, AF101*0.2/350+1)</f>
        <v>3.1514176866555195</v>
      </c>
      <c r="AM101" s="545">
        <f t="shared" si="208"/>
        <v>960</v>
      </c>
      <c r="AN101" s="460">
        <f t="shared" si="209"/>
        <v>192.15122797817111</v>
      </c>
      <c r="AP101">
        <f t="shared" si="210"/>
        <v>960</v>
      </c>
      <c r="AQ101">
        <f t="shared" si="211"/>
        <v>192.15122797817111</v>
      </c>
      <c r="AS101" s="5">
        <f t="shared" si="285"/>
        <v>5.2042342405097859</v>
      </c>
      <c r="AT101" s="5">
        <f t="shared" si="212"/>
        <v>2.038232901681595</v>
      </c>
      <c r="AU101" s="5">
        <f t="shared" si="286"/>
        <v>3.1660013388281909</v>
      </c>
      <c r="AV101" s="5">
        <f t="shared" si="213"/>
        <v>2.9660013388281907</v>
      </c>
      <c r="AW101" s="173">
        <f t="shared" si="287"/>
        <v>0.39164895496362934</v>
      </c>
      <c r="AX101" s="173">
        <f t="shared" si="214"/>
        <v>22.661272638846285</v>
      </c>
      <c r="AY101" s="173">
        <f t="shared" si="215"/>
        <v>0.98533897204573484</v>
      </c>
      <c r="AZ101" s="173">
        <f t="shared" si="288"/>
        <v>22.99845361012926</v>
      </c>
      <c r="BA101" s="460">
        <f t="shared" si="216"/>
        <v>8.15293160672638</v>
      </c>
      <c r="BB101" s="5">
        <f t="shared" si="217"/>
        <v>2.5511181176436879</v>
      </c>
      <c r="BC101" s="5"/>
      <c r="BD101" s="173">
        <f t="shared" si="289"/>
        <v>1.7547830157690605</v>
      </c>
      <c r="BE101" s="173">
        <f t="shared" si="218"/>
        <v>1.4587400252735314</v>
      </c>
      <c r="BF101" s="173"/>
      <c r="BG101" s="528">
        <f t="shared" si="219"/>
        <v>0.12317053729726235</v>
      </c>
      <c r="BH101" s="528">
        <f t="shared" si="220"/>
        <v>0.84774815071325726</v>
      </c>
      <c r="BI101" s="528">
        <f t="shared" si="221"/>
        <v>0.18314071753740249</v>
      </c>
      <c r="BJ101" s="528">
        <f t="shared" si="222"/>
        <v>5.4814117082765103E-2</v>
      </c>
      <c r="BK101">
        <f t="shared" si="223"/>
        <v>1.0722455921696412E-2</v>
      </c>
      <c r="BL101" s="460">
        <f t="shared" si="290"/>
        <v>193.8631734590989</v>
      </c>
      <c r="BM101" s="528">
        <f t="shared" si="224"/>
        <v>1.0909148211276747</v>
      </c>
      <c r="BN101" s="460">
        <f t="shared" si="291"/>
        <v>1090.9148211276747</v>
      </c>
      <c r="BO101" s="528">
        <f t="shared" si="225"/>
        <v>0.83327999999999991</v>
      </c>
      <c r="BP101" s="528"/>
      <c r="BR101" s="460">
        <f t="shared" si="292"/>
        <v>833.27999999999986</v>
      </c>
      <c r="BS101" s="528">
        <f t="shared" si="226"/>
        <v>9.2377902972946763E-2</v>
      </c>
      <c r="BT101" s="528">
        <f t="shared" si="227"/>
        <v>6.3837673840050679E-2</v>
      </c>
      <c r="BU101" s="528">
        <f t="shared" si="228"/>
        <v>0.34559999999999996</v>
      </c>
      <c r="BV101" s="528">
        <f>(BU101+(BS101+BT101)*(1+Ltc*(Ta-25)))/(1-(BS101+BT101)*Ltc*ThetaCa)</f>
        <v>0.54613246711748187</v>
      </c>
      <c r="BW101" s="528">
        <f t="shared" si="230"/>
        <v>0.90645090555385144</v>
      </c>
      <c r="BX101" s="460">
        <f t="shared" si="293"/>
        <v>1452.5833726713333</v>
      </c>
      <c r="BY101" s="173">
        <f t="shared" si="231"/>
        <v>3.5706413672581072</v>
      </c>
      <c r="BZ101" s="5">
        <f t="shared" si="294"/>
        <v>23.04</v>
      </c>
      <c r="CA101" s="173">
        <f t="shared" si="295"/>
        <v>0.86581904141358101</v>
      </c>
      <c r="CB101" s="5">
        <f t="shared" si="296"/>
        <v>86.581904141358095</v>
      </c>
      <c r="CE101" s="562">
        <f t="shared" si="232"/>
        <v>-50</v>
      </c>
      <c r="CF101">
        <f t="shared" si="233"/>
        <v>-50</v>
      </c>
      <c r="CG101" s="173">
        <f t="shared" si="234"/>
        <v>0.58466529393561162</v>
      </c>
      <c r="CI101" s="170">
        <v>96</v>
      </c>
      <c r="CJ101" s="217">
        <f t="shared" si="297"/>
        <v>0.96</v>
      </c>
      <c r="CK101" s="217"/>
      <c r="CL101" s="217">
        <f t="shared" si="235"/>
        <v>23.04</v>
      </c>
      <c r="CM101" s="541">
        <f t="shared" si="236"/>
        <v>24</v>
      </c>
      <c r="CN101" s="172">
        <f t="shared" si="237"/>
        <v>16.3415</v>
      </c>
      <c r="CO101" s="443">
        <f t="shared" si="238"/>
        <v>40.341499999999996</v>
      </c>
      <c r="CP101" s="443"/>
      <c r="CQ101" s="217">
        <f t="shared" si="239"/>
        <v>0.40507913686898112</v>
      </c>
      <c r="CR101" s="172">
        <f t="shared" si="240"/>
        <v>54.360539956785601</v>
      </c>
      <c r="CS101" s="172">
        <f t="shared" si="298"/>
        <v>23.04</v>
      </c>
      <c r="CT101" s="217">
        <f t="shared" si="241"/>
        <v>2.2650224981994</v>
      </c>
      <c r="CU101" s="217">
        <f t="shared" si="242"/>
        <v>24</v>
      </c>
      <c r="CV101" s="217">
        <f t="shared" si="243"/>
        <v>2.250439649272117</v>
      </c>
      <c r="CW101" s="172">
        <f t="shared" si="244"/>
        <v>103.08057081202813</v>
      </c>
      <c r="CX101" s="532">
        <f t="shared" si="245"/>
        <v>24</v>
      </c>
      <c r="CY101" s="217">
        <f t="shared" si="246"/>
        <v>4.7398145825046658</v>
      </c>
      <c r="CZ101" s="217">
        <f t="shared" si="247"/>
        <v>1.9749227427102773</v>
      </c>
      <c r="DA101" s="217">
        <f t="shared" si="248"/>
        <v>2.9004770568825791</v>
      </c>
      <c r="DB101" s="197">
        <f t="shared" si="249"/>
        <v>350</v>
      </c>
      <c r="DC101" s="443">
        <f t="shared" si="299"/>
        <v>205.11138390814838</v>
      </c>
      <c r="DE101" s="217">
        <f t="shared" si="250"/>
        <v>2.7776855099587272</v>
      </c>
      <c r="DF101" s="173">
        <f t="shared" si="251"/>
        <v>1.6997738946600542</v>
      </c>
      <c r="DG101" s="173">
        <f t="shared" si="252"/>
        <v>0.55110977087390545</v>
      </c>
      <c r="DH101" s="173"/>
      <c r="DI101" s="173">
        <f t="shared" si="253"/>
        <v>1.3598642855443031</v>
      </c>
      <c r="DJ101" s="545">
        <f t="shared" si="300"/>
        <v>952.5599999999996</v>
      </c>
      <c r="DK101" s="528">
        <f t="shared" si="254"/>
        <v>0.35273368606701955</v>
      </c>
      <c r="DM101" s="173">
        <f t="shared" si="255"/>
        <v>3.6660605559646715</v>
      </c>
      <c r="DN101" s="173">
        <f t="shared" si="256"/>
        <v>4.7398145825046658</v>
      </c>
      <c r="DO101" s="173">
        <f t="shared" si="257"/>
        <v>3.0648832298388471</v>
      </c>
      <c r="DQ101" s="545">
        <f t="shared" si="258"/>
        <v>960</v>
      </c>
      <c r="DR101" s="460">
        <f t="shared" si="259"/>
        <v>205.11138390814838</v>
      </c>
      <c r="DT101">
        <f t="shared" si="260"/>
        <v>960</v>
      </c>
      <c r="DU101">
        <f t="shared" si="261"/>
        <v>205.11138390814838</v>
      </c>
      <c r="DW101" s="5">
        <f t="shared" si="301"/>
        <v>4.8753997995928566</v>
      </c>
      <c r="DX101" s="5">
        <f t="shared" si="262"/>
        <v>1.9749227427102773</v>
      </c>
      <c r="DY101" s="5">
        <f t="shared" si="302"/>
        <v>2.9004770568825791</v>
      </c>
      <c r="DZ101" s="5">
        <f t="shared" si="263"/>
        <v>2.9004770568825791</v>
      </c>
      <c r="EA101" s="173">
        <f t="shared" si="303"/>
        <v>0.405079136868981</v>
      </c>
      <c r="EB101" s="173">
        <f t="shared" si="264"/>
        <v>23.040000000000003</v>
      </c>
      <c r="EC101" s="173">
        <f t="shared" si="265"/>
        <v>0.94040816326530619</v>
      </c>
      <c r="ED101" s="173">
        <f t="shared" si="304"/>
        <v>24.5</v>
      </c>
      <c r="EE101" s="460">
        <f t="shared" si="266"/>
        <v>7.8996909708411094</v>
      </c>
      <c r="EF101" s="5">
        <f t="shared" si="267"/>
        <v>2.3203816455060631</v>
      </c>
      <c r="EG101" s="5"/>
      <c r="EH101" s="173">
        <f t="shared" si="305"/>
        <v>1.741689218202543</v>
      </c>
      <c r="EI101" s="173">
        <f t="shared" si="268"/>
        <v>1.4078492668549747</v>
      </c>
      <c r="EJ101" s="173"/>
      <c r="EK101" s="528">
        <f t="shared" si="269"/>
        <v>0.12133925331211941</v>
      </c>
      <c r="EL101" s="528">
        <f t="shared" si="270"/>
        <v>1.0785390000000001</v>
      </c>
      <c r="EM101" s="528">
        <f t="shared" si="271"/>
        <v>4.1022276781629674E-2</v>
      </c>
      <c r="EN101" s="528">
        <f t="shared" si="272"/>
        <v>5.84160111171875E-2</v>
      </c>
      <c r="EO101">
        <f t="shared" si="273"/>
        <v>1.0800000000000001E-2</v>
      </c>
      <c r="EP101" s="460">
        <f t="shared" si="306"/>
        <v>51.822276781629675</v>
      </c>
      <c r="EQ101" s="528">
        <f t="shared" si="274"/>
        <v>1.382742903159963</v>
      </c>
      <c r="ER101" s="460">
        <f t="shared" si="307"/>
        <v>1382.7429031599629</v>
      </c>
      <c r="ES101" s="528">
        <f t="shared" si="308"/>
        <v>0.83327999999999991</v>
      </c>
      <c r="ET101" s="528"/>
      <c r="EV101" s="460">
        <f t="shared" si="309"/>
        <v>833.27999999999986</v>
      </c>
      <c r="EW101" s="528">
        <f t="shared" si="275"/>
        <v>9.1004439984089552E-2</v>
      </c>
      <c r="EX101" s="528">
        <f t="shared" si="276"/>
        <v>5.9461186745522691E-2</v>
      </c>
      <c r="EY101" s="528">
        <f t="shared" si="277"/>
        <v>1.473492054774427</v>
      </c>
      <c r="EZ101" s="528">
        <f t="shared" si="278"/>
        <v>1.6802955700016493</v>
      </c>
      <c r="FA101" s="528">
        <f t="shared" si="279"/>
        <v>0.92159999999999997</v>
      </c>
      <c r="FB101" s="460">
        <f t="shared" si="310"/>
        <v>2601.8955700016495</v>
      </c>
      <c r="FC101" s="173">
        <f t="shared" si="311"/>
        <v>4.8179184731616118</v>
      </c>
      <c r="FD101" s="5">
        <f t="shared" si="312"/>
        <v>23.04</v>
      </c>
      <c r="FE101" s="173">
        <f t="shared" si="313"/>
        <v>0.82705389572436261</v>
      </c>
      <c r="FF101" s="5">
        <f t="shared" si="314"/>
        <v>82.70538957243626</v>
      </c>
      <c r="FI101" s="562">
        <f t="shared" si="280"/>
        <v>-50</v>
      </c>
      <c r="FJ101">
        <f t="shared" si="281"/>
        <v>-50</v>
      </c>
      <c r="FL101">
        <f t="shared" si="282"/>
        <v>0.594920863131019</v>
      </c>
    </row>
    <row r="102" spans="5:168" ht="13">
      <c r="E102" s="170">
        <v>97</v>
      </c>
      <c r="F102" s="217">
        <f>IF(PLOT_TYPE=1, E102/100*Iout_max, min_I*EXP(N102*rr/100))</f>
        <v>0.97</v>
      </c>
      <c r="G102" s="217"/>
      <c r="H102" s="217">
        <f>F102*Vout</f>
        <v>23.28</v>
      </c>
      <c r="I102" s="541">
        <f t="shared" si="184"/>
        <v>23.825916304476209</v>
      </c>
      <c r="J102" s="172">
        <f t="shared" si="185"/>
        <v>16.374691966236238</v>
      </c>
      <c r="K102" s="172">
        <f t="shared" si="186"/>
        <v>40.374691966236242</v>
      </c>
      <c r="L102" s="443"/>
      <c r="M102" s="217">
        <f t="shared" si="187"/>
        <v>0.40731613386395543</v>
      </c>
      <c r="N102" s="172">
        <f>M102*I102*(Isw_max+VIN_nom/Lmag*ILIM_delay)*0.5*Efficiency</f>
        <v>54.264258011388982</v>
      </c>
      <c r="O102" s="172">
        <f t="shared" si="284"/>
        <v>23.28</v>
      </c>
      <c r="P102" s="217">
        <f>N102/Vout</f>
        <v>2.2610107504745409</v>
      </c>
      <c r="Q102" s="217">
        <f t="shared" si="190"/>
        <v>24</v>
      </c>
      <c r="R102" s="217">
        <f>Isw_max/2*I102*Nps*(Q102+Vfwd1+F102/FL102*Rdcr_sec)/Q102/(I102+Nps*(Q102+Vfwd1+F102/FL102*Rdcr_sec))</f>
        <v>2.2464537303021825</v>
      </c>
      <c r="S102" s="172">
        <f t="shared" si="192"/>
        <v>100.91510068906915</v>
      </c>
      <c r="T102" s="532">
        <f>MIN(Vout, S102)</f>
        <v>24</v>
      </c>
      <c r="U102" s="217">
        <f t="shared" si="194"/>
        <v>4.907415054333204</v>
      </c>
      <c r="V102" s="217">
        <f t="shared" si="195"/>
        <v>2.059696253281659</v>
      </c>
      <c r="W102" s="217">
        <f t="shared" si="196"/>
        <v>2.9969510659816003</v>
      </c>
      <c r="X102" s="197">
        <f t="shared" si="197"/>
        <v>350</v>
      </c>
      <c r="Y102" s="443">
        <f t="shared" si="198"/>
        <v>190.2353228711859</v>
      </c>
      <c r="AA102" s="217">
        <f t="shared" si="199"/>
        <v>2.7728225807067535</v>
      </c>
      <c r="AB102" s="173">
        <f>L*AA102/J102*1000000</f>
        <v>1.6933586209891272</v>
      </c>
      <c r="AC102" s="173">
        <f>0.5*AB102*AA102*Nps*X102/1000</f>
        <v>0.54806858318611673</v>
      </c>
      <c r="AD102" s="173"/>
      <c r="AE102" s="173">
        <f t="shared" si="202"/>
        <v>1.3571078019692395</v>
      </c>
      <c r="AF102" s="545">
        <f>MAX(12, F102/(0.5*AE102/1000000*Isw_min*Nps)/1000)</f>
        <v>964.43744211932596</v>
      </c>
      <c r="AG102" s="528">
        <f t="shared" si="204"/>
        <v>0.35201868485524335</v>
      </c>
      <c r="AI102" s="173">
        <f t="shared" si="205"/>
        <v>3.6888457486850683</v>
      </c>
      <c r="AJ102" s="173">
        <f>MAX(IF(F102&gt;AC102,U102,AI102),Isw_min)</f>
        <v>4.907415054333204</v>
      </c>
      <c r="AK102" s="173">
        <f>IF(F102&gt;AG102, (AJ102-Isw_min)/1.08*0.8+1.2, AF102*0.2/350+1)</f>
        <v>3.1890317274896161</v>
      </c>
      <c r="AM102" s="545">
        <f t="shared" si="208"/>
        <v>970</v>
      </c>
      <c r="AN102" s="460">
        <f t="shared" si="209"/>
        <v>190.2353228711859</v>
      </c>
      <c r="AP102">
        <f t="shared" si="210"/>
        <v>970</v>
      </c>
      <c r="AQ102">
        <f t="shared" si="211"/>
        <v>190.2353228711859</v>
      </c>
      <c r="AS102" s="5">
        <f t="shared" si="285"/>
        <v>5.2566473192632595</v>
      </c>
      <c r="AT102" s="5">
        <f t="shared" si="212"/>
        <v>2.059696253281659</v>
      </c>
      <c r="AU102" s="5">
        <f t="shared" si="286"/>
        <v>3.1969510659816005</v>
      </c>
      <c r="AV102" s="5">
        <f t="shared" si="213"/>
        <v>2.9969510659816003</v>
      </c>
      <c r="AW102" s="173">
        <f t="shared" si="287"/>
        <v>0.39182698175960828</v>
      </c>
      <c r="AX102" s="173">
        <f t="shared" si="214"/>
        <v>22.906922466762957</v>
      </c>
      <c r="AY102" s="173">
        <f t="shared" si="215"/>
        <v>0.99534990135494561</v>
      </c>
      <c r="AZ102" s="173">
        <f t="shared" si="288"/>
        <v>23.013939555909253</v>
      </c>
      <c r="BA102" s="460">
        <f t="shared" si="216"/>
        <v>8.3246056903467043</v>
      </c>
      <c r="BB102" s="5">
        <f t="shared" si="217"/>
        <v>2.6030835451390848</v>
      </c>
      <c r="BC102" s="5"/>
      <c r="BD102" s="173">
        <f t="shared" si="289"/>
        <v>1.773533241470354</v>
      </c>
      <c r="BE102" s="173">
        <f t="shared" si="218"/>
        <v>1.4737763116540599</v>
      </c>
      <c r="BF102" s="173"/>
      <c r="BG102" s="528">
        <f t="shared" si="219"/>
        <v>0.12581680634401365</v>
      </c>
      <c r="BH102" s="528">
        <f t="shared" si="220"/>
        <v>0.84807779189782506</v>
      </c>
      <c r="BI102" s="528">
        <f t="shared" si="221"/>
        <v>0.18130123523535538</v>
      </c>
      <c r="BJ102" s="528">
        <f t="shared" si="222"/>
        <v>5.4268479348822382E-2</v>
      </c>
      <c r="BK102">
        <f t="shared" si="223"/>
        <v>1.0721662337014293E-2</v>
      </c>
      <c r="BL102" s="460">
        <f t="shared" si="290"/>
        <v>192.02289757236969</v>
      </c>
      <c r="BM102" s="528">
        <f t="shared" si="224"/>
        <v>1.0948635462863778</v>
      </c>
      <c r="BN102" s="460">
        <f t="shared" si="291"/>
        <v>1094.8635462863779</v>
      </c>
      <c r="BO102" s="528">
        <f t="shared" si="225"/>
        <v>0.84195999999999993</v>
      </c>
      <c r="BP102" s="528"/>
      <c r="BR102" s="460">
        <f t="shared" si="292"/>
        <v>841.95999999999992</v>
      </c>
      <c r="BS102" s="528">
        <f t="shared" si="226"/>
        <v>9.4362604758010227E-2</v>
      </c>
      <c r="BT102" s="528">
        <f t="shared" si="227"/>
        <v>6.5160498503779335E-2</v>
      </c>
      <c r="BU102" s="528">
        <f t="shared" si="228"/>
        <v>0.34920000000000001</v>
      </c>
      <c r="BV102" s="528">
        <f>(BU102+(BS102+BT102)*(1+Ltc*(Ta-25)))/(1-(BS102+BT102)*Ltc*ThetaCa)</f>
        <v>0.55407972947666462</v>
      </c>
      <c r="BW102" s="528">
        <f t="shared" si="230"/>
        <v>0.91627689867051831</v>
      </c>
      <c r="BX102" s="460">
        <f t="shared" si="293"/>
        <v>1470.3566281471828</v>
      </c>
      <c r="BY102" s="173">
        <f t="shared" si="231"/>
        <v>3.5992030720059307</v>
      </c>
      <c r="BZ102" s="5">
        <f t="shared" si="294"/>
        <v>23.28</v>
      </c>
      <c r="CA102" s="173">
        <f t="shared" si="295"/>
        <v>0.86609710628830294</v>
      </c>
      <c r="CB102" s="5">
        <f t="shared" si="296"/>
        <v>86.6097106288303</v>
      </c>
      <c r="CE102" s="562">
        <f t="shared" si="232"/>
        <v>-50</v>
      </c>
      <c r="CF102">
        <f t="shared" si="233"/>
        <v>-50</v>
      </c>
      <c r="CG102" s="173">
        <f t="shared" si="234"/>
        <v>0.5847710214530899</v>
      </c>
      <c r="CI102" s="170">
        <v>97</v>
      </c>
      <c r="CJ102" s="217">
        <f t="shared" si="297"/>
        <v>0.97</v>
      </c>
      <c r="CK102" s="217"/>
      <c r="CL102" s="217">
        <f t="shared" si="235"/>
        <v>23.28</v>
      </c>
      <c r="CM102" s="541">
        <f t="shared" si="236"/>
        <v>24</v>
      </c>
      <c r="CN102" s="172">
        <f t="shared" si="237"/>
        <v>16.3415</v>
      </c>
      <c r="CO102" s="443">
        <f t="shared" si="238"/>
        <v>40.341499999999996</v>
      </c>
      <c r="CP102" s="443"/>
      <c r="CQ102" s="217">
        <f t="shared" si="239"/>
        <v>0.40507913686898112</v>
      </c>
      <c r="CR102" s="172">
        <f t="shared" si="240"/>
        <v>54.360539956785601</v>
      </c>
      <c r="CS102" s="172">
        <f t="shared" si="298"/>
        <v>23.28</v>
      </c>
      <c r="CT102" s="217">
        <f t="shared" si="241"/>
        <v>2.2650224981994</v>
      </c>
      <c r="CU102" s="217">
        <f t="shared" si="242"/>
        <v>24</v>
      </c>
      <c r="CV102" s="217">
        <f t="shared" si="243"/>
        <v>2.250439649272117</v>
      </c>
      <c r="CW102" s="172">
        <f t="shared" si="244"/>
        <v>101.65115707512061</v>
      </c>
      <c r="CX102" s="532">
        <f t="shared" si="245"/>
        <v>24</v>
      </c>
      <c r="CY102" s="217">
        <f t="shared" si="246"/>
        <v>4.7891876510724227</v>
      </c>
      <c r="CZ102" s="217">
        <f t="shared" si="247"/>
        <v>1.9954948546135098</v>
      </c>
      <c r="DA102" s="217">
        <f t="shared" si="248"/>
        <v>2.9306903595584393</v>
      </c>
      <c r="DB102" s="197">
        <f t="shared" si="249"/>
        <v>350</v>
      </c>
      <c r="DC102" s="443">
        <f t="shared" si="299"/>
        <v>202.99683355857982</v>
      </c>
      <c r="DE102" s="217">
        <f t="shared" si="250"/>
        <v>2.7776855099587272</v>
      </c>
      <c r="DF102" s="173">
        <f t="shared" si="251"/>
        <v>1.6997738946600542</v>
      </c>
      <c r="DG102" s="173">
        <f t="shared" si="252"/>
        <v>0.55110977087390545</v>
      </c>
      <c r="DH102" s="173"/>
      <c r="DI102" s="173">
        <f t="shared" si="253"/>
        <v>1.3598642855443031</v>
      </c>
      <c r="DJ102" s="545">
        <f t="shared" si="300"/>
        <v>962.48249999999962</v>
      </c>
      <c r="DK102" s="528">
        <f t="shared" si="254"/>
        <v>0.35273368606701955</v>
      </c>
      <c r="DM102" s="173">
        <f t="shared" si="255"/>
        <v>3.6851051545376556</v>
      </c>
      <c r="DN102" s="173">
        <f t="shared" si="256"/>
        <v>4.7891876510724227</v>
      </c>
      <c r="DO102" s="173">
        <f t="shared" si="257"/>
        <v>3.1014558732223705</v>
      </c>
      <c r="DQ102" s="545">
        <f t="shared" si="258"/>
        <v>970</v>
      </c>
      <c r="DR102" s="460">
        <f t="shared" si="259"/>
        <v>202.99683355857982</v>
      </c>
      <c r="DT102">
        <f t="shared" si="260"/>
        <v>970</v>
      </c>
      <c r="DU102">
        <f t="shared" si="261"/>
        <v>202.99683355857982</v>
      </c>
      <c r="DW102" s="5">
        <f t="shared" si="301"/>
        <v>4.9261852141719489</v>
      </c>
      <c r="DX102" s="5">
        <f t="shared" si="262"/>
        <v>1.9954948546135098</v>
      </c>
      <c r="DY102" s="5">
        <f t="shared" si="302"/>
        <v>2.9306903595584393</v>
      </c>
      <c r="DZ102" s="5">
        <f t="shared" si="263"/>
        <v>2.9306903595584393</v>
      </c>
      <c r="EA102" s="173">
        <f t="shared" si="303"/>
        <v>0.40507913686898112</v>
      </c>
      <c r="EB102" s="173">
        <f t="shared" si="264"/>
        <v>23.279999999999998</v>
      </c>
      <c r="EC102" s="173">
        <f t="shared" si="265"/>
        <v>0.95020408163265302</v>
      </c>
      <c r="ED102" s="173">
        <f t="shared" si="304"/>
        <v>24.5</v>
      </c>
      <c r="EE102" s="460">
        <f t="shared" si="266"/>
        <v>8.0651250373962675</v>
      </c>
      <c r="EF102" s="5">
        <f t="shared" si="267"/>
        <v>2.368974707309738</v>
      </c>
      <c r="EG102" s="5"/>
      <c r="EH102" s="173">
        <f t="shared" si="305"/>
        <v>1.7598318142254863</v>
      </c>
      <c r="EI102" s="173">
        <f t="shared" si="268"/>
        <v>1.4225143633847142</v>
      </c>
      <c r="EJ102" s="173"/>
      <c r="EK102" s="528">
        <f t="shared" si="269"/>
        <v>0.12388032057440666</v>
      </c>
      <c r="EL102" s="528">
        <f t="shared" si="270"/>
        <v>1.0785389999999999</v>
      </c>
      <c r="EM102" s="528">
        <f t="shared" si="271"/>
        <v>4.0599366711715962E-2</v>
      </c>
      <c r="EN102" s="528">
        <f t="shared" si="272"/>
        <v>5.7813784198453601E-2</v>
      </c>
      <c r="EO102">
        <f t="shared" si="273"/>
        <v>1.0800000000000001E-2</v>
      </c>
      <c r="EP102" s="460">
        <f t="shared" si="306"/>
        <v>51.399366711715963</v>
      </c>
      <c r="EQ102" s="528">
        <f t="shared" si="274"/>
        <v>1.3858718607305109</v>
      </c>
      <c r="ER102" s="460">
        <f t="shared" si="307"/>
        <v>1385.8718607305109</v>
      </c>
      <c r="ES102" s="528">
        <f t="shared" si="308"/>
        <v>0.84195999999999993</v>
      </c>
      <c r="ET102" s="528"/>
      <c r="EV102" s="460">
        <f t="shared" si="309"/>
        <v>841.95999999999992</v>
      </c>
      <c r="EW102" s="528">
        <f t="shared" si="275"/>
        <v>9.2910240430804994E-2</v>
      </c>
      <c r="EX102" s="528">
        <f t="shared" si="276"/>
        <v>6.0706413421074558E-2</v>
      </c>
      <c r="EY102" s="528">
        <f t="shared" si="277"/>
        <v>1.4734920547744261</v>
      </c>
      <c r="EZ102" s="528">
        <f t="shared" si="278"/>
        <v>1.6846803016102401</v>
      </c>
      <c r="FA102" s="528">
        <f t="shared" si="279"/>
        <v>0.93119999999999992</v>
      </c>
      <c r="FB102" s="460">
        <f t="shared" si="310"/>
        <v>2615.8803016102402</v>
      </c>
      <c r="FC102" s="173">
        <f t="shared" si="311"/>
        <v>4.8437121623407506</v>
      </c>
      <c r="FD102" s="5">
        <f t="shared" si="312"/>
        <v>23.28</v>
      </c>
      <c r="FE102" s="173">
        <f t="shared" si="313"/>
        <v>0.82777123679900422</v>
      </c>
      <c r="FF102" s="5">
        <f t="shared" si="314"/>
        <v>82.777123679900427</v>
      </c>
      <c r="FI102" s="562">
        <f t="shared" si="280"/>
        <v>-50</v>
      </c>
      <c r="FJ102">
        <f t="shared" si="281"/>
        <v>-50</v>
      </c>
      <c r="FL102">
        <f t="shared" si="282"/>
        <v>0.59492086313101888</v>
      </c>
    </row>
    <row r="103" spans="5:168" ht="13">
      <c r="E103" s="170">
        <v>98</v>
      </c>
      <c r="F103" s="217">
        <f>IF(PLOT_TYPE=1, E103/100*Iout_max, min_I*EXP(N103*rr/100))</f>
        <v>0.98</v>
      </c>
      <c r="G103" s="217"/>
      <c r="H103" s="217">
        <f>F103*Vout</f>
        <v>23.52</v>
      </c>
      <c r="I103" s="541">
        <f t="shared" si="184"/>
        <v>23.824152771811306</v>
      </c>
      <c r="J103" s="172">
        <f t="shared" si="185"/>
        <v>16.375028213214989</v>
      </c>
      <c r="K103" s="172">
        <f t="shared" si="186"/>
        <v>40.375028213214989</v>
      </c>
      <c r="L103" s="443"/>
      <c r="M103" s="217">
        <f t="shared" si="187"/>
        <v>0.40733896208586573</v>
      </c>
      <c r="N103" s="172">
        <f>M103*I103*(Isw_max+VIN_nom/Lmag*ILIM_delay)*0.5*Efficiency</f>
        <v>54.263282551881417</v>
      </c>
      <c r="O103" s="172">
        <f t="shared" si="284"/>
        <v>23.52</v>
      </c>
      <c r="P103" s="217">
        <f>N103/Vout</f>
        <v>2.2609701063283922</v>
      </c>
      <c r="Q103" s="217">
        <f t="shared" si="190"/>
        <v>24</v>
      </c>
      <c r="R103" s="217">
        <f>Isw_max/2*I103*Nps*(Q103+Vfwd1+F103/FL103*Rdcr_sec)/Q103/(I103+Nps*(Q103+Vfwd1+F103/FL103*Rdcr_sec))</f>
        <v>2.2464133478344257</v>
      </c>
      <c r="S103" s="172">
        <f t="shared" si="192"/>
        <v>99.517745586340808</v>
      </c>
      <c r="T103" s="532">
        <f>MIN(Vout, S103)</f>
        <v>24</v>
      </c>
      <c r="U103" s="217">
        <f t="shared" si="194"/>
        <v>4.9581979354924677</v>
      </c>
      <c r="V103" s="217">
        <f t="shared" si="195"/>
        <v>2.0811644313156852</v>
      </c>
      <c r="W103" s="217">
        <f t="shared" si="196"/>
        <v>3.0279019192718697</v>
      </c>
      <c r="X103" s="197">
        <f t="shared" si="197"/>
        <v>350</v>
      </c>
      <c r="Y103" s="443">
        <f t="shared" si="198"/>
        <v>188.35703567527082</v>
      </c>
      <c r="AA103" s="217">
        <f t="shared" si="199"/>
        <v>2.7727727227624688</v>
      </c>
      <c r="AB103" s="173">
        <f>L*AA103/J103*1000000</f>
        <v>1.6932934017938264</v>
      </c>
      <c r="AC103" s="173">
        <f>0.5*AB103*AA103*Nps*X103/1000</f>
        <v>0.54803762008399315</v>
      </c>
      <c r="AD103" s="173"/>
      <c r="AE103" s="173">
        <f t="shared" si="202"/>
        <v>1.3570799349394971</v>
      </c>
      <c r="AF103" s="545">
        <f>MAX(12, F103/(0.5*AE103/1000000*Isw_min*Nps)/1000)</f>
        <v>974.40010462144335</v>
      </c>
      <c r="AG103" s="528">
        <f t="shared" si="204"/>
        <v>0.35201145645736182</v>
      </c>
      <c r="AI103" s="173">
        <f t="shared" si="205"/>
        <v>3.7078497305430869</v>
      </c>
      <c r="AJ103" s="173">
        <f>MAX(IF(F103&gt;AC103,U103,AI103),Isw_min)</f>
        <v>4.9581979354924677</v>
      </c>
      <c r="AK103" s="173">
        <f>IF(F103&gt;AG103, (AJ103-Isw_min)/1.08*0.8+1.2, AF103*0.2/350+1)</f>
        <v>3.2266486764964775</v>
      </c>
      <c r="AM103" s="545">
        <f t="shared" si="208"/>
        <v>980</v>
      </c>
      <c r="AN103" s="460">
        <f t="shared" si="209"/>
        <v>188.35703567527082</v>
      </c>
      <c r="AP103">
        <f t="shared" si="210"/>
        <v>980</v>
      </c>
      <c r="AQ103">
        <f t="shared" si="211"/>
        <v>188.35703567527082</v>
      </c>
      <c r="AS103" s="5">
        <f t="shared" si="285"/>
        <v>5.309066350587555</v>
      </c>
      <c r="AT103" s="5">
        <f t="shared" si="212"/>
        <v>2.0811644313156852</v>
      </c>
      <c r="AU103" s="5">
        <f t="shared" si="286"/>
        <v>3.2279019192718699</v>
      </c>
      <c r="AV103" s="5">
        <f t="shared" si="213"/>
        <v>3.0279019192718697</v>
      </c>
      <c r="AW103" s="173">
        <f t="shared" si="287"/>
        <v>0.39200196303543322</v>
      </c>
      <c r="AX103" s="173">
        <f t="shared" si="214"/>
        <v>23.152589498906043</v>
      </c>
      <c r="AY103" s="173">
        <f t="shared" si="215"/>
        <v>1.0053606329890061</v>
      </c>
      <c r="AZ103" s="173">
        <f t="shared" si="288"/>
        <v>23.029138738078302</v>
      </c>
      <c r="BA103" s="460">
        <f t="shared" si="216"/>
        <v>8.4980880945390478</v>
      </c>
      <c r="BB103" s="5">
        <f t="shared" si="217"/>
        <v>2.6555772297005205</v>
      </c>
      <c r="BC103" s="5"/>
      <c r="BD103" s="173">
        <f t="shared" si="289"/>
        <v>1.7922861705649631</v>
      </c>
      <c r="BE103" s="173">
        <f t="shared" si="218"/>
        <v>1.4888130101853991</v>
      </c>
      <c r="BF103" s="173"/>
      <c r="BG103" s="528">
        <f t="shared" si="219"/>
        <v>0.12849158868793681</v>
      </c>
      <c r="BH103" s="528">
        <f t="shared" si="220"/>
        <v>0.84840078971254573</v>
      </c>
      <c r="BI103" s="528">
        <f t="shared" si="221"/>
        <v>0.17949787174292661</v>
      </c>
      <c r="BJ103" s="528">
        <f t="shared" si="222"/>
        <v>5.3733554871010829E-2</v>
      </c>
      <c r="BK103">
        <f t="shared" si="223"/>
        <v>1.0720868747315088E-2</v>
      </c>
      <c r="BL103" s="460">
        <f t="shared" si="290"/>
        <v>190.21874049024171</v>
      </c>
      <c r="BM103" s="528">
        <f t="shared" si="224"/>
        <v>1.0988666222661847</v>
      </c>
      <c r="BN103" s="460">
        <f t="shared" si="291"/>
        <v>1098.8666222661848</v>
      </c>
      <c r="BO103" s="528">
        <f t="shared" si="225"/>
        <v>0.85063999999999995</v>
      </c>
      <c r="BP103" s="528"/>
      <c r="BR103" s="460">
        <f t="shared" si="292"/>
        <v>850.64</v>
      </c>
      <c r="BS103" s="528">
        <f t="shared" si="226"/>
        <v>9.6368691515952593E-2</v>
      </c>
      <c r="BT103" s="528">
        <f t="shared" si="227"/>
        <v>6.6496925378919283E-2</v>
      </c>
      <c r="BU103" s="528">
        <f t="shared" si="228"/>
        <v>0.3528</v>
      </c>
      <c r="BV103" s="528">
        <f>(BU103+(BS103+BT103)*(1+Ltc*(Ta-25)))/(1-(BS103+BT103)*Ltc*ThetaCa)</f>
        <v>0.56207680378084635</v>
      </c>
      <c r="BW103" s="528">
        <f t="shared" si="230"/>
        <v>0.92610357995624171</v>
      </c>
      <c r="BX103" s="460">
        <f t="shared" si="293"/>
        <v>1488.1803837370881</v>
      </c>
      <c r="BY103" s="173">
        <f t="shared" si="231"/>
        <v>3.6279057464935147</v>
      </c>
      <c r="BZ103" s="5">
        <f t="shared" si="294"/>
        <v>23.52</v>
      </c>
      <c r="CA103" s="173">
        <f t="shared" si="295"/>
        <v>0.86636517083966591</v>
      </c>
      <c r="CB103" s="5">
        <f t="shared" si="296"/>
        <v>86.636517083966595</v>
      </c>
      <c r="CE103" s="562">
        <f t="shared" si="232"/>
        <v>-50</v>
      </c>
      <c r="CF103">
        <f t="shared" si="233"/>
        <v>-50</v>
      </c>
      <c r="CG103" s="173">
        <f t="shared" si="234"/>
        <v>0.58487459126612995</v>
      </c>
      <c r="CI103" s="170">
        <v>98</v>
      </c>
      <c r="CJ103" s="217">
        <f t="shared" si="297"/>
        <v>0.98</v>
      </c>
      <c r="CK103" s="217"/>
      <c r="CL103" s="217">
        <f t="shared" si="235"/>
        <v>23.52</v>
      </c>
      <c r="CM103" s="541">
        <f t="shared" si="236"/>
        <v>24</v>
      </c>
      <c r="CN103" s="172">
        <f t="shared" si="237"/>
        <v>16.3415</v>
      </c>
      <c r="CO103" s="443">
        <f t="shared" si="238"/>
        <v>40.341499999999996</v>
      </c>
      <c r="CP103" s="443"/>
      <c r="CQ103" s="217">
        <f t="shared" si="239"/>
        <v>0.40507913686898112</v>
      </c>
      <c r="CR103" s="172">
        <f t="shared" si="240"/>
        <v>54.360539956785601</v>
      </c>
      <c r="CS103" s="172">
        <f t="shared" si="298"/>
        <v>23.52</v>
      </c>
      <c r="CT103" s="217">
        <f t="shared" si="241"/>
        <v>2.2650224981994</v>
      </c>
      <c r="CU103" s="217">
        <f t="shared" si="242"/>
        <v>24</v>
      </c>
      <c r="CV103" s="217">
        <f t="shared" si="243"/>
        <v>2.250439649272117</v>
      </c>
      <c r="CW103" s="172">
        <f t="shared" si="244"/>
        <v>100.25098179731604</v>
      </c>
      <c r="CX103" s="532">
        <f t="shared" si="245"/>
        <v>24</v>
      </c>
      <c r="CY103" s="217">
        <f t="shared" si="246"/>
        <v>4.8385607196401796</v>
      </c>
      <c r="CZ103" s="217">
        <f t="shared" si="247"/>
        <v>2.0160669665167417</v>
      </c>
      <c r="DA103" s="217">
        <f t="shared" si="248"/>
        <v>2.9609036622342995</v>
      </c>
      <c r="DB103" s="197">
        <f t="shared" si="249"/>
        <v>350</v>
      </c>
      <c r="DC103" s="443">
        <f t="shared" si="299"/>
        <v>200.92543729777799</v>
      </c>
      <c r="DE103" s="217">
        <f t="shared" si="250"/>
        <v>2.7776855099587272</v>
      </c>
      <c r="DF103" s="173">
        <f t="shared" si="251"/>
        <v>1.6997738946600542</v>
      </c>
      <c r="DG103" s="173">
        <f t="shared" si="252"/>
        <v>0.55110977087390545</v>
      </c>
      <c r="DH103" s="173"/>
      <c r="DI103" s="173">
        <f t="shared" si="253"/>
        <v>1.3598642855443031</v>
      </c>
      <c r="DJ103" s="545">
        <f t="shared" si="300"/>
        <v>972.40499999999963</v>
      </c>
      <c r="DK103" s="528">
        <f t="shared" si="254"/>
        <v>0.35273368606701955</v>
      </c>
      <c r="DM103" s="173">
        <f t="shared" si="255"/>
        <v>3.7040518354904264</v>
      </c>
      <c r="DN103" s="173">
        <f t="shared" si="256"/>
        <v>4.8385607196401796</v>
      </c>
      <c r="DO103" s="173">
        <f t="shared" si="257"/>
        <v>3.1380285166058943</v>
      </c>
      <c r="DQ103" s="545">
        <f t="shared" si="258"/>
        <v>980</v>
      </c>
      <c r="DR103" s="460">
        <f t="shared" si="259"/>
        <v>200.92543729777799</v>
      </c>
      <c r="DT103">
        <f t="shared" si="260"/>
        <v>980</v>
      </c>
      <c r="DU103">
        <f t="shared" si="261"/>
        <v>200.92543729777799</v>
      </c>
      <c r="DW103" s="5">
        <f t="shared" si="301"/>
        <v>4.9769706287510402</v>
      </c>
      <c r="DX103" s="5">
        <f t="shared" si="262"/>
        <v>2.0160669665167417</v>
      </c>
      <c r="DY103" s="5">
        <f t="shared" si="302"/>
        <v>2.9609036622342986</v>
      </c>
      <c r="DZ103" s="5">
        <f t="shared" si="263"/>
        <v>2.9609036622342995</v>
      </c>
      <c r="EA103" s="173">
        <f t="shared" si="303"/>
        <v>0.40507913686898112</v>
      </c>
      <c r="EB103" s="173">
        <f t="shared" si="264"/>
        <v>23.52</v>
      </c>
      <c r="EC103" s="173">
        <f t="shared" si="265"/>
        <v>0.96</v>
      </c>
      <c r="ED103" s="173">
        <f t="shared" si="304"/>
        <v>24.5</v>
      </c>
      <c r="EE103" s="460">
        <f t="shared" si="266"/>
        <v>8.2322734466100282</v>
      </c>
      <c r="EF103" s="5">
        <f t="shared" si="267"/>
        <v>2.4180713241580101</v>
      </c>
      <c r="EG103" s="5"/>
      <c r="EH103" s="173">
        <f t="shared" si="305"/>
        <v>1.7779744102484296</v>
      </c>
      <c r="EI103" s="173">
        <f t="shared" si="268"/>
        <v>1.4371794599144536</v>
      </c>
      <c r="EJ103" s="173"/>
      <c r="EK103" s="528">
        <f t="shared" si="269"/>
        <v>0.12644772013993005</v>
      </c>
      <c r="EL103" s="528">
        <f t="shared" si="270"/>
        <v>1.0785389999999999</v>
      </c>
      <c r="EM103" s="528">
        <f t="shared" si="271"/>
        <v>4.0185087459555596E-2</v>
      </c>
      <c r="EN103" s="528">
        <f t="shared" si="272"/>
        <v>5.7223847624999991E-2</v>
      </c>
      <c r="EO103">
        <f t="shared" si="273"/>
        <v>1.0800000000000001E-2</v>
      </c>
      <c r="EP103" s="460">
        <f t="shared" si="306"/>
        <v>50.985087459555601</v>
      </c>
      <c r="EQ103" s="528">
        <f t="shared" si="274"/>
        <v>1.3890697202004447</v>
      </c>
      <c r="ER103" s="460">
        <f t="shared" si="307"/>
        <v>1389.0697202004446</v>
      </c>
      <c r="ES103" s="528">
        <f t="shared" si="308"/>
        <v>0.85063999999999995</v>
      </c>
      <c r="ET103" s="528"/>
      <c r="EV103" s="460">
        <f t="shared" si="309"/>
        <v>850.64</v>
      </c>
      <c r="EW103" s="528">
        <f t="shared" si="275"/>
        <v>9.4835790104947526E-2</v>
      </c>
      <c r="EX103" s="528">
        <f t="shared" si="276"/>
        <v>6.1964544000000017E-2</v>
      </c>
      <c r="EY103" s="528">
        <f t="shared" si="277"/>
        <v>1.4734920547744264</v>
      </c>
      <c r="EZ103" s="528">
        <f t="shared" si="278"/>
        <v>1.6891127444785747</v>
      </c>
      <c r="FA103" s="528">
        <f t="shared" si="279"/>
        <v>0.94079999999999986</v>
      </c>
      <c r="FB103" s="460">
        <f t="shared" si="310"/>
        <v>2629.912744478575</v>
      </c>
      <c r="FC103" s="173">
        <f t="shared" si="311"/>
        <v>4.8696224646790185</v>
      </c>
      <c r="FD103" s="5">
        <f t="shared" si="312"/>
        <v>23.52</v>
      </c>
      <c r="FE103" s="173">
        <f t="shared" si="313"/>
        <v>0.82847174277369962</v>
      </c>
      <c r="FF103" s="5">
        <f t="shared" si="314"/>
        <v>82.847174277369959</v>
      </c>
      <c r="FI103" s="562">
        <f t="shared" si="280"/>
        <v>-50</v>
      </c>
      <c r="FJ103">
        <f t="shared" si="281"/>
        <v>-50</v>
      </c>
      <c r="FL103">
        <f t="shared" si="282"/>
        <v>0.59492086313101888</v>
      </c>
    </row>
    <row r="104" spans="5:168" ht="13">
      <c r="E104" s="170">
        <v>99</v>
      </c>
      <c r="F104" s="217">
        <f>IF(PLOT_TYPE=1, E104/100*Iout_max, min_I*EXP(N104*rr/100))</f>
        <v>0.99</v>
      </c>
      <c r="G104" s="217"/>
      <c r="H104" s="217">
        <f>F104*Vout</f>
        <v>23.759999999999998</v>
      </c>
      <c r="I104" s="541">
        <f t="shared" si="184"/>
        <v>23.822389228340914</v>
      </c>
      <c r="J104" s="172">
        <f t="shared" si="185"/>
        <v>16.375364462253987</v>
      </c>
      <c r="K104" s="172">
        <f t="shared" si="186"/>
        <v>40.375364462253984</v>
      </c>
      <c r="L104" s="443"/>
      <c r="M104" s="217">
        <f t="shared" si="187"/>
        <v>0.40736179203829403</v>
      </c>
      <c r="N104" s="172">
        <f>M104*I104*(Isw_max+VIN_nom/Lmag*ILIM_delay)*0.5*Efficiency</f>
        <v>54.262306848060348</v>
      </c>
      <c r="O104" s="172">
        <f t="shared" si="284"/>
        <v>23.759999999999998</v>
      </c>
      <c r="P104" s="217">
        <f>N104/Vout</f>
        <v>2.2609294520025145</v>
      </c>
      <c r="Q104" s="217">
        <f t="shared" si="190"/>
        <v>24</v>
      </c>
      <c r="R104" s="217">
        <f>Isw_max/2*I104*Nps*(Q104+Vfwd1+F104/FL104*Rdcr_sec)/Q104/(I104+Nps*(Q104+Vfwd1+F104/FL104*Rdcr_sec))</f>
        <v>2.2463729552524785</v>
      </c>
      <c r="S104" s="172">
        <f t="shared" si="192"/>
        <v>98.14874000182111</v>
      </c>
      <c r="T104" s="532">
        <f>MIN(Vout, S104)</f>
        <v>24</v>
      </c>
      <c r="U104" s="217">
        <f t="shared" si="194"/>
        <v>5.0089847435566446</v>
      </c>
      <c r="V104" s="217">
        <f t="shared" si="195"/>
        <v>2.1026374372212753</v>
      </c>
      <c r="W104" s="217">
        <f t="shared" si="196"/>
        <v>3.0588538991621217</v>
      </c>
      <c r="X104" s="197">
        <f t="shared" si="197"/>
        <v>350</v>
      </c>
      <c r="Y104" s="443">
        <f t="shared" si="198"/>
        <v>186.51526921510452</v>
      </c>
      <c r="AA104" s="217">
        <f t="shared" si="199"/>
        <v>2.7727228525425076</v>
      </c>
      <c r="AB104" s="173">
        <f>L*AA104/J104*1000000</f>
        <v>1.6932281775674483</v>
      </c>
      <c r="AC104" s="173">
        <f>0.5*AB104*AA104*Nps*X104/1000</f>
        <v>0.54800665368649926</v>
      </c>
      <c r="AD104" s="173"/>
      <c r="AE104" s="173">
        <f t="shared" si="202"/>
        <v>1.3570520688834458</v>
      </c>
      <c r="AF104" s="545">
        <f>MAX(12, F104/(0.5*AE104/1000000*Isw_min*Nps)/1000)</f>
        <v>984.36317558331837</v>
      </c>
      <c r="AG104" s="528">
        <f t="shared" si="204"/>
        <v>0.35200422831204492</v>
      </c>
      <c r="AI104" s="173">
        <f t="shared" si="205"/>
        <v>3.7267575791947647</v>
      </c>
      <c r="AJ104" s="173">
        <f>MAX(IF(F104&gt;AC104,U104,AI104),Isw_min)</f>
        <v>5.0089847435566446</v>
      </c>
      <c r="AK104" s="173">
        <f>IF(F104&gt;AG104, (AJ104-Isw_min)/1.08*0.8+1.2, AF104*0.2/350+1)</f>
        <v>3.2642685343217943</v>
      </c>
      <c r="AM104" s="545">
        <f t="shared" si="208"/>
        <v>990</v>
      </c>
      <c r="AN104" s="460">
        <f t="shared" si="209"/>
        <v>186.51526921510452</v>
      </c>
      <c r="AP104">
        <f t="shared" si="210"/>
        <v>990</v>
      </c>
      <c r="AQ104">
        <f t="shared" si="211"/>
        <v>186.51526921510452</v>
      </c>
      <c r="AS104" s="5">
        <f t="shared" si="285"/>
        <v>5.3614913363833985</v>
      </c>
      <c r="AT104" s="5">
        <f t="shared" si="212"/>
        <v>2.1026374372212753</v>
      </c>
      <c r="AU104" s="5">
        <f t="shared" si="286"/>
        <v>3.2588538991621232</v>
      </c>
      <c r="AV104" s="5">
        <f t="shared" si="213"/>
        <v>3.0588538991621217</v>
      </c>
      <c r="AW104" s="173">
        <f t="shared" si="287"/>
        <v>0.39217398766508355</v>
      </c>
      <c r="AX104" s="173">
        <f t="shared" si="214"/>
        <v>23.398273527853611</v>
      </c>
      <c r="AY104" s="173">
        <f t="shared" si="215"/>
        <v>1.0153711727112436</v>
      </c>
      <c r="AZ104" s="173">
        <f t="shared" si="288"/>
        <v>23.044059312197682</v>
      </c>
      <c r="BA104" s="460">
        <f t="shared" si="216"/>
        <v>8.6733794285377606</v>
      </c>
      <c r="BB104" s="5">
        <f t="shared" si="217"/>
        <v>2.7085993174289102</v>
      </c>
      <c r="BC104" s="5"/>
      <c r="BD104" s="173">
        <f t="shared" si="289"/>
        <v>1.8110417975299651</v>
      </c>
      <c r="BE104" s="173">
        <f t="shared" si="218"/>
        <v>1.503850125882735</v>
      </c>
      <c r="BF104" s="173"/>
      <c r="BG104" s="528">
        <f t="shared" si="219"/>
        <v>0.13119489569602266</v>
      </c>
      <c r="BH104" s="528">
        <f t="shared" si="220"/>
        <v>0.84871733780069547</v>
      </c>
      <c r="BI104" s="528">
        <f t="shared" si="221"/>
        <v>0.17772957361084046</v>
      </c>
      <c r="BJ104" s="528">
        <f t="shared" si="222"/>
        <v>5.3209031183086494E-2</v>
      </c>
      <c r="BK104">
        <f t="shared" si="223"/>
        <v>1.0720075152753411E-2</v>
      </c>
      <c r="BL104" s="460">
        <f t="shared" si="290"/>
        <v>188.44964876359387</v>
      </c>
      <c r="BM104" s="528">
        <f t="shared" si="224"/>
        <v>1.1029241353321066</v>
      </c>
      <c r="BN104" s="460">
        <f t="shared" si="291"/>
        <v>1102.9241353321067</v>
      </c>
      <c r="BO104" s="528">
        <f t="shared" si="225"/>
        <v>0.85931999999999997</v>
      </c>
      <c r="BP104" s="528"/>
      <c r="BR104" s="460">
        <f t="shared" si="292"/>
        <v>859.31999999999994</v>
      </c>
      <c r="BS104" s="528">
        <f t="shared" si="226"/>
        <v>9.8396171772016996E-2</v>
      </c>
      <c r="BT104" s="528">
        <f t="shared" si="227"/>
        <v>6.784695603352553E-2</v>
      </c>
      <c r="BU104" s="528">
        <f t="shared" si="228"/>
        <v>0.35639999999999994</v>
      </c>
      <c r="BV104" s="528">
        <f>(BU104+(BS104+BT104)*(1+Ltc*(Ta-25)))/(1-(BS104+BT104)*Ltc*ThetaCa)</f>
        <v>0.57012381173480975</v>
      </c>
      <c r="BW104" s="528">
        <f t="shared" si="230"/>
        <v>0.93593094111414432</v>
      </c>
      <c r="BX104" s="460">
        <f t="shared" si="293"/>
        <v>1506.054752848954</v>
      </c>
      <c r="BY104" s="173">
        <f t="shared" si="231"/>
        <v>3.6567485369446544</v>
      </c>
      <c r="BZ104" s="5">
        <f t="shared" si="294"/>
        <v>23.759999999999998</v>
      </c>
      <c r="CA104" s="173">
        <f t="shared" si="295"/>
        <v>0.86662355194974683</v>
      </c>
      <c r="CB104" s="5">
        <f t="shared" si="296"/>
        <v>86.66235519497468</v>
      </c>
      <c r="CE104" s="562">
        <f t="shared" si="232"/>
        <v>-50</v>
      </c>
      <c r="CF104">
        <f t="shared" si="233"/>
        <v>-50</v>
      </c>
      <c r="CG104" s="173">
        <f t="shared" si="234"/>
        <v>0.58497606875971486</v>
      </c>
      <c r="CI104" s="170">
        <v>99</v>
      </c>
      <c r="CJ104" s="217">
        <f t="shared" si="297"/>
        <v>0.99</v>
      </c>
      <c r="CK104" s="217"/>
      <c r="CL104" s="217">
        <f t="shared" si="235"/>
        <v>23.759999999999998</v>
      </c>
      <c r="CM104" s="541">
        <f t="shared" si="236"/>
        <v>24</v>
      </c>
      <c r="CN104" s="172">
        <f t="shared" si="237"/>
        <v>16.3415</v>
      </c>
      <c r="CO104" s="443">
        <f t="shared" si="238"/>
        <v>40.341499999999996</v>
      </c>
      <c r="CP104" s="443"/>
      <c r="CQ104" s="217">
        <f t="shared" si="239"/>
        <v>0.40507913686898112</v>
      </c>
      <c r="CR104" s="172">
        <f t="shared" si="240"/>
        <v>54.360539956785601</v>
      </c>
      <c r="CS104" s="172">
        <f t="shared" si="298"/>
        <v>23.759999999999998</v>
      </c>
      <c r="CT104" s="217">
        <f t="shared" si="241"/>
        <v>2.2650224981994</v>
      </c>
      <c r="CU104" s="217">
        <f t="shared" si="242"/>
        <v>24</v>
      </c>
      <c r="CV104" s="217">
        <f t="shared" si="243"/>
        <v>2.250439649272117</v>
      </c>
      <c r="CW104" s="172">
        <f t="shared" si="244"/>
        <v>98.879159661564998</v>
      </c>
      <c r="CX104" s="532">
        <f t="shared" si="245"/>
        <v>24</v>
      </c>
      <c r="CY104" s="217">
        <f t="shared" si="246"/>
        <v>4.8879337882079366</v>
      </c>
      <c r="CZ104" s="217">
        <f t="shared" si="247"/>
        <v>2.0366390784199737</v>
      </c>
      <c r="DA104" s="217">
        <f t="shared" si="248"/>
        <v>2.9911169649101597</v>
      </c>
      <c r="DB104" s="197">
        <f t="shared" si="249"/>
        <v>350</v>
      </c>
      <c r="DC104" s="443">
        <f t="shared" si="299"/>
        <v>198.89588742608328</v>
      </c>
      <c r="DE104" s="217">
        <f t="shared" si="250"/>
        <v>2.7776855099587272</v>
      </c>
      <c r="DF104" s="173">
        <f t="shared" si="251"/>
        <v>1.6997738946600542</v>
      </c>
      <c r="DG104" s="173">
        <f t="shared" si="252"/>
        <v>0.55110977087390545</v>
      </c>
      <c r="DH104" s="173"/>
      <c r="DI104" s="173">
        <f t="shared" si="253"/>
        <v>1.3598642855443031</v>
      </c>
      <c r="DJ104" s="545">
        <f t="shared" si="300"/>
        <v>982.32749999999965</v>
      </c>
      <c r="DK104" s="528">
        <f t="shared" si="254"/>
        <v>0.35273368606701955</v>
      </c>
      <c r="DM104" s="173">
        <f t="shared" si="255"/>
        <v>3.7229020937972566</v>
      </c>
      <c r="DN104" s="173">
        <f t="shared" si="256"/>
        <v>4.8879337882079366</v>
      </c>
      <c r="DO104" s="173">
        <f t="shared" si="257"/>
        <v>3.1746011599894182</v>
      </c>
      <c r="DQ104" s="545">
        <f t="shared" si="258"/>
        <v>990</v>
      </c>
      <c r="DR104" s="460">
        <f t="shared" si="259"/>
        <v>198.89588742608328</v>
      </c>
      <c r="DT104">
        <f t="shared" si="260"/>
        <v>990</v>
      </c>
      <c r="DU104">
        <f t="shared" si="261"/>
        <v>198.89588742608328</v>
      </c>
      <c r="DW104" s="5">
        <f t="shared" si="301"/>
        <v>5.0277560433301334</v>
      </c>
      <c r="DX104" s="5">
        <f t="shared" si="262"/>
        <v>2.0366390784199737</v>
      </c>
      <c r="DY104" s="5">
        <f t="shared" si="302"/>
        <v>2.9911169649101597</v>
      </c>
      <c r="DZ104" s="5">
        <f t="shared" si="263"/>
        <v>2.9911169649101597</v>
      </c>
      <c r="EA104" s="173">
        <f t="shared" si="303"/>
        <v>0.40507913686898106</v>
      </c>
      <c r="EB104" s="173">
        <f t="shared" si="264"/>
        <v>23.76</v>
      </c>
      <c r="EC104" s="173">
        <f t="shared" si="265"/>
        <v>0.96979591836734702</v>
      </c>
      <c r="ED104" s="173">
        <f t="shared" si="304"/>
        <v>24.5</v>
      </c>
      <c r="EE104" s="460">
        <f t="shared" si="266"/>
        <v>8.4011361984823925</v>
      </c>
      <c r="EF104" s="5">
        <f t="shared" si="267"/>
        <v>2.467671496050881</v>
      </c>
      <c r="EG104" s="5"/>
      <c r="EH104" s="173">
        <f t="shared" si="305"/>
        <v>1.7961170062713727</v>
      </c>
      <c r="EI104" s="173">
        <f t="shared" si="268"/>
        <v>1.4518445564441926</v>
      </c>
      <c r="EJ104" s="173"/>
      <c r="EK104" s="528">
        <f t="shared" si="269"/>
        <v>0.12904145200868952</v>
      </c>
      <c r="EL104" s="528">
        <f t="shared" si="270"/>
        <v>1.0785390000000001</v>
      </c>
      <c r="EM104" s="528">
        <f t="shared" si="271"/>
        <v>3.9779177485216657E-2</v>
      </c>
      <c r="EN104" s="528">
        <f t="shared" si="272"/>
        <v>5.6645828962121204E-2</v>
      </c>
      <c r="EO104">
        <f t="shared" si="273"/>
        <v>1.0800000000000001E-2</v>
      </c>
      <c r="EP104" s="460">
        <f t="shared" si="306"/>
        <v>50.579177485216661</v>
      </c>
      <c r="EQ104" s="528">
        <f t="shared" si="274"/>
        <v>1.392336019545499</v>
      </c>
      <c r="ER104" s="460">
        <f t="shared" si="307"/>
        <v>1392.3360195454991</v>
      </c>
      <c r="ES104" s="528">
        <f t="shared" si="308"/>
        <v>0.85931999999999997</v>
      </c>
      <c r="ET104" s="528"/>
      <c r="EV104" s="460">
        <f t="shared" si="309"/>
        <v>859.31999999999994</v>
      </c>
      <c r="EW104" s="528">
        <f t="shared" si="275"/>
        <v>9.6781089006517149E-2</v>
      </c>
      <c r="EX104" s="528">
        <f t="shared" si="276"/>
        <v>6.3235578482299035E-2</v>
      </c>
      <c r="EY104" s="528">
        <f t="shared" si="277"/>
        <v>1.4734920547744284</v>
      </c>
      <c r="EZ104" s="528">
        <f t="shared" si="278"/>
        <v>1.6935929707211428</v>
      </c>
      <c r="FA104" s="528">
        <f t="shared" si="279"/>
        <v>0.95039999999999991</v>
      </c>
      <c r="FB104" s="460">
        <f t="shared" si="310"/>
        <v>2643.9929707211427</v>
      </c>
      <c r="FC104" s="173">
        <f t="shared" si="311"/>
        <v>4.8956489902666416</v>
      </c>
      <c r="FD104" s="5">
        <f t="shared" si="312"/>
        <v>23.759999999999998</v>
      </c>
      <c r="FE104" s="173">
        <f t="shared" si="313"/>
        <v>0.82915588504278759</v>
      </c>
      <c r="FF104" s="5">
        <f t="shared" si="314"/>
        <v>82.915588504278759</v>
      </c>
      <c r="FI104" s="562">
        <f t="shared" si="280"/>
        <v>-50</v>
      </c>
      <c r="FJ104">
        <f t="shared" si="281"/>
        <v>-50</v>
      </c>
      <c r="FL104">
        <f t="shared" si="282"/>
        <v>0.594920863131019</v>
      </c>
    </row>
    <row r="105" spans="5:168" ht="13">
      <c r="E105" s="170">
        <v>100</v>
      </c>
      <c r="F105" s="217">
        <f>IF(PLOT_TYPE=1, E105/100*Iout_max, min_I*EXP(N105*rr/100))</f>
        <v>1</v>
      </c>
      <c r="G105" s="217"/>
      <c r="H105" s="217">
        <f>F105*Vout</f>
        <v>24</v>
      </c>
      <c r="I105" s="541">
        <f t="shared" si="184"/>
        <v>23.820625674394645</v>
      </c>
      <c r="J105" s="172">
        <f t="shared" si="185"/>
        <v>16.375700713290389</v>
      </c>
      <c r="K105" s="172">
        <f t="shared" si="186"/>
        <v>40.375700713290385</v>
      </c>
      <c r="L105" s="443"/>
      <c r="M105" s="217">
        <f t="shared" si="187"/>
        <v>0.4073846237181023</v>
      </c>
      <c r="N105" s="172">
        <f>M105*I105*(Isw_max+VIN_nom/Lmag*ILIM_delay)*0.5*Efficiency</f>
        <v>54.261330900203284</v>
      </c>
      <c r="O105" s="172">
        <f t="shared" si="284"/>
        <v>24</v>
      </c>
      <c r="P105" s="217">
        <f>N105/Vout</f>
        <v>2.26088878750847</v>
      </c>
      <c r="Q105" s="217">
        <f t="shared" si="190"/>
        <v>24</v>
      </c>
      <c r="R105" s="217">
        <f>Isw_max/2*I105*Nps*(Q105+Vfwd1+F105/FL105*Rdcr_sec)/Q105/(I105+Nps*(Q105+Vfwd1+F105/FL105*Rdcr_sec))</f>
        <v>2.2463325525678308</v>
      </c>
      <c r="S105" s="172">
        <f t="shared" si="192"/>
        <v>96.807234150387231</v>
      </c>
      <c r="T105" s="532">
        <f>MIN(Vout, S105)</f>
        <v>24</v>
      </c>
      <c r="U105" s="217">
        <f t="shared" si="194"/>
        <v>5.0597754793977003</v>
      </c>
      <c r="V105" s="217">
        <f>L*U105/I105*1000000</f>
        <v>2.1241152724365979</v>
      </c>
      <c r="W105" s="217">
        <f t="shared" si="196"/>
        <v>3.089807006115608</v>
      </c>
      <c r="X105" s="197">
        <f t="shared" si="197"/>
        <v>350</v>
      </c>
      <c r="Y105" s="443">
        <f>MIN(1/(V105+W105+0.2)*1000, 350)</f>
        <v>184.70896857193537</v>
      </c>
      <c r="AA105" s="217">
        <f t="shared" si="199"/>
        <v>2.7726729700546997</v>
      </c>
      <c r="AB105" s="173">
        <f>L*AA105/J105*1000000</f>
        <v>1.6931629483216073</v>
      </c>
      <c r="AC105" s="173">
        <f>0.5*AB105*AA105*Nps*X105/1000</f>
        <v>0.54797568399930974</v>
      </c>
      <c r="AD105" s="173"/>
      <c r="AE105" s="173">
        <f t="shared" si="202"/>
        <v>1.3570242038062437</v>
      </c>
      <c r="AF105" s="545">
        <f>MAX(12, F105/(0.5*AE105/1000000*Isw_min*Nps)/1000)</f>
        <v>994.32665500488815</v>
      </c>
      <c r="AG105" s="528">
        <f t="shared" si="204"/>
        <v>0.35199700042063076</v>
      </c>
      <c r="AI105" s="173">
        <f t="shared" si="205"/>
        <v>3.7455707504975195</v>
      </c>
      <c r="AJ105" s="173">
        <f>MAX(IF(F105&gt;AC105,U105,AI105),Isw_min)</f>
        <v>5.0597754793977003</v>
      </c>
      <c r="AK105" s="173">
        <f>IF(F105&gt;AG105, (AJ105-Isw_min)/1.08*0.8+1.2, AF105*0.2/350+1)</f>
        <v>3.301891301611465</v>
      </c>
      <c r="AM105" s="545">
        <f t="shared" si="208"/>
        <v>1000</v>
      </c>
      <c r="AN105" s="460">
        <f t="shared" si="209"/>
        <v>184.70896857193537</v>
      </c>
      <c r="AP105">
        <f t="shared" si="210"/>
        <v>1000</v>
      </c>
      <c r="AQ105" s="3">
        <f t="shared" si="211"/>
        <v>184.70896857193537</v>
      </c>
      <c r="AS105" s="5">
        <f t="shared" si="285"/>
        <v>5.4139222785522056</v>
      </c>
      <c r="AT105" s="5">
        <f t="shared" si="212"/>
        <v>2.1241152724365979</v>
      </c>
      <c r="AU105" s="5">
        <f t="shared" si="286"/>
        <v>3.2898070061156077</v>
      </c>
      <c r="AV105" s="5">
        <f t="shared" si="213"/>
        <v>3.089807006115608</v>
      </c>
      <c r="AW105" s="173">
        <f t="shared" si="287"/>
        <v>0.39234314109965945</v>
      </c>
      <c r="AX105" s="173">
        <f t="shared" si="214"/>
        <v>23.643974354172435</v>
      </c>
      <c r="AY105" s="173">
        <f t="shared" si="215"/>
        <v>1.0253815260630159</v>
      </c>
      <c r="AZ105" s="173">
        <f t="shared" si="288"/>
        <v>23.058709127473954</v>
      </c>
      <c r="BA105" s="460">
        <f t="shared" si="216"/>
        <v>8.8504803018191573</v>
      </c>
      <c r="BB105" s="5">
        <f t="shared" si="217"/>
        <v>2.7621499544841077</v>
      </c>
      <c r="BC105" s="5"/>
      <c r="BD105" s="173">
        <f t="shared" si="289"/>
        <v>1.8298001170764877</v>
      </c>
      <c r="BE105" s="173">
        <f t="shared" si="218"/>
        <v>1.5188876635737736</v>
      </c>
      <c r="BF105" s="173"/>
      <c r="BG105" s="528">
        <f t="shared" si="219"/>
        <v>0.13392673873812513</v>
      </c>
      <c r="BH105" s="528">
        <f t="shared" si="220"/>
        <v>0.84902762234755869</v>
      </c>
      <c r="BI105" s="528">
        <f t="shared" si="221"/>
        <v>0.17599532796222389</v>
      </c>
      <c r="BJ105" s="528">
        <f t="shared" si="222"/>
        <v>5.2694607853125762E-2</v>
      </c>
      <c r="BK105">
        <f t="shared" si="223"/>
        <v>1.0719281553477589E-2</v>
      </c>
      <c r="BL105" s="460">
        <f t="shared" si="290"/>
        <v>186.71460951570148</v>
      </c>
      <c r="BM105" s="528">
        <f t="shared" si="224"/>
        <v>1.1070361790395373</v>
      </c>
      <c r="BN105" s="460">
        <f t="shared" si="291"/>
        <v>1107.0361790395373</v>
      </c>
      <c r="BO105" s="528">
        <f t="shared" si="225"/>
        <v>0.86799999999999999</v>
      </c>
      <c r="BP105" s="528"/>
      <c r="BR105" s="460">
        <f t="shared" si="292"/>
        <v>868</v>
      </c>
      <c r="BS105" s="528">
        <f t="shared" si="226"/>
        <v>0.10044505405359384</v>
      </c>
      <c r="BT105" s="528">
        <f t="shared" si="227"/>
        <v>6.9210592036697896E-2</v>
      </c>
      <c r="BU105" s="528">
        <f t="shared" si="228"/>
        <v>0.36</v>
      </c>
      <c r="BV105" s="528">
        <f>(BU105+(BS105+BT105)*(1+Ltc*(Ta-25)))/(1-(BS105+BT105)*Ltc*ThetaCa)</f>
        <v>0.5782208760567864</v>
      </c>
      <c r="BW105" s="528">
        <f t="shared" si="230"/>
        <v>0.94575897416689758</v>
      </c>
      <c r="BX105" s="460">
        <f t="shared" si="293"/>
        <v>1523.979850223684</v>
      </c>
      <c r="BY105" s="173">
        <f>SUM(BM105,BO105:BQ105,BV105, BW105)+BK105+BI105</f>
        <v>3.6857306387789226</v>
      </c>
      <c r="BZ105" s="5">
        <f t="shared" si="294"/>
        <v>24</v>
      </c>
      <c r="CA105" s="173">
        <f>BZ105/(BZ105+BY105)</f>
        <v>0.86687255298162935</v>
      </c>
      <c r="CB105" s="5">
        <f>CA105*100</f>
        <v>86.687255298162938</v>
      </c>
      <c r="CE105" s="562">
        <f t="shared" si="232"/>
        <v>-50</v>
      </c>
      <c r="CF105">
        <f t="shared" si="233"/>
        <v>-50</v>
      </c>
      <c r="CG105" s="173">
        <f t="shared" si="234"/>
        <v>0.58507551670342772</v>
      </c>
      <c r="CI105" s="170">
        <v>100</v>
      </c>
      <c r="CJ105" s="217">
        <f t="shared" si="297"/>
        <v>1</v>
      </c>
      <c r="CK105" s="217"/>
      <c r="CL105" s="217">
        <f t="shared" si="235"/>
        <v>24</v>
      </c>
      <c r="CM105" s="541">
        <f t="shared" si="236"/>
        <v>24</v>
      </c>
      <c r="CN105" s="172">
        <f t="shared" si="237"/>
        <v>16.3415</v>
      </c>
      <c r="CO105" s="443">
        <f t="shared" si="238"/>
        <v>40.341499999999996</v>
      </c>
      <c r="CP105" s="443"/>
      <c r="CQ105" s="217">
        <f t="shared" si="239"/>
        <v>0.40507913686898112</v>
      </c>
      <c r="CR105" s="172">
        <f t="shared" si="240"/>
        <v>54.360539956785601</v>
      </c>
      <c r="CS105" s="172">
        <f t="shared" si="298"/>
        <v>24</v>
      </c>
      <c r="CT105" s="217">
        <f t="shared" si="241"/>
        <v>2.2650224981994</v>
      </c>
      <c r="CU105" s="217">
        <f t="shared" si="242"/>
        <v>24</v>
      </c>
      <c r="CV105" s="217">
        <f t="shared" si="243"/>
        <v>2.250439649272117</v>
      </c>
      <c r="CW105" s="172">
        <f t="shared" si="244"/>
        <v>97.534840772966803</v>
      </c>
      <c r="CX105" s="532">
        <f t="shared" si="245"/>
        <v>24</v>
      </c>
      <c r="CY105" s="217">
        <f t="shared" si="246"/>
        <v>4.9373068567756935</v>
      </c>
      <c r="CZ105" s="217">
        <f t="shared" si="247"/>
        <v>2.0572111903232058</v>
      </c>
      <c r="DA105" s="217">
        <f t="shared" si="248"/>
        <v>3.0213302675860194</v>
      </c>
      <c r="DB105" s="197">
        <f t="shared" si="249"/>
        <v>350</v>
      </c>
      <c r="DC105" s="443">
        <f t="shared" si="299"/>
        <v>196.90692855182246</v>
      </c>
      <c r="DE105" s="217">
        <f t="shared" si="250"/>
        <v>2.7776855099587272</v>
      </c>
      <c r="DF105" s="173">
        <f t="shared" si="251"/>
        <v>1.6997738946600542</v>
      </c>
      <c r="DG105" s="173">
        <f t="shared" si="252"/>
        <v>0.55110977087390545</v>
      </c>
      <c r="DH105" s="173"/>
      <c r="DI105" s="173">
        <f t="shared" si="253"/>
        <v>1.3598642855443031</v>
      </c>
      <c r="DJ105" s="545">
        <f t="shared" si="300"/>
        <v>992.24999999999966</v>
      </c>
      <c r="DK105" s="528">
        <f t="shared" si="254"/>
        <v>0.35273368606701955</v>
      </c>
      <c r="DM105" s="173">
        <f t="shared" si="255"/>
        <v>3.7416573867739413</v>
      </c>
      <c r="DN105" s="173">
        <f t="shared" si="256"/>
        <v>4.9373068567756935</v>
      </c>
      <c r="DO105" s="173">
        <f t="shared" si="257"/>
        <v>3.2111738033729411</v>
      </c>
      <c r="DQ105" s="545">
        <f t="shared" si="258"/>
        <v>1000</v>
      </c>
      <c r="DR105" s="460">
        <f t="shared" si="259"/>
        <v>196.90692855182246</v>
      </c>
      <c r="DT105">
        <f t="shared" si="260"/>
        <v>1000</v>
      </c>
      <c r="DU105" s="3">
        <f t="shared" si="261"/>
        <v>196.90692855182246</v>
      </c>
      <c r="DW105" s="5">
        <f t="shared" si="301"/>
        <v>5.0785414579092247</v>
      </c>
      <c r="DX105" s="5">
        <f t="shared" si="262"/>
        <v>2.0572111903232058</v>
      </c>
      <c r="DY105" s="5">
        <f t="shared" si="302"/>
        <v>3.021330267586019</v>
      </c>
      <c r="DZ105" s="5">
        <f t="shared" si="263"/>
        <v>3.0213302675860194</v>
      </c>
      <c r="EA105" s="173">
        <f t="shared" si="303"/>
        <v>0.40507913686898112</v>
      </c>
      <c r="EB105" s="173">
        <f t="shared" si="264"/>
        <v>24</v>
      </c>
      <c r="EC105" s="173">
        <f t="shared" si="265"/>
        <v>0.97959183673469385</v>
      </c>
      <c r="ED105" s="173">
        <f t="shared" si="304"/>
        <v>24.5</v>
      </c>
      <c r="EE105" s="460">
        <f t="shared" si="266"/>
        <v>8.5717132930133566</v>
      </c>
      <c r="EF105" s="5">
        <f t="shared" si="267"/>
        <v>2.5177752229883485</v>
      </c>
      <c r="EG105" s="5"/>
      <c r="EH105" s="173">
        <f t="shared" si="305"/>
        <v>1.8142596022943158</v>
      </c>
      <c r="EI105" s="173">
        <f t="shared" si="268"/>
        <v>1.4665096529739321</v>
      </c>
      <c r="EJ105" s="173"/>
      <c r="EK105" s="528">
        <f t="shared" si="269"/>
        <v>0.13166151618068517</v>
      </c>
      <c r="EL105" s="528">
        <f t="shared" si="270"/>
        <v>1.0785390000000001</v>
      </c>
      <c r="EM105" s="528">
        <f t="shared" si="271"/>
        <v>3.9381385710364487E-2</v>
      </c>
      <c r="EN105" s="528">
        <f t="shared" si="272"/>
        <v>5.6079370672500004E-2</v>
      </c>
      <c r="EO105">
        <f t="shared" si="273"/>
        <v>1.0800000000000001E-2</v>
      </c>
      <c r="EP105" s="460">
        <f t="shared" si="306"/>
        <v>50.181385710364488</v>
      </c>
      <c r="EQ105" s="528">
        <f t="shared" si="274"/>
        <v>1.3956703244017257</v>
      </c>
      <c r="ER105" s="460">
        <f t="shared" si="307"/>
        <v>1395.6703244017256</v>
      </c>
      <c r="ES105" s="528">
        <f t="shared" si="308"/>
        <v>0.86799999999999999</v>
      </c>
      <c r="ET105" s="528"/>
      <c r="EV105" s="460">
        <f t="shared" si="309"/>
        <v>868</v>
      </c>
      <c r="EW105" s="528">
        <f t="shared" si="275"/>
        <v>9.8746137135513876E-2</v>
      </c>
      <c r="EX105" s="528">
        <f t="shared" si="276"/>
        <v>6.451951686797168E-2</v>
      </c>
      <c r="EY105" s="528">
        <f t="shared" si="277"/>
        <v>1.4734920547744264</v>
      </c>
      <c r="EZ105" s="528">
        <f t="shared" si="278"/>
        <v>1.6981210532860957</v>
      </c>
      <c r="FA105" s="528">
        <f t="shared" si="279"/>
        <v>0.96000000000000008</v>
      </c>
      <c r="FB105" s="460">
        <f t="shared" si="310"/>
        <v>2658.121053286096</v>
      </c>
      <c r="FC105" s="173">
        <f t="shared" si="311"/>
        <v>4.9217913776878213</v>
      </c>
      <c r="FD105" s="5">
        <f t="shared" si="312"/>
        <v>24</v>
      </c>
      <c r="FE105" s="173">
        <f t="shared" si="313"/>
        <v>0.82982411727494809</v>
      </c>
      <c r="FF105" s="5">
        <f t="shared" si="314"/>
        <v>82.982411727494807</v>
      </c>
      <c r="FI105" s="562">
        <f t="shared" si="280"/>
        <v>-50</v>
      </c>
      <c r="FJ105">
        <f t="shared" si="281"/>
        <v>-50</v>
      </c>
      <c r="FL105">
        <f t="shared" si="282"/>
        <v>0.59492086313101888</v>
      </c>
    </row>
    <row r="106" spans="5:168" ht="13">
      <c r="E106" s="170"/>
      <c r="F106" s="217"/>
      <c r="G106" s="217"/>
      <c r="H106" s="217"/>
      <c r="I106" s="541"/>
      <c r="J106" s="443"/>
      <c r="K106" s="443"/>
      <c r="L106" s="443"/>
      <c r="M106" s="217"/>
      <c r="N106" s="172"/>
      <c r="O106" s="172"/>
      <c r="P106" s="217"/>
      <c r="Q106" s="217"/>
      <c r="R106" s="217"/>
      <c r="S106" s="172"/>
      <c r="T106" s="172"/>
      <c r="U106" s="217"/>
      <c r="V106" s="217"/>
      <c r="W106" s="217"/>
      <c r="X106" s="197"/>
      <c r="Y106" s="443"/>
      <c r="AA106" s="217"/>
      <c r="AB106" s="173"/>
      <c r="AC106" s="173"/>
      <c r="AD106" s="173"/>
      <c r="AE106" s="173"/>
      <c r="AF106" s="545"/>
      <c r="AI106" s="173"/>
      <c r="AJ106" s="173"/>
      <c r="AK106" s="173"/>
      <c r="AM106" s="545"/>
      <c r="AN106" s="460"/>
      <c r="AQ106" s="3"/>
      <c r="AS106" s="5"/>
      <c r="AT106" s="5"/>
      <c r="AU106" s="5"/>
      <c r="AV106" s="5"/>
      <c r="AW106" s="173"/>
      <c r="AX106" s="173"/>
      <c r="AY106" s="173"/>
      <c r="AZ106" s="173"/>
      <c r="BA106" s="460"/>
      <c r="BB106" s="5"/>
      <c r="BC106" s="5"/>
      <c r="BD106" s="173"/>
      <c r="BE106" s="173"/>
      <c r="BF106" s="173"/>
      <c r="BG106" s="528"/>
      <c r="BH106" s="528"/>
      <c r="BI106" s="528"/>
      <c r="BJ106" s="528"/>
      <c r="BN106" s="460"/>
      <c r="BO106" s="528"/>
      <c r="BP106" s="528"/>
      <c r="BR106" s="460"/>
      <c r="BS106" s="528"/>
      <c r="BT106" s="528"/>
      <c r="BU106" s="528"/>
      <c r="BV106" s="528"/>
      <c r="BW106" s="528"/>
      <c r="BX106" s="460"/>
      <c r="BY106" s="173"/>
      <c r="BZ106" s="5"/>
      <c r="CA106" s="173"/>
      <c r="CB106" s="5"/>
      <c r="CE106" s="562"/>
      <c r="CI106" s="170"/>
      <c r="CJ106" s="217"/>
      <c r="CK106" s="217"/>
      <c r="CL106" s="217"/>
      <c r="CM106" s="541"/>
      <c r="CN106" s="443"/>
      <c r="CO106" s="443"/>
      <c r="CP106" s="443"/>
      <c r="CQ106" s="217"/>
      <c r="CR106" s="172"/>
      <c r="CS106" s="172"/>
      <c r="CT106" s="217"/>
      <c r="CU106" s="217"/>
      <c r="CV106" s="217"/>
      <c r="CW106" s="172"/>
      <c r="CX106" s="172"/>
      <c r="CY106" s="217"/>
      <c r="CZ106" s="217"/>
      <c r="DA106" s="217"/>
      <c r="DB106" s="197"/>
      <c r="DC106" s="443"/>
      <c r="DE106" s="217"/>
      <c r="DF106" s="173"/>
      <c r="DG106" s="173"/>
      <c r="DH106" s="173"/>
      <c r="DI106" s="173"/>
      <c r="DJ106" s="545"/>
      <c r="DM106" s="173"/>
      <c r="DN106" s="173"/>
      <c r="DO106" s="173"/>
      <c r="DQ106" s="545"/>
      <c r="DR106" s="460"/>
      <c r="DU106" s="3"/>
      <c r="DW106" s="5"/>
      <c r="DX106" s="5"/>
      <c r="DY106" s="5"/>
      <c r="DZ106" s="5"/>
      <c r="EA106" s="173"/>
      <c r="EB106" s="173"/>
      <c r="EC106" s="173"/>
      <c r="ED106" s="173"/>
      <c r="EE106" s="460"/>
      <c r="EF106" s="5"/>
      <c r="EG106" s="5"/>
      <c r="EH106" s="173"/>
      <c r="EI106" s="173"/>
      <c r="EJ106" s="173"/>
      <c r="EK106" s="528"/>
      <c r="EL106" s="528"/>
      <c r="EM106" s="528"/>
      <c r="EN106" s="528"/>
      <c r="ER106" s="460"/>
      <c r="ES106" s="528"/>
      <c r="ET106" s="528"/>
      <c r="EV106" s="460"/>
      <c r="EW106" s="528"/>
      <c r="EX106" s="528"/>
      <c r="EY106" s="528"/>
      <c r="EZ106" s="528"/>
      <c r="FA106" s="528"/>
      <c r="FB106" s="460"/>
      <c r="FC106" s="173"/>
      <c r="FD106" s="5"/>
      <c r="FE106" s="173"/>
      <c r="FF106" s="5"/>
      <c r="FI106" s="562"/>
      <c r="FL106" t="e">
        <f>MIN(SQRT(2*L*DJ106*1000*CJ106*CN106)/CM106, 1-EA106)</f>
        <v>#DIV/0!</v>
      </c>
    </row>
    <row r="107" spans="5:168">
      <c r="H107" s="217"/>
      <c r="I107" s="541"/>
      <c r="J107" s="443"/>
      <c r="K107" s="443"/>
      <c r="L107" s="443"/>
      <c r="M107" s="217"/>
      <c r="N107" s="172"/>
      <c r="O107" s="172"/>
      <c r="P107" s="217"/>
      <c r="Q107" s="736"/>
      <c r="R107" s="217"/>
      <c r="S107" s="172"/>
      <c r="T107" s="172"/>
      <c r="U107" s="217"/>
      <c r="V107" s="217"/>
      <c r="W107" s="217"/>
      <c r="X107" s="197"/>
      <c r="Y107" s="443"/>
      <c r="AA107" s="217"/>
      <c r="AB107" s="173"/>
      <c r="AC107" s="173"/>
      <c r="AD107" s="173"/>
      <c r="AE107" s="173"/>
      <c r="AF107" s="545"/>
      <c r="AI107" s="173"/>
      <c r="AJ107" s="173"/>
      <c r="AK107" s="173"/>
      <c r="AM107" s="545"/>
      <c r="AN107" s="460"/>
      <c r="AS107" s="5"/>
      <c r="AT107" s="5"/>
      <c r="AU107" s="5"/>
      <c r="AV107" s="5"/>
      <c r="AW107" s="173"/>
      <c r="AX107" s="173"/>
      <c r="AY107" s="173"/>
      <c r="AZ107" s="173"/>
      <c r="BA107" s="460"/>
      <c r="BB107" s="5"/>
      <c r="BD107" s="173"/>
      <c r="BE107" s="173"/>
      <c r="BG107" s="528"/>
      <c r="BH107" s="528"/>
      <c r="BI107" s="528"/>
      <c r="BJ107" s="528"/>
      <c r="BN107" s="460"/>
      <c r="BO107" s="528"/>
      <c r="BR107" s="460"/>
      <c r="BS107" s="528"/>
      <c r="BT107" s="528"/>
      <c r="BU107" s="528"/>
      <c r="BV107" s="528"/>
      <c r="BW107" s="528"/>
      <c r="BX107" s="460"/>
      <c r="BY107" s="173"/>
      <c r="BZ107" s="5"/>
      <c r="CA107" s="173"/>
      <c r="CB107" s="5"/>
      <c r="CE107" s="562"/>
      <c r="CL107" s="217"/>
      <c r="CM107" s="541"/>
      <c r="CN107" s="443"/>
      <c r="CO107" s="443"/>
      <c r="CP107" s="443"/>
      <c r="CQ107" s="217"/>
      <c r="CR107" s="172"/>
      <c r="CS107" s="172"/>
      <c r="CT107" s="217"/>
      <c r="CU107" s="736"/>
      <c r="CV107" s="217"/>
      <c r="CW107" s="172"/>
      <c r="CX107" s="172"/>
      <c r="CY107" s="217"/>
      <c r="CZ107" s="217"/>
      <c r="DA107" s="217"/>
      <c r="DB107" s="197"/>
      <c r="DC107" s="443"/>
      <c r="DE107" s="217"/>
      <c r="DF107" s="173"/>
      <c r="DG107" s="173"/>
      <c r="DH107" s="173"/>
      <c r="DI107" s="173"/>
      <c r="DJ107" s="545"/>
      <c r="DM107" s="173"/>
      <c r="DN107" s="173"/>
      <c r="DO107" s="173"/>
      <c r="DQ107" s="545"/>
      <c r="DR107" s="460"/>
      <c r="DW107" s="5"/>
      <c r="DX107" s="5"/>
      <c r="DY107" s="5"/>
      <c r="DZ107" s="5"/>
      <c r="EA107" s="173"/>
      <c r="EB107" s="173"/>
      <c r="EC107" s="173"/>
      <c r="ED107" s="173"/>
      <c r="EE107" s="460"/>
      <c r="EF107" s="5"/>
      <c r="EH107" s="173"/>
      <c r="EI107" s="173"/>
      <c r="EK107" s="528"/>
      <c r="EL107" s="528"/>
      <c r="EM107" s="528"/>
      <c r="EN107" s="528"/>
      <c r="ER107" s="460"/>
      <c r="ES107" s="528"/>
      <c r="EV107" s="460"/>
      <c r="EW107" s="528"/>
      <c r="EX107" s="528"/>
      <c r="EY107" s="528"/>
      <c r="EZ107" s="528"/>
      <c r="FA107" s="528"/>
      <c r="FB107" s="460"/>
      <c r="FC107" s="173"/>
      <c r="FD107" s="5"/>
      <c r="FE107" s="173"/>
      <c r="FF107" s="5"/>
      <c r="FI107" s="562"/>
      <c r="FL107" t="e">
        <f>MIN(SQRT(2*L*DJ107*1000*CJ107*CN107)/CM107, 1-EA107)</f>
        <v>#DIV/0!</v>
      </c>
    </row>
    <row r="108" spans="5:168" ht="13">
      <c r="E108" s="445" t="s">
        <v>434</v>
      </c>
      <c r="H108" s="217"/>
      <c r="I108" s="541"/>
      <c r="J108" s="443"/>
      <c r="K108" s="443"/>
      <c r="L108" s="443"/>
      <c r="M108" s="217"/>
      <c r="N108" s="172">
        <f>Efficiency</f>
        <v>1</v>
      </c>
      <c r="O108" s="172"/>
      <c r="P108" s="217"/>
      <c r="Q108" s="217"/>
      <c r="R108" s="217"/>
      <c r="S108" s="172"/>
      <c r="T108" s="172"/>
      <c r="U108" s="217"/>
      <c r="V108" s="217"/>
      <c r="W108" s="217"/>
      <c r="X108" s="197"/>
      <c r="Y108" s="443"/>
      <c r="AA108" s="217"/>
      <c r="AB108" s="173"/>
      <c r="AC108" s="173"/>
      <c r="AD108" s="173"/>
      <c r="AE108" s="173"/>
      <c r="AF108" s="545"/>
      <c r="AI108" s="173"/>
      <c r="AJ108" s="173"/>
      <c r="AK108" s="173"/>
      <c r="AM108" s="545"/>
      <c r="AN108" s="460"/>
      <c r="AS108" s="5"/>
      <c r="AT108" s="5"/>
      <c r="AU108" s="5"/>
      <c r="AV108" s="5"/>
      <c r="AW108" s="173"/>
      <c r="AX108" s="173"/>
      <c r="AY108" s="173"/>
      <c r="AZ108" s="173"/>
      <c r="BA108" s="460"/>
      <c r="BB108" s="5"/>
      <c r="BD108" s="173"/>
      <c r="BE108" s="173"/>
      <c r="BG108" s="528"/>
      <c r="BH108" s="528"/>
      <c r="BI108" s="528"/>
      <c r="BJ108" s="528"/>
      <c r="BN108" s="460"/>
      <c r="BO108" s="528"/>
      <c r="BR108" s="460"/>
      <c r="BS108" s="528"/>
      <c r="BT108" s="528"/>
      <c r="BU108" s="528"/>
      <c r="BV108" s="528"/>
      <c r="BW108" s="528"/>
      <c r="BX108" s="460"/>
      <c r="BY108" s="173"/>
      <c r="BZ108" s="5"/>
      <c r="CA108" s="173"/>
      <c r="CB108" s="5"/>
      <c r="CE108" s="562">
        <f>Ioutmax_Vinmin</f>
        <v>1.3467028212786933</v>
      </c>
      <c r="CI108" s="445" t="s">
        <v>434</v>
      </c>
      <c r="CL108" s="217"/>
      <c r="CM108" s="541"/>
      <c r="CN108" s="443"/>
      <c r="CO108" s="443"/>
      <c r="CP108" s="443"/>
      <c r="CQ108" s="217"/>
      <c r="CR108" s="172">
        <f>Efficiency</f>
        <v>1</v>
      </c>
      <c r="CS108" s="172"/>
      <c r="CT108" s="217"/>
      <c r="CU108" s="217"/>
      <c r="CV108" s="217"/>
      <c r="CW108" s="172"/>
      <c r="CX108" s="172"/>
      <c r="CY108" s="217"/>
      <c r="CZ108" s="217"/>
      <c r="DA108" s="217"/>
      <c r="DB108" s="197"/>
      <c r="DC108" s="443"/>
      <c r="DE108" s="217"/>
      <c r="DF108" s="173"/>
      <c r="DG108" s="173"/>
      <c r="DH108" s="173"/>
      <c r="DI108" s="173"/>
      <c r="DJ108" s="545"/>
      <c r="DM108" s="173"/>
      <c r="DN108" s="173"/>
      <c r="DO108" s="173"/>
      <c r="DQ108" s="545"/>
      <c r="DR108" s="460"/>
      <c r="DW108" s="5"/>
      <c r="DX108" s="5"/>
      <c r="DY108" s="5"/>
      <c r="DZ108" s="5"/>
      <c r="EA108" s="173"/>
      <c r="EB108" s="173"/>
      <c r="EC108" s="173"/>
      <c r="ED108" s="173"/>
      <c r="EE108" s="460"/>
      <c r="EF108" s="5"/>
      <c r="EH108" s="173"/>
      <c r="EI108" s="173"/>
      <c r="EK108" s="528"/>
      <c r="EL108" s="528"/>
      <c r="EM108" s="528"/>
      <c r="EN108" s="528"/>
      <c r="ER108" s="460"/>
      <c r="ES108" s="528"/>
      <c r="EV108" s="460"/>
      <c r="EW108" s="528"/>
      <c r="EX108" s="528"/>
      <c r="EY108" s="528"/>
      <c r="EZ108" s="528"/>
      <c r="FA108" s="528"/>
      <c r="FB108" s="460"/>
      <c r="FC108" s="173"/>
      <c r="FD108" s="5"/>
      <c r="FE108" s="173"/>
      <c r="FF108" s="5"/>
      <c r="FI108" s="562">
        <f>Ioutmax_Vinmin</f>
        <v>1.3467028212786933</v>
      </c>
      <c r="FL108" t="e">
        <f>MIN(SQRT(2*L*DJ108*1000*CJ108*CN108)/CM108, 1-EA108)</f>
        <v>#DIV/0!</v>
      </c>
    </row>
    <row r="109" spans="5:168" ht="45" customHeight="1" thickBot="1">
      <c r="E109" s="241" t="s">
        <v>25</v>
      </c>
      <c r="F109" s="444" t="s">
        <v>194</v>
      </c>
      <c r="G109" s="260"/>
      <c r="H109" s="527" t="s">
        <v>223</v>
      </c>
      <c r="I109" s="242" t="s">
        <v>412</v>
      </c>
      <c r="J109" s="243" t="s">
        <v>418</v>
      </c>
      <c r="K109" s="527" t="s">
        <v>413</v>
      </c>
      <c r="L109" s="527"/>
      <c r="M109" s="244" t="s">
        <v>48</v>
      </c>
      <c r="N109" s="527" t="s">
        <v>402</v>
      </c>
      <c r="O109" s="527" t="s">
        <v>656</v>
      </c>
      <c r="P109" s="527" t="s">
        <v>403</v>
      </c>
      <c r="Q109" s="527" t="s">
        <v>433</v>
      </c>
      <c r="R109" s="527" t="s">
        <v>654</v>
      </c>
      <c r="S109" s="527" t="s">
        <v>657</v>
      </c>
      <c r="T109" s="527" t="s">
        <v>655</v>
      </c>
      <c r="U109" s="527" t="s">
        <v>414</v>
      </c>
      <c r="V109" s="527" t="s">
        <v>466</v>
      </c>
      <c r="W109" s="527" t="s">
        <v>465</v>
      </c>
      <c r="X109" s="546" t="s">
        <v>420</v>
      </c>
      <c r="Y109" s="542" t="s">
        <v>425</v>
      </c>
      <c r="AA109" s="245" t="s">
        <v>417</v>
      </c>
      <c r="AB109" s="245" t="s">
        <v>464</v>
      </c>
      <c r="AC109" s="245" t="s">
        <v>423</v>
      </c>
      <c r="AD109" s="544"/>
      <c r="AE109" s="245" t="s">
        <v>463</v>
      </c>
      <c r="AF109" s="245" t="s">
        <v>681</v>
      </c>
      <c r="AG109" s="245" t="s">
        <v>427</v>
      </c>
      <c r="AH109" s="544"/>
      <c r="AI109" s="245" t="s">
        <v>429</v>
      </c>
      <c r="AJ109" s="547" t="s">
        <v>430</v>
      </c>
      <c r="AK109" s="547" t="s">
        <v>431</v>
      </c>
      <c r="AM109" s="543" t="s">
        <v>275</v>
      </c>
      <c r="AN109" s="543" t="s">
        <v>432</v>
      </c>
      <c r="AP109" s="245" t="s">
        <v>275</v>
      </c>
      <c r="AQ109" s="245" t="s">
        <v>432</v>
      </c>
      <c r="AR109" s="548"/>
      <c r="AS109" s="245" t="s">
        <v>467</v>
      </c>
      <c r="AT109" s="245" t="s">
        <v>461</v>
      </c>
      <c r="AU109" s="245" t="s">
        <v>462</v>
      </c>
      <c r="AV109" s="245" t="s">
        <v>653</v>
      </c>
      <c r="AW109" s="245" t="s">
        <v>48</v>
      </c>
      <c r="AX109" s="548" t="s">
        <v>651</v>
      </c>
      <c r="AY109" s="544" t="s">
        <v>650</v>
      </c>
      <c r="AZ109" s="544" t="s">
        <v>652</v>
      </c>
      <c r="BA109" s="245" t="s">
        <v>481</v>
      </c>
      <c r="BB109" s="245" t="s">
        <v>514</v>
      </c>
      <c r="BC109" s="544"/>
      <c r="BD109" s="557" t="s">
        <v>456</v>
      </c>
      <c r="BE109" s="245" t="s">
        <v>457</v>
      </c>
      <c r="BF109" s="544"/>
      <c r="BG109" s="557" t="s">
        <v>474</v>
      </c>
      <c r="BH109" s="245" t="s">
        <v>475</v>
      </c>
      <c r="BI109" s="245" t="s">
        <v>473</v>
      </c>
      <c r="BJ109" s="245" t="s">
        <v>469</v>
      </c>
      <c r="BK109" s="245" t="s">
        <v>478</v>
      </c>
      <c r="BL109" s="245" t="s">
        <v>777</v>
      </c>
      <c r="BM109" s="245" t="s">
        <v>776</v>
      </c>
      <c r="BN109" s="245" t="s">
        <v>491</v>
      </c>
      <c r="BO109" s="557" t="s">
        <v>476</v>
      </c>
      <c r="BP109" s="245" t="s">
        <v>477</v>
      </c>
      <c r="BQ109" s="245" t="s">
        <v>483</v>
      </c>
      <c r="BR109" s="245" t="s">
        <v>487</v>
      </c>
      <c r="BS109" s="557" t="s">
        <v>458</v>
      </c>
      <c r="BT109" s="245" t="s">
        <v>459</v>
      </c>
      <c r="BU109" s="245" t="s">
        <v>468</v>
      </c>
      <c r="BV109" s="245" t="s">
        <v>666</v>
      </c>
      <c r="BW109" s="245" t="s">
        <v>484</v>
      </c>
      <c r="BX109" s="245" t="s">
        <v>667</v>
      </c>
      <c r="BY109" s="557" t="s">
        <v>482</v>
      </c>
      <c r="BZ109" s="245" t="s">
        <v>223</v>
      </c>
      <c r="CA109" s="245" t="s">
        <v>47</v>
      </c>
      <c r="CB109" s="245" t="s">
        <v>485</v>
      </c>
      <c r="CC109" s="245"/>
      <c r="CE109" s="569" t="s">
        <v>664</v>
      </c>
      <c r="CF109" s="569" t="s">
        <v>665</v>
      </c>
      <c r="CG109" s="781" t="s">
        <v>828</v>
      </c>
      <c r="CI109" s="241" t="s">
        <v>25</v>
      </c>
      <c r="CJ109" s="444" t="s">
        <v>194</v>
      </c>
      <c r="CK109" s="260"/>
      <c r="CL109" s="527" t="s">
        <v>223</v>
      </c>
      <c r="CM109" s="242" t="s">
        <v>412</v>
      </c>
      <c r="CN109" s="243" t="s">
        <v>418</v>
      </c>
      <c r="CO109" s="527" t="s">
        <v>413</v>
      </c>
      <c r="CP109" s="527"/>
      <c r="CQ109" s="244" t="s">
        <v>48</v>
      </c>
      <c r="CR109" s="527" t="s">
        <v>402</v>
      </c>
      <c r="CS109" s="527" t="s">
        <v>656</v>
      </c>
      <c r="CT109" s="527" t="s">
        <v>403</v>
      </c>
      <c r="CU109" s="527" t="s">
        <v>433</v>
      </c>
      <c r="CV109" s="527" t="s">
        <v>654</v>
      </c>
      <c r="CW109" s="527" t="s">
        <v>657</v>
      </c>
      <c r="CX109" s="527" t="s">
        <v>655</v>
      </c>
      <c r="CY109" s="527" t="s">
        <v>414</v>
      </c>
      <c r="CZ109" s="527" t="s">
        <v>466</v>
      </c>
      <c r="DA109" s="527" t="s">
        <v>465</v>
      </c>
      <c r="DB109" s="546" t="s">
        <v>420</v>
      </c>
      <c r="DC109" s="542" t="s">
        <v>425</v>
      </c>
      <c r="DE109" s="245" t="s">
        <v>417</v>
      </c>
      <c r="DF109" s="245" t="s">
        <v>464</v>
      </c>
      <c r="DG109" s="245" t="s">
        <v>423</v>
      </c>
      <c r="DH109" s="544"/>
      <c r="DI109" s="245" t="s">
        <v>463</v>
      </c>
      <c r="DJ109" s="245" t="s">
        <v>681</v>
      </c>
      <c r="DK109" s="245" t="s">
        <v>427</v>
      </c>
      <c r="DL109" s="544"/>
      <c r="DM109" s="245" t="s">
        <v>429</v>
      </c>
      <c r="DN109" s="547" t="s">
        <v>430</v>
      </c>
      <c r="DO109" s="547" t="s">
        <v>431</v>
      </c>
      <c r="DQ109" s="543" t="s">
        <v>275</v>
      </c>
      <c r="DR109" s="543" t="s">
        <v>432</v>
      </c>
      <c r="DT109" s="245" t="s">
        <v>275</v>
      </c>
      <c r="DU109" s="245" t="s">
        <v>432</v>
      </c>
      <c r="DV109" s="548"/>
      <c r="DW109" s="245" t="s">
        <v>467</v>
      </c>
      <c r="DX109" s="245" t="s">
        <v>461</v>
      </c>
      <c r="DY109" s="245" t="s">
        <v>462</v>
      </c>
      <c r="DZ109" s="245" t="s">
        <v>653</v>
      </c>
      <c r="EA109" s="245" t="s">
        <v>48</v>
      </c>
      <c r="EB109" s="548" t="s">
        <v>651</v>
      </c>
      <c r="EC109" s="544" t="s">
        <v>650</v>
      </c>
      <c r="ED109" s="544" t="s">
        <v>652</v>
      </c>
      <c r="EE109" s="245" t="s">
        <v>481</v>
      </c>
      <c r="EF109" s="245" t="s">
        <v>514</v>
      </c>
      <c r="EG109" s="544"/>
      <c r="EH109" s="557" t="s">
        <v>456</v>
      </c>
      <c r="EI109" s="245" t="s">
        <v>457</v>
      </c>
      <c r="EJ109" s="544"/>
      <c r="EK109" s="557" t="s">
        <v>474</v>
      </c>
      <c r="EL109" s="245" t="s">
        <v>475</v>
      </c>
      <c r="EM109" s="245" t="s">
        <v>473</v>
      </c>
      <c r="EN109" s="245" t="s">
        <v>469</v>
      </c>
      <c r="EO109" s="245" t="s">
        <v>478</v>
      </c>
      <c r="EP109" s="245" t="s">
        <v>777</v>
      </c>
      <c r="EQ109" s="245" t="s">
        <v>776</v>
      </c>
      <c r="ER109" s="245" t="s">
        <v>491</v>
      </c>
      <c r="ES109" s="557" t="s">
        <v>476</v>
      </c>
      <c r="ET109" s="245" t="s">
        <v>477</v>
      </c>
      <c r="EU109" s="245" t="s">
        <v>483</v>
      </c>
      <c r="EV109" s="245" t="s">
        <v>487</v>
      </c>
      <c r="EW109" s="557" t="s">
        <v>458</v>
      </c>
      <c r="EX109" s="245" t="s">
        <v>459</v>
      </c>
      <c r="EY109" s="245" t="s">
        <v>468</v>
      </c>
      <c r="EZ109" s="245" t="s">
        <v>666</v>
      </c>
      <c r="FA109" s="245" t="s">
        <v>484</v>
      </c>
      <c r="FB109" s="245" t="s">
        <v>667</v>
      </c>
      <c r="FC109" s="557" t="s">
        <v>482</v>
      </c>
      <c r="FD109" s="245" t="s">
        <v>223</v>
      </c>
      <c r="FE109" s="245" t="s">
        <v>47</v>
      </c>
      <c r="FF109" s="245" t="s">
        <v>485</v>
      </c>
      <c r="FG109" s="245"/>
      <c r="FI109" s="569" t="s">
        <v>664</v>
      </c>
      <c r="FJ109" s="569" t="s">
        <v>665</v>
      </c>
      <c r="FL109" t="s">
        <v>825</v>
      </c>
    </row>
    <row r="110" spans="5:168">
      <c r="E110" s="170">
        <v>0.1</v>
      </c>
      <c r="F110" s="217">
        <v>1.0000000000000001E-9</v>
      </c>
      <c r="G110" s="217"/>
      <c r="H110" s="217">
        <f t="shared" ref="H110:H141" si="315">F110*Vout</f>
        <v>2.4000000000000003E-8</v>
      </c>
      <c r="I110" s="541">
        <f t="shared" ref="I110:I141" si="316">VIN_min-F110*(Rdcr_pri+RON/1000)/CG110/Nps</f>
        <v>8.9999778640563797</v>
      </c>
      <c r="J110" s="172">
        <f t="shared" ref="J110:J141" si="317">(T110+Vfwd1+F110/CG110*Rdcr_sec)*Nps</f>
        <v>16.341504220587641</v>
      </c>
      <c r="K110" s="172">
        <f t="shared" ref="K110:K141" si="318">(Vout+Vfwd1+F110/CG110*Rdcr_sec)*Nps++I110</f>
        <v>25.341482084644021</v>
      </c>
      <c r="L110" s="443"/>
      <c r="M110" s="217">
        <f t="shared" ref="M110:M141" si="319">(Vout+Vfwd1+F110/FL110*Rdcr_sec)*Nps/((Vout+Vfwd1+F110/FL110*Rdcr_sec)*Nps+I110)</f>
        <v>0.64485195386513627</v>
      </c>
      <c r="N110" s="172">
        <f>M110*I110*(Isw_max+VIN_min/Lmag*ILIM_delay)*0.5*Efficiency</f>
        <v>32.320867710688638</v>
      </c>
      <c r="O110" s="172">
        <f t="shared" si="284"/>
        <v>2.4000000000000003E-8</v>
      </c>
      <c r="P110" s="217">
        <f t="shared" ref="P110:P141" si="320">N110/Vout</f>
        <v>1.3467028212786933</v>
      </c>
      <c r="Q110" s="217">
        <f t="shared" ref="Q110:Q141" si="321">MIN(Vout,N110/F110)</f>
        <v>24</v>
      </c>
      <c r="R110" s="217"/>
      <c r="S110" s="172">
        <f t="shared" ref="S110:S141" si="322">(SQRT(Isw_max^2*Nps^2*I110^2+4*Isw_max*F110/Efficiency*(Nps^2*Vfwd1*I110-Nps*I110^2)+4*(F110/Efficiency)^2*Nps^2*Vfwd1^2+8*(F110/Efficiency)^2*Nps*Vfwd1*I110+4*(F110/Efficiency)^2*I110^2)-2*F110/Efficiency*I110-2*F110/Efficiency*Nps*Vfwd1+Isw_max*Nps*I110)/(4*F110/Efficiency*Nps)</f>
        <v>49999877009.042221</v>
      </c>
      <c r="T110" s="172">
        <f t="shared" ref="T110:T141" si="323">MIN(Vout, S110)</f>
        <v>24</v>
      </c>
      <c r="U110" s="217">
        <f t="shared" ref="U110:U141" si="324">MIN(2*(Vout+Vfwd1+F110/FL110*Rdcr_sec)*F110/(I110*M110), Isw_max)</f>
        <v>8.442960005716993E-9</v>
      </c>
      <c r="V110" s="217">
        <f t="shared" ref="V110:V141" si="325">L*U110/I110*1000000</f>
        <v>9.3810897462715159E-9</v>
      </c>
      <c r="W110" s="217">
        <f t="shared" ref="W110:W141" si="326">L*U110/J110*1000000</f>
        <v>5.166574564831207E-9</v>
      </c>
      <c r="X110" s="197">
        <f t="shared" ref="X110:X141" si="327">IF(1/((350000*L)*(1/I110+1/J110))&gt;Isw_min, 350, 0.001/((Isw_min*L)*(1/I110+1/J110)))</f>
        <v>261.1643987188383</v>
      </c>
      <c r="Y110" s="443">
        <f t="shared" ref="Y110:Y173" si="328">MIN(1/(V110+W110+0.2)*1000, 350)</f>
        <v>350</v>
      </c>
      <c r="AA110" s="217">
        <f t="shared" ref="AA110:AA141" si="329">1/((X110*1000*L)*(1/I110+1/J110))</f>
        <v>2.2222222222222228</v>
      </c>
      <c r="AB110" s="173">
        <f t="shared" ref="AB110:AB141" si="330">L*AA110/J110*1000000</f>
        <v>1.35986393432655</v>
      </c>
      <c r="AC110" s="173">
        <f t="shared" ref="AC110:AC141" si="331">0.5*AB110*AA110*Nps*X110/1000</f>
        <v>0.26320416353422316</v>
      </c>
      <c r="AD110" s="173"/>
      <c r="AE110" s="173">
        <f t="shared" ref="AE110:AE141" si="332">L*Isw_min/J110*1000000</f>
        <v>1.3598639343265497</v>
      </c>
      <c r="AF110" s="545">
        <f t="shared" ref="AF110:AF141" si="333">MAX(12000,F110/(0.5*AE110/1000000*Isw_min*Nps))/1000</f>
        <v>12</v>
      </c>
      <c r="AG110" s="528">
        <f t="shared" ref="AG110:AG141" si="334">0.5*AE110/1000000*Isw_min*Nps*X110*1000</f>
        <v>0.26320416353422305</v>
      </c>
      <c r="AI110" s="173">
        <f t="shared" ref="AI110:AI141" si="335">SQRT(F110/(0.5*L/J110*Fsw_DCM*Nps))</f>
        <v>1.1832161094169835E-4</v>
      </c>
      <c r="AJ110" s="173">
        <f t="shared" ref="AJ110:AJ141" si="336">MAX(IF(F110&gt;AC110,U110,AI110),Isw_min)</f>
        <v>2.2222222222222223</v>
      </c>
      <c r="AK110" s="173">
        <f t="shared" ref="AK110:AK141" si="337">IF(F110&gt;AG110, (AJ110-Isw_min)/1.08*0.8+1.2, AF110*0.2/350+1)</f>
        <v>1.0068571428571429</v>
      </c>
      <c r="AM110" s="545">
        <f t="shared" ref="AM110:AM141" si="338">F110*1000</f>
        <v>1.0000000000000002E-6</v>
      </c>
      <c r="AN110" s="460">
        <f t="shared" ref="AN110:AN141" si="339">IF(F110&gt;AG110, Y110, AF110)</f>
        <v>12</v>
      </c>
      <c r="AP110" s="460">
        <f t="shared" ref="AP110:AP141" si="340">IF(H110&gt;N110, "",AM110)</f>
        <v>1.0000000000000002E-6</v>
      </c>
      <c r="AQ110" s="460">
        <f t="shared" ref="AQ110:AQ141" si="341">IF(H110&gt;N110, "",AN110)</f>
        <v>12</v>
      </c>
      <c r="AS110" s="5">
        <f t="shared" si="285"/>
        <v>83.333333333333329</v>
      </c>
      <c r="AT110" s="5">
        <f t="shared" ref="AT110:AT141" si="342">L*AJ110/I110*1000000</f>
        <v>2.4691418754452856</v>
      </c>
      <c r="AU110" s="5">
        <f t="shared" ref="AU110:AU169" si="343">AS110-AT110</f>
        <v>80.86419145788804</v>
      </c>
      <c r="AV110" s="5"/>
      <c r="AW110" s="173">
        <f t="shared" ref="AW110:AW169" si="344">AT110/AS110</f>
        <v>2.9629702505343428E-2</v>
      </c>
      <c r="AX110" s="173">
        <f t="shared" si="214"/>
        <v>0.29629629629629634</v>
      </c>
      <c r="AY110" s="173">
        <f t="shared" si="215"/>
        <v>0.71915220936548441</v>
      </c>
      <c r="AZ110" s="173">
        <f t="shared" si="288"/>
        <v>0.4120077675318855</v>
      </c>
      <c r="BA110" s="460">
        <f t="shared" ref="BA110:BA116" si="345">F110*AT110/Vout_ripple*1000</f>
        <v>1.028809114768869E-8</v>
      </c>
      <c r="BB110" s="5">
        <f t="shared" ref="BB110:BB116" si="346">H110/Efficiency/I110*AU110/Vinripple1</f>
        <v>1.7969864521742667E-7</v>
      </c>
      <c r="BD110" s="173">
        <f t="shared" si="289"/>
        <v>0.22084649159156217</v>
      </c>
      <c r="BE110" s="173">
        <f t="shared" si="218"/>
        <v>0.84298809239582551</v>
      </c>
      <c r="BG110" s="528">
        <f t="shared" ref="BG110:BG169" si="347">Rdson*BD110^2</f>
        <v>1.9509269139320775E-3</v>
      </c>
      <c r="BH110" s="528">
        <f t="shared" ref="BH110:BH141" si="348">0.5*K110*AJ110*AN110*1000*Tfall</f>
        <v>1.5204889250786413E-2</v>
      </c>
      <c r="BI110" s="528">
        <f t="shared" ref="BI110:BI141" si="349">Qg*Vdd*AN110*1000*0+Qg*I110*AN110*1000</f>
        <v>4.3199893747470621E-3</v>
      </c>
      <c r="BJ110" s="528">
        <f t="shared" ref="BJ110:BJ169" si="350">0.5*(Coss+Csw)*K110^2*AN110*1000</f>
        <v>1.3486004999173011E-3</v>
      </c>
      <c r="BK110">
        <f t="shared" ref="BK110:BK169" si="351">I110*IQ</f>
        <v>4.0499900388253707E-3</v>
      </c>
      <c r="BL110" s="460">
        <f>(BK110+BI110)*1000</f>
        <v>8.3699794135724321</v>
      </c>
      <c r="BM110" s="528">
        <f t="shared" ref="BM110:BM141" si="352">(BH110+BI110*0+BJ110+BK110*0+BG110*(1+RdsonTC*(Ta-25)))/(1-BG110*RdsonTC*ThetaJA)</f>
        <v>1.9039992734099061E-2</v>
      </c>
      <c r="BN110" s="460">
        <f t="shared" ref="BN110:BN173" si="353">BM110*1000</f>
        <v>19.039992734099062</v>
      </c>
      <c r="BO110" s="528">
        <f t="shared" ref="BO110:BO169" si="354">Vfwd2*F110</f>
        <v>6.9999999999999996E-10</v>
      </c>
      <c r="BR110" s="460">
        <f t="shared" ref="BR110:BR169" si="355">SUM(BO110:BQ110)*1000</f>
        <v>6.9999999999999997E-7</v>
      </c>
      <c r="BS110" s="528">
        <f t="shared" ref="BS110:BS169" si="356">Rdcr_pri*BD110^2</f>
        <v>1.4631951854490581E-3</v>
      </c>
      <c r="BT110" s="528">
        <f t="shared" ref="BT110:BT169" si="357">Rdcr_sec*BE110^2</f>
        <v>2.1318867717634585E-2</v>
      </c>
      <c r="BU110" s="528">
        <f t="shared" ref="BU110:BU169" si="358">AJ110^2.5*AN110^2.5*k_core</f>
        <v>1.8360809937575901E-4</v>
      </c>
      <c r="BV110" s="528"/>
      <c r="BW110" s="528">
        <f t="shared" ref="BW110:BW169" si="359">0.5*Lleak*0.000000001*AJ110^2*AN110*1000</f>
        <v>1.1851851851851855E-2</v>
      </c>
      <c r="BX110" s="460">
        <f t="shared" ref="BX110:BX169" si="360">SUM(BS110:BW110)*1000</f>
        <v>34.817522854311257</v>
      </c>
      <c r="BY110" s="173">
        <f t="shared" ref="BY110:BY169" si="361">SUM(BG110:BK110,BO110:BQ110,BS110:BW110)</f>
        <v>6.1691919632519486E-2</v>
      </c>
      <c r="BZ110" s="5">
        <f t="shared" ref="BZ110:BZ169" si="362">MIN(H110,O110)</f>
        <v>2.4000000000000003E-8</v>
      </c>
      <c r="CA110" s="173">
        <f t="shared" ref="CA110:CA169" si="363">BZ110/(BZ110+BY110)</f>
        <v>3.8902972717087418E-7</v>
      </c>
      <c r="CB110" s="5">
        <f t="shared" ref="CB110:CB169" si="364">CA110*100</f>
        <v>3.8902972717087421E-5</v>
      </c>
      <c r="CE110" s="562">
        <f t="shared" ref="CE110:CE141" si="365">IF(ABS(F110-Ioutmax_Vinmin)&lt;Iout/200, AN110, -50)</f>
        <v>-50</v>
      </c>
      <c r="CF110">
        <f t="shared" ref="CF110:CF141" si="366">IF(ABS(F110-Ioutmax_Vinmin)&lt;Iout/200, N110*CA110, -50)</f>
        <v>-50</v>
      </c>
      <c r="CG110" s="173">
        <f t="shared" ref="CG110:CG141" si="367">MIN(SQRT(2*DU110*1000*Ls1_*CL110)/CU110,1-EA110-0.00000005*DU110*1000)</f>
        <v>4.7410459672689351E-6</v>
      </c>
      <c r="CI110" s="170">
        <v>0.1</v>
      </c>
      <c r="CJ110" s="217">
        <v>1.0000000000000001E-9</v>
      </c>
      <c r="CK110" s="217"/>
      <c r="CL110" s="217">
        <f t="shared" ref="CL110:CL173" si="368">CJ110*Vout</f>
        <v>2.4000000000000003E-8</v>
      </c>
      <c r="CM110" s="541">
        <f t="shared" ref="CM110:CM173" si="369">VIN_min</f>
        <v>9</v>
      </c>
      <c r="CN110" s="443">
        <f t="shared" ref="CN110:CN173" si="370">(CX110+Vfwd1)*Nps</f>
        <v>16.3415</v>
      </c>
      <c r="CO110" s="443">
        <f t="shared" ref="CO110:CO173" si="371">(Vout+Vfwd1)*Nps+CM110</f>
        <v>25.3415</v>
      </c>
      <c r="CP110" s="443"/>
      <c r="CQ110" s="217">
        <f t="shared" ref="CQ110:CQ173" si="372">(Vout+Vfwd1)*Nps/((Vout+Vfwd1)*Nps+CM110)</f>
        <v>0.64485133082098534</v>
      </c>
      <c r="CR110" s="172">
        <f>CQ110*CM110*(Isw_max+VIN_min/Lmag*ILIM_delay)*0.5*Efficiency</f>
        <v>32.320915977744015</v>
      </c>
      <c r="CS110" s="172">
        <f t="shared" ref="CS110:CS173" si="373">CX110*CJ110</f>
        <v>2.4000000000000003E-8</v>
      </c>
      <c r="CT110" s="217">
        <f t="shared" ref="CT110:CT173" si="374">CR110/Vout</f>
        <v>1.3467048324060007</v>
      </c>
      <c r="CU110" s="217">
        <f t="shared" ref="CU110:CU173" si="375">MIN(Vout,CR110/CJ110)</f>
        <v>24</v>
      </c>
      <c r="CV110" s="217"/>
      <c r="CW110" s="172">
        <f t="shared" ref="CW110:CW173" si="376">(SQRT(Isw_max^2*Nps^2*CM110^2+4*Isw_max*CJ110/Efficiency*(Nps^2*Vfwd1*CM110-Nps*CM110^2)+4*(CJ110/Efficiency)^2*Nps^2*Vfwd1^2+8*(CJ110/Efficiency)^2*Nps*Vfwd1*CM110+4*(CJ110/Efficiency)^2*CM110^2)-2*CJ110/Efficiency*CM110-2*CJ110/Efficiency*Nps*Vfwd1+Isw_max*Nps*CM110)/(4*CJ110/Efficiency*Nps)</f>
        <v>49999999986.506744</v>
      </c>
      <c r="CX110" s="172">
        <f t="shared" ref="CX110:CX173" si="377">MIN(Vout, CW110)</f>
        <v>24</v>
      </c>
      <c r="CY110" s="217">
        <f t="shared" ref="CY110:CY173" si="378">MIN(2*Vout*CJ110/(Efficiency*CM110*CQ110), Isw_max)</f>
        <v>8.2706401901090271E-9</v>
      </c>
      <c r="CZ110" s="217">
        <f t="shared" ref="CZ110:CZ173" si="379">L*CY110/CM110*1000000</f>
        <v>9.1896002112322523E-9</v>
      </c>
      <c r="DA110" s="217">
        <f t="shared" ref="DA110:DA173" si="380">L*CY110/CN110*1000000</f>
        <v>5.0611266959024736E-9</v>
      </c>
      <c r="DB110" s="197">
        <f t="shared" ref="DB110:DB173" si="381">IF(1/((350000*L)*(1/CM110+1/CN110))&gt;Isw_min, 350, 0.001/((Isw_min*L)*(1/CM110+1/CN110)))</f>
        <v>261.16478898249903</v>
      </c>
      <c r="DC110" s="443">
        <f t="shared" ref="DC110:DC173" si="382">MIN(1/(CZ110+DA110)*1000, 350)</f>
        <v>350</v>
      </c>
      <c r="DE110" s="217">
        <f t="shared" ref="DE110:DE173" si="383">1/((DB110*1000*L)*(1/CM110+1/CN110))</f>
        <v>2.2222222222222223</v>
      </c>
      <c r="DF110" s="173">
        <f t="shared" ref="DF110:DF173" si="384">L*DE110/CN110*1000000</f>
        <v>1.3598642855443031</v>
      </c>
      <c r="DG110" s="173">
        <f t="shared" ref="DG110:DG173" si="385">0.5*DF110*DE110*Nps*DB110/1000</f>
        <v>0.26320462482489204</v>
      </c>
      <c r="DH110" s="173"/>
      <c r="DI110" s="173">
        <f t="shared" ref="DI110:DI173" si="386">L*Isw_min/CN110*1000000</f>
        <v>1.3598642855443031</v>
      </c>
      <c r="DJ110" s="545">
        <f t="shared" ref="DJ110:DJ173" si="387">MAX(12000,CJ110/(0.5*DI110/1000000*Isw_min*Nps))/1000</f>
        <v>12</v>
      </c>
      <c r="DK110" s="528">
        <f t="shared" ref="DK110:DK173" si="388">0.5*DI110/1000000*Isw_min*Nps*DB110*1000</f>
        <v>0.26320462482489204</v>
      </c>
      <c r="DM110" s="173">
        <f t="shared" ref="DM110:DM173" si="389">SQRT(CJ110/(0.5*L/CN110*Fsw_DCM*Nps))</f>
        <v>1.1832159566199231E-4</v>
      </c>
      <c r="DN110" s="173">
        <f t="shared" ref="DN110:DN173" si="390">MAX(IF(CJ110&gt;DG110,CY110,DM110),Isw_min)</f>
        <v>2.2222222222222223</v>
      </c>
      <c r="DO110" s="173">
        <f t="shared" ref="DO110:DO173" si="391">IF(CJ110&gt;DK110, (DN110-Isw_min)/1.08*0.8+1.2, DJ110*0.2/350+1)</f>
        <v>1.0068571428571429</v>
      </c>
      <c r="DQ110" s="545">
        <f t="shared" ref="DQ110:DQ173" si="392">CJ110*1000</f>
        <v>1.0000000000000002E-6</v>
      </c>
      <c r="DR110" s="460">
        <f t="shared" ref="DR110:DR173" si="393">IF(CJ110&gt;DK110, DC110, DJ110)</f>
        <v>12</v>
      </c>
      <c r="DT110" s="460">
        <f>IF(CL110&gt;CR110, "",DQ110)</f>
        <v>1.0000000000000002E-6</v>
      </c>
      <c r="DU110" s="460">
        <f>IF(CL110&gt;CR110, "",DR110)</f>
        <v>12</v>
      </c>
      <c r="DW110" s="5">
        <f t="shared" ref="DW110:DW173" si="394">1/DR110*1000</f>
        <v>83.333333333333329</v>
      </c>
      <c r="DX110" s="5">
        <f t="shared" ref="DX110:DX173" si="395">L*DN110/CM110*1000000</f>
        <v>2.4691358024691361</v>
      </c>
      <c r="DY110" s="5">
        <f t="shared" ref="DY110:DY173" si="396">DW110-DX110</f>
        <v>80.864197530864189</v>
      </c>
      <c r="DZ110" s="5"/>
      <c r="EA110" s="173">
        <f t="shared" ref="EA110:EA173" si="397">DX110/DW110</f>
        <v>2.9629629629629634E-2</v>
      </c>
      <c r="EB110" s="173">
        <f t="shared" ref="EB110:EB173" si="398">0.5*L*DN110^2*DR110*1000</f>
        <v>0.29629629629629634</v>
      </c>
      <c r="EC110" s="173">
        <f t="shared" ref="EC110:EC173" si="399">DN110*Nps/2*(1-EA110)</f>
        <v>0.71915226337448557</v>
      </c>
      <c r="ED110" s="173">
        <f t="shared" ref="ED110:ED173" si="400">EB110/EC110</f>
        <v>0.41200773658972045</v>
      </c>
      <c r="EE110" s="460">
        <f t="shared" ref="EE110:EE173" si="401">CJ110*DX110/Vout_ripple*1000</f>
        <v>1.0288065843621401E-8</v>
      </c>
      <c r="EF110" s="5">
        <f t="shared" ref="EF110:EF173" si="402">CL110/Efficiency/CM110*DY110/Vinripple1</f>
        <v>1.7969821673525376E-7</v>
      </c>
      <c r="EH110" s="173">
        <f t="shared" ref="EH110:EH173" si="403">DN110*SQRT(EA110/3)</f>
        <v>0.22084621999997928</v>
      </c>
      <c r="EI110" s="173">
        <f t="shared" ref="EI110:EI173" si="404">DN110*Nps*SQRT((1-EA110)/3)</f>
        <v>0.84298812405042067</v>
      </c>
      <c r="EK110" s="528">
        <f t="shared" ref="EK110:EK173" si="405">Rdson*EH110^2</f>
        <v>1.9509221155311698E-3</v>
      </c>
      <c r="EL110" s="528">
        <f t="shared" ref="EL110:EL173" si="406">0.5*CO110*DN110*DR110*1000*Trise</f>
        <v>1.8583766666666664E-2</v>
      </c>
      <c r="EM110" s="528">
        <f t="shared" ref="EM110:EM173" si="407">Qg*Vdd*DR110*1000</f>
        <v>2.3999999999999998E-3</v>
      </c>
      <c r="EN110" s="528">
        <f t="shared" ref="EN110:EN173" si="408">0.5*(Coss+Csw)*CO110^2*DR110*1000</f>
        <v>1.348602406725E-3</v>
      </c>
      <c r="EO110">
        <f t="shared" ref="EO110:EO173" si="409">CM110*IQ</f>
        <v>4.0499999999999998E-3</v>
      </c>
      <c r="EP110" s="460">
        <f t="shared" ref="EP110:EP173" si="410">(EO110+EM110)*1000</f>
        <v>6.4499999999999993</v>
      </c>
      <c r="EQ110" s="460"/>
      <c r="ER110" s="460">
        <f>SUM(EK110:EO110)*1000</f>
        <v>28.333291188922832</v>
      </c>
      <c r="ES110" s="528">
        <f t="shared" ref="ES110:ES173" si="411">Vfwd2*CJ110</f>
        <v>6.9999999999999996E-10</v>
      </c>
      <c r="EV110" s="460">
        <f t="shared" ref="EV110:EV169" si="412">SUM(ES110:EU110)*1000</f>
        <v>6.9999999999999997E-7</v>
      </c>
      <c r="EW110" s="528">
        <f t="shared" ref="EW110:EW173" si="413">Rdcr_pri*EH110^2</f>
        <v>1.4631915866483774E-3</v>
      </c>
      <c r="EX110" s="528">
        <f t="shared" ref="EX110:EX173" si="414">Rdcr_sec*EI110^2</f>
        <v>2.1318869318701424E-2</v>
      </c>
      <c r="EY110" s="528">
        <f t="shared" ref="EY110:EY173" si="415">DN110^2.5*DR110^2.5*k_core</f>
        <v>1.8360809937575901E-4</v>
      </c>
      <c r="EZ110" s="528"/>
      <c r="FA110" s="528">
        <f t="shared" ref="FA110:FA173" si="416">0.5*Lleak*0.000000001*DN110^2*DR110*1000</f>
        <v>1.1851851851851855E-2</v>
      </c>
      <c r="FB110" s="460">
        <f t="shared" ref="FB110:FB173" si="417">SUM(EW110:FA110)*1000</f>
        <v>34.817520856577417</v>
      </c>
      <c r="FC110" s="173">
        <f t="shared" ref="FC110:FC173" si="418">SUM(EK110:EO110,ES110:EU110,EW110:FA110)</f>
        <v>6.3150812745500245E-2</v>
      </c>
      <c r="FD110" s="5">
        <f t="shared" ref="FD110:FD173" si="419">MIN(CL110,CS110)</f>
        <v>2.4000000000000003E-8</v>
      </c>
      <c r="FE110" s="173">
        <f t="shared" ref="FE110:FE173" si="420">FD110/(FD110+FC110)</f>
        <v>3.8004247032736428E-7</v>
      </c>
      <c r="FF110" s="5">
        <f t="shared" ref="FF110:FF173" si="421">FE110*100</f>
        <v>3.8004247032736427E-5</v>
      </c>
      <c r="FI110" s="562">
        <f t="shared" ref="FI110:FI173" si="422">IF(ABS(CJ110-Ioutmax_Vinmin)&lt;Iout/200, DR110, -50)</f>
        <v>-50</v>
      </c>
      <c r="FJ110">
        <f t="shared" ref="FJ110:FJ173" si="423">IF(ABS(CJ110-Ioutmax_Vinmin)&lt;Iout/200, CR110*FE110, -50)</f>
        <v>-50</v>
      </c>
      <c r="FL110">
        <f t="shared" ref="FL110:FL141" si="424">MIN(SQRT(2*L*DR110*1000*CJ110*(CX110+Vfwd1))/(Nps*(CX110+Vfwd1)), 1-EA110)</f>
        <v>4.6924185693310443E-6</v>
      </c>
    </row>
    <row r="111" spans="5:168">
      <c r="E111" s="170">
        <v>1</v>
      </c>
      <c r="F111" s="217">
        <f t="shared" ref="F111:F142" si="425">IF(PLOT_TYPE=1, E111/100*Iout_max, min_I*EXP(N111*rr/100))</f>
        <v>0.01</v>
      </c>
      <c r="G111" s="217"/>
      <c r="H111" s="217">
        <f t="shared" si="315"/>
        <v>0.24</v>
      </c>
      <c r="I111" s="541">
        <f t="shared" si="316"/>
        <v>8.93</v>
      </c>
      <c r="J111" s="172">
        <f t="shared" si="317"/>
        <v>16.354846670000001</v>
      </c>
      <c r="K111" s="172">
        <f t="shared" si="318"/>
        <v>25.28484667</v>
      </c>
      <c r="L111" s="443"/>
      <c r="M111" s="217">
        <f t="shared" si="319"/>
        <v>0.64682597175139811</v>
      </c>
      <c r="N111" s="172">
        <f t="shared" ref="N111:N141" si="426">M111*I111*(Isw_max+VIN_min/Lmag*ILIM_delay)*0.5*Efficiency</f>
        <v>32.16773325913551</v>
      </c>
      <c r="O111" s="172">
        <f t="shared" si="284"/>
        <v>0.24</v>
      </c>
      <c r="P111" s="217">
        <f t="shared" si="320"/>
        <v>1.3403222191306463</v>
      </c>
      <c r="Q111" s="217">
        <f t="shared" si="321"/>
        <v>24</v>
      </c>
      <c r="R111" s="217"/>
      <c r="S111" s="172">
        <f t="shared" si="322"/>
        <v>4947.7241581034987</v>
      </c>
      <c r="T111" s="172">
        <f t="shared" si="323"/>
        <v>24</v>
      </c>
      <c r="U111" s="217">
        <f t="shared" si="324"/>
        <v>8.4901507749446381E-2</v>
      </c>
      <c r="V111" s="217">
        <f t="shared" si="325"/>
        <v>9.5074476763097854E-2</v>
      </c>
      <c r="W111" s="217">
        <f t="shared" si="326"/>
        <v>5.1912139234654396E-2</v>
      </c>
      <c r="X111" s="197">
        <f t="shared" si="327"/>
        <v>259.92624041249519</v>
      </c>
      <c r="Y111" s="443">
        <f t="shared" si="328"/>
        <v>350</v>
      </c>
      <c r="AA111" s="217">
        <f t="shared" si="329"/>
        <v>2.2222222222222223</v>
      </c>
      <c r="AB111" s="173">
        <f t="shared" si="330"/>
        <v>1.358754543568107</v>
      </c>
      <c r="AC111" s="173">
        <f t="shared" si="331"/>
        <v>0.26174262824676336</v>
      </c>
      <c r="AD111" s="173"/>
      <c r="AE111" s="173">
        <f t="shared" si="332"/>
        <v>1.358754543568107</v>
      </c>
      <c r="AF111" s="545">
        <f t="shared" si="333"/>
        <v>12</v>
      </c>
      <c r="AG111" s="528">
        <f t="shared" si="334"/>
        <v>0.26174262824676336</v>
      </c>
      <c r="AI111" s="173">
        <f t="shared" si="335"/>
        <v>0.37431850456148019</v>
      </c>
      <c r="AJ111" s="173">
        <f t="shared" si="336"/>
        <v>2.2222222222222223</v>
      </c>
      <c r="AK111" s="173">
        <f t="shared" si="337"/>
        <v>1.0068571428571429</v>
      </c>
      <c r="AM111" s="545">
        <f t="shared" si="338"/>
        <v>10</v>
      </c>
      <c r="AN111" s="460">
        <f t="shared" si="339"/>
        <v>12</v>
      </c>
      <c r="AP111" s="460">
        <f t="shared" si="340"/>
        <v>10</v>
      </c>
      <c r="AQ111" s="460">
        <f t="shared" si="341"/>
        <v>12</v>
      </c>
      <c r="AS111" s="5">
        <f t="shared" si="285"/>
        <v>83.333333333333329</v>
      </c>
      <c r="AT111" s="5">
        <f t="shared" si="342"/>
        <v>2.4884907303720301</v>
      </c>
      <c r="AU111" s="5">
        <f t="shared" si="343"/>
        <v>80.844842602961293</v>
      </c>
      <c r="AV111" s="5"/>
      <c r="AW111" s="173">
        <f t="shared" si="344"/>
        <v>2.9861888764464363E-2</v>
      </c>
      <c r="AX111" s="173">
        <f t="shared" si="214"/>
        <v>0.29629629629629634</v>
      </c>
      <c r="AY111" s="173">
        <f t="shared" si="215"/>
        <v>0.71898013354900259</v>
      </c>
      <c r="AZ111" s="173">
        <f t="shared" si="288"/>
        <v>0.41210637466953326</v>
      </c>
      <c r="BA111" s="460">
        <f t="shared" si="345"/>
        <v>0.10368711376550124</v>
      </c>
      <c r="BB111" s="5">
        <f t="shared" si="346"/>
        <v>1.8106347727426939</v>
      </c>
      <c r="BD111" s="173">
        <f t="shared" si="289"/>
        <v>0.22171010904285168</v>
      </c>
      <c r="BE111" s="173">
        <f t="shared" si="218"/>
        <v>0.84288723298063739</v>
      </c>
      <c r="BG111" s="528">
        <f t="shared" si="347"/>
        <v>1.9662148980717272E-3</v>
      </c>
      <c r="BH111" s="528">
        <f t="shared" si="348"/>
        <v>1.5170908002000001E-2</v>
      </c>
      <c r="BI111" s="528">
        <f t="shared" si="349"/>
        <v>4.2864000000000001E-3</v>
      </c>
      <c r="BJ111" s="528">
        <f t="shared" si="350"/>
        <v>1.3425792893633612E-3</v>
      </c>
      <c r="BK111">
        <f t="shared" si="351"/>
        <v>4.0184999999999995E-3</v>
      </c>
      <c r="BL111" s="460">
        <f t="shared" ref="BL111:BL174" si="427">(BK111+BI111)*1000</f>
        <v>8.3048999999999999</v>
      </c>
      <c r="BM111" s="528">
        <f t="shared" si="352"/>
        <v>1.9019465586240007E-2</v>
      </c>
      <c r="BN111" s="460">
        <f t="shared" si="353"/>
        <v>19.019465586240006</v>
      </c>
      <c r="BO111" s="528">
        <f t="shared" si="354"/>
        <v>6.9999999999999993E-3</v>
      </c>
      <c r="BR111" s="460">
        <f t="shared" si="355"/>
        <v>6.9999999999999991</v>
      </c>
      <c r="BS111" s="528">
        <f t="shared" si="356"/>
        <v>1.4746611735537954E-3</v>
      </c>
      <c r="BT111" s="528">
        <f t="shared" si="357"/>
        <v>2.131376662565266E-2</v>
      </c>
      <c r="BU111" s="528">
        <f t="shared" si="358"/>
        <v>1.8360809937575901E-4</v>
      </c>
      <c r="BV111" s="528"/>
      <c r="BW111" s="528">
        <f t="shared" si="359"/>
        <v>1.1851851851851855E-2</v>
      </c>
      <c r="BX111" s="460">
        <f t="shared" si="360"/>
        <v>34.823887750434068</v>
      </c>
      <c r="BY111" s="173">
        <f t="shared" si="361"/>
        <v>6.8608489939869163E-2</v>
      </c>
      <c r="BZ111" s="5">
        <f t="shared" si="362"/>
        <v>0.24</v>
      </c>
      <c r="CA111" s="173">
        <f t="shared" si="363"/>
        <v>0.77768437299558024</v>
      </c>
      <c r="CB111" s="5">
        <f t="shared" si="364"/>
        <v>77.76843729955803</v>
      </c>
      <c r="CE111" s="562">
        <f t="shared" si="365"/>
        <v>-50</v>
      </c>
      <c r="CF111">
        <f t="shared" si="366"/>
        <v>-50</v>
      </c>
      <c r="CG111" s="173">
        <f t="shared" si="367"/>
        <v>1.4992503748125939E-2</v>
      </c>
      <c r="CI111" s="170">
        <v>1</v>
      </c>
      <c r="CJ111" s="217">
        <f t="shared" ref="CJ111:CJ174" si="428">IF(PLOT_TYPE=1, CI111/100*Iout_max, min_I*EXP(CR111*rr/100))</f>
        <v>0.01</v>
      </c>
      <c r="CK111" s="217"/>
      <c r="CL111" s="217">
        <f t="shared" si="368"/>
        <v>0.24</v>
      </c>
      <c r="CM111" s="541">
        <f t="shared" si="369"/>
        <v>9</v>
      </c>
      <c r="CN111" s="443">
        <f t="shared" si="370"/>
        <v>16.3415</v>
      </c>
      <c r="CO111" s="443">
        <f t="shared" si="371"/>
        <v>25.3415</v>
      </c>
      <c r="CP111" s="443"/>
      <c r="CQ111" s="217">
        <f t="shared" si="372"/>
        <v>0.64485133082098534</v>
      </c>
      <c r="CR111" s="172">
        <f t="shared" ref="CR111:CR174" si="429">CQ111*CM111*(Isw_max+VIN_min/Lmag*ILIM_delay)*0.5*Efficiency</f>
        <v>32.320915977744015</v>
      </c>
      <c r="CS111" s="172">
        <f t="shared" si="373"/>
        <v>0.24</v>
      </c>
      <c r="CT111" s="217">
        <f t="shared" si="374"/>
        <v>1.3467048324060007</v>
      </c>
      <c r="CU111" s="217">
        <f t="shared" si="375"/>
        <v>24</v>
      </c>
      <c r="CV111" s="217"/>
      <c r="CW111" s="172">
        <f t="shared" si="376"/>
        <v>4986.5080994672171</v>
      </c>
      <c r="CX111" s="172">
        <f t="shared" si="377"/>
        <v>24</v>
      </c>
      <c r="CY111" s="217">
        <f t="shared" si="378"/>
        <v>8.2706401901090257E-2</v>
      </c>
      <c r="CZ111" s="217">
        <f t="shared" si="379"/>
        <v>9.1896002112322503E-2</v>
      </c>
      <c r="DA111" s="217">
        <f t="shared" si="380"/>
        <v>5.061126695902473E-2</v>
      </c>
      <c r="DB111" s="197">
        <f t="shared" si="381"/>
        <v>261.16478898249903</v>
      </c>
      <c r="DC111" s="443">
        <f t="shared" si="382"/>
        <v>350</v>
      </c>
      <c r="DE111" s="217">
        <f t="shared" si="383"/>
        <v>2.2222222222222223</v>
      </c>
      <c r="DF111" s="173">
        <f t="shared" si="384"/>
        <v>1.3598642855443031</v>
      </c>
      <c r="DG111" s="173">
        <f t="shared" si="385"/>
        <v>0.26320462482489204</v>
      </c>
      <c r="DH111" s="173"/>
      <c r="DI111" s="173">
        <f t="shared" si="386"/>
        <v>1.3598642855443031</v>
      </c>
      <c r="DJ111" s="545">
        <f t="shared" si="387"/>
        <v>12</v>
      </c>
      <c r="DK111" s="528">
        <f t="shared" si="388"/>
        <v>0.26320462482489204</v>
      </c>
      <c r="DM111" s="173">
        <f t="shared" si="389"/>
        <v>0.37416573867739411</v>
      </c>
      <c r="DN111" s="173">
        <f t="shared" si="390"/>
        <v>2.2222222222222223</v>
      </c>
      <c r="DO111" s="173">
        <f t="shared" si="391"/>
        <v>1.0068571428571429</v>
      </c>
      <c r="DQ111" s="545">
        <f t="shared" si="392"/>
        <v>10</v>
      </c>
      <c r="DR111" s="460">
        <f t="shared" si="393"/>
        <v>12</v>
      </c>
      <c r="DT111">
        <f t="shared" ref="DT111:DT174" si="430">IF(CL111&gt;CR111, " ",DQ111)</f>
        <v>10</v>
      </c>
      <c r="DU111">
        <f t="shared" ref="DU111:DU174" si="431">IF(CL111&gt;CR111, " ",DR111)</f>
        <v>12</v>
      </c>
      <c r="DW111" s="5">
        <f t="shared" si="394"/>
        <v>83.333333333333329</v>
      </c>
      <c r="DX111" s="5">
        <f t="shared" si="395"/>
        <v>2.4691358024691361</v>
      </c>
      <c r="DY111" s="5">
        <f t="shared" si="396"/>
        <v>80.864197530864189</v>
      </c>
      <c r="DZ111" s="5"/>
      <c r="EA111" s="173">
        <f t="shared" si="397"/>
        <v>2.9629629629629634E-2</v>
      </c>
      <c r="EB111" s="173">
        <f t="shared" si="398"/>
        <v>0.29629629629629634</v>
      </c>
      <c r="EC111" s="173">
        <f t="shared" si="399"/>
        <v>0.71915226337448557</v>
      </c>
      <c r="ED111" s="173">
        <f t="shared" si="400"/>
        <v>0.41200773658972045</v>
      </c>
      <c r="EE111" s="460">
        <f t="shared" si="401"/>
        <v>0.10288065843621401</v>
      </c>
      <c r="EF111" s="5">
        <f t="shared" si="402"/>
        <v>1.796982167352537</v>
      </c>
      <c r="EH111" s="173">
        <f t="shared" si="403"/>
        <v>0.22084621999997928</v>
      </c>
      <c r="EI111" s="173">
        <f t="shared" si="404"/>
        <v>0.84298812405042067</v>
      </c>
      <c r="EK111" s="528">
        <f t="shared" si="405"/>
        <v>1.9509221155311698E-3</v>
      </c>
      <c r="EL111" s="528">
        <f t="shared" si="406"/>
        <v>1.8583766666666664E-2</v>
      </c>
      <c r="EM111" s="528">
        <f t="shared" si="407"/>
        <v>2.3999999999999998E-3</v>
      </c>
      <c r="EN111" s="528">
        <f t="shared" si="408"/>
        <v>1.348602406725E-3</v>
      </c>
      <c r="EO111">
        <f t="shared" si="409"/>
        <v>4.0499999999999998E-3</v>
      </c>
      <c r="EP111" s="460">
        <f t="shared" si="410"/>
        <v>6.4499999999999993</v>
      </c>
      <c r="EQ111" s="460"/>
      <c r="ER111" s="460">
        <f t="shared" ref="ER111:ER174" si="432">SUM(EK111:EO111)*1000</f>
        <v>28.333291188922832</v>
      </c>
      <c r="ES111" s="528">
        <f t="shared" si="411"/>
        <v>6.9999999999999993E-3</v>
      </c>
      <c r="EV111" s="460">
        <f t="shared" si="412"/>
        <v>6.9999999999999991</v>
      </c>
      <c r="EW111" s="528">
        <f t="shared" si="413"/>
        <v>1.4631915866483774E-3</v>
      </c>
      <c r="EX111" s="528">
        <f t="shared" si="414"/>
        <v>2.1318869318701424E-2</v>
      </c>
      <c r="EY111" s="528">
        <f t="shared" si="415"/>
        <v>1.8360809937575901E-4</v>
      </c>
      <c r="EZ111" s="528"/>
      <c r="FA111" s="528">
        <f t="shared" si="416"/>
        <v>1.1851851851851855E-2</v>
      </c>
      <c r="FB111" s="460">
        <f t="shared" si="417"/>
        <v>34.817520856577417</v>
      </c>
      <c r="FC111" s="173">
        <f t="shared" si="418"/>
        <v>7.0150812045500249E-2</v>
      </c>
      <c r="FD111" s="5">
        <f t="shared" si="419"/>
        <v>0.24</v>
      </c>
      <c r="FE111" s="173">
        <f t="shared" si="420"/>
        <v>0.77381709374596497</v>
      </c>
      <c r="FF111" s="5">
        <f t="shared" si="421"/>
        <v>77.381709374596497</v>
      </c>
      <c r="FI111" s="562">
        <f t="shared" si="422"/>
        <v>-50</v>
      </c>
      <c r="FJ111">
        <f t="shared" si="423"/>
        <v>-50</v>
      </c>
      <c r="FL111">
        <f t="shared" si="424"/>
        <v>1.483873041395483E-2</v>
      </c>
    </row>
    <row r="112" spans="5:168">
      <c r="E112" s="170">
        <v>2</v>
      </c>
      <c r="F112" s="217">
        <f t="shared" si="425"/>
        <v>0.02</v>
      </c>
      <c r="G112" s="217"/>
      <c r="H112" s="217">
        <f t="shared" si="315"/>
        <v>0.48</v>
      </c>
      <c r="I112" s="541">
        <f t="shared" si="316"/>
        <v>8.9230199641080503</v>
      </c>
      <c r="J112" s="172">
        <f t="shared" si="317"/>
        <v>16.356177530509115</v>
      </c>
      <c r="K112" s="172">
        <f t="shared" si="318"/>
        <v>25.279197494617165</v>
      </c>
      <c r="L112" s="443"/>
      <c r="M112" s="217">
        <f t="shared" si="319"/>
        <v>0.64702335676345168</v>
      </c>
      <c r="N112" s="172">
        <f t="shared" si="426"/>
        <v>32.152398318364</v>
      </c>
      <c r="O112" s="172">
        <f t="shared" si="284"/>
        <v>0.48</v>
      </c>
      <c r="P112" s="217">
        <f t="shared" si="320"/>
        <v>1.3396832632651667</v>
      </c>
      <c r="Q112" s="217">
        <f t="shared" si="321"/>
        <v>24</v>
      </c>
      <c r="R112" s="217"/>
      <c r="S112" s="172">
        <f t="shared" si="322"/>
        <v>2465.2415284129938</v>
      </c>
      <c r="T112" s="172">
        <f t="shared" si="323"/>
        <v>24</v>
      </c>
      <c r="U112" s="217">
        <f t="shared" si="324"/>
        <v>0.16989796957277609</v>
      </c>
      <c r="V112" s="217">
        <f t="shared" si="325"/>
        <v>0.1904041123478078</v>
      </c>
      <c r="W112" s="217">
        <f t="shared" si="326"/>
        <v>0.10387388450380053</v>
      </c>
      <c r="X112" s="197">
        <f t="shared" si="327"/>
        <v>259.80225203959685</v>
      </c>
      <c r="Y112" s="443">
        <f t="shared" si="328"/>
        <v>350</v>
      </c>
      <c r="AA112" s="217">
        <f t="shared" si="329"/>
        <v>2.2222222222222223</v>
      </c>
      <c r="AB112" s="173">
        <f t="shared" si="330"/>
        <v>1.3586439851714256</v>
      </c>
      <c r="AC112" s="173">
        <f t="shared" si="331"/>
        <v>0.26159648626009102</v>
      </c>
      <c r="AD112" s="173"/>
      <c r="AE112" s="173">
        <f t="shared" si="332"/>
        <v>1.3586439851714256</v>
      </c>
      <c r="AF112" s="545">
        <f t="shared" si="333"/>
        <v>19.862824287424854</v>
      </c>
      <c r="AG112" s="528">
        <f t="shared" si="334"/>
        <v>0.26159648626009097</v>
      </c>
      <c r="AI112" s="173">
        <f t="shared" si="335"/>
        <v>0.52938784370647907</v>
      </c>
      <c r="AJ112" s="173">
        <f t="shared" si="336"/>
        <v>2.2222222222222223</v>
      </c>
      <c r="AK112" s="173">
        <f t="shared" si="337"/>
        <v>1.0113501853070999</v>
      </c>
      <c r="AM112" s="545">
        <f t="shared" si="338"/>
        <v>20</v>
      </c>
      <c r="AN112" s="460">
        <f t="shared" si="339"/>
        <v>19.862824287424854</v>
      </c>
      <c r="AP112" s="460">
        <f t="shared" si="340"/>
        <v>20</v>
      </c>
      <c r="AQ112" s="460">
        <f t="shared" si="341"/>
        <v>19.862824287424854</v>
      </c>
      <c r="AS112" s="5">
        <f t="shared" si="285"/>
        <v>50.345307672741157</v>
      </c>
      <c r="AT112" s="5">
        <f t="shared" si="342"/>
        <v>2.4904373532289381</v>
      </c>
      <c r="AU112" s="5">
        <f t="shared" si="343"/>
        <v>47.854870319512216</v>
      </c>
      <c r="AV112" s="5"/>
      <c r="AW112" s="173">
        <f t="shared" si="344"/>
        <v>4.9467119546025826E-2</v>
      </c>
      <c r="AX112" s="173">
        <f t="shared" si="214"/>
        <v>0.49044010586234221</v>
      </c>
      <c r="AY112" s="173">
        <f t="shared" si="215"/>
        <v>0.70445047918088988</v>
      </c>
      <c r="AZ112" s="173">
        <f t="shared" si="288"/>
        <v>0.69620238804097145</v>
      </c>
      <c r="BA112" s="460">
        <f t="shared" si="345"/>
        <v>0.20753644610241151</v>
      </c>
      <c r="BB112" s="5">
        <f t="shared" si="346"/>
        <v>2.1452320183975204</v>
      </c>
      <c r="BD112" s="173">
        <f t="shared" si="289"/>
        <v>0.28535479192999152</v>
      </c>
      <c r="BE112" s="173">
        <f t="shared" si="218"/>
        <v>0.83432693619747889</v>
      </c>
      <c r="BG112" s="528">
        <f t="shared" si="347"/>
        <v>3.2570942910963505E-3</v>
      </c>
      <c r="BH112" s="528">
        <f t="shared" si="348"/>
        <v>2.5105812898134568E-2</v>
      </c>
      <c r="BI112" s="528">
        <f t="shared" si="349"/>
        <v>7.0894551064104895E-3</v>
      </c>
      <c r="BJ112" s="528">
        <f t="shared" si="350"/>
        <v>2.221291808801977E-3</v>
      </c>
      <c r="BK112">
        <f t="shared" si="351"/>
        <v>4.0153589838486225E-3</v>
      </c>
      <c r="BL112" s="460">
        <f t="shared" si="427"/>
        <v>11.104814090259111</v>
      </c>
      <c r="BM112" s="528">
        <f t="shared" si="352"/>
        <v>3.1487982553011974E-2</v>
      </c>
      <c r="BN112" s="460">
        <f t="shared" si="353"/>
        <v>31.487982553011975</v>
      </c>
      <c r="BO112" s="528">
        <f t="shared" si="354"/>
        <v>1.3999999999999999E-2</v>
      </c>
      <c r="BR112" s="460">
        <f t="shared" si="355"/>
        <v>13.999999999999998</v>
      </c>
      <c r="BS112" s="528">
        <f t="shared" si="356"/>
        <v>2.4428207183222624E-3</v>
      </c>
      <c r="BT112" s="528">
        <f t="shared" si="357"/>
        <v>2.0883043093940162E-2</v>
      </c>
      <c r="BU112" s="528">
        <f t="shared" si="358"/>
        <v>6.4720404314343692E-4</v>
      </c>
      <c r="BV112" s="528"/>
      <c r="BW112" s="528">
        <f t="shared" si="359"/>
        <v>1.9617604234493685E-2</v>
      </c>
      <c r="BX112" s="460">
        <f t="shared" si="360"/>
        <v>43.590672089899542</v>
      </c>
      <c r="BY112" s="173">
        <f>SUM(BG112:BK112,BO112:BQ112,BS112:BW112)</f>
        <v>9.9279685178191551E-2</v>
      </c>
      <c r="BZ112" s="5">
        <f t="shared" si="362"/>
        <v>0.48</v>
      </c>
      <c r="CA112" s="173">
        <f t="shared" si="363"/>
        <v>0.82861528253376915</v>
      </c>
      <c r="CB112" s="5">
        <f t="shared" si="364"/>
        <v>82.861528253376918</v>
      </c>
      <c r="CE112" s="562">
        <f t="shared" si="365"/>
        <v>-50</v>
      </c>
      <c r="CF112">
        <f t="shared" si="366"/>
        <v>-50</v>
      </c>
      <c r="CG112" s="173">
        <f t="shared" si="367"/>
        <v>2.7266167135641992E-2</v>
      </c>
      <c r="CI112" s="170">
        <v>2</v>
      </c>
      <c r="CJ112" s="217">
        <f t="shared" si="428"/>
        <v>0.02</v>
      </c>
      <c r="CK112" s="217"/>
      <c r="CL112" s="217">
        <f t="shared" si="368"/>
        <v>0.48</v>
      </c>
      <c r="CM112" s="541">
        <f t="shared" si="369"/>
        <v>9</v>
      </c>
      <c r="CN112" s="443">
        <f t="shared" si="370"/>
        <v>16.3415</v>
      </c>
      <c r="CO112" s="443">
        <f t="shared" si="371"/>
        <v>25.3415</v>
      </c>
      <c r="CP112" s="443"/>
      <c r="CQ112" s="217">
        <f t="shared" si="372"/>
        <v>0.64485133082098534</v>
      </c>
      <c r="CR112" s="172">
        <f t="shared" si="429"/>
        <v>32.320915977744015</v>
      </c>
      <c r="CS112" s="172">
        <f t="shared" si="373"/>
        <v>0.48</v>
      </c>
      <c r="CT112" s="217">
        <f t="shared" si="374"/>
        <v>1.3467048324060007</v>
      </c>
      <c r="CU112" s="217">
        <f t="shared" si="375"/>
        <v>24</v>
      </c>
      <c r="CV112" s="217"/>
      <c r="CW112" s="172">
        <f t="shared" si="376"/>
        <v>2486.5094593733793</v>
      </c>
      <c r="CX112" s="172">
        <f t="shared" si="377"/>
        <v>24</v>
      </c>
      <c r="CY112" s="217">
        <f t="shared" si="378"/>
        <v>0.16541280380218051</v>
      </c>
      <c r="CZ112" s="217">
        <f t="shared" si="379"/>
        <v>0.18379200422464501</v>
      </c>
      <c r="DA112" s="217">
        <f t="shared" si="380"/>
        <v>0.10122253391804946</v>
      </c>
      <c r="DB112" s="197">
        <f t="shared" si="381"/>
        <v>261.16478898249903</v>
      </c>
      <c r="DC112" s="443">
        <f t="shared" si="382"/>
        <v>350</v>
      </c>
      <c r="DE112" s="217">
        <f t="shared" si="383"/>
        <v>2.2222222222222223</v>
      </c>
      <c r="DF112" s="173">
        <f t="shared" si="384"/>
        <v>1.3598642855443031</v>
      </c>
      <c r="DG112" s="173">
        <f t="shared" si="385"/>
        <v>0.26320462482489204</v>
      </c>
      <c r="DH112" s="173"/>
      <c r="DI112" s="173">
        <f t="shared" si="386"/>
        <v>1.3598642855443031</v>
      </c>
      <c r="DJ112" s="545">
        <f t="shared" si="387"/>
        <v>19.844999999999992</v>
      </c>
      <c r="DK112" s="528">
        <f t="shared" si="388"/>
        <v>0.26320462482489204</v>
      </c>
      <c r="DM112" s="173">
        <f t="shared" si="389"/>
        <v>0.52915026221291805</v>
      </c>
      <c r="DN112" s="173">
        <f t="shared" si="390"/>
        <v>2.2222222222222223</v>
      </c>
      <c r="DO112" s="173">
        <f t="shared" si="391"/>
        <v>1.0113399999999999</v>
      </c>
      <c r="DQ112" s="545">
        <f t="shared" si="392"/>
        <v>20</v>
      </c>
      <c r="DR112" s="460">
        <f t="shared" si="393"/>
        <v>19.844999999999992</v>
      </c>
      <c r="DT112">
        <f t="shared" si="430"/>
        <v>20</v>
      </c>
      <c r="DU112">
        <f t="shared" si="431"/>
        <v>19.844999999999992</v>
      </c>
      <c r="DW112" s="5">
        <f t="shared" si="394"/>
        <v>50.390526581002796</v>
      </c>
      <c r="DX112" s="5">
        <f t="shared" si="395"/>
        <v>2.4691358024691361</v>
      </c>
      <c r="DY112" s="5">
        <f t="shared" si="396"/>
        <v>47.921390778533663</v>
      </c>
      <c r="DZ112" s="5"/>
      <c r="EA112" s="173">
        <f t="shared" si="397"/>
        <v>4.8999999999999981E-2</v>
      </c>
      <c r="EB112" s="173">
        <f t="shared" si="398"/>
        <v>0.48999999999999988</v>
      </c>
      <c r="EC112" s="173">
        <f t="shared" si="399"/>
        <v>0.70479666666666674</v>
      </c>
      <c r="ED112" s="173">
        <f t="shared" si="400"/>
        <v>0.69523597822539807</v>
      </c>
      <c r="EE112" s="460">
        <f t="shared" si="401"/>
        <v>0.20576131687242802</v>
      </c>
      <c r="EF112" s="5">
        <f t="shared" si="402"/>
        <v>2.1298395901570513</v>
      </c>
      <c r="EH112" s="173">
        <f t="shared" si="403"/>
        <v>0.28400428907675279</v>
      </c>
      <c r="EI112" s="173">
        <f t="shared" si="404"/>
        <v>0.83453191729714837</v>
      </c>
      <c r="EK112" s="528">
        <f t="shared" si="405"/>
        <v>3.2263374485596709E-3</v>
      </c>
      <c r="EL112" s="528">
        <f t="shared" si="406"/>
        <v>3.0732904124999991E-2</v>
      </c>
      <c r="EM112" s="528">
        <f t="shared" si="407"/>
        <v>3.9689999999999977E-3</v>
      </c>
      <c r="EN112" s="528">
        <f t="shared" si="408"/>
        <v>2.2302512301214678E-3</v>
      </c>
      <c r="EO112">
        <f t="shared" si="409"/>
        <v>4.0499999999999998E-3</v>
      </c>
      <c r="EP112" s="460">
        <f t="shared" si="410"/>
        <v>8.0189999999999984</v>
      </c>
      <c r="EQ112" s="460"/>
      <c r="ER112" s="460">
        <f t="shared" si="432"/>
        <v>44.208492803681125</v>
      </c>
      <c r="ES112" s="528">
        <f t="shared" si="411"/>
        <v>1.3999999999999999E-2</v>
      </c>
      <c r="EV112" s="460">
        <f t="shared" si="412"/>
        <v>13.999999999999998</v>
      </c>
      <c r="EW112" s="528">
        <f t="shared" si="413"/>
        <v>2.419753086419753E-3</v>
      </c>
      <c r="EX112" s="528">
        <f t="shared" si="414"/>
        <v>2.0893305629629634E-2</v>
      </c>
      <c r="EY112" s="528">
        <f t="shared" si="415"/>
        <v>6.4575306770856618E-4</v>
      </c>
      <c r="EZ112" s="528"/>
      <c r="FA112" s="528">
        <f t="shared" si="416"/>
        <v>1.9599999999999999E-2</v>
      </c>
      <c r="FB112" s="460">
        <f t="shared" si="417"/>
        <v>43.558811783757953</v>
      </c>
      <c r="FC112" s="173">
        <f t="shared" si="418"/>
        <v>0.10176730458743907</v>
      </c>
      <c r="FD112" s="5">
        <f t="shared" si="419"/>
        <v>0.48</v>
      </c>
      <c r="FE112" s="173">
        <f t="shared" si="420"/>
        <v>0.82507214863233425</v>
      </c>
      <c r="FF112" s="5">
        <f t="shared" si="421"/>
        <v>82.507214863233429</v>
      </c>
      <c r="FI112" s="562">
        <f t="shared" si="422"/>
        <v>-50</v>
      </c>
      <c r="FJ112">
        <f t="shared" si="423"/>
        <v>-50</v>
      </c>
      <c r="FL112">
        <f t="shared" si="424"/>
        <v>2.6986506746626684E-2</v>
      </c>
    </row>
    <row r="113" spans="5:168">
      <c r="E113" s="170">
        <v>3</v>
      </c>
      <c r="F113" s="217">
        <f t="shared" si="425"/>
        <v>0.03</v>
      </c>
      <c r="G113" s="217"/>
      <c r="H113" s="217">
        <f t="shared" si="315"/>
        <v>0.72</v>
      </c>
      <c r="I113" s="541">
        <f t="shared" si="316"/>
        <v>8.9230199641080503</v>
      </c>
      <c r="J113" s="172">
        <f t="shared" si="317"/>
        <v>16.356177530509115</v>
      </c>
      <c r="K113" s="172">
        <f t="shared" si="318"/>
        <v>25.279197494617165</v>
      </c>
      <c r="L113" s="443"/>
      <c r="M113" s="217">
        <f t="shared" si="319"/>
        <v>0.64702335676345168</v>
      </c>
      <c r="N113" s="172">
        <f t="shared" si="426"/>
        <v>32.152398318364</v>
      </c>
      <c r="O113" s="172">
        <f t="shared" si="284"/>
        <v>0.72</v>
      </c>
      <c r="P113" s="217">
        <f t="shared" si="320"/>
        <v>1.3396832632651667</v>
      </c>
      <c r="Q113" s="217">
        <f t="shared" si="321"/>
        <v>24</v>
      </c>
      <c r="R113" s="217"/>
      <c r="S113" s="172">
        <f t="shared" si="322"/>
        <v>1639.0373431998059</v>
      </c>
      <c r="T113" s="172">
        <f t="shared" si="323"/>
        <v>24</v>
      </c>
      <c r="U113" s="217">
        <f t="shared" si="324"/>
        <v>0.25484695435916416</v>
      </c>
      <c r="V113" s="217">
        <f t="shared" si="325"/>
        <v>0.28560616852171172</v>
      </c>
      <c r="W113" s="217">
        <f t="shared" si="326"/>
        <v>0.15581082675570079</v>
      </c>
      <c r="X113" s="197">
        <f t="shared" si="327"/>
        <v>259.80225203959685</v>
      </c>
      <c r="Y113" s="443">
        <f t="shared" si="328"/>
        <v>350</v>
      </c>
      <c r="AA113" s="217">
        <f t="shared" si="329"/>
        <v>2.2222222222222223</v>
      </c>
      <c r="AB113" s="173">
        <f t="shared" si="330"/>
        <v>1.3586439851714256</v>
      </c>
      <c r="AC113" s="173">
        <f t="shared" si="331"/>
        <v>0.26159648626009102</v>
      </c>
      <c r="AD113" s="173"/>
      <c r="AE113" s="173">
        <f t="shared" si="332"/>
        <v>1.3586439851714256</v>
      </c>
      <c r="AF113" s="545">
        <f t="shared" si="333"/>
        <v>29.794236431137282</v>
      </c>
      <c r="AG113" s="528">
        <f t="shared" si="334"/>
        <v>0.26159648626009097</v>
      </c>
      <c r="AI113" s="173">
        <f t="shared" si="335"/>
        <v>0.64836504655656235</v>
      </c>
      <c r="AJ113" s="173">
        <f t="shared" si="336"/>
        <v>2.2222222222222223</v>
      </c>
      <c r="AK113" s="173">
        <f t="shared" si="337"/>
        <v>1.0170252779606499</v>
      </c>
      <c r="AM113" s="545">
        <f t="shared" si="338"/>
        <v>30</v>
      </c>
      <c r="AN113" s="460">
        <f t="shared" si="339"/>
        <v>29.794236431137282</v>
      </c>
      <c r="AP113" s="460">
        <f t="shared" si="340"/>
        <v>30</v>
      </c>
      <c r="AQ113" s="460">
        <f t="shared" si="341"/>
        <v>29.794236431137282</v>
      </c>
      <c r="AS113" s="5">
        <f t="shared" si="285"/>
        <v>33.563538448494107</v>
      </c>
      <c r="AT113" s="5">
        <f t="shared" si="342"/>
        <v>2.4904373532289381</v>
      </c>
      <c r="AU113" s="5">
        <f t="shared" si="343"/>
        <v>31.073101095265169</v>
      </c>
      <c r="AV113" s="5"/>
      <c r="AW113" s="173">
        <f t="shared" si="344"/>
        <v>7.4200679319038731E-2</v>
      </c>
      <c r="AX113" s="173">
        <f t="shared" si="214"/>
        <v>0.73566015879351332</v>
      </c>
      <c r="AY113" s="173">
        <f t="shared" si="215"/>
        <v>0.68612016321577918</v>
      </c>
      <c r="AZ113" s="173">
        <f t="shared" si="288"/>
        <v>1.0722030895368895</v>
      </c>
      <c r="BA113" s="460">
        <f t="shared" si="345"/>
        <v>0.31130466915361726</v>
      </c>
      <c r="BB113" s="5">
        <f t="shared" si="346"/>
        <v>2.0894115145042993</v>
      </c>
      <c r="BD113" s="173">
        <f t="shared" si="289"/>
        <v>0.34948681794327113</v>
      </c>
      <c r="BE113" s="173">
        <f t="shared" si="218"/>
        <v>0.82340049106663604</v>
      </c>
      <c r="BG113" s="528">
        <f t="shared" si="347"/>
        <v>4.8856414366445257E-3</v>
      </c>
      <c r="BH113" s="528">
        <f t="shared" si="348"/>
        <v>3.7658719347201851E-2</v>
      </c>
      <c r="BI113" s="528">
        <f t="shared" si="349"/>
        <v>1.0634182659615734E-2</v>
      </c>
      <c r="BJ113" s="528">
        <f t="shared" si="350"/>
        <v>3.331937713202966E-3</v>
      </c>
      <c r="BK113">
        <f t="shared" si="351"/>
        <v>4.0153589838486225E-3</v>
      </c>
      <c r="BL113" s="460">
        <f t="shared" si="427"/>
        <v>14.649541643464357</v>
      </c>
      <c r="BM113" s="528">
        <f t="shared" si="352"/>
        <v>4.7250271141845157E-2</v>
      </c>
      <c r="BN113" s="460">
        <f t="shared" si="353"/>
        <v>47.250271141845154</v>
      </c>
      <c r="BO113" s="528">
        <f t="shared" si="354"/>
        <v>2.0999999999999998E-2</v>
      </c>
      <c r="BR113" s="460">
        <f t="shared" si="355"/>
        <v>20.999999999999996</v>
      </c>
      <c r="BS113" s="528">
        <f t="shared" si="356"/>
        <v>3.6642310774833938E-3</v>
      </c>
      <c r="BT113" s="528">
        <f t="shared" si="357"/>
        <v>2.0339651060663322E-2</v>
      </c>
      <c r="BU113" s="528">
        <f t="shared" si="358"/>
        <v>1.7834846233136068E-3</v>
      </c>
      <c r="BV113" s="528"/>
      <c r="BW113" s="528">
        <f t="shared" si="359"/>
        <v>2.9426406351740535E-2</v>
      </c>
      <c r="BX113" s="460">
        <f t="shared" si="360"/>
        <v>55.213773113200858</v>
      </c>
      <c r="BY113" s="173">
        <f t="shared" si="361"/>
        <v>0.13673961325371456</v>
      </c>
      <c r="BZ113" s="5">
        <f t="shared" si="362"/>
        <v>0.72</v>
      </c>
      <c r="CA113" s="173">
        <f t="shared" si="363"/>
        <v>0.8403953650113053</v>
      </c>
      <c r="CB113" s="5">
        <f t="shared" si="364"/>
        <v>84.039536501130527</v>
      </c>
      <c r="CE113" s="562">
        <f t="shared" si="365"/>
        <v>-50</v>
      </c>
      <c r="CF113">
        <f t="shared" si="366"/>
        <v>-50</v>
      </c>
      <c r="CG113" s="173">
        <f t="shared" si="367"/>
        <v>4.0899250703462987E-2</v>
      </c>
      <c r="CI113" s="170">
        <v>3</v>
      </c>
      <c r="CJ113" s="217">
        <f t="shared" si="428"/>
        <v>0.03</v>
      </c>
      <c r="CK113" s="217"/>
      <c r="CL113" s="217">
        <f t="shared" si="368"/>
        <v>0.72</v>
      </c>
      <c r="CM113" s="541">
        <f t="shared" si="369"/>
        <v>9</v>
      </c>
      <c r="CN113" s="443">
        <f t="shared" si="370"/>
        <v>16.3415</v>
      </c>
      <c r="CO113" s="443">
        <f t="shared" si="371"/>
        <v>25.3415</v>
      </c>
      <c r="CP113" s="443"/>
      <c r="CQ113" s="217">
        <f t="shared" si="372"/>
        <v>0.64485133082098534</v>
      </c>
      <c r="CR113" s="172">
        <f t="shared" si="429"/>
        <v>32.320915977744015</v>
      </c>
      <c r="CS113" s="172">
        <f t="shared" si="373"/>
        <v>0.72</v>
      </c>
      <c r="CT113" s="217">
        <f t="shared" si="374"/>
        <v>1.3467048324060007</v>
      </c>
      <c r="CU113" s="217">
        <f t="shared" si="375"/>
        <v>24</v>
      </c>
      <c r="CV113" s="217"/>
      <c r="CW113" s="172">
        <f t="shared" si="376"/>
        <v>1653.1774930650836</v>
      </c>
      <c r="CX113" s="172">
        <f t="shared" si="377"/>
        <v>24</v>
      </c>
      <c r="CY113" s="217">
        <f t="shared" si="378"/>
        <v>0.24811920570327078</v>
      </c>
      <c r="CZ113" s="217">
        <f t="shared" si="379"/>
        <v>0.27568800633696755</v>
      </c>
      <c r="DA113" s="217">
        <f t="shared" si="380"/>
        <v>0.15183380087707421</v>
      </c>
      <c r="DB113" s="197">
        <f t="shared" si="381"/>
        <v>261.16478898249903</v>
      </c>
      <c r="DC113" s="443">
        <f t="shared" si="382"/>
        <v>350</v>
      </c>
      <c r="DE113" s="217">
        <f t="shared" si="383"/>
        <v>2.2222222222222223</v>
      </c>
      <c r="DF113" s="173">
        <f t="shared" si="384"/>
        <v>1.3598642855443031</v>
      </c>
      <c r="DG113" s="173">
        <f t="shared" si="385"/>
        <v>0.26320462482489204</v>
      </c>
      <c r="DH113" s="173"/>
      <c r="DI113" s="173">
        <f t="shared" si="386"/>
        <v>1.3598642855443031</v>
      </c>
      <c r="DJ113" s="545">
        <f t="shared" si="387"/>
        <v>29.767499999999988</v>
      </c>
      <c r="DK113" s="528">
        <f t="shared" si="388"/>
        <v>0.26320462482489204</v>
      </c>
      <c r="DM113" s="173">
        <f t="shared" si="389"/>
        <v>0.64807406984078597</v>
      </c>
      <c r="DN113" s="173">
        <f t="shared" si="390"/>
        <v>2.2222222222222223</v>
      </c>
      <c r="DO113" s="173">
        <f t="shared" si="391"/>
        <v>1.01701</v>
      </c>
      <c r="DQ113" s="545">
        <f t="shared" si="392"/>
        <v>30</v>
      </c>
      <c r="DR113" s="460">
        <f t="shared" si="393"/>
        <v>29.767499999999988</v>
      </c>
      <c r="DT113">
        <f t="shared" si="430"/>
        <v>30</v>
      </c>
      <c r="DU113">
        <f t="shared" si="431"/>
        <v>29.767499999999988</v>
      </c>
      <c r="DW113" s="5">
        <f t="shared" si="394"/>
        <v>33.593684387335195</v>
      </c>
      <c r="DX113" s="5">
        <f t="shared" si="395"/>
        <v>2.4691358024691361</v>
      </c>
      <c r="DY113" s="5">
        <f t="shared" si="396"/>
        <v>31.124548584866059</v>
      </c>
      <c r="DZ113" s="5"/>
      <c r="EA113" s="173">
        <f t="shared" si="397"/>
        <v>7.3499999999999982E-2</v>
      </c>
      <c r="EB113" s="173">
        <f t="shared" si="398"/>
        <v>0.73499999999999988</v>
      </c>
      <c r="EC113" s="173">
        <f t="shared" si="399"/>
        <v>0.68663944444444447</v>
      </c>
      <c r="ED113" s="173">
        <f t="shared" si="400"/>
        <v>1.0704307856864874</v>
      </c>
      <c r="EE113" s="460">
        <f t="shared" si="401"/>
        <v>0.30864197530864201</v>
      </c>
      <c r="EF113" s="5">
        <f t="shared" si="402"/>
        <v>2.0749699056577366</v>
      </c>
      <c r="EH113" s="173">
        <f t="shared" si="403"/>
        <v>0.34783279649996723</v>
      </c>
      <c r="EI113" s="173">
        <f t="shared" si="404"/>
        <v>0.82371202217355743</v>
      </c>
      <c r="EK113" s="528">
        <f t="shared" si="405"/>
        <v>4.8395061728395044E-3</v>
      </c>
      <c r="EL113" s="528">
        <f t="shared" si="406"/>
        <v>4.6099356187499989E-2</v>
      </c>
      <c r="EM113" s="528">
        <f t="shared" si="407"/>
        <v>5.953499999999997E-3</v>
      </c>
      <c r="EN113" s="528">
        <f t="shared" si="408"/>
        <v>3.3453768451822017E-3</v>
      </c>
      <c r="EO113">
        <f t="shared" si="409"/>
        <v>4.0499999999999998E-3</v>
      </c>
      <c r="EP113" s="460">
        <f t="shared" si="410"/>
        <v>10.003499999999997</v>
      </c>
      <c r="EQ113" s="460"/>
      <c r="ER113" s="460">
        <f t="shared" si="432"/>
        <v>64.287739205521689</v>
      </c>
      <c r="ES113" s="528">
        <f t="shared" si="411"/>
        <v>2.0999999999999998E-2</v>
      </c>
      <c r="EV113" s="460">
        <f t="shared" si="412"/>
        <v>20.999999999999996</v>
      </c>
      <c r="EW113" s="528">
        <f t="shared" si="413"/>
        <v>3.6296296296296281E-3</v>
      </c>
      <c r="EX113" s="528">
        <f t="shared" si="414"/>
        <v>2.0355044864197536E-2</v>
      </c>
      <c r="EY113" s="528">
        <f t="shared" si="415"/>
        <v>1.7794862051882675E-3</v>
      </c>
      <c r="EZ113" s="528"/>
      <c r="FA113" s="528">
        <f t="shared" si="416"/>
        <v>2.9399999999999996E-2</v>
      </c>
      <c r="FB113" s="460">
        <f t="shared" si="417"/>
        <v>55.164160699015426</v>
      </c>
      <c r="FC113" s="173">
        <f t="shared" si="418"/>
        <v>0.1404518999045371</v>
      </c>
      <c r="FD113" s="5">
        <f t="shared" si="419"/>
        <v>0.72</v>
      </c>
      <c r="FE113" s="173">
        <f t="shared" si="420"/>
        <v>0.83676960917847987</v>
      </c>
      <c r="FF113" s="5">
        <f t="shared" si="421"/>
        <v>83.676960917847993</v>
      </c>
      <c r="FI113" s="562">
        <f t="shared" si="422"/>
        <v>-50</v>
      </c>
      <c r="FJ113">
        <f t="shared" si="423"/>
        <v>-50</v>
      </c>
      <c r="FL113">
        <f t="shared" si="424"/>
        <v>4.047976011994002E-2</v>
      </c>
    </row>
    <row r="114" spans="5:168">
      <c r="E114" s="170">
        <v>4</v>
      </c>
      <c r="F114" s="217">
        <f t="shared" si="425"/>
        <v>0.04</v>
      </c>
      <c r="G114" s="217"/>
      <c r="H114" s="217">
        <f t="shared" si="315"/>
        <v>0.96</v>
      </c>
      <c r="I114" s="541">
        <f t="shared" si="316"/>
        <v>8.9230199641080503</v>
      </c>
      <c r="J114" s="172">
        <f t="shared" si="317"/>
        <v>16.356177530509115</v>
      </c>
      <c r="K114" s="172">
        <f t="shared" si="318"/>
        <v>25.279197494617165</v>
      </c>
      <c r="L114" s="443"/>
      <c r="M114" s="217">
        <f t="shared" si="319"/>
        <v>0.64702335676345168</v>
      </c>
      <c r="N114" s="172">
        <f t="shared" si="426"/>
        <v>32.152398318364</v>
      </c>
      <c r="O114" s="172">
        <f t="shared" si="284"/>
        <v>0.96</v>
      </c>
      <c r="P114" s="217">
        <f t="shared" si="320"/>
        <v>1.3396832632651667</v>
      </c>
      <c r="Q114" s="217">
        <f t="shared" si="321"/>
        <v>24</v>
      </c>
      <c r="R114" s="217"/>
      <c r="S114" s="172">
        <f t="shared" si="322"/>
        <v>1225.9359412728629</v>
      </c>
      <c r="T114" s="172">
        <f t="shared" si="323"/>
        <v>24</v>
      </c>
      <c r="U114" s="217">
        <f t="shared" si="324"/>
        <v>0.33979593914555217</v>
      </c>
      <c r="V114" s="217">
        <f t="shared" si="325"/>
        <v>0.38080822469561559</v>
      </c>
      <c r="W114" s="217">
        <f t="shared" si="326"/>
        <v>0.20774776900760106</v>
      </c>
      <c r="X114" s="197">
        <f t="shared" si="327"/>
        <v>259.80225203959685</v>
      </c>
      <c r="Y114" s="443">
        <f t="shared" si="328"/>
        <v>350</v>
      </c>
      <c r="AA114" s="217">
        <f t="shared" si="329"/>
        <v>2.2222222222222223</v>
      </c>
      <c r="AB114" s="173">
        <f t="shared" si="330"/>
        <v>1.3586439851714256</v>
      </c>
      <c r="AC114" s="173">
        <f t="shared" si="331"/>
        <v>0.26159648626009102</v>
      </c>
      <c r="AD114" s="173"/>
      <c r="AE114" s="173">
        <f t="shared" si="332"/>
        <v>1.3586439851714256</v>
      </c>
      <c r="AF114" s="545">
        <f t="shared" si="333"/>
        <v>39.725648574849707</v>
      </c>
      <c r="AG114" s="528">
        <f t="shared" si="334"/>
        <v>0.26159648626009097</v>
      </c>
      <c r="AI114" s="173">
        <f t="shared" si="335"/>
        <v>0.74866746832515108</v>
      </c>
      <c r="AJ114" s="173">
        <f t="shared" si="336"/>
        <v>2.2222222222222223</v>
      </c>
      <c r="AK114" s="173">
        <f t="shared" si="337"/>
        <v>1.0227003706141999</v>
      </c>
      <c r="AM114" s="545">
        <f t="shared" si="338"/>
        <v>40</v>
      </c>
      <c r="AN114" s="460">
        <f t="shared" si="339"/>
        <v>39.725648574849707</v>
      </c>
      <c r="AP114" s="460">
        <f t="shared" si="340"/>
        <v>40</v>
      </c>
      <c r="AQ114" s="460">
        <f t="shared" si="341"/>
        <v>39.725648574849707</v>
      </c>
      <c r="AS114" s="5">
        <f t="shared" si="285"/>
        <v>25.172653836370579</v>
      </c>
      <c r="AT114" s="5">
        <f t="shared" si="342"/>
        <v>2.4904373532289381</v>
      </c>
      <c r="AU114" s="5">
        <f t="shared" si="343"/>
        <v>22.682216483141641</v>
      </c>
      <c r="AV114" s="5"/>
      <c r="AW114" s="173">
        <f t="shared" si="344"/>
        <v>9.8934239092051651E-2</v>
      </c>
      <c r="AX114" s="173">
        <f t="shared" si="214"/>
        <v>0.98088021172468443</v>
      </c>
      <c r="AY114" s="173">
        <f t="shared" si="215"/>
        <v>0.66778984725066837</v>
      </c>
      <c r="AZ114" s="173">
        <f t="shared" si="288"/>
        <v>1.4688456492158846</v>
      </c>
      <c r="BA114" s="460">
        <f t="shared" si="345"/>
        <v>0.41507289220482302</v>
      </c>
      <c r="BB114" s="5">
        <f t="shared" si="346"/>
        <v>2.0335910106110773</v>
      </c>
      <c r="BD114" s="173">
        <f t="shared" si="289"/>
        <v>0.40355261683554666</v>
      </c>
      <c r="BE114" s="173">
        <f t="shared" si="218"/>
        <v>0.81232708985536284</v>
      </c>
      <c r="BG114" s="528">
        <f t="shared" si="347"/>
        <v>6.5141885821927018E-3</v>
      </c>
      <c r="BH114" s="528">
        <f t="shared" si="348"/>
        <v>5.0211625796269137E-2</v>
      </c>
      <c r="BI114" s="528">
        <f t="shared" si="349"/>
        <v>1.4178910212820979E-2</v>
      </c>
      <c r="BJ114" s="528">
        <f t="shared" si="350"/>
        <v>4.442583617603954E-3</v>
      </c>
      <c r="BK114">
        <f t="shared" si="351"/>
        <v>4.0153589838486225E-3</v>
      </c>
      <c r="BL114" s="460">
        <f t="shared" si="427"/>
        <v>18.194269196669602</v>
      </c>
      <c r="BM114" s="528">
        <f t="shared" si="352"/>
        <v>6.3024776848199196E-2</v>
      </c>
      <c r="BN114" s="460">
        <f t="shared" si="353"/>
        <v>63.024776848199195</v>
      </c>
      <c r="BO114" s="528">
        <f t="shared" si="354"/>
        <v>2.7999999999999997E-2</v>
      </c>
      <c r="BR114" s="460">
        <f t="shared" si="355"/>
        <v>27.999999999999996</v>
      </c>
      <c r="BS114" s="528">
        <f t="shared" si="356"/>
        <v>4.8856414366445257E-3</v>
      </c>
      <c r="BT114" s="528">
        <f t="shared" si="357"/>
        <v>1.9796259027386482E-2</v>
      </c>
      <c r="BU114" s="528">
        <f t="shared" si="358"/>
        <v>3.661138941744605E-3</v>
      </c>
      <c r="BV114" s="528"/>
      <c r="BW114" s="528">
        <f t="shared" si="359"/>
        <v>3.923520846898737E-2</v>
      </c>
      <c r="BX114" s="460">
        <f t="shared" si="360"/>
        <v>67.57824787476298</v>
      </c>
      <c r="BY114" s="173">
        <f t="shared" si="361"/>
        <v>0.17494091506749837</v>
      </c>
      <c r="BZ114" s="5">
        <f t="shared" si="362"/>
        <v>0.96</v>
      </c>
      <c r="CA114" s="173">
        <f t="shared" si="363"/>
        <v>0.84585901103310379</v>
      </c>
      <c r="CB114" s="5">
        <f t="shared" si="364"/>
        <v>84.585901103310377</v>
      </c>
      <c r="CE114" s="562">
        <f t="shared" si="365"/>
        <v>-50</v>
      </c>
      <c r="CF114">
        <f t="shared" si="366"/>
        <v>-50</v>
      </c>
      <c r="CG114" s="173">
        <f t="shared" si="367"/>
        <v>5.4532334271283983E-2</v>
      </c>
      <c r="CI114" s="170">
        <v>4</v>
      </c>
      <c r="CJ114" s="217">
        <f t="shared" si="428"/>
        <v>0.04</v>
      </c>
      <c r="CK114" s="217"/>
      <c r="CL114" s="217">
        <f t="shared" si="368"/>
        <v>0.96</v>
      </c>
      <c r="CM114" s="541">
        <f t="shared" si="369"/>
        <v>9</v>
      </c>
      <c r="CN114" s="443">
        <f t="shared" si="370"/>
        <v>16.3415</v>
      </c>
      <c r="CO114" s="443">
        <f t="shared" si="371"/>
        <v>25.3415</v>
      </c>
      <c r="CP114" s="443"/>
      <c r="CQ114" s="217">
        <f t="shared" si="372"/>
        <v>0.64485133082098534</v>
      </c>
      <c r="CR114" s="172">
        <f t="shared" si="429"/>
        <v>32.320915977744015</v>
      </c>
      <c r="CS114" s="172">
        <f t="shared" si="373"/>
        <v>0.96</v>
      </c>
      <c r="CT114" s="217">
        <f t="shared" si="374"/>
        <v>1.3467048324060007</v>
      </c>
      <c r="CU114" s="217">
        <f t="shared" si="375"/>
        <v>24</v>
      </c>
      <c r="CV114" s="217"/>
      <c r="CW114" s="172">
        <f t="shared" si="376"/>
        <v>1236.5122005960843</v>
      </c>
      <c r="CX114" s="172">
        <f t="shared" si="377"/>
        <v>24</v>
      </c>
      <c r="CY114" s="217">
        <f t="shared" si="378"/>
        <v>0.33082560760436103</v>
      </c>
      <c r="CZ114" s="217">
        <f t="shared" si="379"/>
        <v>0.36758400844929001</v>
      </c>
      <c r="DA114" s="217">
        <f t="shared" si="380"/>
        <v>0.20244506783609892</v>
      </c>
      <c r="DB114" s="197">
        <f t="shared" si="381"/>
        <v>261.16478898249903</v>
      </c>
      <c r="DC114" s="443">
        <f t="shared" si="382"/>
        <v>350</v>
      </c>
      <c r="DE114" s="217">
        <f t="shared" si="383"/>
        <v>2.2222222222222223</v>
      </c>
      <c r="DF114" s="173">
        <f t="shared" si="384"/>
        <v>1.3598642855443031</v>
      </c>
      <c r="DG114" s="173">
        <f t="shared" si="385"/>
        <v>0.26320462482489204</v>
      </c>
      <c r="DH114" s="173"/>
      <c r="DI114" s="173">
        <f t="shared" si="386"/>
        <v>1.3598642855443031</v>
      </c>
      <c r="DJ114" s="545">
        <f t="shared" si="387"/>
        <v>39.689999999999984</v>
      </c>
      <c r="DK114" s="528">
        <f t="shared" si="388"/>
        <v>0.26320462482489204</v>
      </c>
      <c r="DM114" s="173">
        <f t="shared" si="389"/>
        <v>0.74833147735478822</v>
      </c>
      <c r="DN114" s="173">
        <f t="shared" si="390"/>
        <v>2.2222222222222223</v>
      </c>
      <c r="DO114" s="173">
        <f t="shared" si="391"/>
        <v>1.02268</v>
      </c>
      <c r="DQ114" s="545">
        <f t="shared" si="392"/>
        <v>40</v>
      </c>
      <c r="DR114" s="460">
        <f t="shared" si="393"/>
        <v>39.689999999999984</v>
      </c>
      <c r="DT114">
        <f t="shared" si="430"/>
        <v>40</v>
      </c>
      <c r="DU114">
        <f t="shared" si="431"/>
        <v>39.689999999999984</v>
      </c>
      <c r="DW114" s="5">
        <f t="shared" si="394"/>
        <v>25.195263290501398</v>
      </c>
      <c r="DX114" s="5">
        <f t="shared" si="395"/>
        <v>2.4691358024691361</v>
      </c>
      <c r="DY114" s="5">
        <f t="shared" si="396"/>
        <v>22.726127488032262</v>
      </c>
      <c r="DZ114" s="5"/>
      <c r="EA114" s="173">
        <f t="shared" si="397"/>
        <v>9.7999999999999962E-2</v>
      </c>
      <c r="EB114" s="173">
        <f t="shared" si="398"/>
        <v>0.97999999999999976</v>
      </c>
      <c r="EC114" s="173">
        <f t="shared" si="399"/>
        <v>0.66848222222222231</v>
      </c>
      <c r="ED114" s="173">
        <f t="shared" si="400"/>
        <v>1.4660075727103183</v>
      </c>
      <c r="EE114" s="460">
        <f t="shared" si="401"/>
        <v>0.41152263374485604</v>
      </c>
      <c r="EF114" s="5">
        <f t="shared" si="402"/>
        <v>2.0201002211584229</v>
      </c>
      <c r="EH114" s="173">
        <f t="shared" si="403"/>
        <v>0.40164271738447277</v>
      </c>
      <c r="EI114" s="173">
        <f t="shared" si="404"/>
        <v>0.81274809748091559</v>
      </c>
      <c r="EK114" s="528">
        <f t="shared" si="405"/>
        <v>6.4526748971193383E-3</v>
      </c>
      <c r="EL114" s="528">
        <f t="shared" si="406"/>
        <v>6.1465808249999983E-2</v>
      </c>
      <c r="EM114" s="528">
        <f t="shared" si="407"/>
        <v>7.9379999999999954E-3</v>
      </c>
      <c r="EN114" s="528">
        <f t="shared" si="408"/>
        <v>4.4605024602429356E-3</v>
      </c>
      <c r="EO114">
        <f t="shared" si="409"/>
        <v>4.0499999999999998E-3</v>
      </c>
      <c r="EP114" s="460">
        <f t="shared" si="410"/>
        <v>11.987999999999996</v>
      </c>
      <c r="EQ114" s="460"/>
      <c r="ER114" s="460">
        <f t="shared" si="432"/>
        <v>84.366985607362253</v>
      </c>
      <c r="ES114" s="528">
        <f t="shared" si="411"/>
        <v>2.7999999999999997E-2</v>
      </c>
      <c r="EV114" s="460">
        <f t="shared" si="412"/>
        <v>27.999999999999996</v>
      </c>
      <c r="EW114" s="528">
        <f t="shared" si="413"/>
        <v>4.8395061728395035E-3</v>
      </c>
      <c r="EX114" s="528">
        <f t="shared" si="414"/>
        <v>1.9816784098765434E-2</v>
      </c>
      <c r="EY114" s="528">
        <f t="shared" si="415"/>
        <v>3.6529309851899478E-3</v>
      </c>
      <c r="EZ114" s="528"/>
      <c r="FA114" s="528">
        <f t="shared" si="416"/>
        <v>3.9199999999999999E-2</v>
      </c>
      <c r="FB114" s="460">
        <f t="shared" si="417"/>
        <v>67.509221256794888</v>
      </c>
      <c r="FC114" s="173">
        <f t="shared" si="418"/>
        <v>0.17987620686415712</v>
      </c>
      <c r="FD114" s="5">
        <f t="shared" si="419"/>
        <v>0.96</v>
      </c>
      <c r="FE114" s="173">
        <f t="shared" si="420"/>
        <v>0.84219671769533344</v>
      </c>
      <c r="FF114" s="5">
        <f t="shared" si="421"/>
        <v>84.219671769533349</v>
      </c>
      <c r="FI114" s="562">
        <f t="shared" si="422"/>
        <v>-50</v>
      </c>
      <c r="FJ114">
        <f t="shared" si="423"/>
        <v>-50</v>
      </c>
      <c r="FL114">
        <f t="shared" si="424"/>
        <v>5.3973013493253369E-2</v>
      </c>
    </row>
    <row r="115" spans="5:168">
      <c r="E115" s="170">
        <v>5</v>
      </c>
      <c r="F115" s="217">
        <f t="shared" si="425"/>
        <v>0.05</v>
      </c>
      <c r="G115" s="217"/>
      <c r="H115" s="217">
        <f t="shared" si="315"/>
        <v>1.2000000000000002</v>
      </c>
      <c r="I115" s="541">
        <f t="shared" si="316"/>
        <v>8.9230199641080503</v>
      </c>
      <c r="J115" s="172">
        <f t="shared" si="317"/>
        <v>16.356177530509115</v>
      </c>
      <c r="K115" s="172">
        <f t="shared" si="318"/>
        <v>25.279197494617165</v>
      </c>
      <c r="L115" s="443"/>
      <c r="M115" s="217">
        <f t="shared" si="319"/>
        <v>0.64702335676345168</v>
      </c>
      <c r="N115" s="172">
        <f t="shared" si="426"/>
        <v>32.152398318364</v>
      </c>
      <c r="O115" s="172">
        <f t="shared" si="284"/>
        <v>1.2000000000000002</v>
      </c>
      <c r="P115" s="217">
        <f t="shared" si="320"/>
        <v>1.3396832632651667</v>
      </c>
      <c r="Q115" s="217">
        <f t="shared" si="321"/>
        <v>24</v>
      </c>
      <c r="R115" s="217"/>
      <c r="S115" s="172">
        <f t="shared" si="322"/>
        <v>978.07565701671183</v>
      </c>
      <c r="T115" s="172">
        <f t="shared" si="323"/>
        <v>24</v>
      </c>
      <c r="U115" s="217">
        <f t="shared" si="324"/>
        <v>0.42474492393194024</v>
      </c>
      <c r="V115" s="217">
        <f t="shared" si="325"/>
        <v>0.47601028086951958</v>
      </c>
      <c r="W115" s="217">
        <f t="shared" si="326"/>
        <v>0.25968471125950138</v>
      </c>
      <c r="X115" s="197">
        <f t="shared" si="327"/>
        <v>259.80225203959685</v>
      </c>
      <c r="Y115" s="443">
        <f t="shared" si="328"/>
        <v>350</v>
      </c>
      <c r="AA115" s="217">
        <f t="shared" si="329"/>
        <v>2.2222222222222223</v>
      </c>
      <c r="AB115" s="173">
        <f t="shared" si="330"/>
        <v>1.3586439851714256</v>
      </c>
      <c r="AC115" s="173">
        <f t="shared" si="331"/>
        <v>0.26159648626009102</v>
      </c>
      <c r="AD115" s="173"/>
      <c r="AE115" s="173">
        <f t="shared" si="332"/>
        <v>1.3586439851714256</v>
      </c>
      <c r="AF115" s="545">
        <f t="shared" si="333"/>
        <v>49.657060718562136</v>
      </c>
      <c r="AG115" s="528">
        <f t="shared" si="334"/>
        <v>0.26159648626009097</v>
      </c>
      <c r="AI115" s="173">
        <f t="shared" si="335"/>
        <v>0.8370356758588543</v>
      </c>
      <c r="AJ115" s="173">
        <f t="shared" si="336"/>
        <v>2.2222222222222223</v>
      </c>
      <c r="AK115" s="173">
        <f t="shared" si="337"/>
        <v>1.0283754632677498</v>
      </c>
      <c r="AM115" s="545">
        <f t="shared" si="338"/>
        <v>50</v>
      </c>
      <c r="AN115" s="460">
        <f t="shared" si="339"/>
        <v>49.657060718562136</v>
      </c>
      <c r="AP115" s="460">
        <f t="shared" si="340"/>
        <v>50</v>
      </c>
      <c r="AQ115" s="460">
        <f t="shared" si="341"/>
        <v>49.657060718562136</v>
      </c>
      <c r="AS115" s="5">
        <f t="shared" si="285"/>
        <v>20.138123069096466</v>
      </c>
      <c r="AT115" s="5">
        <f t="shared" si="342"/>
        <v>2.4904373532289381</v>
      </c>
      <c r="AU115" s="5">
        <f t="shared" si="343"/>
        <v>17.647685715867528</v>
      </c>
      <c r="AV115" s="5"/>
      <c r="AW115" s="173">
        <f t="shared" si="344"/>
        <v>0.12366779886506454</v>
      </c>
      <c r="AX115" s="173">
        <f t="shared" si="214"/>
        <v>1.2261002646558556</v>
      </c>
      <c r="AY115" s="173">
        <f t="shared" si="215"/>
        <v>0.64945953128555778</v>
      </c>
      <c r="AZ115" s="173">
        <f t="shared" si="288"/>
        <v>1.887877851648246</v>
      </c>
      <c r="BA115" s="460">
        <f t="shared" si="345"/>
        <v>0.51884111525602883</v>
      </c>
      <c r="BB115" s="5">
        <f t="shared" si="346"/>
        <v>1.9777705067178564</v>
      </c>
      <c r="BD115" s="173">
        <f t="shared" si="289"/>
        <v>0.45118554187110416</v>
      </c>
      <c r="BE115" s="173">
        <f t="shared" si="218"/>
        <v>0.80110063858231217</v>
      </c>
      <c r="BG115" s="528">
        <f t="shared" si="347"/>
        <v>8.1427357277408761E-3</v>
      </c>
      <c r="BH115" s="528">
        <f t="shared" si="348"/>
        <v>6.2764532245336416E-2</v>
      </c>
      <c r="BI115" s="528">
        <f t="shared" si="349"/>
        <v>1.7723637766026226E-2</v>
      </c>
      <c r="BJ115" s="528">
        <f t="shared" si="350"/>
        <v>5.5532295220049434E-3</v>
      </c>
      <c r="BK115">
        <f t="shared" si="351"/>
        <v>4.0153589838486225E-3</v>
      </c>
      <c r="BL115" s="460">
        <f t="shared" si="427"/>
        <v>21.738996749874847</v>
      </c>
      <c r="BM115" s="528">
        <f t="shared" si="352"/>
        <v>7.8811513881542394E-2</v>
      </c>
      <c r="BN115" s="460">
        <f t="shared" si="353"/>
        <v>78.811513881542396</v>
      </c>
      <c r="BO115" s="528">
        <f t="shared" si="354"/>
        <v>3.4999999999999996E-2</v>
      </c>
      <c r="BR115" s="460">
        <f t="shared" si="355"/>
        <v>34.999999999999993</v>
      </c>
      <c r="BS115" s="528">
        <f t="shared" si="356"/>
        <v>6.1070517958056562E-3</v>
      </c>
      <c r="BT115" s="528">
        <f t="shared" si="357"/>
        <v>1.9252866994109649E-2</v>
      </c>
      <c r="BU115" s="528">
        <f t="shared" si="358"/>
        <v>6.3957465225098244E-3</v>
      </c>
      <c r="BV115" s="528"/>
      <c r="BW115" s="528">
        <f t="shared" si="359"/>
        <v>4.904401058623422E-2</v>
      </c>
      <c r="BX115" s="460">
        <f t="shared" si="360"/>
        <v>80.799675898659359</v>
      </c>
      <c r="BY115" s="173">
        <f t="shared" si="361"/>
        <v>0.21399917014361641</v>
      </c>
      <c r="BZ115" s="5">
        <f t="shared" si="362"/>
        <v>1.2000000000000002</v>
      </c>
      <c r="CA115" s="173">
        <f t="shared" si="363"/>
        <v>0.84865679226538659</v>
      </c>
      <c r="CB115" s="5">
        <f t="shared" si="364"/>
        <v>84.86567922653866</v>
      </c>
      <c r="CE115" s="562">
        <f t="shared" si="365"/>
        <v>-50</v>
      </c>
      <c r="CF115">
        <f t="shared" si="366"/>
        <v>-50</v>
      </c>
      <c r="CG115" s="173">
        <f t="shared" si="367"/>
        <v>6.8165417839104986E-2</v>
      </c>
      <c r="CI115" s="170">
        <v>5</v>
      </c>
      <c r="CJ115" s="217">
        <f t="shared" si="428"/>
        <v>0.05</v>
      </c>
      <c r="CK115" s="217"/>
      <c r="CL115" s="217">
        <f t="shared" si="368"/>
        <v>1.2000000000000002</v>
      </c>
      <c r="CM115" s="541">
        <f t="shared" si="369"/>
        <v>9</v>
      </c>
      <c r="CN115" s="443">
        <f t="shared" si="370"/>
        <v>16.3415</v>
      </c>
      <c r="CO115" s="443">
        <f t="shared" si="371"/>
        <v>25.3415</v>
      </c>
      <c r="CP115" s="443"/>
      <c r="CQ115" s="217">
        <f t="shared" si="372"/>
        <v>0.64485133082098534</v>
      </c>
      <c r="CR115" s="172">
        <f t="shared" si="429"/>
        <v>32.320915977744015</v>
      </c>
      <c r="CS115" s="172">
        <f t="shared" si="373"/>
        <v>1.2000000000000002</v>
      </c>
      <c r="CT115" s="217">
        <f t="shared" si="374"/>
        <v>1.3467048324060007</v>
      </c>
      <c r="CU115" s="217">
        <f t="shared" si="375"/>
        <v>24</v>
      </c>
      <c r="CV115" s="217"/>
      <c r="CW115" s="172">
        <f t="shared" si="376"/>
        <v>986.51358202065626</v>
      </c>
      <c r="CX115" s="172">
        <f t="shared" si="377"/>
        <v>24</v>
      </c>
      <c r="CY115" s="217">
        <f t="shared" si="378"/>
        <v>0.41353200950545138</v>
      </c>
      <c r="CZ115" s="217">
        <f t="shared" si="379"/>
        <v>0.4594800105616127</v>
      </c>
      <c r="DA115" s="217">
        <f t="shared" si="380"/>
        <v>0.25305633479512368</v>
      </c>
      <c r="DB115" s="197">
        <f t="shared" si="381"/>
        <v>261.16478898249903</v>
      </c>
      <c r="DC115" s="443">
        <f t="shared" si="382"/>
        <v>350</v>
      </c>
      <c r="DE115" s="217">
        <f t="shared" si="383"/>
        <v>2.2222222222222223</v>
      </c>
      <c r="DF115" s="173">
        <f t="shared" si="384"/>
        <v>1.3598642855443031</v>
      </c>
      <c r="DG115" s="173">
        <f t="shared" si="385"/>
        <v>0.26320462482489204</v>
      </c>
      <c r="DH115" s="173"/>
      <c r="DI115" s="173">
        <f t="shared" si="386"/>
        <v>1.3598642855443031</v>
      </c>
      <c r="DJ115" s="545">
        <f t="shared" si="387"/>
        <v>49.612499999999983</v>
      </c>
      <c r="DK115" s="528">
        <f t="shared" si="388"/>
        <v>0.26320462482489204</v>
      </c>
      <c r="DM115" s="173">
        <f t="shared" si="389"/>
        <v>0.83666002653407556</v>
      </c>
      <c r="DN115" s="173">
        <f t="shared" si="390"/>
        <v>2.2222222222222223</v>
      </c>
      <c r="DO115" s="173">
        <f t="shared" si="391"/>
        <v>1.0283500000000001</v>
      </c>
      <c r="DQ115" s="545">
        <f t="shared" si="392"/>
        <v>50</v>
      </c>
      <c r="DR115" s="460">
        <f t="shared" si="393"/>
        <v>49.612499999999983</v>
      </c>
      <c r="DT115">
        <f t="shared" si="430"/>
        <v>50</v>
      </c>
      <c r="DU115">
        <f t="shared" si="431"/>
        <v>49.612499999999983</v>
      </c>
      <c r="DW115" s="5">
        <f t="shared" si="394"/>
        <v>20.156210632401116</v>
      </c>
      <c r="DX115" s="5">
        <f t="shared" si="395"/>
        <v>2.4691358024691361</v>
      </c>
      <c r="DY115" s="5">
        <f t="shared" si="396"/>
        <v>17.68707482993198</v>
      </c>
      <c r="DZ115" s="5"/>
      <c r="EA115" s="173">
        <f t="shared" si="397"/>
        <v>0.12249999999999997</v>
      </c>
      <c r="EB115" s="173">
        <f t="shared" si="398"/>
        <v>1.2249999999999996</v>
      </c>
      <c r="EC115" s="173">
        <f t="shared" si="399"/>
        <v>0.65032500000000004</v>
      </c>
      <c r="ED115" s="173">
        <f t="shared" si="400"/>
        <v>1.8836735478414632</v>
      </c>
      <c r="EE115" s="460">
        <f t="shared" si="401"/>
        <v>0.51440329218106995</v>
      </c>
      <c r="EF115" s="5">
        <f t="shared" si="402"/>
        <v>1.9652305366591092</v>
      </c>
      <c r="EH115" s="173">
        <f t="shared" si="403"/>
        <v>0.44905020936970891</v>
      </c>
      <c r="EI115" s="173">
        <f t="shared" si="404"/>
        <v>0.80163423357816044</v>
      </c>
      <c r="EK115" s="528">
        <f t="shared" si="405"/>
        <v>8.0658436213991765E-3</v>
      </c>
      <c r="EL115" s="528">
        <f t="shared" si="406"/>
        <v>7.6832260312499984E-2</v>
      </c>
      <c r="EM115" s="528">
        <f t="shared" si="407"/>
        <v>9.9224999999999973E-3</v>
      </c>
      <c r="EN115" s="528">
        <f t="shared" si="408"/>
        <v>5.5756280753036696E-3</v>
      </c>
      <c r="EO115">
        <f t="shared" si="409"/>
        <v>4.0499999999999998E-3</v>
      </c>
      <c r="EP115" s="460">
        <f t="shared" si="410"/>
        <v>13.972499999999997</v>
      </c>
      <c r="EQ115" s="460"/>
      <c r="ER115" s="460">
        <f t="shared" si="432"/>
        <v>104.44623200920282</v>
      </c>
      <c r="ES115" s="528">
        <f t="shared" si="411"/>
        <v>3.4999999999999996E-2</v>
      </c>
      <c r="EV115" s="460">
        <f t="shared" si="412"/>
        <v>34.999999999999993</v>
      </c>
      <c r="EW115" s="528">
        <f t="shared" si="413"/>
        <v>6.049382716049382E-3</v>
      </c>
      <c r="EX115" s="528">
        <f t="shared" si="414"/>
        <v>1.9278523333333339E-2</v>
      </c>
      <c r="EY115" s="528">
        <f t="shared" si="415"/>
        <v>6.3814078124999974E-3</v>
      </c>
      <c r="EZ115" s="528"/>
      <c r="FA115" s="528">
        <f t="shared" si="416"/>
        <v>4.9000000000000002E-2</v>
      </c>
      <c r="FB115" s="460">
        <f t="shared" si="417"/>
        <v>80.70931386188272</v>
      </c>
      <c r="FC115" s="173">
        <f t="shared" si="418"/>
        <v>0.22015554587108555</v>
      </c>
      <c r="FD115" s="5">
        <f t="shared" si="419"/>
        <v>1.2000000000000002</v>
      </c>
      <c r="FE115" s="173">
        <f t="shared" si="420"/>
        <v>0.84497786421272048</v>
      </c>
      <c r="FF115" s="5">
        <f t="shared" si="421"/>
        <v>84.497786421272053</v>
      </c>
      <c r="FI115" s="562">
        <f t="shared" si="422"/>
        <v>-50</v>
      </c>
      <c r="FJ115">
        <f t="shared" si="423"/>
        <v>-50</v>
      </c>
      <c r="FL115">
        <f t="shared" si="424"/>
        <v>6.7466266866566704E-2</v>
      </c>
    </row>
    <row r="116" spans="5:168">
      <c r="E116" s="170">
        <v>6</v>
      </c>
      <c r="F116" s="217">
        <f t="shared" si="425"/>
        <v>0.06</v>
      </c>
      <c r="G116" s="217"/>
      <c r="H116" s="217">
        <f t="shared" si="315"/>
        <v>1.44</v>
      </c>
      <c r="I116" s="541">
        <f t="shared" si="316"/>
        <v>8.9230199641080503</v>
      </c>
      <c r="J116" s="172">
        <f t="shared" si="317"/>
        <v>16.356177530509115</v>
      </c>
      <c r="K116" s="172">
        <f t="shared" si="318"/>
        <v>25.279197494617165</v>
      </c>
      <c r="L116" s="443"/>
      <c r="M116" s="217">
        <f t="shared" si="319"/>
        <v>0.64702335676345168</v>
      </c>
      <c r="N116" s="172">
        <f t="shared" si="426"/>
        <v>32.152398318364</v>
      </c>
      <c r="O116" s="172">
        <f t="shared" si="284"/>
        <v>1.44</v>
      </c>
      <c r="P116" s="217">
        <f t="shared" si="320"/>
        <v>1.3396832632651667</v>
      </c>
      <c r="Q116" s="217">
        <f t="shared" si="321"/>
        <v>24</v>
      </c>
      <c r="R116" s="217"/>
      <c r="S116" s="172">
        <f t="shared" si="322"/>
        <v>812.83593526286586</v>
      </c>
      <c r="T116" s="172">
        <f t="shared" si="323"/>
        <v>24</v>
      </c>
      <c r="U116" s="217">
        <f t="shared" si="324"/>
        <v>0.50969390871832831</v>
      </c>
      <c r="V116" s="217">
        <f t="shared" si="325"/>
        <v>0.57121233704342345</v>
      </c>
      <c r="W116" s="217">
        <f t="shared" si="326"/>
        <v>0.31162165351140159</v>
      </c>
      <c r="X116" s="197">
        <f t="shared" si="327"/>
        <v>259.80225203959685</v>
      </c>
      <c r="Y116" s="443">
        <f t="shared" si="328"/>
        <v>350</v>
      </c>
      <c r="AA116" s="217">
        <f t="shared" si="329"/>
        <v>2.2222222222222223</v>
      </c>
      <c r="AB116" s="173">
        <f t="shared" si="330"/>
        <v>1.3586439851714256</v>
      </c>
      <c r="AC116" s="173">
        <f t="shared" si="331"/>
        <v>0.26159648626009102</v>
      </c>
      <c r="AD116" s="173"/>
      <c r="AE116" s="173">
        <f t="shared" si="332"/>
        <v>1.3586439851714256</v>
      </c>
      <c r="AF116" s="545">
        <f t="shared" si="333"/>
        <v>59.588472862274564</v>
      </c>
      <c r="AG116" s="528">
        <f t="shared" si="334"/>
        <v>0.26159648626009097</v>
      </c>
      <c r="AI116" s="173">
        <f t="shared" si="335"/>
        <v>0.9169266422089537</v>
      </c>
      <c r="AJ116" s="173">
        <f t="shared" si="336"/>
        <v>2.2222222222222223</v>
      </c>
      <c r="AK116" s="173">
        <f t="shared" si="337"/>
        <v>1.0340505559212998</v>
      </c>
      <c r="AM116" s="545">
        <f t="shared" si="338"/>
        <v>60</v>
      </c>
      <c r="AN116" s="460">
        <f t="shared" si="339"/>
        <v>59.588472862274564</v>
      </c>
      <c r="AP116" s="460">
        <f t="shared" si="340"/>
        <v>60</v>
      </c>
      <c r="AQ116" s="460">
        <f t="shared" si="341"/>
        <v>59.588472862274564</v>
      </c>
      <c r="AS116" s="5">
        <f t="shared" si="285"/>
        <v>16.781769224247054</v>
      </c>
      <c r="AT116" s="5">
        <f t="shared" si="342"/>
        <v>2.4904373532289381</v>
      </c>
      <c r="AU116" s="5">
        <f t="shared" si="343"/>
        <v>14.291331871018116</v>
      </c>
      <c r="AV116" s="5"/>
      <c r="AW116" s="173">
        <f t="shared" si="344"/>
        <v>0.14840135863807746</v>
      </c>
      <c r="AX116" s="173">
        <f t="shared" si="214"/>
        <v>1.4713203175870266</v>
      </c>
      <c r="AY116" s="173">
        <f t="shared" si="215"/>
        <v>0.63112921532044708</v>
      </c>
      <c r="AZ116" s="173">
        <f t="shared" si="288"/>
        <v>2.3312505297983779</v>
      </c>
      <c r="BA116" s="460">
        <f t="shared" si="345"/>
        <v>0.62260933830723453</v>
      </c>
      <c r="BB116" s="5">
        <f t="shared" si="346"/>
        <v>1.9219500028246344</v>
      </c>
      <c r="BD116" s="173">
        <f t="shared" si="289"/>
        <v>0.4942489978059908</v>
      </c>
      <c r="BE116" s="173">
        <f t="shared" si="218"/>
        <v>0.7897146100719511</v>
      </c>
      <c r="BG116" s="528">
        <f t="shared" si="347"/>
        <v>9.7712828732890531E-3</v>
      </c>
      <c r="BH116" s="528">
        <f t="shared" si="348"/>
        <v>7.5317438694403702E-2</v>
      </c>
      <c r="BI116" s="528">
        <f t="shared" si="349"/>
        <v>2.1268365319231469E-2</v>
      </c>
      <c r="BJ116" s="528">
        <f t="shared" si="350"/>
        <v>6.6638754264059319E-3</v>
      </c>
      <c r="BK116">
        <f t="shared" si="351"/>
        <v>4.0153589838486225E-3</v>
      </c>
      <c r="BL116" s="460">
        <f t="shared" si="427"/>
        <v>25.283724303080088</v>
      </c>
      <c r="BM116" s="528">
        <f t="shared" si="352"/>
        <v>9.4610496473387262E-2</v>
      </c>
      <c r="BN116" s="460">
        <f t="shared" si="353"/>
        <v>94.610496473387258</v>
      </c>
      <c r="BO116" s="528">
        <f t="shared" si="354"/>
        <v>4.1999999999999996E-2</v>
      </c>
      <c r="BR116" s="460">
        <f t="shared" si="355"/>
        <v>41.999999999999993</v>
      </c>
      <c r="BS116" s="528">
        <f t="shared" si="356"/>
        <v>7.3284621549667885E-3</v>
      </c>
      <c r="BT116" s="528">
        <f t="shared" si="357"/>
        <v>1.8709474960832809E-2</v>
      </c>
      <c r="BU116" s="528">
        <f t="shared" si="358"/>
        <v>1.0088912570295903E-2</v>
      </c>
      <c r="BV116" s="528"/>
      <c r="BW116" s="528">
        <f t="shared" si="359"/>
        <v>5.8852812703481069E-2</v>
      </c>
      <c r="BX116" s="460">
        <f t="shared" si="360"/>
        <v>94.979662389576575</v>
      </c>
      <c r="BY116" s="173">
        <f t="shared" si="361"/>
        <v>0.25401598368675538</v>
      </c>
      <c r="BZ116" s="5">
        <f t="shared" si="362"/>
        <v>1.44</v>
      </c>
      <c r="CA116" s="173">
        <f t="shared" si="363"/>
        <v>0.85005101124610982</v>
      </c>
      <c r="CB116" s="5">
        <f t="shared" si="364"/>
        <v>85.005101124610988</v>
      </c>
      <c r="CE116" s="562">
        <f t="shared" si="365"/>
        <v>-50</v>
      </c>
      <c r="CF116">
        <f t="shared" si="366"/>
        <v>-50</v>
      </c>
      <c r="CG116" s="173">
        <f t="shared" si="367"/>
        <v>8.1798501406925975E-2</v>
      </c>
      <c r="CI116" s="170">
        <v>6</v>
      </c>
      <c r="CJ116" s="217">
        <f t="shared" si="428"/>
        <v>0.06</v>
      </c>
      <c r="CK116" s="217"/>
      <c r="CL116" s="217">
        <f t="shared" si="368"/>
        <v>1.44</v>
      </c>
      <c r="CM116" s="541">
        <f t="shared" si="369"/>
        <v>9</v>
      </c>
      <c r="CN116" s="443">
        <f t="shared" si="370"/>
        <v>16.3415</v>
      </c>
      <c r="CO116" s="443">
        <f t="shared" si="371"/>
        <v>25.3415</v>
      </c>
      <c r="CP116" s="443"/>
      <c r="CQ116" s="217">
        <f t="shared" si="372"/>
        <v>0.64485133082098534</v>
      </c>
      <c r="CR116" s="172">
        <f t="shared" si="429"/>
        <v>32.320915977744015</v>
      </c>
      <c r="CS116" s="172">
        <f t="shared" si="373"/>
        <v>1.44</v>
      </c>
      <c r="CT116" s="217">
        <f t="shared" si="374"/>
        <v>1.3467048324060007</v>
      </c>
      <c r="CU116" s="217">
        <f t="shared" si="375"/>
        <v>24</v>
      </c>
      <c r="CV116" s="217"/>
      <c r="CW116" s="172">
        <f t="shared" si="376"/>
        <v>819.84830406026299</v>
      </c>
      <c r="CX116" s="172">
        <f t="shared" si="377"/>
        <v>24</v>
      </c>
      <c r="CY116" s="217">
        <f t="shared" si="378"/>
        <v>0.49623841140654157</v>
      </c>
      <c r="CZ116" s="217">
        <f t="shared" si="379"/>
        <v>0.5513760126739351</v>
      </c>
      <c r="DA116" s="217">
        <f t="shared" si="380"/>
        <v>0.30366760175414842</v>
      </c>
      <c r="DB116" s="197">
        <f t="shared" si="381"/>
        <v>261.16478898249903</v>
      </c>
      <c r="DC116" s="443">
        <f t="shared" si="382"/>
        <v>350</v>
      </c>
      <c r="DE116" s="217">
        <f t="shared" si="383"/>
        <v>2.2222222222222223</v>
      </c>
      <c r="DF116" s="173">
        <f t="shared" si="384"/>
        <v>1.3598642855443031</v>
      </c>
      <c r="DG116" s="173">
        <f t="shared" si="385"/>
        <v>0.26320462482489204</v>
      </c>
      <c r="DH116" s="173"/>
      <c r="DI116" s="173">
        <f t="shared" si="386"/>
        <v>1.3598642855443031</v>
      </c>
      <c r="DJ116" s="545">
        <f t="shared" si="387"/>
        <v>59.534999999999975</v>
      </c>
      <c r="DK116" s="528">
        <f t="shared" si="388"/>
        <v>0.26320462482489204</v>
      </c>
      <c r="DM116" s="173">
        <f t="shared" si="389"/>
        <v>0.91651513899116788</v>
      </c>
      <c r="DN116" s="173">
        <f t="shared" si="390"/>
        <v>2.2222222222222223</v>
      </c>
      <c r="DO116" s="173">
        <f t="shared" si="391"/>
        <v>1.0340199999999999</v>
      </c>
      <c r="DQ116" s="545">
        <f t="shared" si="392"/>
        <v>60</v>
      </c>
      <c r="DR116" s="460">
        <f t="shared" si="393"/>
        <v>59.534999999999975</v>
      </c>
      <c r="DT116">
        <f t="shared" si="430"/>
        <v>60</v>
      </c>
      <c r="DU116">
        <f t="shared" si="431"/>
        <v>59.534999999999975</v>
      </c>
      <c r="DW116" s="5">
        <f t="shared" si="394"/>
        <v>16.796842193667597</v>
      </c>
      <c r="DX116" s="5">
        <f t="shared" si="395"/>
        <v>2.4691358024691361</v>
      </c>
      <c r="DY116" s="5">
        <f t="shared" si="396"/>
        <v>14.327706391198461</v>
      </c>
      <c r="DZ116" s="5"/>
      <c r="EA116" s="173">
        <f t="shared" si="397"/>
        <v>0.14699999999999996</v>
      </c>
      <c r="EB116" s="173">
        <f t="shared" si="398"/>
        <v>1.4699999999999998</v>
      </c>
      <c r="EC116" s="173">
        <f t="shared" si="399"/>
        <v>0.63216777777777777</v>
      </c>
      <c r="ED116" s="173">
        <f t="shared" si="400"/>
        <v>2.3253320584725219</v>
      </c>
      <c r="EE116" s="460">
        <f t="shared" si="401"/>
        <v>0.61728395061728403</v>
      </c>
      <c r="EF116" s="5">
        <f t="shared" si="402"/>
        <v>1.9103608521597946</v>
      </c>
      <c r="EH116" s="173">
        <f t="shared" si="403"/>
        <v>0.49190985824841454</v>
      </c>
      <c r="EI116" s="173">
        <f t="shared" si="404"/>
        <v>0.79036410528948065</v>
      </c>
      <c r="EK116" s="528">
        <f t="shared" si="405"/>
        <v>9.6790123456790122E-3</v>
      </c>
      <c r="EL116" s="528">
        <f t="shared" si="406"/>
        <v>9.2198712374999978E-2</v>
      </c>
      <c r="EM116" s="528">
        <f t="shared" si="407"/>
        <v>1.1906999999999994E-2</v>
      </c>
      <c r="EN116" s="528">
        <f t="shared" si="408"/>
        <v>6.6907536903644035E-3</v>
      </c>
      <c r="EO116">
        <f t="shared" si="409"/>
        <v>4.0499999999999998E-3</v>
      </c>
      <c r="EP116" s="460">
        <f t="shared" si="410"/>
        <v>15.956999999999992</v>
      </c>
      <c r="EQ116" s="460"/>
      <c r="ER116" s="460">
        <f t="shared" si="432"/>
        <v>124.52547841104339</v>
      </c>
      <c r="ES116" s="528">
        <f t="shared" si="411"/>
        <v>4.1999999999999996E-2</v>
      </c>
      <c r="EV116" s="460">
        <f t="shared" si="412"/>
        <v>41.999999999999993</v>
      </c>
      <c r="EW116" s="528">
        <f t="shared" si="413"/>
        <v>7.2592592592592578E-3</v>
      </c>
      <c r="EX116" s="528">
        <f t="shared" si="414"/>
        <v>1.8740262567901234E-2</v>
      </c>
      <c r="EY116" s="528">
        <f t="shared" si="415"/>
        <v>1.0066294101732313E-2</v>
      </c>
      <c r="EZ116" s="528"/>
      <c r="FA116" s="528">
        <f t="shared" si="416"/>
        <v>5.8799999999999991E-2</v>
      </c>
      <c r="FB116" s="460">
        <f t="shared" si="417"/>
        <v>94.865815928892786</v>
      </c>
      <c r="FC116" s="173">
        <f t="shared" si="418"/>
        <v>0.26139129433993619</v>
      </c>
      <c r="FD116" s="5">
        <f t="shared" si="419"/>
        <v>1.44</v>
      </c>
      <c r="FE116" s="173">
        <f t="shared" si="420"/>
        <v>0.84636615033266394</v>
      </c>
      <c r="FF116" s="5">
        <f t="shared" si="421"/>
        <v>84.636615033266395</v>
      </c>
      <c r="FI116" s="562">
        <f t="shared" si="422"/>
        <v>-50</v>
      </c>
      <c r="FJ116">
        <f t="shared" si="423"/>
        <v>-50</v>
      </c>
      <c r="FL116">
        <f t="shared" si="424"/>
        <v>8.095952023988004E-2</v>
      </c>
    </row>
    <row r="117" spans="5:168">
      <c r="E117" s="170">
        <v>7</v>
      </c>
      <c r="F117" s="217">
        <f t="shared" si="425"/>
        <v>7.0000000000000007E-2</v>
      </c>
      <c r="G117" s="217"/>
      <c r="H117" s="217">
        <f t="shared" si="315"/>
        <v>1.6800000000000002</v>
      </c>
      <c r="I117" s="541">
        <f t="shared" si="316"/>
        <v>8.9230199641080503</v>
      </c>
      <c r="J117" s="172">
        <f t="shared" si="317"/>
        <v>16.356177530509115</v>
      </c>
      <c r="K117" s="172">
        <f t="shared" si="318"/>
        <v>25.279197494617165</v>
      </c>
      <c r="L117" s="443"/>
      <c r="M117" s="217">
        <f t="shared" si="319"/>
        <v>0.64702335676345168</v>
      </c>
      <c r="N117" s="172">
        <f t="shared" si="426"/>
        <v>32.152398318364</v>
      </c>
      <c r="O117" s="172">
        <f t="shared" si="284"/>
        <v>1.6800000000000002</v>
      </c>
      <c r="P117" s="217">
        <f t="shared" si="320"/>
        <v>1.3396832632651667</v>
      </c>
      <c r="Q117" s="217">
        <f t="shared" si="321"/>
        <v>24</v>
      </c>
      <c r="R117" s="217"/>
      <c r="S117" s="172">
        <f t="shared" si="322"/>
        <v>694.80796668520759</v>
      </c>
      <c r="T117" s="172">
        <f t="shared" si="323"/>
        <v>24</v>
      </c>
      <c r="U117" s="217">
        <f t="shared" si="324"/>
        <v>0.59464289350471633</v>
      </c>
      <c r="V117" s="217">
        <f t="shared" si="325"/>
        <v>0.66641439321732732</v>
      </c>
      <c r="W117" s="217">
        <f t="shared" si="326"/>
        <v>0.36355859576330185</v>
      </c>
      <c r="X117" s="197">
        <f t="shared" si="327"/>
        <v>259.80225203959685</v>
      </c>
      <c r="Y117" s="443">
        <f t="shared" si="328"/>
        <v>350</v>
      </c>
      <c r="AA117" s="217">
        <f t="shared" si="329"/>
        <v>2.2222222222222223</v>
      </c>
      <c r="AB117" s="173">
        <f t="shared" si="330"/>
        <v>1.3586439851714256</v>
      </c>
      <c r="AC117" s="173">
        <f t="shared" si="331"/>
        <v>0.26159648626009102</v>
      </c>
      <c r="AD117" s="173"/>
      <c r="AE117" s="173">
        <f t="shared" si="332"/>
        <v>1.3586439851714256</v>
      </c>
      <c r="AF117" s="545">
        <f t="shared" si="333"/>
        <v>69.519885005986993</v>
      </c>
      <c r="AG117" s="528">
        <f t="shared" si="334"/>
        <v>0.26159648626009097</v>
      </c>
      <c r="AI117" s="173">
        <f t="shared" si="335"/>
        <v>0.99039396793633827</v>
      </c>
      <c r="AJ117" s="173">
        <f t="shared" si="336"/>
        <v>2.2222222222222223</v>
      </c>
      <c r="AK117" s="173">
        <f t="shared" si="337"/>
        <v>1.0397256485748496</v>
      </c>
      <c r="AM117" s="545">
        <f t="shared" si="338"/>
        <v>70</v>
      </c>
      <c r="AN117" s="460">
        <f t="shared" si="339"/>
        <v>69.519885005986993</v>
      </c>
      <c r="AP117" s="460">
        <f t="shared" si="340"/>
        <v>70</v>
      </c>
      <c r="AQ117" s="460">
        <f t="shared" si="341"/>
        <v>69.519885005986993</v>
      </c>
      <c r="AS117" s="5">
        <f t="shared" si="285"/>
        <v>14.384373620783188</v>
      </c>
      <c r="AT117" s="5">
        <f t="shared" si="342"/>
        <v>2.4904373532289381</v>
      </c>
      <c r="AU117" s="5">
        <f t="shared" si="343"/>
        <v>11.893936267554251</v>
      </c>
      <c r="AV117" s="5"/>
      <c r="AW117" s="173">
        <f t="shared" si="344"/>
        <v>0.17313491841109038</v>
      </c>
      <c r="AX117" s="173">
        <f t="shared" si="214"/>
        <v>1.7165403705181976</v>
      </c>
      <c r="AY117" s="173">
        <f t="shared" si="215"/>
        <v>0.61279889935533638</v>
      </c>
      <c r="AZ117" s="173">
        <f t="shared" si="288"/>
        <v>2.8011479333986986</v>
      </c>
      <c r="BA117" s="460">
        <f t="shared" ref="BA117:BA180" si="433">F117*AT117/Vout_ripple*1000</f>
        <v>0.72637756135844034</v>
      </c>
      <c r="BB117" s="5">
        <f t="shared" ref="BB117:BB180" si="434">H117/Efficiency/I117*AU117/Vinripple1</f>
        <v>1.866129498931413</v>
      </c>
      <c r="BD117" s="173">
        <f t="shared" si="289"/>
        <v>0.53384993253809698</v>
      </c>
      <c r="BE117" s="173">
        <f t="shared" si="218"/>
        <v>0.7781619995766943</v>
      </c>
      <c r="BG117" s="528">
        <f t="shared" si="347"/>
        <v>1.1399830018837227E-2</v>
      </c>
      <c r="BH117" s="528">
        <f t="shared" si="348"/>
        <v>8.7870345143470988E-2</v>
      </c>
      <c r="BI117" s="528">
        <f t="shared" si="349"/>
        <v>2.4813092872436715E-2</v>
      </c>
      <c r="BJ117" s="528">
        <f t="shared" si="350"/>
        <v>7.7745213308069204E-3</v>
      </c>
      <c r="BK117">
        <f t="shared" si="351"/>
        <v>4.0153589838486225E-3</v>
      </c>
      <c r="BL117" s="460">
        <f t="shared" si="427"/>
        <v>28.828451856285341</v>
      </c>
      <c r="BM117" s="528">
        <f t="shared" si="352"/>
        <v>0.11042173887733323</v>
      </c>
      <c r="BN117" s="460">
        <f t="shared" si="353"/>
        <v>110.42173887733323</v>
      </c>
      <c r="BO117" s="528">
        <f t="shared" si="354"/>
        <v>4.9000000000000002E-2</v>
      </c>
      <c r="BR117" s="460">
        <f t="shared" si="355"/>
        <v>49</v>
      </c>
      <c r="BS117" s="528">
        <f t="shared" si="356"/>
        <v>8.5498725141279191E-3</v>
      </c>
      <c r="BT117" s="528">
        <f t="shared" si="357"/>
        <v>1.8166082927555977E-2</v>
      </c>
      <c r="BU117" s="528">
        <f t="shared" si="358"/>
        <v>1.483239670626281E-2</v>
      </c>
      <c r="BV117" s="528"/>
      <c r="BW117" s="528">
        <f t="shared" si="359"/>
        <v>6.8661614820727912E-2</v>
      </c>
      <c r="BX117" s="460">
        <f t="shared" si="360"/>
        <v>110.20996696867462</v>
      </c>
      <c r="BY117" s="173">
        <f t="shared" si="361"/>
        <v>0.29508311531807507</v>
      </c>
      <c r="BZ117" s="5">
        <f t="shared" si="362"/>
        <v>1.6800000000000002</v>
      </c>
      <c r="CA117" s="173">
        <f t="shared" si="363"/>
        <v>0.85059711511403724</v>
      </c>
      <c r="CB117" s="5">
        <f t="shared" si="364"/>
        <v>85.059711511403719</v>
      </c>
      <c r="CE117" s="562">
        <f t="shared" si="365"/>
        <v>-50</v>
      </c>
      <c r="CF117">
        <f t="shared" si="366"/>
        <v>-50</v>
      </c>
      <c r="CG117" s="173">
        <f t="shared" si="367"/>
        <v>9.5431584974746977E-2</v>
      </c>
      <c r="CI117" s="170">
        <v>7</v>
      </c>
      <c r="CJ117" s="217">
        <f t="shared" si="428"/>
        <v>7.0000000000000007E-2</v>
      </c>
      <c r="CK117" s="217"/>
      <c r="CL117" s="217">
        <f t="shared" si="368"/>
        <v>1.6800000000000002</v>
      </c>
      <c r="CM117" s="541">
        <f t="shared" si="369"/>
        <v>9</v>
      </c>
      <c r="CN117" s="443">
        <f t="shared" si="370"/>
        <v>16.3415</v>
      </c>
      <c r="CO117" s="443">
        <f t="shared" si="371"/>
        <v>25.3415</v>
      </c>
      <c r="CP117" s="443"/>
      <c r="CQ117" s="217">
        <f t="shared" si="372"/>
        <v>0.64485133082098534</v>
      </c>
      <c r="CR117" s="172">
        <f t="shared" si="429"/>
        <v>32.320915977744015</v>
      </c>
      <c r="CS117" s="172">
        <f t="shared" si="373"/>
        <v>1.6800000000000002</v>
      </c>
      <c r="CT117" s="217">
        <f t="shared" si="374"/>
        <v>1.3467048324060007</v>
      </c>
      <c r="CU117" s="217">
        <f t="shared" si="375"/>
        <v>24</v>
      </c>
      <c r="CV117" s="217"/>
      <c r="CW117" s="172">
        <f t="shared" si="376"/>
        <v>700.80208105594363</v>
      </c>
      <c r="CX117" s="172">
        <f t="shared" si="377"/>
        <v>24</v>
      </c>
      <c r="CY117" s="217">
        <f t="shared" si="378"/>
        <v>0.57894481330763192</v>
      </c>
      <c r="CZ117" s="217">
        <f t="shared" si="379"/>
        <v>0.64327201478625762</v>
      </c>
      <c r="DA117" s="217">
        <f t="shared" si="380"/>
        <v>0.35427886871317321</v>
      </c>
      <c r="DB117" s="197">
        <f t="shared" si="381"/>
        <v>261.16478898249903</v>
      </c>
      <c r="DC117" s="443">
        <f t="shared" si="382"/>
        <v>350</v>
      </c>
      <c r="DE117" s="217">
        <f t="shared" si="383"/>
        <v>2.2222222222222223</v>
      </c>
      <c r="DF117" s="173">
        <f t="shared" si="384"/>
        <v>1.3598642855443031</v>
      </c>
      <c r="DG117" s="173">
        <f t="shared" si="385"/>
        <v>0.26320462482489204</v>
      </c>
      <c r="DH117" s="173"/>
      <c r="DI117" s="173">
        <f t="shared" si="386"/>
        <v>1.3598642855443031</v>
      </c>
      <c r="DJ117" s="545">
        <f t="shared" si="387"/>
        <v>69.457499999999982</v>
      </c>
      <c r="DK117" s="528">
        <f t="shared" si="388"/>
        <v>0.26320462482489204</v>
      </c>
      <c r="DM117" s="173">
        <f t="shared" si="389"/>
        <v>0.98994949366116658</v>
      </c>
      <c r="DN117" s="173">
        <f t="shared" si="390"/>
        <v>2.2222222222222223</v>
      </c>
      <c r="DO117" s="173">
        <f t="shared" si="391"/>
        <v>1.03969</v>
      </c>
      <c r="DQ117" s="545">
        <f t="shared" si="392"/>
        <v>70</v>
      </c>
      <c r="DR117" s="460">
        <f t="shared" si="393"/>
        <v>69.457499999999982</v>
      </c>
      <c r="DT117">
        <f t="shared" si="430"/>
        <v>70</v>
      </c>
      <c r="DU117">
        <f t="shared" si="431"/>
        <v>69.457499999999982</v>
      </c>
      <c r="DW117" s="5">
        <f t="shared" si="394"/>
        <v>14.397293308857938</v>
      </c>
      <c r="DX117" s="5">
        <f t="shared" si="395"/>
        <v>2.4691358024691361</v>
      </c>
      <c r="DY117" s="5">
        <f t="shared" si="396"/>
        <v>11.928157506388802</v>
      </c>
      <c r="DZ117" s="5"/>
      <c r="EA117" s="173">
        <f t="shared" si="397"/>
        <v>0.17149999999999999</v>
      </c>
      <c r="EB117" s="173">
        <f t="shared" si="398"/>
        <v>1.7149999999999999</v>
      </c>
      <c r="EC117" s="173">
        <f t="shared" si="399"/>
        <v>0.61401055555555561</v>
      </c>
      <c r="ED117" s="173">
        <f t="shared" si="400"/>
        <v>2.7931115914583438</v>
      </c>
      <c r="EE117" s="460">
        <f t="shared" si="401"/>
        <v>0.72016460905349811</v>
      </c>
      <c r="EF117" s="5">
        <f t="shared" si="402"/>
        <v>1.8554911676604799</v>
      </c>
      <c r="EH117" s="173">
        <f t="shared" si="403"/>
        <v>0.53132337304975696</v>
      </c>
      <c r="EI117" s="173">
        <f t="shared" si="404"/>
        <v>0.77893092981062051</v>
      </c>
      <c r="EK117" s="528">
        <f t="shared" si="405"/>
        <v>1.129218106995885E-2</v>
      </c>
      <c r="EL117" s="528">
        <f t="shared" si="406"/>
        <v>0.10756516443749997</v>
      </c>
      <c r="EM117" s="528">
        <f t="shared" si="407"/>
        <v>1.3891499999999996E-2</v>
      </c>
      <c r="EN117" s="528">
        <f t="shared" si="408"/>
        <v>7.8058793054251391E-3</v>
      </c>
      <c r="EO117">
        <f t="shared" si="409"/>
        <v>4.0499999999999998E-3</v>
      </c>
      <c r="EP117" s="460">
        <f t="shared" si="410"/>
        <v>17.941499999999994</v>
      </c>
      <c r="EQ117" s="460"/>
      <c r="ER117" s="460">
        <f t="shared" si="432"/>
        <v>144.60472481288397</v>
      </c>
      <c r="ES117" s="528">
        <f t="shared" si="411"/>
        <v>4.9000000000000002E-2</v>
      </c>
      <c r="EV117" s="460">
        <f t="shared" si="412"/>
        <v>49</v>
      </c>
      <c r="EW117" s="528">
        <f t="shared" si="413"/>
        <v>8.4691358024691354E-3</v>
      </c>
      <c r="EX117" s="528">
        <f t="shared" si="414"/>
        <v>1.8202001802469135E-2</v>
      </c>
      <c r="EY117" s="528">
        <f t="shared" si="415"/>
        <v>1.4799143756920078E-2</v>
      </c>
      <c r="EZ117" s="528"/>
      <c r="FA117" s="528">
        <f t="shared" si="416"/>
        <v>6.8599999999999994E-2</v>
      </c>
      <c r="FB117" s="460">
        <f t="shared" si="417"/>
        <v>110.07028136185833</v>
      </c>
      <c r="FC117" s="173">
        <f t="shared" si="418"/>
        <v>0.3036750061747423</v>
      </c>
      <c r="FD117" s="5">
        <f t="shared" si="419"/>
        <v>1.6800000000000002</v>
      </c>
      <c r="FE117" s="173">
        <f t="shared" si="420"/>
        <v>0.84691292412846408</v>
      </c>
      <c r="FF117" s="5">
        <f t="shared" si="421"/>
        <v>84.691292412846408</v>
      </c>
      <c r="FI117" s="562">
        <f t="shared" si="422"/>
        <v>-50</v>
      </c>
      <c r="FJ117">
        <f t="shared" si="423"/>
        <v>-50</v>
      </c>
      <c r="FL117">
        <f t="shared" si="424"/>
        <v>9.4452773613193416E-2</v>
      </c>
    </row>
    <row r="118" spans="5:168">
      <c r="E118" s="170">
        <v>8</v>
      </c>
      <c r="F118" s="217">
        <f t="shared" si="425"/>
        <v>0.08</v>
      </c>
      <c r="G118" s="217"/>
      <c r="H118" s="217">
        <f t="shared" si="315"/>
        <v>1.92</v>
      </c>
      <c r="I118" s="541">
        <f t="shared" si="316"/>
        <v>8.9230199641080503</v>
      </c>
      <c r="J118" s="172">
        <f t="shared" si="317"/>
        <v>16.356177530509115</v>
      </c>
      <c r="K118" s="172">
        <f t="shared" si="318"/>
        <v>25.279197494617165</v>
      </c>
      <c r="L118" s="443"/>
      <c r="M118" s="217">
        <f t="shared" si="319"/>
        <v>0.64702335676345168</v>
      </c>
      <c r="N118" s="172">
        <f t="shared" si="426"/>
        <v>32.152398318364</v>
      </c>
      <c r="O118" s="172">
        <f t="shared" si="284"/>
        <v>1.92</v>
      </c>
      <c r="P118" s="217">
        <f t="shared" si="320"/>
        <v>1.3396832632651667</v>
      </c>
      <c r="Q118" s="217">
        <f t="shared" si="321"/>
        <v>24</v>
      </c>
      <c r="R118" s="217"/>
      <c r="S118" s="172">
        <f t="shared" si="322"/>
        <v>606.28734664884564</v>
      </c>
      <c r="T118" s="172">
        <f t="shared" si="323"/>
        <v>24</v>
      </c>
      <c r="U118" s="217">
        <f t="shared" si="324"/>
        <v>0.67959187829110435</v>
      </c>
      <c r="V118" s="217">
        <f t="shared" si="325"/>
        <v>0.76161644939123119</v>
      </c>
      <c r="W118" s="217">
        <f t="shared" si="326"/>
        <v>0.41549553801520211</v>
      </c>
      <c r="X118" s="197">
        <f t="shared" si="327"/>
        <v>259.80225203959685</v>
      </c>
      <c r="Y118" s="443">
        <f t="shared" si="328"/>
        <v>350</v>
      </c>
      <c r="AA118" s="217">
        <f t="shared" si="329"/>
        <v>2.2222222222222223</v>
      </c>
      <c r="AB118" s="173">
        <f t="shared" si="330"/>
        <v>1.3586439851714256</v>
      </c>
      <c r="AC118" s="173">
        <f t="shared" si="331"/>
        <v>0.26159648626009102</v>
      </c>
      <c r="AD118" s="173"/>
      <c r="AE118" s="173">
        <f t="shared" si="332"/>
        <v>1.3586439851714256</v>
      </c>
      <c r="AF118" s="545">
        <f t="shared" si="333"/>
        <v>79.451297149699414</v>
      </c>
      <c r="AG118" s="528">
        <f t="shared" si="334"/>
        <v>0.26159648626009097</v>
      </c>
      <c r="AI118" s="173">
        <f t="shared" si="335"/>
        <v>1.0587756874129581</v>
      </c>
      <c r="AJ118" s="173">
        <f t="shared" si="336"/>
        <v>2.2222222222222223</v>
      </c>
      <c r="AK118" s="173">
        <f t="shared" si="337"/>
        <v>1.0454007412283997</v>
      </c>
      <c r="AM118" s="545">
        <f t="shared" si="338"/>
        <v>80</v>
      </c>
      <c r="AN118" s="460">
        <f t="shared" si="339"/>
        <v>79.451297149699414</v>
      </c>
      <c r="AP118" s="460">
        <f t="shared" si="340"/>
        <v>80</v>
      </c>
      <c r="AQ118" s="460">
        <f t="shared" si="341"/>
        <v>79.451297149699414</v>
      </c>
      <c r="AS118" s="5">
        <f t="shared" si="285"/>
        <v>12.586326918185289</v>
      </c>
      <c r="AT118" s="5">
        <f t="shared" si="342"/>
        <v>2.4904373532289381</v>
      </c>
      <c r="AU118" s="5">
        <f t="shared" si="343"/>
        <v>10.095889564956352</v>
      </c>
      <c r="AV118" s="5"/>
      <c r="AW118" s="173">
        <f t="shared" si="344"/>
        <v>0.1978684781841033</v>
      </c>
      <c r="AX118" s="173">
        <f t="shared" si="214"/>
        <v>1.9617604234493689</v>
      </c>
      <c r="AY118" s="173">
        <f t="shared" si="215"/>
        <v>0.59446858339022568</v>
      </c>
      <c r="AZ118" s="173">
        <f t="shared" si="288"/>
        <v>3.3000237157387589</v>
      </c>
      <c r="BA118" s="460">
        <f t="shared" si="433"/>
        <v>0.83014578440964604</v>
      </c>
      <c r="BB118" s="5">
        <f t="shared" si="434"/>
        <v>1.810308995038191</v>
      </c>
      <c r="BD118" s="173">
        <f t="shared" si="289"/>
        <v>0.57070958385998305</v>
      </c>
      <c r="BE118" s="173">
        <f t="shared" si="218"/>
        <v>0.76643527437697201</v>
      </c>
      <c r="BG118" s="528">
        <f t="shared" si="347"/>
        <v>1.3028377164385402E-2</v>
      </c>
      <c r="BH118" s="528">
        <f t="shared" si="348"/>
        <v>0.10042325159253827</v>
      </c>
      <c r="BI118" s="528">
        <f t="shared" si="349"/>
        <v>2.8357820425641958E-2</v>
      </c>
      <c r="BJ118" s="528">
        <f t="shared" si="350"/>
        <v>8.8851672352079081E-3</v>
      </c>
      <c r="BK118">
        <f t="shared" si="351"/>
        <v>4.0153589838486225E-3</v>
      </c>
      <c r="BL118" s="460">
        <f t="shared" si="427"/>
        <v>32.373179409490582</v>
      </c>
      <c r="BM118" s="528">
        <f t="shared" si="352"/>
        <v>0.12624525536910955</v>
      </c>
      <c r="BN118" s="460">
        <f t="shared" si="353"/>
        <v>126.24525536910954</v>
      </c>
      <c r="BO118" s="528">
        <f t="shared" si="354"/>
        <v>5.5999999999999994E-2</v>
      </c>
      <c r="BR118" s="460">
        <f t="shared" si="355"/>
        <v>55.999999999999993</v>
      </c>
      <c r="BS118" s="528">
        <f t="shared" si="356"/>
        <v>9.7712828732890496E-3</v>
      </c>
      <c r="BT118" s="528">
        <f t="shared" si="357"/>
        <v>1.762269089427913E-2</v>
      </c>
      <c r="BU118" s="528">
        <f t="shared" si="358"/>
        <v>2.0710529380589992E-2</v>
      </c>
      <c r="BV118" s="528"/>
      <c r="BW118" s="528">
        <f t="shared" si="359"/>
        <v>7.8470416937974741E-2</v>
      </c>
      <c r="BX118" s="460">
        <f t="shared" si="360"/>
        <v>126.57492008613292</v>
      </c>
      <c r="BY118" s="173">
        <f t="shared" si="361"/>
        <v>0.33728489548775503</v>
      </c>
      <c r="BZ118" s="5">
        <f t="shared" si="362"/>
        <v>1.92</v>
      </c>
      <c r="CA118" s="173">
        <f t="shared" si="363"/>
        <v>0.85057938580904102</v>
      </c>
      <c r="CB118" s="5">
        <f t="shared" si="364"/>
        <v>85.057938580904107</v>
      </c>
      <c r="CE118" s="562">
        <f t="shared" si="365"/>
        <v>-50</v>
      </c>
      <c r="CF118">
        <f t="shared" si="366"/>
        <v>-50</v>
      </c>
      <c r="CG118" s="173">
        <f t="shared" si="367"/>
        <v>0.10906466854256797</v>
      </c>
      <c r="CI118" s="170">
        <v>8</v>
      </c>
      <c r="CJ118" s="217">
        <f t="shared" si="428"/>
        <v>0.08</v>
      </c>
      <c r="CK118" s="217"/>
      <c r="CL118" s="217">
        <f t="shared" si="368"/>
        <v>1.92</v>
      </c>
      <c r="CM118" s="541">
        <f t="shared" si="369"/>
        <v>9</v>
      </c>
      <c r="CN118" s="443">
        <f t="shared" si="370"/>
        <v>16.3415</v>
      </c>
      <c r="CO118" s="443">
        <f t="shared" si="371"/>
        <v>25.3415</v>
      </c>
      <c r="CP118" s="443"/>
      <c r="CQ118" s="217">
        <f t="shared" si="372"/>
        <v>0.64485133082098534</v>
      </c>
      <c r="CR118" s="172">
        <f t="shared" si="429"/>
        <v>32.320915977744015</v>
      </c>
      <c r="CS118" s="172">
        <f t="shared" si="373"/>
        <v>1.92</v>
      </c>
      <c r="CT118" s="217">
        <f t="shared" si="374"/>
        <v>1.3467048324060007</v>
      </c>
      <c r="CU118" s="217">
        <f t="shared" si="375"/>
        <v>24</v>
      </c>
      <c r="CV118" s="217"/>
      <c r="CW118" s="172">
        <f t="shared" si="376"/>
        <v>611.51777020641759</v>
      </c>
      <c r="CX118" s="172">
        <f t="shared" si="377"/>
        <v>24</v>
      </c>
      <c r="CY118" s="217">
        <f t="shared" si="378"/>
        <v>0.66165121520872205</v>
      </c>
      <c r="CZ118" s="217">
        <f t="shared" si="379"/>
        <v>0.73516801689858002</v>
      </c>
      <c r="DA118" s="217">
        <f t="shared" si="380"/>
        <v>0.40489013567219784</v>
      </c>
      <c r="DB118" s="197">
        <f t="shared" si="381"/>
        <v>261.16478898249903</v>
      </c>
      <c r="DC118" s="443">
        <f t="shared" si="382"/>
        <v>350</v>
      </c>
      <c r="DE118" s="217">
        <f t="shared" si="383"/>
        <v>2.2222222222222223</v>
      </c>
      <c r="DF118" s="173">
        <f t="shared" si="384"/>
        <v>1.3598642855443031</v>
      </c>
      <c r="DG118" s="173">
        <f t="shared" si="385"/>
        <v>0.26320462482489204</v>
      </c>
      <c r="DH118" s="173"/>
      <c r="DI118" s="173">
        <f t="shared" si="386"/>
        <v>1.3598642855443031</v>
      </c>
      <c r="DJ118" s="545">
        <f t="shared" si="387"/>
        <v>79.379999999999967</v>
      </c>
      <c r="DK118" s="528">
        <f t="shared" si="388"/>
        <v>0.26320462482489204</v>
      </c>
      <c r="DM118" s="173">
        <f t="shared" si="389"/>
        <v>1.0583005244258361</v>
      </c>
      <c r="DN118" s="173">
        <f t="shared" si="390"/>
        <v>2.2222222222222223</v>
      </c>
      <c r="DO118" s="173">
        <f t="shared" si="391"/>
        <v>1.0453600000000001</v>
      </c>
      <c r="DQ118" s="545">
        <f t="shared" si="392"/>
        <v>80</v>
      </c>
      <c r="DR118" s="460">
        <f t="shared" si="393"/>
        <v>79.379999999999967</v>
      </c>
      <c r="DT118">
        <f t="shared" si="430"/>
        <v>80</v>
      </c>
      <c r="DU118">
        <f t="shared" si="431"/>
        <v>79.379999999999967</v>
      </c>
      <c r="DW118" s="5">
        <f t="shared" si="394"/>
        <v>12.597631645250699</v>
      </c>
      <c r="DX118" s="5">
        <f t="shared" si="395"/>
        <v>2.4691358024691361</v>
      </c>
      <c r="DY118" s="5">
        <f t="shared" si="396"/>
        <v>10.128495842781563</v>
      </c>
      <c r="DZ118" s="5"/>
      <c r="EA118" s="173">
        <f t="shared" si="397"/>
        <v>0.19599999999999992</v>
      </c>
      <c r="EB118" s="173">
        <f t="shared" si="398"/>
        <v>1.9599999999999995</v>
      </c>
      <c r="EC118" s="173">
        <f t="shared" si="399"/>
        <v>0.59585333333333346</v>
      </c>
      <c r="ED118" s="173">
        <f t="shared" si="400"/>
        <v>3.2894000760813609</v>
      </c>
      <c r="EE118" s="460">
        <f t="shared" si="401"/>
        <v>0.82304526748971207</v>
      </c>
      <c r="EF118" s="5">
        <f t="shared" si="402"/>
        <v>1.8006214831611664</v>
      </c>
      <c r="EH118" s="173">
        <f t="shared" si="403"/>
        <v>0.56800857815350558</v>
      </c>
      <c r="EI118" s="173">
        <f t="shared" si="404"/>
        <v>0.76732741896874423</v>
      </c>
      <c r="EK118" s="528">
        <f t="shared" si="405"/>
        <v>1.2905349794238683E-2</v>
      </c>
      <c r="EL118" s="528">
        <f t="shared" si="406"/>
        <v>0.12293161649999997</v>
      </c>
      <c r="EM118" s="528">
        <f t="shared" si="407"/>
        <v>1.5875999999999991E-2</v>
      </c>
      <c r="EN118" s="528">
        <f t="shared" si="408"/>
        <v>8.9210049204858713E-3</v>
      </c>
      <c r="EO118">
        <f t="shared" si="409"/>
        <v>4.0499999999999998E-3</v>
      </c>
      <c r="EP118" s="460">
        <f t="shared" si="410"/>
        <v>19.925999999999991</v>
      </c>
      <c r="EQ118" s="460"/>
      <c r="ER118" s="460">
        <f t="shared" si="432"/>
        <v>164.68397121472449</v>
      </c>
      <c r="ES118" s="528">
        <f t="shared" si="411"/>
        <v>5.5999999999999994E-2</v>
      </c>
      <c r="EV118" s="460">
        <f t="shared" si="412"/>
        <v>55.999999999999993</v>
      </c>
      <c r="EW118" s="528">
        <f t="shared" si="413"/>
        <v>9.6790123456790122E-3</v>
      </c>
      <c r="EX118" s="528">
        <f t="shared" si="414"/>
        <v>1.7663741037037044E-2</v>
      </c>
      <c r="EY118" s="528">
        <f t="shared" si="415"/>
        <v>2.0664098166674132E-2</v>
      </c>
      <c r="EZ118" s="528"/>
      <c r="FA118" s="528">
        <f t="shared" si="416"/>
        <v>7.8399999999999997E-2</v>
      </c>
      <c r="FB118" s="460">
        <f t="shared" si="417"/>
        <v>126.40685154939018</v>
      </c>
      <c r="FC118" s="173">
        <f t="shared" si="418"/>
        <v>0.34709082276411463</v>
      </c>
      <c r="FD118" s="5">
        <f t="shared" si="419"/>
        <v>1.92</v>
      </c>
      <c r="FE118" s="173">
        <f t="shared" si="420"/>
        <v>0.84690034502414435</v>
      </c>
      <c r="FF118" s="5">
        <f t="shared" si="421"/>
        <v>84.690034502414434</v>
      </c>
      <c r="FI118" s="562">
        <f t="shared" si="422"/>
        <v>-50</v>
      </c>
      <c r="FJ118">
        <f t="shared" si="423"/>
        <v>-50</v>
      </c>
      <c r="FL118">
        <f t="shared" si="424"/>
        <v>0.10794602698650674</v>
      </c>
    </row>
    <row r="119" spans="5:168">
      <c r="E119" s="170">
        <v>9</v>
      </c>
      <c r="F119" s="217">
        <f t="shared" si="425"/>
        <v>0.09</v>
      </c>
      <c r="G119" s="217"/>
      <c r="H119" s="217">
        <f t="shared" si="315"/>
        <v>2.16</v>
      </c>
      <c r="I119" s="541">
        <f t="shared" si="316"/>
        <v>8.9230199641080503</v>
      </c>
      <c r="J119" s="172">
        <f t="shared" si="317"/>
        <v>16.356177530509115</v>
      </c>
      <c r="K119" s="172">
        <f t="shared" si="318"/>
        <v>25.279197494617165</v>
      </c>
      <c r="L119" s="443"/>
      <c r="M119" s="217">
        <f t="shared" si="319"/>
        <v>0.64702335676345168</v>
      </c>
      <c r="N119" s="172">
        <f t="shared" si="426"/>
        <v>32.152398318364</v>
      </c>
      <c r="O119" s="172">
        <f t="shared" si="284"/>
        <v>2.16</v>
      </c>
      <c r="P119" s="217">
        <f t="shared" si="320"/>
        <v>1.3396832632651667</v>
      </c>
      <c r="Q119" s="217">
        <f t="shared" si="321"/>
        <v>24</v>
      </c>
      <c r="R119" s="217"/>
      <c r="S119" s="172">
        <f t="shared" si="322"/>
        <v>537.43829482640058</v>
      </c>
      <c r="T119" s="172">
        <f t="shared" si="323"/>
        <v>24</v>
      </c>
      <c r="U119" s="217">
        <f t="shared" si="324"/>
        <v>0.76454086307749247</v>
      </c>
      <c r="V119" s="217">
        <f t="shared" si="325"/>
        <v>0.85681850556513517</v>
      </c>
      <c r="W119" s="217">
        <f t="shared" si="326"/>
        <v>0.46743248026710243</v>
      </c>
      <c r="X119" s="197">
        <f t="shared" si="327"/>
        <v>259.80225203959685</v>
      </c>
      <c r="Y119" s="443">
        <f t="shared" si="328"/>
        <v>350</v>
      </c>
      <c r="AA119" s="217">
        <f t="shared" si="329"/>
        <v>2.2222222222222223</v>
      </c>
      <c r="AB119" s="173">
        <f t="shared" si="330"/>
        <v>1.3586439851714256</v>
      </c>
      <c r="AC119" s="173">
        <f t="shared" si="331"/>
        <v>0.26159648626009102</v>
      </c>
      <c r="AD119" s="173"/>
      <c r="AE119" s="173">
        <f t="shared" si="332"/>
        <v>1.3586439851714256</v>
      </c>
      <c r="AF119" s="545">
        <f t="shared" si="333"/>
        <v>89.382709293411835</v>
      </c>
      <c r="AG119" s="528">
        <f t="shared" si="334"/>
        <v>0.26159648626009097</v>
      </c>
      <c r="AI119" s="173">
        <f t="shared" si="335"/>
        <v>1.1230012024877265</v>
      </c>
      <c r="AJ119" s="173">
        <f t="shared" si="336"/>
        <v>2.2222222222222223</v>
      </c>
      <c r="AK119" s="173">
        <f t="shared" si="337"/>
        <v>1.0510758338819497</v>
      </c>
      <c r="AM119" s="545">
        <f t="shared" si="338"/>
        <v>90</v>
      </c>
      <c r="AN119" s="460">
        <f t="shared" si="339"/>
        <v>89.382709293411835</v>
      </c>
      <c r="AP119" s="460">
        <f t="shared" si="340"/>
        <v>90</v>
      </c>
      <c r="AQ119" s="460">
        <f t="shared" si="341"/>
        <v>89.382709293411835</v>
      </c>
      <c r="AS119" s="5">
        <f t="shared" si="285"/>
        <v>11.187846149498037</v>
      </c>
      <c r="AT119" s="5">
        <f t="shared" si="342"/>
        <v>2.4904373532289381</v>
      </c>
      <c r="AU119" s="5">
        <f t="shared" si="343"/>
        <v>8.6974087962690998</v>
      </c>
      <c r="AV119" s="5"/>
      <c r="AW119" s="173">
        <f t="shared" si="344"/>
        <v>0.22260203795711617</v>
      </c>
      <c r="AX119" s="173">
        <f t="shared" si="214"/>
        <v>2.2069804763805396</v>
      </c>
      <c r="AY119" s="173">
        <f t="shared" si="215"/>
        <v>0.57613826742511509</v>
      </c>
      <c r="AZ119" s="173">
        <f t="shared" si="288"/>
        <v>3.8306437901512886</v>
      </c>
      <c r="BA119" s="460">
        <f t="shared" si="433"/>
        <v>0.93391400746085185</v>
      </c>
      <c r="BB119" s="5">
        <f t="shared" si="434"/>
        <v>1.7544884911449699</v>
      </c>
      <c r="BD119" s="173">
        <f t="shared" si="289"/>
        <v>0.60532892525331994</v>
      </c>
      <c r="BE119" s="173">
        <f t="shared" si="218"/>
        <v>0.75452631632926503</v>
      </c>
      <c r="BG119" s="528">
        <f t="shared" si="347"/>
        <v>1.4656924309933577E-2</v>
      </c>
      <c r="BH119" s="528">
        <f t="shared" si="348"/>
        <v>0.11297615804160552</v>
      </c>
      <c r="BI119" s="528">
        <f t="shared" si="349"/>
        <v>3.1902547978847201E-2</v>
      </c>
      <c r="BJ119" s="528">
        <f t="shared" si="350"/>
        <v>9.9958131396088966E-3</v>
      </c>
      <c r="BK119">
        <f t="shared" si="351"/>
        <v>4.0153589838486225E-3</v>
      </c>
      <c r="BL119" s="460">
        <f t="shared" si="427"/>
        <v>35.917906962695824</v>
      </c>
      <c r="BM119" s="528">
        <f t="shared" si="352"/>
        <v>0.14208106024661823</v>
      </c>
      <c r="BN119" s="460">
        <f t="shared" si="353"/>
        <v>142.08106024661822</v>
      </c>
      <c r="BO119" s="528">
        <f t="shared" si="354"/>
        <v>6.3E-2</v>
      </c>
      <c r="BR119" s="460">
        <f t="shared" si="355"/>
        <v>63</v>
      </c>
      <c r="BS119" s="528">
        <f t="shared" si="356"/>
        <v>1.0992693232450182E-2</v>
      </c>
      <c r="BT119" s="528">
        <f t="shared" si="357"/>
        <v>1.7079298861002304E-2</v>
      </c>
      <c r="BU119" s="528">
        <f t="shared" si="358"/>
        <v>2.7801773838873056E-2</v>
      </c>
      <c r="BV119" s="528"/>
      <c r="BW119" s="528">
        <f t="shared" si="359"/>
        <v>8.8279219055221597E-2</v>
      </c>
      <c r="BX119" s="460">
        <f t="shared" si="360"/>
        <v>144.15298498754714</v>
      </c>
      <c r="BY119" s="173">
        <f t="shared" si="361"/>
        <v>0.38069978744139088</v>
      </c>
      <c r="BZ119" s="5">
        <f t="shared" si="362"/>
        <v>2.16</v>
      </c>
      <c r="CA119" s="173">
        <f t="shared" si="363"/>
        <v>0.85015947601397868</v>
      </c>
      <c r="CB119" s="5">
        <f t="shared" si="364"/>
        <v>85.015947601397869</v>
      </c>
      <c r="CE119" s="562">
        <f t="shared" si="365"/>
        <v>-50</v>
      </c>
      <c r="CF119">
        <f t="shared" si="366"/>
        <v>-50</v>
      </c>
      <c r="CG119" s="173">
        <f t="shared" si="367"/>
        <v>0.12269775211038897</v>
      </c>
      <c r="CI119" s="170">
        <v>9</v>
      </c>
      <c r="CJ119" s="217">
        <f t="shared" si="428"/>
        <v>0.09</v>
      </c>
      <c r="CK119" s="217"/>
      <c r="CL119" s="217">
        <f t="shared" si="368"/>
        <v>2.16</v>
      </c>
      <c r="CM119" s="541">
        <f t="shared" si="369"/>
        <v>9</v>
      </c>
      <c r="CN119" s="443">
        <f t="shared" si="370"/>
        <v>16.3415</v>
      </c>
      <c r="CO119" s="443">
        <f t="shared" si="371"/>
        <v>25.3415</v>
      </c>
      <c r="CP119" s="443"/>
      <c r="CQ119" s="217">
        <f t="shared" si="372"/>
        <v>0.64485133082098534</v>
      </c>
      <c r="CR119" s="172">
        <f t="shared" si="429"/>
        <v>32.320915977744015</v>
      </c>
      <c r="CS119" s="172">
        <f t="shared" si="373"/>
        <v>2.16</v>
      </c>
      <c r="CT119" s="217">
        <f t="shared" si="374"/>
        <v>1.3467048324060007</v>
      </c>
      <c r="CU119" s="217">
        <f t="shared" si="375"/>
        <v>24</v>
      </c>
      <c r="CV119" s="217"/>
      <c r="CW119" s="172">
        <f t="shared" si="376"/>
        <v>542.07473664745226</v>
      </c>
      <c r="CX119" s="172">
        <f t="shared" si="377"/>
        <v>24</v>
      </c>
      <c r="CY119" s="217">
        <f t="shared" si="378"/>
        <v>0.74435761710981241</v>
      </c>
      <c r="CZ119" s="217">
        <f t="shared" si="379"/>
        <v>0.82706401901090265</v>
      </c>
      <c r="DA119" s="217">
        <f t="shared" si="380"/>
        <v>0.45550140263122263</v>
      </c>
      <c r="DB119" s="197">
        <f t="shared" si="381"/>
        <v>261.16478898249903</v>
      </c>
      <c r="DC119" s="443">
        <f t="shared" si="382"/>
        <v>350</v>
      </c>
      <c r="DE119" s="217">
        <f t="shared" si="383"/>
        <v>2.2222222222222223</v>
      </c>
      <c r="DF119" s="173">
        <f t="shared" si="384"/>
        <v>1.3598642855443031</v>
      </c>
      <c r="DG119" s="173">
        <f t="shared" si="385"/>
        <v>0.26320462482489204</v>
      </c>
      <c r="DH119" s="173"/>
      <c r="DI119" s="173">
        <f t="shared" si="386"/>
        <v>1.3598642855443031</v>
      </c>
      <c r="DJ119" s="545">
        <f t="shared" si="387"/>
        <v>89.302499999999966</v>
      </c>
      <c r="DK119" s="528">
        <f t="shared" si="388"/>
        <v>0.26320462482489204</v>
      </c>
      <c r="DM119" s="173">
        <f t="shared" si="389"/>
        <v>1.1224972160321822</v>
      </c>
      <c r="DN119" s="173">
        <f t="shared" si="390"/>
        <v>2.2222222222222223</v>
      </c>
      <c r="DO119" s="173">
        <f t="shared" si="391"/>
        <v>1.0510299999999999</v>
      </c>
      <c r="DQ119" s="545">
        <f t="shared" si="392"/>
        <v>90</v>
      </c>
      <c r="DR119" s="460">
        <f t="shared" si="393"/>
        <v>89.302499999999966</v>
      </c>
      <c r="DT119">
        <f t="shared" si="430"/>
        <v>90</v>
      </c>
      <c r="DU119">
        <f t="shared" si="431"/>
        <v>89.302499999999966</v>
      </c>
      <c r="DW119" s="5">
        <f t="shared" si="394"/>
        <v>11.197894795778398</v>
      </c>
      <c r="DX119" s="5">
        <f t="shared" si="395"/>
        <v>2.4691358024691361</v>
      </c>
      <c r="DY119" s="5">
        <f t="shared" si="396"/>
        <v>8.7287589933092615</v>
      </c>
      <c r="DZ119" s="5"/>
      <c r="EA119" s="173">
        <f t="shared" si="397"/>
        <v>0.22049999999999995</v>
      </c>
      <c r="EB119" s="173">
        <f t="shared" si="398"/>
        <v>2.2049999999999996</v>
      </c>
      <c r="EC119" s="173">
        <f t="shared" si="399"/>
        <v>0.57769611111111119</v>
      </c>
      <c r="ED119" s="173">
        <f t="shared" si="400"/>
        <v>3.8168856559532922</v>
      </c>
      <c r="EE119" s="460">
        <f t="shared" si="401"/>
        <v>0.92592592592592593</v>
      </c>
      <c r="EF119" s="5">
        <f t="shared" si="402"/>
        <v>1.7457517986618523</v>
      </c>
      <c r="EH119" s="173">
        <f t="shared" si="403"/>
        <v>0.60246407607670927</v>
      </c>
      <c r="EI119" s="173">
        <f t="shared" si="404"/>
        <v>0.75554572488157945</v>
      </c>
      <c r="EK119" s="528">
        <f t="shared" si="405"/>
        <v>1.4518518518518517E-2</v>
      </c>
      <c r="EL119" s="528">
        <f t="shared" si="406"/>
        <v>0.13829806856249996</v>
      </c>
      <c r="EM119" s="528">
        <f t="shared" si="407"/>
        <v>1.7860499999999994E-2</v>
      </c>
      <c r="EN119" s="528">
        <f t="shared" si="408"/>
        <v>1.0036130535546606E-2</v>
      </c>
      <c r="EO119">
        <f t="shared" si="409"/>
        <v>4.0499999999999998E-3</v>
      </c>
      <c r="EP119" s="460">
        <f t="shared" si="410"/>
        <v>21.910499999999992</v>
      </c>
      <c r="EQ119" s="460"/>
      <c r="ER119" s="460">
        <f t="shared" si="432"/>
        <v>184.76321761656507</v>
      </c>
      <c r="ES119" s="528">
        <f t="shared" si="411"/>
        <v>6.3E-2</v>
      </c>
      <c r="EV119" s="460">
        <f t="shared" si="412"/>
        <v>63</v>
      </c>
      <c r="EW119" s="528">
        <f t="shared" si="413"/>
        <v>1.0888888888888887E-2</v>
      </c>
      <c r="EX119" s="528">
        <f t="shared" si="414"/>
        <v>1.7125480271604942E-2</v>
      </c>
      <c r="EY119" s="528">
        <f t="shared" si="415"/>
        <v>2.7739444668786122E-2</v>
      </c>
      <c r="EZ119" s="528"/>
      <c r="FA119" s="528">
        <f t="shared" si="416"/>
        <v>8.8199999999999987E-2</v>
      </c>
      <c r="FB119" s="460">
        <f t="shared" si="417"/>
        <v>143.95381382927994</v>
      </c>
      <c r="FC119" s="173">
        <f t="shared" si="418"/>
        <v>0.39171703144584502</v>
      </c>
      <c r="FD119" s="5">
        <f t="shared" si="419"/>
        <v>2.16</v>
      </c>
      <c r="FE119" s="173">
        <f t="shared" si="420"/>
        <v>0.84648884393584523</v>
      </c>
      <c r="FF119" s="5">
        <f t="shared" si="421"/>
        <v>84.648884393584524</v>
      </c>
      <c r="FI119" s="562">
        <f t="shared" si="422"/>
        <v>-50</v>
      </c>
      <c r="FJ119">
        <f t="shared" si="423"/>
        <v>-50</v>
      </c>
      <c r="FL119">
        <f t="shared" si="424"/>
        <v>0.12143928035982007</v>
      </c>
    </row>
    <row r="120" spans="5:168">
      <c r="E120" s="170">
        <v>10</v>
      </c>
      <c r="F120" s="217">
        <f t="shared" si="425"/>
        <v>0.1</v>
      </c>
      <c r="G120" s="217"/>
      <c r="H120" s="217">
        <f t="shared" si="315"/>
        <v>2.4000000000000004</v>
      </c>
      <c r="I120" s="541">
        <f t="shared" si="316"/>
        <v>8.9230199641080503</v>
      </c>
      <c r="J120" s="172">
        <f t="shared" si="317"/>
        <v>16.356177530509115</v>
      </c>
      <c r="K120" s="172">
        <f t="shared" si="318"/>
        <v>25.279197494617165</v>
      </c>
      <c r="L120" s="443"/>
      <c r="M120" s="217">
        <f t="shared" si="319"/>
        <v>0.64702335676345168</v>
      </c>
      <c r="N120" s="172">
        <f t="shared" si="426"/>
        <v>32.152398318364</v>
      </c>
      <c r="O120" s="172">
        <f t="shared" si="284"/>
        <v>2.4000000000000004</v>
      </c>
      <c r="P120" s="217">
        <f t="shared" si="320"/>
        <v>1.3396832632651667</v>
      </c>
      <c r="Q120" s="217">
        <f t="shared" si="321"/>
        <v>24</v>
      </c>
      <c r="R120" s="217"/>
      <c r="S120" s="172">
        <f t="shared" si="322"/>
        <v>482.3593430445269</v>
      </c>
      <c r="T120" s="172">
        <f t="shared" si="323"/>
        <v>24</v>
      </c>
      <c r="U120" s="217">
        <f t="shared" si="324"/>
        <v>0.84948984786388049</v>
      </c>
      <c r="V120" s="217">
        <f t="shared" si="325"/>
        <v>0.95202056173903915</v>
      </c>
      <c r="W120" s="217">
        <f t="shared" si="326"/>
        <v>0.51936942251900275</v>
      </c>
      <c r="X120" s="197">
        <f t="shared" si="327"/>
        <v>259.80225203959685</v>
      </c>
      <c r="Y120" s="443">
        <f t="shared" si="328"/>
        <v>350</v>
      </c>
      <c r="AA120" s="217">
        <f t="shared" si="329"/>
        <v>2.2222222222222223</v>
      </c>
      <c r="AB120" s="173">
        <f t="shared" si="330"/>
        <v>1.3586439851714256</v>
      </c>
      <c r="AC120" s="173">
        <f t="shared" si="331"/>
        <v>0.26159648626009102</v>
      </c>
      <c r="AD120" s="173"/>
      <c r="AE120" s="173">
        <f t="shared" si="332"/>
        <v>1.3586439851714256</v>
      </c>
      <c r="AF120" s="545">
        <f t="shared" si="333"/>
        <v>99.314121437124271</v>
      </c>
      <c r="AG120" s="528">
        <f t="shared" si="334"/>
        <v>0.26159648626009097</v>
      </c>
      <c r="AI120" s="173">
        <f t="shared" si="335"/>
        <v>1.1837472049897215</v>
      </c>
      <c r="AJ120" s="173">
        <f t="shared" si="336"/>
        <v>2.2222222222222223</v>
      </c>
      <c r="AK120" s="173">
        <f t="shared" si="337"/>
        <v>1.0567509265354995</v>
      </c>
      <c r="AM120" s="545">
        <f t="shared" si="338"/>
        <v>100</v>
      </c>
      <c r="AN120" s="460">
        <f t="shared" si="339"/>
        <v>99.314121437124271</v>
      </c>
      <c r="AP120" s="460">
        <f t="shared" si="340"/>
        <v>100</v>
      </c>
      <c r="AQ120" s="460">
        <f t="shared" si="341"/>
        <v>99.314121437124271</v>
      </c>
      <c r="AS120" s="5">
        <f t="shared" si="285"/>
        <v>10.069061534548233</v>
      </c>
      <c r="AT120" s="5">
        <f t="shared" si="342"/>
        <v>2.4904373532289381</v>
      </c>
      <c r="AU120" s="5">
        <f t="shared" si="343"/>
        <v>7.5786241813192952</v>
      </c>
      <c r="AV120" s="5"/>
      <c r="AW120" s="173">
        <f t="shared" si="344"/>
        <v>0.24733559773012909</v>
      </c>
      <c r="AX120" s="173">
        <f t="shared" si="214"/>
        <v>2.4522005293117113</v>
      </c>
      <c r="AY120" s="173">
        <f t="shared" si="215"/>
        <v>0.55780795146000439</v>
      </c>
      <c r="AZ120" s="173">
        <f t="shared" si="288"/>
        <v>4.3961376364272526</v>
      </c>
      <c r="BA120" s="460">
        <f t="shared" si="433"/>
        <v>1.0376822305120577</v>
      </c>
      <c r="BB120" s="5">
        <f t="shared" si="434"/>
        <v>1.6986679872517487</v>
      </c>
      <c r="BD120" s="173">
        <f t="shared" si="289"/>
        <v>0.63807271246076946</v>
      </c>
      <c r="BE120" s="173">
        <f t="shared" si="218"/>
        <v>0.74242635611723506</v>
      </c>
      <c r="BG120" s="528">
        <f t="shared" si="347"/>
        <v>1.6285471455481752E-2</v>
      </c>
      <c r="BH120" s="528">
        <f t="shared" si="348"/>
        <v>0.12552906449067283</v>
      </c>
      <c r="BI120" s="528">
        <f t="shared" si="349"/>
        <v>3.5447275532052451E-2</v>
      </c>
      <c r="BJ120" s="528">
        <f t="shared" si="350"/>
        <v>1.1106459044009887E-2</v>
      </c>
      <c r="BK120">
        <f t="shared" si="351"/>
        <v>4.0153589838486225E-3</v>
      </c>
      <c r="BL120" s="460">
        <f t="shared" si="427"/>
        <v>39.462634515901073</v>
      </c>
      <c r="BM120" s="528">
        <f t="shared" si="352"/>
        <v>0.15792916782997724</v>
      </c>
      <c r="BN120" s="460">
        <f t="shared" si="353"/>
        <v>157.92916782997725</v>
      </c>
      <c r="BO120" s="528">
        <f t="shared" si="354"/>
        <v>6.9999999999999993E-2</v>
      </c>
      <c r="BR120" s="460">
        <f t="shared" si="355"/>
        <v>69.999999999999986</v>
      </c>
      <c r="BS120" s="528">
        <f t="shared" si="356"/>
        <v>1.2214103591611314E-2</v>
      </c>
      <c r="BT120" s="528">
        <f t="shared" si="357"/>
        <v>1.6535906827725464E-2</v>
      </c>
      <c r="BU120" s="528">
        <f t="shared" si="358"/>
        <v>3.6179805894535781E-2</v>
      </c>
      <c r="BV120" s="528"/>
      <c r="BW120" s="528">
        <f t="shared" si="359"/>
        <v>9.808802117246844E-2</v>
      </c>
      <c r="BX120" s="460">
        <f t="shared" si="360"/>
        <v>163.01783748634102</v>
      </c>
      <c r="BY120" s="173">
        <f t="shared" si="361"/>
        <v>0.42540146699240655</v>
      </c>
      <c r="BZ120" s="5">
        <f t="shared" si="362"/>
        <v>2.4000000000000004</v>
      </c>
      <c r="CA120" s="173">
        <f t="shared" si="363"/>
        <v>0.84943680678228028</v>
      </c>
      <c r="CB120" s="5">
        <f t="shared" si="364"/>
        <v>84.943680678228034</v>
      </c>
      <c r="CE120" s="562">
        <f t="shared" si="365"/>
        <v>-50</v>
      </c>
      <c r="CF120">
        <f t="shared" si="366"/>
        <v>-50</v>
      </c>
      <c r="CG120" s="173">
        <f t="shared" si="367"/>
        <v>0.13633083567820997</v>
      </c>
      <c r="CI120" s="170">
        <v>10</v>
      </c>
      <c r="CJ120" s="217">
        <f t="shared" si="428"/>
        <v>0.1</v>
      </c>
      <c r="CK120" s="217"/>
      <c r="CL120" s="217">
        <f t="shared" si="368"/>
        <v>2.4000000000000004</v>
      </c>
      <c r="CM120" s="541">
        <f t="shared" si="369"/>
        <v>9</v>
      </c>
      <c r="CN120" s="443">
        <f t="shared" si="370"/>
        <v>16.3415</v>
      </c>
      <c r="CO120" s="443">
        <f t="shared" si="371"/>
        <v>25.3415</v>
      </c>
      <c r="CP120" s="443"/>
      <c r="CQ120" s="217">
        <f t="shared" si="372"/>
        <v>0.64485133082098534</v>
      </c>
      <c r="CR120" s="172">
        <f t="shared" si="429"/>
        <v>32.320915977744015</v>
      </c>
      <c r="CS120" s="172">
        <f t="shared" si="373"/>
        <v>2.4000000000000004</v>
      </c>
      <c r="CT120" s="217">
        <f t="shared" si="374"/>
        <v>1.3467048324060007</v>
      </c>
      <c r="CU120" s="217">
        <f t="shared" si="375"/>
        <v>24</v>
      </c>
      <c r="CV120" s="217"/>
      <c r="CW120" s="172">
        <f t="shared" si="376"/>
        <v>486.52059948361671</v>
      </c>
      <c r="CX120" s="172">
        <f t="shared" si="377"/>
        <v>24</v>
      </c>
      <c r="CY120" s="217">
        <f t="shared" si="378"/>
        <v>0.82706401901090276</v>
      </c>
      <c r="CZ120" s="217">
        <f t="shared" si="379"/>
        <v>0.91896002112322539</v>
      </c>
      <c r="DA120" s="217">
        <f t="shared" si="380"/>
        <v>0.50611266959024737</v>
      </c>
      <c r="DB120" s="197">
        <f t="shared" si="381"/>
        <v>261.16478898249903</v>
      </c>
      <c r="DC120" s="443">
        <f t="shared" si="382"/>
        <v>350</v>
      </c>
      <c r="DE120" s="217">
        <f t="shared" si="383"/>
        <v>2.2222222222222223</v>
      </c>
      <c r="DF120" s="173">
        <f t="shared" si="384"/>
        <v>1.3598642855443031</v>
      </c>
      <c r="DG120" s="173">
        <f t="shared" si="385"/>
        <v>0.26320462482489204</v>
      </c>
      <c r="DH120" s="173"/>
      <c r="DI120" s="173">
        <f t="shared" si="386"/>
        <v>1.3598642855443031</v>
      </c>
      <c r="DJ120" s="545">
        <f t="shared" si="387"/>
        <v>99.224999999999966</v>
      </c>
      <c r="DK120" s="528">
        <f t="shared" si="388"/>
        <v>0.26320462482489204</v>
      </c>
      <c r="DM120" s="173">
        <f t="shared" si="389"/>
        <v>1.1832159566199232</v>
      </c>
      <c r="DN120" s="173">
        <f t="shared" si="390"/>
        <v>2.2222222222222223</v>
      </c>
      <c r="DO120" s="173">
        <f t="shared" si="391"/>
        <v>1.0567</v>
      </c>
      <c r="DQ120" s="545">
        <f t="shared" si="392"/>
        <v>100</v>
      </c>
      <c r="DR120" s="460">
        <f t="shared" si="393"/>
        <v>99.224999999999966</v>
      </c>
      <c r="DT120">
        <f t="shared" si="430"/>
        <v>100</v>
      </c>
      <c r="DU120">
        <f t="shared" si="431"/>
        <v>99.224999999999966</v>
      </c>
      <c r="DW120" s="5">
        <f t="shared" si="394"/>
        <v>10.078105316200558</v>
      </c>
      <c r="DX120" s="5">
        <f t="shared" si="395"/>
        <v>2.4691358024691361</v>
      </c>
      <c r="DY120" s="5">
        <f t="shared" si="396"/>
        <v>7.6089695137314219</v>
      </c>
      <c r="DZ120" s="5"/>
      <c r="EA120" s="173">
        <f t="shared" si="397"/>
        <v>0.24499999999999994</v>
      </c>
      <c r="EB120" s="173">
        <f t="shared" si="398"/>
        <v>2.4499999999999993</v>
      </c>
      <c r="EC120" s="173">
        <f t="shared" si="399"/>
        <v>0.55953888888888903</v>
      </c>
      <c r="ED120" s="173">
        <f t="shared" si="400"/>
        <v>4.3786053992871095</v>
      </c>
      <c r="EE120" s="460">
        <f t="shared" si="401"/>
        <v>1.0288065843621399</v>
      </c>
      <c r="EF120" s="5">
        <f t="shared" si="402"/>
        <v>1.6908821141625383</v>
      </c>
      <c r="EH120" s="173">
        <f t="shared" si="403"/>
        <v>0.63505289627712025</v>
      </c>
      <c r="EI120" s="173">
        <f t="shared" si="404"/>
        <v>0.74357737786489186</v>
      </c>
      <c r="EK120" s="528">
        <f t="shared" si="405"/>
        <v>1.6131687242798353E-2</v>
      </c>
      <c r="EL120" s="528">
        <f t="shared" si="406"/>
        <v>0.15366452062499997</v>
      </c>
      <c r="EM120" s="528">
        <f t="shared" si="407"/>
        <v>1.9844999999999995E-2</v>
      </c>
      <c r="EN120" s="528">
        <f t="shared" si="408"/>
        <v>1.1151256150607339E-2</v>
      </c>
      <c r="EO120">
        <f t="shared" si="409"/>
        <v>4.0499999999999998E-3</v>
      </c>
      <c r="EP120" s="460">
        <f t="shared" si="410"/>
        <v>23.894999999999992</v>
      </c>
      <c r="EQ120" s="460"/>
      <c r="ER120" s="460">
        <f t="shared" si="432"/>
        <v>204.84246401840565</v>
      </c>
      <c r="ES120" s="528">
        <f t="shared" si="411"/>
        <v>6.9999999999999993E-2</v>
      </c>
      <c r="EV120" s="460">
        <f t="shared" si="412"/>
        <v>69.999999999999986</v>
      </c>
      <c r="EW120" s="528">
        <f t="shared" si="413"/>
        <v>1.2098765432098766E-2</v>
      </c>
      <c r="EX120" s="528">
        <f t="shared" si="414"/>
        <v>1.6587219506172847E-2</v>
      </c>
      <c r="EY120" s="528">
        <f t="shared" si="415"/>
        <v>3.6098693901884464E-2</v>
      </c>
      <c r="EZ120" s="528"/>
      <c r="FA120" s="528">
        <f t="shared" si="416"/>
        <v>9.8000000000000004E-2</v>
      </c>
      <c r="FB120" s="460">
        <f t="shared" si="417"/>
        <v>162.78467884015606</v>
      </c>
      <c r="FC120" s="173">
        <f t="shared" si="418"/>
        <v>0.43762714285856175</v>
      </c>
      <c r="FD120" s="5">
        <f t="shared" si="419"/>
        <v>2.4000000000000004</v>
      </c>
      <c r="FE120" s="173">
        <f t="shared" si="420"/>
        <v>0.84577708034688937</v>
      </c>
      <c r="FF120" s="5">
        <f t="shared" si="421"/>
        <v>84.577708034688939</v>
      </c>
      <c r="FI120" s="562">
        <f t="shared" si="422"/>
        <v>-50</v>
      </c>
      <c r="FJ120">
        <f t="shared" si="423"/>
        <v>-50</v>
      </c>
      <c r="FL120">
        <f t="shared" si="424"/>
        <v>0.13493253373313341</v>
      </c>
    </row>
    <row r="121" spans="5:168">
      <c r="E121" s="170">
        <v>11</v>
      </c>
      <c r="F121" s="217">
        <f t="shared" si="425"/>
        <v>0.11</v>
      </c>
      <c r="G121" s="217"/>
      <c r="H121" s="217">
        <f t="shared" si="315"/>
        <v>2.64</v>
      </c>
      <c r="I121" s="541">
        <f t="shared" si="316"/>
        <v>8.9230199641080503</v>
      </c>
      <c r="J121" s="172">
        <f t="shared" si="317"/>
        <v>16.356177530509115</v>
      </c>
      <c r="K121" s="172">
        <f t="shared" si="318"/>
        <v>25.279197494617165</v>
      </c>
      <c r="L121" s="443"/>
      <c r="M121" s="217">
        <f t="shared" si="319"/>
        <v>0.64702335676345168</v>
      </c>
      <c r="N121" s="172">
        <f t="shared" si="426"/>
        <v>32.152398318364</v>
      </c>
      <c r="O121" s="172">
        <f t="shared" si="284"/>
        <v>2.64</v>
      </c>
      <c r="P121" s="217">
        <f t="shared" si="320"/>
        <v>1.3396832632651667</v>
      </c>
      <c r="Q121" s="217">
        <f t="shared" si="321"/>
        <v>24</v>
      </c>
      <c r="R121" s="217"/>
      <c r="S121" s="172">
        <f t="shared" si="322"/>
        <v>437.29501157778839</v>
      </c>
      <c r="T121" s="172">
        <f t="shared" si="323"/>
        <v>24</v>
      </c>
      <c r="U121" s="217">
        <f t="shared" si="324"/>
        <v>0.93443883265026839</v>
      </c>
      <c r="V121" s="217">
        <f t="shared" si="325"/>
        <v>1.0472226179129427</v>
      </c>
      <c r="W121" s="217">
        <f t="shared" si="326"/>
        <v>0.5713063647709028</v>
      </c>
      <c r="X121" s="197">
        <f t="shared" si="327"/>
        <v>259.80225203959685</v>
      </c>
      <c r="Y121" s="443">
        <f t="shared" si="328"/>
        <v>350</v>
      </c>
      <c r="AA121" s="217">
        <f t="shared" si="329"/>
        <v>2.2222222222222223</v>
      </c>
      <c r="AB121" s="173">
        <f t="shared" si="330"/>
        <v>1.3586439851714256</v>
      </c>
      <c r="AC121" s="173">
        <f t="shared" si="331"/>
        <v>0.26159648626009102</v>
      </c>
      <c r="AD121" s="173"/>
      <c r="AE121" s="173">
        <f t="shared" si="332"/>
        <v>1.3586439851714256</v>
      </c>
      <c r="AF121" s="545">
        <f t="shared" si="333"/>
        <v>109.24553358083669</v>
      </c>
      <c r="AG121" s="528">
        <f t="shared" si="334"/>
        <v>0.26159648626009097</v>
      </c>
      <c r="AI121" s="173">
        <f t="shared" si="335"/>
        <v>1.241524542589906</v>
      </c>
      <c r="AJ121" s="173">
        <f t="shared" si="336"/>
        <v>2.2222222222222223</v>
      </c>
      <c r="AK121" s="173">
        <f t="shared" si="337"/>
        <v>1.0624260191890496</v>
      </c>
      <c r="AM121" s="545">
        <f t="shared" si="338"/>
        <v>110</v>
      </c>
      <c r="AN121" s="460">
        <f t="shared" si="339"/>
        <v>109.24553358083669</v>
      </c>
      <c r="AP121" s="460">
        <f t="shared" si="340"/>
        <v>110</v>
      </c>
      <c r="AQ121" s="460">
        <f t="shared" si="341"/>
        <v>109.24553358083669</v>
      </c>
      <c r="AS121" s="5">
        <f t="shared" si="285"/>
        <v>9.1536923041347578</v>
      </c>
      <c r="AT121" s="5">
        <f t="shared" si="342"/>
        <v>2.4904373532289381</v>
      </c>
      <c r="AU121" s="5">
        <f t="shared" si="343"/>
        <v>6.6632549509058201</v>
      </c>
      <c r="AV121" s="5"/>
      <c r="AW121" s="173">
        <f t="shared" si="344"/>
        <v>0.27206915750314198</v>
      </c>
      <c r="AX121" s="173">
        <f t="shared" si="214"/>
        <v>2.6974205822428816</v>
      </c>
      <c r="AY121" s="173">
        <f t="shared" si="215"/>
        <v>0.53947763549489369</v>
      </c>
      <c r="AZ121" s="173">
        <f t="shared" si="288"/>
        <v>5.000060066935645</v>
      </c>
      <c r="BA121" s="460">
        <f t="shared" si="433"/>
        <v>1.1414504535632632</v>
      </c>
      <c r="BB121" s="5">
        <f t="shared" si="434"/>
        <v>1.6428474833585267</v>
      </c>
      <c r="BD121" s="173">
        <f t="shared" si="289"/>
        <v>0.66921630660478393</v>
      </c>
      <c r="BE121" s="173">
        <f t="shared" si="218"/>
        <v>0.73012589769273417</v>
      </c>
      <c r="BG121" s="528">
        <f t="shared" si="347"/>
        <v>1.7914018601029928E-2</v>
      </c>
      <c r="BH121" s="528">
        <f t="shared" si="348"/>
        <v>0.13808197093974012</v>
      </c>
      <c r="BI121" s="528">
        <f t="shared" si="349"/>
        <v>3.8992003085257694E-2</v>
      </c>
      <c r="BJ121" s="528">
        <f t="shared" si="350"/>
        <v>1.2217104948410874E-2</v>
      </c>
      <c r="BK121">
        <f t="shared" si="351"/>
        <v>4.0153589838486225E-3</v>
      </c>
      <c r="BL121" s="460">
        <f t="shared" si="427"/>
        <v>43.007362069106321</v>
      </c>
      <c r="BM121" s="528">
        <f t="shared" si="352"/>
        <v>0.17378959246156339</v>
      </c>
      <c r="BN121" s="460">
        <f t="shared" si="353"/>
        <v>173.78959246156339</v>
      </c>
      <c r="BO121" s="528">
        <f t="shared" si="354"/>
        <v>7.6999999999999999E-2</v>
      </c>
      <c r="BR121" s="460">
        <f t="shared" si="355"/>
        <v>77</v>
      </c>
      <c r="BS121" s="528">
        <f t="shared" si="356"/>
        <v>1.3435513950772445E-2</v>
      </c>
      <c r="BT121" s="528">
        <f t="shared" si="357"/>
        <v>1.5992514794448628E-2</v>
      </c>
      <c r="BU121" s="528">
        <f t="shared" si="358"/>
        <v>4.5914297662193973E-2</v>
      </c>
      <c r="BV121" s="528"/>
      <c r="BW121" s="528">
        <f t="shared" si="359"/>
        <v>0.10789682328971528</v>
      </c>
      <c r="BX121" s="460">
        <f t="shared" si="360"/>
        <v>183.23914969713033</v>
      </c>
      <c r="BY121" s="173">
        <f t="shared" si="361"/>
        <v>0.47145960625541755</v>
      </c>
      <c r="BZ121" s="5">
        <f t="shared" si="362"/>
        <v>2.64</v>
      </c>
      <c r="CA121" s="173">
        <f t="shared" si="363"/>
        <v>0.84847638538916781</v>
      </c>
      <c r="CB121" s="5">
        <f t="shared" si="364"/>
        <v>84.847638538916783</v>
      </c>
      <c r="CE121" s="562">
        <f t="shared" si="365"/>
        <v>-50</v>
      </c>
      <c r="CF121">
        <f t="shared" si="366"/>
        <v>-50</v>
      </c>
      <c r="CG121" s="173">
        <f t="shared" si="367"/>
        <v>0.14996391924603095</v>
      </c>
      <c r="CI121" s="170">
        <v>11</v>
      </c>
      <c r="CJ121" s="217">
        <f t="shared" si="428"/>
        <v>0.11</v>
      </c>
      <c r="CK121" s="217"/>
      <c r="CL121" s="217">
        <f t="shared" si="368"/>
        <v>2.64</v>
      </c>
      <c r="CM121" s="541">
        <f t="shared" si="369"/>
        <v>9</v>
      </c>
      <c r="CN121" s="443">
        <f t="shared" si="370"/>
        <v>16.3415</v>
      </c>
      <c r="CO121" s="443">
        <f t="shared" si="371"/>
        <v>25.3415</v>
      </c>
      <c r="CP121" s="443"/>
      <c r="CQ121" s="217">
        <f t="shared" si="372"/>
        <v>0.64485133082098534</v>
      </c>
      <c r="CR121" s="172">
        <f t="shared" si="429"/>
        <v>32.320915977744015</v>
      </c>
      <c r="CS121" s="172">
        <f t="shared" si="373"/>
        <v>2.64</v>
      </c>
      <c r="CT121" s="217">
        <f t="shared" si="374"/>
        <v>1.3467048324060007</v>
      </c>
      <c r="CU121" s="217">
        <f t="shared" si="375"/>
        <v>24</v>
      </c>
      <c r="CV121" s="217"/>
      <c r="CW121" s="172">
        <f t="shared" si="376"/>
        <v>441.06747998453682</v>
      </c>
      <c r="CX121" s="172">
        <f t="shared" si="377"/>
        <v>24</v>
      </c>
      <c r="CY121" s="217">
        <f t="shared" si="378"/>
        <v>0.90977042091199301</v>
      </c>
      <c r="CZ121" s="217">
        <f t="shared" si="379"/>
        <v>1.0108560232355479</v>
      </c>
      <c r="DA121" s="217">
        <f t="shared" si="380"/>
        <v>0.55672393654927221</v>
      </c>
      <c r="DB121" s="197">
        <f t="shared" si="381"/>
        <v>261.16478898249903</v>
      </c>
      <c r="DC121" s="443">
        <f t="shared" si="382"/>
        <v>350</v>
      </c>
      <c r="DE121" s="217">
        <f t="shared" si="383"/>
        <v>2.2222222222222223</v>
      </c>
      <c r="DF121" s="173">
        <f t="shared" si="384"/>
        <v>1.3598642855443031</v>
      </c>
      <c r="DG121" s="173">
        <f t="shared" si="385"/>
        <v>0.26320462482489204</v>
      </c>
      <c r="DH121" s="173"/>
      <c r="DI121" s="173">
        <f t="shared" si="386"/>
        <v>1.3598642855443031</v>
      </c>
      <c r="DJ121" s="545">
        <f t="shared" si="387"/>
        <v>109.14749999999997</v>
      </c>
      <c r="DK121" s="528">
        <f t="shared" si="388"/>
        <v>0.26320462482489204</v>
      </c>
      <c r="DM121" s="173">
        <f t="shared" si="389"/>
        <v>1.2409673645990855</v>
      </c>
      <c r="DN121" s="173">
        <f t="shared" si="390"/>
        <v>2.2222222222222223</v>
      </c>
      <c r="DO121" s="173">
        <f t="shared" si="391"/>
        <v>1.06237</v>
      </c>
      <c r="DQ121" s="545">
        <f t="shared" si="392"/>
        <v>110</v>
      </c>
      <c r="DR121" s="460">
        <f t="shared" si="393"/>
        <v>109.14749999999997</v>
      </c>
      <c r="DT121">
        <f t="shared" si="430"/>
        <v>110</v>
      </c>
      <c r="DU121">
        <f t="shared" si="431"/>
        <v>109.14749999999997</v>
      </c>
      <c r="DW121" s="5">
        <f t="shared" si="394"/>
        <v>9.1619139238186893</v>
      </c>
      <c r="DX121" s="5">
        <f t="shared" si="395"/>
        <v>2.4691358024691361</v>
      </c>
      <c r="DY121" s="5">
        <f t="shared" si="396"/>
        <v>6.6927781213495532</v>
      </c>
      <c r="DZ121" s="5"/>
      <c r="EA121" s="173">
        <f t="shared" si="397"/>
        <v>0.26949999999999991</v>
      </c>
      <c r="EB121" s="173">
        <f t="shared" si="398"/>
        <v>2.6949999999999998</v>
      </c>
      <c r="EC121" s="173">
        <f t="shared" si="399"/>
        <v>0.54138166666666687</v>
      </c>
      <c r="ED121" s="173">
        <f t="shared" si="400"/>
        <v>4.9780038112360634</v>
      </c>
      <c r="EE121" s="460">
        <f t="shared" si="401"/>
        <v>1.131687242798354</v>
      </c>
      <c r="EF121" s="5">
        <f t="shared" si="402"/>
        <v>1.6360124296632239</v>
      </c>
      <c r="EH121" s="173">
        <f t="shared" si="403"/>
        <v>0.66604909667152512</v>
      </c>
      <c r="EI121" s="173">
        <f t="shared" si="404"/>
        <v>0.73141321519235958</v>
      </c>
      <c r="EK121" s="528">
        <f t="shared" si="405"/>
        <v>1.7744855967078185E-2</v>
      </c>
      <c r="EL121" s="528">
        <f t="shared" si="406"/>
        <v>0.16903097268749998</v>
      </c>
      <c r="EM121" s="528">
        <f t="shared" si="407"/>
        <v>2.1829499999999991E-2</v>
      </c>
      <c r="EN121" s="528">
        <f t="shared" si="408"/>
        <v>1.2266381765668076E-2</v>
      </c>
      <c r="EO121">
        <f t="shared" si="409"/>
        <v>4.0499999999999998E-3</v>
      </c>
      <c r="EP121" s="460">
        <f t="shared" si="410"/>
        <v>25.879499999999993</v>
      </c>
      <c r="EQ121" s="460"/>
      <c r="ER121" s="460">
        <f t="shared" si="432"/>
        <v>224.92171042024623</v>
      </c>
      <c r="ES121" s="528">
        <f t="shared" si="411"/>
        <v>7.6999999999999999E-2</v>
      </c>
      <c r="EV121" s="460">
        <f t="shared" si="412"/>
        <v>77</v>
      </c>
      <c r="EW121" s="528">
        <f t="shared" si="413"/>
        <v>1.3308641975308637E-2</v>
      </c>
      <c r="EX121" s="528">
        <f t="shared" si="414"/>
        <v>1.6048958740740749E-2</v>
      </c>
      <c r="EY121" s="528">
        <f t="shared" si="415"/>
        <v>4.5811361781735532E-2</v>
      </c>
      <c r="EZ121" s="528"/>
      <c r="FA121" s="528">
        <f t="shared" si="416"/>
        <v>0.10779999999999999</v>
      </c>
      <c r="FB121" s="460">
        <f t="shared" si="417"/>
        <v>182.9689624977849</v>
      </c>
      <c r="FC121" s="173">
        <f t="shared" si="418"/>
        <v>0.48489067291803112</v>
      </c>
      <c r="FD121" s="5">
        <f t="shared" si="419"/>
        <v>2.64</v>
      </c>
      <c r="FE121" s="173">
        <f t="shared" si="420"/>
        <v>0.84482955608004073</v>
      </c>
      <c r="FF121" s="5">
        <f t="shared" si="421"/>
        <v>84.482955608004076</v>
      </c>
      <c r="FI121" s="562">
        <f t="shared" si="422"/>
        <v>-50</v>
      </c>
      <c r="FJ121">
        <f t="shared" si="423"/>
        <v>-50</v>
      </c>
      <c r="FL121">
        <f t="shared" si="424"/>
        <v>0.14842578710644674</v>
      </c>
    </row>
    <row r="122" spans="5:168">
      <c r="E122" s="170">
        <v>12</v>
      </c>
      <c r="F122" s="217">
        <f t="shared" si="425"/>
        <v>0.12</v>
      </c>
      <c r="G122" s="217"/>
      <c r="H122" s="217">
        <f t="shared" si="315"/>
        <v>2.88</v>
      </c>
      <c r="I122" s="541">
        <f t="shared" si="316"/>
        <v>8.9230199641080503</v>
      </c>
      <c r="J122" s="172">
        <f t="shared" si="317"/>
        <v>16.356177530509115</v>
      </c>
      <c r="K122" s="172">
        <f t="shared" si="318"/>
        <v>25.279197494617165</v>
      </c>
      <c r="L122" s="443"/>
      <c r="M122" s="217">
        <f t="shared" si="319"/>
        <v>0.64702335676345168</v>
      </c>
      <c r="N122" s="172">
        <f t="shared" si="426"/>
        <v>32.152398318364</v>
      </c>
      <c r="O122" s="172">
        <f t="shared" si="284"/>
        <v>2.88</v>
      </c>
      <c r="P122" s="217">
        <f t="shared" si="320"/>
        <v>1.3396832632651667</v>
      </c>
      <c r="Q122" s="217">
        <f t="shared" si="321"/>
        <v>24</v>
      </c>
      <c r="R122" s="217"/>
      <c r="S122" s="172">
        <f t="shared" si="322"/>
        <v>399.74164729559834</v>
      </c>
      <c r="T122" s="172">
        <f t="shared" si="323"/>
        <v>24</v>
      </c>
      <c r="U122" s="217">
        <f t="shared" si="324"/>
        <v>1.0193878174366566</v>
      </c>
      <c r="V122" s="217">
        <f t="shared" si="325"/>
        <v>1.1424246740868469</v>
      </c>
      <c r="W122" s="217">
        <f t="shared" si="326"/>
        <v>0.62324330702280317</v>
      </c>
      <c r="X122" s="197">
        <f t="shared" si="327"/>
        <v>259.80225203959685</v>
      </c>
      <c r="Y122" s="443">
        <f t="shared" si="328"/>
        <v>350</v>
      </c>
      <c r="AA122" s="217">
        <f t="shared" si="329"/>
        <v>2.2222222222222223</v>
      </c>
      <c r="AB122" s="173">
        <f t="shared" si="330"/>
        <v>1.3586439851714256</v>
      </c>
      <c r="AC122" s="173">
        <f t="shared" si="331"/>
        <v>0.26159648626009102</v>
      </c>
      <c r="AD122" s="173"/>
      <c r="AE122" s="173">
        <f t="shared" si="332"/>
        <v>1.3586439851714256</v>
      </c>
      <c r="AF122" s="545">
        <f t="shared" si="333"/>
        <v>119.17694572454913</v>
      </c>
      <c r="AG122" s="528">
        <f t="shared" si="334"/>
        <v>0.26159648626009097</v>
      </c>
      <c r="AI122" s="173">
        <f t="shared" si="335"/>
        <v>1.2967300931131247</v>
      </c>
      <c r="AJ122" s="173">
        <f t="shared" si="336"/>
        <v>2.2222222222222223</v>
      </c>
      <c r="AK122" s="173">
        <f t="shared" si="337"/>
        <v>1.0681011118425996</v>
      </c>
      <c r="AM122" s="545">
        <f t="shared" si="338"/>
        <v>120</v>
      </c>
      <c r="AN122" s="460">
        <f t="shared" si="339"/>
        <v>119.17694572454913</v>
      </c>
      <c r="AP122" s="460">
        <f t="shared" si="340"/>
        <v>120</v>
      </c>
      <c r="AQ122" s="460">
        <f t="shared" si="341"/>
        <v>119.17694572454913</v>
      </c>
      <c r="AS122" s="5">
        <f t="shared" si="285"/>
        <v>8.3908846121235268</v>
      </c>
      <c r="AT122" s="5">
        <f t="shared" si="342"/>
        <v>2.4904373532289381</v>
      </c>
      <c r="AU122" s="5">
        <f t="shared" si="343"/>
        <v>5.9004472588945891</v>
      </c>
      <c r="AV122" s="5"/>
      <c r="AW122" s="173">
        <f t="shared" si="344"/>
        <v>0.29680271727615493</v>
      </c>
      <c r="AX122" s="173">
        <f t="shared" si="214"/>
        <v>2.9426406351740533</v>
      </c>
      <c r="AY122" s="173">
        <f t="shared" si="215"/>
        <v>0.52114731952978299</v>
      </c>
      <c r="AZ122" s="173">
        <f t="shared" si="288"/>
        <v>5.6464660277426306</v>
      </c>
      <c r="BA122" s="460">
        <f t="shared" si="433"/>
        <v>1.2452186766144691</v>
      </c>
      <c r="BB122" s="5">
        <f t="shared" si="434"/>
        <v>1.5870269794653047</v>
      </c>
      <c r="BD122" s="173">
        <f t="shared" si="289"/>
        <v>0.69897363588654227</v>
      </c>
      <c r="BE122" s="173">
        <f t="shared" si="218"/>
        <v>0.71761463105606083</v>
      </c>
      <c r="BG122" s="528">
        <f t="shared" si="347"/>
        <v>1.9542565746578103E-2</v>
      </c>
      <c r="BH122" s="528">
        <f t="shared" si="348"/>
        <v>0.1506348773888074</v>
      </c>
      <c r="BI122" s="528">
        <f t="shared" si="349"/>
        <v>4.2536730638462937E-2</v>
      </c>
      <c r="BJ122" s="528">
        <f t="shared" si="350"/>
        <v>1.3327750852811864E-2</v>
      </c>
      <c r="BK122">
        <f t="shared" si="351"/>
        <v>4.0153589838486225E-3</v>
      </c>
      <c r="BL122" s="460">
        <f t="shared" si="427"/>
        <v>46.552089622311563</v>
      </c>
      <c r="BM122" s="528">
        <f t="shared" si="352"/>
        <v>0.18966234850605587</v>
      </c>
      <c r="BN122" s="460">
        <f t="shared" si="353"/>
        <v>189.66234850605588</v>
      </c>
      <c r="BO122" s="528">
        <f t="shared" si="354"/>
        <v>8.3999999999999991E-2</v>
      </c>
      <c r="BR122" s="460">
        <f t="shared" si="355"/>
        <v>83.999999999999986</v>
      </c>
      <c r="BS122" s="528">
        <f t="shared" si="356"/>
        <v>1.4656924309933575E-2</v>
      </c>
      <c r="BT122" s="528">
        <f t="shared" si="357"/>
        <v>1.5449122761171788E-2</v>
      </c>
      <c r="BU122" s="528">
        <f t="shared" si="358"/>
        <v>5.7071507946035542E-2</v>
      </c>
      <c r="BV122" s="528"/>
      <c r="BW122" s="528">
        <f t="shared" si="359"/>
        <v>0.11770562540696214</v>
      </c>
      <c r="BX122" s="460">
        <f t="shared" si="360"/>
        <v>204.88318042410302</v>
      </c>
      <c r="BY122" s="173">
        <f t="shared" si="361"/>
        <v>0.51894046403461203</v>
      </c>
      <c r="BZ122" s="5">
        <f t="shared" si="362"/>
        <v>2.88</v>
      </c>
      <c r="CA122" s="173">
        <f t="shared" si="363"/>
        <v>0.847322873252502</v>
      </c>
      <c r="CB122" s="5">
        <f t="shared" si="364"/>
        <v>84.732287325250198</v>
      </c>
      <c r="CE122" s="562">
        <f t="shared" si="365"/>
        <v>-50</v>
      </c>
      <c r="CF122">
        <f t="shared" si="366"/>
        <v>-50</v>
      </c>
      <c r="CG122" s="173">
        <f t="shared" si="367"/>
        <v>0.16359700281385195</v>
      </c>
      <c r="CI122" s="170">
        <v>12</v>
      </c>
      <c r="CJ122" s="217">
        <f t="shared" si="428"/>
        <v>0.12</v>
      </c>
      <c r="CK122" s="217"/>
      <c r="CL122" s="217">
        <f t="shared" si="368"/>
        <v>2.88</v>
      </c>
      <c r="CM122" s="541">
        <f t="shared" si="369"/>
        <v>9</v>
      </c>
      <c r="CN122" s="443">
        <f t="shared" si="370"/>
        <v>16.3415</v>
      </c>
      <c r="CO122" s="443">
        <f t="shared" si="371"/>
        <v>25.3415</v>
      </c>
      <c r="CP122" s="443"/>
      <c r="CQ122" s="217">
        <f t="shared" si="372"/>
        <v>0.64485133082098534</v>
      </c>
      <c r="CR122" s="172">
        <f t="shared" si="429"/>
        <v>32.320915977744015</v>
      </c>
      <c r="CS122" s="172">
        <f t="shared" si="373"/>
        <v>2.88</v>
      </c>
      <c r="CT122" s="217">
        <f t="shared" si="374"/>
        <v>1.3467048324060007</v>
      </c>
      <c r="CU122" s="217">
        <f t="shared" si="375"/>
        <v>24</v>
      </c>
      <c r="CV122" s="217"/>
      <c r="CW122" s="172">
        <f t="shared" si="376"/>
        <v>403.19012568302418</v>
      </c>
      <c r="CX122" s="172">
        <f t="shared" si="377"/>
        <v>24</v>
      </c>
      <c r="CY122" s="217">
        <f t="shared" si="378"/>
        <v>0.99247682281308314</v>
      </c>
      <c r="CZ122" s="217">
        <f t="shared" si="379"/>
        <v>1.1027520253478702</v>
      </c>
      <c r="DA122" s="217">
        <f t="shared" si="380"/>
        <v>0.60733520350829684</v>
      </c>
      <c r="DB122" s="197">
        <f t="shared" si="381"/>
        <v>261.16478898249903</v>
      </c>
      <c r="DC122" s="443">
        <f t="shared" si="382"/>
        <v>350</v>
      </c>
      <c r="DE122" s="217">
        <f t="shared" si="383"/>
        <v>2.2222222222222223</v>
      </c>
      <c r="DF122" s="173">
        <f t="shared" si="384"/>
        <v>1.3598642855443031</v>
      </c>
      <c r="DG122" s="173">
        <f t="shared" si="385"/>
        <v>0.26320462482489204</v>
      </c>
      <c r="DH122" s="173"/>
      <c r="DI122" s="173">
        <f t="shared" si="386"/>
        <v>1.3598642855443031</v>
      </c>
      <c r="DJ122" s="545">
        <f t="shared" si="387"/>
        <v>119.06999999999995</v>
      </c>
      <c r="DK122" s="528">
        <f t="shared" si="388"/>
        <v>0.26320462482489204</v>
      </c>
      <c r="DM122" s="173">
        <f t="shared" si="389"/>
        <v>1.2961481396815719</v>
      </c>
      <c r="DN122" s="173">
        <f t="shared" si="390"/>
        <v>2.2222222222222223</v>
      </c>
      <c r="DO122" s="173">
        <f t="shared" si="391"/>
        <v>1.0680399999999999</v>
      </c>
      <c r="DQ122" s="545">
        <f t="shared" si="392"/>
        <v>120</v>
      </c>
      <c r="DR122" s="460">
        <f t="shared" si="393"/>
        <v>119.06999999999995</v>
      </c>
      <c r="DT122">
        <f t="shared" si="430"/>
        <v>120</v>
      </c>
      <c r="DU122">
        <f t="shared" si="431"/>
        <v>119.06999999999995</v>
      </c>
      <c r="DW122" s="5">
        <f t="shared" si="394"/>
        <v>8.3984210968337987</v>
      </c>
      <c r="DX122" s="5">
        <f t="shared" si="395"/>
        <v>2.4691358024691361</v>
      </c>
      <c r="DY122" s="5">
        <f t="shared" si="396"/>
        <v>5.9292852943646626</v>
      </c>
      <c r="DZ122" s="5"/>
      <c r="EA122" s="173">
        <f t="shared" si="397"/>
        <v>0.29399999999999993</v>
      </c>
      <c r="EB122" s="173">
        <f t="shared" si="398"/>
        <v>2.9399999999999995</v>
      </c>
      <c r="EC122" s="173">
        <f t="shared" si="399"/>
        <v>0.52322444444444449</v>
      </c>
      <c r="ED122" s="173">
        <f t="shared" si="400"/>
        <v>5.6190035293967728</v>
      </c>
      <c r="EE122" s="460">
        <f t="shared" si="401"/>
        <v>1.2345679012345681</v>
      </c>
      <c r="EF122" s="5">
        <f t="shared" si="402"/>
        <v>1.5811427451639097</v>
      </c>
      <c r="EH122" s="173">
        <f t="shared" si="403"/>
        <v>0.69566559299993447</v>
      </c>
      <c r="EI122" s="173">
        <f t="shared" si="404"/>
        <v>0.71904329900474107</v>
      </c>
      <c r="EK122" s="528">
        <f t="shared" si="405"/>
        <v>1.9358024691358017E-2</v>
      </c>
      <c r="EL122" s="528">
        <f t="shared" si="406"/>
        <v>0.18439742474999996</v>
      </c>
      <c r="EM122" s="528">
        <f t="shared" si="407"/>
        <v>2.3813999999999988E-2</v>
      </c>
      <c r="EN122" s="528">
        <f t="shared" si="408"/>
        <v>1.3381507380728807E-2</v>
      </c>
      <c r="EO122">
        <f t="shared" si="409"/>
        <v>4.0499999999999998E-3</v>
      </c>
      <c r="EP122" s="460">
        <f t="shared" si="410"/>
        <v>27.863999999999987</v>
      </c>
      <c r="EQ122" s="460"/>
      <c r="ER122" s="460">
        <f t="shared" si="432"/>
        <v>245.00095682208678</v>
      </c>
      <c r="ES122" s="528">
        <f t="shared" si="411"/>
        <v>8.3999999999999991E-2</v>
      </c>
      <c r="EV122" s="460">
        <f t="shared" si="412"/>
        <v>83.999999999999986</v>
      </c>
      <c r="EW122" s="528">
        <f t="shared" si="413"/>
        <v>1.4518518518518512E-2</v>
      </c>
      <c r="EX122" s="528">
        <f t="shared" si="414"/>
        <v>1.5510697975308643E-2</v>
      </c>
      <c r="EY122" s="528">
        <f t="shared" si="415"/>
        <v>5.694355856602458E-2</v>
      </c>
      <c r="EZ122" s="528"/>
      <c r="FA122" s="528">
        <f t="shared" si="416"/>
        <v>0.11759999999999998</v>
      </c>
      <c r="FB122" s="460">
        <f t="shared" si="417"/>
        <v>204.57277505985172</v>
      </c>
      <c r="FC122" s="173">
        <f t="shared" si="418"/>
        <v>0.53357373188193846</v>
      </c>
      <c r="FD122" s="5">
        <f t="shared" si="419"/>
        <v>2.88</v>
      </c>
      <c r="FE122" s="173">
        <f t="shared" si="420"/>
        <v>0.8436905794948879</v>
      </c>
      <c r="FF122" s="5">
        <f t="shared" si="421"/>
        <v>84.369057949488791</v>
      </c>
      <c r="FI122" s="562">
        <f t="shared" si="422"/>
        <v>-50</v>
      </c>
      <c r="FJ122">
        <f t="shared" si="423"/>
        <v>-50</v>
      </c>
      <c r="FL122">
        <f t="shared" si="424"/>
        <v>0.16191904047976008</v>
      </c>
    </row>
    <row r="123" spans="5:168">
      <c r="E123" s="170">
        <v>13</v>
      </c>
      <c r="F123" s="217">
        <f t="shared" si="425"/>
        <v>0.13</v>
      </c>
      <c r="G123" s="217"/>
      <c r="H123" s="217">
        <f t="shared" si="315"/>
        <v>3.12</v>
      </c>
      <c r="I123" s="541">
        <f t="shared" si="316"/>
        <v>8.9230199641080503</v>
      </c>
      <c r="J123" s="172">
        <f t="shared" si="317"/>
        <v>16.356177530509115</v>
      </c>
      <c r="K123" s="172">
        <f t="shared" si="318"/>
        <v>25.279197494617165</v>
      </c>
      <c r="L123" s="443"/>
      <c r="M123" s="217">
        <f t="shared" si="319"/>
        <v>0.64702335676345168</v>
      </c>
      <c r="N123" s="172">
        <f t="shared" si="426"/>
        <v>32.152398318364</v>
      </c>
      <c r="O123" s="172">
        <f t="shared" si="284"/>
        <v>3.12</v>
      </c>
      <c r="P123" s="217">
        <f t="shared" si="320"/>
        <v>1.3396832632651667</v>
      </c>
      <c r="Q123" s="217">
        <f t="shared" si="321"/>
        <v>24</v>
      </c>
      <c r="R123" s="217"/>
      <c r="S123" s="172">
        <f t="shared" si="322"/>
        <v>367.96595189519167</v>
      </c>
      <c r="T123" s="172">
        <f t="shared" si="323"/>
        <v>24</v>
      </c>
      <c r="U123" s="217">
        <f t="shared" si="324"/>
        <v>1.1043368022230446</v>
      </c>
      <c r="V123" s="217">
        <f t="shared" si="325"/>
        <v>1.2376267302607507</v>
      </c>
      <c r="W123" s="217">
        <f t="shared" si="326"/>
        <v>0.67518024927470344</v>
      </c>
      <c r="X123" s="197">
        <f t="shared" si="327"/>
        <v>259.80225203959685</v>
      </c>
      <c r="Y123" s="443">
        <f t="shared" si="328"/>
        <v>350</v>
      </c>
      <c r="AA123" s="217">
        <f t="shared" si="329"/>
        <v>2.2222222222222223</v>
      </c>
      <c r="AB123" s="173">
        <f t="shared" si="330"/>
        <v>1.3586439851714256</v>
      </c>
      <c r="AC123" s="173">
        <f t="shared" si="331"/>
        <v>0.26159648626009102</v>
      </c>
      <c r="AD123" s="173"/>
      <c r="AE123" s="173">
        <f t="shared" si="332"/>
        <v>1.3586439851714256</v>
      </c>
      <c r="AF123" s="545">
        <f t="shared" si="333"/>
        <v>129.10835786826155</v>
      </c>
      <c r="AG123" s="528">
        <f t="shared" si="334"/>
        <v>0.26159648626009097</v>
      </c>
      <c r="AI123" s="173">
        <f t="shared" si="335"/>
        <v>1.3496794726590722</v>
      </c>
      <c r="AJ123" s="173">
        <f t="shared" si="336"/>
        <v>2.2222222222222223</v>
      </c>
      <c r="AK123" s="173">
        <f t="shared" si="337"/>
        <v>1.0737762044961494</v>
      </c>
      <c r="AM123" s="545">
        <f t="shared" si="338"/>
        <v>130</v>
      </c>
      <c r="AN123" s="460">
        <f t="shared" si="339"/>
        <v>129.10835786826155</v>
      </c>
      <c r="AP123" s="460">
        <f t="shared" si="340"/>
        <v>130</v>
      </c>
      <c r="AQ123" s="460">
        <f t="shared" si="341"/>
        <v>129.10835786826155</v>
      </c>
      <c r="AS123" s="5">
        <f t="shared" si="285"/>
        <v>7.7454319496524864</v>
      </c>
      <c r="AT123" s="5">
        <f t="shared" si="342"/>
        <v>2.4904373532289381</v>
      </c>
      <c r="AU123" s="5">
        <f t="shared" si="343"/>
        <v>5.2549945964235487</v>
      </c>
      <c r="AV123" s="5"/>
      <c r="AW123" s="173">
        <f t="shared" si="344"/>
        <v>0.32153627704916782</v>
      </c>
      <c r="AX123" s="173">
        <f t="shared" si="214"/>
        <v>3.187860688105224</v>
      </c>
      <c r="AY123" s="173">
        <f t="shared" si="215"/>
        <v>0.50281700356467229</v>
      </c>
      <c r="AZ123" s="173">
        <f t="shared" si="288"/>
        <v>6.340001761088419</v>
      </c>
      <c r="BA123" s="460">
        <f t="shared" si="433"/>
        <v>1.3489868996656749</v>
      </c>
      <c r="BB123" s="5">
        <f t="shared" si="434"/>
        <v>1.5312064755720836</v>
      </c>
      <c r="BD123" s="173">
        <f t="shared" si="289"/>
        <v>0.72751482617411789</v>
      </c>
      <c r="BE123" s="173">
        <f t="shared" si="218"/>
        <v>0.70488133109753426</v>
      </c>
      <c r="BG123" s="528">
        <f t="shared" si="347"/>
        <v>2.1171112892126281E-2</v>
      </c>
      <c r="BH123" s="528">
        <f t="shared" si="348"/>
        <v>0.16318778383787469</v>
      </c>
      <c r="BI123" s="528">
        <f t="shared" si="349"/>
        <v>4.608145819166818E-2</v>
      </c>
      <c r="BJ123" s="528">
        <f t="shared" si="350"/>
        <v>1.4438396757212851E-2</v>
      </c>
      <c r="BK123">
        <f t="shared" si="351"/>
        <v>4.0153589838486225E-3</v>
      </c>
      <c r="BL123" s="460">
        <f t="shared" si="427"/>
        <v>50.096817175516804</v>
      </c>
      <c r="BM123" s="528">
        <f t="shared" si="352"/>
        <v>0.20554745035047947</v>
      </c>
      <c r="BN123" s="460">
        <f t="shared" si="353"/>
        <v>205.54745035047947</v>
      </c>
      <c r="BO123" s="528">
        <f t="shared" si="354"/>
        <v>9.0999999999999998E-2</v>
      </c>
      <c r="BR123" s="460">
        <f t="shared" si="355"/>
        <v>91</v>
      </c>
      <c r="BS123" s="528">
        <f t="shared" si="356"/>
        <v>1.5878334669094711E-2</v>
      </c>
      <c r="BT123" s="528">
        <f t="shared" si="357"/>
        <v>1.4905730727894952E-2</v>
      </c>
      <c r="BU123" s="528">
        <f t="shared" si="358"/>
        <v>6.9714740206213321E-2</v>
      </c>
      <c r="BV123" s="528"/>
      <c r="BW123" s="528">
        <f t="shared" si="359"/>
        <v>0.12751442752420897</v>
      </c>
      <c r="BX123" s="460">
        <f t="shared" si="360"/>
        <v>228.01323312741195</v>
      </c>
      <c r="BY123" s="173">
        <f t="shared" si="361"/>
        <v>0.56790734379014252</v>
      </c>
      <c r="BZ123" s="5">
        <f t="shared" si="362"/>
        <v>3.12</v>
      </c>
      <c r="CA123" s="173">
        <f t="shared" si="363"/>
        <v>0.84600823967380601</v>
      </c>
      <c r="CB123" s="5">
        <f t="shared" si="364"/>
        <v>84.600823967380606</v>
      </c>
      <c r="CE123" s="562">
        <f t="shared" si="365"/>
        <v>-50</v>
      </c>
      <c r="CF123">
        <f t="shared" si="366"/>
        <v>-50</v>
      </c>
      <c r="CG123" s="173">
        <f t="shared" si="367"/>
        <v>0.17723008638167295</v>
      </c>
      <c r="CI123" s="170">
        <v>13</v>
      </c>
      <c r="CJ123" s="217">
        <f t="shared" si="428"/>
        <v>0.13</v>
      </c>
      <c r="CK123" s="217"/>
      <c r="CL123" s="217">
        <f t="shared" si="368"/>
        <v>3.12</v>
      </c>
      <c r="CM123" s="541">
        <f t="shared" si="369"/>
        <v>9</v>
      </c>
      <c r="CN123" s="443">
        <f t="shared" si="370"/>
        <v>16.3415</v>
      </c>
      <c r="CO123" s="443">
        <f t="shared" si="371"/>
        <v>25.3415</v>
      </c>
      <c r="CP123" s="443"/>
      <c r="CQ123" s="217">
        <f t="shared" si="372"/>
        <v>0.64485133082098534</v>
      </c>
      <c r="CR123" s="172">
        <f t="shared" si="429"/>
        <v>32.320915977744015</v>
      </c>
      <c r="CS123" s="172">
        <f t="shared" si="373"/>
        <v>3.12</v>
      </c>
      <c r="CT123" s="217">
        <f t="shared" si="374"/>
        <v>1.3467048324060007</v>
      </c>
      <c r="CU123" s="217">
        <f t="shared" si="375"/>
        <v>24</v>
      </c>
      <c r="CV123" s="217"/>
      <c r="CW123" s="172">
        <f t="shared" si="376"/>
        <v>371.14028488945814</v>
      </c>
      <c r="CX123" s="172">
        <f t="shared" si="377"/>
        <v>24</v>
      </c>
      <c r="CY123" s="217">
        <f t="shared" si="378"/>
        <v>1.0751832247141735</v>
      </c>
      <c r="CZ123" s="217">
        <f t="shared" si="379"/>
        <v>1.1946480274601927</v>
      </c>
      <c r="DA123" s="217">
        <f t="shared" si="380"/>
        <v>0.65794647046732158</v>
      </c>
      <c r="DB123" s="197">
        <f t="shared" si="381"/>
        <v>261.16478898249903</v>
      </c>
      <c r="DC123" s="443">
        <f t="shared" si="382"/>
        <v>350</v>
      </c>
      <c r="DE123" s="217">
        <f t="shared" si="383"/>
        <v>2.2222222222222223</v>
      </c>
      <c r="DF123" s="173">
        <f t="shared" si="384"/>
        <v>1.3598642855443031</v>
      </c>
      <c r="DG123" s="173">
        <f t="shared" si="385"/>
        <v>0.26320462482489204</v>
      </c>
      <c r="DH123" s="173"/>
      <c r="DI123" s="173">
        <f t="shared" si="386"/>
        <v>1.3598642855443031</v>
      </c>
      <c r="DJ123" s="545">
        <f t="shared" si="387"/>
        <v>128.99249999999998</v>
      </c>
      <c r="DK123" s="528">
        <f t="shared" si="388"/>
        <v>0.26320462482489204</v>
      </c>
      <c r="DM123" s="173">
        <f t="shared" si="389"/>
        <v>1.349073756323204</v>
      </c>
      <c r="DN123" s="173">
        <f t="shared" si="390"/>
        <v>2.2222222222222223</v>
      </c>
      <c r="DO123" s="173">
        <f t="shared" si="391"/>
        <v>1.0737099999999999</v>
      </c>
      <c r="DQ123" s="545">
        <f t="shared" si="392"/>
        <v>130</v>
      </c>
      <c r="DR123" s="460">
        <f t="shared" si="393"/>
        <v>128.99249999999998</v>
      </c>
      <c r="DT123">
        <f t="shared" si="430"/>
        <v>130</v>
      </c>
      <c r="DU123">
        <f t="shared" si="431"/>
        <v>128.99249999999998</v>
      </c>
      <c r="DW123" s="5">
        <f t="shared" si="394"/>
        <v>7.7523887047696585</v>
      </c>
      <c r="DX123" s="5">
        <f t="shared" si="395"/>
        <v>2.4691358024691361</v>
      </c>
      <c r="DY123" s="5">
        <f t="shared" si="396"/>
        <v>5.2832529023005224</v>
      </c>
      <c r="DZ123" s="5"/>
      <c r="EA123" s="173">
        <f t="shared" si="397"/>
        <v>0.31850000000000001</v>
      </c>
      <c r="EB123" s="173">
        <f t="shared" si="398"/>
        <v>3.1850000000000005</v>
      </c>
      <c r="EC123" s="173">
        <f t="shared" si="399"/>
        <v>0.50506722222222222</v>
      </c>
      <c r="ED123" s="173">
        <f t="shared" si="400"/>
        <v>6.306091268379018</v>
      </c>
      <c r="EE123" s="460">
        <f t="shared" si="401"/>
        <v>1.3374485596707821</v>
      </c>
      <c r="EF123" s="5">
        <f t="shared" si="402"/>
        <v>1.5262730606645951</v>
      </c>
      <c r="EH123" s="173">
        <f t="shared" si="403"/>
        <v>0.72407170597320447</v>
      </c>
      <c r="EI123" s="173">
        <f t="shared" si="404"/>
        <v>0.70645682127729381</v>
      </c>
      <c r="EK123" s="528">
        <f t="shared" si="405"/>
        <v>2.0971193415637867E-2</v>
      </c>
      <c r="EL123" s="528">
        <f t="shared" si="406"/>
        <v>0.19976387681249999</v>
      </c>
      <c r="EM123" s="528">
        <f t="shared" si="407"/>
        <v>2.5798499999999995E-2</v>
      </c>
      <c r="EN123" s="528">
        <f t="shared" si="408"/>
        <v>1.4496632995789545E-2</v>
      </c>
      <c r="EO123">
        <f t="shared" si="409"/>
        <v>4.0499999999999998E-3</v>
      </c>
      <c r="EP123" s="460">
        <f t="shared" si="410"/>
        <v>29.848499999999994</v>
      </c>
      <c r="EQ123" s="460"/>
      <c r="ER123" s="460">
        <f t="shared" si="432"/>
        <v>265.08020322392741</v>
      </c>
      <c r="ES123" s="528">
        <f t="shared" si="411"/>
        <v>9.0999999999999998E-2</v>
      </c>
      <c r="EV123" s="460">
        <f t="shared" si="412"/>
        <v>91</v>
      </c>
      <c r="EW123" s="528">
        <f t="shared" si="413"/>
        <v>1.5728395061728399E-2</v>
      </c>
      <c r="EX123" s="528">
        <f t="shared" si="414"/>
        <v>1.4972437209876547E-2</v>
      </c>
      <c r="EY123" s="528">
        <f t="shared" si="415"/>
        <v>6.9558445794027049E-2</v>
      </c>
      <c r="EZ123" s="528"/>
      <c r="FA123" s="528">
        <f t="shared" si="416"/>
        <v>0.12740000000000001</v>
      </c>
      <c r="FB123" s="460">
        <f t="shared" si="417"/>
        <v>227.65927806563201</v>
      </c>
      <c r="FC123" s="173">
        <f t="shared" si="418"/>
        <v>0.58373948128955944</v>
      </c>
      <c r="FD123" s="5">
        <f t="shared" si="419"/>
        <v>3.12</v>
      </c>
      <c r="FE123" s="173">
        <f t="shared" si="420"/>
        <v>0.84239186253825982</v>
      </c>
      <c r="FF123" s="5">
        <f t="shared" si="421"/>
        <v>84.239186253825977</v>
      </c>
      <c r="FI123" s="562">
        <f t="shared" si="422"/>
        <v>-50</v>
      </c>
      <c r="FJ123">
        <f t="shared" si="423"/>
        <v>-50</v>
      </c>
      <c r="FL123">
        <f t="shared" si="424"/>
        <v>0.17541229385307344</v>
      </c>
    </row>
    <row r="124" spans="5:168">
      <c r="E124" s="170">
        <v>14</v>
      </c>
      <c r="F124" s="217">
        <f t="shared" si="425"/>
        <v>0.14000000000000001</v>
      </c>
      <c r="G124" s="217"/>
      <c r="H124" s="217">
        <f t="shared" si="315"/>
        <v>3.3600000000000003</v>
      </c>
      <c r="I124" s="541">
        <f t="shared" si="316"/>
        <v>8.9230199641080503</v>
      </c>
      <c r="J124" s="172">
        <f t="shared" si="317"/>
        <v>16.356177530509115</v>
      </c>
      <c r="K124" s="172">
        <f t="shared" si="318"/>
        <v>25.279197494617165</v>
      </c>
      <c r="L124" s="443"/>
      <c r="M124" s="217">
        <f t="shared" si="319"/>
        <v>0.64702335676345168</v>
      </c>
      <c r="N124" s="172">
        <f t="shared" si="426"/>
        <v>32.152398318364</v>
      </c>
      <c r="O124" s="172">
        <f t="shared" si="284"/>
        <v>3.3600000000000003</v>
      </c>
      <c r="P124" s="217">
        <f t="shared" si="320"/>
        <v>1.3396832632651667</v>
      </c>
      <c r="Q124" s="217">
        <f t="shared" si="321"/>
        <v>24</v>
      </c>
      <c r="R124" s="217"/>
      <c r="S124" s="172">
        <f t="shared" si="322"/>
        <v>340.72985517761123</v>
      </c>
      <c r="T124" s="172">
        <f t="shared" si="323"/>
        <v>24</v>
      </c>
      <c r="U124" s="217">
        <f t="shared" si="324"/>
        <v>1.1892857870094327</v>
      </c>
      <c r="V124" s="217">
        <f t="shared" si="325"/>
        <v>1.3328287864346546</v>
      </c>
      <c r="W124" s="217">
        <f t="shared" si="326"/>
        <v>0.7271171915266037</v>
      </c>
      <c r="X124" s="197">
        <f t="shared" si="327"/>
        <v>259.80225203959685</v>
      </c>
      <c r="Y124" s="443">
        <f t="shared" si="328"/>
        <v>350</v>
      </c>
      <c r="AA124" s="217">
        <f t="shared" si="329"/>
        <v>2.2222222222222223</v>
      </c>
      <c r="AB124" s="173">
        <f t="shared" si="330"/>
        <v>1.3586439851714256</v>
      </c>
      <c r="AC124" s="173">
        <f t="shared" si="331"/>
        <v>0.26159648626009102</v>
      </c>
      <c r="AD124" s="173"/>
      <c r="AE124" s="173">
        <f t="shared" si="332"/>
        <v>1.3586439851714256</v>
      </c>
      <c r="AF124" s="545">
        <f t="shared" si="333"/>
        <v>139.03977001197399</v>
      </c>
      <c r="AG124" s="528">
        <f t="shared" si="334"/>
        <v>0.26159648626009097</v>
      </c>
      <c r="AI124" s="173">
        <f t="shared" si="335"/>
        <v>1.4006285815480737</v>
      </c>
      <c r="AJ124" s="173">
        <f t="shared" si="336"/>
        <v>2.2222222222222223</v>
      </c>
      <c r="AK124" s="173">
        <f t="shared" si="337"/>
        <v>1.0794512971496995</v>
      </c>
      <c r="AM124" s="545">
        <f t="shared" si="338"/>
        <v>140</v>
      </c>
      <c r="AN124" s="460">
        <f t="shared" si="339"/>
        <v>139.03977001197399</v>
      </c>
      <c r="AP124" s="460">
        <f t="shared" si="340"/>
        <v>140</v>
      </c>
      <c r="AQ124" s="460">
        <f t="shared" si="341"/>
        <v>139.03977001197399</v>
      </c>
      <c r="AS124" s="5">
        <f t="shared" si="285"/>
        <v>7.1921868103915942</v>
      </c>
      <c r="AT124" s="5">
        <f t="shared" si="342"/>
        <v>2.4904373532289381</v>
      </c>
      <c r="AU124" s="5">
        <f t="shared" si="343"/>
        <v>4.7017494571626557</v>
      </c>
      <c r="AV124" s="5"/>
      <c r="AW124" s="173">
        <f t="shared" si="344"/>
        <v>0.34626983682218077</v>
      </c>
      <c r="AX124" s="173">
        <f t="shared" si="214"/>
        <v>3.4330807410363953</v>
      </c>
      <c r="AY124" s="173">
        <f t="shared" si="215"/>
        <v>0.48448668759956159</v>
      </c>
      <c r="AZ124" s="173">
        <f t="shared" si="288"/>
        <v>7.0860166623895111</v>
      </c>
      <c r="BA124" s="460">
        <f t="shared" si="433"/>
        <v>1.4527551227168807</v>
      </c>
      <c r="BB124" s="5">
        <f t="shared" si="434"/>
        <v>1.4753859716788613</v>
      </c>
      <c r="BD124" s="173">
        <f t="shared" si="289"/>
        <v>0.75497781486733861</v>
      </c>
      <c r="BE124" s="173">
        <f t="shared" si="218"/>
        <v>0.69191373967709091</v>
      </c>
      <c r="BG124" s="528">
        <f t="shared" si="347"/>
        <v>2.279966003767446E-2</v>
      </c>
      <c r="BH124" s="528">
        <f t="shared" si="348"/>
        <v>0.17574069028694198</v>
      </c>
      <c r="BI124" s="528">
        <f t="shared" si="349"/>
        <v>4.962618574487343E-2</v>
      </c>
      <c r="BJ124" s="528">
        <f t="shared" si="350"/>
        <v>1.5549042661613841E-2</v>
      </c>
      <c r="BK124">
        <f t="shared" si="351"/>
        <v>4.0153589838486225E-3</v>
      </c>
      <c r="BL124" s="460">
        <f t="shared" si="427"/>
        <v>53.641544728722053</v>
      </c>
      <c r="BM124" s="528">
        <f t="shared" si="352"/>
        <v>0.2214449124042481</v>
      </c>
      <c r="BN124" s="460">
        <f t="shared" si="353"/>
        <v>221.4449124042481</v>
      </c>
      <c r="BO124" s="528">
        <f t="shared" si="354"/>
        <v>9.8000000000000004E-2</v>
      </c>
      <c r="BR124" s="460">
        <f t="shared" si="355"/>
        <v>98</v>
      </c>
      <c r="BS124" s="528">
        <f t="shared" si="356"/>
        <v>1.7099745028255842E-2</v>
      </c>
      <c r="BT124" s="528">
        <f t="shared" si="357"/>
        <v>1.4362338694618114E-2</v>
      </c>
      <c r="BU124" s="528">
        <f t="shared" si="358"/>
        <v>8.3904706337979654E-2</v>
      </c>
      <c r="BV124" s="528"/>
      <c r="BW124" s="528">
        <f t="shared" si="359"/>
        <v>0.13732322964145582</v>
      </c>
      <c r="BX124" s="460">
        <f t="shared" si="360"/>
        <v>252.69001970230943</v>
      </c>
      <c r="BY124" s="173">
        <f t="shared" si="361"/>
        <v>0.61842095741726177</v>
      </c>
      <c r="BZ124" s="5">
        <f t="shared" si="362"/>
        <v>3.3600000000000003</v>
      </c>
      <c r="CA124" s="173">
        <f t="shared" si="363"/>
        <v>0.84455617843448816</v>
      </c>
      <c r="CB124" s="5">
        <f t="shared" si="364"/>
        <v>84.45561784344882</v>
      </c>
      <c r="CE124" s="562">
        <f t="shared" si="365"/>
        <v>-50</v>
      </c>
      <c r="CF124">
        <f t="shared" si="366"/>
        <v>-50</v>
      </c>
      <c r="CG124" s="173">
        <f t="shared" si="367"/>
        <v>0.19086316994949395</v>
      </c>
      <c r="CI124" s="170">
        <v>14</v>
      </c>
      <c r="CJ124" s="217">
        <f t="shared" si="428"/>
        <v>0.14000000000000001</v>
      </c>
      <c r="CK124" s="217"/>
      <c r="CL124" s="217">
        <f t="shared" si="368"/>
        <v>3.3600000000000003</v>
      </c>
      <c r="CM124" s="541">
        <f t="shared" si="369"/>
        <v>9</v>
      </c>
      <c r="CN124" s="443">
        <f t="shared" si="370"/>
        <v>16.3415</v>
      </c>
      <c r="CO124" s="443">
        <f t="shared" si="371"/>
        <v>25.3415</v>
      </c>
      <c r="CP124" s="443"/>
      <c r="CQ124" s="217">
        <f t="shared" si="372"/>
        <v>0.64485133082098534</v>
      </c>
      <c r="CR124" s="172">
        <f t="shared" si="429"/>
        <v>32.320915977744015</v>
      </c>
      <c r="CS124" s="172">
        <f t="shared" si="373"/>
        <v>3.3600000000000003</v>
      </c>
      <c r="CT124" s="217">
        <f t="shared" si="374"/>
        <v>1.3467048324060007</v>
      </c>
      <c r="CU124" s="217">
        <f t="shared" si="375"/>
        <v>24</v>
      </c>
      <c r="CV124" s="217"/>
      <c r="CW124" s="172">
        <f t="shared" si="376"/>
        <v>343.66920641429209</v>
      </c>
      <c r="CX124" s="172">
        <f t="shared" si="377"/>
        <v>24</v>
      </c>
      <c r="CY124" s="217">
        <f t="shared" si="378"/>
        <v>1.1578896266152638</v>
      </c>
      <c r="CZ124" s="217">
        <f t="shared" si="379"/>
        <v>1.2865440295725152</v>
      </c>
      <c r="DA124" s="217">
        <f t="shared" si="380"/>
        <v>0.70855773742634642</v>
      </c>
      <c r="DB124" s="197">
        <f t="shared" si="381"/>
        <v>261.16478898249903</v>
      </c>
      <c r="DC124" s="443">
        <f t="shared" si="382"/>
        <v>350</v>
      </c>
      <c r="DE124" s="217">
        <f t="shared" si="383"/>
        <v>2.2222222222222223</v>
      </c>
      <c r="DF124" s="173">
        <f t="shared" si="384"/>
        <v>1.3598642855443031</v>
      </c>
      <c r="DG124" s="173">
        <f t="shared" si="385"/>
        <v>0.26320462482489204</v>
      </c>
      <c r="DH124" s="173"/>
      <c r="DI124" s="173">
        <f t="shared" si="386"/>
        <v>1.3598642855443031</v>
      </c>
      <c r="DJ124" s="545">
        <f t="shared" si="387"/>
        <v>138.91499999999996</v>
      </c>
      <c r="DK124" s="528">
        <f t="shared" si="388"/>
        <v>0.26320462482489204</v>
      </c>
      <c r="DM124" s="173">
        <f t="shared" si="389"/>
        <v>1.4</v>
      </c>
      <c r="DN124" s="173">
        <f t="shared" si="390"/>
        <v>2.2222222222222223</v>
      </c>
      <c r="DO124" s="173">
        <f t="shared" si="391"/>
        <v>1.07938</v>
      </c>
      <c r="DQ124" s="545">
        <f t="shared" si="392"/>
        <v>140</v>
      </c>
      <c r="DR124" s="460">
        <f t="shared" si="393"/>
        <v>138.91499999999996</v>
      </c>
      <c r="DT124">
        <f t="shared" si="430"/>
        <v>140</v>
      </c>
      <c r="DU124">
        <f t="shared" si="431"/>
        <v>138.91499999999996</v>
      </c>
      <c r="DW124" s="5">
        <f t="shared" si="394"/>
        <v>7.1986466544289689</v>
      </c>
      <c r="DX124" s="5">
        <f t="shared" si="395"/>
        <v>2.4691358024691361</v>
      </c>
      <c r="DY124" s="5">
        <f t="shared" si="396"/>
        <v>4.7295108519598328</v>
      </c>
      <c r="DZ124" s="5"/>
      <c r="EA124" s="173">
        <f t="shared" si="397"/>
        <v>0.34299999999999997</v>
      </c>
      <c r="EB124" s="173">
        <f t="shared" si="398"/>
        <v>3.4299999999999997</v>
      </c>
      <c r="EC124" s="173">
        <f t="shared" si="399"/>
        <v>0.48691000000000006</v>
      </c>
      <c r="ED124" s="173">
        <f t="shared" si="400"/>
        <v>7.044422993982459</v>
      </c>
      <c r="EE124" s="460">
        <f t="shared" si="401"/>
        <v>1.4403292181069962</v>
      </c>
      <c r="EF124" s="5">
        <f t="shared" si="402"/>
        <v>1.4714033761652812</v>
      </c>
      <c r="EH124" s="173">
        <f t="shared" si="403"/>
        <v>0.7514047201727857</v>
      </c>
      <c r="EI124" s="173">
        <f t="shared" si="404"/>
        <v>0.69364199326079934</v>
      </c>
      <c r="EK124" s="528">
        <f t="shared" si="405"/>
        <v>2.2584362139917699E-2</v>
      </c>
      <c r="EL124" s="528">
        <f t="shared" si="406"/>
        <v>0.21513032887499994</v>
      </c>
      <c r="EM124" s="528">
        <f t="shared" si="407"/>
        <v>2.7782999999999992E-2</v>
      </c>
      <c r="EN124" s="528">
        <f t="shared" si="408"/>
        <v>1.5611758610850278E-2</v>
      </c>
      <c r="EO124">
        <f t="shared" si="409"/>
        <v>4.0499999999999998E-3</v>
      </c>
      <c r="EP124" s="460">
        <f t="shared" si="410"/>
        <v>31.832999999999995</v>
      </c>
      <c r="EQ124" s="460"/>
      <c r="ER124" s="460">
        <f t="shared" si="432"/>
        <v>285.15944962576793</v>
      </c>
      <c r="ES124" s="528">
        <f t="shared" si="411"/>
        <v>9.8000000000000004E-2</v>
      </c>
      <c r="EV124" s="460">
        <f t="shared" si="412"/>
        <v>98</v>
      </c>
      <c r="EW124" s="528">
        <f t="shared" si="413"/>
        <v>1.6938271604938271E-2</v>
      </c>
      <c r="EX124" s="528">
        <f t="shared" si="414"/>
        <v>1.4434176444444443E-2</v>
      </c>
      <c r="EY124" s="528">
        <f t="shared" si="415"/>
        <v>8.3716599250182058E-2</v>
      </c>
      <c r="EZ124" s="528"/>
      <c r="FA124" s="528">
        <f t="shared" si="416"/>
        <v>0.13719999999999999</v>
      </c>
      <c r="FB124" s="460">
        <f t="shared" si="417"/>
        <v>252.28904729956474</v>
      </c>
      <c r="FC124" s="173">
        <f t="shared" si="418"/>
        <v>0.63544849692533267</v>
      </c>
      <c r="FD124" s="5">
        <f t="shared" si="419"/>
        <v>3.3600000000000003</v>
      </c>
      <c r="FE124" s="173">
        <f t="shared" si="420"/>
        <v>0.84095690448410554</v>
      </c>
      <c r="FF124" s="5">
        <f t="shared" si="421"/>
        <v>84.095690448410551</v>
      </c>
      <c r="FI124" s="562">
        <f t="shared" si="422"/>
        <v>-50</v>
      </c>
      <c r="FJ124">
        <f t="shared" si="423"/>
        <v>-50</v>
      </c>
      <c r="FL124">
        <f t="shared" si="424"/>
        <v>0.18890554722638683</v>
      </c>
    </row>
    <row r="125" spans="5:168">
      <c r="E125" s="170">
        <v>15</v>
      </c>
      <c r="F125" s="217">
        <f t="shared" si="425"/>
        <v>0.15</v>
      </c>
      <c r="G125" s="217"/>
      <c r="H125" s="217">
        <f t="shared" si="315"/>
        <v>3.5999999999999996</v>
      </c>
      <c r="I125" s="541">
        <f t="shared" si="316"/>
        <v>8.9230199641080503</v>
      </c>
      <c r="J125" s="172">
        <f t="shared" si="317"/>
        <v>16.356177530509115</v>
      </c>
      <c r="K125" s="172">
        <f t="shared" si="318"/>
        <v>25.279197494617165</v>
      </c>
      <c r="L125" s="443"/>
      <c r="M125" s="217">
        <f t="shared" si="319"/>
        <v>0.64702335676345168</v>
      </c>
      <c r="N125" s="172">
        <f t="shared" si="426"/>
        <v>32.152398318364</v>
      </c>
      <c r="O125" s="172">
        <f t="shared" si="284"/>
        <v>3.5999999999999996</v>
      </c>
      <c r="P125" s="217">
        <f t="shared" si="320"/>
        <v>1.3396832632651667</v>
      </c>
      <c r="Q125" s="217">
        <f t="shared" si="321"/>
        <v>24</v>
      </c>
      <c r="R125" s="217"/>
      <c r="S125" s="172">
        <f t="shared" si="322"/>
        <v>317.12543901330235</v>
      </c>
      <c r="T125" s="172">
        <f t="shared" si="323"/>
        <v>24</v>
      </c>
      <c r="U125" s="217">
        <f t="shared" si="324"/>
        <v>1.2742347717958207</v>
      </c>
      <c r="V125" s="217">
        <f t="shared" si="325"/>
        <v>1.4280308426085584</v>
      </c>
      <c r="W125" s="217">
        <f t="shared" si="326"/>
        <v>0.77905413377850385</v>
      </c>
      <c r="X125" s="197">
        <f t="shared" si="327"/>
        <v>259.80225203959685</v>
      </c>
      <c r="Y125" s="443">
        <f t="shared" si="328"/>
        <v>350</v>
      </c>
      <c r="AA125" s="217">
        <f t="shared" si="329"/>
        <v>2.2222222222222223</v>
      </c>
      <c r="AB125" s="173">
        <f t="shared" si="330"/>
        <v>1.3586439851714256</v>
      </c>
      <c r="AC125" s="173">
        <f t="shared" si="331"/>
        <v>0.26159648626009102</v>
      </c>
      <c r="AD125" s="173"/>
      <c r="AE125" s="173">
        <f t="shared" si="332"/>
        <v>1.3586439851714256</v>
      </c>
      <c r="AF125" s="545">
        <f t="shared" si="333"/>
        <v>148.97118215568639</v>
      </c>
      <c r="AG125" s="528">
        <f t="shared" si="334"/>
        <v>0.26159648626009097</v>
      </c>
      <c r="AI125" s="173">
        <f t="shared" si="335"/>
        <v>1.4497883183352893</v>
      </c>
      <c r="AJ125" s="173">
        <f t="shared" si="336"/>
        <v>2.2222222222222223</v>
      </c>
      <c r="AK125" s="173">
        <f t="shared" si="337"/>
        <v>1.0851263898032493</v>
      </c>
      <c r="AM125" s="545">
        <f t="shared" si="338"/>
        <v>150</v>
      </c>
      <c r="AN125" s="460">
        <f t="shared" si="339"/>
        <v>148.97118215568639</v>
      </c>
      <c r="AP125" s="460">
        <f t="shared" si="340"/>
        <v>150</v>
      </c>
      <c r="AQ125" s="460">
        <f t="shared" si="341"/>
        <v>148.97118215568639</v>
      </c>
      <c r="AS125" s="5">
        <f t="shared" si="285"/>
        <v>6.7127076896988225</v>
      </c>
      <c r="AT125" s="5">
        <f t="shared" si="342"/>
        <v>2.4904373532289381</v>
      </c>
      <c r="AU125" s="5">
        <f t="shared" si="343"/>
        <v>4.2222703364698848</v>
      </c>
      <c r="AV125" s="5"/>
      <c r="AW125" s="173">
        <f t="shared" si="344"/>
        <v>0.3710033965951936</v>
      </c>
      <c r="AX125" s="173">
        <f t="shared" si="214"/>
        <v>3.678300793967566</v>
      </c>
      <c r="AY125" s="173">
        <f t="shared" si="215"/>
        <v>0.46615637163445106</v>
      </c>
      <c r="AZ125" s="173">
        <f t="shared" si="288"/>
        <v>7.890701528052916</v>
      </c>
      <c r="BA125" s="460">
        <f t="shared" si="433"/>
        <v>1.5565233457680863</v>
      </c>
      <c r="BB125" s="5">
        <f t="shared" si="434"/>
        <v>1.4195654677856402</v>
      </c>
      <c r="BD125" s="173">
        <f t="shared" si="289"/>
        <v>0.78147628216124743</v>
      </c>
      <c r="BE125" s="173">
        <f t="shared" si="218"/>
        <v>0.67869842741680397</v>
      </c>
      <c r="BG125" s="528">
        <f t="shared" si="347"/>
        <v>2.4428207183222625E-2</v>
      </c>
      <c r="BH125" s="528">
        <f t="shared" si="348"/>
        <v>0.18829359673600923</v>
      </c>
      <c r="BI125" s="528">
        <f t="shared" si="349"/>
        <v>5.3170913298078666E-2</v>
      </c>
      <c r="BJ125" s="528">
        <f t="shared" si="350"/>
        <v>1.6659688566014828E-2</v>
      </c>
      <c r="BK125">
        <f t="shared" si="351"/>
        <v>4.0153589838486225E-3</v>
      </c>
      <c r="BL125" s="460">
        <f t="shared" si="427"/>
        <v>57.186272281927288</v>
      </c>
      <c r="BM125" s="528">
        <f t="shared" si="352"/>
        <v>0.23735474909920834</v>
      </c>
      <c r="BN125" s="460">
        <f t="shared" si="353"/>
        <v>237.35474909920833</v>
      </c>
      <c r="BO125" s="528">
        <f t="shared" si="354"/>
        <v>0.105</v>
      </c>
      <c r="BR125" s="460">
        <f t="shared" si="355"/>
        <v>105</v>
      </c>
      <c r="BS125" s="528">
        <f t="shared" si="356"/>
        <v>1.8321155387416965E-2</v>
      </c>
      <c r="BT125" s="528">
        <f t="shared" si="357"/>
        <v>1.3818946661341281E-2</v>
      </c>
      <c r="BU125" s="528">
        <f t="shared" si="358"/>
        <v>9.9699821363870941E-2</v>
      </c>
      <c r="BV125" s="528"/>
      <c r="BW125" s="528">
        <f t="shared" si="359"/>
        <v>0.14713203175870265</v>
      </c>
      <c r="BX125" s="460">
        <f t="shared" si="360"/>
        <v>278.97195517133184</v>
      </c>
      <c r="BY125" s="173">
        <f t="shared" si="361"/>
        <v>0.6705397199385057</v>
      </c>
      <c r="BZ125" s="5">
        <f t="shared" si="362"/>
        <v>3.5999999999999996</v>
      </c>
      <c r="CA125" s="173">
        <f t="shared" si="363"/>
        <v>0.84298478320951864</v>
      </c>
      <c r="CB125" s="5">
        <f t="shared" si="364"/>
        <v>84.298478320951858</v>
      </c>
      <c r="CE125" s="562">
        <f t="shared" si="365"/>
        <v>-50</v>
      </c>
      <c r="CF125">
        <f t="shared" si="366"/>
        <v>-50</v>
      </c>
      <c r="CG125" s="173">
        <f t="shared" si="367"/>
        <v>0.20449625351731493</v>
      </c>
      <c r="CI125" s="170">
        <v>15</v>
      </c>
      <c r="CJ125" s="217">
        <f t="shared" si="428"/>
        <v>0.15</v>
      </c>
      <c r="CK125" s="217"/>
      <c r="CL125" s="217">
        <f t="shared" si="368"/>
        <v>3.5999999999999996</v>
      </c>
      <c r="CM125" s="541">
        <f t="shared" si="369"/>
        <v>9</v>
      </c>
      <c r="CN125" s="443">
        <f t="shared" si="370"/>
        <v>16.3415</v>
      </c>
      <c r="CO125" s="443">
        <f t="shared" si="371"/>
        <v>25.3415</v>
      </c>
      <c r="CP125" s="443"/>
      <c r="CQ125" s="217">
        <f t="shared" si="372"/>
        <v>0.64485133082098534</v>
      </c>
      <c r="CR125" s="172">
        <f t="shared" si="429"/>
        <v>32.320915977744015</v>
      </c>
      <c r="CS125" s="172">
        <f t="shared" si="373"/>
        <v>3.5999999999999996</v>
      </c>
      <c r="CT125" s="217">
        <f t="shared" si="374"/>
        <v>1.3467048324060007</v>
      </c>
      <c r="CU125" s="217">
        <f t="shared" si="375"/>
        <v>24</v>
      </c>
      <c r="CV125" s="217"/>
      <c r="CW125" s="172">
        <f t="shared" si="376"/>
        <v>319.86113940155923</v>
      </c>
      <c r="CX125" s="172">
        <f t="shared" si="377"/>
        <v>24</v>
      </c>
      <c r="CY125" s="217">
        <f t="shared" si="378"/>
        <v>1.2405960285163538</v>
      </c>
      <c r="CZ125" s="217">
        <f t="shared" si="379"/>
        <v>1.3784400316848375</v>
      </c>
      <c r="DA125" s="217">
        <f t="shared" si="380"/>
        <v>0.75916900438537083</v>
      </c>
      <c r="DB125" s="197">
        <f t="shared" si="381"/>
        <v>261.16478898249903</v>
      </c>
      <c r="DC125" s="443">
        <f t="shared" si="382"/>
        <v>350</v>
      </c>
      <c r="DE125" s="217">
        <f t="shared" si="383"/>
        <v>2.2222222222222223</v>
      </c>
      <c r="DF125" s="173">
        <f t="shared" si="384"/>
        <v>1.3598642855443031</v>
      </c>
      <c r="DG125" s="173">
        <f t="shared" si="385"/>
        <v>0.26320462482489204</v>
      </c>
      <c r="DH125" s="173"/>
      <c r="DI125" s="173">
        <f t="shared" si="386"/>
        <v>1.3598642855443031</v>
      </c>
      <c r="DJ125" s="545">
        <f t="shared" si="387"/>
        <v>148.83749999999995</v>
      </c>
      <c r="DK125" s="528">
        <f t="shared" si="388"/>
        <v>0.26320462482489204</v>
      </c>
      <c r="DM125" s="173">
        <f t="shared" si="389"/>
        <v>1.4491376746189437</v>
      </c>
      <c r="DN125" s="173">
        <f t="shared" si="390"/>
        <v>2.2222222222222223</v>
      </c>
      <c r="DO125" s="173">
        <f t="shared" si="391"/>
        <v>1.0850500000000001</v>
      </c>
      <c r="DQ125" s="545">
        <f t="shared" si="392"/>
        <v>150</v>
      </c>
      <c r="DR125" s="460">
        <f t="shared" si="393"/>
        <v>148.83749999999995</v>
      </c>
      <c r="DT125">
        <f t="shared" si="430"/>
        <v>150</v>
      </c>
      <c r="DU125">
        <f t="shared" si="431"/>
        <v>148.83749999999995</v>
      </c>
      <c r="DW125" s="5">
        <f t="shared" si="394"/>
        <v>6.7187368774670384</v>
      </c>
      <c r="DX125" s="5">
        <f t="shared" si="395"/>
        <v>2.4691358024691361</v>
      </c>
      <c r="DY125" s="5">
        <f t="shared" si="396"/>
        <v>4.2496010749979023</v>
      </c>
      <c r="DZ125" s="5"/>
      <c r="EA125" s="173">
        <f t="shared" si="397"/>
        <v>0.36749999999999994</v>
      </c>
      <c r="EB125" s="173">
        <f t="shared" si="398"/>
        <v>3.6749999999999994</v>
      </c>
      <c r="EC125" s="173">
        <f t="shared" si="399"/>
        <v>0.46875277777777785</v>
      </c>
      <c r="ED125" s="173">
        <f t="shared" si="400"/>
        <v>7.839953541016051</v>
      </c>
      <c r="EE125" s="460">
        <f t="shared" si="401"/>
        <v>1.5432098765432101</v>
      </c>
      <c r="EF125" s="5">
        <f t="shared" si="402"/>
        <v>1.416533691665967</v>
      </c>
      <c r="EH125" s="173">
        <f t="shared" si="403"/>
        <v>0.77777777777777779</v>
      </c>
      <c r="EI125" s="173">
        <f t="shared" si="404"/>
        <v>0.68058591617841435</v>
      </c>
      <c r="EK125" s="528">
        <f t="shared" si="405"/>
        <v>2.4197530864197531E-2</v>
      </c>
      <c r="EL125" s="528">
        <f t="shared" si="406"/>
        <v>0.23049678093749995</v>
      </c>
      <c r="EM125" s="528">
        <f t="shared" si="407"/>
        <v>2.9767499999999988E-2</v>
      </c>
      <c r="EN125" s="528">
        <f t="shared" si="408"/>
        <v>1.672688422591101E-2</v>
      </c>
      <c r="EO125">
        <f t="shared" si="409"/>
        <v>4.0499999999999998E-3</v>
      </c>
      <c r="EP125" s="460">
        <f t="shared" si="410"/>
        <v>33.817499999999988</v>
      </c>
      <c r="EQ125" s="460"/>
      <c r="ER125" s="460">
        <f t="shared" si="432"/>
        <v>305.23869602760851</v>
      </c>
      <c r="ES125" s="528">
        <f t="shared" si="411"/>
        <v>0.105</v>
      </c>
      <c r="EV125" s="460">
        <f t="shared" si="412"/>
        <v>105</v>
      </c>
      <c r="EW125" s="528">
        <f t="shared" si="413"/>
        <v>1.8148148148148149E-2</v>
      </c>
      <c r="EX125" s="528">
        <f t="shared" si="414"/>
        <v>1.389591567901235E-2</v>
      </c>
      <c r="EY125" s="528">
        <f t="shared" si="415"/>
        <v>9.9476302995602617E-2</v>
      </c>
      <c r="EZ125" s="528"/>
      <c r="FA125" s="528">
        <f t="shared" si="416"/>
        <v>0.14699999999999999</v>
      </c>
      <c r="FB125" s="460">
        <f t="shared" si="417"/>
        <v>278.52036682276309</v>
      </c>
      <c r="FC125" s="173">
        <f t="shared" si="418"/>
        <v>0.68875906285037158</v>
      </c>
      <c r="FD125" s="5">
        <f t="shared" si="419"/>
        <v>3.5999999999999996</v>
      </c>
      <c r="FE125" s="173">
        <f t="shared" si="420"/>
        <v>0.83940364735886752</v>
      </c>
      <c r="FF125" s="5">
        <f t="shared" si="421"/>
        <v>83.940364735886746</v>
      </c>
      <c r="FI125" s="562">
        <f t="shared" si="422"/>
        <v>-50</v>
      </c>
      <c r="FJ125">
        <f t="shared" si="423"/>
        <v>-50</v>
      </c>
      <c r="FL125">
        <f t="shared" si="424"/>
        <v>0.20239880059970014</v>
      </c>
    </row>
    <row r="126" spans="5:168">
      <c r="E126" s="170">
        <v>16</v>
      </c>
      <c r="F126" s="217">
        <f t="shared" si="425"/>
        <v>0.16</v>
      </c>
      <c r="G126" s="217"/>
      <c r="H126" s="217">
        <f t="shared" si="315"/>
        <v>3.84</v>
      </c>
      <c r="I126" s="541">
        <f t="shared" si="316"/>
        <v>8.9230199641080503</v>
      </c>
      <c r="J126" s="172">
        <f t="shared" si="317"/>
        <v>16.356177530509115</v>
      </c>
      <c r="K126" s="172">
        <f t="shared" si="318"/>
        <v>25.279197494617165</v>
      </c>
      <c r="L126" s="443"/>
      <c r="M126" s="217">
        <f t="shared" si="319"/>
        <v>0.64702335676345168</v>
      </c>
      <c r="N126" s="172">
        <f t="shared" si="426"/>
        <v>32.152398318364</v>
      </c>
      <c r="O126" s="172">
        <f t="shared" si="284"/>
        <v>3.84</v>
      </c>
      <c r="P126" s="217">
        <f t="shared" si="320"/>
        <v>1.3396832632651667</v>
      </c>
      <c r="Q126" s="217">
        <f t="shared" si="321"/>
        <v>24</v>
      </c>
      <c r="R126" s="217"/>
      <c r="S126" s="172">
        <f t="shared" si="322"/>
        <v>296.47176482061155</v>
      </c>
      <c r="T126" s="172">
        <f t="shared" si="323"/>
        <v>24</v>
      </c>
      <c r="U126" s="217">
        <f t="shared" si="324"/>
        <v>1.3591837565822087</v>
      </c>
      <c r="V126" s="217">
        <f t="shared" si="325"/>
        <v>1.5232328987824624</v>
      </c>
      <c r="W126" s="217">
        <f t="shared" si="326"/>
        <v>0.83099107603040423</v>
      </c>
      <c r="X126" s="197">
        <f t="shared" si="327"/>
        <v>259.80225203959685</v>
      </c>
      <c r="Y126" s="443">
        <f t="shared" si="328"/>
        <v>350</v>
      </c>
      <c r="AA126" s="217">
        <f t="shared" si="329"/>
        <v>2.2222222222222223</v>
      </c>
      <c r="AB126" s="173">
        <f t="shared" si="330"/>
        <v>1.3586439851714256</v>
      </c>
      <c r="AC126" s="173">
        <f t="shared" si="331"/>
        <v>0.26159648626009102</v>
      </c>
      <c r="AD126" s="173"/>
      <c r="AE126" s="173">
        <f t="shared" si="332"/>
        <v>1.3586439851714256</v>
      </c>
      <c r="AF126" s="545">
        <f t="shared" si="333"/>
        <v>158.90259429939883</v>
      </c>
      <c r="AG126" s="528">
        <f t="shared" si="334"/>
        <v>0.26159648626009097</v>
      </c>
      <c r="AI126" s="173">
        <f t="shared" si="335"/>
        <v>1.4973349366503022</v>
      </c>
      <c r="AJ126" s="173">
        <f t="shared" si="336"/>
        <v>2.2222222222222223</v>
      </c>
      <c r="AK126" s="173">
        <f t="shared" si="337"/>
        <v>1.0908014824567993</v>
      </c>
      <c r="AM126" s="545">
        <f t="shared" si="338"/>
        <v>160</v>
      </c>
      <c r="AN126" s="460">
        <f t="shared" si="339"/>
        <v>158.90259429939883</v>
      </c>
      <c r="AP126" s="460">
        <f t="shared" si="340"/>
        <v>160</v>
      </c>
      <c r="AQ126" s="460">
        <f t="shared" si="341"/>
        <v>158.90259429939883</v>
      </c>
      <c r="AS126" s="5">
        <f t="shared" si="285"/>
        <v>6.2931634590926446</v>
      </c>
      <c r="AT126" s="5">
        <f t="shared" si="342"/>
        <v>2.4904373532289381</v>
      </c>
      <c r="AU126" s="5">
        <f t="shared" si="343"/>
        <v>3.8027261058637065</v>
      </c>
      <c r="AV126" s="5"/>
      <c r="AW126" s="173">
        <f t="shared" si="344"/>
        <v>0.3957369563682066</v>
      </c>
      <c r="AX126" s="173">
        <f t="shared" si="214"/>
        <v>3.9235208468987377</v>
      </c>
      <c r="AY126" s="173">
        <f t="shared" si="215"/>
        <v>0.44782605566934025</v>
      </c>
      <c r="AZ126" s="173">
        <f t="shared" si="288"/>
        <v>8.7612607556620912</v>
      </c>
      <c r="BA126" s="460">
        <f t="shared" si="433"/>
        <v>1.6602915688192921</v>
      </c>
      <c r="BB126" s="5">
        <f t="shared" si="434"/>
        <v>1.3637449638924182</v>
      </c>
      <c r="BD126" s="173">
        <f t="shared" si="289"/>
        <v>0.80710523367109333</v>
      </c>
      <c r="BE126" s="173">
        <f t="shared" si="218"/>
        <v>0.66522063077008375</v>
      </c>
      <c r="BG126" s="528">
        <f t="shared" si="347"/>
        <v>2.6056754328770807E-2</v>
      </c>
      <c r="BH126" s="528">
        <f t="shared" si="348"/>
        <v>0.20084650318507655</v>
      </c>
      <c r="BI126" s="528">
        <f t="shared" si="349"/>
        <v>5.6715640851283916E-2</v>
      </c>
      <c r="BJ126" s="528">
        <f t="shared" si="350"/>
        <v>1.7770334470415816E-2</v>
      </c>
      <c r="BK126">
        <f t="shared" si="351"/>
        <v>4.0153589838486225E-3</v>
      </c>
      <c r="BL126" s="460">
        <f t="shared" si="427"/>
        <v>60.730999835132543</v>
      </c>
      <c r="BM126" s="528">
        <f t="shared" si="352"/>
        <v>0.2532769748896832</v>
      </c>
      <c r="BN126" s="460">
        <f t="shared" si="353"/>
        <v>253.2769748896832</v>
      </c>
      <c r="BO126" s="528">
        <f t="shared" si="354"/>
        <v>0.11199999999999999</v>
      </c>
      <c r="BR126" s="460">
        <f t="shared" si="355"/>
        <v>111.99999999999999</v>
      </c>
      <c r="BS126" s="528">
        <f t="shared" si="356"/>
        <v>1.9542565746578103E-2</v>
      </c>
      <c r="BT126" s="528">
        <f t="shared" si="357"/>
        <v>1.3275554628064443E-2</v>
      </c>
      <c r="BU126" s="528">
        <f t="shared" si="358"/>
        <v>0.1171564461358274</v>
      </c>
      <c r="BV126" s="528"/>
      <c r="BW126" s="528">
        <f t="shared" si="359"/>
        <v>0.15694083387594948</v>
      </c>
      <c r="BX126" s="460">
        <f t="shared" si="360"/>
        <v>306.91540038641938</v>
      </c>
      <c r="BY126" s="173">
        <f t="shared" si="361"/>
        <v>0.72431999220581511</v>
      </c>
      <c r="BZ126" s="5">
        <f t="shared" si="362"/>
        <v>3.84</v>
      </c>
      <c r="CA126" s="173">
        <f t="shared" si="363"/>
        <v>0.84130823574098923</v>
      </c>
      <c r="CB126" s="5">
        <f t="shared" si="364"/>
        <v>84.130823574098926</v>
      </c>
      <c r="CE126" s="562">
        <f t="shared" si="365"/>
        <v>-50</v>
      </c>
      <c r="CF126">
        <f t="shared" si="366"/>
        <v>-50</v>
      </c>
      <c r="CG126" s="173">
        <f t="shared" si="367"/>
        <v>0.21812933708513593</v>
      </c>
      <c r="CI126" s="170">
        <v>16</v>
      </c>
      <c r="CJ126" s="217">
        <f t="shared" si="428"/>
        <v>0.16</v>
      </c>
      <c r="CK126" s="217"/>
      <c r="CL126" s="217">
        <f t="shared" si="368"/>
        <v>3.84</v>
      </c>
      <c r="CM126" s="541">
        <f t="shared" si="369"/>
        <v>9</v>
      </c>
      <c r="CN126" s="443">
        <f t="shared" si="370"/>
        <v>16.3415</v>
      </c>
      <c r="CO126" s="443">
        <f t="shared" si="371"/>
        <v>25.3415</v>
      </c>
      <c r="CP126" s="443"/>
      <c r="CQ126" s="217">
        <f t="shared" si="372"/>
        <v>0.64485133082098534</v>
      </c>
      <c r="CR126" s="172">
        <f t="shared" si="429"/>
        <v>32.320915977744015</v>
      </c>
      <c r="CS126" s="172">
        <f t="shared" si="373"/>
        <v>3.84</v>
      </c>
      <c r="CT126" s="217">
        <f t="shared" si="374"/>
        <v>1.3467048324060007</v>
      </c>
      <c r="CU126" s="217">
        <f t="shared" si="375"/>
        <v>24</v>
      </c>
      <c r="CV126" s="217"/>
      <c r="CW126" s="172">
        <f t="shared" si="376"/>
        <v>299.0292707248168</v>
      </c>
      <c r="CX126" s="172">
        <f t="shared" si="377"/>
        <v>24</v>
      </c>
      <c r="CY126" s="217">
        <f t="shared" si="378"/>
        <v>1.3233024304174441</v>
      </c>
      <c r="CZ126" s="217">
        <f t="shared" si="379"/>
        <v>1.47033603379716</v>
      </c>
      <c r="DA126" s="217">
        <f t="shared" si="380"/>
        <v>0.80978027134439567</v>
      </c>
      <c r="DB126" s="197">
        <f t="shared" si="381"/>
        <v>261.16478898249903</v>
      </c>
      <c r="DC126" s="443">
        <f t="shared" si="382"/>
        <v>350</v>
      </c>
      <c r="DE126" s="217">
        <f t="shared" si="383"/>
        <v>2.2222222222222223</v>
      </c>
      <c r="DF126" s="173">
        <f t="shared" si="384"/>
        <v>1.3598642855443031</v>
      </c>
      <c r="DG126" s="173">
        <f t="shared" si="385"/>
        <v>0.26320462482489204</v>
      </c>
      <c r="DH126" s="173"/>
      <c r="DI126" s="173">
        <f t="shared" si="386"/>
        <v>1.3598642855443031</v>
      </c>
      <c r="DJ126" s="545">
        <f t="shared" si="387"/>
        <v>158.75999999999993</v>
      </c>
      <c r="DK126" s="528">
        <f t="shared" si="388"/>
        <v>0.26320462482489204</v>
      </c>
      <c r="DM126" s="173">
        <f t="shared" si="389"/>
        <v>1.4966629547095764</v>
      </c>
      <c r="DN126" s="173">
        <f t="shared" si="390"/>
        <v>2.2222222222222223</v>
      </c>
      <c r="DO126" s="173">
        <f t="shared" si="391"/>
        <v>1.0907199999999999</v>
      </c>
      <c r="DQ126" s="545">
        <f t="shared" si="392"/>
        <v>160</v>
      </c>
      <c r="DR126" s="460">
        <f t="shared" si="393"/>
        <v>158.75999999999993</v>
      </c>
      <c r="DT126">
        <f t="shared" si="430"/>
        <v>160</v>
      </c>
      <c r="DU126">
        <f t="shared" si="431"/>
        <v>158.75999999999993</v>
      </c>
      <c r="DW126" s="5">
        <f t="shared" si="394"/>
        <v>6.2988158226253494</v>
      </c>
      <c r="DX126" s="5">
        <f t="shared" si="395"/>
        <v>2.4691358024691361</v>
      </c>
      <c r="DY126" s="5">
        <f t="shared" si="396"/>
        <v>3.8296800201562133</v>
      </c>
      <c r="DZ126" s="5"/>
      <c r="EA126" s="173">
        <f t="shared" si="397"/>
        <v>0.39199999999999985</v>
      </c>
      <c r="EB126" s="173">
        <f t="shared" si="398"/>
        <v>3.919999999999999</v>
      </c>
      <c r="EC126" s="173">
        <f t="shared" si="399"/>
        <v>0.45059555555555564</v>
      </c>
      <c r="ED126" s="173">
        <f t="shared" si="400"/>
        <v>8.6995975696362304</v>
      </c>
      <c r="EE126" s="460">
        <f t="shared" si="401"/>
        <v>1.6460905349794241</v>
      </c>
      <c r="EF126" s="5">
        <f t="shared" si="402"/>
        <v>1.3616640071666535</v>
      </c>
      <c r="EH126" s="173">
        <f t="shared" si="403"/>
        <v>0.80328543476894554</v>
      </c>
      <c r="EI126" s="173">
        <f t="shared" si="404"/>
        <v>0.66727442914142032</v>
      </c>
      <c r="EK126" s="528">
        <f t="shared" si="405"/>
        <v>2.5810699588477353E-2</v>
      </c>
      <c r="EL126" s="528">
        <f t="shared" si="406"/>
        <v>0.24586323299999993</v>
      </c>
      <c r="EM126" s="528">
        <f t="shared" si="407"/>
        <v>3.1751999999999982E-2</v>
      </c>
      <c r="EN126" s="528">
        <f t="shared" si="408"/>
        <v>1.7842009840971743E-2</v>
      </c>
      <c r="EO126">
        <f t="shared" si="409"/>
        <v>4.0499999999999998E-3</v>
      </c>
      <c r="EP126" s="460">
        <f t="shared" si="410"/>
        <v>35.801999999999978</v>
      </c>
      <c r="EQ126" s="460"/>
      <c r="ER126" s="460">
        <f t="shared" si="432"/>
        <v>325.31794242944898</v>
      </c>
      <c r="ES126" s="528">
        <f t="shared" si="411"/>
        <v>0.11199999999999999</v>
      </c>
      <c r="EV126" s="460">
        <f t="shared" si="412"/>
        <v>111.99999999999999</v>
      </c>
      <c r="EW126" s="528">
        <f t="shared" si="413"/>
        <v>1.9358024691358014E-2</v>
      </c>
      <c r="EX126" s="528">
        <f t="shared" si="414"/>
        <v>1.3357654913580251E-2</v>
      </c>
      <c r="EY126" s="528">
        <f t="shared" si="415"/>
        <v>0.11689379152607818</v>
      </c>
      <c r="EZ126" s="528"/>
      <c r="FA126" s="528">
        <f t="shared" si="416"/>
        <v>0.15679999999999999</v>
      </c>
      <c r="FB126" s="460">
        <f t="shared" si="417"/>
        <v>306.40947113101646</v>
      </c>
      <c r="FC126" s="173">
        <f t="shared" si="418"/>
        <v>0.74372741356046546</v>
      </c>
      <c r="FD126" s="5">
        <f t="shared" si="419"/>
        <v>3.84</v>
      </c>
      <c r="FE126" s="173">
        <f t="shared" si="420"/>
        <v>0.83774615144865994</v>
      </c>
      <c r="FF126" s="5">
        <f t="shared" si="421"/>
        <v>83.77461514486599</v>
      </c>
      <c r="FI126" s="562">
        <f t="shared" si="422"/>
        <v>-50</v>
      </c>
      <c r="FJ126">
        <f t="shared" si="423"/>
        <v>-50</v>
      </c>
      <c r="FL126">
        <f t="shared" si="424"/>
        <v>0.21589205397301348</v>
      </c>
    </row>
    <row r="127" spans="5:168">
      <c r="E127" s="170">
        <v>17</v>
      </c>
      <c r="F127" s="217">
        <f t="shared" si="425"/>
        <v>0.17</v>
      </c>
      <c r="G127" s="217"/>
      <c r="H127" s="217">
        <f t="shared" si="315"/>
        <v>4.08</v>
      </c>
      <c r="I127" s="541">
        <f t="shared" si="316"/>
        <v>8.9230199641080503</v>
      </c>
      <c r="J127" s="172">
        <f t="shared" si="317"/>
        <v>16.356177530509115</v>
      </c>
      <c r="K127" s="172">
        <f t="shared" si="318"/>
        <v>25.279197494617165</v>
      </c>
      <c r="L127" s="443"/>
      <c r="M127" s="217">
        <f t="shared" si="319"/>
        <v>0.64702335676345168</v>
      </c>
      <c r="N127" s="172">
        <f t="shared" si="426"/>
        <v>32.152398318364</v>
      </c>
      <c r="O127" s="172">
        <f t="shared" si="284"/>
        <v>4.08</v>
      </c>
      <c r="P127" s="217">
        <f t="shared" si="320"/>
        <v>1.3396832632651667</v>
      </c>
      <c r="Q127" s="217">
        <f t="shared" si="321"/>
        <v>24</v>
      </c>
      <c r="R127" s="217"/>
      <c r="S127" s="172">
        <f t="shared" si="322"/>
        <v>278.24811487540671</v>
      </c>
      <c r="T127" s="172">
        <f t="shared" si="323"/>
        <v>24</v>
      </c>
      <c r="U127" s="217">
        <f t="shared" si="324"/>
        <v>1.4441327413685967</v>
      </c>
      <c r="V127" s="217">
        <f t="shared" si="325"/>
        <v>1.6184349549563661</v>
      </c>
      <c r="W127" s="217">
        <f t="shared" si="326"/>
        <v>0.88292801828230438</v>
      </c>
      <c r="X127" s="197">
        <f t="shared" si="327"/>
        <v>259.80225203959685</v>
      </c>
      <c r="Y127" s="443">
        <f t="shared" si="328"/>
        <v>350</v>
      </c>
      <c r="AA127" s="217">
        <f t="shared" si="329"/>
        <v>2.2222222222222223</v>
      </c>
      <c r="AB127" s="173">
        <f t="shared" si="330"/>
        <v>1.3586439851714256</v>
      </c>
      <c r="AC127" s="173">
        <f t="shared" si="331"/>
        <v>0.26159648626009102</v>
      </c>
      <c r="AD127" s="173"/>
      <c r="AE127" s="173">
        <f t="shared" si="332"/>
        <v>1.3586439851714256</v>
      </c>
      <c r="AF127" s="545">
        <f t="shared" si="333"/>
        <v>168.83400644311126</v>
      </c>
      <c r="AG127" s="528">
        <f t="shared" si="334"/>
        <v>0.26159648626009097</v>
      </c>
      <c r="AI127" s="173">
        <f t="shared" si="335"/>
        <v>1.5434175251841811</v>
      </c>
      <c r="AJ127" s="173">
        <f t="shared" si="336"/>
        <v>2.2222222222222223</v>
      </c>
      <c r="AK127" s="173">
        <f t="shared" si="337"/>
        <v>1.0964765751103493</v>
      </c>
      <c r="AM127" s="545">
        <f t="shared" si="338"/>
        <v>170</v>
      </c>
      <c r="AN127" s="460">
        <f t="shared" si="339"/>
        <v>168.83400644311126</v>
      </c>
      <c r="AP127" s="460">
        <f t="shared" si="340"/>
        <v>170</v>
      </c>
      <c r="AQ127" s="460">
        <f t="shared" si="341"/>
        <v>168.83400644311126</v>
      </c>
      <c r="AS127" s="5">
        <f t="shared" si="285"/>
        <v>5.9229773732636657</v>
      </c>
      <c r="AT127" s="5">
        <f t="shared" si="342"/>
        <v>2.4904373532289381</v>
      </c>
      <c r="AU127" s="5">
        <f t="shared" si="343"/>
        <v>3.4325400200347276</v>
      </c>
      <c r="AV127" s="5"/>
      <c r="AW127" s="173">
        <f t="shared" si="344"/>
        <v>0.4204705161412195</v>
      </c>
      <c r="AX127" s="173">
        <f t="shared" si="214"/>
        <v>4.168740899829908</v>
      </c>
      <c r="AY127" s="173">
        <f t="shared" si="215"/>
        <v>0.42949573970422961</v>
      </c>
      <c r="AZ127" s="173">
        <f t="shared" si="288"/>
        <v>9.7061286398339917</v>
      </c>
      <c r="BA127" s="460">
        <f t="shared" si="433"/>
        <v>1.7640597918704979</v>
      </c>
      <c r="BB127" s="5">
        <f t="shared" si="434"/>
        <v>1.3079244599991966</v>
      </c>
      <c r="BD127" s="173">
        <f t="shared" si="289"/>
        <v>0.83194503235368533</v>
      </c>
      <c r="BE127" s="173">
        <f t="shared" si="218"/>
        <v>0.65146405873712909</v>
      </c>
      <c r="BG127" s="528">
        <f t="shared" si="347"/>
        <v>2.7685301474318979E-2</v>
      </c>
      <c r="BH127" s="528">
        <f t="shared" si="348"/>
        <v>0.21339940963414383</v>
      </c>
      <c r="BI127" s="528">
        <f t="shared" si="349"/>
        <v>6.0260368404489159E-2</v>
      </c>
      <c r="BJ127" s="528">
        <f t="shared" si="350"/>
        <v>1.8880980374816805E-2</v>
      </c>
      <c r="BK127">
        <f t="shared" si="351"/>
        <v>4.0153589838486225E-3</v>
      </c>
      <c r="BL127" s="460">
        <f t="shared" si="427"/>
        <v>64.275727388337785</v>
      </c>
      <c r="BM127" s="528">
        <f t="shared" si="352"/>
        <v>0.26921160425251572</v>
      </c>
      <c r="BN127" s="460">
        <f t="shared" si="353"/>
        <v>269.21160425251571</v>
      </c>
      <c r="BO127" s="528">
        <f t="shared" si="354"/>
        <v>0.11899999999999999</v>
      </c>
      <c r="BR127" s="460">
        <f t="shared" si="355"/>
        <v>119</v>
      </c>
      <c r="BS127" s="528">
        <f t="shared" si="356"/>
        <v>2.0763976105739233E-2</v>
      </c>
      <c r="BT127" s="528">
        <f t="shared" si="357"/>
        <v>1.2732162594787606E-2</v>
      </c>
      <c r="BU127" s="528">
        <f t="shared" si="358"/>
        <v>0.13632909005709037</v>
      </c>
      <c r="BV127" s="528"/>
      <c r="BW127" s="528">
        <f t="shared" si="359"/>
        <v>0.16674963599319637</v>
      </c>
      <c r="BX127" s="460">
        <f t="shared" si="360"/>
        <v>336.57486475081356</v>
      </c>
      <c r="BY127" s="173">
        <f t="shared" si="361"/>
        <v>0.77981628362243094</v>
      </c>
      <c r="BZ127" s="5">
        <f t="shared" si="362"/>
        <v>4.08</v>
      </c>
      <c r="CA127" s="173">
        <f t="shared" si="363"/>
        <v>0.83953790881963797</v>
      </c>
      <c r="CB127" s="5">
        <f t="shared" si="364"/>
        <v>83.953790881963798</v>
      </c>
      <c r="CE127" s="562">
        <f t="shared" si="365"/>
        <v>-50</v>
      </c>
      <c r="CF127">
        <f t="shared" si="366"/>
        <v>-50</v>
      </c>
      <c r="CG127" s="173">
        <f t="shared" si="367"/>
        <v>0.23176242065295694</v>
      </c>
      <c r="CI127" s="170">
        <v>17</v>
      </c>
      <c r="CJ127" s="217">
        <f t="shared" si="428"/>
        <v>0.17</v>
      </c>
      <c r="CK127" s="217"/>
      <c r="CL127" s="217">
        <f t="shared" si="368"/>
        <v>4.08</v>
      </c>
      <c r="CM127" s="541">
        <f t="shared" si="369"/>
        <v>9</v>
      </c>
      <c r="CN127" s="443">
        <f t="shared" si="370"/>
        <v>16.3415</v>
      </c>
      <c r="CO127" s="443">
        <f t="shared" si="371"/>
        <v>25.3415</v>
      </c>
      <c r="CP127" s="443"/>
      <c r="CQ127" s="217">
        <f t="shared" si="372"/>
        <v>0.64485133082098534</v>
      </c>
      <c r="CR127" s="172">
        <f t="shared" si="429"/>
        <v>32.320915977744015</v>
      </c>
      <c r="CS127" s="172">
        <f t="shared" si="373"/>
        <v>4.08</v>
      </c>
      <c r="CT127" s="217">
        <f t="shared" si="374"/>
        <v>1.3467048324060007</v>
      </c>
      <c r="CU127" s="217">
        <f t="shared" si="375"/>
        <v>24</v>
      </c>
      <c r="CV127" s="217"/>
      <c r="CW127" s="172">
        <f t="shared" si="376"/>
        <v>280.64839036099528</v>
      </c>
      <c r="CX127" s="172">
        <f t="shared" si="377"/>
        <v>24</v>
      </c>
      <c r="CY127" s="217">
        <f t="shared" si="378"/>
        <v>1.4060088323185345</v>
      </c>
      <c r="CZ127" s="217">
        <f t="shared" si="379"/>
        <v>1.5622320359094828</v>
      </c>
      <c r="DA127" s="217">
        <f t="shared" si="380"/>
        <v>0.86039153830342052</v>
      </c>
      <c r="DB127" s="197">
        <f t="shared" si="381"/>
        <v>261.16478898249903</v>
      </c>
      <c r="DC127" s="443">
        <f t="shared" si="382"/>
        <v>350</v>
      </c>
      <c r="DE127" s="217">
        <f t="shared" si="383"/>
        <v>2.2222222222222223</v>
      </c>
      <c r="DF127" s="173">
        <f t="shared" si="384"/>
        <v>1.3598642855443031</v>
      </c>
      <c r="DG127" s="173">
        <f t="shared" si="385"/>
        <v>0.26320462482489204</v>
      </c>
      <c r="DH127" s="173"/>
      <c r="DI127" s="173">
        <f t="shared" si="386"/>
        <v>1.3598642855443031</v>
      </c>
      <c r="DJ127" s="545">
        <f t="shared" si="387"/>
        <v>168.68249999999998</v>
      </c>
      <c r="DK127" s="528">
        <f t="shared" si="388"/>
        <v>0.26320462482489204</v>
      </c>
      <c r="DM127" s="173">
        <f t="shared" si="389"/>
        <v>1.5427248620541512</v>
      </c>
      <c r="DN127" s="173">
        <f t="shared" si="390"/>
        <v>2.2222222222222223</v>
      </c>
      <c r="DO127" s="173">
        <f t="shared" si="391"/>
        <v>1.09639</v>
      </c>
      <c r="DQ127" s="545">
        <f t="shared" si="392"/>
        <v>170</v>
      </c>
      <c r="DR127" s="460">
        <f t="shared" si="393"/>
        <v>168.68249999999998</v>
      </c>
      <c r="DT127">
        <f t="shared" si="430"/>
        <v>170</v>
      </c>
      <c r="DU127">
        <f t="shared" si="431"/>
        <v>168.68249999999998</v>
      </c>
      <c r="DW127" s="5">
        <f t="shared" si="394"/>
        <v>5.928297244823856</v>
      </c>
      <c r="DX127" s="5">
        <f t="shared" si="395"/>
        <v>2.4691358024691361</v>
      </c>
      <c r="DY127" s="5">
        <f t="shared" si="396"/>
        <v>3.4591614423547199</v>
      </c>
      <c r="DZ127" s="5"/>
      <c r="EA127" s="173">
        <f t="shared" si="397"/>
        <v>0.41650000000000004</v>
      </c>
      <c r="EB127" s="173">
        <f t="shared" si="398"/>
        <v>4.165</v>
      </c>
      <c r="EC127" s="173">
        <f t="shared" si="399"/>
        <v>0.43243833333333331</v>
      </c>
      <c r="ED127" s="173">
        <f t="shared" si="400"/>
        <v>9.6314310710968432</v>
      </c>
      <c r="EE127" s="460">
        <f t="shared" si="401"/>
        <v>1.7489711934156382</v>
      </c>
      <c r="EF127" s="5">
        <f t="shared" si="402"/>
        <v>1.3067943226673386</v>
      </c>
      <c r="EH127" s="173">
        <f t="shared" si="403"/>
        <v>0.82800767376814222</v>
      </c>
      <c r="EI127" s="173">
        <f t="shared" si="404"/>
        <v>0.65369192917734953</v>
      </c>
      <c r="EK127" s="528">
        <f t="shared" si="405"/>
        <v>2.742386831275721E-2</v>
      </c>
      <c r="EL127" s="528">
        <f t="shared" si="406"/>
        <v>0.26122968506249999</v>
      </c>
      <c r="EM127" s="528">
        <f t="shared" si="407"/>
        <v>3.3736499999999989E-2</v>
      </c>
      <c r="EN127" s="528">
        <f t="shared" si="408"/>
        <v>1.8957135456032479E-2</v>
      </c>
      <c r="EO127">
        <f t="shared" si="409"/>
        <v>4.0499999999999998E-3</v>
      </c>
      <c r="EP127" s="460">
        <f t="shared" si="410"/>
        <v>37.78649999999999</v>
      </c>
      <c r="EQ127" s="460"/>
      <c r="ER127" s="460">
        <f t="shared" si="432"/>
        <v>345.39718883128972</v>
      </c>
      <c r="ES127" s="528">
        <f t="shared" si="411"/>
        <v>0.11899999999999999</v>
      </c>
      <c r="EV127" s="460">
        <f t="shared" si="412"/>
        <v>119</v>
      </c>
      <c r="EW127" s="528">
        <f t="shared" si="413"/>
        <v>2.0567901234567906E-2</v>
      </c>
      <c r="EX127" s="528">
        <f t="shared" si="414"/>
        <v>1.2819394148148148E-2</v>
      </c>
      <c r="EY127" s="528">
        <f t="shared" si="415"/>
        <v>0.13602345203948724</v>
      </c>
      <c r="EZ127" s="528"/>
      <c r="FA127" s="528">
        <f t="shared" si="416"/>
        <v>0.1666</v>
      </c>
      <c r="FB127" s="460">
        <f t="shared" si="417"/>
        <v>336.01074742220328</v>
      </c>
      <c r="FC127" s="173">
        <f t="shared" si="418"/>
        <v>0.80040793625349294</v>
      </c>
      <c r="FD127" s="5">
        <f t="shared" si="419"/>
        <v>4.08</v>
      </c>
      <c r="FE127" s="173">
        <f t="shared" si="420"/>
        <v>0.83599568996932327</v>
      </c>
      <c r="FF127" s="5">
        <f t="shared" si="421"/>
        <v>83.599568996932334</v>
      </c>
      <c r="FI127" s="562">
        <f t="shared" si="422"/>
        <v>-50</v>
      </c>
      <c r="FJ127">
        <f t="shared" si="423"/>
        <v>-50</v>
      </c>
      <c r="FL127">
        <f t="shared" si="424"/>
        <v>0.22938530734632684</v>
      </c>
    </row>
    <row r="128" spans="5:168">
      <c r="E128" s="170">
        <v>18</v>
      </c>
      <c r="F128" s="217">
        <f t="shared" si="425"/>
        <v>0.18</v>
      </c>
      <c r="G128" s="217"/>
      <c r="H128" s="217">
        <f t="shared" si="315"/>
        <v>4.32</v>
      </c>
      <c r="I128" s="541">
        <f t="shared" si="316"/>
        <v>8.9230199641080503</v>
      </c>
      <c r="J128" s="172">
        <f t="shared" si="317"/>
        <v>16.356177530509115</v>
      </c>
      <c r="K128" s="172">
        <f t="shared" si="318"/>
        <v>25.279197494617165</v>
      </c>
      <c r="L128" s="443"/>
      <c r="M128" s="217">
        <f t="shared" si="319"/>
        <v>0.64702335676345168</v>
      </c>
      <c r="N128" s="172">
        <f t="shared" si="426"/>
        <v>32.152398318364</v>
      </c>
      <c r="O128" s="172">
        <f t="shared" si="284"/>
        <v>4.32</v>
      </c>
      <c r="P128" s="217">
        <f t="shared" si="320"/>
        <v>1.3396832632651667</v>
      </c>
      <c r="Q128" s="217">
        <f t="shared" si="321"/>
        <v>24</v>
      </c>
      <c r="R128" s="217"/>
      <c r="S128" s="172">
        <f t="shared" si="322"/>
        <v>262.04948651749214</v>
      </c>
      <c r="T128" s="172">
        <f t="shared" si="323"/>
        <v>24</v>
      </c>
      <c r="U128" s="217">
        <f t="shared" si="324"/>
        <v>1.5290817261549849</v>
      </c>
      <c r="V128" s="217">
        <f t="shared" si="325"/>
        <v>1.7136370111302703</v>
      </c>
      <c r="W128" s="217">
        <f t="shared" si="326"/>
        <v>0.93486496053420487</v>
      </c>
      <c r="X128" s="197">
        <f t="shared" si="327"/>
        <v>259.80225203959685</v>
      </c>
      <c r="Y128" s="443">
        <f t="shared" si="328"/>
        <v>350</v>
      </c>
      <c r="AA128" s="217">
        <f t="shared" si="329"/>
        <v>2.2222222222222223</v>
      </c>
      <c r="AB128" s="173">
        <f t="shared" si="330"/>
        <v>1.3586439851714256</v>
      </c>
      <c r="AC128" s="173">
        <f t="shared" si="331"/>
        <v>0.26159648626009102</v>
      </c>
      <c r="AD128" s="173"/>
      <c r="AE128" s="173">
        <f t="shared" si="332"/>
        <v>1.3586439851714256</v>
      </c>
      <c r="AF128" s="545">
        <f t="shared" si="333"/>
        <v>178.76541858682367</v>
      </c>
      <c r="AG128" s="528">
        <f t="shared" si="334"/>
        <v>0.26159648626009097</v>
      </c>
      <c r="AI128" s="173">
        <f t="shared" si="335"/>
        <v>1.5881635311194373</v>
      </c>
      <c r="AJ128" s="173">
        <f t="shared" si="336"/>
        <v>2.2222222222222223</v>
      </c>
      <c r="AK128" s="173">
        <f t="shared" si="337"/>
        <v>1.1021516677638992</v>
      </c>
      <c r="AM128" s="545">
        <f t="shared" si="338"/>
        <v>180</v>
      </c>
      <c r="AN128" s="460">
        <f t="shared" si="339"/>
        <v>178.76541858682367</v>
      </c>
      <c r="AP128" s="460">
        <f t="shared" si="340"/>
        <v>180</v>
      </c>
      <c r="AQ128" s="460">
        <f t="shared" si="341"/>
        <v>178.76541858682367</v>
      </c>
      <c r="AS128" s="5">
        <f t="shared" si="285"/>
        <v>5.5939230747490187</v>
      </c>
      <c r="AT128" s="5">
        <f t="shared" si="342"/>
        <v>2.4904373532289381</v>
      </c>
      <c r="AU128" s="5">
        <f t="shared" si="343"/>
        <v>3.1034857215200806</v>
      </c>
      <c r="AV128" s="5"/>
      <c r="AW128" s="173">
        <f t="shared" si="344"/>
        <v>0.44520407591423233</v>
      </c>
      <c r="AX128" s="173">
        <f t="shared" si="214"/>
        <v>4.4139609527610792</v>
      </c>
      <c r="AY128" s="173">
        <f t="shared" si="215"/>
        <v>0.41116542373911891</v>
      </c>
      <c r="AZ128" s="173">
        <f t="shared" si="288"/>
        <v>10.735243524663934</v>
      </c>
      <c r="BA128" s="460">
        <f t="shared" si="433"/>
        <v>1.8678280149217037</v>
      </c>
      <c r="BB128" s="5">
        <f t="shared" si="434"/>
        <v>1.2521039561059755</v>
      </c>
      <c r="BD128" s="173">
        <f t="shared" si="289"/>
        <v>0.85606437578997452</v>
      </c>
      <c r="BE128" s="173">
        <f t="shared" si="218"/>
        <v>0.63741066201496743</v>
      </c>
      <c r="BG128" s="528">
        <f t="shared" si="347"/>
        <v>2.9313848619867151E-2</v>
      </c>
      <c r="BH128" s="528">
        <f t="shared" si="348"/>
        <v>0.22595231608321104</v>
      </c>
      <c r="BI128" s="528">
        <f t="shared" si="349"/>
        <v>6.3805095957694402E-2</v>
      </c>
      <c r="BJ128" s="528">
        <f t="shared" si="350"/>
        <v>1.9991626279217793E-2</v>
      </c>
      <c r="BK128">
        <f t="shared" si="351"/>
        <v>4.0153589838486225E-3</v>
      </c>
      <c r="BL128" s="460">
        <f t="shared" si="427"/>
        <v>67.820454941543019</v>
      </c>
      <c r="BM128" s="528">
        <f t="shared" si="352"/>
        <v>0.2851586516871128</v>
      </c>
      <c r="BN128" s="460">
        <f t="shared" si="353"/>
        <v>285.15865168711281</v>
      </c>
      <c r="BO128" s="528">
        <f t="shared" si="354"/>
        <v>0.126</v>
      </c>
      <c r="BR128" s="460">
        <f t="shared" si="355"/>
        <v>126</v>
      </c>
      <c r="BS128" s="528">
        <f t="shared" si="356"/>
        <v>2.198538646490036E-2</v>
      </c>
      <c r="BT128" s="528">
        <f t="shared" si="357"/>
        <v>1.2188770561510772E-2</v>
      </c>
      <c r="BU128" s="528">
        <f t="shared" si="358"/>
        <v>0.15727058248385498</v>
      </c>
      <c r="BV128" s="528"/>
      <c r="BW128" s="528">
        <f t="shared" si="359"/>
        <v>0.17655843811044319</v>
      </c>
      <c r="BX128" s="460">
        <f t="shared" si="360"/>
        <v>368.00317762070932</v>
      </c>
      <c r="BY128" s="173">
        <f t="shared" si="361"/>
        <v>0.83708142354454829</v>
      </c>
      <c r="BZ128" s="5">
        <f t="shared" si="362"/>
        <v>4.32</v>
      </c>
      <c r="CA128" s="173">
        <f t="shared" si="363"/>
        <v>0.83768310895327924</v>
      </c>
      <c r="CB128" s="5">
        <f t="shared" si="364"/>
        <v>83.768310895327929</v>
      </c>
      <c r="CE128" s="562">
        <f t="shared" si="365"/>
        <v>-50</v>
      </c>
      <c r="CF128">
        <f t="shared" si="366"/>
        <v>-50</v>
      </c>
      <c r="CG128" s="173">
        <f t="shared" si="367"/>
        <v>0.24539550422077794</v>
      </c>
      <c r="CI128" s="170">
        <v>18</v>
      </c>
      <c r="CJ128" s="217">
        <f t="shared" si="428"/>
        <v>0.18</v>
      </c>
      <c r="CK128" s="217"/>
      <c r="CL128" s="217">
        <f t="shared" si="368"/>
        <v>4.32</v>
      </c>
      <c r="CM128" s="541">
        <f t="shared" si="369"/>
        <v>9</v>
      </c>
      <c r="CN128" s="443">
        <f t="shared" si="370"/>
        <v>16.3415</v>
      </c>
      <c r="CO128" s="443">
        <f t="shared" si="371"/>
        <v>25.3415</v>
      </c>
      <c r="CP128" s="443"/>
      <c r="CQ128" s="217">
        <f t="shared" si="372"/>
        <v>0.64485133082098534</v>
      </c>
      <c r="CR128" s="172">
        <f t="shared" si="429"/>
        <v>32.320915977744015</v>
      </c>
      <c r="CS128" s="172">
        <f t="shared" si="373"/>
        <v>4.32</v>
      </c>
      <c r="CT128" s="217">
        <f t="shared" si="374"/>
        <v>1.3467048324060007</v>
      </c>
      <c r="CU128" s="217">
        <f t="shared" si="375"/>
        <v>24</v>
      </c>
      <c r="CV128" s="217"/>
      <c r="CW128" s="172">
        <f t="shared" si="376"/>
        <v>264.31000163963262</v>
      </c>
      <c r="CX128" s="172">
        <f t="shared" si="377"/>
        <v>24</v>
      </c>
      <c r="CY128" s="217">
        <f t="shared" si="378"/>
        <v>1.4887152342196248</v>
      </c>
      <c r="CZ128" s="217">
        <f t="shared" si="379"/>
        <v>1.6541280380218053</v>
      </c>
      <c r="DA128" s="217">
        <f t="shared" si="380"/>
        <v>0.91100280526244526</v>
      </c>
      <c r="DB128" s="197">
        <f t="shared" si="381"/>
        <v>261.16478898249903</v>
      </c>
      <c r="DC128" s="443">
        <f t="shared" si="382"/>
        <v>350</v>
      </c>
      <c r="DE128" s="217">
        <f t="shared" si="383"/>
        <v>2.2222222222222223</v>
      </c>
      <c r="DF128" s="173">
        <f t="shared" si="384"/>
        <v>1.3598642855443031</v>
      </c>
      <c r="DG128" s="173">
        <f t="shared" si="385"/>
        <v>0.26320462482489204</v>
      </c>
      <c r="DH128" s="173"/>
      <c r="DI128" s="173">
        <f t="shared" si="386"/>
        <v>1.3598642855443031</v>
      </c>
      <c r="DJ128" s="545">
        <f t="shared" si="387"/>
        <v>178.60499999999993</v>
      </c>
      <c r="DK128" s="528">
        <f t="shared" si="388"/>
        <v>0.26320462482489204</v>
      </c>
      <c r="DM128" s="173">
        <f t="shared" si="389"/>
        <v>1.5874507866387542</v>
      </c>
      <c r="DN128" s="173">
        <f t="shared" si="390"/>
        <v>2.2222222222222223</v>
      </c>
      <c r="DO128" s="173">
        <f t="shared" si="391"/>
        <v>1.10206</v>
      </c>
      <c r="DQ128" s="545">
        <f t="shared" si="392"/>
        <v>180</v>
      </c>
      <c r="DR128" s="460">
        <f t="shared" si="393"/>
        <v>178.60499999999993</v>
      </c>
      <c r="DT128">
        <f t="shared" si="430"/>
        <v>180</v>
      </c>
      <c r="DU128">
        <f t="shared" si="431"/>
        <v>178.60499999999993</v>
      </c>
      <c r="DW128" s="5">
        <f t="shared" si="394"/>
        <v>5.5989473978891988</v>
      </c>
      <c r="DX128" s="5">
        <f t="shared" si="395"/>
        <v>2.4691358024691361</v>
      </c>
      <c r="DY128" s="5">
        <f t="shared" si="396"/>
        <v>3.1298115954200627</v>
      </c>
      <c r="DZ128" s="5"/>
      <c r="EA128" s="173">
        <f t="shared" si="397"/>
        <v>0.44099999999999989</v>
      </c>
      <c r="EB128" s="173">
        <f t="shared" si="398"/>
        <v>4.4099999999999993</v>
      </c>
      <c r="EC128" s="173">
        <f t="shared" si="399"/>
        <v>0.41428111111111127</v>
      </c>
      <c r="ED128" s="173">
        <f t="shared" si="400"/>
        <v>10.64494586338315</v>
      </c>
      <c r="EE128" s="460">
        <f t="shared" si="401"/>
        <v>1.8518518518518519</v>
      </c>
      <c r="EF128" s="5">
        <f t="shared" si="402"/>
        <v>1.2519246381680249</v>
      </c>
      <c r="EH128" s="173">
        <f t="shared" si="403"/>
        <v>0.85201286723025826</v>
      </c>
      <c r="EI128" s="173">
        <f t="shared" si="404"/>
        <v>0.63982115685338337</v>
      </c>
      <c r="EK128" s="528">
        <f t="shared" si="405"/>
        <v>2.9037037037037028E-2</v>
      </c>
      <c r="EL128" s="528">
        <f t="shared" si="406"/>
        <v>0.27659613712499992</v>
      </c>
      <c r="EM128" s="528">
        <f t="shared" si="407"/>
        <v>3.5720999999999989E-2</v>
      </c>
      <c r="EN128" s="528">
        <f t="shared" si="408"/>
        <v>2.0072261071093212E-2</v>
      </c>
      <c r="EO128">
        <f t="shared" si="409"/>
        <v>4.0499999999999998E-3</v>
      </c>
      <c r="EP128" s="460">
        <f t="shared" si="410"/>
        <v>39.770999999999987</v>
      </c>
      <c r="EQ128" s="460"/>
      <c r="ER128" s="460">
        <f t="shared" si="432"/>
        <v>365.47643523313019</v>
      </c>
      <c r="ES128" s="528">
        <f t="shared" si="411"/>
        <v>0.126</v>
      </c>
      <c r="EV128" s="460">
        <f t="shared" si="412"/>
        <v>126</v>
      </c>
      <c r="EW128" s="528">
        <f t="shared" si="413"/>
        <v>2.1777777777777767E-2</v>
      </c>
      <c r="EX128" s="528">
        <f t="shared" si="414"/>
        <v>1.2281133382716053E-2</v>
      </c>
      <c r="EY128" s="528">
        <f t="shared" si="415"/>
        <v>0.15691799545318169</v>
      </c>
      <c r="EZ128" s="528"/>
      <c r="FA128" s="528">
        <f t="shared" si="416"/>
        <v>0.17639999999999997</v>
      </c>
      <c r="FB128" s="460">
        <f t="shared" si="417"/>
        <v>367.37690661367549</v>
      </c>
      <c r="FC128" s="173">
        <f t="shared" si="418"/>
        <v>0.85885334184680573</v>
      </c>
      <c r="FD128" s="5">
        <f t="shared" si="419"/>
        <v>4.32</v>
      </c>
      <c r="FE128" s="173">
        <f t="shared" si="420"/>
        <v>0.8341614861137322</v>
      </c>
      <c r="FF128" s="5">
        <f t="shared" si="421"/>
        <v>83.416148611373217</v>
      </c>
      <c r="FI128" s="562">
        <f t="shared" si="422"/>
        <v>-50</v>
      </c>
      <c r="FJ128">
        <f t="shared" si="423"/>
        <v>-50</v>
      </c>
      <c r="FL128">
        <f t="shared" si="424"/>
        <v>0.24287856071964015</v>
      </c>
    </row>
    <row r="129" spans="5:168">
      <c r="E129" s="170">
        <v>19</v>
      </c>
      <c r="F129" s="217">
        <f t="shared" si="425"/>
        <v>0.19</v>
      </c>
      <c r="G129" s="217"/>
      <c r="H129" s="217">
        <f t="shared" si="315"/>
        <v>4.5600000000000005</v>
      </c>
      <c r="I129" s="541">
        <f t="shared" si="316"/>
        <v>8.9230199641080503</v>
      </c>
      <c r="J129" s="172">
        <f t="shared" si="317"/>
        <v>16.356177530509115</v>
      </c>
      <c r="K129" s="172">
        <f t="shared" si="318"/>
        <v>25.279197494617165</v>
      </c>
      <c r="L129" s="443"/>
      <c r="M129" s="217">
        <f t="shared" si="319"/>
        <v>0.64702335676345168</v>
      </c>
      <c r="N129" s="172">
        <f t="shared" si="426"/>
        <v>32.152398318364</v>
      </c>
      <c r="O129" s="172">
        <f t="shared" si="284"/>
        <v>4.5600000000000005</v>
      </c>
      <c r="P129" s="217">
        <f t="shared" si="320"/>
        <v>1.3396832632651667</v>
      </c>
      <c r="Q129" s="217">
        <f t="shared" si="321"/>
        <v>24</v>
      </c>
      <c r="R129" s="217"/>
      <c r="S129" s="172">
        <f t="shared" si="322"/>
        <v>247.5561408181577</v>
      </c>
      <c r="T129" s="172">
        <f t="shared" si="323"/>
        <v>24</v>
      </c>
      <c r="U129" s="217">
        <f t="shared" si="324"/>
        <v>1.614030710941373</v>
      </c>
      <c r="V129" s="217">
        <f t="shared" si="325"/>
        <v>1.8088390673041741</v>
      </c>
      <c r="W129" s="217">
        <f t="shared" si="326"/>
        <v>0.98680190278610491</v>
      </c>
      <c r="X129" s="197">
        <f t="shared" si="327"/>
        <v>259.80225203959685</v>
      </c>
      <c r="Y129" s="443">
        <f t="shared" si="328"/>
        <v>333.81837475999777</v>
      </c>
      <c r="AA129" s="217">
        <f t="shared" si="329"/>
        <v>2.2222222222222223</v>
      </c>
      <c r="AB129" s="173">
        <f t="shared" si="330"/>
        <v>1.3586439851714256</v>
      </c>
      <c r="AC129" s="173">
        <f t="shared" si="331"/>
        <v>0.26159648626009102</v>
      </c>
      <c r="AD129" s="173"/>
      <c r="AE129" s="173">
        <f t="shared" si="332"/>
        <v>1.3586439851714256</v>
      </c>
      <c r="AF129" s="545">
        <f t="shared" si="333"/>
        <v>188.69683073053611</v>
      </c>
      <c r="AG129" s="528">
        <f t="shared" si="334"/>
        <v>0.26159648626009097</v>
      </c>
      <c r="AI129" s="173">
        <f t="shared" si="335"/>
        <v>1.6316829183728858</v>
      </c>
      <c r="AJ129" s="173">
        <f t="shared" si="336"/>
        <v>2.2222222222222223</v>
      </c>
      <c r="AK129" s="173">
        <f t="shared" si="337"/>
        <v>1.1078267604174492</v>
      </c>
      <c r="AM129" s="545">
        <f t="shared" si="338"/>
        <v>190</v>
      </c>
      <c r="AN129" s="460">
        <f t="shared" si="339"/>
        <v>188.69683073053611</v>
      </c>
      <c r="AP129" s="460">
        <f t="shared" si="340"/>
        <v>190</v>
      </c>
      <c r="AQ129" s="460">
        <f t="shared" si="341"/>
        <v>188.69683073053611</v>
      </c>
      <c r="AS129" s="5">
        <f t="shared" si="285"/>
        <v>5.2995060708148589</v>
      </c>
      <c r="AT129" s="5">
        <f t="shared" si="342"/>
        <v>2.4904373532289381</v>
      </c>
      <c r="AU129" s="5">
        <f t="shared" si="343"/>
        <v>2.8090687175859208</v>
      </c>
      <c r="AV129" s="5"/>
      <c r="AW129" s="173">
        <f t="shared" si="344"/>
        <v>0.46993763568724534</v>
      </c>
      <c r="AX129" s="173">
        <f t="shared" si="214"/>
        <v>4.6591810056922505</v>
      </c>
      <c r="AY129" s="173">
        <f t="shared" si="215"/>
        <v>0.39283510777400821</v>
      </c>
      <c r="AZ129" s="173">
        <f t="shared" si="288"/>
        <v>11.860398710526155</v>
      </c>
      <c r="BA129" s="460">
        <f t="shared" si="433"/>
        <v>1.9715962379729095</v>
      </c>
      <c r="BB129" s="5">
        <f t="shared" si="434"/>
        <v>1.1962834522127537</v>
      </c>
      <c r="BD129" s="173">
        <f t="shared" si="289"/>
        <v>0.8795225375937693</v>
      </c>
      <c r="BE129" s="173">
        <f t="shared" si="218"/>
        <v>0.62304035525354573</v>
      </c>
      <c r="BG129" s="528">
        <f t="shared" si="347"/>
        <v>3.0942395765415333E-2</v>
      </c>
      <c r="BH129" s="528">
        <f t="shared" si="348"/>
        <v>0.23850522253227838</v>
      </c>
      <c r="BI129" s="528">
        <f t="shared" si="349"/>
        <v>6.7349823510899645E-2</v>
      </c>
      <c r="BJ129" s="528">
        <f t="shared" si="350"/>
        <v>2.1102272183618782E-2</v>
      </c>
      <c r="BK129">
        <f t="shared" si="351"/>
        <v>4.0153589838486225E-3</v>
      </c>
      <c r="BL129" s="460">
        <f t="shared" si="427"/>
        <v>71.365182494748268</v>
      </c>
      <c r="BM129" s="528">
        <f t="shared" si="352"/>
        <v>0.30111813171548973</v>
      </c>
      <c r="BN129" s="460">
        <f t="shared" si="353"/>
        <v>301.11813171548971</v>
      </c>
      <c r="BO129" s="528">
        <f t="shared" si="354"/>
        <v>0.13299999999999998</v>
      </c>
      <c r="BR129" s="460">
        <f t="shared" si="355"/>
        <v>132.99999999999997</v>
      </c>
      <c r="BS129" s="528">
        <f t="shared" si="356"/>
        <v>2.3206796824061498E-2</v>
      </c>
      <c r="BT129" s="528">
        <f t="shared" si="357"/>
        <v>1.1645378528233934E-2</v>
      </c>
      <c r="BU129" s="528">
        <f t="shared" si="358"/>
        <v>0.18003221919321061</v>
      </c>
      <c r="BV129" s="528"/>
      <c r="BW129" s="528">
        <f t="shared" si="359"/>
        <v>0.18636724022769002</v>
      </c>
      <c r="BX129" s="460">
        <f t="shared" si="360"/>
        <v>401.25163477319603</v>
      </c>
      <c r="BY129" s="173">
        <f t="shared" si="361"/>
        <v>0.89616670774925666</v>
      </c>
      <c r="BZ129" s="5">
        <f t="shared" si="362"/>
        <v>4.5600000000000005</v>
      </c>
      <c r="CA129" s="173">
        <f t="shared" si="363"/>
        <v>0.83575158976054498</v>
      </c>
      <c r="CB129" s="5">
        <f t="shared" si="364"/>
        <v>83.575158976054496</v>
      </c>
      <c r="CE129" s="562">
        <f t="shared" si="365"/>
        <v>-50</v>
      </c>
      <c r="CF129">
        <f t="shared" si="366"/>
        <v>-50</v>
      </c>
      <c r="CG129" s="173">
        <f t="shared" si="367"/>
        <v>0.25902858778859889</v>
      </c>
      <c r="CI129" s="170">
        <v>19</v>
      </c>
      <c r="CJ129" s="217">
        <f t="shared" si="428"/>
        <v>0.19</v>
      </c>
      <c r="CK129" s="217"/>
      <c r="CL129" s="217">
        <f t="shared" si="368"/>
        <v>4.5600000000000005</v>
      </c>
      <c r="CM129" s="541">
        <f t="shared" si="369"/>
        <v>9</v>
      </c>
      <c r="CN129" s="443">
        <f t="shared" si="370"/>
        <v>16.3415</v>
      </c>
      <c r="CO129" s="443">
        <f t="shared" si="371"/>
        <v>25.3415</v>
      </c>
      <c r="CP129" s="443"/>
      <c r="CQ129" s="217">
        <f t="shared" si="372"/>
        <v>0.64485133082098534</v>
      </c>
      <c r="CR129" s="172">
        <f t="shared" si="429"/>
        <v>32.320915977744015</v>
      </c>
      <c r="CS129" s="172">
        <f t="shared" si="373"/>
        <v>4.5600000000000005</v>
      </c>
      <c r="CT129" s="217">
        <f t="shared" si="374"/>
        <v>1.3467048324060007</v>
      </c>
      <c r="CU129" s="217">
        <f t="shared" si="375"/>
        <v>24</v>
      </c>
      <c r="CV129" s="217"/>
      <c r="CW129" s="172">
        <f t="shared" si="376"/>
        <v>249.69160720287917</v>
      </c>
      <c r="CX129" s="172">
        <f t="shared" si="377"/>
        <v>24</v>
      </c>
      <c r="CY129" s="217">
        <f t="shared" si="378"/>
        <v>1.5714216361207152</v>
      </c>
      <c r="CZ129" s="217">
        <f t="shared" si="379"/>
        <v>1.7460240401341283</v>
      </c>
      <c r="DA129" s="217">
        <f t="shared" si="380"/>
        <v>0.96161407222147011</v>
      </c>
      <c r="DB129" s="197">
        <f t="shared" si="381"/>
        <v>261.16478898249903</v>
      </c>
      <c r="DC129" s="443">
        <f t="shared" si="382"/>
        <v>350</v>
      </c>
      <c r="DE129" s="217">
        <f t="shared" si="383"/>
        <v>2.2222222222222223</v>
      </c>
      <c r="DF129" s="173">
        <f t="shared" si="384"/>
        <v>1.3598642855443031</v>
      </c>
      <c r="DG129" s="173">
        <f t="shared" si="385"/>
        <v>0.26320462482489204</v>
      </c>
      <c r="DH129" s="173"/>
      <c r="DI129" s="173">
        <f t="shared" si="386"/>
        <v>1.3598642855443031</v>
      </c>
      <c r="DJ129" s="545">
        <f t="shared" si="387"/>
        <v>188.52749999999995</v>
      </c>
      <c r="DK129" s="528">
        <f t="shared" si="388"/>
        <v>0.26320462482489204</v>
      </c>
      <c r="DM129" s="173">
        <f t="shared" si="389"/>
        <v>1.6309506430300089</v>
      </c>
      <c r="DN129" s="173">
        <f t="shared" si="390"/>
        <v>2.2222222222222223</v>
      </c>
      <c r="DO129" s="173">
        <f t="shared" si="391"/>
        <v>1.1077299999999999</v>
      </c>
      <c r="DQ129" s="545">
        <f t="shared" si="392"/>
        <v>190</v>
      </c>
      <c r="DR129" s="460">
        <f t="shared" si="393"/>
        <v>188.52749999999995</v>
      </c>
      <c r="DT129">
        <f t="shared" si="430"/>
        <v>190</v>
      </c>
      <c r="DU129">
        <f t="shared" si="431"/>
        <v>188.52749999999995</v>
      </c>
      <c r="DW129" s="5">
        <f t="shared" si="394"/>
        <v>5.3042659558950307</v>
      </c>
      <c r="DX129" s="5">
        <f t="shared" si="395"/>
        <v>2.4691358024691361</v>
      </c>
      <c r="DY129" s="5">
        <f t="shared" si="396"/>
        <v>2.8351301534258946</v>
      </c>
      <c r="DZ129" s="5"/>
      <c r="EA129" s="173">
        <f t="shared" si="397"/>
        <v>0.46549999999999986</v>
      </c>
      <c r="EB129" s="173">
        <f t="shared" si="398"/>
        <v>4.6549999999999994</v>
      </c>
      <c r="EC129" s="173">
        <f t="shared" si="399"/>
        <v>0.39612388888888905</v>
      </c>
      <c r="ED129" s="173">
        <f t="shared" si="400"/>
        <v>11.751374079097021</v>
      </c>
      <c r="EE129" s="460">
        <f t="shared" si="401"/>
        <v>1.9547325102880664</v>
      </c>
      <c r="EF129" s="5">
        <f t="shared" si="402"/>
        <v>1.197054953668711</v>
      </c>
      <c r="EH129" s="173">
        <f t="shared" si="403"/>
        <v>0.87536000824399196</v>
      </c>
      <c r="EI129" s="173">
        <f t="shared" si="404"/>
        <v>0.62564293909769209</v>
      </c>
      <c r="EK129" s="528">
        <f t="shared" si="405"/>
        <v>3.065020576131687E-2</v>
      </c>
      <c r="EL129" s="528">
        <f t="shared" si="406"/>
        <v>0.29196258918750001</v>
      </c>
      <c r="EM129" s="528">
        <f t="shared" si="407"/>
        <v>3.7705499999999989E-2</v>
      </c>
      <c r="EN129" s="528">
        <f t="shared" si="408"/>
        <v>2.1187386686153949E-2</v>
      </c>
      <c r="EO129">
        <f t="shared" si="409"/>
        <v>4.0499999999999998E-3</v>
      </c>
      <c r="EP129" s="460">
        <f t="shared" si="410"/>
        <v>41.755499999999984</v>
      </c>
      <c r="EQ129" s="460"/>
      <c r="ER129" s="460">
        <f t="shared" si="432"/>
        <v>385.55568163497082</v>
      </c>
      <c r="ES129" s="528">
        <f t="shared" si="411"/>
        <v>0.13299999999999998</v>
      </c>
      <c r="EV129" s="460">
        <f t="shared" si="412"/>
        <v>132.99999999999997</v>
      </c>
      <c r="EW129" s="528">
        <f t="shared" si="413"/>
        <v>2.2987654320987649E-2</v>
      </c>
      <c r="EX129" s="528">
        <f t="shared" si="414"/>
        <v>1.1742872617283953E-2</v>
      </c>
      <c r="EY129" s="528">
        <f t="shared" si="415"/>
        <v>0.17962860254355925</v>
      </c>
      <c r="EZ129" s="528"/>
      <c r="FA129" s="528">
        <f t="shared" si="416"/>
        <v>0.1862</v>
      </c>
      <c r="FB129" s="460">
        <f t="shared" si="417"/>
        <v>400.55912948183089</v>
      </c>
      <c r="FC129" s="173">
        <f t="shared" si="418"/>
        <v>0.91911481111680171</v>
      </c>
      <c r="FD129" s="5">
        <f t="shared" si="419"/>
        <v>4.5600000000000005</v>
      </c>
      <c r="FE129" s="173">
        <f t="shared" si="420"/>
        <v>0.83225122254201145</v>
      </c>
      <c r="FF129" s="5">
        <f t="shared" si="421"/>
        <v>83.225122254201139</v>
      </c>
      <c r="FI129" s="562">
        <f t="shared" si="422"/>
        <v>-50</v>
      </c>
      <c r="FJ129">
        <f t="shared" si="423"/>
        <v>-50</v>
      </c>
      <c r="FL129">
        <f t="shared" si="424"/>
        <v>0.25637181409295351</v>
      </c>
    </row>
    <row r="130" spans="5:168">
      <c r="E130" s="170">
        <v>20</v>
      </c>
      <c r="F130" s="217">
        <f t="shared" si="425"/>
        <v>0.2</v>
      </c>
      <c r="G130" s="217"/>
      <c r="H130" s="217">
        <f t="shared" si="315"/>
        <v>4.8000000000000007</v>
      </c>
      <c r="I130" s="541">
        <f t="shared" si="316"/>
        <v>8.9230199641080503</v>
      </c>
      <c r="J130" s="172">
        <f t="shared" si="317"/>
        <v>16.356177530509115</v>
      </c>
      <c r="K130" s="172">
        <f t="shared" si="318"/>
        <v>25.279197494617165</v>
      </c>
      <c r="L130" s="443"/>
      <c r="M130" s="217">
        <f t="shared" si="319"/>
        <v>0.64702335676345168</v>
      </c>
      <c r="N130" s="172">
        <f t="shared" si="426"/>
        <v>32.152398318364</v>
      </c>
      <c r="O130" s="172">
        <f t="shared" si="284"/>
        <v>4.8000000000000007</v>
      </c>
      <c r="P130" s="217">
        <f t="shared" si="320"/>
        <v>1.3396832632651667</v>
      </c>
      <c r="Q130" s="217">
        <f t="shared" si="321"/>
        <v>24</v>
      </c>
      <c r="R130" s="217"/>
      <c r="S130" s="172">
        <f t="shared" si="322"/>
        <v>234.51228664746654</v>
      </c>
      <c r="T130" s="172">
        <f t="shared" si="323"/>
        <v>24</v>
      </c>
      <c r="U130" s="217">
        <f t="shared" si="324"/>
        <v>1.698979695727761</v>
      </c>
      <c r="V130" s="217">
        <f t="shared" si="325"/>
        <v>1.9040411234780783</v>
      </c>
      <c r="W130" s="217">
        <f t="shared" si="326"/>
        <v>1.0387388450380055</v>
      </c>
      <c r="X130" s="197">
        <f t="shared" si="327"/>
        <v>259.80225203959685</v>
      </c>
      <c r="Y130" s="443">
        <f t="shared" si="328"/>
        <v>318.18963147845398</v>
      </c>
      <c r="AA130" s="217">
        <f t="shared" si="329"/>
        <v>2.2222222222222223</v>
      </c>
      <c r="AB130" s="173">
        <f t="shared" si="330"/>
        <v>1.3586439851714256</v>
      </c>
      <c r="AC130" s="173">
        <f t="shared" si="331"/>
        <v>0.26159648626009102</v>
      </c>
      <c r="AD130" s="173"/>
      <c r="AE130" s="173">
        <f t="shared" si="332"/>
        <v>1.3586439851714256</v>
      </c>
      <c r="AF130" s="545">
        <f t="shared" si="333"/>
        <v>198.62824287424854</v>
      </c>
      <c r="AG130" s="528">
        <f t="shared" si="334"/>
        <v>0.26159648626009097</v>
      </c>
      <c r="AI130" s="173">
        <f t="shared" si="335"/>
        <v>1.6740713517177086</v>
      </c>
      <c r="AJ130" s="173">
        <f t="shared" si="336"/>
        <v>2.2222222222222223</v>
      </c>
      <c r="AK130" s="173">
        <f t="shared" si="337"/>
        <v>1.1135018530709992</v>
      </c>
      <c r="AM130" s="545">
        <f t="shared" si="338"/>
        <v>200</v>
      </c>
      <c r="AN130" s="460">
        <f t="shared" si="339"/>
        <v>198.62824287424854</v>
      </c>
      <c r="AP130" s="460">
        <f t="shared" si="340"/>
        <v>200</v>
      </c>
      <c r="AQ130" s="460">
        <f t="shared" si="341"/>
        <v>198.62824287424854</v>
      </c>
      <c r="AS130" s="5">
        <f t="shared" si="285"/>
        <v>5.0345307672741164</v>
      </c>
      <c r="AT130" s="5">
        <f t="shared" si="342"/>
        <v>2.4904373532289381</v>
      </c>
      <c r="AU130" s="5">
        <f t="shared" si="343"/>
        <v>2.5440934140451783</v>
      </c>
      <c r="AV130" s="5"/>
      <c r="AW130" s="173">
        <f t="shared" si="344"/>
        <v>0.49467119546025817</v>
      </c>
      <c r="AX130" s="173">
        <f t="shared" si="214"/>
        <v>4.9044010586234226</v>
      </c>
      <c r="AY130" s="173">
        <f t="shared" si="215"/>
        <v>0.37450479180889756</v>
      </c>
      <c r="AZ130" s="173">
        <f t="shared" si="288"/>
        <v>13.095696412680461</v>
      </c>
      <c r="BA130" s="460">
        <f t="shared" si="433"/>
        <v>2.0753644610241153</v>
      </c>
      <c r="BB130" s="5">
        <f t="shared" si="434"/>
        <v>1.1404629483195323</v>
      </c>
      <c r="BD130" s="173">
        <f t="shared" si="289"/>
        <v>0.90237108374220831</v>
      </c>
      <c r="BE130" s="173">
        <f t="shared" si="218"/>
        <v>0.60833068022134962</v>
      </c>
      <c r="BG130" s="528">
        <f t="shared" si="347"/>
        <v>3.2570942910963505E-2</v>
      </c>
      <c r="BH130" s="528">
        <f t="shared" si="348"/>
        <v>0.25105812898134566</v>
      </c>
      <c r="BI130" s="528">
        <f t="shared" si="349"/>
        <v>7.0894551064104902E-2</v>
      </c>
      <c r="BJ130" s="528">
        <f t="shared" si="350"/>
        <v>2.2212918088019774E-2</v>
      </c>
      <c r="BK130">
        <f t="shared" si="351"/>
        <v>4.0153589838486225E-3</v>
      </c>
      <c r="BL130" s="460">
        <f t="shared" si="427"/>
        <v>74.909910047953531</v>
      </c>
      <c r="BM130" s="528">
        <f t="shared" si="352"/>
        <v>0.31709005888231351</v>
      </c>
      <c r="BN130" s="460">
        <f t="shared" si="353"/>
        <v>317.09005888231349</v>
      </c>
      <c r="BO130" s="528">
        <f t="shared" si="354"/>
        <v>0.13999999999999999</v>
      </c>
      <c r="BR130" s="460">
        <f t="shared" si="355"/>
        <v>139.99999999999997</v>
      </c>
      <c r="BS130" s="528">
        <f t="shared" si="356"/>
        <v>2.4428207183222625E-2</v>
      </c>
      <c r="BT130" s="528">
        <f t="shared" si="357"/>
        <v>1.1101986494957097E-2</v>
      </c>
      <c r="BU130" s="528">
        <f t="shared" si="358"/>
        <v>0.20466388872031446</v>
      </c>
      <c r="BV130" s="528"/>
      <c r="BW130" s="528">
        <f t="shared" si="359"/>
        <v>0.19617604234493688</v>
      </c>
      <c r="BX130" s="460">
        <f t="shared" si="360"/>
        <v>436.37012474343106</v>
      </c>
      <c r="BY130" s="173">
        <f t="shared" si="361"/>
        <v>0.9571220247717136</v>
      </c>
      <c r="BZ130" s="5">
        <f t="shared" si="362"/>
        <v>4.8000000000000007</v>
      </c>
      <c r="CA130" s="173">
        <f t="shared" si="363"/>
        <v>0.83374991520877728</v>
      </c>
      <c r="CB130" s="5">
        <f t="shared" si="364"/>
        <v>83.374991520877728</v>
      </c>
      <c r="CE130" s="562">
        <f t="shared" si="365"/>
        <v>-50</v>
      </c>
      <c r="CF130">
        <f t="shared" si="366"/>
        <v>-50</v>
      </c>
      <c r="CG130" s="173">
        <f t="shared" si="367"/>
        <v>0.27266167135641994</v>
      </c>
      <c r="CI130" s="170">
        <v>20</v>
      </c>
      <c r="CJ130" s="217">
        <f t="shared" si="428"/>
        <v>0.2</v>
      </c>
      <c r="CK130" s="217"/>
      <c r="CL130" s="217">
        <f t="shared" si="368"/>
        <v>4.8000000000000007</v>
      </c>
      <c r="CM130" s="541">
        <f t="shared" si="369"/>
        <v>9</v>
      </c>
      <c r="CN130" s="443">
        <f t="shared" si="370"/>
        <v>16.3415</v>
      </c>
      <c r="CO130" s="443">
        <f t="shared" si="371"/>
        <v>25.3415</v>
      </c>
      <c r="CP130" s="443"/>
      <c r="CQ130" s="217">
        <f t="shared" si="372"/>
        <v>0.64485133082098534</v>
      </c>
      <c r="CR130" s="172">
        <f t="shared" si="429"/>
        <v>32.320915977744015</v>
      </c>
      <c r="CS130" s="172">
        <f t="shared" si="373"/>
        <v>4.8000000000000007</v>
      </c>
      <c r="CT130" s="217">
        <f t="shared" si="374"/>
        <v>1.3467048324060007</v>
      </c>
      <c r="CU130" s="217">
        <f t="shared" si="375"/>
        <v>24</v>
      </c>
      <c r="CV130" s="217"/>
      <c r="CW130" s="172">
        <f t="shared" si="376"/>
        <v>236.53520917750373</v>
      </c>
      <c r="CX130" s="172">
        <f t="shared" si="377"/>
        <v>24</v>
      </c>
      <c r="CY130" s="217">
        <f t="shared" si="378"/>
        <v>1.6541280380218055</v>
      </c>
      <c r="CZ130" s="217">
        <f t="shared" si="379"/>
        <v>1.8379200422464508</v>
      </c>
      <c r="DA130" s="217">
        <f t="shared" si="380"/>
        <v>1.0122253391804947</v>
      </c>
      <c r="DB130" s="197">
        <f t="shared" si="381"/>
        <v>261.16478898249903</v>
      </c>
      <c r="DC130" s="443">
        <f t="shared" si="382"/>
        <v>350</v>
      </c>
      <c r="DE130" s="217">
        <f t="shared" si="383"/>
        <v>2.2222222222222223</v>
      </c>
      <c r="DF130" s="173">
        <f t="shared" si="384"/>
        <v>1.3598642855443031</v>
      </c>
      <c r="DG130" s="173">
        <f t="shared" si="385"/>
        <v>0.26320462482489204</v>
      </c>
      <c r="DH130" s="173"/>
      <c r="DI130" s="173">
        <f t="shared" si="386"/>
        <v>1.3598642855443031</v>
      </c>
      <c r="DJ130" s="545">
        <f t="shared" si="387"/>
        <v>198.44999999999993</v>
      </c>
      <c r="DK130" s="528">
        <f t="shared" si="388"/>
        <v>0.26320462482489204</v>
      </c>
      <c r="DM130" s="173">
        <f t="shared" si="389"/>
        <v>1.6733200530681511</v>
      </c>
      <c r="DN130" s="173">
        <f t="shared" si="390"/>
        <v>2.2222222222222223</v>
      </c>
      <c r="DO130" s="173">
        <f t="shared" si="391"/>
        <v>1.1133999999999999</v>
      </c>
      <c r="DQ130" s="545">
        <f t="shared" si="392"/>
        <v>200</v>
      </c>
      <c r="DR130" s="460">
        <f t="shared" si="393"/>
        <v>198.44999999999993</v>
      </c>
      <c r="DT130">
        <f t="shared" si="430"/>
        <v>200</v>
      </c>
      <c r="DU130">
        <f t="shared" si="431"/>
        <v>198.44999999999993</v>
      </c>
      <c r="DW130" s="5">
        <f t="shared" si="394"/>
        <v>5.039052658100279</v>
      </c>
      <c r="DX130" s="5">
        <f t="shared" si="395"/>
        <v>2.4691358024691361</v>
      </c>
      <c r="DY130" s="5">
        <f t="shared" si="396"/>
        <v>2.5699168556311429</v>
      </c>
      <c r="DZ130" s="5"/>
      <c r="EA130" s="173">
        <f t="shared" si="397"/>
        <v>0.48999999999999988</v>
      </c>
      <c r="EB130" s="173">
        <f t="shared" si="398"/>
        <v>4.8999999999999986</v>
      </c>
      <c r="EC130" s="173">
        <f t="shared" si="399"/>
        <v>0.37796666666666678</v>
      </c>
      <c r="ED130" s="173">
        <f t="shared" si="400"/>
        <v>12.964106182203007</v>
      </c>
      <c r="EE130" s="460">
        <f t="shared" si="401"/>
        <v>2.0576131687242798</v>
      </c>
      <c r="EF130" s="5">
        <f t="shared" si="402"/>
        <v>1.142185269169397</v>
      </c>
      <c r="EH130" s="173">
        <f t="shared" si="403"/>
        <v>0.89810041873941782</v>
      </c>
      <c r="EI130" s="173">
        <f t="shared" si="404"/>
        <v>0.61113587828599558</v>
      </c>
      <c r="EK130" s="528">
        <f t="shared" si="405"/>
        <v>3.2263374485596706E-2</v>
      </c>
      <c r="EL130" s="528">
        <f t="shared" si="406"/>
        <v>0.30732904124999993</v>
      </c>
      <c r="EM130" s="528">
        <f t="shared" si="407"/>
        <v>3.9689999999999989E-2</v>
      </c>
      <c r="EN130" s="528">
        <f t="shared" si="408"/>
        <v>2.2302512301214678E-2</v>
      </c>
      <c r="EO130">
        <f t="shared" si="409"/>
        <v>4.0499999999999998E-3</v>
      </c>
      <c r="EP130" s="460">
        <f t="shared" si="410"/>
        <v>43.739999999999988</v>
      </c>
      <c r="EQ130" s="460"/>
      <c r="ER130" s="460">
        <f t="shared" si="432"/>
        <v>405.63492803681129</v>
      </c>
      <c r="ES130" s="528">
        <f t="shared" si="411"/>
        <v>0.13999999999999999</v>
      </c>
      <c r="EV130" s="460">
        <f t="shared" si="412"/>
        <v>139.99999999999997</v>
      </c>
      <c r="EW130" s="528">
        <f t="shared" si="413"/>
        <v>2.4197530864197528E-2</v>
      </c>
      <c r="EX130" s="528">
        <f t="shared" si="414"/>
        <v>1.1204611851851854E-2</v>
      </c>
      <c r="EY130" s="528">
        <f t="shared" si="415"/>
        <v>0.20420504999999961</v>
      </c>
      <c r="EZ130" s="528"/>
      <c r="FA130" s="528">
        <f t="shared" si="416"/>
        <v>0.19600000000000001</v>
      </c>
      <c r="FB130" s="460">
        <f t="shared" si="417"/>
        <v>435.60719271604898</v>
      </c>
      <c r="FC130" s="173">
        <f t="shared" si="418"/>
        <v>0.9812421207528601</v>
      </c>
      <c r="FD130" s="5">
        <f t="shared" si="419"/>
        <v>4.8000000000000007</v>
      </c>
      <c r="FE130" s="173">
        <f t="shared" si="420"/>
        <v>0.83027140184450909</v>
      </c>
      <c r="FF130" s="5">
        <f t="shared" si="421"/>
        <v>83.027140184450914</v>
      </c>
      <c r="FI130" s="562">
        <f t="shared" si="422"/>
        <v>-50</v>
      </c>
      <c r="FJ130">
        <f t="shared" si="423"/>
        <v>-50</v>
      </c>
      <c r="FL130">
        <f t="shared" si="424"/>
        <v>0.26986506746626682</v>
      </c>
    </row>
    <row r="131" spans="5:168">
      <c r="E131" s="170">
        <v>21</v>
      </c>
      <c r="F131" s="217">
        <f t="shared" si="425"/>
        <v>0.21</v>
      </c>
      <c r="G131" s="217"/>
      <c r="H131" s="217">
        <f t="shared" si="315"/>
        <v>5.04</v>
      </c>
      <c r="I131" s="541">
        <f t="shared" si="316"/>
        <v>8.9230199641080503</v>
      </c>
      <c r="J131" s="172">
        <f t="shared" si="317"/>
        <v>16.356177530509115</v>
      </c>
      <c r="K131" s="172">
        <f t="shared" si="318"/>
        <v>25.279197494617165</v>
      </c>
      <c r="L131" s="443"/>
      <c r="M131" s="217">
        <f t="shared" si="319"/>
        <v>0.64702335676345168</v>
      </c>
      <c r="N131" s="172">
        <f t="shared" si="426"/>
        <v>32.152398318364</v>
      </c>
      <c r="O131" s="172">
        <f t="shared" si="284"/>
        <v>5.04</v>
      </c>
      <c r="P131" s="217">
        <f t="shared" si="320"/>
        <v>1.3396832632651667</v>
      </c>
      <c r="Q131" s="217">
        <f t="shared" si="321"/>
        <v>24</v>
      </c>
      <c r="R131" s="217"/>
      <c r="S131" s="172">
        <f t="shared" si="322"/>
        <v>222.71085500803289</v>
      </c>
      <c r="T131" s="172">
        <f t="shared" si="323"/>
        <v>24</v>
      </c>
      <c r="U131" s="217">
        <f t="shared" si="324"/>
        <v>1.7839286805141488</v>
      </c>
      <c r="V131" s="217">
        <f t="shared" si="325"/>
        <v>1.9992431796519814</v>
      </c>
      <c r="W131" s="217">
        <f t="shared" si="326"/>
        <v>1.0906757872899053</v>
      </c>
      <c r="X131" s="197">
        <f t="shared" si="327"/>
        <v>259.80225203959685</v>
      </c>
      <c r="Y131" s="443">
        <f t="shared" si="328"/>
        <v>303.95885432082258</v>
      </c>
      <c r="AA131" s="217">
        <f t="shared" si="329"/>
        <v>2.2222222222222223</v>
      </c>
      <c r="AB131" s="173">
        <f t="shared" si="330"/>
        <v>1.3586439851714256</v>
      </c>
      <c r="AC131" s="173">
        <f t="shared" si="331"/>
        <v>0.26159648626009102</v>
      </c>
      <c r="AD131" s="173"/>
      <c r="AE131" s="173">
        <f t="shared" si="332"/>
        <v>1.3586439851714256</v>
      </c>
      <c r="AF131" s="545">
        <f t="shared" si="333"/>
        <v>208.55965501796095</v>
      </c>
      <c r="AG131" s="528">
        <f t="shared" si="334"/>
        <v>0.26159648626009097</v>
      </c>
      <c r="AI131" s="173">
        <f t="shared" si="335"/>
        <v>1.7154126719754792</v>
      </c>
      <c r="AJ131" s="173">
        <f t="shared" si="336"/>
        <v>2.2222222222222223</v>
      </c>
      <c r="AK131" s="173">
        <f t="shared" si="337"/>
        <v>1.1191769457245491</v>
      </c>
      <c r="AM131" s="545">
        <f t="shared" si="338"/>
        <v>210</v>
      </c>
      <c r="AN131" s="460">
        <f t="shared" si="339"/>
        <v>208.55965501796095</v>
      </c>
      <c r="AP131" s="460">
        <f t="shared" si="340"/>
        <v>210</v>
      </c>
      <c r="AQ131" s="460">
        <f t="shared" si="341"/>
        <v>208.55965501796095</v>
      </c>
      <c r="AS131" s="5">
        <f t="shared" si="285"/>
        <v>4.7947912069277301</v>
      </c>
      <c r="AT131" s="5">
        <f t="shared" si="342"/>
        <v>2.4904373532289381</v>
      </c>
      <c r="AU131" s="5">
        <f t="shared" si="343"/>
        <v>2.304353853698792</v>
      </c>
      <c r="AV131" s="5"/>
      <c r="AW131" s="173">
        <f t="shared" si="344"/>
        <v>0.51940475523327112</v>
      </c>
      <c r="AX131" s="173">
        <f t="shared" si="214"/>
        <v>5.1496211115545929</v>
      </c>
      <c r="AY131" s="173">
        <f t="shared" si="215"/>
        <v>0.35617447584378686</v>
      </c>
      <c r="AZ131" s="173">
        <f t="shared" si="288"/>
        <v>14.458141896201301</v>
      </c>
      <c r="BA131" s="460">
        <f t="shared" si="433"/>
        <v>2.1791326840753205</v>
      </c>
      <c r="BB131" s="5">
        <f t="shared" si="434"/>
        <v>1.0846424444263103</v>
      </c>
      <c r="BD131" s="173">
        <f t="shared" si="289"/>
        <v>0.92465520677320157</v>
      </c>
      <c r="BE131" s="173">
        <f t="shared" si="218"/>
        <v>0.59325639374782579</v>
      </c>
      <c r="BG131" s="528">
        <f t="shared" si="347"/>
        <v>3.419949005651169E-2</v>
      </c>
      <c r="BH131" s="528">
        <f t="shared" si="348"/>
        <v>0.26361103543041292</v>
      </c>
      <c r="BI131" s="528">
        <f t="shared" si="349"/>
        <v>7.4439278617310131E-2</v>
      </c>
      <c r="BJ131" s="528">
        <f t="shared" si="350"/>
        <v>2.3323563992420759E-2</v>
      </c>
      <c r="BK131">
        <f t="shared" si="351"/>
        <v>4.0153589838486225E-3</v>
      </c>
      <c r="BL131" s="460">
        <f t="shared" si="427"/>
        <v>78.454637601158751</v>
      </c>
      <c r="BM131" s="528">
        <f t="shared" si="352"/>
        <v>0.33307444775494738</v>
      </c>
      <c r="BN131" s="460">
        <f t="shared" si="353"/>
        <v>333.07444775494736</v>
      </c>
      <c r="BO131" s="528">
        <f t="shared" si="354"/>
        <v>0.14699999999999999</v>
      </c>
      <c r="BR131" s="460">
        <f t="shared" si="355"/>
        <v>147</v>
      </c>
      <c r="BS131" s="528">
        <f t="shared" si="356"/>
        <v>2.5649617542383766E-2</v>
      </c>
      <c r="BT131" s="528">
        <f t="shared" si="357"/>
        <v>1.0558594461680259E-2</v>
      </c>
      <c r="BU131" s="528">
        <f t="shared" si="358"/>
        <v>0.23121418223938037</v>
      </c>
      <c r="BV131" s="528"/>
      <c r="BW131" s="528">
        <f t="shared" si="359"/>
        <v>0.20598484446218371</v>
      </c>
      <c r="BX131" s="460">
        <f t="shared" si="360"/>
        <v>473.40723870562806</v>
      </c>
      <c r="BY131" s="173">
        <f t="shared" si="361"/>
        <v>1.0199959657861324</v>
      </c>
      <c r="BZ131" s="5">
        <f t="shared" si="362"/>
        <v>5.04</v>
      </c>
      <c r="CA131" s="173">
        <f t="shared" si="363"/>
        <v>0.83168372197854856</v>
      </c>
      <c r="CB131" s="5">
        <f t="shared" si="364"/>
        <v>83.16837219785485</v>
      </c>
      <c r="CE131" s="562">
        <f t="shared" si="365"/>
        <v>-50</v>
      </c>
      <c r="CF131">
        <f t="shared" si="366"/>
        <v>-50</v>
      </c>
      <c r="CG131" s="173">
        <f t="shared" si="367"/>
        <v>0.28629475492424089</v>
      </c>
      <c r="CI131" s="170">
        <v>21</v>
      </c>
      <c r="CJ131" s="217">
        <f t="shared" si="428"/>
        <v>0.21</v>
      </c>
      <c r="CK131" s="217"/>
      <c r="CL131" s="217">
        <f t="shared" si="368"/>
        <v>5.04</v>
      </c>
      <c r="CM131" s="541">
        <f t="shared" si="369"/>
        <v>9</v>
      </c>
      <c r="CN131" s="443">
        <f t="shared" si="370"/>
        <v>16.3415</v>
      </c>
      <c r="CO131" s="443">
        <f t="shared" si="371"/>
        <v>25.3415</v>
      </c>
      <c r="CP131" s="443"/>
      <c r="CQ131" s="217">
        <f t="shared" si="372"/>
        <v>0.64485133082098534</v>
      </c>
      <c r="CR131" s="172">
        <f t="shared" si="429"/>
        <v>32.320915977744015</v>
      </c>
      <c r="CS131" s="172">
        <f t="shared" si="373"/>
        <v>5.04</v>
      </c>
      <c r="CT131" s="217">
        <f t="shared" si="374"/>
        <v>1.3467048324060007</v>
      </c>
      <c r="CU131" s="217">
        <f t="shared" si="375"/>
        <v>24</v>
      </c>
      <c r="CV131" s="217"/>
      <c r="CW131" s="172">
        <f t="shared" si="376"/>
        <v>224.63195215489944</v>
      </c>
      <c r="CX131" s="172">
        <f t="shared" si="377"/>
        <v>24</v>
      </c>
      <c r="CY131" s="217">
        <f t="shared" si="378"/>
        <v>1.7368344399228957</v>
      </c>
      <c r="CZ131" s="217">
        <f t="shared" si="379"/>
        <v>1.9298160443587731</v>
      </c>
      <c r="DA131" s="217">
        <f t="shared" si="380"/>
        <v>1.0628366061395196</v>
      </c>
      <c r="DB131" s="197">
        <f t="shared" si="381"/>
        <v>261.16478898249903</v>
      </c>
      <c r="DC131" s="443">
        <f t="shared" si="382"/>
        <v>334.15170979949664</v>
      </c>
      <c r="DE131" s="217">
        <f t="shared" si="383"/>
        <v>2.2222222222222223</v>
      </c>
      <c r="DF131" s="173">
        <f t="shared" si="384"/>
        <v>1.3598642855443031</v>
      </c>
      <c r="DG131" s="173">
        <f t="shared" si="385"/>
        <v>0.26320462482489204</v>
      </c>
      <c r="DH131" s="173"/>
      <c r="DI131" s="173">
        <f t="shared" si="386"/>
        <v>1.3598642855443031</v>
      </c>
      <c r="DJ131" s="545">
        <f t="shared" si="387"/>
        <v>208.37249999999995</v>
      </c>
      <c r="DK131" s="528">
        <f t="shared" si="388"/>
        <v>0.26320462482489204</v>
      </c>
      <c r="DM131" s="173">
        <f t="shared" si="389"/>
        <v>1.7146428199482244</v>
      </c>
      <c r="DN131" s="173">
        <f t="shared" si="390"/>
        <v>2.2222222222222223</v>
      </c>
      <c r="DO131" s="173">
        <f t="shared" si="391"/>
        <v>1.11907</v>
      </c>
      <c r="DQ131" s="545">
        <f t="shared" si="392"/>
        <v>210</v>
      </c>
      <c r="DR131" s="460">
        <f t="shared" si="393"/>
        <v>208.37249999999995</v>
      </c>
      <c r="DT131">
        <f t="shared" si="430"/>
        <v>210</v>
      </c>
      <c r="DU131">
        <f t="shared" si="431"/>
        <v>208.37249999999995</v>
      </c>
      <c r="DW131" s="5">
        <f t="shared" si="394"/>
        <v>4.7990977696193129</v>
      </c>
      <c r="DX131" s="5">
        <f t="shared" si="395"/>
        <v>2.4691358024691361</v>
      </c>
      <c r="DY131" s="5">
        <f t="shared" si="396"/>
        <v>2.3299619671501768</v>
      </c>
      <c r="DZ131" s="5"/>
      <c r="EA131" s="173">
        <f t="shared" si="397"/>
        <v>0.51449999999999996</v>
      </c>
      <c r="EB131" s="173">
        <f t="shared" si="398"/>
        <v>5.1449999999999996</v>
      </c>
      <c r="EC131" s="173">
        <f t="shared" si="399"/>
        <v>0.35980944444444452</v>
      </c>
      <c r="ED131" s="173">
        <f t="shared" si="400"/>
        <v>14.29923555215183</v>
      </c>
      <c r="EE131" s="460">
        <f t="shared" si="401"/>
        <v>2.1604938271604941</v>
      </c>
      <c r="EF131" s="5">
        <f t="shared" si="402"/>
        <v>1.0873155846700824</v>
      </c>
      <c r="EH131" s="173">
        <f t="shared" si="403"/>
        <v>0.9202790773710513</v>
      </c>
      <c r="EI131" s="173">
        <f t="shared" si="404"/>
        <v>0.59627597319864556</v>
      </c>
      <c r="EK131" s="528">
        <f t="shared" si="405"/>
        <v>3.3876543209876535E-2</v>
      </c>
      <c r="EL131" s="528">
        <f t="shared" si="406"/>
        <v>0.32269549331249997</v>
      </c>
      <c r="EM131" s="528">
        <f t="shared" si="407"/>
        <v>4.1674499999999989E-2</v>
      </c>
      <c r="EN131" s="528">
        <f t="shared" si="408"/>
        <v>2.3417637916275415E-2</v>
      </c>
      <c r="EO131">
        <f t="shared" si="409"/>
        <v>4.0499999999999998E-3</v>
      </c>
      <c r="EP131" s="460">
        <f t="shared" si="410"/>
        <v>45.724499999999985</v>
      </c>
      <c r="EQ131" s="460"/>
      <c r="ER131" s="460">
        <f t="shared" si="432"/>
        <v>425.71417443865192</v>
      </c>
      <c r="ES131" s="528">
        <f t="shared" si="411"/>
        <v>0.14699999999999999</v>
      </c>
      <c r="EV131" s="460">
        <f t="shared" si="412"/>
        <v>147</v>
      </c>
      <c r="EW131" s="528">
        <f t="shared" si="413"/>
        <v>2.5407407407407403E-2</v>
      </c>
      <c r="EX131" s="528">
        <f t="shared" si="414"/>
        <v>1.0666351086419756E-2</v>
      </c>
      <c r="EY131" s="528">
        <f t="shared" si="415"/>
        <v>0.23069582005951225</v>
      </c>
      <c r="EZ131" s="528"/>
      <c r="FA131" s="528">
        <f t="shared" si="416"/>
        <v>0.20579999999999998</v>
      </c>
      <c r="FB131" s="460">
        <f t="shared" si="417"/>
        <v>472.56957855333934</v>
      </c>
      <c r="FC131" s="173">
        <f t="shared" si="418"/>
        <v>1.0452837529919914</v>
      </c>
      <c r="FD131" s="5">
        <f t="shared" si="419"/>
        <v>5.04</v>
      </c>
      <c r="FE131" s="173">
        <f t="shared" si="420"/>
        <v>0.82822760689211095</v>
      </c>
      <c r="FF131" s="5">
        <f t="shared" si="421"/>
        <v>82.822760689211094</v>
      </c>
      <c r="FI131" s="562">
        <f t="shared" si="422"/>
        <v>-50</v>
      </c>
      <c r="FJ131">
        <f t="shared" si="423"/>
        <v>-50</v>
      </c>
      <c r="FL131">
        <f t="shared" si="424"/>
        <v>0.28335832083958018</v>
      </c>
    </row>
    <row r="132" spans="5:168">
      <c r="E132" s="170">
        <v>22</v>
      </c>
      <c r="F132" s="217">
        <f t="shared" si="425"/>
        <v>0.22</v>
      </c>
      <c r="G132" s="217"/>
      <c r="H132" s="217">
        <f t="shared" si="315"/>
        <v>5.28</v>
      </c>
      <c r="I132" s="541">
        <f t="shared" si="316"/>
        <v>8.9230199641080503</v>
      </c>
      <c r="J132" s="172">
        <f t="shared" si="317"/>
        <v>16.356177530509115</v>
      </c>
      <c r="K132" s="172">
        <f t="shared" si="318"/>
        <v>25.279197494617165</v>
      </c>
      <c r="L132" s="443"/>
      <c r="M132" s="217">
        <f t="shared" si="319"/>
        <v>0.64702335676345168</v>
      </c>
      <c r="N132" s="172">
        <f t="shared" si="426"/>
        <v>32.152398318364</v>
      </c>
      <c r="O132" s="172">
        <f t="shared" si="284"/>
        <v>5.28</v>
      </c>
      <c r="P132" s="217">
        <f t="shared" si="320"/>
        <v>1.3396832632651667</v>
      </c>
      <c r="Q132" s="217">
        <f t="shared" si="321"/>
        <v>24</v>
      </c>
      <c r="R132" s="217"/>
      <c r="S132" s="172">
        <f t="shared" si="322"/>
        <v>211.98242582322681</v>
      </c>
      <c r="T132" s="172">
        <f t="shared" si="323"/>
        <v>24</v>
      </c>
      <c r="U132" s="217">
        <f t="shared" si="324"/>
        <v>1.8688776653005368</v>
      </c>
      <c r="V132" s="217">
        <f t="shared" si="325"/>
        <v>2.0944452358258854</v>
      </c>
      <c r="W132" s="217">
        <f t="shared" si="326"/>
        <v>1.1426127295418056</v>
      </c>
      <c r="X132" s="197">
        <f t="shared" si="327"/>
        <v>259.80225203959685</v>
      </c>
      <c r="Y132" s="443">
        <f t="shared" si="328"/>
        <v>290.94650427084713</v>
      </c>
      <c r="AA132" s="217">
        <f t="shared" si="329"/>
        <v>2.2222222222222223</v>
      </c>
      <c r="AB132" s="173">
        <f t="shared" si="330"/>
        <v>1.3586439851714256</v>
      </c>
      <c r="AC132" s="173">
        <f t="shared" si="331"/>
        <v>0.26159648626009102</v>
      </c>
      <c r="AD132" s="173"/>
      <c r="AE132" s="173">
        <f t="shared" si="332"/>
        <v>1.3586439851714256</v>
      </c>
      <c r="AF132" s="545">
        <f t="shared" si="333"/>
        <v>218.49106716167339</v>
      </c>
      <c r="AG132" s="528">
        <f t="shared" si="334"/>
        <v>0.26159648626009097</v>
      </c>
      <c r="AI132" s="173">
        <f t="shared" si="335"/>
        <v>1.7557808461496984</v>
      </c>
      <c r="AJ132" s="173">
        <f t="shared" si="336"/>
        <v>2.2222222222222223</v>
      </c>
      <c r="AK132" s="173">
        <f t="shared" si="337"/>
        <v>1.1248520383780991</v>
      </c>
      <c r="AM132" s="545">
        <f t="shared" si="338"/>
        <v>220</v>
      </c>
      <c r="AN132" s="460">
        <f t="shared" si="339"/>
        <v>218.49106716167339</v>
      </c>
      <c r="AP132" s="460">
        <f t="shared" si="340"/>
        <v>220</v>
      </c>
      <c r="AQ132" s="460">
        <f t="shared" si="341"/>
        <v>218.49106716167339</v>
      </c>
      <c r="AS132" s="5">
        <f t="shared" si="285"/>
        <v>4.5768461520673789</v>
      </c>
      <c r="AT132" s="5">
        <f t="shared" si="342"/>
        <v>2.4904373532289381</v>
      </c>
      <c r="AU132" s="5">
        <f t="shared" si="343"/>
        <v>2.0864087988384408</v>
      </c>
      <c r="AV132" s="5"/>
      <c r="AW132" s="173">
        <f t="shared" si="344"/>
        <v>0.54413831500628396</v>
      </c>
      <c r="AX132" s="173">
        <f t="shared" si="214"/>
        <v>5.3948411644857632</v>
      </c>
      <c r="AY132" s="173">
        <f t="shared" si="215"/>
        <v>0.33784415987867622</v>
      </c>
      <c r="AZ132" s="173">
        <f t="shared" si="288"/>
        <v>15.968431025781573</v>
      </c>
      <c r="BA132" s="460">
        <f t="shared" si="433"/>
        <v>2.2829009071265265</v>
      </c>
      <c r="BB132" s="5">
        <f t="shared" si="434"/>
        <v>1.028821940533089</v>
      </c>
      <c r="BD132" s="173">
        <f t="shared" si="289"/>
        <v>0.94641477696171683</v>
      </c>
      <c r="BE132" s="173">
        <f t="shared" si="218"/>
        <v>0.57778895883080084</v>
      </c>
      <c r="BG132" s="528">
        <f t="shared" si="347"/>
        <v>3.5828037202059848E-2</v>
      </c>
      <c r="BH132" s="528">
        <f t="shared" si="348"/>
        <v>0.27616394187948023</v>
      </c>
      <c r="BI132" s="528">
        <f t="shared" si="349"/>
        <v>7.7984006170515388E-2</v>
      </c>
      <c r="BJ132" s="528">
        <f t="shared" si="350"/>
        <v>2.4434209896821747E-2</v>
      </c>
      <c r="BK132">
        <f t="shared" si="351"/>
        <v>4.0153589838486225E-3</v>
      </c>
      <c r="BL132" s="460">
        <f t="shared" si="427"/>
        <v>81.999365154364014</v>
      </c>
      <c r="BM132" s="528">
        <f t="shared" si="352"/>
        <v>0.34907131292349536</v>
      </c>
      <c r="BN132" s="460">
        <f t="shared" si="353"/>
        <v>349.07131292349538</v>
      </c>
      <c r="BO132" s="528">
        <f t="shared" si="354"/>
        <v>0.154</v>
      </c>
      <c r="BR132" s="460">
        <f t="shared" si="355"/>
        <v>154</v>
      </c>
      <c r="BS132" s="528">
        <f t="shared" si="356"/>
        <v>2.6871027901544886E-2</v>
      </c>
      <c r="BT132" s="528">
        <f t="shared" si="357"/>
        <v>1.0015202428403425E-2</v>
      </c>
      <c r="BU132" s="528">
        <f t="shared" si="358"/>
        <v>0.25973048984284031</v>
      </c>
      <c r="BV132" s="528"/>
      <c r="BW132" s="528">
        <f t="shared" si="359"/>
        <v>0.21579364657943056</v>
      </c>
      <c r="BX132" s="460">
        <f t="shared" si="360"/>
        <v>512.41036675221915</v>
      </c>
      <c r="BY132" s="173">
        <f t="shared" si="361"/>
        <v>1.0848359208849452</v>
      </c>
      <c r="BZ132" s="5">
        <f t="shared" si="362"/>
        <v>5.28</v>
      </c>
      <c r="CA132" s="173">
        <f t="shared" si="363"/>
        <v>0.82955791251031763</v>
      </c>
      <c r="CB132" s="5">
        <f t="shared" si="364"/>
        <v>82.955791251031769</v>
      </c>
      <c r="CE132" s="562">
        <f t="shared" si="365"/>
        <v>-50</v>
      </c>
      <c r="CF132">
        <f t="shared" si="366"/>
        <v>-50</v>
      </c>
      <c r="CG132" s="173">
        <f t="shared" si="367"/>
        <v>0.29992783849206189</v>
      </c>
      <c r="CI132" s="170">
        <v>22</v>
      </c>
      <c r="CJ132" s="217">
        <f t="shared" si="428"/>
        <v>0.22</v>
      </c>
      <c r="CK132" s="217"/>
      <c r="CL132" s="217">
        <f t="shared" si="368"/>
        <v>5.28</v>
      </c>
      <c r="CM132" s="541">
        <f t="shared" si="369"/>
        <v>9</v>
      </c>
      <c r="CN132" s="443">
        <f t="shared" si="370"/>
        <v>16.3415</v>
      </c>
      <c r="CO132" s="443">
        <f t="shared" si="371"/>
        <v>25.3415</v>
      </c>
      <c r="CP132" s="443"/>
      <c r="CQ132" s="217">
        <f t="shared" si="372"/>
        <v>0.64485133082098534</v>
      </c>
      <c r="CR132" s="172">
        <f t="shared" si="429"/>
        <v>32.320915977744015</v>
      </c>
      <c r="CS132" s="172">
        <f t="shared" si="373"/>
        <v>5.28</v>
      </c>
      <c r="CT132" s="217">
        <f t="shared" si="374"/>
        <v>1.3467048324060007</v>
      </c>
      <c r="CU132" s="217">
        <f t="shared" si="375"/>
        <v>24</v>
      </c>
      <c r="CV132" s="217"/>
      <c r="CW132" s="172">
        <f t="shared" si="376"/>
        <v>213.81095444927192</v>
      </c>
      <c r="CX132" s="172">
        <f t="shared" si="377"/>
        <v>24</v>
      </c>
      <c r="CY132" s="217">
        <f t="shared" si="378"/>
        <v>1.819540841823986</v>
      </c>
      <c r="CZ132" s="217">
        <f t="shared" si="379"/>
        <v>2.0217120464710958</v>
      </c>
      <c r="DA132" s="217">
        <f t="shared" si="380"/>
        <v>1.1134478730985444</v>
      </c>
      <c r="DB132" s="197">
        <f t="shared" si="381"/>
        <v>261.16478898249903</v>
      </c>
      <c r="DC132" s="443">
        <f t="shared" si="382"/>
        <v>318.96299571770129</v>
      </c>
      <c r="DE132" s="217">
        <f t="shared" si="383"/>
        <v>2.2222222222222223</v>
      </c>
      <c r="DF132" s="173">
        <f t="shared" si="384"/>
        <v>1.3598642855443031</v>
      </c>
      <c r="DG132" s="173">
        <f t="shared" si="385"/>
        <v>0.26320462482489204</v>
      </c>
      <c r="DH132" s="173"/>
      <c r="DI132" s="173">
        <f t="shared" si="386"/>
        <v>1.3598642855443031</v>
      </c>
      <c r="DJ132" s="545">
        <f t="shared" si="387"/>
        <v>218.29499999999993</v>
      </c>
      <c r="DK132" s="528">
        <f t="shared" si="388"/>
        <v>0.26320462482489204</v>
      </c>
      <c r="DM132" s="173">
        <f t="shared" si="389"/>
        <v>1.7549928774784243</v>
      </c>
      <c r="DN132" s="173">
        <f t="shared" si="390"/>
        <v>2.2222222222222223</v>
      </c>
      <c r="DO132" s="173">
        <f t="shared" si="391"/>
        <v>1.1247400000000001</v>
      </c>
      <c r="DQ132" s="545">
        <f t="shared" si="392"/>
        <v>220</v>
      </c>
      <c r="DR132" s="460">
        <f t="shared" si="393"/>
        <v>218.29499999999993</v>
      </c>
      <c r="DT132">
        <f t="shared" si="430"/>
        <v>220</v>
      </c>
      <c r="DU132">
        <f t="shared" si="431"/>
        <v>218.29499999999993</v>
      </c>
      <c r="DW132" s="5">
        <f t="shared" si="394"/>
        <v>4.5809569619093446</v>
      </c>
      <c r="DX132" s="5">
        <f t="shared" si="395"/>
        <v>2.4691358024691361</v>
      </c>
      <c r="DY132" s="5">
        <f t="shared" si="396"/>
        <v>2.1118211594402085</v>
      </c>
      <c r="DZ132" s="5"/>
      <c r="EA132" s="173">
        <f t="shared" si="397"/>
        <v>0.53899999999999981</v>
      </c>
      <c r="EB132" s="173">
        <f t="shared" si="398"/>
        <v>5.39</v>
      </c>
      <c r="EC132" s="173">
        <f t="shared" si="399"/>
        <v>0.34165222222222241</v>
      </c>
      <c r="ED132" s="173">
        <f t="shared" si="400"/>
        <v>15.776276720641839</v>
      </c>
      <c r="EE132" s="460">
        <f t="shared" si="401"/>
        <v>2.263374485596708</v>
      </c>
      <c r="EF132" s="5">
        <f t="shared" si="402"/>
        <v>1.0324459001707684</v>
      </c>
      <c r="EH132" s="173">
        <f t="shared" si="403"/>
        <v>0.94193566571921961</v>
      </c>
      <c r="EI132" s="173">
        <f t="shared" si="404"/>
        <v>0.58103615266142317</v>
      </c>
      <c r="EK132" s="528">
        <f t="shared" si="405"/>
        <v>3.5489711934156377E-2</v>
      </c>
      <c r="EL132" s="528">
        <f t="shared" si="406"/>
        <v>0.33806194537499995</v>
      </c>
      <c r="EM132" s="528">
        <f t="shared" si="407"/>
        <v>4.3658999999999983E-2</v>
      </c>
      <c r="EN132" s="528">
        <f t="shared" si="408"/>
        <v>2.4532763531336151E-2</v>
      </c>
      <c r="EO132">
        <f t="shared" si="409"/>
        <v>4.0499999999999998E-3</v>
      </c>
      <c r="EP132" s="460">
        <f t="shared" si="410"/>
        <v>47.708999999999982</v>
      </c>
      <c r="EQ132" s="460"/>
      <c r="ER132" s="460">
        <f t="shared" si="432"/>
        <v>445.7934208404925</v>
      </c>
      <c r="ES132" s="528">
        <f t="shared" si="411"/>
        <v>0.154</v>
      </c>
      <c r="EV132" s="460">
        <f t="shared" si="412"/>
        <v>154</v>
      </c>
      <c r="EW132" s="528">
        <f t="shared" si="413"/>
        <v>2.6617283950617281E-2</v>
      </c>
      <c r="EX132" s="528">
        <f t="shared" si="414"/>
        <v>1.0128090320987659E-2</v>
      </c>
      <c r="EY132" s="528">
        <f t="shared" si="415"/>
        <v>0.25914819657004373</v>
      </c>
      <c r="EZ132" s="528"/>
      <c r="FA132" s="528">
        <f t="shared" si="416"/>
        <v>0.21559999999999999</v>
      </c>
      <c r="FB132" s="460">
        <f t="shared" si="417"/>
        <v>511.4935708416487</v>
      </c>
      <c r="FC132" s="173">
        <f t="shared" si="418"/>
        <v>1.1112869916821411</v>
      </c>
      <c r="FD132" s="5">
        <f t="shared" si="419"/>
        <v>5.28</v>
      </c>
      <c r="FE132" s="173">
        <f t="shared" si="420"/>
        <v>0.82612469239318909</v>
      </c>
      <c r="FF132" s="5">
        <f t="shared" si="421"/>
        <v>82.612469239318912</v>
      </c>
      <c r="FI132" s="562">
        <f t="shared" si="422"/>
        <v>-50</v>
      </c>
      <c r="FJ132">
        <f t="shared" si="423"/>
        <v>-50</v>
      </c>
      <c r="FL132">
        <f t="shared" si="424"/>
        <v>0.29685157421289349</v>
      </c>
    </row>
    <row r="133" spans="5:168">
      <c r="E133" s="170">
        <v>23</v>
      </c>
      <c r="F133" s="217">
        <f t="shared" si="425"/>
        <v>0.23</v>
      </c>
      <c r="G133" s="217"/>
      <c r="H133" s="217">
        <f t="shared" si="315"/>
        <v>5.5200000000000005</v>
      </c>
      <c r="I133" s="541">
        <f t="shared" si="316"/>
        <v>8.9230199641080503</v>
      </c>
      <c r="J133" s="172">
        <f t="shared" si="317"/>
        <v>16.356177530509115</v>
      </c>
      <c r="K133" s="172">
        <f t="shared" si="318"/>
        <v>25.279197494617165</v>
      </c>
      <c r="L133" s="443"/>
      <c r="M133" s="217">
        <f t="shared" si="319"/>
        <v>0.64702335676345168</v>
      </c>
      <c r="N133" s="172">
        <f t="shared" si="426"/>
        <v>32.152398318364</v>
      </c>
      <c r="O133" s="172">
        <f t="shared" si="284"/>
        <v>5.5200000000000005</v>
      </c>
      <c r="P133" s="217">
        <f t="shared" si="320"/>
        <v>1.3396832632651667</v>
      </c>
      <c r="Q133" s="217">
        <f t="shared" si="321"/>
        <v>24</v>
      </c>
      <c r="R133" s="217"/>
      <c r="S133" s="172">
        <f t="shared" si="322"/>
        <v>202.18704338932716</v>
      </c>
      <c r="T133" s="172">
        <f t="shared" si="323"/>
        <v>24</v>
      </c>
      <c r="U133" s="217">
        <f t="shared" si="324"/>
        <v>1.9538266500869252</v>
      </c>
      <c r="V133" s="217">
        <f t="shared" si="325"/>
        <v>2.1896472919997896</v>
      </c>
      <c r="W133" s="217">
        <f t="shared" si="326"/>
        <v>1.1945496717937061</v>
      </c>
      <c r="X133" s="197">
        <f t="shared" si="327"/>
        <v>259.80225203959685</v>
      </c>
      <c r="Y133" s="443">
        <f t="shared" si="328"/>
        <v>279.00252416418687</v>
      </c>
      <c r="AA133" s="217">
        <f t="shared" si="329"/>
        <v>2.2222222222222223</v>
      </c>
      <c r="AB133" s="173">
        <f t="shared" si="330"/>
        <v>1.3586439851714256</v>
      </c>
      <c r="AC133" s="173">
        <f t="shared" si="331"/>
        <v>0.26159648626009102</v>
      </c>
      <c r="AD133" s="173"/>
      <c r="AE133" s="173">
        <f t="shared" si="332"/>
        <v>1.3586439851714256</v>
      </c>
      <c r="AF133" s="545">
        <f t="shared" si="333"/>
        <v>228.42247930538582</v>
      </c>
      <c r="AG133" s="528">
        <f t="shared" si="334"/>
        <v>0.26159648626009097</v>
      </c>
      <c r="AI133" s="173">
        <f t="shared" si="335"/>
        <v>1.7952415225362433</v>
      </c>
      <c r="AJ133" s="173">
        <f t="shared" si="336"/>
        <v>2.2222222222222223</v>
      </c>
      <c r="AK133" s="173">
        <f t="shared" si="337"/>
        <v>1.1305271310316489</v>
      </c>
      <c r="AM133" s="545">
        <f t="shared" si="338"/>
        <v>230</v>
      </c>
      <c r="AN133" s="460">
        <f t="shared" si="339"/>
        <v>228.42247930538582</v>
      </c>
      <c r="AP133" s="460">
        <f t="shared" si="340"/>
        <v>230</v>
      </c>
      <c r="AQ133" s="460">
        <f t="shared" si="341"/>
        <v>228.42247930538582</v>
      </c>
      <c r="AS133" s="5">
        <f t="shared" si="285"/>
        <v>4.3778528411079272</v>
      </c>
      <c r="AT133" s="5">
        <f t="shared" si="342"/>
        <v>2.4904373532289381</v>
      </c>
      <c r="AU133" s="5">
        <f t="shared" si="343"/>
        <v>1.8874154878789891</v>
      </c>
      <c r="AV133" s="5"/>
      <c r="AW133" s="173">
        <f t="shared" si="344"/>
        <v>0.5688718747792969</v>
      </c>
      <c r="AX133" s="173">
        <f t="shared" ref="AX133:AX196" si="435">0.5*L*AJ133^2*AN133*1000</f>
        <v>5.6400612174169353</v>
      </c>
      <c r="AY133" s="173">
        <f t="shared" ref="AY133:AY196" si="436">AJ133*Nps/2*(1-AW133)</f>
        <v>0.31951384391356552</v>
      </c>
      <c r="AZ133" s="173">
        <f t="shared" si="288"/>
        <v>17.652008903071749</v>
      </c>
      <c r="BA133" s="460">
        <f t="shared" si="433"/>
        <v>2.3866691301777325</v>
      </c>
      <c r="BB133" s="5">
        <f t="shared" si="434"/>
        <v>0.97300143663986727</v>
      </c>
      <c r="BD133" s="173">
        <f t="shared" si="289"/>
        <v>0.96768518056762687</v>
      </c>
      <c r="BE133" s="173">
        <f t="shared" ref="BE133:BE196" si="437">AJ133*Nps*SQRT((1-AW133)/3)</f>
        <v>0.56189590955165913</v>
      </c>
      <c r="BG133" s="528">
        <f t="shared" si="347"/>
        <v>3.7456584347608027E-2</v>
      </c>
      <c r="BH133" s="528">
        <f t="shared" si="348"/>
        <v>0.28871684832854749</v>
      </c>
      <c r="BI133" s="528">
        <f t="shared" si="349"/>
        <v>8.1528733723720631E-2</v>
      </c>
      <c r="BJ133" s="528">
        <f t="shared" si="350"/>
        <v>2.5544855801222736E-2</v>
      </c>
      <c r="BK133">
        <f t="shared" si="351"/>
        <v>4.0153589838486225E-3</v>
      </c>
      <c r="BL133" s="460">
        <f t="shared" si="427"/>
        <v>85.544092707569249</v>
      </c>
      <c r="BM133" s="528">
        <f t="shared" si="352"/>
        <v>0.36508066900084607</v>
      </c>
      <c r="BN133" s="460">
        <f t="shared" si="353"/>
        <v>365.08066900084606</v>
      </c>
      <c r="BO133" s="528">
        <f t="shared" si="354"/>
        <v>0.161</v>
      </c>
      <c r="BR133" s="460">
        <f t="shared" si="355"/>
        <v>161</v>
      </c>
      <c r="BS133" s="528">
        <f t="shared" si="356"/>
        <v>2.809243826070602E-2</v>
      </c>
      <c r="BT133" s="528">
        <f t="shared" si="357"/>
        <v>9.4718103951265883E-3</v>
      </c>
      <c r="BU133" s="528">
        <f t="shared" si="358"/>
        <v>0.29025908546614437</v>
      </c>
      <c r="BV133" s="528"/>
      <c r="BW133" s="528">
        <f t="shared" si="359"/>
        <v>0.22560244869667739</v>
      </c>
      <c r="BX133" s="460">
        <f t="shared" si="360"/>
        <v>553.4257828186544</v>
      </c>
      <c r="BY133" s="173">
        <f t="shared" si="361"/>
        <v>1.1516881640036019</v>
      </c>
      <c r="BZ133" s="5">
        <f t="shared" si="362"/>
        <v>5.5200000000000005</v>
      </c>
      <c r="CA133" s="173">
        <f t="shared" si="363"/>
        <v>0.82737679944074494</v>
      </c>
      <c r="CB133" s="5">
        <f t="shared" si="364"/>
        <v>82.7376799440745</v>
      </c>
      <c r="CE133" s="562">
        <f t="shared" si="365"/>
        <v>-50</v>
      </c>
      <c r="CF133">
        <f t="shared" si="366"/>
        <v>-50</v>
      </c>
      <c r="CG133" s="173">
        <f t="shared" si="367"/>
        <v>0.3135609220598829</v>
      </c>
      <c r="CI133" s="170">
        <v>23</v>
      </c>
      <c r="CJ133" s="217">
        <f t="shared" si="428"/>
        <v>0.23</v>
      </c>
      <c r="CK133" s="217"/>
      <c r="CL133" s="217">
        <f t="shared" si="368"/>
        <v>5.5200000000000005</v>
      </c>
      <c r="CM133" s="541">
        <f t="shared" si="369"/>
        <v>9</v>
      </c>
      <c r="CN133" s="443">
        <f t="shared" si="370"/>
        <v>16.3415</v>
      </c>
      <c r="CO133" s="443">
        <f t="shared" si="371"/>
        <v>25.3415</v>
      </c>
      <c r="CP133" s="443"/>
      <c r="CQ133" s="217">
        <f t="shared" si="372"/>
        <v>0.64485133082098534</v>
      </c>
      <c r="CR133" s="172">
        <f t="shared" si="429"/>
        <v>32.320915977744015</v>
      </c>
      <c r="CS133" s="172">
        <f t="shared" si="373"/>
        <v>5.5200000000000005</v>
      </c>
      <c r="CT133" s="217">
        <f t="shared" si="374"/>
        <v>1.3467048324060007</v>
      </c>
      <c r="CU133" s="217">
        <f t="shared" si="375"/>
        <v>24</v>
      </c>
      <c r="CV133" s="217"/>
      <c r="CW133" s="172">
        <f t="shared" si="376"/>
        <v>203.93105294065049</v>
      </c>
      <c r="CX133" s="172">
        <f t="shared" si="377"/>
        <v>24</v>
      </c>
      <c r="CY133" s="217">
        <f t="shared" si="378"/>
        <v>1.9022472437250764</v>
      </c>
      <c r="CZ133" s="217">
        <f t="shared" si="379"/>
        <v>2.1136080485834179</v>
      </c>
      <c r="DA133" s="217">
        <f t="shared" si="380"/>
        <v>1.1640591400575691</v>
      </c>
      <c r="DB133" s="197">
        <f t="shared" si="381"/>
        <v>261.16478898249903</v>
      </c>
      <c r="DC133" s="443">
        <f t="shared" si="382"/>
        <v>305.09503938214914</v>
      </c>
      <c r="DE133" s="217">
        <f t="shared" si="383"/>
        <v>2.2222222222222223</v>
      </c>
      <c r="DF133" s="173">
        <f t="shared" si="384"/>
        <v>1.3598642855443031</v>
      </c>
      <c r="DG133" s="173">
        <f t="shared" si="385"/>
        <v>0.26320462482489204</v>
      </c>
      <c r="DH133" s="173"/>
      <c r="DI133" s="173">
        <f t="shared" si="386"/>
        <v>1.3598642855443031</v>
      </c>
      <c r="DJ133" s="545">
        <f t="shared" si="387"/>
        <v>228.21749999999994</v>
      </c>
      <c r="DK133" s="528">
        <f t="shared" si="388"/>
        <v>0.26320462482489204</v>
      </c>
      <c r="DM133" s="173">
        <f t="shared" si="389"/>
        <v>1.794435844492636</v>
      </c>
      <c r="DN133" s="173">
        <f t="shared" si="390"/>
        <v>2.2222222222222223</v>
      </c>
      <c r="DO133" s="173">
        <f t="shared" si="391"/>
        <v>1.1304099999999999</v>
      </c>
      <c r="DQ133" s="545">
        <f t="shared" si="392"/>
        <v>230</v>
      </c>
      <c r="DR133" s="460">
        <f t="shared" si="393"/>
        <v>228.21749999999994</v>
      </c>
      <c r="DT133">
        <f t="shared" si="430"/>
        <v>230</v>
      </c>
      <c r="DU133">
        <f t="shared" si="431"/>
        <v>228.21749999999994</v>
      </c>
      <c r="DW133" s="5">
        <f t="shared" si="394"/>
        <v>4.381784920087199</v>
      </c>
      <c r="DX133" s="5">
        <f t="shared" si="395"/>
        <v>2.4691358024691361</v>
      </c>
      <c r="DY133" s="5">
        <f t="shared" si="396"/>
        <v>1.9126491176180629</v>
      </c>
      <c r="DZ133" s="5"/>
      <c r="EA133" s="173">
        <f t="shared" si="397"/>
        <v>0.56349999999999989</v>
      </c>
      <c r="EB133" s="173">
        <f t="shared" si="398"/>
        <v>5.6350000000000007</v>
      </c>
      <c r="EC133" s="173">
        <f t="shared" si="399"/>
        <v>0.32349500000000009</v>
      </c>
      <c r="ED133" s="173">
        <f t="shared" si="400"/>
        <v>17.419125488801988</v>
      </c>
      <c r="EE133" s="460">
        <f t="shared" si="401"/>
        <v>2.3662551440329223</v>
      </c>
      <c r="EF133" s="5">
        <f t="shared" si="402"/>
        <v>0.97757621567145425</v>
      </c>
      <c r="EH133" s="173">
        <f t="shared" si="403"/>
        <v>0.96310540257071819</v>
      </c>
      <c r="EI133" s="173">
        <f t="shared" si="404"/>
        <v>0.56538569595028254</v>
      </c>
      <c r="EK133" s="528">
        <f t="shared" si="405"/>
        <v>3.7102880658436206E-2</v>
      </c>
      <c r="EL133" s="528">
        <f t="shared" si="406"/>
        <v>0.35342839743749993</v>
      </c>
      <c r="EM133" s="528">
        <f t="shared" si="407"/>
        <v>4.5643499999999983E-2</v>
      </c>
      <c r="EN133" s="528">
        <f t="shared" si="408"/>
        <v>2.5647889146396884E-2</v>
      </c>
      <c r="EO133">
        <f t="shared" si="409"/>
        <v>4.0499999999999998E-3</v>
      </c>
      <c r="EP133" s="460">
        <f t="shared" si="410"/>
        <v>49.693499999999979</v>
      </c>
      <c r="EQ133" s="460"/>
      <c r="ER133" s="460">
        <f t="shared" si="432"/>
        <v>465.87266724233302</v>
      </c>
      <c r="ES133" s="528">
        <f t="shared" si="411"/>
        <v>0.161</v>
      </c>
      <c r="EV133" s="460">
        <f t="shared" si="412"/>
        <v>161</v>
      </c>
      <c r="EW133" s="528">
        <f t="shared" si="413"/>
        <v>2.7827160493827153E-2</v>
      </c>
      <c r="EX133" s="528">
        <f t="shared" si="414"/>
        <v>9.5898295555555593E-3</v>
      </c>
      <c r="EY133" s="528">
        <f t="shared" si="415"/>
        <v>0.28960834972488742</v>
      </c>
      <c r="EZ133" s="528"/>
      <c r="FA133" s="528">
        <f t="shared" si="416"/>
        <v>0.22540000000000002</v>
      </c>
      <c r="FB133" s="460">
        <f t="shared" si="417"/>
        <v>552.42533977427013</v>
      </c>
      <c r="FC133" s="173">
        <f t="shared" si="418"/>
        <v>1.1792980070166033</v>
      </c>
      <c r="FD133" s="5">
        <f t="shared" si="419"/>
        <v>5.5200000000000005</v>
      </c>
      <c r="FE133" s="173">
        <f t="shared" si="420"/>
        <v>0.82396692820927664</v>
      </c>
      <c r="FF133" s="5">
        <f t="shared" si="421"/>
        <v>82.396692820927669</v>
      </c>
      <c r="FI133" s="562">
        <f t="shared" si="422"/>
        <v>-50</v>
      </c>
      <c r="FJ133">
        <f t="shared" si="423"/>
        <v>-50</v>
      </c>
      <c r="FL133">
        <f t="shared" si="424"/>
        <v>0.31034482758620691</v>
      </c>
    </row>
    <row r="134" spans="5:168">
      <c r="E134" s="170">
        <v>24</v>
      </c>
      <c r="F134" s="217">
        <f t="shared" si="425"/>
        <v>0.24</v>
      </c>
      <c r="G134" s="217"/>
      <c r="H134" s="217">
        <f t="shared" si="315"/>
        <v>5.76</v>
      </c>
      <c r="I134" s="541">
        <f t="shared" si="316"/>
        <v>8.9230199641080503</v>
      </c>
      <c r="J134" s="172">
        <f t="shared" si="317"/>
        <v>16.356177530509115</v>
      </c>
      <c r="K134" s="172">
        <f t="shared" si="318"/>
        <v>25.279197494617165</v>
      </c>
      <c r="L134" s="443"/>
      <c r="M134" s="217">
        <f t="shared" si="319"/>
        <v>0.64702335676345168</v>
      </c>
      <c r="N134" s="172">
        <f t="shared" si="426"/>
        <v>32.152398318364</v>
      </c>
      <c r="O134" s="172">
        <f t="shared" ref="O134:O197" si="438">T134*F134</f>
        <v>5.76</v>
      </c>
      <c r="P134" s="217">
        <f t="shared" si="320"/>
        <v>1.3396832632651667</v>
      </c>
      <c r="Q134" s="217">
        <f t="shared" si="321"/>
        <v>24</v>
      </c>
      <c r="R134" s="217"/>
      <c r="S134" s="172">
        <f t="shared" si="322"/>
        <v>193.20807796463859</v>
      </c>
      <c r="T134" s="172">
        <f t="shared" si="323"/>
        <v>24</v>
      </c>
      <c r="U134" s="217">
        <f t="shared" si="324"/>
        <v>2.0387756348733133</v>
      </c>
      <c r="V134" s="217">
        <f t="shared" si="325"/>
        <v>2.2848493481736938</v>
      </c>
      <c r="W134" s="217">
        <f t="shared" si="326"/>
        <v>1.2464866140456063</v>
      </c>
      <c r="X134" s="197">
        <f t="shared" si="327"/>
        <v>259.80225203959685</v>
      </c>
      <c r="Y134" s="443">
        <f t="shared" si="328"/>
        <v>268.00052585059274</v>
      </c>
      <c r="AA134" s="217">
        <f t="shared" si="329"/>
        <v>2.2222222222222223</v>
      </c>
      <c r="AB134" s="173">
        <f t="shared" si="330"/>
        <v>1.3586439851714256</v>
      </c>
      <c r="AC134" s="173">
        <f t="shared" si="331"/>
        <v>0.26159648626009102</v>
      </c>
      <c r="AD134" s="173"/>
      <c r="AE134" s="173">
        <f t="shared" si="332"/>
        <v>1.3586439851714256</v>
      </c>
      <c r="AF134" s="545">
        <f t="shared" si="333"/>
        <v>238.35389144909826</v>
      </c>
      <c r="AG134" s="528">
        <f t="shared" si="334"/>
        <v>0.26159648626009097</v>
      </c>
      <c r="AI134" s="173">
        <f t="shared" si="335"/>
        <v>1.8338532844179074</v>
      </c>
      <c r="AJ134" s="173">
        <f t="shared" si="336"/>
        <v>2.2222222222222223</v>
      </c>
      <c r="AK134" s="173">
        <f t="shared" si="337"/>
        <v>1.136202223685199</v>
      </c>
      <c r="AM134" s="545">
        <f t="shared" si="338"/>
        <v>240</v>
      </c>
      <c r="AN134" s="460">
        <f t="shared" si="339"/>
        <v>238.35389144909826</v>
      </c>
      <c r="AP134" s="460">
        <f t="shared" si="340"/>
        <v>240</v>
      </c>
      <c r="AQ134" s="460">
        <f t="shared" si="341"/>
        <v>238.35389144909826</v>
      </c>
      <c r="AS134" s="5">
        <f t="shared" ref="AS134:AS197" si="439">1/AN134*1000</f>
        <v>4.1954423060617634</v>
      </c>
      <c r="AT134" s="5">
        <f t="shared" si="342"/>
        <v>2.4904373532289381</v>
      </c>
      <c r="AU134" s="5">
        <f t="shared" si="343"/>
        <v>1.7050049528328253</v>
      </c>
      <c r="AV134" s="5"/>
      <c r="AW134" s="173">
        <f t="shared" si="344"/>
        <v>0.59360543455230985</v>
      </c>
      <c r="AX134" s="173">
        <f t="shared" si="435"/>
        <v>5.8852812703481066</v>
      </c>
      <c r="AY134" s="173">
        <f t="shared" si="436"/>
        <v>0.30118352794845482</v>
      </c>
      <c r="AZ134" s="173">
        <f t="shared" ref="AZ134:AZ197" si="440">AX134/AY134</f>
        <v>19.540515082070907</v>
      </c>
      <c r="BA134" s="460">
        <f t="shared" si="433"/>
        <v>2.4904373532289381</v>
      </c>
      <c r="BB134" s="5">
        <f t="shared" si="434"/>
        <v>0.91718093274664536</v>
      </c>
      <c r="BD134" s="173">
        <f t="shared" ref="BD134:BD197" si="441">AJ134*SQRT(AW134/3)</f>
        <v>0.98849799561198159</v>
      </c>
      <c r="BE134" s="173">
        <f t="shared" si="437"/>
        <v>0.54554004930434918</v>
      </c>
      <c r="BG134" s="528">
        <f t="shared" si="347"/>
        <v>3.9085131493156212E-2</v>
      </c>
      <c r="BH134" s="528">
        <f t="shared" si="348"/>
        <v>0.30126975477761481</v>
      </c>
      <c r="BI134" s="528">
        <f t="shared" si="349"/>
        <v>8.5073461276925874E-2</v>
      </c>
      <c r="BJ134" s="528">
        <f t="shared" si="350"/>
        <v>2.6655501705623728E-2</v>
      </c>
      <c r="BK134">
        <f t="shared" si="351"/>
        <v>4.0153589838486225E-3</v>
      </c>
      <c r="BL134" s="460">
        <f t="shared" si="427"/>
        <v>89.088820260774497</v>
      </c>
      <c r="BM134" s="528">
        <f t="shared" si="352"/>
        <v>0.38110253062271798</v>
      </c>
      <c r="BN134" s="460">
        <f t="shared" si="353"/>
        <v>381.10253062271801</v>
      </c>
      <c r="BO134" s="528">
        <f t="shared" si="354"/>
        <v>0.16799999999999998</v>
      </c>
      <c r="BR134" s="460">
        <f t="shared" si="355"/>
        <v>167.99999999999997</v>
      </c>
      <c r="BS134" s="528">
        <f t="shared" si="356"/>
        <v>2.9313848619867154E-2</v>
      </c>
      <c r="BT134" s="528">
        <f t="shared" si="357"/>
        <v>8.928418361849752E-3</v>
      </c>
      <c r="BU134" s="528">
        <f t="shared" si="358"/>
        <v>0.32284520224946905</v>
      </c>
      <c r="BV134" s="528"/>
      <c r="BW134" s="528">
        <f t="shared" si="359"/>
        <v>0.23541125081392428</v>
      </c>
      <c r="BX134" s="460">
        <f t="shared" si="360"/>
        <v>596.49872004511019</v>
      </c>
      <c r="BY134" s="173">
        <f t="shared" si="361"/>
        <v>1.2205979282822796</v>
      </c>
      <c r="BZ134" s="5">
        <f t="shared" si="362"/>
        <v>5.76</v>
      </c>
      <c r="CA134" s="173">
        <f t="shared" si="363"/>
        <v>0.82514421532044424</v>
      </c>
      <c r="CB134" s="5">
        <f t="shared" si="364"/>
        <v>82.514421532044423</v>
      </c>
      <c r="CE134" s="562">
        <f t="shared" si="365"/>
        <v>-50</v>
      </c>
      <c r="CF134">
        <f t="shared" si="366"/>
        <v>-50</v>
      </c>
      <c r="CG134" s="173">
        <f t="shared" si="367"/>
        <v>0.3271940056277039</v>
      </c>
      <c r="CI134" s="170">
        <v>24</v>
      </c>
      <c r="CJ134" s="217">
        <f t="shared" si="428"/>
        <v>0.24</v>
      </c>
      <c r="CK134" s="217"/>
      <c r="CL134" s="217">
        <f t="shared" si="368"/>
        <v>5.76</v>
      </c>
      <c r="CM134" s="541">
        <f t="shared" si="369"/>
        <v>9</v>
      </c>
      <c r="CN134" s="443">
        <f t="shared" si="370"/>
        <v>16.3415</v>
      </c>
      <c r="CO134" s="443">
        <f t="shared" si="371"/>
        <v>25.3415</v>
      </c>
      <c r="CP134" s="443"/>
      <c r="CQ134" s="217">
        <f t="shared" si="372"/>
        <v>0.64485133082098534</v>
      </c>
      <c r="CR134" s="172">
        <f t="shared" si="429"/>
        <v>32.320915977744015</v>
      </c>
      <c r="CS134" s="172">
        <f t="shared" si="373"/>
        <v>5.76</v>
      </c>
      <c r="CT134" s="217">
        <f t="shared" si="374"/>
        <v>1.3467048324060007</v>
      </c>
      <c r="CU134" s="217">
        <f t="shared" si="375"/>
        <v>24</v>
      </c>
      <c r="CV134" s="217"/>
      <c r="CW134" s="172">
        <f t="shared" si="376"/>
        <v>194.87461170714775</v>
      </c>
      <c r="CX134" s="172">
        <f t="shared" si="377"/>
        <v>24</v>
      </c>
      <c r="CY134" s="217">
        <f t="shared" si="378"/>
        <v>1.9849536456261663</v>
      </c>
      <c r="CZ134" s="217">
        <f t="shared" si="379"/>
        <v>2.2055040506957404</v>
      </c>
      <c r="DA134" s="217">
        <f t="shared" si="380"/>
        <v>1.2146704070165937</v>
      </c>
      <c r="DB134" s="197">
        <f t="shared" si="381"/>
        <v>261.16478898249903</v>
      </c>
      <c r="DC134" s="443">
        <f t="shared" si="382"/>
        <v>292.38274607455963</v>
      </c>
      <c r="DE134" s="217">
        <f t="shared" si="383"/>
        <v>2.2222222222222223</v>
      </c>
      <c r="DF134" s="173">
        <f t="shared" si="384"/>
        <v>1.3598642855443031</v>
      </c>
      <c r="DG134" s="173">
        <f t="shared" si="385"/>
        <v>0.26320462482489204</v>
      </c>
      <c r="DH134" s="173"/>
      <c r="DI134" s="173">
        <f t="shared" si="386"/>
        <v>1.3598642855443031</v>
      </c>
      <c r="DJ134" s="545">
        <f t="shared" si="387"/>
        <v>238.1399999999999</v>
      </c>
      <c r="DK134" s="528">
        <f t="shared" si="388"/>
        <v>0.26320462482489204</v>
      </c>
      <c r="DM134" s="173">
        <f t="shared" si="389"/>
        <v>1.8330302779823358</v>
      </c>
      <c r="DN134" s="173">
        <f t="shared" si="390"/>
        <v>2.2222222222222223</v>
      </c>
      <c r="DO134" s="173">
        <f t="shared" si="391"/>
        <v>1.13608</v>
      </c>
      <c r="DQ134" s="545">
        <f t="shared" si="392"/>
        <v>240</v>
      </c>
      <c r="DR134" s="460">
        <f t="shared" si="393"/>
        <v>238.1399999999999</v>
      </c>
      <c r="DT134">
        <f t="shared" si="430"/>
        <v>240</v>
      </c>
      <c r="DU134">
        <f t="shared" si="431"/>
        <v>238.1399999999999</v>
      </c>
      <c r="DW134" s="5">
        <f t="shared" si="394"/>
        <v>4.1992105484168993</v>
      </c>
      <c r="DX134" s="5">
        <f t="shared" si="395"/>
        <v>2.4691358024691361</v>
      </c>
      <c r="DY134" s="5">
        <f t="shared" si="396"/>
        <v>1.7300747459477632</v>
      </c>
      <c r="DZ134" s="5"/>
      <c r="EA134" s="173">
        <f t="shared" si="397"/>
        <v>0.58799999999999986</v>
      </c>
      <c r="EB134" s="173">
        <f t="shared" si="398"/>
        <v>5.879999999999999</v>
      </c>
      <c r="EC134" s="173">
        <f t="shared" si="399"/>
        <v>0.30533777777777793</v>
      </c>
      <c r="ED134" s="173">
        <f t="shared" si="400"/>
        <v>19.257361610456893</v>
      </c>
      <c r="EE134" s="460">
        <f t="shared" si="401"/>
        <v>2.4691358024691361</v>
      </c>
      <c r="EF134" s="5">
        <f t="shared" si="402"/>
        <v>0.92270653117214019</v>
      </c>
      <c r="EH134" s="173">
        <f t="shared" si="403"/>
        <v>0.98381971649682909</v>
      </c>
      <c r="EI134" s="173">
        <f t="shared" si="404"/>
        <v>0.54928950442438096</v>
      </c>
      <c r="EK134" s="528">
        <f t="shared" si="405"/>
        <v>3.8716049382716049E-2</v>
      </c>
      <c r="EL134" s="528">
        <f t="shared" si="406"/>
        <v>0.36879484949999991</v>
      </c>
      <c r="EM134" s="528">
        <f t="shared" si="407"/>
        <v>4.7627999999999976E-2</v>
      </c>
      <c r="EN134" s="528">
        <f t="shared" si="408"/>
        <v>2.6763014761457614E-2</v>
      </c>
      <c r="EO134">
        <f t="shared" si="409"/>
        <v>4.0499999999999998E-3</v>
      </c>
      <c r="EP134" s="460">
        <f t="shared" si="410"/>
        <v>51.677999999999976</v>
      </c>
      <c r="EQ134" s="460"/>
      <c r="ER134" s="460">
        <f t="shared" si="432"/>
        <v>485.95191364417354</v>
      </c>
      <c r="ES134" s="528">
        <f t="shared" si="411"/>
        <v>0.16799999999999998</v>
      </c>
      <c r="EV134" s="460">
        <f t="shared" si="412"/>
        <v>167.99999999999997</v>
      </c>
      <c r="EW134" s="528">
        <f t="shared" si="413"/>
        <v>2.9037037037037031E-2</v>
      </c>
      <c r="EX134" s="528">
        <f t="shared" si="414"/>
        <v>9.0515687901234609E-3</v>
      </c>
      <c r="EY134" s="528">
        <f t="shared" si="415"/>
        <v>0.3221214112554342</v>
      </c>
      <c r="EZ134" s="528"/>
      <c r="FA134" s="528">
        <f t="shared" si="416"/>
        <v>0.23519999999999996</v>
      </c>
      <c r="FB134" s="460">
        <f t="shared" si="417"/>
        <v>595.41001708259466</v>
      </c>
      <c r="FC134" s="173">
        <f t="shared" si="418"/>
        <v>1.2493619307267685</v>
      </c>
      <c r="FD134" s="5">
        <f t="shared" si="419"/>
        <v>5.76</v>
      </c>
      <c r="FE134" s="173">
        <f t="shared" si="420"/>
        <v>0.8217581082166735</v>
      </c>
      <c r="FF134" s="5">
        <f t="shared" si="421"/>
        <v>82.175810821667355</v>
      </c>
      <c r="FI134" s="562">
        <f t="shared" si="422"/>
        <v>-50</v>
      </c>
      <c r="FJ134">
        <f t="shared" si="423"/>
        <v>-50</v>
      </c>
      <c r="FL134">
        <f t="shared" si="424"/>
        <v>0.32383808095952016</v>
      </c>
    </row>
    <row r="135" spans="5:168">
      <c r="E135" s="170">
        <v>25</v>
      </c>
      <c r="F135" s="217">
        <f t="shared" si="425"/>
        <v>0.25</v>
      </c>
      <c r="G135" s="217"/>
      <c r="H135" s="217">
        <f t="shared" si="315"/>
        <v>6</v>
      </c>
      <c r="I135" s="541">
        <f t="shared" si="316"/>
        <v>8.9230199641080503</v>
      </c>
      <c r="J135" s="172">
        <f t="shared" si="317"/>
        <v>16.356177530509115</v>
      </c>
      <c r="K135" s="172">
        <f t="shared" si="318"/>
        <v>25.279197494617165</v>
      </c>
      <c r="L135" s="443"/>
      <c r="M135" s="217">
        <f t="shared" si="319"/>
        <v>0.64702335676345168</v>
      </c>
      <c r="N135" s="172">
        <f t="shared" si="426"/>
        <v>32.152398318364</v>
      </c>
      <c r="O135" s="172">
        <f t="shared" si="438"/>
        <v>6</v>
      </c>
      <c r="P135" s="217">
        <f t="shared" si="320"/>
        <v>1.3396832632651667</v>
      </c>
      <c r="Q135" s="217">
        <f t="shared" si="321"/>
        <v>24</v>
      </c>
      <c r="R135" s="217"/>
      <c r="S135" s="172">
        <f t="shared" si="322"/>
        <v>184.94756057722202</v>
      </c>
      <c r="T135" s="172">
        <f t="shared" si="323"/>
        <v>24</v>
      </c>
      <c r="U135" s="217">
        <f t="shared" si="324"/>
        <v>2.1237246196597011</v>
      </c>
      <c r="V135" s="217">
        <f t="shared" si="325"/>
        <v>2.3800514043475971</v>
      </c>
      <c r="W135" s="217">
        <f t="shared" si="326"/>
        <v>1.2984235562975064</v>
      </c>
      <c r="X135" s="197">
        <f t="shared" si="327"/>
        <v>259.80225203959685</v>
      </c>
      <c r="Y135" s="443">
        <f t="shared" si="328"/>
        <v>257.83330049749009</v>
      </c>
      <c r="AA135" s="217">
        <f t="shared" si="329"/>
        <v>2.2222222222222223</v>
      </c>
      <c r="AB135" s="173">
        <f t="shared" si="330"/>
        <v>1.3586439851714256</v>
      </c>
      <c r="AC135" s="173">
        <f t="shared" si="331"/>
        <v>0.26159648626009102</v>
      </c>
      <c r="AD135" s="173"/>
      <c r="AE135" s="173">
        <f t="shared" si="332"/>
        <v>1.3586439851714256</v>
      </c>
      <c r="AF135" s="545">
        <f t="shared" si="333"/>
        <v>248.28530359281066</v>
      </c>
      <c r="AG135" s="528">
        <f t="shared" si="334"/>
        <v>0.26159648626009097</v>
      </c>
      <c r="AI135" s="173">
        <f t="shared" si="335"/>
        <v>1.8716686708128778</v>
      </c>
      <c r="AJ135" s="173">
        <f t="shared" si="336"/>
        <v>2.2222222222222223</v>
      </c>
      <c r="AK135" s="173">
        <f t="shared" si="337"/>
        <v>1.141877316338749</v>
      </c>
      <c r="AM135" s="545">
        <f t="shared" si="338"/>
        <v>250</v>
      </c>
      <c r="AN135" s="460">
        <f t="shared" si="339"/>
        <v>248.28530359281066</v>
      </c>
      <c r="AP135" s="460">
        <f t="shared" si="340"/>
        <v>250</v>
      </c>
      <c r="AQ135" s="460">
        <f t="shared" si="341"/>
        <v>248.28530359281066</v>
      </c>
      <c r="AS135" s="5">
        <f t="shared" si="439"/>
        <v>4.0276246138192926</v>
      </c>
      <c r="AT135" s="5">
        <f t="shared" si="342"/>
        <v>2.4904373532289381</v>
      </c>
      <c r="AU135" s="5">
        <f t="shared" si="343"/>
        <v>1.5371872605903545</v>
      </c>
      <c r="AV135" s="5"/>
      <c r="AW135" s="173">
        <f t="shared" si="344"/>
        <v>0.6183389943253228</v>
      </c>
      <c r="AX135" s="173">
        <f t="shared" si="435"/>
        <v>6.1305013232792769</v>
      </c>
      <c r="AY135" s="173">
        <f t="shared" si="436"/>
        <v>0.28285321198334412</v>
      </c>
      <c r="AZ135" s="173">
        <f t="shared" si="440"/>
        <v>21.673790728034131</v>
      </c>
      <c r="BA135" s="460">
        <f t="shared" si="433"/>
        <v>2.5942055762801437</v>
      </c>
      <c r="BB135" s="5">
        <f t="shared" si="434"/>
        <v>0.86136042885342368</v>
      </c>
      <c r="BD135" s="173">
        <f t="shared" si="441"/>
        <v>1.0088815420888666</v>
      </c>
      <c r="BE135" s="173">
        <f t="shared" si="437"/>
        <v>0.52867842552831401</v>
      </c>
      <c r="BG135" s="528">
        <f t="shared" si="347"/>
        <v>4.0713678638704377E-2</v>
      </c>
      <c r="BH135" s="528">
        <f t="shared" si="348"/>
        <v>0.31382266122668206</v>
      </c>
      <c r="BI135" s="528">
        <f t="shared" si="349"/>
        <v>8.8618188830131103E-2</v>
      </c>
      <c r="BJ135" s="528">
        <f t="shared" si="350"/>
        <v>2.7766147610024713E-2</v>
      </c>
      <c r="BK135">
        <f t="shared" si="351"/>
        <v>4.0153589838486225E-3</v>
      </c>
      <c r="BL135" s="460">
        <f t="shared" si="427"/>
        <v>92.633547813979732</v>
      </c>
      <c r="BM135" s="528">
        <f t="shared" si="352"/>
        <v>0.39713691244770299</v>
      </c>
      <c r="BN135" s="460">
        <f t="shared" si="353"/>
        <v>397.13691244770297</v>
      </c>
      <c r="BO135" s="528">
        <f t="shared" si="354"/>
        <v>0.17499999999999999</v>
      </c>
      <c r="BR135" s="460">
        <f t="shared" si="355"/>
        <v>175</v>
      </c>
      <c r="BS135" s="528">
        <f t="shared" si="356"/>
        <v>3.0535258979028281E-2</v>
      </c>
      <c r="BT135" s="528">
        <f t="shared" si="357"/>
        <v>8.3850263285729122E-3</v>
      </c>
      <c r="BU135" s="528">
        <f t="shared" si="358"/>
        <v>0.35753309977974634</v>
      </c>
      <c r="BV135" s="528"/>
      <c r="BW135" s="528">
        <f t="shared" si="359"/>
        <v>0.24522005293117111</v>
      </c>
      <c r="BX135" s="460">
        <f t="shared" si="360"/>
        <v>641.6734380185186</v>
      </c>
      <c r="BY135" s="173">
        <f t="shared" si="361"/>
        <v>1.2916094733079095</v>
      </c>
      <c r="BZ135" s="5">
        <f t="shared" si="362"/>
        <v>6</v>
      </c>
      <c r="CA135" s="173">
        <f t="shared" si="363"/>
        <v>0.82286359711994306</v>
      </c>
      <c r="CB135" s="5">
        <f t="shared" si="364"/>
        <v>82.286359711994308</v>
      </c>
      <c r="CE135" s="562">
        <f t="shared" si="365"/>
        <v>-50</v>
      </c>
      <c r="CF135">
        <f t="shared" si="366"/>
        <v>-50</v>
      </c>
      <c r="CG135" s="173">
        <f t="shared" si="367"/>
        <v>0.3408270891955249</v>
      </c>
      <c r="CI135" s="170">
        <v>25</v>
      </c>
      <c r="CJ135" s="217">
        <f t="shared" si="428"/>
        <v>0.25</v>
      </c>
      <c r="CK135" s="217"/>
      <c r="CL135" s="217">
        <f t="shared" si="368"/>
        <v>6</v>
      </c>
      <c r="CM135" s="541">
        <f t="shared" si="369"/>
        <v>9</v>
      </c>
      <c r="CN135" s="443">
        <f t="shared" si="370"/>
        <v>16.3415</v>
      </c>
      <c r="CO135" s="443">
        <f t="shared" si="371"/>
        <v>25.3415</v>
      </c>
      <c r="CP135" s="443"/>
      <c r="CQ135" s="217">
        <f t="shared" si="372"/>
        <v>0.64485133082098534</v>
      </c>
      <c r="CR135" s="172">
        <f t="shared" si="429"/>
        <v>32.320915977744015</v>
      </c>
      <c r="CS135" s="172">
        <f t="shared" si="373"/>
        <v>6</v>
      </c>
      <c r="CT135" s="217">
        <f t="shared" si="374"/>
        <v>1.3467048324060007</v>
      </c>
      <c r="CU135" s="217">
        <f t="shared" si="375"/>
        <v>24</v>
      </c>
      <c r="CV135" s="217"/>
      <c r="CW135" s="172">
        <f t="shared" si="376"/>
        <v>186.54281658547907</v>
      </c>
      <c r="CX135" s="172">
        <f t="shared" si="377"/>
        <v>24</v>
      </c>
      <c r="CY135" s="217">
        <f t="shared" si="378"/>
        <v>2.0676600475272569</v>
      </c>
      <c r="CZ135" s="217">
        <f t="shared" si="379"/>
        <v>2.2974000528080634</v>
      </c>
      <c r="DA135" s="217">
        <f t="shared" si="380"/>
        <v>1.2652816739756185</v>
      </c>
      <c r="DB135" s="197">
        <f t="shared" si="381"/>
        <v>261.16478898249903</v>
      </c>
      <c r="DC135" s="443">
        <f t="shared" si="382"/>
        <v>280.68743623157724</v>
      </c>
      <c r="DE135" s="217">
        <f t="shared" si="383"/>
        <v>2.2222222222222223</v>
      </c>
      <c r="DF135" s="173">
        <f t="shared" si="384"/>
        <v>1.3598642855443031</v>
      </c>
      <c r="DG135" s="173">
        <f t="shared" si="385"/>
        <v>0.26320462482489204</v>
      </c>
      <c r="DH135" s="173"/>
      <c r="DI135" s="173">
        <f t="shared" si="386"/>
        <v>1.3598642855443031</v>
      </c>
      <c r="DJ135" s="545">
        <f t="shared" si="387"/>
        <v>248.06249999999991</v>
      </c>
      <c r="DK135" s="528">
        <f t="shared" si="388"/>
        <v>0.26320462482489204</v>
      </c>
      <c r="DM135" s="173">
        <f t="shared" si="389"/>
        <v>1.8708286933869707</v>
      </c>
      <c r="DN135" s="173">
        <f t="shared" si="390"/>
        <v>2.2222222222222223</v>
      </c>
      <c r="DO135" s="173">
        <f t="shared" si="391"/>
        <v>1.14175</v>
      </c>
      <c r="DQ135" s="545">
        <f t="shared" si="392"/>
        <v>250</v>
      </c>
      <c r="DR135" s="460">
        <f t="shared" si="393"/>
        <v>248.06249999999991</v>
      </c>
      <c r="DT135">
        <f t="shared" si="430"/>
        <v>250</v>
      </c>
      <c r="DU135">
        <f t="shared" si="431"/>
        <v>248.06249999999991</v>
      </c>
      <c r="DW135" s="5">
        <f t="shared" si="394"/>
        <v>4.0312421264802234</v>
      </c>
      <c r="DX135" s="5">
        <f t="shared" si="395"/>
        <v>2.4691358024691361</v>
      </c>
      <c r="DY135" s="5">
        <f t="shared" si="396"/>
        <v>1.5621063240110873</v>
      </c>
      <c r="DZ135" s="5"/>
      <c r="EA135" s="173">
        <f t="shared" si="397"/>
        <v>0.61249999999999982</v>
      </c>
      <c r="EB135" s="173">
        <f t="shared" si="398"/>
        <v>6.1249999999999991</v>
      </c>
      <c r="EC135" s="173">
        <f t="shared" si="399"/>
        <v>0.28718055555555572</v>
      </c>
      <c r="ED135" s="173">
        <f t="shared" si="400"/>
        <v>21.328045654592042</v>
      </c>
      <c r="EE135" s="460">
        <f t="shared" si="401"/>
        <v>2.5720164609053504</v>
      </c>
      <c r="EF135" s="5">
        <f t="shared" si="402"/>
        <v>0.86783684667282612</v>
      </c>
      <c r="EH135" s="173">
        <f t="shared" si="403"/>
        <v>1.004106793461182</v>
      </c>
      <c r="EI135" s="173">
        <f t="shared" si="404"/>
        <v>0.53270717486850017</v>
      </c>
      <c r="EK135" s="528">
        <f t="shared" si="405"/>
        <v>4.0329218106995877E-2</v>
      </c>
      <c r="EL135" s="528">
        <f t="shared" si="406"/>
        <v>0.38416130156249989</v>
      </c>
      <c r="EM135" s="528">
        <f t="shared" si="407"/>
        <v>4.9612499999999976E-2</v>
      </c>
      <c r="EN135" s="528">
        <f t="shared" si="408"/>
        <v>2.7878140376518347E-2</v>
      </c>
      <c r="EO135">
        <f t="shared" si="409"/>
        <v>4.0499999999999998E-3</v>
      </c>
      <c r="EP135" s="460">
        <f t="shared" si="410"/>
        <v>53.662499999999973</v>
      </c>
      <c r="EQ135" s="460"/>
      <c r="ER135" s="460">
        <f t="shared" si="432"/>
        <v>506.03116004601412</v>
      </c>
      <c r="ES135" s="528">
        <f t="shared" si="411"/>
        <v>0.17499999999999999</v>
      </c>
      <c r="EV135" s="460">
        <f t="shared" si="412"/>
        <v>175</v>
      </c>
      <c r="EW135" s="528">
        <f t="shared" si="413"/>
        <v>3.0246913580246906E-2</v>
      </c>
      <c r="EX135" s="528">
        <f t="shared" si="414"/>
        <v>8.5133080246913642E-3</v>
      </c>
      <c r="EY135" s="528">
        <f t="shared" si="415"/>
        <v>0.35673154152245556</v>
      </c>
      <c r="EZ135" s="528"/>
      <c r="FA135" s="528">
        <f t="shared" si="416"/>
        <v>0.245</v>
      </c>
      <c r="FB135" s="460">
        <f t="shared" si="417"/>
        <v>640.49176312739382</v>
      </c>
      <c r="FC135" s="173">
        <f t="shared" si="418"/>
        <v>1.3215229231734082</v>
      </c>
      <c r="FD135" s="5">
        <f t="shared" si="419"/>
        <v>6</v>
      </c>
      <c r="FE135" s="173">
        <f t="shared" si="420"/>
        <v>0.8195016341490039</v>
      </c>
      <c r="FF135" s="5">
        <f t="shared" si="421"/>
        <v>81.950163414900388</v>
      </c>
      <c r="FI135" s="562">
        <f t="shared" si="422"/>
        <v>-50</v>
      </c>
      <c r="FJ135">
        <f t="shared" si="423"/>
        <v>-50</v>
      </c>
      <c r="FL135">
        <f t="shared" si="424"/>
        <v>0.33733133433283352</v>
      </c>
    </row>
    <row r="136" spans="5:168">
      <c r="E136" s="170">
        <v>26</v>
      </c>
      <c r="F136" s="217">
        <f t="shared" si="425"/>
        <v>0.26</v>
      </c>
      <c r="G136" s="217"/>
      <c r="H136" s="217">
        <f t="shared" si="315"/>
        <v>6.24</v>
      </c>
      <c r="I136" s="541">
        <f t="shared" si="316"/>
        <v>8.9220614156879439</v>
      </c>
      <c r="J136" s="172">
        <f t="shared" si="317"/>
        <v>16.35636029378686</v>
      </c>
      <c r="K136" s="172">
        <f t="shared" si="318"/>
        <v>25.278421709474806</v>
      </c>
      <c r="L136" s="443"/>
      <c r="M136" s="217">
        <f t="shared" si="319"/>
        <v>0.64704789168006061</v>
      </c>
      <c r="N136" s="172">
        <f t="shared" si="426"/>
        <v>32.150163449778113</v>
      </c>
      <c r="O136" s="172">
        <f t="shared" si="438"/>
        <v>6.24</v>
      </c>
      <c r="P136" s="217">
        <f t="shared" si="320"/>
        <v>1.3395901437407547</v>
      </c>
      <c r="Q136" s="217">
        <f t="shared" si="321"/>
        <v>24</v>
      </c>
      <c r="R136" s="217"/>
      <c r="S136" s="172">
        <f t="shared" si="322"/>
        <v>177.30354970347256</v>
      </c>
      <c r="T136" s="172">
        <f t="shared" si="323"/>
        <v>24</v>
      </c>
      <c r="U136" s="217">
        <f t="shared" si="324"/>
        <v>2.2088271369549601</v>
      </c>
      <c r="V136" s="217">
        <f t="shared" si="325"/>
        <v>2.4756914731287427</v>
      </c>
      <c r="W136" s="217">
        <f t="shared" si="326"/>
        <v>1.3504392770034586</v>
      </c>
      <c r="X136" s="197">
        <f t="shared" si="327"/>
        <v>259.78521815946516</v>
      </c>
      <c r="Y136" s="443">
        <f t="shared" si="328"/>
        <v>248.37742787344007</v>
      </c>
      <c r="AA136" s="217">
        <f t="shared" si="329"/>
        <v>2.2222222222222223</v>
      </c>
      <c r="AB136" s="173">
        <f t="shared" si="330"/>
        <v>1.3586288039071612</v>
      </c>
      <c r="AC136" s="173">
        <f t="shared" si="331"/>
        <v>0.26157641189693737</v>
      </c>
      <c r="AD136" s="173"/>
      <c r="AE136" s="173">
        <f t="shared" si="332"/>
        <v>1.3586288039071612</v>
      </c>
      <c r="AF136" s="545">
        <f t="shared" si="333"/>
        <v>258.2196010398435</v>
      </c>
      <c r="AG136" s="528">
        <f t="shared" si="334"/>
        <v>0.26157641189693742</v>
      </c>
      <c r="AI136" s="173">
        <f t="shared" si="335"/>
        <v>1.9087456791258406</v>
      </c>
      <c r="AJ136" s="173">
        <f t="shared" si="336"/>
        <v>2.2222222222222223</v>
      </c>
      <c r="AK136" s="173">
        <f t="shared" si="337"/>
        <v>1.1475540577370533</v>
      </c>
      <c r="AM136" s="545">
        <f t="shared" si="338"/>
        <v>260</v>
      </c>
      <c r="AN136" s="460">
        <f t="shared" si="339"/>
        <v>258.2196010398435</v>
      </c>
      <c r="AP136" s="460">
        <f t="shared" si="340"/>
        <v>260</v>
      </c>
      <c r="AQ136" s="460">
        <f t="shared" si="341"/>
        <v>258.2196010398435</v>
      </c>
      <c r="AS136" s="5">
        <f t="shared" si="439"/>
        <v>3.8726727017353695</v>
      </c>
      <c r="AT136" s="5">
        <f t="shared" si="342"/>
        <v>2.4907049152506602</v>
      </c>
      <c r="AU136" s="5">
        <f t="shared" si="343"/>
        <v>1.3819677864847093</v>
      </c>
      <c r="AV136" s="5"/>
      <c r="AW136" s="173">
        <f t="shared" si="344"/>
        <v>0.64314882952400276</v>
      </c>
      <c r="AX136" s="173">
        <f t="shared" si="435"/>
        <v>6.3757926182677416</v>
      </c>
      <c r="AY136" s="173">
        <f t="shared" si="436"/>
        <v>0.26446636745276686</v>
      </c>
      <c r="AZ136" s="173">
        <f t="shared" si="440"/>
        <v>24.108141536773839</v>
      </c>
      <c r="BA136" s="460">
        <f t="shared" si="433"/>
        <v>2.6982636581882153</v>
      </c>
      <c r="BB136" s="5">
        <f t="shared" si="434"/>
        <v>0.80544530629263622</v>
      </c>
      <c r="BD136" s="173">
        <f t="shared" si="441"/>
        <v>1.0289223492871344</v>
      </c>
      <c r="BE136" s="173">
        <f t="shared" si="437"/>
        <v>0.51120636854984436</v>
      </c>
      <c r="BG136" s="528">
        <f t="shared" si="347"/>
        <v>4.2347248034502238E-2</v>
      </c>
      <c r="BH136" s="528">
        <f t="shared" si="348"/>
        <v>0.32636919843687512</v>
      </c>
      <c r="BI136" s="528">
        <f t="shared" si="349"/>
        <v>9.2154045568476894E-2</v>
      </c>
      <c r="BJ136" s="528">
        <f t="shared" si="350"/>
        <v>2.8875343808747081E-2</v>
      </c>
      <c r="BK136">
        <f t="shared" si="351"/>
        <v>4.014927637059575E-3</v>
      </c>
      <c r="BL136" s="460">
        <f t="shared" si="427"/>
        <v>96.168973205536474</v>
      </c>
      <c r="BM136" s="528">
        <f t="shared" si="352"/>
        <v>0.41318287188554037</v>
      </c>
      <c r="BN136" s="460">
        <f t="shared" si="353"/>
        <v>413.18287188554035</v>
      </c>
      <c r="BO136" s="528">
        <f t="shared" si="354"/>
        <v>0.182</v>
      </c>
      <c r="BR136" s="460">
        <f t="shared" si="355"/>
        <v>182</v>
      </c>
      <c r="BS136" s="528">
        <f t="shared" si="356"/>
        <v>3.1760436025876679E-2</v>
      </c>
      <c r="BT136" s="528">
        <f t="shared" si="357"/>
        <v>7.8399585373775792E-3</v>
      </c>
      <c r="BU136" s="528">
        <f t="shared" si="358"/>
        <v>0.39437714105860511</v>
      </c>
      <c r="BV136" s="528"/>
      <c r="BW136" s="528">
        <f t="shared" si="359"/>
        <v>0.25503170473070969</v>
      </c>
      <c r="BX136" s="460">
        <f t="shared" si="360"/>
        <v>689.00924035256901</v>
      </c>
      <c r="BY136" s="173">
        <f t="shared" si="361"/>
        <v>1.3647700038382298</v>
      </c>
      <c r="BZ136" s="5">
        <f t="shared" si="362"/>
        <v>6.24</v>
      </c>
      <c r="CA136" s="173">
        <f t="shared" si="363"/>
        <v>0.82053763583258776</v>
      </c>
      <c r="CB136" s="5">
        <f t="shared" si="364"/>
        <v>82.053763583258771</v>
      </c>
      <c r="CE136" s="562">
        <f t="shared" si="365"/>
        <v>-50</v>
      </c>
      <c r="CF136">
        <f t="shared" si="366"/>
        <v>-50</v>
      </c>
      <c r="CG136" s="173">
        <f t="shared" si="367"/>
        <v>0.35010075000000002</v>
      </c>
      <c r="CI136" s="170">
        <v>26</v>
      </c>
      <c r="CJ136" s="217">
        <f t="shared" si="428"/>
        <v>0.26</v>
      </c>
      <c r="CK136" s="217"/>
      <c r="CL136" s="217">
        <f t="shared" si="368"/>
        <v>6.24</v>
      </c>
      <c r="CM136" s="541">
        <f t="shared" si="369"/>
        <v>9</v>
      </c>
      <c r="CN136" s="443">
        <f t="shared" si="370"/>
        <v>16.3415</v>
      </c>
      <c r="CO136" s="443">
        <f t="shared" si="371"/>
        <v>25.3415</v>
      </c>
      <c r="CP136" s="443"/>
      <c r="CQ136" s="217">
        <f t="shared" si="372"/>
        <v>0.64485133082098534</v>
      </c>
      <c r="CR136" s="172">
        <f t="shared" si="429"/>
        <v>32.320915977744015</v>
      </c>
      <c r="CS136" s="172">
        <f t="shared" si="373"/>
        <v>6.24</v>
      </c>
      <c r="CT136" s="217">
        <f t="shared" si="374"/>
        <v>1.3467048324060007</v>
      </c>
      <c r="CU136" s="217">
        <f t="shared" si="375"/>
        <v>24</v>
      </c>
      <c r="CV136" s="217"/>
      <c r="CW136" s="172">
        <f t="shared" si="376"/>
        <v>178.85205560213336</v>
      </c>
      <c r="CX136" s="172">
        <f t="shared" si="377"/>
        <v>24</v>
      </c>
      <c r="CY136" s="217">
        <f t="shared" si="378"/>
        <v>2.150366449428347</v>
      </c>
      <c r="CZ136" s="217">
        <f t="shared" si="379"/>
        <v>2.3892960549203854</v>
      </c>
      <c r="DA136" s="217">
        <f t="shared" si="380"/>
        <v>1.3158929409346432</v>
      </c>
      <c r="DB136" s="197">
        <f t="shared" si="381"/>
        <v>261.16478898249903</v>
      </c>
      <c r="DC136" s="443">
        <f t="shared" si="382"/>
        <v>269.89176560728583</v>
      </c>
      <c r="DE136" s="217">
        <f t="shared" si="383"/>
        <v>2.2222222222222223</v>
      </c>
      <c r="DF136" s="173">
        <f t="shared" si="384"/>
        <v>1.3598642855443031</v>
      </c>
      <c r="DG136" s="173">
        <f t="shared" si="385"/>
        <v>0.26320462482489204</v>
      </c>
      <c r="DH136" s="173"/>
      <c r="DI136" s="173">
        <f t="shared" si="386"/>
        <v>1.3598642855443031</v>
      </c>
      <c r="DJ136" s="545">
        <f t="shared" si="387"/>
        <v>257.98499999999996</v>
      </c>
      <c r="DK136" s="528">
        <f t="shared" si="388"/>
        <v>0.26320462482489204</v>
      </c>
      <c r="DM136" s="173">
        <f t="shared" si="389"/>
        <v>1.9078784028338913</v>
      </c>
      <c r="DN136" s="173">
        <f t="shared" si="390"/>
        <v>2.2222222222222223</v>
      </c>
      <c r="DO136" s="173">
        <f t="shared" si="391"/>
        <v>1.1474199999999999</v>
      </c>
      <c r="DQ136" s="545">
        <f t="shared" si="392"/>
        <v>260</v>
      </c>
      <c r="DR136" s="460">
        <f t="shared" si="393"/>
        <v>257.98499999999996</v>
      </c>
      <c r="DT136">
        <f t="shared" si="430"/>
        <v>260</v>
      </c>
      <c r="DU136">
        <f t="shared" si="431"/>
        <v>257.98499999999996</v>
      </c>
      <c r="DW136" s="5">
        <f t="shared" si="394"/>
        <v>3.8761943523848292</v>
      </c>
      <c r="DX136" s="5">
        <f t="shared" si="395"/>
        <v>2.4691358024691361</v>
      </c>
      <c r="DY136" s="5">
        <f t="shared" si="396"/>
        <v>1.4070585499156931</v>
      </c>
      <c r="DZ136" s="5"/>
      <c r="EA136" s="173">
        <f t="shared" si="397"/>
        <v>0.63700000000000001</v>
      </c>
      <c r="EB136" s="173">
        <f t="shared" si="398"/>
        <v>6.370000000000001</v>
      </c>
      <c r="EC136" s="173">
        <f t="shared" si="399"/>
        <v>0.26902333333333334</v>
      </c>
      <c r="ED136" s="173">
        <f t="shared" si="400"/>
        <v>23.678243522866669</v>
      </c>
      <c r="EE136" s="460">
        <f t="shared" si="401"/>
        <v>2.6748971193415643</v>
      </c>
      <c r="EF136" s="5">
        <f t="shared" si="402"/>
        <v>0.8129671621735115</v>
      </c>
      <c r="EH136" s="173">
        <f t="shared" si="403"/>
        <v>1.0239920267179297</v>
      </c>
      <c r="EI136" s="173">
        <f t="shared" si="404"/>
        <v>0.51559180428123108</v>
      </c>
      <c r="EK136" s="528">
        <f t="shared" si="405"/>
        <v>4.1942386831275727E-2</v>
      </c>
      <c r="EL136" s="528">
        <f t="shared" si="406"/>
        <v>0.39952775362499998</v>
      </c>
      <c r="EM136" s="528">
        <f t="shared" si="407"/>
        <v>5.159699999999999E-2</v>
      </c>
      <c r="EN136" s="528">
        <f t="shared" si="408"/>
        <v>2.899326599157909E-2</v>
      </c>
      <c r="EO136">
        <f t="shared" si="409"/>
        <v>4.0499999999999998E-3</v>
      </c>
      <c r="EP136" s="460">
        <f t="shared" si="410"/>
        <v>55.646999999999991</v>
      </c>
      <c r="EQ136" s="460"/>
      <c r="ER136" s="460">
        <f t="shared" si="432"/>
        <v>526.11040644785476</v>
      </c>
      <c r="ES136" s="528">
        <f t="shared" si="411"/>
        <v>0.182</v>
      </c>
      <c r="EV136" s="460">
        <f t="shared" si="412"/>
        <v>182</v>
      </c>
      <c r="EW136" s="528">
        <f t="shared" si="413"/>
        <v>3.1456790123456792E-2</v>
      </c>
      <c r="EX136" s="528">
        <f t="shared" si="414"/>
        <v>7.9750472592592589E-3</v>
      </c>
      <c r="EY136" s="528">
        <f t="shared" si="415"/>
        <v>0.39348198967802772</v>
      </c>
      <c r="EZ136" s="528"/>
      <c r="FA136" s="528">
        <f t="shared" si="416"/>
        <v>0.25480000000000003</v>
      </c>
      <c r="FB136" s="460">
        <f t="shared" si="417"/>
        <v>687.71382706074382</v>
      </c>
      <c r="FC136" s="173">
        <f t="shared" si="418"/>
        <v>1.3958242335085984</v>
      </c>
      <c r="FD136" s="5">
        <f t="shared" si="419"/>
        <v>6.24</v>
      </c>
      <c r="FE136" s="173">
        <f t="shared" si="420"/>
        <v>0.81720058099514048</v>
      </c>
      <c r="FF136" s="5">
        <f t="shared" si="421"/>
        <v>81.720058099514048</v>
      </c>
      <c r="FI136" s="562">
        <f t="shared" si="422"/>
        <v>-50</v>
      </c>
      <c r="FJ136">
        <f t="shared" si="423"/>
        <v>-50</v>
      </c>
      <c r="FL136">
        <f t="shared" si="424"/>
        <v>0.35082458770614688</v>
      </c>
    </row>
    <row r="137" spans="5:168">
      <c r="E137" s="170">
        <v>27</v>
      </c>
      <c r="F137" s="217">
        <f t="shared" si="425"/>
        <v>0.27</v>
      </c>
      <c r="G137" s="217"/>
      <c r="H137" s="217">
        <f t="shared" si="315"/>
        <v>6.48</v>
      </c>
      <c r="I137" s="541">
        <f t="shared" si="316"/>
        <v>8.91718395230391</v>
      </c>
      <c r="J137" s="172">
        <f t="shared" si="317"/>
        <v>16.357290263704343</v>
      </c>
      <c r="K137" s="172">
        <f t="shared" si="318"/>
        <v>25.274474216008251</v>
      </c>
      <c r="L137" s="443"/>
      <c r="M137" s="217">
        <f t="shared" si="319"/>
        <v>0.64717810851731072</v>
      </c>
      <c r="N137" s="172">
        <f t="shared" si="426"/>
        <v>32.139054381804414</v>
      </c>
      <c r="O137" s="172">
        <f t="shared" si="438"/>
        <v>6.48</v>
      </c>
      <c r="P137" s="217">
        <f t="shared" si="320"/>
        <v>1.3391272659085172</v>
      </c>
      <c r="Q137" s="217">
        <f t="shared" si="321"/>
        <v>24</v>
      </c>
      <c r="R137" s="217"/>
      <c r="S137" s="172">
        <f t="shared" si="322"/>
        <v>170.15123070192681</v>
      </c>
      <c r="T137" s="172">
        <f t="shared" si="323"/>
        <v>24</v>
      </c>
      <c r="U137" s="217">
        <f t="shared" si="324"/>
        <v>2.2946285985730062</v>
      </c>
      <c r="V137" s="217">
        <f t="shared" si="325"/>
        <v>2.5732659669762099</v>
      </c>
      <c r="W137" s="217">
        <f t="shared" si="326"/>
        <v>1.4028170690744683</v>
      </c>
      <c r="X137" s="197">
        <f t="shared" si="327"/>
        <v>259.69851735880388</v>
      </c>
      <c r="Y137" s="443">
        <f t="shared" si="328"/>
        <v>239.45884010623024</v>
      </c>
      <c r="AA137" s="217">
        <f t="shared" si="329"/>
        <v>2.2222222222222223</v>
      </c>
      <c r="AB137" s="173">
        <f t="shared" si="330"/>
        <v>1.3585515610450314</v>
      </c>
      <c r="AC137" s="173">
        <f t="shared" si="331"/>
        <v>0.26147424671997238</v>
      </c>
      <c r="AD137" s="173"/>
      <c r="AE137" s="173">
        <f t="shared" si="332"/>
        <v>1.3585515610450314</v>
      </c>
      <c r="AF137" s="545">
        <f t="shared" si="333"/>
        <v>268.16637036522781</v>
      </c>
      <c r="AG137" s="528">
        <f t="shared" si="334"/>
        <v>0.26147424671997233</v>
      </c>
      <c r="AI137" s="173">
        <f t="shared" si="335"/>
        <v>1.9451613022897647</v>
      </c>
      <c r="AJ137" s="173">
        <f t="shared" si="336"/>
        <v>2.2946285985730062</v>
      </c>
      <c r="AK137" s="173">
        <f t="shared" si="337"/>
        <v>1.2536343528524325</v>
      </c>
      <c r="AM137" s="545">
        <f t="shared" si="338"/>
        <v>270</v>
      </c>
      <c r="AN137" s="460">
        <f t="shared" si="339"/>
        <v>239.45884010623024</v>
      </c>
      <c r="AP137" s="460">
        <f t="shared" si="340"/>
        <v>270</v>
      </c>
      <c r="AQ137" s="460">
        <f t="shared" si="341"/>
        <v>239.45884010623024</v>
      </c>
      <c r="AS137" s="5">
        <f t="shared" si="439"/>
        <v>4.1760830360506782</v>
      </c>
      <c r="AT137" s="5">
        <f t="shared" si="342"/>
        <v>2.5732659669762099</v>
      </c>
      <c r="AU137" s="5">
        <f t="shared" si="343"/>
        <v>1.6028170690744683</v>
      </c>
      <c r="AV137" s="5"/>
      <c r="AW137" s="173">
        <f t="shared" si="344"/>
        <v>0.6161912837369603</v>
      </c>
      <c r="AX137" s="173">
        <f t="shared" si="435"/>
        <v>6.3041375853107215</v>
      </c>
      <c r="AY137" s="173">
        <f t="shared" si="436"/>
        <v>0.29371293531570758</v>
      </c>
      <c r="AZ137" s="173">
        <f t="shared" si="440"/>
        <v>21.463602134289726</v>
      </c>
      <c r="BA137" s="460">
        <f t="shared" si="433"/>
        <v>2.8949242128482364</v>
      </c>
      <c r="BB137" s="5">
        <f t="shared" si="434"/>
        <v>0.97062169170188561</v>
      </c>
      <c r="BD137" s="173">
        <f t="shared" si="441"/>
        <v>1.0399430336775075</v>
      </c>
      <c r="BE137" s="173">
        <f t="shared" si="437"/>
        <v>0.5474381069823</v>
      </c>
      <c r="BG137" s="528">
        <f t="shared" si="347"/>
        <v>4.3259260531775104E-2</v>
      </c>
      <c r="BH137" s="528">
        <f t="shared" si="348"/>
        <v>0.31246971003907204</v>
      </c>
      <c r="BI137" s="528">
        <f t="shared" si="349"/>
        <v>8.5411941049303372E-2</v>
      </c>
      <c r="BJ137" s="528">
        <f t="shared" si="350"/>
        <v>2.6769063795355267E-2</v>
      </c>
      <c r="BK137">
        <f t="shared" si="351"/>
        <v>4.0127327785367591E-3</v>
      </c>
      <c r="BL137" s="460">
        <f t="shared" si="427"/>
        <v>89.424673827840124</v>
      </c>
      <c r="BM137" s="528">
        <f t="shared" si="352"/>
        <v>0.3982716299514924</v>
      </c>
      <c r="BN137" s="460">
        <f t="shared" si="353"/>
        <v>398.2716299514924</v>
      </c>
      <c r="BO137" s="528">
        <f t="shared" si="354"/>
        <v>0.189</v>
      </c>
      <c r="BR137" s="460">
        <f t="shared" si="355"/>
        <v>189</v>
      </c>
      <c r="BS137" s="528">
        <f t="shared" si="356"/>
        <v>3.2444445398831324E-2</v>
      </c>
      <c r="BT137" s="528">
        <f t="shared" si="357"/>
        <v>8.990654429290923E-3</v>
      </c>
      <c r="BU137" s="528">
        <f t="shared" si="358"/>
        <v>0.35385732954251581</v>
      </c>
      <c r="BV137" s="528"/>
      <c r="BW137" s="528">
        <f t="shared" si="359"/>
        <v>0.25216550341242888</v>
      </c>
      <c r="BX137" s="460">
        <f t="shared" si="360"/>
        <v>647.45793278306701</v>
      </c>
      <c r="BY137" s="173">
        <f t="shared" si="361"/>
        <v>1.3083806409771093</v>
      </c>
      <c r="BZ137" s="5">
        <f t="shared" si="362"/>
        <v>6.48</v>
      </c>
      <c r="CA137" s="173">
        <f t="shared" si="363"/>
        <v>0.83200864193856816</v>
      </c>
      <c r="CB137" s="5">
        <f t="shared" si="364"/>
        <v>83.200864193856816</v>
      </c>
      <c r="CE137" s="562">
        <f t="shared" si="365"/>
        <v>-50</v>
      </c>
      <c r="CF137">
        <f t="shared" si="366"/>
        <v>-50</v>
      </c>
      <c r="CG137" s="173">
        <f t="shared" si="367"/>
        <v>0.34215388046458978</v>
      </c>
      <c r="CI137" s="170">
        <v>27</v>
      </c>
      <c r="CJ137" s="217">
        <f t="shared" si="428"/>
        <v>0.27</v>
      </c>
      <c r="CK137" s="217"/>
      <c r="CL137" s="217">
        <f t="shared" si="368"/>
        <v>6.48</v>
      </c>
      <c r="CM137" s="541">
        <f t="shared" si="369"/>
        <v>9</v>
      </c>
      <c r="CN137" s="443">
        <f t="shared" si="370"/>
        <v>16.3415</v>
      </c>
      <c r="CO137" s="443">
        <f t="shared" si="371"/>
        <v>25.3415</v>
      </c>
      <c r="CP137" s="443"/>
      <c r="CQ137" s="217">
        <f t="shared" si="372"/>
        <v>0.64485133082098534</v>
      </c>
      <c r="CR137" s="172">
        <f t="shared" si="429"/>
        <v>32.320915977744015</v>
      </c>
      <c r="CS137" s="172">
        <f t="shared" si="373"/>
        <v>6.48</v>
      </c>
      <c r="CT137" s="217">
        <f t="shared" si="374"/>
        <v>1.3467048324060007</v>
      </c>
      <c r="CU137" s="217">
        <f t="shared" si="375"/>
        <v>24</v>
      </c>
      <c r="CV137" s="217"/>
      <c r="CW137" s="172">
        <f t="shared" si="376"/>
        <v>171.73110375317418</v>
      </c>
      <c r="CX137" s="172">
        <f t="shared" si="377"/>
        <v>24</v>
      </c>
      <c r="CY137" s="217">
        <f t="shared" si="378"/>
        <v>2.2330728513294371</v>
      </c>
      <c r="CZ137" s="217">
        <f t="shared" si="379"/>
        <v>2.481192057032708</v>
      </c>
      <c r="DA137" s="217">
        <f t="shared" si="380"/>
        <v>1.366504207893668</v>
      </c>
      <c r="DB137" s="197">
        <f t="shared" si="381"/>
        <v>261.16478898249903</v>
      </c>
      <c r="DC137" s="443">
        <f t="shared" si="382"/>
        <v>259.89577428849742</v>
      </c>
      <c r="DE137" s="217">
        <f t="shared" si="383"/>
        <v>2.2222222222222223</v>
      </c>
      <c r="DF137" s="173">
        <f t="shared" si="384"/>
        <v>1.3598642855443031</v>
      </c>
      <c r="DG137" s="173">
        <f t="shared" si="385"/>
        <v>0.26320462482489204</v>
      </c>
      <c r="DH137" s="173"/>
      <c r="DI137" s="173">
        <f t="shared" si="386"/>
        <v>1.3598642855443031</v>
      </c>
      <c r="DJ137" s="545">
        <f t="shared" si="387"/>
        <v>267.90749999999991</v>
      </c>
      <c r="DK137" s="528">
        <f t="shared" si="388"/>
        <v>0.26320462482489204</v>
      </c>
      <c r="DM137" s="173">
        <f t="shared" si="389"/>
        <v>1.944222209522358</v>
      </c>
      <c r="DN137" s="173">
        <f t="shared" si="390"/>
        <v>2.2330728513294371</v>
      </c>
      <c r="DO137" s="173">
        <f t="shared" si="391"/>
        <v>1.2080375030423813</v>
      </c>
      <c r="DQ137" s="545">
        <f t="shared" si="392"/>
        <v>270</v>
      </c>
      <c r="DR137" s="460">
        <f t="shared" si="393"/>
        <v>259.89577428849742</v>
      </c>
      <c r="DT137">
        <f t="shared" si="430"/>
        <v>270</v>
      </c>
      <c r="DU137">
        <f t="shared" si="431"/>
        <v>259.89577428849742</v>
      </c>
      <c r="DW137" s="5">
        <f t="shared" si="394"/>
        <v>3.847696264926376</v>
      </c>
      <c r="DX137" s="5">
        <f t="shared" si="395"/>
        <v>2.481192057032708</v>
      </c>
      <c r="DY137" s="5">
        <f t="shared" si="396"/>
        <v>1.366504207893668</v>
      </c>
      <c r="DZ137" s="5"/>
      <c r="EA137" s="173">
        <f t="shared" si="397"/>
        <v>0.64485133082098534</v>
      </c>
      <c r="EB137" s="173">
        <f t="shared" si="398"/>
        <v>6.4799999999999986</v>
      </c>
      <c r="EC137" s="173">
        <f t="shared" si="399"/>
        <v>0.26448979591836735</v>
      </c>
      <c r="ED137" s="173">
        <f t="shared" si="400"/>
        <v>24.499999999999993</v>
      </c>
      <c r="EE137" s="460">
        <f t="shared" si="401"/>
        <v>2.7913410641617968</v>
      </c>
      <c r="EF137" s="5">
        <f t="shared" si="402"/>
        <v>0.81990252473620084</v>
      </c>
      <c r="EH137" s="173">
        <f t="shared" si="403"/>
        <v>1.0353139468963652</v>
      </c>
      <c r="EI137" s="173">
        <f t="shared" si="404"/>
        <v>0.51247560167846207</v>
      </c>
      <c r="EK137" s="528">
        <f t="shared" si="405"/>
        <v>4.2874998745525188E-2</v>
      </c>
      <c r="EL137" s="528">
        <f t="shared" si="406"/>
        <v>0.404452125</v>
      </c>
      <c r="EM137" s="528">
        <f t="shared" si="407"/>
        <v>5.1979154857699481E-2</v>
      </c>
      <c r="EN137" s="528">
        <f t="shared" si="408"/>
        <v>2.920800555859375E-2</v>
      </c>
      <c r="EO137">
        <f t="shared" si="409"/>
        <v>4.0499999999999998E-3</v>
      </c>
      <c r="EP137" s="460">
        <f t="shared" si="410"/>
        <v>56.029154857699481</v>
      </c>
      <c r="EQ137" s="460"/>
      <c r="ER137" s="460">
        <f t="shared" si="432"/>
        <v>532.56428416181848</v>
      </c>
      <c r="ES137" s="528">
        <f t="shared" si="411"/>
        <v>0.189</v>
      </c>
      <c r="EV137" s="460">
        <f t="shared" si="412"/>
        <v>189</v>
      </c>
      <c r="EW137" s="528">
        <f t="shared" si="413"/>
        <v>3.2156249059143889E-2</v>
      </c>
      <c r="EX137" s="528">
        <f t="shared" si="414"/>
        <v>7.8789372694710522E-3</v>
      </c>
      <c r="EY137" s="528">
        <f t="shared" si="415"/>
        <v>0.40571893711760987</v>
      </c>
      <c r="EZ137" s="528"/>
      <c r="FA137" s="528">
        <f t="shared" si="416"/>
        <v>0.25919999999999993</v>
      </c>
      <c r="FB137" s="460">
        <f t="shared" si="417"/>
        <v>704.95412344622468</v>
      </c>
      <c r="FC137" s="173">
        <f t="shared" si="418"/>
        <v>1.426518407608043</v>
      </c>
      <c r="FD137" s="5">
        <f t="shared" si="419"/>
        <v>6.48</v>
      </c>
      <c r="FE137" s="173">
        <f t="shared" si="420"/>
        <v>0.81957691943961375</v>
      </c>
      <c r="FF137" s="5">
        <f t="shared" si="421"/>
        <v>81.957691943961379</v>
      </c>
      <c r="FI137" s="562">
        <f t="shared" si="422"/>
        <v>-50</v>
      </c>
      <c r="FJ137">
        <f t="shared" si="423"/>
        <v>-50</v>
      </c>
      <c r="FL137">
        <f t="shared" si="424"/>
        <v>0.35514866917901466</v>
      </c>
    </row>
    <row r="138" spans="5:168">
      <c r="E138" s="170">
        <v>28</v>
      </c>
      <c r="F138" s="217">
        <f t="shared" si="425"/>
        <v>0.28000000000000003</v>
      </c>
      <c r="G138" s="217"/>
      <c r="H138" s="217">
        <f t="shared" si="315"/>
        <v>6.7200000000000006</v>
      </c>
      <c r="I138" s="541">
        <f t="shared" si="316"/>
        <v>8.9142330261212521</v>
      </c>
      <c r="J138" s="172">
        <f t="shared" si="317"/>
        <v>16.357852907103691</v>
      </c>
      <c r="K138" s="172">
        <f t="shared" si="318"/>
        <v>25.272085933224943</v>
      </c>
      <c r="L138" s="443"/>
      <c r="M138" s="217">
        <f t="shared" si="319"/>
        <v>0.64726154492239307</v>
      </c>
      <c r="N138" s="172">
        <f t="shared" si="426"/>
        <v>32.132560844829747</v>
      </c>
      <c r="O138" s="172">
        <f t="shared" si="438"/>
        <v>6.7200000000000006</v>
      </c>
      <c r="P138" s="217">
        <f t="shared" si="320"/>
        <v>1.3388567018679061</v>
      </c>
      <c r="Q138" s="217">
        <f t="shared" si="321"/>
        <v>24</v>
      </c>
      <c r="R138" s="217"/>
      <c r="S138" s="172">
        <f t="shared" si="322"/>
        <v>163.54577026176759</v>
      </c>
      <c r="T138" s="172">
        <f t="shared" si="323"/>
        <v>24</v>
      </c>
      <c r="U138" s="217">
        <f t="shared" si="324"/>
        <v>2.3801777147046077</v>
      </c>
      <c r="V138" s="217">
        <f t="shared" si="325"/>
        <v>2.6700869359483947</v>
      </c>
      <c r="W138" s="217">
        <f t="shared" si="326"/>
        <v>1.4550673173439364</v>
      </c>
      <c r="X138" s="197">
        <f t="shared" si="327"/>
        <v>259.64604129948174</v>
      </c>
      <c r="Y138" s="443">
        <f t="shared" si="328"/>
        <v>231.20562676783018</v>
      </c>
      <c r="AA138" s="217">
        <f t="shared" si="329"/>
        <v>2.2222222222222228</v>
      </c>
      <c r="AB138" s="173">
        <f t="shared" si="330"/>
        <v>1.3585048324142732</v>
      </c>
      <c r="AC138" s="173">
        <f t="shared" si="331"/>
        <v>0.26141242001740239</v>
      </c>
      <c r="AD138" s="173"/>
      <c r="AE138" s="173">
        <f t="shared" si="332"/>
        <v>1.358504832414273</v>
      </c>
      <c r="AF138" s="545">
        <f t="shared" si="333"/>
        <v>278.10802393786474</v>
      </c>
      <c r="AG138" s="528">
        <f t="shared" si="334"/>
        <v>0.26141242001740234</v>
      </c>
      <c r="AI138" s="173">
        <f t="shared" si="335"/>
        <v>1.9808893801362855</v>
      </c>
      <c r="AJ138" s="173">
        <f t="shared" si="336"/>
        <v>2.3801777147046077</v>
      </c>
      <c r="AK138" s="173">
        <f t="shared" si="337"/>
        <v>1.3170040685054707</v>
      </c>
      <c r="AM138" s="545">
        <f t="shared" si="338"/>
        <v>280</v>
      </c>
      <c r="AN138" s="460">
        <f t="shared" si="339"/>
        <v>231.20562676783018</v>
      </c>
      <c r="AP138" s="460">
        <f t="shared" si="340"/>
        <v>280</v>
      </c>
      <c r="AQ138" s="460">
        <f t="shared" si="341"/>
        <v>231.20562676783018</v>
      </c>
      <c r="AS138" s="5">
        <f t="shared" si="439"/>
        <v>4.3251542532923306</v>
      </c>
      <c r="AT138" s="5">
        <f t="shared" si="342"/>
        <v>2.6700869359483947</v>
      </c>
      <c r="AU138" s="5">
        <f t="shared" si="343"/>
        <v>1.6550673173439359</v>
      </c>
      <c r="AV138" s="5"/>
      <c r="AW138" s="173">
        <f t="shared" si="344"/>
        <v>0.61733912355054399</v>
      </c>
      <c r="AX138" s="173">
        <f t="shared" si="435"/>
        <v>6.5491837074527828</v>
      </c>
      <c r="AY138" s="173">
        <f t="shared" si="436"/>
        <v>0.30375209695317856</v>
      </c>
      <c r="AZ138" s="173">
        <f t="shared" si="440"/>
        <v>21.560949778273621</v>
      </c>
      <c r="BA138" s="460">
        <f t="shared" si="433"/>
        <v>3.1151014252731275</v>
      </c>
      <c r="BB138" s="5">
        <f t="shared" si="434"/>
        <v>1.0397279216245576</v>
      </c>
      <c r="BD138" s="173">
        <f t="shared" si="441"/>
        <v>1.0797187861783195</v>
      </c>
      <c r="BE138" s="173">
        <f t="shared" si="437"/>
        <v>0.566998124217446</v>
      </c>
      <c r="BG138" s="528">
        <f t="shared" si="347"/>
        <v>4.6631706289055351E-2</v>
      </c>
      <c r="BH138" s="528">
        <f t="shared" si="348"/>
        <v>0.31291860935893995</v>
      </c>
      <c r="BI138" s="528">
        <f t="shared" si="349"/>
        <v>8.2440833358354226E-2</v>
      </c>
      <c r="BJ138" s="528">
        <f t="shared" si="350"/>
        <v>2.5841554023830385E-2</v>
      </c>
      <c r="BK138">
        <f t="shared" si="351"/>
        <v>4.0114048617545632E-3</v>
      </c>
      <c r="BL138" s="460">
        <f t="shared" si="427"/>
        <v>86.452238220108796</v>
      </c>
      <c r="BM138" s="528">
        <f t="shared" si="352"/>
        <v>0.40244135722515184</v>
      </c>
      <c r="BN138" s="460">
        <f t="shared" si="353"/>
        <v>402.44135722515182</v>
      </c>
      <c r="BO138" s="528">
        <f t="shared" si="354"/>
        <v>0.19600000000000001</v>
      </c>
      <c r="BR138" s="460">
        <f t="shared" si="355"/>
        <v>196</v>
      </c>
      <c r="BS138" s="528">
        <f t="shared" si="356"/>
        <v>3.4973779716791512E-2</v>
      </c>
      <c r="BT138" s="528">
        <f t="shared" si="357"/>
        <v>9.6446061859830692E-3</v>
      </c>
      <c r="BU138" s="528">
        <f t="shared" si="358"/>
        <v>0.35521350070809965</v>
      </c>
      <c r="BV138" s="528"/>
      <c r="BW138" s="528">
        <f t="shared" si="359"/>
        <v>0.2619673482981113</v>
      </c>
      <c r="BX138" s="460">
        <f t="shared" si="360"/>
        <v>661.79923490898557</v>
      </c>
      <c r="BY138" s="173">
        <f t="shared" si="361"/>
        <v>1.3296433428009198</v>
      </c>
      <c r="BZ138" s="5">
        <f t="shared" si="362"/>
        <v>6.7200000000000006</v>
      </c>
      <c r="CA138" s="173">
        <f t="shared" si="363"/>
        <v>0.83481959557996244</v>
      </c>
      <c r="CB138" s="5">
        <f t="shared" si="364"/>
        <v>83.481959557996248</v>
      </c>
      <c r="CE138" s="562">
        <f t="shared" si="365"/>
        <v>-50</v>
      </c>
      <c r="CF138">
        <f t="shared" si="366"/>
        <v>-50</v>
      </c>
      <c r="CG138" s="173">
        <f t="shared" si="367"/>
        <v>0.34261798006153354</v>
      </c>
      <c r="CI138" s="170">
        <v>28</v>
      </c>
      <c r="CJ138" s="217">
        <f t="shared" si="428"/>
        <v>0.28000000000000003</v>
      </c>
      <c r="CK138" s="217"/>
      <c r="CL138" s="217">
        <f t="shared" si="368"/>
        <v>6.7200000000000006</v>
      </c>
      <c r="CM138" s="541">
        <f t="shared" si="369"/>
        <v>9</v>
      </c>
      <c r="CN138" s="443">
        <f t="shared" si="370"/>
        <v>16.3415</v>
      </c>
      <c r="CO138" s="443">
        <f t="shared" si="371"/>
        <v>25.3415</v>
      </c>
      <c r="CP138" s="443"/>
      <c r="CQ138" s="217">
        <f t="shared" si="372"/>
        <v>0.64485133082098534</v>
      </c>
      <c r="CR138" s="172">
        <f t="shared" si="429"/>
        <v>32.320915977744015</v>
      </c>
      <c r="CS138" s="172">
        <f t="shared" si="373"/>
        <v>6.7200000000000006</v>
      </c>
      <c r="CT138" s="217">
        <f t="shared" si="374"/>
        <v>1.3467048324060007</v>
      </c>
      <c r="CU138" s="217">
        <f t="shared" si="375"/>
        <v>24</v>
      </c>
      <c r="CV138" s="217"/>
      <c r="CW138" s="172">
        <f t="shared" si="376"/>
        <v>165.1189110455137</v>
      </c>
      <c r="CX138" s="172">
        <f t="shared" si="377"/>
        <v>24</v>
      </c>
      <c r="CY138" s="217">
        <f t="shared" si="378"/>
        <v>2.3157792532305277</v>
      </c>
      <c r="CZ138" s="217">
        <f t="shared" si="379"/>
        <v>2.5730880591450305</v>
      </c>
      <c r="DA138" s="217">
        <f t="shared" si="380"/>
        <v>1.4171154748526928</v>
      </c>
      <c r="DB138" s="197">
        <f t="shared" si="381"/>
        <v>261.16478898249903</v>
      </c>
      <c r="DC138" s="443">
        <f t="shared" si="382"/>
        <v>250.61378234962251</v>
      </c>
      <c r="DE138" s="217">
        <f t="shared" si="383"/>
        <v>2.2222222222222223</v>
      </c>
      <c r="DF138" s="173">
        <f t="shared" si="384"/>
        <v>1.3598642855443031</v>
      </c>
      <c r="DG138" s="173">
        <f t="shared" si="385"/>
        <v>0.26320462482489204</v>
      </c>
      <c r="DH138" s="173"/>
      <c r="DI138" s="173">
        <f t="shared" si="386"/>
        <v>1.3598642855443031</v>
      </c>
      <c r="DJ138" s="545">
        <f t="shared" si="387"/>
        <v>277.82999999999993</v>
      </c>
      <c r="DK138" s="528">
        <f t="shared" si="388"/>
        <v>0.26320462482489204</v>
      </c>
      <c r="DM138" s="173">
        <f t="shared" si="389"/>
        <v>1.9798989873223332</v>
      </c>
      <c r="DN138" s="173">
        <f t="shared" si="390"/>
        <v>2.3157792532305277</v>
      </c>
      <c r="DO138" s="173">
        <f t="shared" si="391"/>
        <v>1.2693015044505964</v>
      </c>
      <c r="DQ138" s="545">
        <f t="shared" si="392"/>
        <v>280</v>
      </c>
      <c r="DR138" s="460">
        <f t="shared" si="393"/>
        <v>250.61378234962251</v>
      </c>
      <c r="DT138">
        <f t="shared" si="430"/>
        <v>280</v>
      </c>
      <c r="DU138">
        <f t="shared" si="431"/>
        <v>250.61378234962251</v>
      </c>
      <c r="DW138" s="5">
        <f t="shared" si="394"/>
        <v>3.9902035339977231</v>
      </c>
      <c r="DX138" s="5">
        <f t="shared" si="395"/>
        <v>2.5730880591450305</v>
      </c>
      <c r="DY138" s="5">
        <f t="shared" si="396"/>
        <v>1.4171154748526926</v>
      </c>
      <c r="DZ138" s="5"/>
      <c r="EA138" s="173">
        <f t="shared" si="397"/>
        <v>0.64485133082098534</v>
      </c>
      <c r="EB138" s="173">
        <f t="shared" si="398"/>
        <v>6.7200000000000015</v>
      </c>
      <c r="EC138" s="173">
        <f t="shared" si="399"/>
        <v>0.2742857142857143</v>
      </c>
      <c r="ED138" s="173">
        <f t="shared" si="400"/>
        <v>24.500000000000004</v>
      </c>
      <c r="EE138" s="460">
        <f t="shared" si="401"/>
        <v>3.0019360690025363</v>
      </c>
      <c r="EF138" s="5">
        <f t="shared" si="402"/>
        <v>0.88176073990834203</v>
      </c>
      <c r="EH138" s="173">
        <f t="shared" si="403"/>
        <v>1.0736589078925272</v>
      </c>
      <c r="EI138" s="173">
        <f t="shared" si="404"/>
        <v>0.53145617951840518</v>
      </c>
      <c r="EK138" s="528">
        <f t="shared" si="405"/>
        <v>4.6109738019878964E-2</v>
      </c>
      <c r="EL138" s="528">
        <f t="shared" si="406"/>
        <v>0.404452125</v>
      </c>
      <c r="EM138" s="528">
        <f t="shared" si="407"/>
        <v>5.01227564699245E-2</v>
      </c>
      <c r="EN138" s="528">
        <f t="shared" si="408"/>
        <v>2.8164862502929686E-2</v>
      </c>
      <c r="EO138">
        <f t="shared" si="409"/>
        <v>4.0499999999999998E-3</v>
      </c>
      <c r="EP138" s="460">
        <f t="shared" si="410"/>
        <v>54.172756469924501</v>
      </c>
      <c r="EQ138" s="460"/>
      <c r="ER138" s="460">
        <f t="shared" si="432"/>
        <v>532.89948199273317</v>
      </c>
      <c r="ES138" s="528">
        <f t="shared" si="411"/>
        <v>0.19600000000000001</v>
      </c>
      <c r="EV138" s="460">
        <f t="shared" si="412"/>
        <v>196</v>
      </c>
      <c r="EW138" s="528">
        <f t="shared" si="413"/>
        <v>3.4582303514909221E-2</v>
      </c>
      <c r="EX138" s="528">
        <f t="shared" si="414"/>
        <v>8.4733701224489789E-3</v>
      </c>
      <c r="EY138" s="528">
        <f t="shared" si="415"/>
        <v>0.40571893711761003</v>
      </c>
      <c r="EZ138" s="528"/>
      <c r="FA138" s="528">
        <f t="shared" si="416"/>
        <v>0.26880000000000004</v>
      </c>
      <c r="FB138" s="460">
        <f t="shared" si="417"/>
        <v>717.57461075496826</v>
      </c>
      <c r="FC138" s="173">
        <f t="shared" si="418"/>
        <v>1.4464740927477013</v>
      </c>
      <c r="FD138" s="5">
        <f t="shared" si="419"/>
        <v>6.7200000000000006</v>
      </c>
      <c r="FE138" s="173">
        <f t="shared" si="420"/>
        <v>0.82287654668099008</v>
      </c>
      <c r="FF138" s="5">
        <f t="shared" si="421"/>
        <v>82.287654668099009</v>
      </c>
      <c r="FI138" s="562">
        <f t="shared" si="422"/>
        <v>-50</v>
      </c>
      <c r="FJ138">
        <f t="shared" si="423"/>
        <v>-50</v>
      </c>
      <c r="FL138">
        <f t="shared" si="424"/>
        <v>0.35514866917901466</v>
      </c>
    </row>
    <row r="139" spans="5:168">
      <c r="E139" s="170">
        <v>29</v>
      </c>
      <c r="F139" s="217">
        <f t="shared" si="425"/>
        <v>0.28999999999999998</v>
      </c>
      <c r="G139" s="217"/>
      <c r="H139" s="217">
        <f t="shared" si="315"/>
        <v>6.9599999999999991</v>
      </c>
      <c r="I139" s="541">
        <f t="shared" si="316"/>
        <v>8.9112818068767723</v>
      </c>
      <c r="J139" s="172">
        <f t="shared" si="317"/>
        <v>16.358415606380174</v>
      </c>
      <c r="K139" s="172">
        <f t="shared" si="318"/>
        <v>25.269697413256946</v>
      </c>
      <c r="L139" s="443"/>
      <c r="M139" s="217">
        <f t="shared" si="319"/>
        <v>0.64734500460176969</v>
      </c>
      <c r="N139" s="172">
        <f t="shared" si="426"/>
        <v>32.126064664014727</v>
      </c>
      <c r="O139" s="172">
        <f t="shared" si="438"/>
        <v>6.9599999999999991</v>
      </c>
      <c r="P139" s="217">
        <f t="shared" si="320"/>
        <v>1.3385860276672803</v>
      </c>
      <c r="Q139" s="217">
        <f t="shared" si="321"/>
        <v>24</v>
      </c>
      <c r="R139" s="217"/>
      <c r="S139" s="172">
        <f t="shared" si="322"/>
        <v>157.39627529333339</v>
      </c>
      <c r="T139" s="172">
        <f t="shared" si="323"/>
        <v>24</v>
      </c>
      <c r="U139" s="217">
        <f t="shared" si="324"/>
        <v>2.465767474552178</v>
      </c>
      <c r="V139" s="217">
        <f t="shared" si="325"/>
        <v>2.7670177287507207</v>
      </c>
      <c r="W139" s="217">
        <f t="shared" si="326"/>
        <v>1.5073388119509996</v>
      </c>
      <c r="X139" s="197">
        <f t="shared" si="327"/>
        <v>259.59354419374614</v>
      </c>
      <c r="Y139" s="443">
        <f t="shared" si="328"/>
        <v>223.4958235677768</v>
      </c>
      <c r="AA139" s="217">
        <f t="shared" si="329"/>
        <v>2.2222222222222228</v>
      </c>
      <c r="AB139" s="173">
        <f t="shared" si="330"/>
        <v>1.3584581023577267</v>
      </c>
      <c r="AC139" s="173">
        <f t="shared" si="331"/>
        <v>0.26135057548627261</v>
      </c>
      <c r="AD139" s="173"/>
      <c r="AE139" s="173">
        <f t="shared" si="332"/>
        <v>1.3584581023577265</v>
      </c>
      <c r="AF139" s="545">
        <f t="shared" si="333"/>
        <v>288.05036176452035</v>
      </c>
      <c r="AG139" s="528">
        <f t="shared" si="334"/>
        <v>0.2613505754862725</v>
      </c>
      <c r="AI139" s="173">
        <f t="shared" si="335"/>
        <v>2.0159867646206182</v>
      </c>
      <c r="AJ139" s="173">
        <f t="shared" si="336"/>
        <v>2.465767474552178</v>
      </c>
      <c r="AK139" s="173">
        <f t="shared" si="337"/>
        <v>1.380403890614782</v>
      </c>
      <c r="AM139" s="545">
        <f t="shared" si="338"/>
        <v>290</v>
      </c>
      <c r="AN139" s="460">
        <f t="shared" si="339"/>
        <v>223.4958235677768</v>
      </c>
      <c r="AP139" s="460">
        <f t="shared" si="340"/>
        <v>290</v>
      </c>
      <c r="AQ139" s="460">
        <f t="shared" si="341"/>
        <v>223.4958235677768</v>
      </c>
      <c r="AS139" s="5">
        <f t="shared" si="439"/>
        <v>4.474356540701721</v>
      </c>
      <c r="AT139" s="5">
        <f t="shared" si="342"/>
        <v>2.7670177287507207</v>
      </c>
      <c r="AU139" s="5">
        <f t="shared" si="343"/>
        <v>1.7073388119510002</v>
      </c>
      <c r="AV139" s="5"/>
      <c r="AW139" s="173">
        <f t="shared" si="344"/>
        <v>0.61841690611378164</v>
      </c>
      <c r="AX139" s="173">
        <f t="shared" si="435"/>
        <v>6.7942833603576522</v>
      </c>
      <c r="AY139" s="173">
        <f t="shared" si="436"/>
        <v>0.31378854311149973</v>
      </c>
      <c r="AZ139" s="173">
        <f t="shared" si="440"/>
        <v>21.652426481177844</v>
      </c>
      <c r="BA139" s="460">
        <f t="shared" si="433"/>
        <v>3.3434797555737874</v>
      </c>
      <c r="BB139" s="5">
        <f t="shared" si="434"/>
        <v>1.111239137524981</v>
      </c>
      <c r="BD139" s="173">
        <f t="shared" si="441"/>
        <v>1.1195208055909649</v>
      </c>
      <c r="BE139" s="173">
        <f t="shared" si="437"/>
        <v>0.58655925087967997</v>
      </c>
      <c r="BG139" s="528">
        <f t="shared" si="347"/>
        <v>5.0133073366041725E-2</v>
      </c>
      <c r="BH139" s="528">
        <f t="shared" si="348"/>
        <v>0.31333152413045634</v>
      </c>
      <c r="BI139" s="528">
        <f t="shared" si="349"/>
        <v>7.966537065889881E-2</v>
      </c>
      <c r="BJ139" s="528">
        <f t="shared" si="350"/>
        <v>2.4975117711573392E-2</v>
      </c>
      <c r="BK139">
        <f t="shared" si="351"/>
        <v>4.010076813094547E-3</v>
      </c>
      <c r="BL139" s="460">
        <f t="shared" si="427"/>
        <v>83.675447471993365</v>
      </c>
      <c r="BM139" s="528">
        <f t="shared" si="352"/>
        <v>0.4068215479849579</v>
      </c>
      <c r="BN139" s="460">
        <f t="shared" si="353"/>
        <v>406.82154798495787</v>
      </c>
      <c r="BO139" s="528">
        <f t="shared" si="354"/>
        <v>0.20299999999999999</v>
      </c>
      <c r="BR139" s="460">
        <f t="shared" si="355"/>
        <v>203</v>
      </c>
      <c r="BS139" s="528">
        <f t="shared" si="356"/>
        <v>3.7599805024531294E-2</v>
      </c>
      <c r="BT139" s="528">
        <f t="shared" si="357"/>
        <v>1.032155264377594E-2</v>
      </c>
      <c r="BU139" s="528">
        <f t="shared" si="358"/>
        <v>0.35647069526782388</v>
      </c>
      <c r="BV139" s="528"/>
      <c r="BW139" s="528">
        <f t="shared" si="359"/>
        <v>0.27177133441430612</v>
      </c>
      <c r="BX139" s="460">
        <f t="shared" si="360"/>
        <v>676.16338735043723</v>
      </c>
      <c r="BY139" s="173">
        <f t="shared" si="361"/>
        <v>1.3512785500305022</v>
      </c>
      <c r="BZ139" s="5">
        <f t="shared" si="362"/>
        <v>6.9599999999999991</v>
      </c>
      <c r="CA139" s="173">
        <f t="shared" si="363"/>
        <v>0.83741628416177405</v>
      </c>
      <c r="CB139" s="5">
        <f t="shared" si="364"/>
        <v>83.741628416177406</v>
      </c>
      <c r="CE139" s="562">
        <f t="shared" si="365"/>
        <v>-50</v>
      </c>
      <c r="CF139">
        <f t="shared" si="366"/>
        <v>-50</v>
      </c>
      <c r="CG139" s="173">
        <f t="shared" si="367"/>
        <v>0.34305007278972266</v>
      </c>
      <c r="CI139" s="170">
        <v>29</v>
      </c>
      <c r="CJ139" s="217">
        <f t="shared" si="428"/>
        <v>0.28999999999999998</v>
      </c>
      <c r="CK139" s="217"/>
      <c r="CL139" s="217">
        <f t="shared" si="368"/>
        <v>6.9599999999999991</v>
      </c>
      <c r="CM139" s="541">
        <f t="shared" si="369"/>
        <v>9</v>
      </c>
      <c r="CN139" s="443">
        <f t="shared" si="370"/>
        <v>16.3415</v>
      </c>
      <c r="CO139" s="443">
        <f t="shared" si="371"/>
        <v>25.3415</v>
      </c>
      <c r="CP139" s="443"/>
      <c r="CQ139" s="217">
        <f t="shared" si="372"/>
        <v>0.64485133082098534</v>
      </c>
      <c r="CR139" s="172">
        <f t="shared" si="429"/>
        <v>32.320915977744015</v>
      </c>
      <c r="CS139" s="172">
        <f t="shared" si="373"/>
        <v>6.9599999999999991</v>
      </c>
      <c r="CT139" s="217">
        <f t="shared" si="374"/>
        <v>1.3467048324060007</v>
      </c>
      <c r="CU139" s="217">
        <f t="shared" si="375"/>
        <v>24</v>
      </c>
      <c r="CV139" s="217"/>
      <c r="CW139" s="172">
        <f t="shared" si="376"/>
        <v>158.96284818482175</v>
      </c>
      <c r="CX139" s="172">
        <f t="shared" si="377"/>
        <v>24</v>
      </c>
      <c r="CY139" s="217">
        <f t="shared" si="378"/>
        <v>2.3984856551316174</v>
      </c>
      <c r="CZ139" s="217">
        <f t="shared" si="379"/>
        <v>2.6649840612573525</v>
      </c>
      <c r="DA139" s="217">
        <f t="shared" si="380"/>
        <v>1.4677267418117173</v>
      </c>
      <c r="DB139" s="197">
        <f t="shared" si="381"/>
        <v>261.16478898249903</v>
      </c>
      <c r="DC139" s="443">
        <f t="shared" si="382"/>
        <v>241.97192778584244</v>
      </c>
      <c r="DE139" s="217">
        <f t="shared" si="383"/>
        <v>2.2222222222222223</v>
      </c>
      <c r="DF139" s="173">
        <f t="shared" si="384"/>
        <v>1.3598642855443031</v>
      </c>
      <c r="DG139" s="173">
        <f t="shared" si="385"/>
        <v>0.26320462482489204</v>
      </c>
      <c r="DH139" s="173"/>
      <c r="DI139" s="173">
        <f t="shared" si="386"/>
        <v>1.3598642855443031</v>
      </c>
      <c r="DJ139" s="545">
        <f t="shared" si="387"/>
        <v>287.75249999999988</v>
      </c>
      <c r="DK139" s="528">
        <f t="shared" si="388"/>
        <v>0.26320462482489204</v>
      </c>
      <c r="DM139" s="173">
        <f t="shared" si="389"/>
        <v>2.0149441679609881</v>
      </c>
      <c r="DN139" s="173">
        <f t="shared" si="390"/>
        <v>2.3984856551316174</v>
      </c>
      <c r="DO139" s="173">
        <f t="shared" si="391"/>
        <v>1.3305655058588111</v>
      </c>
      <c r="DQ139" s="545">
        <f t="shared" si="392"/>
        <v>290</v>
      </c>
      <c r="DR139" s="460">
        <f t="shared" si="393"/>
        <v>241.97192778584244</v>
      </c>
      <c r="DT139">
        <f t="shared" si="430"/>
        <v>290</v>
      </c>
      <c r="DU139">
        <f t="shared" si="431"/>
        <v>241.97192778584244</v>
      </c>
      <c r="DW139" s="5">
        <f t="shared" si="394"/>
        <v>4.1327108030690702</v>
      </c>
      <c r="DX139" s="5">
        <f t="shared" si="395"/>
        <v>2.6649840612573525</v>
      </c>
      <c r="DY139" s="5">
        <f t="shared" si="396"/>
        <v>1.4677267418117177</v>
      </c>
      <c r="DZ139" s="5"/>
      <c r="EA139" s="173">
        <f t="shared" si="397"/>
        <v>0.64485133082098522</v>
      </c>
      <c r="EB139" s="173">
        <f t="shared" si="398"/>
        <v>6.9599999999999973</v>
      </c>
      <c r="EC139" s="173">
        <f t="shared" si="399"/>
        <v>0.28408163265306124</v>
      </c>
      <c r="ED139" s="173">
        <f t="shared" si="400"/>
        <v>24.499999999999989</v>
      </c>
      <c r="EE139" s="460">
        <f t="shared" si="401"/>
        <v>3.2201890740193009</v>
      </c>
      <c r="EF139" s="5">
        <f t="shared" si="402"/>
        <v>0.94586834472310666</v>
      </c>
      <c r="EH139" s="173">
        <f t="shared" si="403"/>
        <v>1.1120038688886884</v>
      </c>
      <c r="EI139" s="173">
        <f t="shared" si="404"/>
        <v>0.55043675735834818</v>
      </c>
      <c r="EK139" s="528">
        <f t="shared" si="405"/>
        <v>4.9462104176936458E-2</v>
      </c>
      <c r="EL139" s="528">
        <f t="shared" si="406"/>
        <v>0.404452125</v>
      </c>
      <c r="EM139" s="528">
        <f t="shared" si="407"/>
        <v>4.8394385557168483E-2</v>
      </c>
      <c r="EN139" s="528">
        <f t="shared" si="408"/>
        <v>2.7193660347656252E-2</v>
      </c>
      <c r="EO139">
        <f t="shared" si="409"/>
        <v>4.0499999999999998E-3</v>
      </c>
      <c r="EP139" s="460">
        <f t="shared" si="410"/>
        <v>52.444385557168481</v>
      </c>
      <c r="EQ139" s="460"/>
      <c r="ER139" s="460">
        <f t="shared" si="432"/>
        <v>533.55227508176119</v>
      </c>
      <c r="ES139" s="528">
        <f t="shared" si="411"/>
        <v>0.20299999999999999</v>
      </c>
      <c r="EV139" s="460">
        <f t="shared" si="412"/>
        <v>203</v>
      </c>
      <c r="EW139" s="528">
        <f t="shared" si="413"/>
        <v>3.709657813270234E-2</v>
      </c>
      <c r="EX139" s="528">
        <f t="shared" si="414"/>
        <v>9.089418715535192E-3</v>
      </c>
      <c r="EY139" s="528">
        <f t="shared" si="415"/>
        <v>0.4057189371176092</v>
      </c>
      <c r="EZ139" s="528"/>
      <c r="FA139" s="528">
        <f t="shared" si="416"/>
        <v>0.27839999999999993</v>
      </c>
      <c r="FB139" s="460">
        <f t="shared" si="417"/>
        <v>730.30493396584677</v>
      </c>
      <c r="FC139" s="173">
        <f t="shared" si="418"/>
        <v>1.4668572090476077</v>
      </c>
      <c r="FD139" s="5">
        <f t="shared" si="419"/>
        <v>6.9599999999999991</v>
      </c>
      <c r="FE139" s="173">
        <f t="shared" si="420"/>
        <v>0.82593069128159691</v>
      </c>
      <c r="FF139" s="5">
        <f t="shared" si="421"/>
        <v>82.593069128159698</v>
      </c>
      <c r="FI139" s="562">
        <f t="shared" si="422"/>
        <v>-50</v>
      </c>
      <c r="FJ139">
        <f t="shared" si="423"/>
        <v>-50</v>
      </c>
      <c r="FL139">
        <f t="shared" si="424"/>
        <v>0.35514866917901478</v>
      </c>
    </row>
    <row r="140" spans="5:168">
      <c r="E140" s="170">
        <v>30</v>
      </c>
      <c r="F140" s="217">
        <f t="shared" si="425"/>
        <v>0.3</v>
      </c>
      <c r="G140" s="217"/>
      <c r="H140" s="217">
        <f t="shared" si="315"/>
        <v>7.1999999999999993</v>
      </c>
      <c r="I140" s="541">
        <f t="shared" si="316"/>
        <v>8.9083303248745906</v>
      </c>
      <c r="J140" s="172">
        <f t="shared" si="317"/>
        <v>16.358978355755802</v>
      </c>
      <c r="K140" s="172">
        <f t="shared" si="318"/>
        <v>25.267308680630393</v>
      </c>
      <c r="L140" s="443"/>
      <c r="M140" s="217">
        <f t="shared" si="319"/>
        <v>0.6474284867884379</v>
      </c>
      <c r="N140" s="172">
        <f t="shared" si="426"/>
        <v>32.119565909014881</v>
      </c>
      <c r="O140" s="172">
        <f t="shared" si="438"/>
        <v>7.1999999999999993</v>
      </c>
      <c r="P140" s="217">
        <f t="shared" si="320"/>
        <v>1.3383152462089534</v>
      </c>
      <c r="Q140" s="217">
        <f t="shared" si="321"/>
        <v>24</v>
      </c>
      <c r="R140" s="217"/>
      <c r="S140" s="172">
        <f t="shared" si="322"/>
        <v>151.65715074674992</v>
      </c>
      <c r="T140" s="172">
        <f t="shared" si="323"/>
        <v>24</v>
      </c>
      <c r="U140" s="217">
        <f t="shared" si="324"/>
        <v>2.5513979183785538</v>
      </c>
      <c r="V140" s="217">
        <f t="shared" si="325"/>
        <v>2.8640584995533063</v>
      </c>
      <c r="W140" s="217">
        <f t="shared" si="326"/>
        <v>1.5596315753305345</v>
      </c>
      <c r="X140" s="197">
        <f t="shared" si="327"/>
        <v>259.54102657169017</v>
      </c>
      <c r="Y140" s="443">
        <f t="shared" si="328"/>
        <v>216.27747184701227</v>
      </c>
      <c r="AA140" s="217">
        <f t="shared" si="329"/>
        <v>2.2222222222222223</v>
      </c>
      <c r="AB140" s="173">
        <f t="shared" si="330"/>
        <v>1.3584113713558084</v>
      </c>
      <c r="AC140" s="173">
        <f t="shared" si="331"/>
        <v>0.26128871375500601</v>
      </c>
      <c r="AD140" s="173"/>
      <c r="AE140" s="173">
        <f t="shared" si="332"/>
        <v>1.3584113713558084</v>
      </c>
      <c r="AF140" s="545">
        <f t="shared" si="333"/>
        <v>297.99338384172859</v>
      </c>
      <c r="AG140" s="528">
        <f t="shared" si="334"/>
        <v>0.26128871375500606</v>
      </c>
      <c r="AI140" s="173">
        <f t="shared" si="335"/>
        <v>2.0504858420001546</v>
      </c>
      <c r="AJ140" s="173">
        <f t="shared" si="336"/>
        <v>2.5513979183785538</v>
      </c>
      <c r="AK140" s="173">
        <f t="shared" si="337"/>
        <v>1.4438338490046898</v>
      </c>
      <c r="AM140" s="545">
        <f t="shared" si="338"/>
        <v>300</v>
      </c>
      <c r="AN140" s="460">
        <f t="shared" si="339"/>
        <v>216.27747184701227</v>
      </c>
      <c r="AP140" s="460">
        <f t="shared" si="340"/>
        <v>300</v>
      </c>
      <c r="AQ140" s="460">
        <f t="shared" si="341"/>
        <v>216.27747184701227</v>
      </c>
      <c r="AS140" s="5">
        <f t="shared" si="439"/>
        <v>4.6236900748838412</v>
      </c>
      <c r="AT140" s="5">
        <f t="shared" si="342"/>
        <v>2.8640584995533063</v>
      </c>
      <c r="AU140" s="5">
        <f t="shared" si="343"/>
        <v>1.7596315753305349</v>
      </c>
      <c r="AV140" s="5"/>
      <c r="AW140" s="173">
        <f t="shared" si="344"/>
        <v>0.61943133150533636</v>
      </c>
      <c r="AX140" s="173">
        <f t="shared" si="435"/>
        <v>7.0394330420924209</v>
      </c>
      <c r="AY140" s="173">
        <f t="shared" si="436"/>
        <v>0.32382253321722715</v>
      </c>
      <c r="AZ140" s="173">
        <f t="shared" si="440"/>
        <v>21.738552200659296</v>
      </c>
      <c r="BA140" s="460">
        <f t="shared" si="433"/>
        <v>3.5800731244416326</v>
      </c>
      <c r="BB140" s="5">
        <f t="shared" si="434"/>
        <v>1.1851591787635958</v>
      </c>
      <c r="BD140" s="173">
        <f t="shared" si="441"/>
        <v>1.1593488987715239</v>
      </c>
      <c r="BE140" s="173">
        <f t="shared" si="437"/>
        <v>0.60612182026134742</v>
      </c>
      <c r="BG140" s="528">
        <f t="shared" si="347"/>
        <v>5.3763594763309809E-2</v>
      </c>
      <c r="BH140" s="528">
        <f t="shared" si="348"/>
        <v>0.31371189436376468</v>
      </c>
      <c r="BI140" s="528">
        <f t="shared" si="349"/>
        <v>7.7066846441678008E-2</v>
      </c>
      <c r="BJ140" s="528">
        <f t="shared" si="350"/>
        <v>2.4163915310911565E-2</v>
      </c>
      <c r="BK140">
        <f t="shared" si="351"/>
        <v>4.008748646193566E-3</v>
      </c>
      <c r="BL140" s="460">
        <f t="shared" si="427"/>
        <v>81.075595087871577</v>
      </c>
      <c r="BM140" s="528">
        <f t="shared" si="352"/>
        <v>0.41141103424772391</v>
      </c>
      <c r="BN140" s="460">
        <f t="shared" si="353"/>
        <v>411.41103424772393</v>
      </c>
      <c r="BO140" s="528">
        <f t="shared" si="354"/>
        <v>0.21</v>
      </c>
      <c r="BR140" s="460">
        <f t="shared" si="355"/>
        <v>210</v>
      </c>
      <c r="BS140" s="528">
        <f t="shared" si="356"/>
        <v>4.0322696072482352E-2</v>
      </c>
      <c r="BT140" s="528">
        <f t="shared" si="357"/>
        <v>1.1021509829907874E-2</v>
      </c>
      <c r="BU140" s="528">
        <f t="shared" si="358"/>
        <v>0.35763804091823609</v>
      </c>
      <c r="BV140" s="528"/>
      <c r="BW140" s="528">
        <f t="shared" si="359"/>
        <v>0.28157732168369681</v>
      </c>
      <c r="BX140" s="460">
        <f t="shared" si="360"/>
        <v>690.55956850432312</v>
      </c>
      <c r="BY140" s="173">
        <f t="shared" si="361"/>
        <v>1.3732745680301808</v>
      </c>
      <c r="BZ140" s="5">
        <f t="shared" si="362"/>
        <v>7.1999999999999993</v>
      </c>
      <c r="CA140" s="173">
        <f t="shared" si="363"/>
        <v>0.83981913128606256</v>
      </c>
      <c r="CB140" s="5">
        <f t="shared" si="364"/>
        <v>83.981913128606251</v>
      </c>
      <c r="CE140" s="562">
        <f t="shared" si="365"/>
        <v>-50</v>
      </c>
      <c r="CF140">
        <f t="shared" si="366"/>
        <v>-50</v>
      </c>
      <c r="CG140" s="173">
        <f t="shared" si="367"/>
        <v>0.34345335933603227</v>
      </c>
      <c r="CI140" s="170">
        <v>30</v>
      </c>
      <c r="CJ140" s="217">
        <f t="shared" si="428"/>
        <v>0.3</v>
      </c>
      <c r="CK140" s="217"/>
      <c r="CL140" s="217">
        <f t="shared" si="368"/>
        <v>7.1999999999999993</v>
      </c>
      <c r="CM140" s="541">
        <f t="shared" si="369"/>
        <v>9</v>
      </c>
      <c r="CN140" s="443">
        <f t="shared" si="370"/>
        <v>16.3415</v>
      </c>
      <c r="CO140" s="443">
        <f t="shared" si="371"/>
        <v>25.3415</v>
      </c>
      <c r="CP140" s="443"/>
      <c r="CQ140" s="217">
        <f t="shared" si="372"/>
        <v>0.64485133082098534</v>
      </c>
      <c r="CR140" s="172">
        <f t="shared" si="429"/>
        <v>32.320915977744015</v>
      </c>
      <c r="CS140" s="172">
        <f t="shared" si="373"/>
        <v>7.1999999999999993</v>
      </c>
      <c r="CT140" s="217">
        <f t="shared" si="374"/>
        <v>1.3467048324060007</v>
      </c>
      <c r="CU140" s="217">
        <f t="shared" si="375"/>
        <v>24</v>
      </c>
      <c r="CV140" s="217"/>
      <c r="CW140" s="172">
        <f t="shared" si="376"/>
        <v>153.21730312585404</v>
      </c>
      <c r="CX140" s="172">
        <f t="shared" si="377"/>
        <v>24</v>
      </c>
      <c r="CY140" s="217">
        <f t="shared" si="378"/>
        <v>2.4811920570327075</v>
      </c>
      <c r="CZ140" s="217">
        <f t="shared" si="379"/>
        <v>2.7568800633696751</v>
      </c>
      <c r="DA140" s="217">
        <f t="shared" si="380"/>
        <v>1.5183380087707417</v>
      </c>
      <c r="DB140" s="197">
        <f t="shared" si="381"/>
        <v>261.16478898249903</v>
      </c>
      <c r="DC140" s="443">
        <f t="shared" si="382"/>
        <v>233.90619685964774</v>
      </c>
      <c r="DE140" s="217">
        <f t="shared" si="383"/>
        <v>2.2222222222222223</v>
      </c>
      <c r="DF140" s="173">
        <f t="shared" si="384"/>
        <v>1.3598642855443031</v>
      </c>
      <c r="DG140" s="173">
        <f t="shared" si="385"/>
        <v>0.26320462482489204</v>
      </c>
      <c r="DH140" s="173"/>
      <c r="DI140" s="173">
        <f t="shared" si="386"/>
        <v>1.3598642855443031</v>
      </c>
      <c r="DJ140" s="545">
        <f t="shared" si="387"/>
        <v>297.6749999999999</v>
      </c>
      <c r="DK140" s="528">
        <f t="shared" si="388"/>
        <v>0.26320462482489204</v>
      </c>
      <c r="DM140" s="173">
        <f t="shared" si="389"/>
        <v>2.0493901531919194</v>
      </c>
      <c r="DN140" s="173">
        <f t="shared" si="390"/>
        <v>2.4811920570327075</v>
      </c>
      <c r="DO140" s="173">
        <f t="shared" si="391"/>
        <v>1.3918295072670261</v>
      </c>
      <c r="DQ140" s="545">
        <f t="shared" si="392"/>
        <v>300</v>
      </c>
      <c r="DR140" s="460">
        <f t="shared" si="393"/>
        <v>233.90619685964774</v>
      </c>
      <c r="DT140">
        <f t="shared" si="430"/>
        <v>300</v>
      </c>
      <c r="DU140">
        <f t="shared" si="431"/>
        <v>233.90619685964774</v>
      </c>
      <c r="DW140" s="5">
        <f t="shared" si="394"/>
        <v>4.2752180721404169</v>
      </c>
      <c r="DX140" s="5">
        <f t="shared" si="395"/>
        <v>2.7568800633696751</v>
      </c>
      <c r="DY140" s="5">
        <f t="shared" si="396"/>
        <v>1.5183380087707419</v>
      </c>
      <c r="DZ140" s="5"/>
      <c r="EA140" s="173">
        <f t="shared" si="397"/>
        <v>0.64485133082098534</v>
      </c>
      <c r="EB140" s="173">
        <f t="shared" si="398"/>
        <v>7.1999999999999984</v>
      </c>
      <c r="EC140" s="173">
        <f t="shared" si="399"/>
        <v>0.29387755102040808</v>
      </c>
      <c r="ED140" s="173">
        <f t="shared" si="400"/>
        <v>24.5</v>
      </c>
      <c r="EE140" s="460">
        <f t="shared" si="401"/>
        <v>3.4461000792120942</v>
      </c>
      <c r="EF140" s="5">
        <f t="shared" si="402"/>
        <v>1.0122253391804943</v>
      </c>
      <c r="EH140" s="173">
        <f t="shared" si="403"/>
        <v>1.1503488298848501</v>
      </c>
      <c r="EI140" s="173">
        <f t="shared" si="404"/>
        <v>0.56941733519829107</v>
      </c>
      <c r="EK140" s="528">
        <f t="shared" si="405"/>
        <v>5.2932097216697754E-2</v>
      </c>
      <c r="EL140" s="528">
        <f t="shared" si="406"/>
        <v>0.404452125</v>
      </c>
      <c r="EM140" s="528">
        <f t="shared" si="407"/>
        <v>4.6781239371929545E-2</v>
      </c>
      <c r="EN140" s="528">
        <f t="shared" si="408"/>
        <v>2.628720500273438E-2</v>
      </c>
      <c r="EO140">
        <f t="shared" si="409"/>
        <v>4.0499999999999998E-3</v>
      </c>
      <c r="EP140" s="460">
        <f t="shared" si="410"/>
        <v>50.831239371929541</v>
      </c>
      <c r="EQ140" s="460"/>
      <c r="ER140" s="460">
        <f t="shared" si="432"/>
        <v>534.50266659136173</v>
      </c>
      <c r="ES140" s="528">
        <f t="shared" si="411"/>
        <v>0.21</v>
      </c>
      <c r="EV140" s="460">
        <f t="shared" si="412"/>
        <v>210</v>
      </c>
      <c r="EW140" s="528">
        <f t="shared" si="413"/>
        <v>3.9699072912523316E-2</v>
      </c>
      <c r="EX140" s="528">
        <f t="shared" si="414"/>
        <v>9.7270830487296896E-3</v>
      </c>
      <c r="EY140" s="528">
        <f t="shared" si="415"/>
        <v>0.40571893711760876</v>
      </c>
      <c r="EZ140" s="528"/>
      <c r="FA140" s="528">
        <f t="shared" si="416"/>
        <v>0.28799999999999998</v>
      </c>
      <c r="FB140" s="460">
        <f t="shared" si="417"/>
        <v>743.14509307886169</v>
      </c>
      <c r="FC140" s="173">
        <f t="shared" si="418"/>
        <v>1.4876477596702233</v>
      </c>
      <c r="FD140" s="5">
        <f t="shared" si="419"/>
        <v>7.1999999999999993</v>
      </c>
      <c r="FE140" s="173">
        <f t="shared" si="420"/>
        <v>0.82876288256342789</v>
      </c>
      <c r="FF140" s="5">
        <f t="shared" si="421"/>
        <v>82.876288256342789</v>
      </c>
      <c r="FI140" s="562">
        <f t="shared" si="422"/>
        <v>-50</v>
      </c>
      <c r="FJ140">
        <f t="shared" si="423"/>
        <v>-50</v>
      </c>
      <c r="FL140">
        <f t="shared" si="424"/>
        <v>0.35514866917901466</v>
      </c>
    </row>
    <row r="141" spans="5:168">
      <c r="E141" s="170">
        <v>31</v>
      </c>
      <c r="F141" s="217">
        <f t="shared" si="425"/>
        <v>0.31</v>
      </c>
      <c r="G141" s="217"/>
      <c r="H141" s="217">
        <f t="shared" si="315"/>
        <v>7.4399999999999995</v>
      </c>
      <c r="I141" s="541">
        <f t="shared" si="316"/>
        <v>8.9053786063799016</v>
      </c>
      <c r="J141" s="172">
        <f t="shared" si="317"/>
        <v>16.359541150222679</v>
      </c>
      <c r="K141" s="172">
        <f t="shared" si="318"/>
        <v>25.26491975660258</v>
      </c>
      <c r="L141" s="443"/>
      <c r="M141" s="217">
        <f t="shared" si="319"/>
        <v>0.64751199081822153</v>
      </c>
      <c r="N141" s="172">
        <f t="shared" si="426"/>
        <v>32.113064640127433</v>
      </c>
      <c r="O141" s="172">
        <f t="shared" si="438"/>
        <v>7.4399999999999995</v>
      </c>
      <c r="P141" s="217">
        <f t="shared" si="320"/>
        <v>1.3380443600053098</v>
      </c>
      <c r="Q141" s="217">
        <f t="shared" si="321"/>
        <v>24</v>
      </c>
      <c r="R141" s="217"/>
      <c r="S141" s="172">
        <f t="shared" si="322"/>
        <v>146.28868474173854</v>
      </c>
      <c r="T141" s="172">
        <f t="shared" si="323"/>
        <v>24</v>
      </c>
      <c r="U141" s="217">
        <f t="shared" si="324"/>
        <v>2.6370690865244324</v>
      </c>
      <c r="V141" s="217">
        <f t="shared" si="325"/>
        <v>2.9612094028604359</v>
      </c>
      <c r="W141" s="217">
        <f t="shared" si="326"/>
        <v>1.6119456299595163</v>
      </c>
      <c r="X141" s="197">
        <f t="shared" si="327"/>
        <v>259.48848889215316</v>
      </c>
      <c r="Y141" s="443">
        <f t="shared" si="328"/>
        <v>209.50503244165651</v>
      </c>
      <c r="AA141" s="217">
        <f t="shared" si="329"/>
        <v>2.2222222222222228</v>
      </c>
      <c r="AB141" s="173">
        <f t="shared" si="330"/>
        <v>1.3583646398248617</v>
      </c>
      <c r="AC141" s="173">
        <f t="shared" si="331"/>
        <v>0.26122683536782493</v>
      </c>
      <c r="AD141" s="173"/>
      <c r="AE141" s="173">
        <f t="shared" si="332"/>
        <v>1.3583646398248614</v>
      </c>
      <c r="AF141" s="545">
        <f t="shared" si="333"/>
        <v>307.93709016648523</v>
      </c>
      <c r="AG141" s="528">
        <f t="shared" si="334"/>
        <v>0.26122683536782487</v>
      </c>
      <c r="AI141" s="173">
        <f t="shared" si="335"/>
        <v>2.0844163201354617</v>
      </c>
      <c r="AJ141" s="173">
        <f t="shared" si="336"/>
        <v>2.6370690865244324</v>
      </c>
      <c r="AK141" s="173">
        <f t="shared" si="337"/>
        <v>1.5072939735571926</v>
      </c>
      <c r="AM141" s="545">
        <f t="shared" si="338"/>
        <v>310</v>
      </c>
      <c r="AN141" s="460">
        <f t="shared" si="339"/>
        <v>209.50503244165651</v>
      </c>
      <c r="AP141" s="460">
        <f t="shared" si="340"/>
        <v>310</v>
      </c>
      <c r="AQ141" s="460">
        <f t="shared" si="341"/>
        <v>209.50503244165651</v>
      </c>
      <c r="AS141" s="5">
        <f t="shared" si="439"/>
        <v>4.7731550328199521</v>
      </c>
      <c r="AT141" s="5">
        <f t="shared" si="342"/>
        <v>2.9612094028604359</v>
      </c>
      <c r="AU141" s="5">
        <f t="shared" si="343"/>
        <v>1.8119456299595162</v>
      </c>
      <c r="AV141" s="5"/>
      <c r="AW141" s="173">
        <f t="shared" si="344"/>
        <v>0.62038827201281388</v>
      </c>
      <c r="AX141" s="173">
        <f t="shared" si="435"/>
        <v>7.2846296833923967</v>
      </c>
      <c r="AY141" s="173">
        <f t="shared" si="436"/>
        <v>0.33385429464450295</v>
      </c>
      <c r="AZ141" s="173">
        <f t="shared" si="440"/>
        <v>21.819787255243391</v>
      </c>
      <c r="BA141" s="460">
        <f t="shared" si="433"/>
        <v>3.8248954786947298</v>
      </c>
      <c r="BB141" s="5">
        <f t="shared" si="434"/>
        <v>1.2614918918439699</v>
      </c>
      <c r="BD141" s="173">
        <f t="shared" si="441"/>
        <v>1.1992028995633668</v>
      </c>
      <c r="BE141" s="173">
        <f t="shared" si="437"/>
        <v>0.62568612586693562</v>
      </c>
      <c r="BG141" s="528">
        <f t="shared" si="347"/>
        <v>5.7523503772847456E-2</v>
      </c>
      <c r="BH141" s="528">
        <f t="shared" si="348"/>
        <v>0.31406273505150367</v>
      </c>
      <c r="BI141" s="528">
        <f t="shared" si="349"/>
        <v>7.4628865353394191E-2</v>
      </c>
      <c r="BJ141" s="528">
        <f t="shared" si="350"/>
        <v>2.3402828744456147E-2</v>
      </c>
      <c r="BK141">
        <f t="shared" si="351"/>
        <v>4.0074203728709557E-3</v>
      </c>
      <c r="BL141" s="460">
        <f t="shared" si="427"/>
        <v>78.636285726265143</v>
      </c>
      <c r="BM141" s="528">
        <f t="shared" si="352"/>
        <v>0.41620898505894194</v>
      </c>
      <c r="BN141" s="460">
        <f t="shared" si="353"/>
        <v>416.20898505894195</v>
      </c>
      <c r="BO141" s="528">
        <f t="shared" si="354"/>
        <v>0.217</v>
      </c>
      <c r="BR141" s="460">
        <f t="shared" si="355"/>
        <v>217</v>
      </c>
      <c r="BS141" s="528">
        <f t="shared" si="356"/>
        <v>4.3142627829635592E-2</v>
      </c>
      <c r="BT141" s="528">
        <f t="shared" si="357"/>
        <v>1.1744493843071243E-2</v>
      </c>
      <c r="BU141" s="528">
        <f t="shared" si="358"/>
        <v>0.35872357757225182</v>
      </c>
      <c r="BV141" s="528"/>
      <c r="BW141" s="528">
        <f t="shared" si="359"/>
        <v>0.29138518733569585</v>
      </c>
      <c r="BX141" s="460">
        <f t="shared" si="360"/>
        <v>704.99588658065454</v>
      </c>
      <c r="BY141" s="173">
        <f t="shared" si="361"/>
        <v>1.3956212398757271</v>
      </c>
      <c r="BZ141" s="5">
        <f t="shared" si="362"/>
        <v>7.4399999999999995</v>
      </c>
      <c r="CA141" s="173">
        <f t="shared" si="363"/>
        <v>0.84204605403667621</v>
      </c>
      <c r="CB141" s="5">
        <f t="shared" si="364"/>
        <v>84.204605403667614</v>
      </c>
      <c r="CE141" s="562">
        <f t="shared" si="365"/>
        <v>-50</v>
      </c>
      <c r="CF141">
        <f t="shared" si="366"/>
        <v>-50</v>
      </c>
      <c r="CG141" s="173">
        <f t="shared" si="367"/>
        <v>0.3438306273954832</v>
      </c>
      <c r="CI141" s="170">
        <v>31</v>
      </c>
      <c r="CJ141" s="217">
        <f t="shared" si="428"/>
        <v>0.31</v>
      </c>
      <c r="CK141" s="217"/>
      <c r="CL141" s="217">
        <f t="shared" si="368"/>
        <v>7.4399999999999995</v>
      </c>
      <c r="CM141" s="541">
        <f t="shared" si="369"/>
        <v>9</v>
      </c>
      <c r="CN141" s="443">
        <f t="shared" si="370"/>
        <v>16.3415</v>
      </c>
      <c r="CO141" s="443">
        <f t="shared" si="371"/>
        <v>25.3415</v>
      </c>
      <c r="CP141" s="443"/>
      <c r="CQ141" s="217">
        <f t="shared" si="372"/>
        <v>0.64485133082098534</v>
      </c>
      <c r="CR141" s="172">
        <f t="shared" si="429"/>
        <v>32.320915977744015</v>
      </c>
      <c r="CS141" s="172">
        <f t="shared" si="373"/>
        <v>7.4399999999999995</v>
      </c>
      <c r="CT141" s="217">
        <f t="shared" si="374"/>
        <v>1.3467048324060007</v>
      </c>
      <c r="CU141" s="217">
        <f t="shared" si="375"/>
        <v>24</v>
      </c>
      <c r="CV141" s="217"/>
      <c r="CW141" s="172">
        <f t="shared" si="376"/>
        <v>147.84254925820321</v>
      </c>
      <c r="CX141" s="172">
        <f t="shared" si="377"/>
        <v>24</v>
      </c>
      <c r="CY141" s="217">
        <f t="shared" si="378"/>
        <v>2.5638984589337981</v>
      </c>
      <c r="CZ141" s="217">
        <f t="shared" si="379"/>
        <v>2.8487760654819976</v>
      </c>
      <c r="DA141" s="217">
        <f t="shared" si="380"/>
        <v>1.5689492757297665</v>
      </c>
      <c r="DB141" s="197">
        <f t="shared" si="381"/>
        <v>261.16478898249903</v>
      </c>
      <c r="DC141" s="443">
        <f t="shared" si="382"/>
        <v>226.36083567062687</v>
      </c>
      <c r="DE141" s="217">
        <f t="shared" si="383"/>
        <v>2.2222222222222223</v>
      </c>
      <c r="DF141" s="173">
        <f t="shared" si="384"/>
        <v>1.3598642855443031</v>
      </c>
      <c r="DG141" s="173">
        <f t="shared" si="385"/>
        <v>0.26320462482489204</v>
      </c>
      <c r="DH141" s="173"/>
      <c r="DI141" s="173">
        <f t="shared" si="386"/>
        <v>1.3598642855443031</v>
      </c>
      <c r="DJ141" s="545">
        <f t="shared" si="387"/>
        <v>307.59749999999991</v>
      </c>
      <c r="DK141" s="528">
        <f t="shared" si="388"/>
        <v>0.26320462482489204</v>
      </c>
      <c r="DM141" s="173">
        <f t="shared" si="389"/>
        <v>2.0832666655999654</v>
      </c>
      <c r="DN141" s="173">
        <f t="shared" si="390"/>
        <v>2.5638984589337981</v>
      </c>
      <c r="DO141" s="173">
        <f t="shared" si="391"/>
        <v>1.4530935086752412</v>
      </c>
      <c r="DQ141" s="545">
        <f t="shared" si="392"/>
        <v>310</v>
      </c>
      <c r="DR141" s="460">
        <f t="shared" si="393"/>
        <v>226.36083567062687</v>
      </c>
      <c r="DT141">
        <f t="shared" si="430"/>
        <v>310</v>
      </c>
      <c r="DU141">
        <f t="shared" si="431"/>
        <v>226.36083567062687</v>
      </c>
      <c r="DW141" s="5">
        <f t="shared" si="394"/>
        <v>4.4177253412117636</v>
      </c>
      <c r="DX141" s="5">
        <f t="shared" si="395"/>
        <v>2.8487760654819976</v>
      </c>
      <c r="DY141" s="5">
        <f t="shared" si="396"/>
        <v>1.5689492757297661</v>
      </c>
      <c r="DZ141" s="5"/>
      <c r="EA141" s="173">
        <f t="shared" si="397"/>
        <v>0.64485133082098545</v>
      </c>
      <c r="EB141" s="173">
        <f t="shared" si="398"/>
        <v>7.4400000000000013</v>
      </c>
      <c r="EC141" s="173">
        <f t="shared" si="399"/>
        <v>0.30367346938775497</v>
      </c>
      <c r="ED141" s="173">
        <f t="shared" si="400"/>
        <v>24.500000000000014</v>
      </c>
      <c r="EE141" s="460">
        <f t="shared" si="401"/>
        <v>3.6796690845809135</v>
      </c>
      <c r="EF141" s="5">
        <f t="shared" si="402"/>
        <v>1.0808317232805054</v>
      </c>
      <c r="EH141" s="173">
        <f t="shared" si="403"/>
        <v>1.1886937908810118</v>
      </c>
      <c r="EI141" s="173">
        <f t="shared" si="404"/>
        <v>0.58839791303823408</v>
      </c>
      <c r="EK141" s="528">
        <f t="shared" si="405"/>
        <v>5.6519717139162824E-2</v>
      </c>
      <c r="EL141" s="528">
        <f t="shared" si="406"/>
        <v>0.40445212500000011</v>
      </c>
      <c r="EM141" s="528">
        <f t="shared" si="407"/>
        <v>4.5272167134125373E-2</v>
      </c>
      <c r="EN141" s="528">
        <f t="shared" si="408"/>
        <v>2.5439230647807468E-2</v>
      </c>
      <c r="EO141">
        <f t="shared" si="409"/>
        <v>4.0499999999999998E-3</v>
      </c>
      <c r="EP141" s="460">
        <f t="shared" si="410"/>
        <v>49.322167134125372</v>
      </c>
      <c r="EQ141" s="460"/>
      <c r="ER141" s="460">
        <f t="shared" si="432"/>
        <v>535.73323992109579</v>
      </c>
      <c r="ES141" s="528">
        <f t="shared" si="411"/>
        <v>0.217</v>
      </c>
      <c r="EV141" s="460">
        <f t="shared" si="412"/>
        <v>217</v>
      </c>
      <c r="EW141" s="528">
        <f t="shared" si="413"/>
        <v>4.2389787854372113E-2</v>
      </c>
      <c r="EX141" s="528">
        <f t="shared" si="414"/>
        <v>1.0386363122032477E-2</v>
      </c>
      <c r="EY141" s="528">
        <f t="shared" si="415"/>
        <v>0.40571893711761003</v>
      </c>
      <c r="EZ141" s="528"/>
      <c r="FA141" s="528">
        <f t="shared" si="416"/>
        <v>0.29760000000000003</v>
      </c>
      <c r="FB141" s="460">
        <f t="shared" si="417"/>
        <v>756.09508809401473</v>
      </c>
      <c r="FC141" s="173">
        <f t="shared" si="418"/>
        <v>1.5088283280151105</v>
      </c>
      <c r="FD141" s="5">
        <f t="shared" si="419"/>
        <v>7.4399999999999995</v>
      </c>
      <c r="FE141" s="173">
        <f t="shared" si="420"/>
        <v>0.83139375651094027</v>
      </c>
      <c r="FF141" s="5">
        <f t="shared" si="421"/>
        <v>83.139375651094028</v>
      </c>
      <c r="FI141" s="562">
        <f t="shared" si="422"/>
        <v>-50</v>
      </c>
      <c r="FJ141">
        <f t="shared" si="423"/>
        <v>-50</v>
      </c>
      <c r="FL141">
        <f t="shared" si="424"/>
        <v>0.35514866917901455</v>
      </c>
    </row>
    <row r="142" spans="5:168">
      <c r="E142" s="170">
        <v>32</v>
      </c>
      <c r="F142" s="217">
        <f t="shared" si="425"/>
        <v>0.32</v>
      </c>
      <c r="G142" s="217"/>
      <c r="H142" s="217">
        <f t="shared" ref="H142:H173" si="442">F142*Vout</f>
        <v>7.68</v>
      </c>
      <c r="I142" s="541">
        <f t="shared" ref="I142:I173" si="443">VIN_min-F142*(Rdcr_pri+RON/1000)/CG142/Nps</f>
        <v>8.9024266742701652</v>
      </c>
      <c r="J142" s="172">
        <f t="shared" ref="J142:J173" si="444">(T142+Vfwd1+F142/CG142*Rdcr_sec)*Nps</f>
        <v>16.360103985418839</v>
      </c>
      <c r="K142" s="172">
        <f t="shared" ref="K142:K173" si="445">(Vout+Vfwd1+F142/CG142*Rdcr_sec)*Nps++I142</f>
        <v>25.262530659689006</v>
      </c>
      <c r="L142" s="443"/>
      <c r="M142" s="217">
        <f t="shared" ref="M142:M173" si="446">(Vout+Vfwd1+F142/FL142*Rdcr_sec)*Nps/((Vout+Vfwd1+F142/FL142*Rdcr_sec)*Nps+I142)</f>
        <v>0.64759551611319266</v>
      </c>
      <c r="N142" s="172">
        <f t="shared" ref="N142:N173" si="447">M142*I142*(Isw_max+VIN_min/Lmag*ILIM_delay)*0.5*Efficiency</f>
        <v>32.106560909800137</v>
      </c>
      <c r="O142" s="172">
        <f t="shared" si="438"/>
        <v>7.68</v>
      </c>
      <c r="P142" s="217">
        <f t="shared" ref="P142:P172" si="448">N142/Vout</f>
        <v>1.3377733712416724</v>
      </c>
      <c r="Q142" s="217">
        <f t="shared" ref="Q142:Q173" si="449">MIN(Vout,N142/F142)</f>
        <v>24</v>
      </c>
      <c r="R142" s="217"/>
      <c r="S142" s="172">
        <f t="shared" ref="S142:S173" si="450">(SQRT(Isw_max^2*Nps^2*I142^2+4*Isw_max*F142/Efficiency*(Nps^2*Vfwd1*I142-Nps*I142^2)+4*(F142/Efficiency)^2*Nps^2*Vfwd1^2+8*(F142/Efficiency)^2*Nps*Vfwd1*I142+4*(F142/Efficiency)^2*I142^2)-2*F142/Efficiency*I142-2*F142/Efficiency*Nps*Vfwd1+Isw_max*Nps*I142)/(4*F142/Efficiency*Nps)</f>
        <v>141.25612933375555</v>
      </c>
      <c r="T142" s="172">
        <f t="shared" ref="T142:T173" si="451">MIN(Vout, S142)</f>
        <v>24</v>
      </c>
      <c r="U142" s="217">
        <f t="shared" ref="U142:U173" si="452">MIN(2*(Vout+Vfwd1+F142/FL142*Rdcr_sec)*F142/(I142*M142), Isw_max)</f>
        <v>2.7227810194045623</v>
      </c>
      <c r="V142" s="217">
        <f t="shared" ref="V142:V173" si="453">L*U142/I142*1000000</f>
        <v>3.058470593500036</v>
      </c>
      <c r="W142" s="217">
        <f t="shared" ref="W142:W173" si="454">L*U142/J142*1000000</f>
        <v>1.6642809983550702</v>
      </c>
      <c r="X142" s="197">
        <f t="shared" ref="X142:X173" si="455">IF(1/((350000*L)*(1/I142+1/J142))&gt;Isw_min, 350, 0.001/((Isw_min*L)*(1/I142+1/J142)))</f>
        <v>259.43593155420905</v>
      </c>
      <c r="Y142" s="443">
        <f t="shared" si="328"/>
        <v>203.13842397705807</v>
      </c>
      <c r="AA142" s="217">
        <f t="shared" ref="AA142:AA173" si="456">1/((X142*1000*L)*(1/I142+1/J142))</f>
        <v>2.2222222222222219</v>
      </c>
      <c r="AB142" s="173">
        <f t="shared" ref="AB142:AB173" si="457">L*AA142/J142*1000000</f>
        <v>1.3583179081274832</v>
      </c>
      <c r="AC142" s="173">
        <f t="shared" ref="AC142:AC173" si="458">0.5*AB142*AA142*Nps*X142/1000</f>
        <v>0.2611649407983252</v>
      </c>
      <c r="AD142" s="173"/>
      <c r="AE142" s="173">
        <f t="shared" ref="AE142:AE173" si="459">L*Isw_min/J142*1000000</f>
        <v>1.3583179081274837</v>
      </c>
      <c r="AF142" s="545">
        <f t="shared" ref="AF142:AF173" si="460">MAX(12000,F142/(0.5*AE142/1000000*Isw_min*Nps))/1000</f>
        <v>317.88148073617401</v>
      </c>
      <c r="AG142" s="528">
        <f t="shared" ref="AG142:AG173" si="461">0.5*AE142/1000000*Isw_min*Nps*X142*1000</f>
        <v>0.26116494079832542</v>
      </c>
      <c r="AI142" s="173">
        <f t="shared" ref="AI142:AI173" si="462">SQRT(F142/(0.5*L/J142*Fsw_DCM*Nps))</f>
        <v>2.1178055286783337</v>
      </c>
      <c r="AJ142" s="173">
        <f t="shared" ref="AJ142:AJ173" si="463">MAX(IF(F142&gt;AC142,U142,AI142),Isw_min)</f>
        <v>2.7227810194045623</v>
      </c>
      <c r="AK142" s="173">
        <f t="shared" ref="AK142:AK173" si="464">IF(F142&gt;AG142, (AJ142-Isw_min)/1.08*0.8+1.2, AF142*0.2/350+1)</f>
        <v>1.5707842942091408</v>
      </c>
      <c r="AM142" s="545">
        <f t="shared" ref="AM142:AM173" si="465">F142*1000</f>
        <v>320</v>
      </c>
      <c r="AN142" s="460">
        <f t="shared" ref="AN142:AN173" si="466">IF(F142&gt;AG142, Y142, AF142)</f>
        <v>203.13842397705807</v>
      </c>
      <c r="AP142" s="460">
        <f t="shared" ref="AP142:AP173" si="467">IF(H142&gt;N142, "",AM142)</f>
        <v>320</v>
      </c>
      <c r="AQ142" s="460">
        <f t="shared" ref="AQ142:AQ173" si="468">IF(H142&gt;N142, "",AN142)</f>
        <v>203.13842397705807</v>
      </c>
      <c r="AS142" s="5">
        <f t="shared" si="439"/>
        <v>4.9227515918551061</v>
      </c>
      <c r="AT142" s="5">
        <f t="shared" ref="AT142:AT173" si="469">L*AJ142/I142*1000000</f>
        <v>3.058470593500036</v>
      </c>
      <c r="AU142" s="5">
        <f t="shared" si="343"/>
        <v>1.8642809983550701</v>
      </c>
      <c r="AV142" s="5"/>
      <c r="AW142" s="173">
        <f t="shared" si="344"/>
        <v>0.6212928961437747</v>
      </c>
      <c r="AX142" s="173">
        <f t="shared" si="435"/>
        <v>7.5298705828420713</v>
      </c>
      <c r="AY142" s="173">
        <f t="shared" si="436"/>
        <v>0.34388402751684977</v>
      </c>
      <c r="AZ142" s="173">
        <f t="shared" si="440"/>
        <v>21.896540636721255</v>
      </c>
      <c r="BA142" s="460">
        <f t="shared" si="433"/>
        <v>4.077960791333382</v>
      </c>
      <c r="BB142" s="5">
        <f t="shared" si="434"/>
        <v>1.3402411304275754</v>
      </c>
      <c r="BD142" s="173">
        <f t="shared" si="441"/>
        <v>1.2390826647291253</v>
      </c>
      <c r="BE142" s="173">
        <f t="shared" si="437"/>
        <v>0.6452524272461212</v>
      </c>
      <c r="BG142" s="528">
        <f t="shared" si="347"/>
        <v>6.1413034001289203E-2</v>
      </c>
      <c r="BH142" s="528">
        <f t="shared" ref="BH142:BH173" si="470">0.5*K142*AJ142*AN142*1000*Tfall</f>
        <v>0.31438669984140677</v>
      </c>
      <c r="BI142" s="528">
        <f t="shared" ref="BI142:BI173" si="471">Qg*Vdd*AN142*1000*0+Qg*I142*AN142*1000</f>
        <v>7.2336996967302558E-2</v>
      </c>
      <c r="BJ142" s="528">
        <f t="shared" si="350"/>
        <v>2.2687353322446396E-2</v>
      </c>
      <c r="BK142">
        <f t="shared" si="351"/>
        <v>4.0060920034215739E-3</v>
      </c>
      <c r="BL142" s="460">
        <f t="shared" si="427"/>
        <v>76.343088970724125</v>
      </c>
      <c r="BM142" s="528">
        <f t="shared" ref="BM142:BM173" si="472">(BH142+BI142*0+BJ142+BK142*0+BG142*(1+RdsonTC*(Ta-25)))/(1-BG142*RdsonTC*ThetaJA)</f>
        <v>0.42121486279276282</v>
      </c>
      <c r="BN142" s="460">
        <f t="shared" si="353"/>
        <v>421.2148627927628</v>
      </c>
      <c r="BO142" s="528">
        <f t="shared" si="354"/>
        <v>0.22399999999999998</v>
      </c>
      <c r="BR142" s="460">
        <f t="shared" si="355"/>
        <v>223.99999999999997</v>
      </c>
      <c r="BS142" s="528">
        <f t="shared" si="356"/>
        <v>4.6059775500966897E-2</v>
      </c>
      <c r="BT142" s="528">
        <f t="shared" si="357"/>
        <v>1.2490520846010328E-2</v>
      </c>
      <c r="BU142" s="528">
        <f t="shared" si="358"/>
        <v>0.35973441455905791</v>
      </c>
      <c r="BV142" s="528"/>
      <c r="BW142" s="528">
        <f t="shared" si="359"/>
        <v>0.30119482331368286</v>
      </c>
      <c r="BX142" s="460">
        <f t="shared" si="360"/>
        <v>719.47953421971795</v>
      </c>
      <c r="BY142" s="173">
        <f t="shared" si="361"/>
        <v>1.4183097103555844</v>
      </c>
      <c r="BZ142" s="5">
        <f t="shared" si="362"/>
        <v>7.68</v>
      </c>
      <c r="CA142" s="173">
        <f t="shared" si="363"/>
        <v>0.84411283463550579</v>
      </c>
      <c r="CB142" s="5">
        <f t="shared" si="364"/>
        <v>84.411283463550575</v>
      </c>
      <c r="CE142" s="562">
        <f t="shared" ref="CE142:CE173" si="473">IF(ABS(F142-Ioutmax_Vinmin)&lt;Iout/200, AN142, -50)</f>
        <v>-50</v>
      </c>
      <c r="CF142">
        <f t="shared" ref="CF142:CF173" si="474">IF(ABS(F142-Ioutmax_Vinmin)&lt;Iout/200, N142*CA142, -50)</f>
        <v>-50</v>
      </c>
      <c r="CG142" s="173">
        <f t="shared" ref="CG142:CG173" si="475">MIN(SQRT(2*DU142*1000*Ls1_*CL142)/CU142,1-EA142-0.00000005*DU142*1000)</f>
        <v>0.34418431620121859</v>
      </c>
      <c r="CI142" s="170">
        <v>32</v>
      </c>
      <c r="CJ142" s="217">
        <f t="shared" si="428"/>
        <v>0.32</v>
      </c>
      <c r="CK142" s="217"/>
      <c r="CL142" s="217">
        <f t="shared" si="368"/>
        <v>7.68</v>
      </c>
      <c r="CM142" s="541">
        <f t="shared" si="369"/>
        <v>9</v>
      </c>
      <c r="CN142" s="443">
        <f t="shared" si="370"/>
        <v>16.3415</v>
      </c>
      <c r="CO142" s="443">
        <f t="shared" si="371"/>
        <v>25.3415</v>
      </c>
      <c r="CP142" s="443"/>
      <c r="CQ142" s="217">
        <f t="shared" si="372"/>
        <v>0.64485133082098534</v>
      </c>
      <c r="CR142" s="172">
        <f t="shared" si="429"/>
        <v>32.320915977744015</v>
      </c>
      <c r="CS142" s="172">
        <f t="shared" si="373"/>
        <v>7.68</v>
      </c>
      <c r="CT142" s="217">
        <f t="shared" si="374"/>
        <v>1.3467048324060007</v>
      </c>
      <c r="CU142" s="217">
        <f t="shared" si="375"/>
        <v>24</v>
      </c>
      <c r="CV142" s="217"/>
      <c r="CW142" s="172">
        <f t="shared" si="376"/>
        <v>142.80382580722252</v>
      </c>
      <c r="CX142" s="172">
        <f t="shared" si="377"/>
        <v>24</v>
      </c>
      <c r="CY142" s="217">
        <f t="shared" si="378"/>
        <v>2.6466048608348882</v>
      </c>
      <c r="CZ142" s="217">
        <f t="shared" si="379"/>
        <v>2.9406720675943201</v>
      </c>
      <c r="DA142" s="217">
        <f t="shared" si="380"/>
        <v>1.6195605426887913</v>
      </c>
      <c r="DB142" s="197">
        <f t="shared" si="381"/>
        <v>261.16478898249903</v>
      </c>
      <c r="DC142" s="443">
        <f t="shared" si="382"/>
        <v>219.28705955591977</v>
      </c>
      <c r="DE142" s="217">
        <f t="shared" si="383"/>
        <v>2.2222222222222223</v>
      </c>
      <c r="DF142" s="173">
        <f t="shared" si="384"/>
        <v>1.3598642855443031</v>
      </c>
      <c r="DG142" s="173">
        <f t="shared" si="385"/>
        <v>0.26320462482489204</v>
      </c>
      <c r="DH142" s="173"/>
      <c r="DI142" s="173">
        <f t="shared" si="386"/>
        <v>1.3598642855443031</v>
      </c>
      <c r="DJ142" s="545">
        <f t="shared" si="387"/>
        <v>317.51999999999987</v>
      </c>
      <c r="DK142" s="528">
        <f t="shared" si="388"/>
        <v>0.26320462482489204</v>
      </c>
      <c r="DM142" s="173">
        <f t="shared" si="389"/>
        <v>2.1166010488516722</v>
      </c>
      <c r="DN142" s="173">
        <f t="shared" si="390"/>
        <v>2.6466048608348882</v>
      </c>
      <c r="DO142" s="173">
        <f t="shared" si="391"/>
        <v>1.5143575100834561</v>
      </c>
      <c r="DQ142" s="545">
        <f t="shared" si="392"/>
        <v>320</v>
      </c>
      <c r="DR142" s="460">
        <f t="shared" si="393"/>
        <v>219.28705955591977</v>
      </c>
      <c r="DT142">
        <f t="shared" si="430"/>
        <v>320</v>
      </c>
      <c r="DU142">
        <f t="shared" si="431"/>
        <v>219.28705955591977</v>
      </c>
      <c r="DW142" s="5">
        <f t="shared" si="394"/>
        <v>4.5602326102831103</v>
      </c>
      <c r="DX142" s="5">
        <f t="shared" si="395"/>
        <v>2.9406720675943201</v>
      </c>
      <c r="DY142" s="5">
        <f t="shared" si="396"/>
        <v>1.6195605426887902</v>
      </c>
      <c r="DZ142" s="5"/>
      <c r="EA142" s="173">
        <f t="shared" si="397"/>
        <v>0.64485133082098545</v>
      </c>
      <c r="EB142" s="173">
        <f t="shared" si="398"/>
        <v>7.6800000000000006</v>
      </c>
      <c r="EC142" s="173">
        <f t="shared" si="399"/>
        <v>0.31346938775510191</v>
      </c>
      <c r="ED142" s="173">
        <f t="shared" si="400"/>
        <v>24.500000000000011</v>
      </c>
      <c r="EE142" s="460">
        <f t="shared" si="401"/>
        <v>3.9208960901257601</v>
      </c>
      <c r="EF142" s="5">
        <f t="shared" si="402"/>
        <v>1.1516874970231394</v>
      </c>
      <c r="EH142" s="173">
        <f t="shared" si="403"/>
        <v>1.2270387518771735</v>
      </c>
      <c r="EI142" s="173">
        <f t="shared" si="404"/>
        <v>0.60737849087817708</v>
      </c>
      <c r="EK142" s="528">
        <f t="shared" si="405"/>
        <v>6.0224963944331668E-2</v>
      </c>
      <c r="EL142" s="528">
        <f t="shared" si="406"/>
        <v>0.40445212500000005</v>
      </c>
      <c r="EM142" s="528">
        <f t="shared" si="407"/>
        <v>4.3857411911183954E-2</v>
      </c>
      <c r="EN142" s="528">
        <f t="shared" si="408"/>
        <v>2.4644254690063483E-2</v>
      </c>
      <c r="EO142">
        <f t="shared" si="409"/>
        <v>4.0499999999999998E-3</v>
      </c>
      <c r="EP142" s="460">
        <f t="shared" si="410"/>
        <v>47.907411911183949</v>
      </c>
      <c r="EQ142" s="460"/>
      <c r="ER142" s="460">
        <f t="shared" si="432"/>
        <v>537.22875554557913</v>
      </c>
      <c r="ES142" s="528">
        <f t="shared" si="411"/>
        <v>0.22399999999999998</v>
      </c>
      <c r="EV142" s="460">
        <f t="shared" si="412"/>
        <v>223.99999999999997</v>
      </c>
      <c r="EW142" s="528">
        <f t="shared" si="413"/>
        <v>4.5168722958248746E-2</v>
      </c>
      <c r="EX142" s="528">
        <f t="shared" si="414"/>
        <v>1.1067258935443554E-2</v>
      </c>
      <c r="EY142" s="528">
        <f t="shared" si="415"/>
        <v>0.40571893711760892</v>
      </c>
      <c r="EZ142" s="528"/>
      <c r="FA142" s="528">
        <f t="shared" si="416"/>
        <v>0.30720000000000003</v>
      </c>
      <c r="FB142" s="460">
        <f t="shared" si="417"/>
        <v>769.15491901130122</v>
      </c>
      <c r="FC142" s="173">
        <f t="shared" si="418"/>
        <v>1.5303836745568802</v>
      </c>
      <c r="FD142" s="5">
        <f t="shared" si="419"/>
        <v>7.68</v>
      </c>
      <c r="FE142" s="173">
        <f t="shared" si="420"/>
        <v>0.83384148493352439</v>
      </c>
      <c r="FF142" s="5">
        <f t="shared" si="421"/>
        <v>83.384148493352441</v>
      </c>
      <c r="FI142" s="562">
        <f t="shared" si="422"/>
        <v>-50</v>
      </c>
      <c r="FJ142">
        <f t="shared" si="423"/>
        <v>-50</v>
      </c>
      <c r="FL142">
        <f t="shared" ref="FL142:FL173" si="476">MIN(SQRT(2*L*DR142*1000*CJ142*(CX142+Vfwd1))/(Nps*(CX142+Vfwd1)), 1-EA142)</f>
        <v>0.35514866917901455</v>
      </c>
    </row>
    <row r="143" spans="5:168">
      <c r="E143" s="170">
        <v>33</v>
      </c>
      <c r="F143" s="217">
        <f t="shared" ref="F143:F174" si="477">IF(PLOT_TYPE=1, E143/100*Iout_max, min_I*EXP(N143*rr/100))</f>
        <v>0.33</v>
      </c>
      <c r="G143" s="217"/>
      <c r="H143" s="217">
        <f t="shared" si="442"/>
        <v>7.92</v>
      </c>
      <c r="I143" s="541">
        <f t="shared" si="443"/>
        <v>8.8994745485642337</v>
      </c>
      <c r="J143" s="172">
        <f t="shared" si="444"/>
        <v>16.360666857527345</v>
      </c>
      <c r="K143" s="172">
        <f t="shared" si="445"/>
        <v>25.260141406091577</v>
      </c>
      <c r="L143" s="443"/>
      <c r="M143" s="217">
        <f t="shared" si="446"/>
        <v>0.64767906216820037</v>
      </c>
      <c r="N143" s="172">
        <f t="shared" si="447"/>
        <v>32.100054763857237</v>
      </c>
      <c r="O143" s="172">
        <f t="shared" si="438"/>
        <v>7.92</v>
      </c>
      <c r="P143" s="217">
        <f t="shared" si="448"/>
        <v>1.337502281827385</v>
      </c>
      <c r="Q143" s="217">
        <f t="shared" si="449"/>
        <v>24</v>
      </c>
      <c r="R143" s="217"/>
      <c r="S143" s="172">
        <f t="shared" si="450"/>
        <v>136.5289484115134</v>
      </c>
      <c r="T143" s="172">
        <f t="shared" si="451"/>
        <v>24</v>
      </c>
      <c r="U143" s="217">
        <f t="shared" si="452"/>
        <v>2.8085337575046654</v>
      </c>
      <c r="V143" s="217">
        <f t="shared" si="453"/>
        <v>3.155842226615245</v>
      </c>
      <c r="W143" s="217">
        <f t="shared" si="454"/>
        <v>1.7166377030728996</v>
      </c>
      <c r="X143" s="197">
        <f t="shared" si="455"/>
        <v>259.38335490650019</v>
      </c>
      <c r="Y143" s="443">
        <f t="shared" si="328"/>
        <v>197.14222902040734</v>
      </c>
      <c r="AA143" s="217">
        <f t="shared" si="456"/>
        <v>2.2222222222222223</v>
      </c>
      <c r="AB143" s="173">
        <f t="shared" si="457"/>
        <v>1.3582711765809259</v>
      </c>
      <c r="AC143" s="173">
        <f t="shared" si="458"/>
        <v>0.26110303046050892</v>
      </c>
      <c r="AD143" s="173"/>
      <c r="AE143" s="173">
        <f t="shared" si="459"/>
        <v>1.3582711765809259</v>
      </c>
      <c r="AF143" s="545">
        <f t="shared" si="460"/>
        <v>327.82655554850504</v>
      </c>
      <c r="AG143" s="528">
        <f t="shared" si="461"/>
        <v>0.26110303046050898</v>
      </c>
      <c r="AI143" s="173">
        <f t="shared" si="462"/>
        <v>2.1506786773414452</v>
      </c>
      <c r="AJ143" s="173">
        <f t="shared" si="463"/>
        <v>2.8085337575046654</v>
      </c>
      <c r="AK143" s="173">
        <f t="shared" si="464"/>
        <v>1.6343048409499579</v>
      </c>
      <c r="AM143" s="545">
        <f t="shared" si="465"/>
        <v>330</v>
      </c>
      <c r="AN143" s="460">
        <f t="shared" si="466"/>
        <v>197.14222902040734</v>
      </c>
      <c r="AP143" s="460">
        <f t="shared" si="467"/>
        <v>330</v>
      </c>
      <c r="AQ143" s="460">
        <f t="shared" si="468"/>
        <v>197.14222902040734</v>
      </c>
      <c r="AS143" s="5">
        <f t="shared" si="439"/>
        <v>5.0724799296881447</v>
      </c>
      <c r="AT143" s="5">
        <f t="shared" si="469"/>
        <v>3.155842226615245</v>
      </c>
      <c r="AU143" s="5">
        <f t="shared" si="343"/>
        <v>1.9166377030728996</v>
      </c>
      <c r="AV143" s="5"/>
      <c r="AW143" s="173">
        <f t="shared" si="344"/>
        <v>0.62214977099165492</v>
      </c>
      <c r="AX143" s="173">
        <f t="shared" si="435"/>
        <v>7.7751533533699169</v>
      </c>
      <c r="AY143" s="173">
        <f t="shared" si="436"/>
        <v>0.35391190867084371</v>
      </c>
      <c r="AZ143" s="173">
        <f t="shared" si="440"/>
        <v>21.969176969970825</v>
      </c>
      <c r="BA143" s="460">
        <f t="shared" si="433"/>
        <v>4.3392830615959621</v>
      </c>
      <c r="BB143" s="5">
        <f t="shared" si="434"/>
        <v>1.4214107553486905</v>
      </c>
      <c r="BD143" s="173">
        <f t="shared" si="441"/>
        <v>1.2789880705978434</v>
      </c>
      <c r="BE143" s="173">
        <f t="shared" si="437"/>
        <v>0.66482095482963266</v>
      </c>
      <c r="BG143" s="528">
        <f t="shared" si="347"/>
        <v>6.5432419389263766E-2</v>
      </c>
      <c r="BH143" s="528">
        <f t="shared" si="470"/>
        <v>0.31468613359521003</v>
      </c>
      <c r="BI143" s="528">
        <f t="shared" si="471"/>
        <v>7.0178489984573461E-2</v>
      </c>
      <c r="BJ143" s="528">
        <f t="shared" si="350"/>
        <v>2.2013508524935634E-2</v>
      </c>
      <c r="BK143">
        <f t="shared" si="351"/>
        <v>4.0047635468539048E-3</v>
      </c>
      <c r="BL143" s="460">
        <f t="shared" si="427"/>
        <v>74.183253531427368</v>
      </c>
      <c r="BM143" s="528">
        <f t="shared" si="472"/>
        <v>0.42642838722328469</v>
      </c>
      <c r="BN143" s="460">
        <f t="shared" si="353"/>
        <v>426.42838722328469</v>
      </c>
      <c r="BO143" s="528">
        <f t="shared" si="354"/>
        <v>0.23099999999999998</v>
      </c>
      <c r="BR143" s="460">
        <f t="shared" si="355"/>
        <v>230.99999999999997</v>
      </c>
      <c r="BS143" s="528">
        <f t="shared" si="356"/>
        <v>4.9074314541947814E-2</v>
      </c>
      <c r="BT143" s="528">
        <f t="shared" si="357"/>
        <v>1.3259607059417535E-2</v>
      </c>
      <c r="BU143" s="528">
        <f t="shared" si="358"/>
        <v>0.36067686135517119</v>
      </c>
      <c r="BV143" s="528"/>
      <c r="BW143" s="528">
        <f t="shared" si="359"/>
        <v>0.31100613413479666</v>
      </c>
      <c r="BX143" s="460">
        <f t="shared" si="360"/>
        <v>734.0169170913332</v>
      </c>
      <c r="BY143" s="173">
        <f t="shared" si="361"/>
        <v>1.44133223213217</v>
      </c>
      <c r="BZ143" s="5">
        <f t="shared" si="362"/>
        <v>7.92</v>
      </c>
      <c r="CA143" s="173">
        <f t="shared" si="363"/>
        <v>0.84603342810707105</v>
      </c>
      <c r="CB143" s="5">
        <f t="shared" si="364"/>
        <v>84.603342810707105</v>
      </c>
      <c r="CE143" s="562">
        <f t="shared" si="473"/>
        <v>-50</v>
      </c>
      <c r="CF143">
        <f t="shared" si="474"/>
        <v>-50</v>
      </c>
      <c r="CG143" s="173">
        <f t="shared" si="475"/>
        <v>0.34451656932175795</v>
      </c>
      <c r="CI143" s="170">
        <v>33</v>
      </c>
      <c r="CJ143" s="217">
        <f t="shared" si="428"/>
        <v>0.33</v>
      </c>
      <c r="CK143" s="217"/>
      <c r="CL143" s="217">
        <f t="shared" si="368"/>
        <v>7.92</v>
      </c>
      <c r="CM143" s="541">
        <f t="shared" si="369"/>
        <v>9</v>
      </c>
      <c r="CN143" s="443">
        <f t="shared" si="370"/>
        <v>16.3415</v>
      </c>
      <c r="CO143" s="443">
        <f t="shared" si="371"/>
        <v>25.3415</v>
      </c>
      <c r="CP143" s="443"/>
      <c r="CQ143" s="217">
        <f t="shared" si="372"/>
        <v>0.64485133082098534</v>
      </c>
      <c r="CR143" s="172">
        <f t="shared" si="429"/>
        <v>32.320915977744015</v>
      </c>
      <c r="CS143" s="172">
        <f t="shared" si="373"/>
        <v>7.92</v>
      </c>
      <c r="CT143" s="217">
        <f t="shared" si="374"/>
        <v>1.3467048324060007</v>
      </c>
      <c r="CU143" s="217">
        <f t="shared" si="375"/>
        <v>24</v>
      </c>
      <c r="CV143" s="217"/>
      <c r="CW143" s="172">
        <f t="shared" si="376"/>
        <v>138.0705854347834</v>
      </c>
      <c r="CX143" s="172">
        <f t="shared" si="377"/>
        <v>24</v>
      </c>
      <c r="CY143" s="217">
        <f t="shared" si="378"/>
        <v>2.7293112627359788</v>
      </c>
      <c r="CZ143" s="217">
        <f t="shared" si="379"/>
        <v>3.0325680697066435</v>
      </c>
      <c r="DA143" s="217">
        <f t="shared" si="380"/>
        <v>1.6701718096478164</v>
      </c>
      <c r="DB143" s="197">
        <f t="shared" si="381"/>
        <v>261.16478898249903</v>
      </c>
      <c r="DC143" s="443">
        <f t="shared" si="382"/>
        <v>212.64199714513424</v>
      </c>
      <c r="DE143" s="217">
        <f t="shared" si="383"/>
        <v>2.2222222222222223</v>
      </c>
      <c r="DF143" s="173">
        <f t="shared" si="384"/>
        <v>1.3598642855443031</v>
      </c>
      <c r="DG143" s="173">
        <f t="shared" si="385"/>
        <v>0.26320462482489204</v>
      </c>
      <c r="DH143" s="173"/>
      <c r="DI143" s="173">
        <f t="shared" si="386"/>
        <v>1.3598642855443031</v>
      </c>
      <c r="DJ143" s="545">
        <f t="shared" si="387"/>
        <v>327.44249999999994</v>
      </c>
      <c r="DK143" s="528">
        <f t="shared" si="388"/>
        <v>0.26320462482489204</v>
      </c>
      <c r="DM143" s="173">
        <f t="shared" si="389"/>
        <v>2.1494185260204675</v>
      </c>
      <c r="DN143" s="173">
        <f t="shared" si="390"/>
        <v>2.7293112627359788</v>
      </c>
      <c r="DO143" s="173">
        <f t="shared" si="391"/>
        <v>1.5756215114916714</v>
      </c>
      <c r="DQ143" s="545">
        <f t="shared" si="392"/>
        <v>330</v>
      </c>
      <c r="DR143" s="460">
        <f t="shared" si="393"/>
        <v>212.64199714513424</v>
      </c>
      <c r="DT143">
        <f t="shared" si="430"/>
        <v>330</v>
      </c>
      <c r="DU143">
        <f t="shared" si="431"/>
        <v>212.64199714513424</v>
      </c>
      <c r="DW143" s="5">
        <f t="shared" si="394"/>
        <v>4.7027398793544597</v>
      </c>
      <c r="DX143" s="5">
        <f t="shared" si="395"/>
        <v>3.0325680697066435</v>
      </c>
      <c r="DY143" s="5">
        <f t="shared" si="396"/>
        <v>1.6701718096478162</v>
      </c>
      <c r="DZ143" s="5"/>
      <c r="EA143" s="173">
        <f t="shared" si="397"/>
        <v>0.64485133082098534</v>
      </c>
      <c r="EB143" s="173">
        <f t="shared" si="398"/>
        <v>7.92</v>
      </c>
      <c r="EC143" s="173">
        <f t="shared" si="399"/>
        <v>0.32326530612244897</v>
      </c>
      <c r="ED143" s="173">
        <f t="shared" si="400"/>
        <v>24.5</v>
      </c>
      <c r="EE143" s="460">
        <f t="shared" si="401"/>
        <v>4.169781095846635</v>
      </c>
      <c r="EF143" s="5">
        <f t="shared" si="402"/>
        <v>1.2247926604083985</v>
      </c>
      <c r="EH143" s="173">
        <f t="shared" si="403"/>
        <v>1.2653837128733354</v>
      </c>
      <c r="EI143" s="173">
        <f t="shared" si="404"/>
        <v>0.62635906871812042</v>
      </c>
      <c r="EK143" s="528">
        <f t="shared" si="405"/>
        <v>6.4047837632204313E-2</v>
      </c>
      <c r="EL143" s="528">
        <f t="shared" si="406"/>
        <v>0.404452125</v>
      </c>
      <c r="EM143" s="528">
        <f t="shared" si="407"/>
        <v>4.2528399429026843E-2</v>
      </c>
      <c r="EN143" s="528">
        <f t="shared" si="408"/>
        <v>2.3897459093394885E-2</v>
      </c>
      <c r="EO143">
        <f t="shared" si="409"/>
        <v>4.0499999999999998E-3</v>
      </c>
      <c r="EP143" s="460">
        <f t="shared" si="410"/>
        <v>46.578399429026838</v>
      </c>
      <c r="EQ143" s="460"/>
      <c r="ER143" s="460">
        <f t="shared" si="432"/>
        <v>538.97582115462603</v>
      </c>
      <c r="ES143" s="528">
        <f t="shared" si="411"/>
        <v>0.23099999999999998</v>
      </c>
      <c r="EV143" s="460">
        <f t="shared" si="412"/>
        <v>230.99999999999997</v>
      </c>
      <c r="EW143" s="528">
        <f t="shared" si="413"/>
        <v>4.8035878224153228E-2</v>
      </c>
      <c r="EX143" s="528">
        <f t="shared" si="414"/>
        <v>1.1769770488962931E-2</v>
      </c>
      <c r="EY143" s="528">
        <f t="shared" si="415"/>
        <v>0.4057189371176097</v>
      </c>
      <c r="EZ143" s="528"/>
      <c r="FA143" s="528">
        <f t="shared" si="416"/>
        <v>0.31680000000000003</v>
      </c>
      <c r="FB143" s="460">
        <f t="shared" si="417"/>
        <v>782.32458583072594</v>
      </c>
      <c r="FC143" s="173">
        <f t="shared" si="418"/>
        <v>1.5523004069853519</v>
      </c>
      <c r="FD143" s="5">
        <f t="shared" si="419"/>
        <v>7.92</v>
      </c>
      <c r="FE143" s="173">
        <f t="shared" si="420"/>
        <v>0.83612213081411491</v>
      </c>
      <c r="FF143" s="5">
        <f t="shared" si="421"/>
        <v>83.612213081411497</v>
      </c>
      <c r="FI143" s="562">
        <f t="shared" si="422"/>
        <v>-50</v>
      </c>
      <c r="FJ143">
        <f t="shared" si="423"/>
        <v>-50</v>
      </c>
      <c r="FL143">
        <f t="shared" si="476"/>
        <v>0.35514866917901466</v>
      </c>
    </row>
    <row r="144" spans="5:168">
      <c r="E144" s="170">
        <v>34</v>
      </c>
      <c r="F144" s="217">
        <f t="shared" si="477"/>
        <v>0.34</v>
      </c>
      <c r="G144" s="217"/>
      <c r="H144" s="217">
        <f t="shared" si="442"/>
        <v>8.16</v>
      </c>
      <c r="I144" s="541">
        <f t="shared" si="443"/>
        <v>8.8965222468553264</v>
      </c>
      <c r="J144" s="172">
        <f t="shared" si="444"/>
        <v>16.361229763193766</v>
      </c>
      <c r="K144" s="172">
        <f t="shared" si="445"/>
        <v>25.257752010049092</v>
      </c>
      <c r="L144" s="443"/>
      <c r="M144" s="217">
        <f t="shared" si="446"/>
        <v>0.64776262853984856</v>
      </c>
      <c r="N144" s="172">
        <f t="shared" si="447"/>
        <v>32.093546242502647</v>
      </c>
      <c r="O144" s="172">
        <f t="shared" si="438"/>
        <v>8.16</v>
      </c>
      <c r="P144" s="217">
        <f t="shared" si="448"/>
        <v>1.3372310934376104</v>
      </c>
      <c r="Q144" s="217">
        <f t="shared" si="449"/>
        <v>24</v>
      </c>
      <c r="R144" s="217"/>
      <c r="S144" s="172">
        <f t="shared" si="450"/>
        <v>132.08019831690297</v>
      </c>
      <c r="T144" s="172">
        <f t="shared" si="451"/>
        <v>24</v>
      </c>
      <c r="U144" s="217">
        <f t="shared" si="452"/>
        <v>2.8943273413789323</v>
      </c>
      <c r="V144" s="217">
        <f t="shared" si="453"/>
        <v>3.2533244576575941</v>
      </c>
      <c r="W144" s="217">
        <f t="shared" si="454"/>
        <v>1.7690157667060047</v>
      </c>
      <c r="X144" s="197">
        <f t="shared" si="455"/>
        <v>259.33075925487663</v>
      </c>
      <c r="Y144" s="443">
        <f t="shared" si="328"/>
        <v>191.48503487665079</v>
      </c>
      <c r="AA144" s="217">
        <f t="shared" si="456"/>
        <v>2.2222222222222223</v>
      </c>
      <c r="AB144" s="173">
        <f t="shared" si="457"/>
        <v>1.3582244454639563</v>
      </c>
      <c r="AC144" s="173">
        <f t="shared" si="458"/>
        <v>0.26104110471780884</v>
      </c>
      <c r="AD144" s="173"/>
      <c r="AE144" s="173">
        <f t="shared" si="459"/>
        <v>1.3582244454639563</v>
      </c>
      <c r="AF144" s="545">
        <f t="shared" si="460"/>
        <v>337.77231460146646</v>
      </c>
      <c r="AG144" s="528">
        <f t="shared" si="461"/>
        <v>0.26104110471780878</v>
      </c>
      <c r="AI144" s="173">
        <f t="shared" si="462"/>
        <v>2.1830590791892388</v>
      </c>
      <c r="AJ144" s="173">
        <f t="shared" si="463"/>
        <v>2.8943273413789323</v>
      </c>
      <c r="AK144" s="173">
        <f t="shared" si="464"/>
        <v>1.6978556438197852</v>
      </c>
      <c r="AM144" s="545">
        <f t="shared" si="465"/>
        <v>340</v>
      </c>
      <c r="AN144" s="460">
        <f t="shared" si="466"/>
        <v>191.48503487665079</v>
      </c>
      <c r="AP144" s="460">
        <f t="shared" si="467"/>
        <v>340</v>
      </c>
      <c r="AQ144" s="460">
        <f t="shared" si="468"/>
        <v>191.48503487665079</v>
      </c>
      <c r="AS144" s="5">
        <f t="shared" si="439"/>
        <v>5.2223402243635988</v>
      </c>
      <c r="AT144" s="5">
        <f t="shared" si="469"/>
        <v>3.2533244576575941</v>
      </c>
      <c r="AU144" s="5">
        <f t="shared" si="343"/>
        <v>1.9690157667060046</v>
      </c>
      <c r="AV144" s="5"/>
      <c r="AW144" s="173">
        <f t="shared" si="344"/>
        <v>0.62296294723962542</v>
      </c>
      <c r="AX144" s="173">
        <f t="shared" si="435"/>
        <v>8.0204758778182512</v>
      </c>
      <c r="AY144" s="173">
        <f t="shared" si="436"/>
        <v>0.36393809494751395</v>
      </c>
      <c r="AZ144" s="173">
        <f t="shared" si="440"/>
        <v>22.038022370191666</v>
      </c>
      <c r="BA144" s="460">
        <f t="shared" si="433"/>
        <v>4.6088763150149248</v>
      </c>
      <c r="BB144" s="5">
        <f t="shared" si="434"/>
        <v>1.5050046346294002</v>
      </c>
      <c r="BD144" s="173">
        <f t="shared" si="441"/>
        <v>1.318919010284783</v>
      </c>
      <c r="BE144" s="173">
        <f t="shared" si="437"/>
        <v>0.68439191396136945</v>
      </c>
      <c r="BG144" s="528">
        <f t="shared" si="347"/>
        <v>6.9581894227623661E-2</v>
      </c>
      <c r="BH144" s="528">
        <f t="shared" si="470"/>
        <v>0.3149631160330334</v>
      </c>
      <c r="BI144" s="528">
        <f t="shared" si="471"/>
        <v>6.8142034908799679E-2</v>
      </c>
      <c r="BJ144" s="528">
        <f t="shared" si="350"/>
        <v>2.1377763915947118E-2</v>
      </c>
      <c r="BK144">
        <f t="shared" si="351"/>
        <v>4.0034350110848965E-3</v>
      </c>
      <c r="BL144" s="460">
        <f t="shared" si="427"/>
        <v>72.145469919884576</v>
      </c>
      <c r="BM144" s="528">
        <f t="shared" si="472"/>
        <v>0.43184950583507747</v>
      </c>
      <c r="BN144" s="460">
        <f t="shared" si="353"/>
        <v>431.84950583507748</v>
      </c>
      <c r="BO144" s="528">
        <f t="shared" si="354"/>
        <v>0.23799999999999999</v>
      </c>
      <c r="BR144" s="460">
        <f t="shared" si="355"/>
        <v>238</v>
      </c>
      <c r="BS144" s="528">
        <f t="shared" si="356"/>
        <v>5.2186420670717742E-2</v>
      </c>
      <c r="BT144" s="528">
        <f t="shared" si="357"/>
        <v>1.4051768756871195E-2</v>
      </c>
      <c r="BU144" s="528">
        <f t="shared" si="358"/>
        <v>0.36155653689919398</v>
      </c>
      <c r="BV144" s="528"/>
      <c r="BW144" s="528">
        <f t="shared" si="359"/>
        <v>0.32081903511273002</v>
      </c>
      <c r="BX144" s="460">
        <f t="shared" si="360"/>
        <v>748.61376143951293</v>
      </c>
      <c r="BY144" s="173">
        <f t="shared" si="361"/>
        <v>1.4646820055360017</v>
      </c>
      <c r="BZ144" s="5">
        <f t="shared" si="362"/>
        <v>8.16</v>
      </c>
      <c r="CA144" s="173">
        <f t="shared" si="363"/>
        <v>0.84782021840373178</v>
      </c>
      <c r="CB144" s="5">
        <f t="shared" si="364"/>
        <v>84.782021840373176</v>
      </c>
      <c r="CE144" s="562">
        <f t="shared" si="473"/>
        <v>-50</v>
      </c>
      <c r="CF144">
        <f t="shared" si="474"/>
        <v>-50</v>
      </c>
      <c r="CG144" s="173">
        <f t="shared" si="475"/>
        <v>0.34482927814108905</v>
      </c>
      <c r="CI144" s="170">
        <v>34</v>
      </c>
      <c r="CJ144" s="217">
        <f t="shared" si="428"/>
        <v>0.34</v>
      </c>
      <c r="CK144" s="217"/>
      <c r="CL144" s="217">
        <f t="shared" si="368"/>
        <v>8.16</v>
      </c>
      <c r="CM144" s="541">
        <f t="shared" si="369"/>
        <v>9</v>
      </c>
      <c r="CN144" s="443">
        <f t="shared" si="370"/>
        <v>16.3415</v>
      </c>
      <c r="CO144" s="443">
        <f t="shared" si="371"/>
        <v>25.3415</v>
      </c>
      <c r="CP144" s="443"/>
      <c r="CQ144" s="217">
        <f t="shared" si="372"/>
        <v>0.64485133082098534</v>
      </c>
      <c r="CR144" s="172">
        <f t="shared" si="429"/>
        <v>32.320915977744015</v>
      </c>
      <c r="CS144" s="172">
        <f t="shared" si="373"/>
        <v>8.16</v>
      </c>
      <c r="CT144" s="217">
        <f t="shared" si="374"/>
        <v>1.3467048324060007</v>
      </c>
      <c r="CU144" s="217">
        <f t="shared" si="375"/>
        <v>24</v>
      </c>
      <c r="CV144" s="217"/>
      <c r="CW144" s="172">
        <f t="shared" si="376"/>
        <v>133.61587461637168</v>
      </c>
      <c r="CX144" s="172">
        <f t="shared" si="377"/>
        <v>24</v>
      </c>
      <c r="CY144" s="217">
        <f t="shared" si="378"/>
        <v>2.8120176646370689</v>
      </c>
      <c r="CZ144" s="217">
        <f t="shared" si="379"/>
        <v>3.1244640718189656</v>
      </c>
      <c r="DA144" s="217">
        <f t="shared" si="380"/>
        <v>1.720783076606841</v>
      </c>
      <c r="DB144" s="197">
        <f t="shared" si="381"/>
        <v>261.16478898249903</v>
      </c>
      <c r="DC144" s="443">
        <f t="shared" si="382"/>
        <v>206.38782075851267</v>
      </c>
      <c r="DE144" s="217">
        <f t="shared" si="383"/>
        <v>2.2222222222222223</v>
      </c>
      <c r="DF144" s="173">
        <f t="shared" si="384"/>
        <v>1.3598642855443031</v>
      </c>
      <c r="DG144" s="173">
        <f t="shared" si="385"/>
        <v>0.26320462482489204</v>
      </c>
      <c r="DH144" s="173"/>
      <c r="DI144" s="173">
        <f t="shared" si="386"/>
        <v>1.3598642855443031</v>
      </c>
      <c r="DJ144" s="545">
        <f t="shared" si="387"/>
        <v>337.36499999999995</v>
      </c>
      <c r="DK144" s="528">
        <f t="shared" si="388"/>
        <v>0.26320462482489204</v>
      </c>
      <c r="DM144" s="173">
        <f t="shared" si="389"/>
        <v>2.1817424229271429</v>
      </c>
      <c r="DN144" s="173">
        <f t="shared" si="390"/>
        <v>2.8120176646370689</v>
      </c>
      <c r="DO144" s="173">
        <f t="shared" si="391"/>
        <v>1.6368855128998863</v>
      </c>
      <c r="DQ144" s="545">
        <f t="shared" si="392"/>
        <v>340</v>
      </c>
      <c r="DR144" s="460">
        <f t="shared" si="393"/>
        <v>206.38782075851267</v>
      </c>
      <c r="DT144">
        <f t="shared" si="430"/>
        <v>340</v>
      </c>
      <c r="DU144">
        <f t="shared" si="431"/>
        <v>206.38782075851267</v>
      </c>
      <c r="DW144" s="5">
        <f t="shared" si="394"/>
        <v>4.8452471484258064</v>
      </c>
      <c r="DX144" s="5">
        <f t="shared" si="395"/>
        <v>3.1244640718189656</v>
      </c>
      <c r="DY144" s="5">
        <f t="shared" si="396"/>
        <v>1.7207830766068408</v>
      </c>
      <c r="DZ144" s="5"/>
      <c r="EA144" s="173">
        <f t="shared" si="397"/>
        <v>0.64485133082098534</v>
      </c>
      <c r="EB144" s="173">
        <f t="shared" si="398"/>
        <v>8.16</v>
      </c>
      <c r="EC144" s="173">
        <f t="shared" si="399"/>
        <v>0.33306122448979592</v>
      </c>
      <c r="ED144" s="173">
        <f t="shared" si="400"/>
        <v>24.5</v>
      </c>
      <c r="EE144" s="460">
        <f t="shared" si="401"/>
        <v>4.4263241017435355</v>
      </c>
      <c r="EF144" s="5">
        <f t="shared" si="402"/>
        <v>1.3001472134362795</v>
      </c>
      <c r="EH144" s="173">
        <f t="shared" si="403"/>
        <v>1.3037286738694969</v>
      </c>
      <c r="EI144" s="173">
        <f t="shared" si="404"/>
        <v>0.64533964655806342</v>
      </c>
      <c r="EK144" s="528">
        <f t="shared" si="405"/>
        <v>6.7988338202780677E-2</v>
      </c>
      <c r="EL144" s="528">
        <f t="shared" si="406"/>
        <v>0.404452125</v>
      </c>
      <c r="EM144" s="528">
        <f t="shared" si="407"/>
        <v>4.1277564151702528E-2</v>
      </c>
      <c r="EN144" s="528">
        <f t="shared" si="408"/>
        <v>2.3194592649471508E-2</v>
      </c>
      <c r="EO144">
        <f t="shared" si="409"/>
        <v>4.0499999999999998E-3</v>
      </c>
      <c r="EP144" s="460">
        <f t="shared" si="410"/>
        <v>45.327564151702525</v>
      </c>
      <c r="EQ144" s="460"/>
      <c r="ER144" s="460">
        <f t="shared" si="432"/>
        <v>540.96262000395484</v>
      </c>
      <c r="ES144" s="528">
        <f t="shared" si="411"/>
        <v>0.23799999999999999</v>
      </c>
      <c r="EV144" s="460">
        <f t="shared" si="412"/>
        <v>238</v>
      </c>
      <c r="EW144" s="528">
        <f t="shared" si="413"/>
        <v>5.0991253652085504E-2</v>
      </c>
      <c r="EX144" s="528">
        <f t="shared" si="414"/>
        <v>1.2493897782590586E-2</v>
      </c>
      <c r="EY144" s="528">
        <f t="shared" si="415"/>
        <v>0.40571893711760948</v>
      </c>
      <c r="EZ144" s="528"/>
      <c r="FA144" s="528">
        <f t="shared" si="416"/>
        <v>0.32639999999999997</v>
      </c>
      <c r="FB144" s="460">
        <f t="shared" si="417"/>
        <v>795.60408855228548</v>
      </c>
      <c r="FC144" s="173">
        <f t="shared" si="418"/>
        <v>1.5745667085562403</v>
      </c>
      <c r="FD144" s="5">
        <f t="shared" si="419"/>
        <v>8.16</v>
      </c>
      <c r="FE144" s="173">
        <f t="shared" si="420"/>
        <v>0.83824994417345067</v>
      </c>
      <c r="FF144" s="5">
        <f t="shared" si="421"/>
        <v>83.824994417345067</v>
      </c>
      <c r="FI144" s="562">
        <f t="shared" si="422"/>
        <v>-50</v>
      </c>
      <c r="FJ144">
        <f t="shared" si="423"/>
        <v>-50</v>
      </c>
      <c r="FL144">
        <f t="shared" si="476"/>
        <v>0.35514866917901466</v>
      </c>
    </row>
    <row r="145" spans="5:168">
      <c r="E145" s="170">
        <v>35</v>
      </c>
      <c r="F145" s="217">
        <f t="shared" si="477"/>
        <v>0.35</v>
      </c>
      <c r="G145" s="217"/>
      <c r="H145" s="217">
        <f t="shared" si="442"/>
        <v>8.3999999999999986</v>
      </c>
      <c r="I145" s="541">
        <f t="shared" si="443"/>
        <v>8.8935697846675996</v>
      </c>
      <c r="J145" s="172">
        <f t="shared" si="444"/>
        <v>16.36179269945815</v>
      </c>
      <c r="K145" s="172">
        <f t="shared" si="445"/>
        <v>25.255362484125747</v>
      </c>
      <c r="L145" s="443"/>
      <c r="M145" s="217">
        <f t="shared" si="446"/>
        <v>0.64784621483741756</v>
      </c>
      <c r="N145" s="172">
        <f t="shared" si="447"/>
        <v>32.087035381146151</v>
      </c>
      <c r="O145" s="172">
        <f t="shared" si="438"/>
        <v>8.3999999999999986</v>
      </c>
      <c r="P145" s="217">
        <f t="shared" si="448"/>
        <v>1.3369598075477562</v>
      </c>
      <c r="Q145" s="217">
        <f t="shared" si="449"/>
        <v>24</v>
      </c>
      <c r="R145" s="217"/>
      <c r="S145" s="172">
        <f t="shared" si="450"/>
        <v>127.88601464314964</v>
      </c>
      <c r="T145" s="172">
        <f t="shared" si="451"/>
        <v>24</v>
      </c>
      <c r="U145" s="217">
        <f t="shared" si="452"/>
        <v>2.9801618116479798</v>
      </c>
      <c r="V145" s="217">
        <f t="shared" si="453"/>
        <v>3.3509174423815065</v>
      </c>
      <c r="W145" s="217">
        <f t="shared" si="454"/>
        <v>1.8214152118836424</v>
      </c>
      <c r="X145" s="197">
        <f t="shared" si="455"/>
        <v>259.27814486868527</v>
      </c>
      <c r="Y145" s="443">
        <f t="shared" si="328"/>
        <v>186.13888311739035</v>
      </c>
      <c r="AA145" s="217">
        <f t="shared" si="456"/>
        <v>2.2222222222222223</v>
      </c>
      <c r="AB145" s="173">
        <f t="shared" si="457"/>
        <v>1.3581777150225205</v>
      </c>
      <c r="AC145" s="173">
        <f t="shared" si="458"/>
        <v>0.26097916389052261</v>
      </c>
      <c r="AD145" s="173"/>
      <c r="AE145" s="173">
        <f t="shared" si="459"/>
        <v>1.3581777150225205</v>
      </c>
      <c r="AF145" s="545">
        <f t="shared" si="460"/>
        <v>347.71875789328209</v>
      </c>
      <c r="AG145" s="528">
        <f t="shared" si="461"/>
        <v>0.26097916389052261</v>
      </c>
      <c r="AI145" s="173">
        <f t="shared" si="462"/>
        <v>2.2149683445714783</v>
      </c>
      <c r="AJ145" s="173">
        <f t="shared" si="463"/>
        <v>2.9801618116479798</v>
      </c>
      <c r="AK145" s="173">
        <f t="shared" si="464"/>
        <v>1.7614367329079683</v>
      </c>
      <c r="AM145" s="545">
        <f t="shared" si="465"/>
        <v>350</v>
      </c>
      <c r="AN145" s="460">
        <f t="shared" si="466"/>
        <v>186.13888311739035</v>
      </c>
      <c r="AP145" s="460">
        <f t="shared" si="467"/>
        <v>350</v>
      </c>
      <c r="AQ145" s="460">
        <f t="shared" si="468"/>
        <v>186.13888311739035</v>
      </c>
      <c r="AS145" s="5">
        <f t="shared" si="439"/>
        <v>5.3723326542651488</v>
      </c>
      <c r="AT145" s="5">
        <f t="shared" si="469"/>
        <v>3.3509174423815065</v>
      </c>
      <c r="AU145" s="5">
        <f t="shared" si="343"/>
        <v>2.0214152118836424</v>
      </c>
      <c r="AV145" s="5"/>
      <c r="AW145" s="173">
        <f t="shared" si="344"/>
        <v>0.62373603014347589</v>
      </c>
      <c r="AX145" s="173">
        <f t="shared" si="435"/>
        <v>8.2658362718417724</v>
      </c>
      <c r="AY145" s="173">
        <f t="shared" si="436"/>
        <v>0.37396272594083751</v>
      </c>
      <c r="AZ145" s="173">
        <f t="shared" si="440"/>
        <v>22.103369396097147</v>
      </c>
      <c r="BA145" s="460">
        <f t="shared" si="433"/>
        <v>4.8867546034730296</v>
      </c>
      <c r="BB145" s="5">
        <f t="shared" si="434"/>
        <v>1.5910266434946909</v>
      </c>
      <c r="BD145" s="173">
        <f t="shared" si="441"/>
        <v>1.3588753913729377</v>
      </c>
      <c r="BE145" s="173">
        <f t="shared" si="437"/>
        <v>0.70396548827847072</v>
      </c>
      <c r="BG145" s="528">
        <f t="shared" si="347"/>
        <v>7.3861693171158177E-2</v>
      </c>
      <c r="BH145" s="528">
        <f t="shared" si="470"/>
        <v>0.31521949817873074</v>
      </c>
      <c r="BI145" s="528">
        <f t="shared" si="471"/>
        <v>6.6217565865783867E-2</v>
      </c>
      <c r="BJ145" s="528">
        <f t="shared" si="350"/>
        <v>2.0776977277679499E-2</v>
      </c>
      <c r="BK145">
        <f t="shared" si="351"/>
        <v>4.0021064031004194E-3</v>
      </c>
      <c r="BL145" s="460">
        <f t="shared" si="427"/>
        <v>70.219672268884281</v>
      </c>
      <c r="BM145" s="528">
        <f t="shared" si="472"/>
        <v>0.43747836917798366</v>
      </c>
      <c r="BN145" s="460">
        <f t="shared" si="353"/>
        <v>437.47836917798367</v>
      </c>
      <c r="BO145" s="528">
        <f t="shared" si="354"/>
        <v>0.24499999999999997</v>
      </c>
      <c r="BR145" s="460">
        <f t="shared" si="355"/>
        <v>244.99999999999997</v>
      </c>
      <c r="BS145" s="528">
        <f t="shared" si="356"/>
        <v>5.5396269878368633E-2</v>
      </c>
      <c r="BT145" s="528">
        <f t="shared" si="357"/>
        <v>1.4867022260614371E-2</v>
      </c>
      <c r="BU145" s="528">
        <f t="shared" si="358"/>
        <v>0.36237846147087976</v>
      </c>
      <c r="BV145" s="528"/>
      <c r="BW145" s="528">
        <f t="shared" si="359"/>
        <v>0.33063345087367085</v>
      </c>
      <c r="BX145" s="460">
        <f t="shared" si="360"/>
        <v>763.27520448353357</v>
      </c>
      <c r="BY145" s="173">
        <f t="shared" si="361"/>
        <v>1.4883530453799865</v>
      </c>
      <c r="BZ145" s="5">
        <f t="shared" si="362"/>
        <v>8.3999999999999986</v>
      </c>
      <c r="CA145" s="173">
        <f t="shared" si="363"/>
        <v>0.84948423275852081</v>
      </c>
      <c r="CB145" s="5">
        <f t="shared" si="364"/>
        <v>84.948423275852079</v>
      </c>
      <c r="CE145" s="562">
        <f t="shared" si="473"/>
        <v>-50</v>
      </c>
      <c r="CF145">
        <f t="shared" si="474"/>
        <v>-50</v>
      </c>
      <c r="CG145" s="173">
        <f t="shared" si="475"/>
        <v>0.34512411788502989</v>
      </c>
      <c r="CI145" s="170">
        <v>35</v>
      </c>
      <c r="CJ145" s="217">
        <f t="shared" si="428"/>
        <v>0.35</v>
      </c>
      <c r="CK145" s="217"/>
      <c r="CL145" s="217">
        <f t="shared" si="368"/>
        <v>8.3999999999999986</v>
      </c>
      <c r="CM145" s="541">
        <f t="shared" si="369"/>
        <v>9</v>
      </c>
      <c r="CN145" s="443">
        <f t="shared" si="370"/>
        <v>16.3415</v>
      </c>
      <c r="CO145" s="443">
        <f t="shared" si="371"/>
        <v>25.3415</v>
      </c>
      <c r="CP145" s="443"/>
      <c r="CQ145" s="217">
        <f t="shared" si="372"/>
        <v>0.64485133082098534</v>
      </c>
      <c r="CR145" s="172">
        <f t="shared" si="429"/>
        <v>32.320915977744015</v>
      </c>
      <c r="CS145" s="172">
        <f t="shared" si="373"/>
        <v>8.3999999999999986</v>
      </c>
      <c r="CT145" s="217">
        <f t="shared" si="374"/>
        <v>1.3467048324060007</v>
      </c>
      <c r="CU145" s="217">
        <f t="shared" si="375"/>
        <v>24</v>
      </c>
      <c r="CV145" s="217"/>
      <c r="CW145" s="172">
        <f t="shared" si="376"/>
        <v>129.41582023925434</v>
      </c>
      <c r="CX145" s="172">
        <f t="shared" si="377"/>
        <v>24</v>
      </c>
      <c r="CY145" s="217">
        <f t="shared" si="378"/>
        <v>2.8947240665381586</v>
      </c>
      <c r="CZ145" s="217">
        <f t="shared" si="379"/>
        <v>3.2163600739312876</v>
      </c>
      <c r="DA145" s="217">
        <f t="shared" si="380"/>
        <v>1.7713943435658652</v>
      </c>
      <c r="DB145" s="197">
        <f t="shared" si="381"/>
        <v>261.16478898249903</v>
      </c>
      <c r="DC145" s="443">
        <f t="shared" si="382"/>
        <v>200.49102587969804</v>
      </c>
      <c r="DE145" s="217">
        <f t="shared" si="383"/>
        <v>2.2222222222222223</v>
      </c>
      <c r="DF145" s="173">
        <f t="shared" si="384"/>
        <v>1.3598642855443031</v>
      </c>
      <c r="DG145" s="173">
        <f t="shared" si="385"/>
        <v>0.26320462482489204</v>
      </c>
      <c r="DH145" s="173"/>
      <c r="DI145" s="173">
        <f t="shared" si="386"/>
        <v>1.3598642855443031</v>
      </c>
      <c r="DJ145" s="545">
        <f t="shared" si="387"/>
        <v>347.28749999999991</v>
      </c>
      <c r="DK145" s="528">
        <f t="shared" si="388"/>
        <v>0.26320462482489204</v>
      </c>
      <c r="DM145" s="173">
        <f t="shared" si="389"/>
        <v>2.2135943621178651</v>
      </c>
      <c r="DN145" s="173">
        <f t="shared" si="390"/>
        <v>2.8947240665381586</v>
      </c>
      <c r="DO145" s="173">
        <f t="shared" si="391"/>
        <v>1.6981495143081009</v>
      </c>
      <c r="DQ145" s="545">
        <f t="shared" si="392"/>
        <v>350</v>
      </c>
      <c r="DR145" s="460">
        <f t="shared" si="393"/>
        <v>200.49102587969804</v>
      </c>
      <c r="DT145">
        <f t="shared" si="430"/>
        <v>350</v>
      </c>
      <c r="DU145">
        <f t="shared" si="431"/>
        <v>200.49102587969804</v>
      </c>
      <c r="DW145" s="5">
        <f t="shared" si="394"/>
        <v>4.987754417497154</v>
      </c>
      <c r="DX145" s="5">
        <f t="shared" si="395"/>
        <v>3.2163600739312876</v>
      </c>
      <c r="DY145" s="5">
        <f t="shared" si="396"/>
        <v>1.7713943435658663</v>
      </c>
      <c r="DZ145" s="5"/>
      <c r="EA145" s="173">
        <f t="shared" si="397"/>
        <v>0.64485133082098522</v>
      </c>
      <c r="EB145" s="173">
        <f t="shared" si="398"/>
        <v>8.3999999999999968</v>
      </c>
      <c r="EC145" s="173">
        <f t="shared" si="399"/>
        <v>0.34285714285714286</v>
      </c>
      <c r="ED145" s="173">
        <f t="shared" si="400"/>
        <v>24.499999999999989</v>
      </c>
      <c r="EE145" s="460">
        <f t="shared" si="401"/>
        <v>4.6905251078164607</v>
      </c>
      <c r="EF145" s="5">
        <f t="shared" si="402"/>
        <v>1.3777511561067843</v>
      </c>
      <c r="EH145" s="173">
        <f t="shared" si="403"/>
        <v>1.3420736348656581</v>
      </c>
      <c r="EI145" s="173">
        <f t="shared" si="404"/>
        <v>0.66432022439800642</v>
      </c>
      <c r="EK145" s="528">
        <f t="shared" si="405"/>
        <v>7.2046465656060793E-2</v>
      </c>
      <c r="EL145" s="528">
        <f t="shared" si="406"/>
        <v>0.404452125</v>
      </c>
      <c r="EM145" s="528">
        <f t="shared" si="407"/>
        <v>4.0098205175939608E-2</v>
      </c>
      <c r="EN145" s="528">
        <f t="shared" si="408"/>
        <v>2.2531890002343753E-2</v>
      </c>
      <c r="EO145">
        <f t="shared" si="409"/>
        <v>4.0499999999999998E-3</v>
      </c>
      <c r="EP145" s="460">
        <f t="shared" si="410"/>
        <v>44.148205175939609</v>
      </c>
      <c r="EQ145" s="460"/>
      <c r="ER145" s="460">
        <f t="shared" si="432"/>
        <v>543.17868583434426</v>
      </c>
      <c r="ES145" s="528">
        <f t="shared" si="411"/>
        <v>0.24499999999999997</v>
      </c>
      <c r="EV145" s="460">
        <f t="shared" si="412"/>
        <v>244.99999999999997</v>
      </c>
      <c r="EW145" s="528">
        <f t="shared" si="413"/>
        <v>5.4034849242045595E-2</v>
      </c>
      <c r="EX145" s="528">
        <f t="shared" si="414"/>
        <v>1.3239640816326528E-2</v>
      </c>
      <c r="EY145" s="528">
        <f t="shared" si="415"/>
        <v>0.40571893711760926</v>
      </c>
      <c r="EZ145" s="528"/>
      <c r="FA145" s="528">
        <f t="shared" si="416"/>
        <v>0.33599999999999985</v>
      </c>
      <c r="FB145" s="460">
        <f t="shared" si="417"/>
        <v>808.9934271759812</v>
      </c>
      <c r="FC145" s="173">
        <f t="shared" si="418"/>
        <v>1.5971721130103256</v>
      </c>
      <c r="FD145" s="5">
        <f t="shared" si="419"/>
        <v>8.3999999999999986</v>
      </c>
      <c r="FE145" s="173">
        <f t="shared" si="420"/>
        <v>0.84023760970047068</v>
      </c>
      <c r="FF145" s="5">
        <f t="shared" si="421"/>
        <v>84.023760970047064</v>
      </c>
      <c r="FI145" s="562">
        <f t="shared" si="422"/>
        <v>-50</v>
      </c>
      <c r="FJ145">
        <f t="shared" si="423"/>
        <v>-50</v>
      </c>
      <c r="FL145">
        <f t="shared" si="476"/>
        <v>0.35514866917901478</v>
      </c>
    </row>
    <row r="146" spans="5:168">
      <c r="E146" s="170">
        <v>36</v>
      </c>
      <c r="F146" s="217">
        <f t="shared" si="477"/>
        <v>0.36</v>
      </c>
      <c r="G146" s="217"/>
      <c r="H146" s="217">
        <f t="shared" si="442"/>
        <v>8.64</v>
      </c>
      <c r="I146" s="541">
        <f t="shared" si="443"/>
        <v>8.8906171757516361</v>
      </c>
      <c r="J146" s="172">
        <f t="shared" si="444"/>
        <v>16.362355663698725</v>
      </c>
      <c r="K146" s="172">
        <f t="shared" si="445"/>
        <v>25.252972839450361</v>
      </c>
      <c r="L146" s="443"/>
      <c r="M146" s="217">
        <f t="shared" si="446"/>
        <v>0.64792982071534178</v>
      </c>
      <c r="N146" s="172">
        <f t="shared" si="447"/>
        <v>32.080522211087988</v>
      </c>
      <c r="O146" s="172">
        <f t="shared" si="438"/>
        <v>8.64</v>
      </c>
      <c r="P146" s="217">
        <f t="shared" si="448"/>
        <v>1.3366884254619995</v>
      </c>
      <c r="Q146" s="217">
        <f t="shared" si="449"/>
        <v>24</v>
      </c>
      <c r="R146" s="217"/>
      <c r="S146" s="172">
        <f t="shared" si="450"/>
        <v>123.92518456567159</v>
      </c>
      <c r="T146" s="172">
        <f t="shared" si="451"/>
        <v>24</v>
      </c>
      <c r="U146" s="217">
        <f t="shared" si="452"/>
        <v>3.0660372089971717</v>
      </c>
      <c r="V146" s="217">
        <f t="shared" si="453"/>
        <v>3.4486213368398251</v>
      </c>
      <c r="W146" s="217">
        <f t="shared" si="454"/>
        <v>1.8738360612704656</v>
      </c>
      <c r="X146" s="197">
        <f t="shared" si="455"/>
        <v>259.2255119859837</v>
      </c>
      <c r="Y146" s="443">
        <f t="shared" si="328"/>
        <v>181.07880747838567</v>
      </c>
      <c r="AA146" s="217">
        <f t="shared" si="456"/>
        <v>2.2222222222222223</v>
      </c>
      <c r="AB146" s="173">
        <f t="shared" si="457"/>
        <v>1.3581309854744272</v>
      </c>
      <c r="AC146" s="173">
        <f t="shared" si="458"/>
        <v>0.26091720826197323</v>
      </c>
      <c r="AD146" s="173"/>
      <c r="AE146" s="173">
        <f t="shared" si="459"/>
        <v>1.3581309854744272</v>
      </c>
      <c r="AF146" s="545">
        <f t="shared" si="460"/>
        <v>357.66588542237986</v>
      </c>
      <c r="AG146" s="528">
        <f t="shared" si="461"/>
        <v>0.26091720826197318</v>
      </c>
      <c r="AI146" s="173">
        <f t="shared" si="462"/>
        <v>2.2464265502834517</v>
      </c>
      <c r="AJ146" s="173">
        <f t="shared" si="463"/>
        <v>3.0660372089971717</v>
      </c>
      <c r="AK146" s="173">
        <f t="shared" si="464"/>
        <v>1.8250481383518142</v>
      </c>
      <c r="AM146" s="545">
        <f t="shared" si="465"/>
        <v>360</v>
      </c>
      <c r="AN146" s="460">
        <f t="shared" si="466"/>
        <v>181.07880747838567</v>
      </c>
      <c r="AP146" s="460">
        <f t="shared" si="467"/>
        <v>360</v>
      </c>
      <c r="AQ146" s="460">
        <f t="shared" si="468"/>
        <v>181.07880747838567</v>
      </c>
      <c r="AS146" s="5">
        <f t="shared" si="439"/>
        <v>5.5224573981102907</v>
      </c>
      <c r="AT146" s="5">
        <f t="shared" si="469"/>
        <v>3.4486213368398251</v>
      </c>
      <c r="AU146" s="5">
        <f t="shared" si="343"/>
        <v>2.0738360612704656</v>
      </c>
      <c r="AV146" s="5"/>
      <c r="AW146" s="173">
        <f t="shared" si="344"/>
        <v>0.62447223911947169</v>
      </c>
      <c r="AX146" s="173">
        <f t="shared" si="435"/>
        <v>8.5112328527621752</v>
      </c>
      <c r="AY146" s="173">
        <f t="shared" si="436"/>
        <v>0.38398592630500933</v>
      </c>
      <c r="AZ146" s="173">
        <f t="shared" si="440"/>
        <v>22.165481257772704</v>
      </c>
      <c r="BA146" s="460">
        <f t="shared" si="433"/>
        <v>5.1729320052597378</v>
      </c>
      <c r="BB146" s="5">
        <f t="shared" si="434"/>
        <v>1.6794806643876208</v>
      </c>
      <c r="BD146" s="173">
        <f t="shared" si="441"/>
        <v>1.3988571339691969</v>
      </c>
      <c r="BE146" s="173">
        <f t="shared" si="437"/>
        <v>0.72354184255916332</v>
      </c>
      <c r="BG146" s="528">
        <f t="shared" si="347"/>
        <v>7.8272051250260627E-2</v>
      </c>
      <c r="BH146" s="528">
        <f t="shared" si="470"/>
        <v>0.31545693295451976</v>
      </c>
      <c r="BI146" s="528">
        <f t="shared" si="471"/>
        <v>6.4396094237278378E-2</v>
      </c>
      <c r="BJ146" s="528">
        <f t="shared" si="350"/>
        <v>2.0208342676113895E-2</v>
      </c>
      <c r="BK146">
        <f t="shared" si="351"/>
        <v>4.0007777290882365E-3</v>
      </c>
      <c r="BL146" s="460">
        <f t="shared" si="427"/>
        <v>68.396871966366604</v>
      </c>
      <c r="BM146" s="528">
        <f t="shared" si="472"/>
        <v>0.44331531032719806</v>
      </c>
      <c r="BN146" s="460">
        <f t="shared" si="353"/>
        <v>443.31531032719806</v>
      </c>
      <c r="BO146" s="528">
        <f t="shared" si="354"/>
        <v>0.252</v>
      </c>
      <c r="BR146" s="460">
        <f t="shared" si="355"/>
        <v>252</v>
      </c>
      <c r="BS146" s="528">
        <f t="shared" si="356"/>
        <v>5.870403843769547E-2</v>
      </c>
      <c r="BT146" s="528">
        <f t="shared" si="357"/>
        <v>1.5705383938017271E-2</v>
      </c>
      <c r="BU146" s="528">
        <f t="shared" si="358"/>
        <v>0.36314713429224549</v>
      </c>
      <c r="BV146" s="528"/>
      <c r="BW146" s="528">
        <f t="shared" si="359"/>
        <v>0.34044931411048701</v>
      </c>
      <c r="BX146" s="460">
        <f t="shared" si="360"/>
        <v>778.00587077844523</v>
      </c>
      <c r="BY146" s="173">
        <f t="shared" si="361"/>
        <v>1.5123400696257061</v>
      </c>
      <c r="BZ146" s="5">
        <f t="shared" si="362"/>
        <v>8.64</v>
      </c>
      <c r="CA146" s="173">
        <f t="shared" si="363"/>
        <v>0.85103532197956977</v>
      </c>
      <c r="CB146" s="5">
        <f t="shared" si="364"/>
        <v>85.10353219795698</v>
      </c>
      <c r="CE146" s="562">
        <f t="shared" si="473"/>
        <v>-50</v>
      </c>
      <c r="CF146">
        <f t="shared" si="474"/>
        <v>-50</v>
      </c>
      <c r="CG146" s="173">
        <f t="shared" si="475"/>
        <v>0.3454025776431961</v>
      </c>
      <c r="CI146" s="170">
        <v>36</v>
      </c>
      <c r="CJ146" s="217">
        <f t="shared" si="428"/>
        <v>0.36</v>
      </c>
      <c r="CK146" s="217"/>
      <c r="CL146" s="217">
        <f t="shared" si="368"/>
        <v>8.64</v>
      </c>
      <c r="CM146" s="541">
        <f t="shared" si="369"/>
        <v>9</v>
      </c>
      <c r="CN146" s="443">
        <f t="shared" si="370"/>
        <v>16.3415</v>
      </c>
      <c r="CO146" s="443">
        <f t="shared" si="371"/>
        <v>25.3415</v>
      </c>
      <c r="CP146" s="443"/>
      <c r="CQ146" s="217">
        <f t="shared" si="372"/>
        <v>0.64485133082098534</v>
      </c>
      <c r="CR146" s="172">
        <f t="shared" si="429"/>
        <v>32.320915977744015</v>
      </c>
      <c r="CS146" s="172">
        <f t="shared" si="373"/>
        <v>8.64</v>
      </c>
      <c r="CT146" s="217">
        <f t="shared" si="374"/>
        <v>1.3467048324060007</v>
      </c>
      <c r="CU146" s="217">
        <f t="shared" si="375"/>
        <v>24</v>
      </c>
      <c r="CV146" s="217"/>
      <c r="CW146" s="172">
        <f t="shared" si="376"/>
        <v>125.4492017676198</v>
      </c>
      <c r="CX146" s="172">
        <f t="shared" si="377"/>
        <v>24</v>
      </c>
      <c r="CY146" s="217">
        <f t="shared" si="378"/>
        <v>2.9774304684392496</v>
      </c>
      <c r="CZ146" s="217">
        <f t="shared" si="379"/>
        <v>3.3082560760436106</v>
      </c>
      <c r="DA146" s="217">
        <f t="shared" si="380"/>
        <v>1.8220056105248905</v>
      </c>
      <c r="DB146" s="197">
        <f t="shared" si="381"/>
        <v>261.16478898249903</v>
      </c>
      <c r="DC146" s="443">
        <f t="shared" si="382"/>
        <v>194.92183071637308</v>
      </c>
      <c r="DE146" s="217">
        <f t="shared" si="383"/>
        <v>2.2222222222222223</v>
      </c>
      <c r="DF146" s="173">
        <f t="shared" si="384"/>
        <v>1.3598642855443031</v>
      </c>
      <c r="DG146" s="173">
        <f t="shared" si="385"/>
        <v>0.26320462482489204</v>
      </c>
      <c r="DH146" s="173"/>
      <c r="DI146" s="173">
        <f t="shared" si="386"/>
        <v>1.3598642855443031</v>
      </c>
      <c r="DJ146" s="545">
        <f t="shared" si="387"/>
        <v>357.20999999999987</v>
      </c>
      <c r="DK146" s="528">
        <f t="shared" si="388"/>
        <v>0.26320462482489204</v>
      </c>
      <c r="DM146" s="173">
        <f t="shared" si="389"/>
        <v>2.2449944320643644</v>
      </c>
      <c r="DN146" s="173">
        <f t="shared" si="390"/>
        <v>2.9774304684392496</v>
      </c>
      <c r="DO146" s="173">
        <f t="shared" si="391"/>
        <v>1.7594135157163164</v>
      </c>
      <c r="DQ146" s="545">
        <f t="shared" si="392"/>
        <v>360</v>
      </c>
      <c r="DR146" s="460">
        <f t="shared" si="393"/>
        <v>194.92183071637308</v>
      </c>
      <c r="DT146">
        <f t="shared" si="430"/>
        <v>360</v>
      </c>
      <c r="DU146">
        <f t="shared" si="431"/>
        <v>194.92183071637308</v>
      </c>
      <c r="DW146" s="5">
        <f t="shared" si="394"/>
        <v>5.1302616865685016</v>
      </c>
      <c r="DX146" s="5">
        <f t="shared" si="395"/>
        <v>3.3082560760436106</v>
      </c>
      <c r="DY146" s="5">
        <f t="shared" si="396"/>
        <v>1.822005610524891</v>
      </c>
      <c r="DZ146" s="5"/>
      <c r="EA146" s="173">
        <f t="shared" si="397"/>
        <v>0.64485133082098522</v>
      </c>
      <c r="EB146" s="173">
        <f t="shared" si="398"/>
        <v>8.64</v>
      </c>
      <c r="EC146" s="173">
        <f t="shared" si="399"/>
        <v>0.35265306122448992</v>
      </c>
      <c r="ED146" s="173">
        <f t="shared" si="400"/>
        <v>24.499999999999993</v>
      </c>
      <c r="EE146" s="460">
        <f t="shared" si="401"/>
        <v>4.962384114065415</v>
      </c>
      <c r="EF146" s="5">
        <f t="shared" si="402"/>
        <v>1.4576044884199129</v>
      </c>
      <c r="EH146" s="173">
        <f t="shared" si="403"/>
        <v>1.3804185958618203</v>
      </c>
      <c r="EI146" s="173">
        <f t="shared" si="404"/>
        <v>0.68330080223794964</v>
      </c>
      <c r="EK146" s="528">
        <f t="shared" si="405"/>
        <v>7.6222219992044787E-2</v>
      </c>
      <c r="EL146" s="528">
        <f t="shared" si="406"/>
        <v>0.404452125</v>
      </c>
      <c r="EM146" s="528">
        <f t="shared" si="407"/>
        <v>3.8984366143274614E-2</v>
      </c>
      <c r="EN146" s="528">
        <f t="shared" si="408"/>
        <v>2.1906004168945312E-2</v>
      </c>
      <c r="EO146">
        <f t="shared" si="409"/>
        <v>4.0499999999999998E-3</v>
      </c>
      <c r="EP146" s="460">
        <f t="shared" si="410"/>
        <v>43.03436614327461</v>
      </c>
      <c r="EQ146" s="460"/>
      <c r="ER146" s="460">
        <f t="shared" si="432"/>
        <v>545.61471530426468</v>
      </c>
      <c r="ES146" s="528">
        <f t="shared" si="411"/>
        <v>0.252</v>
      </c>
      <c r="EV146" s="460">
        <f t="shared" si="412"/>
        <v>252</v>
      </c>
      <c r="EW146" s="528">
        <f t="shared" si="413"/>
        <v>5.7166664994033584E-2</v>
      </c>
      <c r="EX146" s="528">
        <f t="shared" si="414"/>
        <v>1.4006999590170767E-2</v>
      </c>
      <c r="EY146" s="528">
        <f t="shared" si="415"/>
        <v>0.40571893711761003</v>
      </c>
      <c r="EZ146" s="528"/>
      <c r="FA146" s="528">
        <f t="shared" si="416"/>
        <v>0.34560000000000002</v>
      </c>
      <c r="FB146" s="460">
        <f t="shared" si="417"/>
        <v>822.49260170181435</v>
      </c>
      <c r="FC146" s="173">
        <f t="shared" si="418"/>
        <v>1.6201073170060791</v>
      </c>
      <c r="FD146" s="5">
        <f t="shared" si="419"/>
        <v>8.64</v>
      </c>
      <c r="FE146" s="173">
        <f t="shared" si="420"/>
        <v>0.8420964550418728</v>
      </c>
      <c r="FF146" s="5">
        <f t="shared" si="421"/>
        <v>84.209645504187279</v>
      </c>
      <c r="FI146" s="562">
        <f t="shared" si="422"/>
        <v>-50</v>
      </c>
      <c r="FJ146">
        <f t="shared" si="423"/>
        <v>-50</v>
      </c>
      <c r="FL146">
        <f t="shared" si="476"/>
        <v>0.35514866917901478</v>
      </c>
    </row>
    <row r="147" spans="5:168">
      <c r="E147" s="170">
        <v>37</v>
      </c>
      <c r="F147" s="217">
        <f t="shared" si="477"/>
        <v>0.37</v>
      </c>
      <c r="G147" s="217"/>
      <c r="H147" s="217">
        <f t="shared" si="442"/>
        <v>8.879999999999999</v>
      </c>
      <c r="I147" s="541">
        <f t="shared" si="443"/>
        <v>8.8876644323306895</v>
      </c>
      <c r="J147" s="172">
        <f t="shared" si="444"/>
        <v>16.362918653584927</v>
      </c>
      <c r="K147" s="172">
        <f t="shared" si="445"/>
        <v>25.250583085915615</v>
      </c>
      <c r="L147" s="443"/>
      <c r="M147" s="217">
        <f t="shared" si="446"/>
        <v>0.64801344586694076</v>
      </c>
      <c r="N147" s="172">
        <f t="shared" si="447"/>
        <v>32.074006760089453</v>
      </c>
      <c r="O147" s="172">
        <f t="shared" si="438"/>
        <v>8.879999999999999</v>
      </c>
      <c r="P147" s="217">
        <f t="shared" si="448"/>
        <v>1.3364169483370605</v>
      </c>
      <c r="Q147" s="217">
        <f t="shared" si="449"/>
        <v>24</v>
      </c>
      <c r="R147" s="217"/>
      <c r="S147" s="172">
        <f t="shared" si="450"/>
        <v>120.17878852395452</v>
      </c>
      <c r="T147" s="172">
        <f t="shared" si="451"/>
        <v>24</v>
      </c>
      <c r="U147" s="217">
        <f t="shared" si="452"/>
        <v>3.1519535741752303</v>
      </c>
      <c r="V147" s="217">
        <f t="shared" si="453"/>
        <v>3.5464362973801729</v>
      </c>
      <c r="W147" s="217">
        <f t="shared" si="454"/>
        <v>1.926278337565819</v>
      </c>
      <c r="X147" s="197">
        <f t="shared" si="455"/>
        <v>259.17286081788382</v>
      </c>
      <c r="Y147" s="443">
        <f t="shared" si="328"/>
        <v>176.28244400654938</v>
      </c>
      <c r="AA147" s="217">
        <f t="shared" si="456"/>
        <v>2.2222222222222228</v>
      </c>
      <c r="AB147" s="173">
        <f t="shared" si="457"/>
        <v>1.3580842570132559</v>
      </c>
      <c r="AC147" s="173">
        <f t="shared" si="458"/>
        <v>0.26085523808364208</v>
      </c>
      <c r="AD147" s="173"/>
      <c r="AE147" s="173">
        <f t="shared" si="459"/>
        <v>1.3580842570132556</v>
      </c>
      <c r="AF147" s="545">
        <f t="shared" si="460"/>
        <v>367.61369718736137</v>
      </c>
      <c r="AG147" s="528">
        <f t="shared" si="461"/>
        <v>0.26085523808364192</v>
      </c>
      <c r="AI147" s="173">
        <f t="shared" si="462"/>
        <v>2.2774523877141593</v>
      </c>
      <c r="AJ147" s="173">
        <f t="shared" si="463"/>
        <v>3.1519535741752303</v>
      </c>
      <c r="AK147" s="173">
        <f t="shared" si="464"/>
        <v>1.8886898903355613</v>
      </c>
      <c r="AM147" s="545">
        <f t="shared" si="465"/>
        <v>370</v>
      </c>
      <c r="AN147" s="460">
        <f t="shared" si="466"/>
        <v>176.28244400654938</v>
      </c>
      <c r="AP147" s="460">
        <f t="shared" si="467"/>
        <v>370</v>
      </c>
      <c r="AQ147" s="460">
        <f t="shared" si="468"/>
        <v>176.28244400654938</v>
      </c>
      <c r="AS147" s="5">
        <f t="shared" si="439"/>
        <v>5.6727146349459909</v>
      </c>
      <c r="AT147" s="5">
        <f t="shared" si="469"/>
        <v>3.5464362973801729</v>
      </c>
      <c r="AU147" s="5">
        <f t="shared" si="343"/>
        <v>2.1262783375658181</v>
      </c>
      <c r="AV147" s="5"/>
      <c r="AW147" s="173">
        <f t="shared" si="344"/>
        <v>0.6251744580157147</v>
      </c>
      <c r="AX147" s="173">
        <f t="shared" si="435"/>
        <v>8.7566641132923824</v>
      </c>
      <c r="AY147" s="173">
        <f t="shared" si="436"/>
        <v>0.39400780770097027</v>
      </c>
      <c r="AZ147" s="173">
        <f t="shared" si="440"/>
        <v>22.22459540684584</v>
      </c>
      <c r="BA147" s="460">
        <f t="shared" si="433"/>
        <v>5.4674226251277664</v>
      </c>
      <c r="BB147" s="5">
        <f t="shared" si="434"/>
        <v>1.7703705869845565</v>
      </c>
      <c r="BD147" s="173">
        <f t="shared" si="441"/>
        <v>1.4388641690663846</v>
      </c>
      <c r="BE147" s="173">
        <f t="shared" si="437"/>
        <v>0.74312112513368256</v>
      </c>
      <c r="BG147" s="528">
        <f t="shared" si="347"/>
        <v>8.2813203880923891E-2</v>
      </c>
      <c r="BH147" s="528">
        <f t="shared" si="470"/>
        <v>0.31567690099211321</v>
      </c>
      <c r="BI147" s="528">
        <f t="shared" si="471"/>
        <v>6.2669568305653414E-2</v>
      </c>
      <c r="BJ147" s="528">
        <f t="shared" si="350"/>
        <v>1.9669346646473723E-2</v>
      </c>
      <c r="BK147">
        <f t="shared" si="351"/>
        <v>3.9994489945488106E-3</v>
      </c>
      <c r="BL147" s="460">
        <f t="shared" si="427"/>
        <v>66.669017300202228</v>
      </c>
      <c r="BM147" s="528">
        <f t="shared" si="472"/>
        <v>0.44936082770555358</v>
      </c>
      <c r="BN147" s="460">
        <f t="shared" si="353"/>
        <v>449.36082770555356</v>
      </c>
      <c r="BO147" s="528">
        <f t="shared" si="354"/>
        <v>0.25900000000000001</v>
      </c>
      <c r="BR147" s="460">
        <f t="shared" si="355"/>
        <v>259</v>
      </c>
      <c r="BS147" s="528">
        <f t="shared" si="356"/>
        <v>6.2109902910692918E-2</v>
      </c>
      <c r="BT147" s="528">
        <f t="shared" si="357"/>
        <v>1.656687019859851E-2</v>
      </c>
      <c r="BU147" s="528">
        <f t="shared" si="358"/>
        <v>0.36386659937187421</v>
      </c>
      <c r="BV147" s="528"/>
      <c r="BW147" s="528">
        <f t="shared" si="359"/>
        <v>0.35026656453169525</v>
      </c>
      <c r="BX147" s="460">
        <f t="shared" si="360"/>
        <v>792.80993701286093</v>
      </c>
      <c r="BY147" s="173">
        <f t="shared" si="361"/>
        <v>1.5366384058325737</v>
      </c>
      <c r="BZ147" s="5">
        <f t="shared" si="362"/>
        <v>8.879999999999999</v>
      </c>
      <c r="CA147" s="173">
        <f t="shared" si="363"/>
        <v>0.85248231281867615</v>
      </c>
      <c r="CB147" s="5">
        <f t="shared" si="364"/>
        <v>85.248231281867618</v>
      </c>
      <c r="CE147" s="562">
        <f t="shared" si="473"/>
        <v>-50</v>
      </c>
      <c r="CF147">
        <f t="shared" si="474"/>
        <v>-50</v>
      </c>
      <c r="CG147" s="173">
        <f t="shared" si="475"/>
        <v>0.34566598552254246</v>
      </c>
      <c r="CI147" s="170">
        <v>37</v>
      </c>
      <c r="CJ147" s="217">
        <f t="shared" si="428"/>
        <v>0.37</v>
      </c>
      <c r="CK147" s="217"/>
      <c r="CL147" s="217">
        <f t="shared" si="368"/>
        <v>8.879999999999999</v>
      </c>
      <c r="CM147" s="541">
        <f t="shared" si="369"/>
        <v>9</v>
      </c>
      <c r="CN147" s="443">
        <f t="shared" si="370"/>
        <v>16.3415</v>
      </c>
      <c r="CO147" s="443">
        <f t="shared" si="371"/>
        <v>25.3415</v>
      </c>
      <c r="CP147" s="443"/>
      <c r="CQ147" s="217">
        <f t="shared" si="372"/>
        <v>0.64485133082098534</v>
      </c>
      <c r="CR147" s="172">
        <f t="shared" si="429"/>
        <v>32.320915977744015</v>
      </c>
      <c r="CS147" s="172">
        <f t="shared" si="373"/>
        <v>8.879999999999999</v>
      </c>
      <c r="CT147" s="217">
        <f t="shared" si="374"/>
        <v>1.3467048324060007</v>
      </c>
      <c r="CU147" s="217">
        <f t="shared" si="375"/>
        <v>24</v>
      </c>
      <c r="CV147" s="217"/>
      <c r="CW147" s="172">
        <f t="shared" si="376"/>
        <v>121.69709278634636</v>
      </c>
      <c r="CX147" s="172">
        <f t="shared" si="377"/>
        <v>24</v>
      </c>
      <c r="CY147" s="217">
        <f t="shared" si="378"/>
        <v>3.0601368703403393</v>
      </c>
      <c r="CZ147" s="217">
        <f t="shared" si="379"/>
        <v>3.4001520781559327</v>
      </c>
      <c r="DA147" s="217">
        <f t="shared" si="380"/>
        <v>1.8726168774839147</v>
      </c>
      <c r="DB147" s="197">
        <f t="shared" si="381"/>
        <v>261.16478898249903</v>
      </c>
      <c r="DC147" s="443">
        <f t="shared" si="382"/>
        <v>189.65367312944412</v>
      </c>
      <c r="DE147" s="217">
        <f t="shared" si="383"/>
        <v>2.2222222222222223</v>
      </c>
      <c r="DF147" s="173">
        <f t="shared" si="384"/>
        <v>1.3598642855443031</v>
      </c>
      <c r="DG147" s="173">
        <f t="shared" si="385"/>
        <v>0.26320462482489204</v>
      </c>
      <c r="DH147" s="173"/>
      <c r="DI147" s="173">
        <f t="shared" si="386"/>
        <v>1.3598642855443031</v>
      </c>
      <c r="DJ147" s="545">
        <f t="shared" si="387"/>
        <v>367.13249999999988</v>
      </c>
      <c r="DK147" s="528">
        <f t="shared" si="388"/>
        <v>0.26320462482489204</v>
      </c>
      <c r="DM147" s="173">
        <f t="shared" si="389"/>
        <v>2.275961335348208</v>
      </c>
      <c r="DN147" s="173">
        <f t="shared" si="390"/>
        <v>3.0601368703403393</v>
      </c>
      <c r="DO147" s="173">
        <f t="shared" si="391"/>
        <v>1.8206775171245311</v>
      </c>
      <c r="DQ147" s="545">
        <f t="shared" si="392"/>
        <v>370</v>
      </c>
      <c r="DR147" s="460">
        <f t="shared" si="393"/>
        <v>189.65367312944412</v>
      </c>
      <c r="DT147">
        <f t="shared" si="430"/>
        <v>370</v>
      </c>
      <c r="DU147">
        <f t="shared" si="431"/>
        <v>189.65367312944412</v>
      </c>
      <c r="DW147" s="5">
        <f t="shared" si="394"/>
        <v>5.2727689556398474</v>
      </c>
      <c r="DX147" s="5">
        <f t="shared" si="395"/>
        <v>3.4001520781559327</v>
      </c>
      <c r="DY147" s="5">
        <f t="shared" si="396"/>
        <v>1.8726168774839147</v>
      </c>
      <c r="DZ147" s="5"/>
      <c r="EA147" s="173">
        <f t="shared" si="397"/>
        <v>0.64485133082098534</v>
      </c>
      <c r="EB147" s="173">
        <f t="shared" si="398"/>
        <v>8.879999999999999</v>
      </c>
      <c r="EC147" s="173">
        <f t="shared" si="399"/>
        <v>0.3624489795918367</v>
      </c>
      <c r="ED147" s="173">
        <f t="shared" si="400"/>
        <v>24.5</v>
      </c>
      <c r="EE147" s="460">
        <f t="shared" si="401"/>
        <v>5.2419011204903967</v>
      </c>
      <c r="EF147" s="5">
        <f t="shared" si="402"/>
        <v>1.5397072103756628</v>
      </c>
      <c r="EH147" s="173">
        <f t="shared" si="403"/>
        <v>1.4187635568579817</v>
      </c>
      <c r="EI147" s="173">
        <f t="shared" si="404"/>
        <v>0.70228138007789243</v>
      </c>
      <c r="EK147" s="528">
        <f t="shared" si="405"/>
        <v>8.0515601210732465E-2</v>
      </c>
      <c r="EL147" s="528">
        <f t="shared" si="406"/>
        <v>0.404452125</v>
      </c>
      <c r="EM147" s="528">
        <f t="shared" si="407"/>
        <v>3.7930734625888821E-2</v>
      </c>
      <c r="EN147" s="528">
        <f t="shared" si="408"/>
        <v>2.1313950002217068E-2</v>
      </c>
      <c r="EO147">
        <f t="shared" si="409"/>
        <v>4.0499999999999998E-3</v>
      </c>
      <c r="EP147" s="460">
        <f t="shared" si="410"/>
        <v>41.980734625888822</v>
      </c>
      <c r="EQ147" s="460"/>
      <c r="ER147" s="460">
        <f t="shared" si="432"/>
        <v>548.26241083883826</v>
      </c>
      <c r="ES147" s="528">
        <f t="shared" si="411"/>
        <v>0.25900000000000001</v>
      </c>
      <c r="EV147" s="460">
        <f t="shared" si="412"/>
        <v>259</v>
      </c>
      <c r="EW147" s="528">
        <f t="shared" si="413"/>
        <v>6.0386700908049346E-2</v>
      </c>
      <c r="EX147" s="528">
        <f t="shared" si="414"/>
        <v>1.4795974104123276E-2</v>
      </c>
      <c r="EY147" s="528">
        <f t="shared" si="415"/>
        <v>0.40571893711760931</v>
      </c>
      <c r="EZ147" s="528"/>
      <c r="FA147" s="528">
        <f t="shared" si="416"/>
        <v>0.3551999999999999</v>
      </c>
      <c r="FB147" s="460">
        <f t="shared" si="417"/>
        <v>836.10161212978187</v>
      </c>
      <c r="FC147" s="173">
        <f t="shared" si="418"/>
        <v>1.6433640229686202</v>
      </c>
      <c r="FD147" s="5">
        <f t="shared" si="419"/>
        <v>8.879999999999999</v>
      </c>
      <c r="FE147" s="173">
        <f t="shared" si="420"/>
        <v>0.84383662682562688</v>
      </c>
      <c r="FF147" s="5">
        <f t="shared" si="421"/>
        <v>84.383662682562687</v>
      </c>
      <c r="FI147" s="562">
        <f t="shared" si="422"/>
        <v>-50</v>
      </c>
      <c r="FJ147">
        <f t="shared" si="423"/>
        <v>-50</v>
      </c>
      <c r="FL147">
        <f t="shared" si="476"/>
        <v>0.35514866917901466</v>
      </c>
    </row>
    <row r="148" spans="5:168">
      <c r="E148" s="170">
        <v>38</v>
      </c>
      <c r="F148" s="217">
        <f t="shared" si="477"/>
        <v>0.38</v>
      </c>
      <c r="G148" s="217"/>
      <c r="H148" s="217">
        <f t="shared" si="442"/>
        <v>9.120000000000001</v>
      </c>
      <c r="I148" s="541">
        <f t="shared" si="443"/>
        <v>8.8847115653070112</v>
      </c>
      <c r="J148" s="172">
        <f t="shared" si="444"/>
        <v>16.363481667038055</v>
      </c>
      <c r="K148" s="172">
        <f t="shared" si="445"/>
        <v>25.248193232345066</v>
      </c>
      <c r="L148" s="443"/>
      <c r="M148" s="217">
        <f t="shared" si="446"/>
        <v>0.64809709001916616</v>
      </c>
      <c r="N148" s="172">
        <f t="shared" si="447"/>
        <v>32.067489052850902</v>
      </c>
      <c r="O148" s="172">
        <f t="shared" si="438"/>
        <v>9.120000000000001</v>
      </c>
      <c r="P148" s="217">
        <f t="shared" si="448"/>
        <v>1.336145377202121</v>
      </c>
      <c r="Q148" s="217">
        <f t="shared" si="449"/>
        <v>24</v>
      </c>
      <c r="R148" s="217"/>
      <c r="S148" s="172">
        <f t="shared" si="450"/>
        <v>116.62989847939207</v>
      </c>
      <c r="T148" s="172">
        <f t="shared" si="451"/>
        <v>24</v>
      </c>
      <c r="U148" s="217">
        <f t="shared" si="452"/>
        <v>3.2379109479930972</v>
      </c>
      <c r="V148" s="217">
        <f t="shared" si="453"/>
        <v>3.6443624806420059</v>
      </c>
      <c r="W148" s="217">
        <f t="shared" si="454"/>
        <v>1.9787420635031578</v>
      </c>
      <c r="X148" s="197">
        <f t="shared" si="455"/>
        <v>259.12019155219156</v>
      </c>
      <c r="Y148" s="443">
        <f t="shared" si="328"/>
        <v>171.72970061227034</v>
      </c>
      <c r="AA148" s="217">
        <f t="shared" si="456"/>
        <v>2.2222222222222223</v>
      </c>
      <c r="AB148" s="173">
        <f t="shared" si="457"/>
        <v>1.3580375298116283</v>
      </c>
      <c r="AC148" s="173">
        <f t="shared" si="458"/>
        <v>0.2607932535794697</v>
      </c>
      <c r="AD148" s="173"/>
      <c r="AE148" s="173">
        <f t="shared" si="459"/>
        <v>1.3580375298116283</v>
      </c>
      <c r="AF148" s="545">
        <f t="shared" si="460"/>
        <v>377.56219318697987</v>
      </c>
      <c r="AG148" s="528">
        <f t="shared" si="461"/>
        <v>0.26079325357946975</v>
      </c>
      <c r="AI148" s="173">
        <f t="shared" si="462"/>
        <v>2.3080632930870117</v>
      </c>
      <c r="AJ148" s="173">
        <f t="shared" si="463"/>
        <v>3.2379109479930972</v>
      </c>
      <c r="AK148" s="173">
        <f t="shared" si="464"/>
        <v>1.952362019089537</v>
      </c>
      <c r="AM148" s="545">
        <f t="shared" si="465"/>
        <v>380</v>
      </c>
      <c r="AN148" s="460">
        <f t="shared" si="466"/>
        <v>171.72970061227034</v>
      </c>
      <c r="AP148" s="460">
        <f t="shared" si="467"/>
        <v>380</v>
      </c>
      <c r="AQ148" s="460">
        <f t="shared" si="468"/>
        <v>171.72970061227034</v>
      </c>
      <c r="AS148" s="5">
        <f t="shared" si="439"/>
        <v>5.8231045441451643</v>
      </c>
      <c r="AT148" s="5">
        <f t="shared" si="469"/>
        <v>3.6443624806420059</v>
      </c>
      <c r="AU148" s="5">
        <f t="shared" si="343"/>
        <v>2.1787420635031585</v>
      </c>
      <c r="AV148" s="5"/>
      <c r="AW148" s="173">
        <f t="shared" si="344"/>
        <v>0.6258452777232425</v>
      </c>
      <c r="AX148" s="173">
        <f t="shared" si="435"/>
        <v>9.0021286992646861</v>
      </c>
      <c r="AY148" s="173">
        <f t="shared" si="436"/>
        <v>0.40402847044632723</v>
      </c>
      <c r="AZ148" s="173">
        <f t="shared" si="440"/>
        <v>22.280926612226367</v>
      </c>
      <c r="BA148" s="460">
        <f t="shared" si="433"/>
        <v>5.7702405943498434</v>
      </c>
      <c r="BB148" s="5">
        <f t="shared" si="434"/>
        <v>1.8637003082104924</v>
      </c>
      <c r="BD148" s="173">
        <f t="shared" si="441"/>
        <v>1.4788964371564548</v>
      </c>
      <c r="BE148" s="173">
        <f t="shared" si="437"/>
        <v>0.76270346993454741</v>
      </c>
      <c r="BG148" s="528">
        <f t="shared" si="347"/>
        <v>8.7485386873362242E-2</v>
      </c>
      <c r="BH148" s="528">
        <f t="shared" si="470"/>
        <v>0.31588073251074883</v>
      </c>
      <c r="BI148" s="528">
        <f t="shared" si="471"/>
        <v>6.1030754285461952E-2</v>
      </c>
      <c r="BJ148" s="528">
        <f t="shared" si="350"/>
        <v>1.915773105504117E-2</v>
      </c>
      <c r="BK148">
        <f t="shared" si="351"/>
        <v>3.9981202043881548E-3</v>
      </c>
      <c r="BL148" s="460">
        <f t="shared" si="427"/>
        <v>65.028874489850111</v>
      </c>
      <c r="BM148" s="528">
        <f t="shared" si="472"/>
        <v>0.45561557067611191</v>
      </c>
      <c r="BN148" s="460">
        <f t="shared" si="353"/>
        <v>455.61557067611193</v>
      </c>
      <c r="BO148" s="528">
        <f t="shared" si="354"/>
        <v>0.26599999999999996</v>
      </c>
      <c r="BR148" s="460">
        <f t="shared" si="355"/>
        <v>265.99999999999994</v>
      </c>
      <c r="BS148" s="528">
        <f t="shared" si="356"/>
        <v>6.5614040155021675E-2</v>
      </c>
      <c r="BT148" s="528">
        <f t="shared" si="357"/>
        <v>1.7451497491505971E-2</v>
      </c>
      <c r="BU148" s="528">
        <f t="shared" si="358"/>
        <v>0.36454050161774437</v>
      </c>
      <c r="BV148" s="528"/>
      <c r="BW148" s="528">
        <f t="shared" si="359"/>
        <v>0.36008514797058738</v>
      </c>
      <c r="BX148" s="460">
        <f t="shared" si="360"/>
        <v>807.69118723485929</v>
      </c>
      <c r="BY148" s="173">
        <f t="shared" si="361"/>
        <v>1.5612439121638617</v>
      </c>
      <c r="BZ148" s="5">
        <f t="shared" si="362"/>
        <v>9.120000000000001</v>
      </c>
      <c r="CA148" s="173">
        <f t="shared" si="363"/>
        <v>0.85383313731971722</v>
      </c>
      <c r="CB148" s="5">
        <f t="shared" si="364"/>
        <v>85.383313731971725</v>
      </c>
      <c r="CE148" s="562">
        <f t="shared" si="473"/>
        <v>-50</v>
      </c>
      <c r="CF148">
        <f t="shared" si="474"/>
        <v>-50</v>
      </c>
      <c r="CG148" s="173">
        <f t="shared" si="475"/>
        <v>0.34591552982929163</v>
      </c>
      <c r="CI148" s="170">
        <v>38</v>
      </c>
      <c r="CJ148" s="217">
        <f t="shared" si="428"/>
        <v>0.38</v>
      </c>
      <c r="CK148" s="217"/>
      <c r="CL148" s="217">
        <f t="shared" si="368"/>
        <v>9.120000000000001</v>
      </c>
      <c r="CM148" s="541">
        <f t="shared" si="369"/>
        <v>9</v>
      </c>
      <c r="CN148" s="443">
        <f t="shared" si="370"/>
        <v>16.3415</v>
      </c>
      <c r="CO148" s="443">
        <f t="shared" si="371"/>
        <v>25.3415</v>
      </c>
      <c r="CP148" s="443"/>
      <c r="CQ148" s="217">
        <f t="shared" si="372"/>
        <v>0.64485133082098534</v>
      </c>
      <c r="CR148" s="172">
        <f t="shared" si="429"/>
        <v>32.320915977744015</v>
      </c>
      <c r="CS148" s="172">
        <f t="shared" si="373"/>
        <v>9.120000000000001</v>
      </c>
      <c r="CT148" s="217">
        <f t="shared" si="374"/>
        <v>1.3467048324060007</v>
      </c>
      <c r="CU148" s="217">
        <f t="shared" si="375"/>
        <v>24</v>
      </c>
      <c r="CV148" s="217"/>
      <c r="CW148" s="172">
        <f t="shared" si="376"/>
        <v>118.14255914312359</v>
      </c>
      <c r="CX148" s="172">
        <f t="shared" si="377"/>
        <v>24</v>
      </c>
      <c r="CY148" s="217">
        <f t="shared" si="378"/>
        <v>3.1428432722414303</v>
      </c>
      <c r="CZ148" s="217">
        <f t="shared" si="379"/>
        <v>3.4920480802682565</v>
      </c>
      <c r="DA148" s="217">
        <f t="shared" si="380"/>
        <v>1.9232281444429402</v>
      </c>
      <c r="DB148" s="197">
        <f t="shared" si="381"/>
        <v>261.16478898249903</v>
      </c>
      <c r="DC148" s="443">
        <f t="shared" si="382"/>
        <v>184.66278699445868</v>
      </c>
      <c r="DE148" s="217">
        <f t="shared" si="383"/>
        <v>2.2222222222222223</v>
      </c>
      <c r="DF148" s="173">
        <f t="shared" si="384"/>
        <v>1.3598642855443031</v>
      </c>
      <c r="DG148" s="173">
        <f t="shared" si="385"/>
        <v>0.26320462482489204</v>
      </c>
      <c r="DH148" s="173"/>
      <c r="DI148" s="173">
        <f t="shared" si="386"/>
        <v>1.3598642855443031</v>
      </c>
      <c r="DJ148" s="545">
        <f t="shared" si="387"/>
        <v>377.05499999999989</v>
      </c>
      <c r="DK148" s="528">
        <f t="shared" si="388"/>
        <v>0.26320462482489204</v>
      </c>
      <c r="DM148" s="173">
        <f t="shared" si="389"/>
        <v>2.3065125189341589</v>
      </c>
      <c r="DN148" s="173">
        <f t="shared" si="390"/>
        <v>3.1428432722414303</v>
      </c>
      <c r="DO148" s="173">
        <f t="shared" si="391"/>
        <v>1.8819415185327466</v>
      </c>
      <c r="DQ148" s="545">
        <f t="shared" si="392"/>
        <v>380</v>
      </c>
      <c r="DR148" s="460">
        <f t="shared" si="393"/>
        <v>184.66278699445868</v>
      </c>
      <c r="DT148">
        <f t="shared" si="430"/>
        <v>380</v>
      </c>
      <c r="DU148">
        <f t="shared" si="431"/>
        <v>184.66278699445868</v>
      </c>
      <c r="DW148" s="5">
        <f t="shared" si="394"/>
        <v>5.4152762247111959</v>
      </c>
      <c r="DX148" s="5">
        <f t="shared" si="395"/>
        <v>3.4920480802682565</v>
      </c>
      <c r="DY148" s="5">
        <f t="shared" si="396"/>
        <v>1.9232281444429393</v>
      </c>
      <c r="DZ148" s="5"/>
      <c r="EA148" s="173">
        <f t="shared" si="397"/>
        <v>0.64485133082098545</v>
      </c>
      <c r="EB148" s="173">
        <f t="shared" si="398"/>
        <v>9.120000000000001</v>
      </c>
      <c r="EC148" s="173">
        <f t="shared" si="399"/>
        <v>0.37224489795918364</v>
      </c>
      <c r="ED148" s="173">
        <f t="shared" si="400"/>
        <v>24.500000000000004</v>
      </c>
      <c r="EE148" s="460">
        <f t="shared" si="401"/>
        <v>5.5290761270914057</v>
      </c>
      <c r="EF148" s="5">
        <f t="shared" si="402"/>
        <v>1.6240593219740376</v>
      </c>
      <c r="EH148" s="173">
        <f t="shared" si="403"/>
        <v>1.4571085178541439</v>
      </c>
      <c r="EI148" s="173">
        <f t="shared" si="404"/>
        <v>0.72126195791783554</v>
      </c>
      <c r="EK148" s="528">
        <f t="shared" si="405"/>
        <v>8.4926609312123993E-2</v>
      </c>
      <c r="EL148" s="528">
        <f t="shared" si="406"/>
        <v>0.404452125</v>
      </c>
      <c r="EM148" s="528">
        <f t="shared" si="407"/>
        <v>3.6932557398891737E-2</v>
      </c>
      <c r="EN148" s="528">
        <f t="shared" si="408"/>
        <v>2.0753056581106086E-2</v>
      </c>
      <c r="EO148">
        <f t="shared" si="409"/>
        <v>4.0499999999999998E-3</v>
      </c>
      <c r="EP148" s="460">
        <f t="shared" si="410"/>
        <v>40.982557398891736</v>
      </c>
      <c r="EQ148" s="460"/>
      <c r="ER148" s="460">
        <f t="shared" si="432"/>
        <v>551.1143482921218</v>
      </c>
      <c r="ES148" s="528">
        <f t="shared" si="411"/>
        <v>0.26599999999999996</v>
      </c>
      <c r="EV148" s="460">
        <f t="shared" si="412"/>
        <v>265.99999999999994</v>
      </c>
      <c r="EW148" s="528">
        <f t="shared" si="413"/>
        <v>6.3694956984092985E-2</v>
      </c>
      <c r="EX148" s="528">
        <f t="shared" si="414"/>
        <v>1.5606564358184088E-2</v>
      </c>
      <c r="EY148" s="528">
        <f t="shared" si="415"/>
        <v>0.40571893711760948</v>
      </c>
      <c r="EZ148" s="528"/>
      <c r="FA148" s="528">
        <f t="shared" si="416"/>
        <v>0.36480000000000001</v>
      </c>
      <c r="FB148" s="460">
        <f t="shared" si="417"/>
        <v>849.82045845988648</v>
      </c>
      <c r="FC148" s="173">
        <f t="shared" si="418"/>
        <v>1.6669348067520082</v>
      </c>
      <c r="FD148" s="5">
        <f t="shared" si="419"/>
        <v>9.120000000000001</v>
      </c>
      <c r="FE148" s="173">
        <f t="shared" si="420"/>
        <v>0.84546724008115803</v>
      </c>
      <c r="FF148" s="5">
        <f t="shared" si="421"/>
        <v>84.546724008115802</v>
      </c>
      <c r="FI148" s="562">
        <f t="shared" si="422"/>
        <v>-50</v>
      </c>
      <c r="FJ148">
        <f t="shared" si="423"/>
        <v>-50</v>
      </c>
      <c r="FL148">
        <f t="shared" si="476"/>
        <v>0.35514866917901455</v>
      </c>
    </row>
    <row r="149" spans="5:168">
      <c r="E149" s="170">
        <v>39</v>
      </c>
      <c r="F149" s="217">
        <f t="shared" si="477"/>
        <v>0.39</v>
      </c>
      <c r="G149" s="217"/>
      <c r="H149" s="217">
        <f t="shared" si="442"/>
        <v>9.36</v>
      </c>
      <c r="I149" s="541">
        <f t="shared" si="443"/>
        <v>8.8817585844356088</v>
      </c>
      <c r="J149" s="172">
        <f t="shared" si="444"/>
        <v>16.364044702198154</v>
      </c>
      <c r="K149" s="172">
        <f t="shared" si="445"/>
        <v>25.245803286633762</v>
      </c>
      <c r="L149" s="443"/>
      <c r="M149" s="217">
        <f t="shared" si="446"/>
        <v>0.64818075292817834</v>
      </c>
      <c r="N149" s="172">
        <f t="shared" si="447"/>
        <v>32.060969111414373</v>
      </c>
      <c r="O149" s="172">
        <f t="shared" si="438"/>
        <v>9.36</v>
      </c>
      <c r="P149" s="217">
        <f t="shared" si="448"/>
        <v>1.3358737129755989</v>
      </c>
      <c r="Q149" s="217">
        <f t="shared" si="449"/>
        <v>24</v>
      </c>
      <c r="R149" s="217"/>
      <c r="S149" s="172">
        <f t="shared" si="450"/>
        <v>113.26332259453521</v>
      </c>
      <c r="T149" s="172">
        <f t="shared" si="451"/>
        <v>24</v>
      </c>
      <c r="U149" s="217">
        <f t="shared" si="452"/>
        <v>3.3239093713229804</v>
      </c>
      <c r="V149" s="217">
        <f t="shared" si="453"/>
        <v>3.7424000435542109</v>
      </c>
      <c r="W149" s="217">
        <f t="shared" si="454"/>
        <v>2.0312272618495633</v>
      </c>
      <c r="X149" s="197">
        <f t="shared" si="455"/>
        <v>259.06750435647257</v>
      </c>
      <c r="Y149" s="443">
        <f t="shared" si="328"/>
        <v>167.40247572783704</v>
      </c>
      <c r="AA149" s="217">
        <f t="shared" si="456"/>
        <v>2.2222222222222223</v>
      </c>
      <c r="AB149" s="173">
        <f t="shared" si="457"/>
        <v>1.3579908040239681</v>
      </c>
      <c r="AC149" s="173">
        <f t="shared" si="458"/>
        <v>0.26073125494947985</v>
      </c>
      <c r="AD149" s="173"/>
      <c r="AE149" s="173">
        <f t="shared" si="459"/>
        <v>1.3579908040239681</v>
      </c>
      <c r="AF149" s="545">
        <f t="shared" si="460"/>
        <v>387.51137342011953</v>
      </c>
      <c r="AG149" s="528">
        <f t="shared" si="461"/>
        <v>0.26073125494947991</v>
      </c>
      <c r="AI149" s="173">
        <f t="shared" si="462"/>
        <v>2.3382755623696023</v>
      </c>
      <c r="AJ149" s="173">
        <f t="shared" si="463"/>
        <v>3.3239093713229804</v>
      </c>
      <c r="AK149" s="173">
        <f t="shared" si="464"/>
        <v>2.0160645548894505</v>
      </c>
      <c r="AM149" s="545">
        <f t="shared" si="465"/>
        <v>390</v>
      </c>
      <c r="AN149" s="460">
        <f t="shared" si="466"/>
        <v>167.40247572783704</v>
      </c>
      <c r="AP149" s="460">
        <f t="shared" si="467"/>
        <v>390</v>
      </c>
      <c r="AQ149" s="460">
        <f t="shared" si="468"/>
        <v>167.40247572783704</v>
      </c>
      <c r="AS149" s="5">
        <f t="shared" si="439"/>
        <v>5.9736273054037747</v>
      </c>
      <c r="AT149" s="5">
        <f t="shared" si="469"/>
        <v>3.7424000435542109</v>
      </c>
      <c r="AU149" s="5">
        <f t="shared" si="343"/>
        <v>2.2312272618495639</v>
      </c>
      <c r="AV149" s="5"/>
      <c r="AW149" s="173">
        <f t="shared" si="344"/>
        <v>0.62648703245494008</v>
      </c>
      <c r="AX149" s="173">
        <f t="shared" si="435"/>
        <v>9.2476253906686772</v>
      </c>
      <c r="AY149" s="173">
        <f t="shared" si="436"/>
        <v>0.41404800492008259</v>
      </c>
      <c r="AZ149" s="173">
        <f t="shared" si="440"/>
        <v>22.334669605408692</v>
      </c>
      <c r="BA149" s="460">
        <f t="shared" si="433"/>
        <v>6.0814000707755929</v>
      </c>
      <c r="BB149" s="5">
        <f t="shared" si="434"/>
        <v>1.9594737322543996</v>
      </c>
      <c r="BD149" s="173">
        <f t="shared" si="441"/>
        <v>1.5189538870510297</v>
      </c>
      <c r="BE149" s="173">
        <f t="shared" si="437"/>
        <v>0.78228899824761033</v>
      </c>
      <c r="BG149" s="528">
        <f t="shared" si="347"/>
        <v>9.2288836439497285E-2</v>
      </c>
      <c r="BH149" s="528">
        <f t="shared" si="470"/>
        <v>0.31606962594401333</v>
      </c>
      <c r="BI149" s="528">
        <f t="shared" si="471"/>
        <v>5.9473135034059613E-2</v>
      </c>
      <c r="BJ149" s="528">
        <f t="shared" si="350"/>
        <v>1.8671461479844921E-2</v>
      </c>
      <c r="BK149">
        <f t="shared" si="351"/>
        <v>3.9967913629960243E-3</v>
      </c>
      <c r="BL149" s="460">
        <f t="shared" si="427"/>
        <v>63.469926397055637</v>
      </c>
      <c r="BM149" s="528">
        <f t="shared" si="472"/>
        <v>0.46208032743063265</v>
      </c>
      <c r="BN149" s="460">
        <f t="shared" si="353"/>
        <v>462.08032743063268</v>
      </c>
      <c r="BO149" s="528">
        <f t="shared" si="354"/>
        <v>0.27299999999999996</v>
      </c>
      <c r="BR149" s="460">
        <f t="shared" si="355"/>
        <v>272.99999999999994</v>
      </c>
      <c r="BS149" s="528">
        <f t="shared" si="356"/>
        <v>6.9216627329622957E-2</v>
      </c>
      <c r="BT149" s="528">
        <f t="shared" si="357"/>
        <v>1.8359282303377491E-2</v>
      </c>
      <c r="BU149" s="528">
        <f t="shared" si="358"/>
        <v>0.3651721348550333</v>
      </c>
      <c r="BV149" s="528"/>
      <c r="BW149" s="528">
        <f t="shared" si="359"/>
        <v>0.36990501562674705</v>
      </c>
      <c r="BX149" s="460">
        <f t="shared" si="360"/>
        <v>822.65306011478083</v>
      </c>
      <c r="BY149" s="173">
        <f t="shared" si="361"/>
        <v>1.5861529103751919</v>
      </c>
      <c r="BZ149" s="5">
        <f t="shared" si="362"/>
        <v>9.36</v>
      </c>
      <c r="CA149" s="173">
        <f t="shared" si="363"/>
        <v>0.85509494309441136</v>
      </c>
      <c r="CB149" s="5">
        <f t="shared" si="364"/>
        <v>85.509494309441138</v>
      </c>
      <c r="CE149" s="562">
        <f t="shared" si="473"/>
        <v>-50</v>
      </c>
      <c r="CF149">
        <f t="shared" si="474"/>
        <v>-50</v>
      </c>
      <c r="CG149" s="173">
        <f t="shared" si="475"/>
        <v>0.34615227699210516</v>
      </c>
      <c r="CI149" s="170">
        <v>39</v>
      </c>
      <c r="CJ149" s="217">
        <f t="shared" si="428"/>
        <v>0.39</v>
      </c>
      <c r="CK149" s="217"/>
      <c r="CL149" s="217">
        <f t="shared" si="368"/>
        <v>9.36</v>
      </c>
      <c r="CM149" s="541">
        <f t="shared" si="369"/>
        <v>9</v>
      </c>
      <c r="CN149" s="443">
        <f t="shared" si="370"/>
        <v>16.3415</v>
      </c>
      <c r="CO149" s="443">
        <f t="shared" si="371"/>
        <v>25.3415</v>
      </c>
      <c r="CP149" s="443"/>
      <c r="CQ149" s="217">
        <f t="shared" si="372"/>
        <v>0.64485133082098534</v>
      </c>
      <c r="CR149" s="172">
        <f t="shared" si="429"/>
        <v>32.320915977744015</v>
      </c>
      <c r="CS149" s="172">
        <f t="shared" si="373"/>
        <v>9.36</v>
      </c>
      <c r="CT149" s="217">
        <f t="shared" si="374"/>
        <v>1.3467048324060007</v>
      </c>
      <c r="CU149" s="217">
        <f t="shared" si="375"/>
        <v>24</v>
      </c>
      <c r="CV149" s="217"/>
      <c r="CW149" s="172">
        <f t="shared" si="376"/>
        <v>114.77040353024945</v>
      </c>
      <c r="CX149" s="172">
        <f t="shared" si="377"/>
        <v>24</v>
      </c>
      <c r="CY149" s="217">
        <f t="shared" si="378"/>
        <v>3.22554967414252</v>
      </c>
      <c r="CZ149" s="217">
        <f t="shared" si="379"/>
        <v>3.5839440823805782</v>
      </c>
      <c r="DA149" s="217">
        <f t="shared" si="380"/>
        <v>1.9738394114019646</v>
      </c>
      <c r="DB149" s="197">
        <f t="shared" si="381"/>
        <v>261.16478898249903</v>
      </c>
      <c r="DC149" s="443">
        <f t="shared" si="382"/>
        <v>179.92784373819055</v>
      </c>
      <c r="DE149" s="217">
        <f t="shared" si="383"/>
        <v>2.2222222222222223</v>
      </c>
      <c r="DF149" s="173">
        <f t="shared" si="384"/>
        <v>1.3598642855443031</v>
      </c>
      <c r="DG149" s="173">
        <f t="shared" si="385"/>
        <v>0.26320462482489204</v>
      </c>
      <c r="DH149" s="173"/>
      <c r="DI149" s="173">
        <f t="shared" si="386"/>
        <v>1.3598642855443031</v>
      </c>
      <c r="DJ149" s="545">
        <f t="shared" si="387"/>
        <v>386.97749999999991</v>
      </c>
      <c r="DK149" s="528">
        <f t="shared" si="388"/>
        <v>0.26320462482489204</v>
      </c>
      <c r="DM149" s="173">
        <f t="shared" si="389"/>
        <v>2.3366642891095841</v>
      </c>
      <c r="DN149" s="173">
        <f t="shared" si="390"/>
        <v>3.22554967414252</v>
      </c>
      <c r="DO149" s="173">
        <f t="shared" si="391"/>
        <v>1.9432055199409612</v>
      </c>
      <c r="DQ149" s="545">
        <f t="shared" si="392"/>
        <v>390</v>
      </c>
      <c r="DR149" s="460">
        <f t="shared" si="393"/>
        <v>179.92784373819055</v>
      </c>
      <c r="DT149">
        <f t="shared" si="430"/>
        <v>390</v>
      </c>
      <c r="DU149">
        <f t="shared" si="431"/>
        <v>179.92784373819055</v>
      </c>
      <c r="DW149" s="5">
        <f t="shared" si="394"/>
        <v>5.5577834937825425</v>
      </c>
      <c r="DX149" s="5">
        <f t="shared" si="395"/>
        <v>3.5839440823805782</v>
      </c>
      <c r="DY149" s="5">
        <f t="shared" si="396"/>
        <v>1.9738394114019644</v>
      </c>
      <c r="DZ149" s="5"/>
      <c r="EA149" s="173">
        <f t="shared" si="397"/>
        <v>0.64485133082098534</v>
      </c>
      <c r="EB149" s="173">
        <f t="shared" si="398"/>
        <v>9.3599999999999977</v>
      </c>
      <c r="EC149" s="173">
        <f t="shared" si="399"/>
        <v>0.38204081632653053</v>
      </c>
      <c r="ED149" s="173">
        <f t="shared" si="400"/>
        <v>24.5</v>
      </c>
      <c r="EE149" s="460">
        <f t="shared" si="401"/>
        <v>5.8239091338684403</v>
      </c>
      <c r="EF149" s="5">
        <f t="shared" si="402"/>
        <v>1.7106608232150358</v>
      </c>
      <c r="EH149" s="173">
        <f t="shared" si="403"/>
        <v>1.4954534788503053</v>
      </c>
      <c r="EI149" s="173">
        <f t="shared" si="404"/>
        <v>0.74024253575777843</v>
      </c>
      <c r="EK149" s="528">
        <f t="shared" si="405"/>
        <v>8.9455244296219233E-2</v>
      </c>
      <c r="EL149" s="528">
        <f t="shared" si="406"/>
        <v>0.404452125</v>
      </c>
      <c r="EM149" s="528">
        <f t="shared" si="407"/>
        <v>3.5985568747638107E-2</v>
      </c>
      <c r="EN149" s="528">
        <f t="shared" si="408"/>
        <v>2.022092692518029E-2</v>
      </c>
      <c r="EO149">
        <f t="shared" si="409"/>
        <v>4.0499999999999998E-3</v>
      </c>
      <c r="EP149" s="460">
        <f t="shared" si="410"/>
        <v>40.035568747638102</v>
      </c>
      <c r="EQ149" s="460"/>
      <c r="ER149" s="460">
        <f t="shared" si="432"/>
        <v>554.16386496903772</v>
      </c>
      <c r="ES149" s="528">
        <f t="shared" si="411"/>
        <v>0.27299999999999996</v>
      </c>
      <c r="EV149" s="460">
        <f t="shared" si="412"/>
        <v>272.99999999999994</v>
      </c>
      <c r="EW149" s="528">
        <f t="shared" si="413"/>
        <v>6.7091433222164418E-2</v>
      </c>
      <c r="EX149" s="528">
        <f t="shared" si="414"/>
        <v>1.6438770352353176E-2</v>
      </c>
      <c r="EY149" s="528">
        <f t="shared" si="415"/>
        <v>0.4057189371176097</v>
      </c>
      <c r="EZ149" s="528"/>
      <c r="FA149" s="528">
        <f t="shared" si="416"/>
        <v>0.37439999999999996</v>
      </c>
      <c r="FB149" s="460">
        <f t="shared" si="417"/>
        <v>863.64914069212728</v>
      </c>
      <c r="FC149" s="173">
        <f t="shared" si="418"/>
        <v>1.6908130056611648</v>
      </c>
      <c r="FD149" s="5">
        <f t="shared" si="419"/>
        <v>9.36</v>
      </c>
      <c r="FE149" s="173">
        <f t="shared" si="420"/>
        <v>0.84699650561501794</v>
      </c>
      <c r="FF149" s="5">
        <f t="shared" si="421"/>
        <v>84.699650561501798</v>
      </c>
      <c r="FI149" s="562">
        <f t="shared" si="422"/>
        <v>-50</v>
      </c>
      <c r="FJ149">
        <f t="shared" si="423"/>
        <v>-50</v>
      </c>
      <c r="FL149">
        <f t="shared" si="476"/>
        <v>0.35514866917901466</v>
      </c>
    </row>
    <row r="150" spans="5:168">
      <c r="E150" s="170">
        <v>40</v>
      </c>
      <c r="F150" s="217">
        <f t="shared" si="477"/>
        <v>0.4</v>
      </c>
      <c r="G150" s="217"/>
      <c r="H150" s="217">
        <f t="shared" si="442"/>
        <v>9.6000000000000014</v>
      </c>
      <c r="I150" s="541">
        <f t="shared" si="443"/>
        <v>8.878805498471289</v>
      </c>
      <c r="J150" s="172">
        <f t="shared" si="444"/>
        <v>16.364607757395977</v>
      </c>
      <c r="K150" s="172">
        <f t="shared" si="445"/>
        <v>25.243413255867267</v>
      </c>
      <c r="L150" s="443"/>
      <c r="M150" s="217">
        <f t="shared" si="446"/>
        <v>0.64826443437560266</v>
      </c>
      <c r="N150" s="172">
        <f t="shared" si="447"/>
        <v>32.054446955504254</v>
      </c>
      <c r="O150" s="172">
        <f t="shared" si="438"/>
        <v>9.6000000000000014</v>
      </c>
      <c r="P150" s="217">
        <f t="shared" si="448"/>
        <v>1.335601956479344</v>
      </c>
      <c r="Q150" s="217">
        <f t="shared" si="449"/>
        <v>24</v>
      </c>
      <c r="R150" s="217"/>
      <c r="S150" s="172">
        <f t="shared" si="450"/>
        <v>110.06538821008601</v>
      </c>
      <c r="T150" s="172">
        <f t="shared" si="451"/>
        <v>24</v>
      </c>
      <c r="U150" s="217">
        <f t="shared" si="452"/>
        <v>3.4099488850975637</v>
      </c>
      <c r="V150" s="217">
        <f t="shared" si="453"/>
        <v>3.8405491433331576</v>
      </c>
      <c r="W150" s="217">
        <f t="shared" si="454"/>
        <v>2.0837339554053407</v>
      </c>
      <c r="X150" s="197">
        <f t="shared" si="455"/>
        <v>259.01479938064591</v>
      </c>
      <c r="Y150" s="443">
        <f t="shared" si="328"/>
        <v>163.28441776409446</v>
      </c>
      <c r="AA150" s="217">
        <f t="shared" si="456"/>
        <v>2.2222222222222223</v>
      </c>
      <c r="AB150" s="173">
        <f t="shared" si="457"/>
        <v>1.35794407978883</v>
      </c>
      <c r="AC150" s="173">
        <f t="shared" si="458"/>
        <v>0.26066924237284289</v>
      </c>
      <c r="AD150" s="173"/>
      <c r="AE150" s="173">
        <f t="shared" si="459"/>
        <v>1.35794407978883</v>
      </c>
      <c r="AF150" s="545">
        <f t="shared" si="460"/>
        <v>397.46123788577921</v>
      </c>
      <c r="AG150" s="528">
        <f t="shared" si="461"/>
        <v>0.26066924237284295</v>
      </c>
      <c r="AI150" s="173">
        <f t="shared" si="462"/>
        <v>2.3681044530021169</v>
      </c>
      <c r="AJ150" s="173">
        <f t="shared" si="463"/>
        <v>3.4099488850975637</v>
      </c>
      <c r="AK150" s="173">
        <f t="shared" si="464"/>
        <v>2.0797975280558081</v>
      </c>
      <c r="AM150" s="545">
        <f t="shared" si="465"/>
        <v>400</v>
      </c>
      <c r="AN150" s="460">
        <f t="shared" si="466"/>
        <v>163.28441776409446</v>
      </c>
      <c r="AP150" s="460">
        <f t="shared" si="467"/>
        <v>400</v>
      </c>
      <c r="AQ150" s="460">
        <f t="shared" si="468"/>
        <v>163.28441776409446</v>
      </c>
      <c r="AS150" s="5">
        <f t="shared" si="439"/>
        <v>6.1242830987384984</v>
      </c>
      <c r="AT150" s="5">
        <f t="shared" si="469"/>
        <v>3.8405491433331576</v>
      </c>
      <c r="AU150" s="5">
        <f t="shared" si="343"/>
        <v>2.2837339554053409</v>
      </c>
      <c r="AV150" s="5"/>
      <c r="AW150" s="173">
        <f t="shared" si="344"/>
        <v>0.62710183076354642</v>
      </c>
      <c r="AX150" s="173">
        <f t="shared" si="435"/>
        <v>9.4931530854388857</v>
      </c>
      <c r="AY150" s="173">
        <f t="shared" si="436"/>
        <v>0.42406649276366298</v>
      </c>
      <c r="AZ150" s="173">
        <f t="shared" si="440"/>
        <v>22.386001364011388</v>
      </c>
      <c r="BA150" s="460">
        <f t="shared" si="433"/>
        <v>6.4009152388885964</v>
      </c>
      <c r="BB150" s="5">
        <f t="shared" si="434"/>
        <v>2.0576947705846633</v>
      </c>
      <c r="BD150" s="173">
        <f t="shared" si="441"/>
        <v>1.5590364748739916</v>
      </c>
      <c r="BE150" s="173">
        <f t="shared" si="437"/>
        <v>0.80187782021363663</v>
      </c>
      <c r="BG150" s="528">
        <f t="shared" si="347"/>
        <v>9.7223789199500893E-2</v>
      </c>
      <c r="BH150" s="528">
        <f t="shared" si="470"/>
        <v>0.31624466386551109</v>
      </c>
      <c r="BI150" s="528">
        <f t="shared" si="471"/>
        <v>5.7990823450340998E-2</v>
      </c>
      <c r="BJ150" s="528">
        <f t="shared" si="350"/>
        <v>1.8208700176532817E-2</v>
      </c>
      <c r="BK150">
        <f t="shared" si="351"/>
        <v>3.99546247431208E-3</v>
      </c>
      <c r="BL150" s="460">
        <f t="shared" si="427"/>
        <v>61.986285924653082</v>
      </c>
      <c r="BM150" s="528">
        <f t="shared" si="472"/>
        <v>0.46875601479142581</v>
      </c>
      <c r="BN150" s="460">
        <f t="shared" si="353"/>
        <v>468.7560147914258</v>
      </c>
      <c r="BO150" s="528">
        <f t="shared" si="354"/>
        <v>0.27999999999999997</v>
      </c>
      <c r="BR150" s="460">
        <f t="shared" si="355"/>
        <v>279.99999999999994</v>
      </c>
      <c r="BS150" s="528">
        <f t="shared" si="356"/>
        <v>7.2917841899625663E-2</v>
      </c>
      <c r="BT150" s="528">
        <f t="shared" si="357"/>
        <v>1.9290241156517198E-2</v>
      </c>
      <c r="BU150" s="528">
        <f t="shared" si="358"/>
        <v>0.36576448307845283</v>
      </c>
      <c r="BV150" s="528"/>
      <c r="BW150" s="528">
        <f t="shared" si="359"/>
        <v>0.37972612341755541</v>
      </c>
      <c r="BX150" s="460">
        <f t="shared" si="360"/>
        <v>837.69868955215111</v>
      </c>
      <c r="BY150" s="173">
        <f t="shared" si="361"/>
        <v>1.6113621287183491</v>
      </c>
      <c r="BZ150" s="5">
        <f t="shared" si="362"/>
        <v>9.6000000000000014</v>
      </c>
      <c r="CA150" s="173">
        <f t="shared" si="363"/>
        <v>0.85627418771972574</v>
      </c>
      <c r="CB150" s="5">
        <f t="shared" si="364"/>
        <v>85.627418771972572</v>
      </c>
      <c r="CE150" s="562">
        <f t="shared" si="473"/>
        <v>-50</v>
      </c>
      <c r="CF150">
        <f t="shared" si="474"/>
        <v>-50</v>
      </c>
      <c r="CG150" s="173">
        <f t="shared" si="475"/>
        <v>0.34637718679677787</v>
      </c>
      <c r="CI150" s="170">
        <v>40</v>
      </c>
      <c r="CJ150" s="217">
        <f t="shared" si="428"/>
        <v>0.4</v>
      </c>
      <c r="CK150" s="217"/>
      <c r="CL150" s="217">
        <f t="shared" si="368"/>
        <v>9.6000000000000014</v>
      </c>
      <c r="CM150" s="541">
        <f t="shared" si="369"/>
        <v>9</v>
      </c>
      <c r="CN150" s="443">
        <f t="shared" si="370"/>
        <v>16.3415</v>
      </c>
      <c r="CO150" s="443">
        <f t="shared" si="371"/>
        <v>25.3415</v>
      </c>
      <c r="CP150" s="443"/>
      <c r="CQ150" s="217">
        <f t="shared" si="372"/>
        <v>0.64485133082098534</v>
      </c>
      <c r="CR150" s="172">
        <f t="shared" si="429"/>
        <v>32.320915977744015</v>
      </c>
      <c r="CS150" s="172">
        <f t="shared" si="373"/>
        <v>9.6000000000000014</v>
      </c>
      <c r="CT150" s="217">
        <f t="shared" si="374"/>
        <v>1.3467048324060007</v>
      </c>
      <c r="CU150" s="217">
        <f t="shared" si="375"/>
        <v>24</v>
      </c>
      <c r="CV150" s="217"/>
      <c r="CW150" s="172">
        <f t="shared" si="376"/>
        <v>111.56694837915903</v>
      </c>
      <c r="CX150" s="172">
        <f t="shared" si="377"/>
        <v>24</v>
      </c>
      <c r="CY150" s="217">
        <f t="shared" si="378"/>
        <v>3.308256076043611</v>
      </c>
      <c r="CZ150" s="217">
        <f t="shared" si="379"/>
        <v>3.6758400844929016</v>
      </c>
      <c r="DA150" s="217">
        <f t="shared" si="380"/>
        <v>2.0244506783609895</v>
      </c>
      <c r="DB150" s="197">
        <f t="shared" si="381"/>
        <v>261.16478898249903</v>
      </c>
      <c r="DC150" s="443">
        <f t="shared" si="382"/>
        <v>175.42964764473572</v>
      </c>
      <c r="DE150" s="217">
        <f t="shared" si="383"/>
        <v>2.2222222222222223</v>
      </c>
      <c r="DF150" s="173">
        <f t="shared" si="384"/>
        <v>1.3598642855443031</v>
      </c>
      <c r="DG150" s="173">
        <f t="shared" si="385"/>
        <v>0.26320462482489204</v>
      </c>
      <c r="DH150" s="173"/>
      <c r="DI150" s="173">
        <f t="shared" si="386"/>
        <v>1.3598642855443031</v>
      </c>
      <c r="DJ150" s="545">
        <f t="shared" si="387"/>
        <v>396.89999999999986</v>
      </c>
      <c r="DK150" s="528">
        <f t="shared" si="388"/>
        <v>0.26320462482489204</v>
      </c>
      <c r="DM150" s="173">
        <f t="shared" si="389"/>
        <v>2.3664319132398464</v>
      </c>
      <c r="DN150" s="173">
        <f t="shared" si="390"/>
        <v>3.308256076043611</v>
      </c>
      <c r="DO150" s="173">
        <f t="shared" si="391"/>
        <v>2.0044695213491766</v>
      </c>
      <c r="DQ150" s="545">
        <f t="shared" si="392"/>
        <v>400</v>
      </c>
      <c r="DR150" s="460">
        <f t="shared" si="393"/>
        <v>175.42964764473572</v>
      </c>
      <c r="DT150">
        <f t="shared" si="430"/>
        <v>400</v>
      </c>
      <c r="DU150">
        <f t="shared" si="431"/>
        <v>175.42964764473572</v>
      </c>
      <c r="DW150" s="5">
        <f t="shared" si="394"/>
        <v>5.700290762853891</v>
      </c>
      <c r="DX150" s="5">
        <f t="shared" si="395"/>
        <v>3.6758400844929016</v>
      </c>
      <c r="DY150" s="5">
        <f t="shared" si="396"/>
        <v>2.0244506783609895</v>
      </c>
      <c r="DZ150" s="5"/>
      <c r="EA150" s="173">
        <f t="shared" si="397"/>
        <v>0.64485133082098534</v>
      </c>
      <c r="EB150" s="173">
        <f t="shared" si="398"/>
        <v>9.6</v>
      </c>
      <c r="EC150" s="173">
        <f t="shared" si="399"/>
        <v>0.39183673469387759</v>
      </c>
      <c r="ED150" s="173">
        <f t="shared" si="400"/>
        <v>24.499999999999996</v>
      </c>
      <c r="EE150" s="460">
        <f t="shared" si="401"/>
        <v>6.1264001408215023</v>
      </c>
      <c r="EF150" s="5">
        <f t="shared" si="402"/>
        <v>1.7995117140986572</v>
      </c>
      <c r="EH150" s="173">
        <f t="shared" si="403"/>
        <v>1.5337984398464672</v>
      </c>
      <c r="EI150" s="173">
        <f t="shared" si="404"/>
        <v>0.75922311359772165</v>
      </c>
      <c r="EK150" s="528">
        <f t="shared" si="405"/>
        <v>9.4101506163018267E-2</v>
      </c>
      <c r="EL150" s="528">
        <f t="shared" si="406"/>
        <v>0.40445212499999994</v>
      </c>
      <c r="EM150" s="528">
        <f t="shared" si="407"/>
        <v>3.5085929528947138E-2</v>
      </c>
      <c r="EN150" s="528">
        <f t="shared" si="408"/>
        <v>1.9715403752050779E-2</v>
      </c>
      <c r="EO150">
        <f t="shared" si="409"/>
        <v>4.0499999999999998E-3</v>
      </c>
      <c r="EP150" s="460">
        <f t="shared" si="410"/>
        <v>39.135929528947138</v>
      </c>
      <c r="EQ150" s="460"/>
      <c r="ER150" s="460">
        <f t="shared" si="432"/>
        <v>557.40496444401617</v>
      </c>
      <c r="ES150" s="528">
        <f t="shared" si="411"/>
        <v>0.27999999999999997</v>
      </c>
      <c r="EV150" s="460">
        <f t="shared" si="412"/>
        <v>279.99999999999994</v>
      </c>
      <c r="EW150" s="528">
        <f t="shared" si="413"/>
        <v>7.05761296222637E-2</v>
      </c>
      <c r="EX150" s="528">
        <f t="shared" si="414"/>
        <v>1.7292592086630566E-2</v>
      </c>
      <c r="EY150" s="528">
        <f t="shared" si="415"/>
        <v>0.40571893711760948</v>
      </c>
      <c r="EZ150" s="528"/>
      <c r="FA150" s="528">
        <f t="shared" si="416"/>
        <v>0.38399999999999995</v>
      </c>
      <c r="FB150" s="460">
        <f t="shared" si="417"/>
        <v>877.58765882650368</v>
      </c>
      <c r="FC150" s="173">
        <f t="shared" si="418"/>
        <v>1.7149926232705199</v>
      </c>
      <c r="FD150" s="5">
        <f t="shared" si="419"/>
        <v>9.6000000000000014</v>
      </c>
      <c r="FE150" s="173">
        <f t="shared" si="420"/>
        <v>0.8484318390324489</v>
      </c>
      <c r="FF150" s="5">
        <f t="shared" si="421"/>
        <v>84.843183903244892</v>
      </c>
      <c r="FI150" s="562">
        <f t="shared" si="422"/>
        <v>-50</v>
      </c>
      <c r="FJ150">
        <f t="shared" si="423"/>
        <v>-50</v>
      </c>
      <c r="FL150">
        <f t="shared" si="476"/>
        <v>0.35514866917901466</v>
      </c>
    </row>
    <row r="151" spans="5:168">
      <c r="E151" s="170">
        <v>41</v>
      </c>
      <c r="F151" s="217">
        <f t="shared" si="477"/>
        <v>0.41</v>
      </c>
      <c r="G151" s="217"/>
      <c r="H151" s="217">
        <f t="shared" si="442"/>
        <v>9.84</v>
      </c>
      <c r="I151" s="541">
        <f t="shared" si="443"/>
        <v>8.8758523152936419</v>
      </c>
      <c r="J151" s="172">
        <f t="shared" si="444"/>
        <v>16.365170831129142</v>
      </c>
      <c r="K151" s="172">
        <f t="shared" si="445"/>
        <v>25.241023146422783</v>
      </c>
      <c r="L151" s="443"/>
      <c r="M151" s="217">
        <f t="shared" si="446"/>
        <v>0.64834813416534776</v>
      </c>
      <c r="N151" s="172">
        <f t="shared" si="447"/>
        <v>32.047922602816897</v>
      </c>
      <c r="O151" s="172">
        <f t="shared" si="438"/>
        <v>9.84</v>
      </c>
      <c r="P151" s="217">
        <f t="shared" si="448"/>
        <v>1.3353301084507041</v>
      </c>
      <c r="Q151" s="217">
        <f t="shared" si="449"/>
        <v>24</v>
      </c>
      <c r="R151" s="217"/>
      <c r="S151" s="172">
        <f t="shared" si="450"/>
        <v>107.02375658105866</v>
      </c>
      <c r="T151" s="172">
        <f t="shared" si="451"/>
        <v>24</v>
      </c>
      <c r="U151" s="217">
        <f t="shared" si="452"/>
        <v>3.4960295303093529</v>
      </c>
      <c r="V151" s="217">
        <f t="shared" si="453"/>
        <v>3.9388099374811345</v>
      </c>
      <c r="W151" s="217">
        <f t="shared" si="454"/>
        <v>2.1362621670036908</v>
      </c>
      <c r="X151" s="197">
        <f t="shared" si="455"/>
        <v>258.96207675918924</v>
      </c>
      <c r="Y151" s="443">
        <f t="shared" si="328"/>
        <v>159.36071862589358</v>
      </c>
      <c r="AA151" s="217">
        <f t="shared" si="456"/>
        <v>2.2222222222222223</v>
      </c>
      <c r="AB151" s="173">
        <f t="shared" si="457"/>
        <v>1.3578973572308848</v>
      </c>
      <c r="AC151" s="173">
        <f t="shared" si="458"/>
        <v>0.26060721601048276</v>
      </c>
      <c r="AD151" s="173"/>
      <c r="AE151" s="173">
        <f t="shared" si="459"/>
        <v>1.3578973572308848</v>
      </c>
      <c r="AF151" s="545">
        <f t="shared" si="460"/>
        <v>407.41178658305745</v>
      </c>
      <c r="AG151" s="528">
        <f t="shared" si="461"/>
        <v>0.26060721601048281</v>
      </c>
      <c r="AI151" s="173">
        <f t="shared" si="462"/>
        <v>2.3975642742466086</v>
      </c>
      <c r="AJ151" s="173">
        <f t="shared" si="463"/>
        <v>3.4960295303093529</v>
      </c>
      <c r="AK151" s="173">
        <f t="shared" si="464"/>
        <v>2.1435609689534298</v>
      </c>
      <c r="AM151" s="545">
        <f t="shared" si="465"/>
        <v>410</v>
      </c>
      <c r="AN151" s="460">
        <f t="shared" si="466"/>
        <v>159.36071862589358</v>
      </c>
      <c r="AP151" s="460">
        <f t="shared" si="467"/>
        <v>410</v>
      </c>
      <c r="AQ151" s="460">
        <f t="shared" si="468"/>
        <v>159.36071862589358</v>
      </c>
      <c r="AS151" s="5">
        <f t="shared" si="439"/>
        <v>6.2750721044848241</v>
      </c>
      <c r="AT151" s="5">
        <f t="shared" si="469"/>
        <v>3.9388099374811345</v>
      </c>
      <c r="AU151" s="5">
        <f t="shared" si="343"/>
        <v>2.3362621670036896</v>
      </c>
      <c r="AV151" s="5"/>
      <c r="AW151" s="173">
        <f t="shared" si="344"/>
        <v>0.62769158216780463</v>
      </c>
      <c r="AX151" s="173">
        <f t="shared" si="435"/>
        <v>9.7387107855380304</v>
      </c>
      <c r="AY151" s="173">
        <f t="shared" si="436"/>
        <v>0.43408400791189017</v>
      </c>
      <c r="AZ151" s="173">
        <f t="shared" si="440"/>
        <v>22.435083089987462</v>
      </c>
      <c r="BA151" s="460">
        <f t="shared" si="433"/>
        <v>6.7288003098636047</v>
      </c>
      <c r="BB151" s="5">
        <f t="shared" si="434"/>
        <v>2.1583673419645519</v>
      </c>
      <c r="BD151" s="173">
        <f t="shared" si="441"/>
        <v>1.5991441631975503</v>
      </c>
      <c r="BE151" s="173">
        <f t="shared" si="437"/>
        <v>0.82147003612092462</v>
      </c>
      <c r="BG151" s="528">
        <f t="shared" si="347"/>
        <v>0.10229048218755173</v>
      </c>
      <c r="BH151" s="528">
        <f t="shared" si="470"/>
        <v>0.31640682665958209</v>
      </c>
      <c r="BI151" s="528">
        <f t="shared" si="471"/>
        <v>5.6578488135299844E-2</v>
      </c>
      <c r="BJ151" s="528">
        <f t="shared" si="350"/>
        <v>1.7767782872010106E-2</v>
      </c>
      <c r="BK151">
        <f t="shared" si="351"/>
        <v>3.9941335418821385E-3</v>
      </c>
      <c r="BL151" s="460">
        <f t="shared" si="427"/>
        <v>60.572621677181985</v>
      </c>
      <c r="BM151" s="528">
        <f t="shared" si="472"/>
        <v>0.47564366961651516</v>
      </c>
      <c r="BN151" s="460">
        <f t="shared" si="353"/>
        <v>475.64366961651518</v>
      </c>
      <c r="BO151" s="528">
        <f t="shared" si="354"/>
        <v>0.28699999999999998</v>
      </c>
      <c r="BR151" s="460">
        <f t="shared" si="355"/>
        <v>287</v>
      </c>
      <c r="BS151" s="528">
        <f t="shared" si="356"/>
        <v>7.6717861640663798E-2</v>
      </c>
      <c r="BT151" s="528">
        <f t="shared" si="357"/>
        <v>2.0244390607335395E-2</v>
      </c>
      <c r="BU151" s="528">
        <f t="shared" si="358"/>
        <v>0.36632025602499052</v>
      </c>
      <c r="BV151" s="528"/>
      <c r="BW151" s="528">
        <f t="shared" si="359"/>
        <v>0.38954843142152112</v>
      </c>
      <c r="BX151" s="460">
        <f t="shared" si="360"/>
        <v>852.8309396945109</v>
      </c>
      <c r="BY151" s="173">
        <f t="shared" si="361"/>
        <v>1.6368686530908367</v>
      </c>
      <c r="BZ151" s="5">
        <f t="shared" si="362"/>
        <v>9.84</v>
      </c>
      <c r="CA151" s="173">
        <f t="shared" si="363"/>
        <v>0.85737671985554953</v>
      </c>
      <c r="CB151" s="5">
        <f t="shared" si="364"/>
        <v>85.737671985554954</v>
      </c>
      <c r="CE151" s="562">
        <f t="shared" si="473"/>
        <v>-50</v>
      </c>
      <c r="CF151">
        <f t="shared" si="474"/>
        <v>-50</v>
      </c>
      <c r="CG151" s="173">
        <f t="shared" si="475"/>
        <v>0.34659112539146647</v>
      </c>
      <c r="CI151" s="170">
        <v>41</v>
      </c>
      <c r="CJ151" s="217">
        <f t="shared" si="428"/>
        <v>0.41</v>
      </c>
      <c r="CK151" s="217"/>
      <c r="CL151" s="217">
        <f t="shared" si="368"/>
        <v>9.84</v>
      </c>
      <c r="CM151" s="541">
        <f t="shared" si="369"/>
        <v>9</v>
      </c>
      <c r="CN151" s="443">
        <f t="shared" si="370"/>
        <v>16.3415</v>
      </c>
      <c r="CO151" s="443">
        <f t="shared" si="371"/>
        <v>25.3415</v>
      </c>
      <c r="CP151" s="443"/>
      <c r="CQ151" s="217">
        <f t="shared" si="372"/>
        <v>0.64485133082098534</v>
      </c>
      <c r="CR151" s="172">
        <f t="shared" si="429"/>
        <v>32.320915977744015</v>
      </c>
      <c r="CS151" s="172">
        <f t="shared" si="373"/>
        <v>9.84</v>
      </c>
      <c r="CT151" s="217">
        <f t="shared" si="374"/>
        <v>1.3467048324060007</v>
      </c>
      <c r="CU151" s="217">
        <f t="shared" si="375"/>
        <v>24</v>
      </c>
      <c r="CV151" s="217"/>
      <c r="CW151" s="172">
        <f t="shared" si="376"/>
        <v>108.5198505264871</v>
      </c>
      <c r="CX151" s="172">
        <f t="shared" si="377"/>
        <v>24</v>
      </c>
      <c r="CY151" s="217">
        <f t="shared" si="378"/>
        <v>3.3909624779447007</v>
      </c>
      <c r="CZ151" s="217">
        <f t="shared" si="379"/>
        <v>3.7677360866052241</v>
      </c>
      <c r="DA151" s="217">
        <f t="shared" si="380"/>
        <v>2.0750619453200141</v>
      </c>
      <c r="DB151" s="197">
        <f t="shared" si="381"/>
        <v>261.16478898249903</v>
      </c>
      <c r="DC151" s="443">
        <f t="shared" si="382"/>
        <v>171.15087575096172</v>
      </c>
      <c r="DE151" s="217">
        <f t="shared" si="383"/>
        <v>2.2222222222222223</v>
      </c>
      <c r="DF151" s="173">
        <f t="shared" si="384"/>
        <v>1.3598642855443031</v>
      </c>
      <c r="DG151" s="173">
        <f t="shared" si="385"/>
        <v>0.26320462482489204</v>
      </c>
      <c r="DH151" s="173"/>
      <c r="DI151" s="173">
        <f t="shared" si="386"/>
        <v>1.3598642855443031</v>
      </c>
      <c r="DJ151" s="545">
        <f t="shared" si="387"/>
        <v>406.82249999999982</v>
      </c>
      <c r="DK151" s="528">
        <f t="shared" si="388"/>
        <v>0.26320462482489204</v>
      </c>
      <c r="DM151" s="173">
        <f t="shared" si="389"/>
        <v>2.3958297101421877</v>
      </c>
      <c r="DN151" s="173">
        <f t="shared" si="390"/>
        <v>3.3909624779447007</v>
      </c>
      <c r="DO151" s="173">
        <f t="shared" si="391"/>
        <v>2.0657335227573914</v>
      </c>
      <c r="DQ151" s="545">
        <f t="shared" si="392"/>
        <v>410</v>
      </c>
      <c r="DR151" s="460">
        <f t="shared" si="393"/>
        <v>171.15087575096172</v>
      </c>
      <c r="DT151">
        <f t="shared" si="430"/>
        <v>410</v>
      </c>
      <c r="DU151">
        <f t="shared" si="431"/>
        <v>171.15087575096172</v>
      </c>
      <c r="DW151" s="5">
        <f t="shared" si="394"/>
        <v>5.8427980319252377</v>
      </c>
      <c r="DX151" s="5">
        <f t="shared" si="395"/>
        <v>3.7677360866052241</v>
      </c>
      <c r="DY151" s="5">
        <f t="shared" si="396"/>
        <v>2.0750619453200136</v>
      </c>
      <c r="DZ151" s="5"/>
      <c r="EA151" s="173">
        <f t="shared" si="397"/>
        <v>0.64485133082098545</v>
      </c>
      <c r="EB151" s="173">
        <f t="shared" si="398"/>
        <v>9.8399999999999981</v>
      </c>
      <c r="EC151" s="173">
        <f t="shared" si="399"/>
        <v>0.40163265306122431</v>
      </c>
      <c r="ED151" s="173">
        <f t="shared" si="400"/>
        <v>24.500000000000007</v>
      </c>
      <c r="EE151" s="460">
        <f t="shared" si="401"/>
        <v>6.4365491479505907</v>
      </c>
      <c r="EF151" s="5">
        <f t="shared" si="402"/>
        <v>1.8906119946249009</v>
      </c>
      <c r="EH151" s="173">
        <f t="shared" si="403"/>
        <v>1.5721434008426287</v>
      </c>
      <c r="EI151" s="173">
        <f t="shared" si="404"/>
        <v>0.77820369143766455</v>
      </c>
      <c r="EK151" s="528">
        <f t="shared" si="405"/>
        <v>9.8865394912521054E-2</v>
      </c>
      <c r="EL151" s="528">
        <f t="shared" si="406"/>
        <v>0.40445212499999994</v>
      </c>
      <c r="EM151" s="528">
        <f t="shared" si="407"/>
        <v>3.4230175150192339E-2</v>
      </c>
      <c r="EN151" s="528">
        <f t="shared" si="408"/>
        <v>1.9234540245903202E-2</v>
      </c>
      <c r="EO151">
        <f t="shared" si="409"/>
        <v>4.0499999999999998E-3</v>
      </c>
      <c r="EP151" s="460">
        <f t="shared" si="410"/>
        <v>38.280175150192335</v>
      </c>
      <c r="EQ151" s="460"/>
      <c r="ER151" s="460">
        <f t="shared" si="432"/>
        <v>560.83223530861665</v>
      </c>
      <c r="ES151" s="528">
        <f t="shared" si="411"/>
        <v>0.28699999999999998</v>
      </c>
      <c r="EV151" s="460">
        <f t="shared" si="412"/>
        <v>287</v>
      </c>
      <c r="EW151" s="528">
        <f t="shared" si="413"/>
        <v>7.4149046184390777E-2</v>
      </c>
      <c r="EX151" s="528">
        <f t="shared" si="414"/>
        <v>1.8168029561016236E-2</v>
      </c>
      <c r="EY151" s="528">
        <f t="shared" si="415"/>
        <v>0.40571893711760948</v>
      </c>
      <c r="EZ151" s="528"/>
      <c r="FA151" s="528">
        <f t="shared" si="416"/>
        <v>0.39359999999999989</v>
      </c>
      <c r="FB151" s="460">
        <f t="shared" si="417"/>
        <v>891.63601286301628</v>
      </c>
      <c r="FC151" s="173">
        <f t="shared" si="418"/>
        <v>1.739468248171633</v>
      </c>
      <c r="FD151" s="5">
        <f t="shared" si="419"/>
        <v>9.84</v>
      </c>
      <c r="FE151" s="173">
        <f t="shared" si="420"/>
        <v>0.84977995440798493</v>
      </c>
      <c r="FF151" s="5">
        <f t="shared" si="421"/>
        <v>84.977995440798495</v>
      </c>
      <c r="FI151" s="562">
        <f t="shared" si="422"/>
        <v>-50</v>
      </c>
      <c r="FJ151">
        <f t="shared" si="423"/>
        <v>-50</v>
      </c>
      <c r="FL151">
        <f t="shared" si="476"/>
        <v>0.35514866917901455</v>
      </c>
    </row>
    <row r="152" spans="5:168">
      <c r="E152" s="170">
        <v>42</v>
      </c>
      <c r="F152" s="217">
        <f t="shared" si="477"/>
        <v>0.42</v>
      </c>
      <c r="G152" s="217"/>
      <c r="H152" s="217">
        <f t="shared" si="442"/>
        <v>10.08</v>
      </c>
      <c r="I152" s="541">
        <f t="shared" si="443"/>
        <v>8.8728990420137439</v>
      </c>
      <c r="J152" s="172">
        <f t="shared" si="444"/>
        <v>16.365733922041809</v>
      </c>
      <c r="K152" s="172">
        <f t="shared" si="445"/>
        <v>25.238632964055554</v>
      </c>
      <c r="L152" s="443"/>
      <c r="M152" s="217">
        <f t="shared" si="446"/>
        <v>0.64843185212088927</v>
      </c>
      <c r="N152" s="172">
        <f t="shared" si="447"/>
        <v>32.041396069267819</v>
      </c>
      <c r="O152" s="172">
        <f t="shared" si="438"/>
        <v>10.08</v>
      </c>
      <c r="P152" s="217">
        <f t="shared" si="448"/>
        <v>1.3350581695528259</v>
      </c>
      <c r="Q152" s="217">
        <f t="shared" si="449"/>
        <v>24</v>
      </c>
      <c r="R152" s="217"/>
      <c r="S152" s="172">
        <f t="shared" si="450"/>
        <v>104.12726407896335</v>
      </c>
      <c r="T152" s="172">
        <f t="shared" si="451"/>
        <v>24</v>
      </c>
      <c r="U152" s="217">
        <f t="shared" si="452"/>
        <v>3.582151348010123</v>
      </c>
      <c r="V152" s="217">
        <f t="shared" si="453"/>
        <v>4.037182583785083</v>
      </c>
      <c r="W152" s="217">
        <f t="shared" si="454"/>
        <v>2.1888119195104268</v>
      </c>
      <c r="X152" s="197">
        <f t="shared" si="455"/>
        <v>258.90933661302091</v>
      </c>
      <c r="Y152" s="443">
        <f t="shared" si="328"/>
        <v>155.61793578988585</v>
      </c>
      <c r="AA152" s="217">
        <f t="shared" si="456"/>
        <v>2.2222222222222228</v>
      </c>
      <c r="AB152" s="173">
        <f t="shared" si="457"/>
        <v>1.3578506364626119</v>
      </c>
      <c r="AC152" s="173">
        <f t="shared" si="458"/>
        <v>0.26054517600730093</v>
      </c>
      <c r="AD152" s="173"/>
      <c r="AE152" s="173">
        <f t="shared" si="459"/>
        <v>1.3578506364626117</v>
      </c>
      <c r="AF152" s="545">
        <f t="shared" si="460"/>
        <v>417.36301951114103</v>
      </c>
      <c r="AG152" s="528">
        <f t="shared" si="461"/>
        <v>0.26054517600730087</v>
      </c>
      <c r="AI152" s="173">
        <f t="shared" si="462"/>
        <v>2.4266684676751882</v>
      </c>
      <c r="AJ152" s="173">
        <f t="shared" si="463"/>
        <v>3.582151348010123</v>
      </c>
      <c r="AK152" s="173">
        <f t="shared" si="464"/>
        <v>2.2073549079910375</v>
      </c>
      <c r="AM152" s="545">
        <f t="shared" si="465"/>
        <v>420</v>
      </c>
      <c r="AN152" s="460">
        <f t="shared" si="466"/>
        <v>155.61793578988585</v>
      </c>
      <c r="AP152" s="460">
        <f t="shared" si="467"/>
        <v>420</v>
      </c>
      <c r="AQ152" s="460">
        <f t="shared" si="468"/>
        <v>155.61793578988585</v>
      </c>
      <c r="AS152" s="5">
        <f t="shared" si="439"/>
        <v>6.4259945032955095</v>
      </c>
      <c r="AT152" s="5">
        <f t="shared" si="469"/>
        <v>4.037182583785083</v>
      </c>
      <c r="AU152" s="5">
        <f t="shared" si="343"/>
        <v>2.3888119195104265</v>
      </c>
      <c r="AV152" s="5"/>
      <c r="AW152" s="173">
        <f t="shared" si="344"/>
        <v>0.62825802009551246</v>
      </c>
      <c r="AX152" s="173">
        <f t="shared" si="435"/>
        <v>9.9842975849653097</v>
      </c>
      <c r="AY152" s="173">
        <f t="shared" si="436"/>
        <v>0.44410061748134183</v>
      </c>
      <c r="AZ152" s="173">
        <f t="shared" si="440"/>
        <v>22.48206192909602</v>
      </c>
      <c r="BA152" s="460">
        <f t="shared" si="433"/>
        <v>7.0650695216238946</v>
      </c>
      <c r="BB152" s="5">
        <f t="shared" si="434"/>
        <v>2.2614953724677465</v>
      </c>
      <c r="BD152" s="173">
        <f t="shared" si="441"/>
        <v>1.6392769202984876</v>
      </c>
      <c r="BE152" s="173">
        <f t="shared" si="437"/>
        <v>0.84106573752212943</v>
      </c>
      <c r="BG152" s="528">
        <f t="shared" si="347"/>
        <v>0.10748915285693177</v>
      </c>
      <c r="BH152" s="528">
        <f t="shared" si="470"/>
        <v>0.3165570043009811</v>
      </c>
      <c r="BI152" s="528">
        <f t="shared" si="471"/>
        <v>5.5231289335609376E-2</v>
      </c>
      <c r="BJ152" s="528">
        <f t="shared" si="350"/>
        <v>1.7347198768118563E-2</v>
      </c>
      <c r="BK152">
        <f t="shared" si="351"/>
        <v>3.9928045689061843E-3</v>
      </c>
      <c r="BL152" s="460">
        <f t="shared" si="427"/>
        <v>59.224093904515556</v>
      </c>
      <c r="BM152" s="528">
        <f t="shared" si="472"/>
        <v>0.48274444155544183</v>
      </c>
      <c r="BN152" s="460">
        <f t="shared" si="353"/>
        <v>482.74444155544182</v>
      </c>
      <c r="BO152" s="528">
        <f t="shared" si="354"/>
        <v>0.29399999999999998</v>
      </c>
      <c r="BR152" s="460">
        <f t="shared" si="355"/>
        <v>294</v>
      </c>
      <c r="BS152" s="528">
        <f t="shared" si="356"/>
        <v>8.0616864642698821E-2</v>
      </c>
      <c r="BT152" s="528">
        <f t="shared" si="357"/>
        <v>2.1221747245009307E-2</v>
      </c>
      <c r="BU152" s="528">
        <f t="shared" si="358"/>
        <v>0.36684191995834797</v>
      </c>
      <c r="BV152" s="528"/>
      <c r="BW152" s="528">
        <f t="shared" si="359"/>
        <v>0.39937190339861239</v>
      </c>
      <c r="BX152" s="460">
        <f t="shared" si="360"/>
        <v>868.05243524466846</v>
      </c>
      <c r="BY152" s="173">
        <f t="shared" si="361"/>
        <v>1.6626698850752155</v>
      </c>
      <c r="BZ152" s="5">
        <f t="shared" si="362"/>
        <v>10.08</v>
      </c>
      <c r="CA152" s="173">
        <f t="shared" si="363"/>
        <v>0.85840784920740654</v>
      </c>
      <c r="CB152" s="5">
        <f t="shared" si="364"/>
        <v>85.84078492074066</v>
      </c>
      <c r="CE152" s="562">
        <f t="shared" si="473"/>
        <v>-50</v>
      </c>
      <c r="CF152">
        <f t="shared" si="474"/>
        <v>-50</v>
      </c>
      <c r="CG152" s="173">
        <f t="shared" si="475"/>
        <v>0.34679487643402734</v>
      </c>
      <c r="CI152" s="170">
        <v>42</v>
      </c>
      <c r="CJ152" s="217">
        <f t="shared" si="428"/>
        <v>0.42</v>
      </c>
      <c r="CK152" s="217"/>
      <c r="CL152" s="217">
        <f t="shared" si="368"/>
        <v>10.08</v>
      </c>
      <c r="CM152" s="541">
        <f t="shared" si="369"/>
        <v>9</v>
      </c>
      <c r="CN152" s="443">
        <f t="shared" si="370"/>
        <v>16.3415</v>
      </c>
      <c r="CO152" s="443">
        <f t="shared" si="371"/>
        <v>25.3415</v>
      </c>
      <c r="CP152" s="443"/>
      <c r="CQ152" s="217">
        <f t="shared" si="372"/>
        <v>0.64485133082098534</v>
      </c>
      <c r="CR152" s="172">
        <f t="shared" si="429"/>
        <v>32.320915977744015</v>
      </c>
      <c r="CS152" s="172">
        <f t="shared" si="373"/>
        <v>10.08</v>
      </c>
      <c r="CT152" s="217">
        <f t="shared" si="374"/>
        <v>1.3467048324060007</v>
      </c>
      <c r="CU152" s="217">
        <f t="shared" si="375"/>
        <v>24</v>
      </c>
      <c r="CV152" s="217"/>
      <c r="CW152" s="172">
        <f t="shared" si="376"/>
        <v>105.61794235640907</v>
      </c>
      <c r="CX152" s="172">
        <f t="shared" si="377"/>
        <v>24</v>
      </c>
      <c r="CY152" s="217">
        <f t="shared" si="378"/>
        <v>3.4736688798457913</v>
      </c>
      <c r="CZ152" s="217">
        <f t="shared" si="379"/>
        <v>3.8596320887175462</v>
      </c>
      <c r="DA152" s="217">
        <f t="shared" si="380"/>
        <v>2.1256732122790392</v>
      </c>
      <c r="DB152" s="197">
        <f t="shared" si="381"/>
        <v>261.16478898249903</v>
      </c>
      <c r="DC152" s="443">
        <f t="shared" si="382"/>
        <v>167.07585489974832</v>
      </c>
      <c r="DE152" s="217">
        <f t="shared" si="383"/>
        <v>2.2222222222222223</v>
      </c>
      <c r="DF152" s="173">
        <f t="shared" si="384"/>
        <v>1.3598642855443031</v>
      </c>
      <c r="DG152" s="173">
        <f t="shared" si="385"/>
        <v>0.26320462482489204</v>
      </c>
      <c r="DH152" s="173"/>
      <c r="DI152" s="173">
        <f t="shared" si="386"/>
        <v>1.3598642855443031</v>
      </c>
      <c r="DJ152" s="545">
        <f t="shared" si="387"/>
        <v>416.74499999999989</v>
      </c>
      <c r="DK152" s="528">
        <f t="shared" si="388"/>
        <v>0.26320462482489204</v>
      </c>
      <c r="DM152" s="173">
        <f t="shared" si="389"/>
        <v>2.4248711305964279</v>
      </c>
      <c r="DN152" s="173">
        <f t="shared" si="390"/>
        <v>3.4736688798457913</v>
      </c>
      <c r="DO152" s="173">
        <f t="shared" si="391"/>
        <v>2.1269975241656067</v>
      </c>
      <c r="DQ152" s="545">
        <f t="shared" si="392"/>
        <v>420</v>
      </c>
      <c r="DR152" s="460">
        <f t="shared" si="393"/>
        <v>167.07585489974832</v>
      </c>
      <c r="DT152">
        <f t="shared" si="430"/>
        <v>420</v>
      </c>
      <c r="DU152">
        <f t="shared" si="431"/>
        <v>167.07585489974832</v>
      </c>
      <c r="DW152" s="5">
        <f t="shared" si="394"/>
        <v>5.9853053009965862</v>
      </c>
      <c r="DX152" s="5">
        <f t="shared" si="395"/>
        <v>3.8596320887175462</v>
      </c>
      <c r="DY152" s="5">
        <f t="shared" si="396"/>
        <v>2.12567321227904</v>
      </c>
      <c r="DZ152" s="5"/>
      <c r="EA152" s="173">
        <f t="shared" si="397"/>
        <v>0.64485133082098522</v>
      </c>
      <c r="EB152" s="173">
        <f t="shared" si="398"/>
        <v>10.079999999999998</v>
      </c>
      <c r="EC152" s="173">
        <f t="shared" si="399"/>
        <v>0.41142857142857153</v>
      </c>
      <c r="ED152" s="173">
        <f t="shared" si="400"/>
        <v>24.499999999999989</v>
      </c>
      <c r="EE152" s="460">
        <f t="shared" si="401"/>
        <v>6.7543561552557057</v>
      </c>
      <c r="EF152" s="5">
        <f t="shared" si="402"/>
        <v>1.9839616647937706</v>
      </c>
      <c r="EH152" s="173">
        <f t="shared" si="403"/>
        <v>1.6104883618387902</v>
      </c>
      <c r="EI152" s="173">
        <f t="shared" si="404"/>
        <v>0.79718426927760788</v>
      </c>
      <c r="EK152" s="528">
        <f t="shared" si="405"/>
        <v>0.10374691054472759</v>
      </c>
      <c r="EL152" s="528">
        <f t="shared" si="406"/>
        <v>0.40445212499999994</v>
      </c>
      <c r="EM152" s="528">
        <f t="shared" si="407"/>
        <v>3.3415170979949664E-2</v>
      </c>
      <c r="EN152" s="528">
        <f t="shared" si="408"/>
        <v>1.8776575001953122E-2</v>
      </c>
      <c r="EO152">
        <f t="shared" si="409"/>
        <v>4.0499999999999998E-3</v>
      </c>
      <c r="EP152" s="460">
        <f t="shared" si="410"/>
        <v>37.465170979949662</v>
      </c>
      <c r="EQ152" s="460"/>
      <c r="ER152" s="460">
        <f t="shared" si="432"/>
        <v>564.44078152663019</v>
      </c>
      <c r="ES152" s="528">
        <f t="shared" si="411"/>
        <v>0.29399999999999998</v>
      </c>
      <c r="EV152" s="460">
        <f t="shared" si="412"/>
        <v>294</v>
      </c>
      <c r="EW152" s="528">
        <f t="shared" si="413"/>
        <v>7.7810182908545689E-2</v>
      </c>
      <c r="EX152" s="528">
        <f t="shared" si="414"/>
        <v>1.9065082775510209E-2</v>
      </c>
      <c r="EY152" s="528">
        <f t="shared" si="415"/>
        <v>0.40571893711760931</v>
      </c>
      <c r="EZ152" s="528"/>
      <c r="FA152" s="528">
        <f t="shared" si="416"/>
        <v>0.4032</v>
      </c>
      <c r="FB152" s="460">
        <f t="shared" si="417"/>
        <v>905.79420280166528</v>
      </c>
      <c r="FC152" s="173">
        <f t="shared" si="418"/>
        <v>1.7642349843282954</v>
      </c>
      <c r="FD152" s="5">
        <f t="shared" si="419"/>
        <v>10.08</v>
      </c>
      <c r="FE152" s="173">
        <f t="shared" si="420"/>
        <v>0.85104694506123502</v>
      </c>
      <c r="FF152" s="5">
        <f t="shared" si="421"/>
        <v>85.104694506123508</v>
      </c>
      <c r="FI152" s="562">
        <f t="shared" si="422"/>
        <v>-50</v>
      </c>
      <c r="FJ152">
        <f t="shared" si="423"/>
        <v>-50</v>
      </c>
      <c r="FL152">
        <f t="shared" si="476"/>
        <v>0.35514866917901478</v>
      </c>
    </row>
    <row r="153" spans="5:168">
      <c r="E153" s="170">
        <v>43</v>
      </c>
      <c r="F153" s="217">
        <f t="shared" si="477"/>
        <v>0.43</v>
      </c>
      <c r="G153" s="217"/>
      <c r="H153" s="217">
        <f t="shared" si="442"/>
        <v>10.32</v>
      </c>
      <c r="I153" s="541">
        <f t="shared" si="443"/>
        <v>8.869945685065618</v>
      </c>
      <c r="J153" s="172">
        <f t="shared" si="444"/>
        <v>16.366297028907219</v>
      </c>
      <c r="K153" s="172">
        <f t="shared" si="445"/>
        <v>25.236242713972835</v>
      </c>
      <c r="L153" s="443"/>
      <c r="M153" s="217">
        <f t="shared" si="446"/>
        <v>0.64851558808294107</v>
      </c>
      <c r="N153" s="172">
        <f t="shared" si="447"/>
        <v>32.034867369203631</v>
      </c>
      <c r="O153" s="172">
        <f t="shared" si="438"/>
        <v>10.32</v>
      </c>
      <c r="P153" s="217">
        <f t="shared" si="448"/>
        <v>1.3347861403834846</v>
      </c>
      <c r="Q153" s="217">
        <f t="shared" si="449"/>
        <v>24</v>
      </c>
      <c r="R153" s="217"/>
      <c r="S153" s="172">
        <f t="shared" si="450"/>
        <v>101.36578555163005</v>
      </c>
      <c r="T153" s="172">
        <f t="shared" si="451"/>
        <v>24</v>
      </c>
      <c r="U153" s="217">
        <f t="shared" si="452"/>
        <v>3.6683143793104662</v>
      </c>
      <c r="V153" s="217">
        <f t="shared" si="453"/>
        <v>4.135667240315609</v>
      </c>
      <c r="W153" s="217">
        <f t="shared" si="454"/>
        <v>2.2413832358237484</v>
      </c>
      <c r="X153" s="197">
        <f t="shared" si="455"/>
        <v>258.85657905111367</v>
      </c>
      <c r="Y153" s="443">
        <f t="shared" si="328"/>
        <v>152.04383843910938</v>
      </c>
      <c r="AA153" s="217">
        <f t="shared" si="456"/>
        <v>2.2222222222222223</v>
      </c>
      <c r="AB153" s="173">
        <f t="shared" si="457"/>
        <v>1.357803917585749</v>
      </c>
      <c r="AC153" s="173">
        <f t="shared" si="458"/>
        <v>0.26048312249408262</v>
      </c>
      <c r="AD153" s="173"/>
      <c r="AE153" s="173">
        <f t="shared" si="459"/>
        <v>1.357803917585749</v>
      </c>
      <c r="AF153" s="545">
        <f t="shared" si="460"/>
        <v>427.31493666929401</v>
      </c>
      <c r="AG153" s="528">
        <f t="shared" si="461"/>
        <v>0.26048312249408262</v>
      </c>
      <c r="AI153" s="173">
        <f t="shared" si="462"/>
        <v>2.4554296790814845</v>
      </c>
      <c r="AJ153" s="173">
        <f t="shared" si="463"/>
        <v>3.6683143793104662</v>
      </c>
      <c r="AK153" s="173">
        <f t="shared" si="464"/>
        <v>2.2711793756209211</v>
      </c>
      <c r="AM153" s="545">
        <f t="shared" si="465"/>
        <v>430</v>
      </c>
      <c r="AN153" s="460">
        <f t="shared" si="466"/>
        <v>152.04383843910938</v>
      </c>
      <c r="AP153" s="460">
        <f t="shared" si="467"/>
        <v>430</v>
      </c>
      <c r="AQ153" s="460">
        <f t="shared" si="468"/>
        <v>152.04383843910938</v>
      </c>
      <c r="AS153" s="5">
        <f t="shared" si="439"/>
        <v>6.577050476139358</v>
      </c>
      <c r="AT153" s="5">
        <f t="shared" si="469"/>
        <v>4.135667240315609</v>
      </c>
      <c r="AU153" s="5">
        <f t="shared" si="343"/>
        <v>2.4413832358237491</v>
      </c>
      <c r="AV153" s="5"/>
      <c r="AW153" s="173">
        <f t="shared" si="344"/>
        <v>0.62880272172446383</v>
      </c>
      <c r="AX153" s="173">
        <f t="shared" si="435"/>
        <v>10.229912659386139</v>
      </c>
      <c r="AY153" s="173">
        <f t="shared" si="436"/>
        <v>0.45411638253859588</v>
      </c>
      <c r="AZ153" s="173">
        <f t="shared" si="440"/>
        <v>22.527072470275144</v>
      </c>
      <c r="BA153" s="460">
        <f t="shared" si="433"/>
        <v>7.4097371388987989</v>
      </c>
      <c r="BB153" s="5">
        <f t="shared" si="434"/>
        <v>2.3670827954939067</v>
      </c>
      <c r="BD153" s="173">
        <f t="shared" si="441"/>
        <v>1.6794347195155317</v>
      </c>
      <c r="BE153" s="173">
        <f t="shared" si="437"/>
        <v>0.86066500820257386</v>
      </c>
      <c r="BG153" s="528">
        <f t="shared" si="347"/>
        <v>0.1128200390845685</v>
      </c>
      <c r="BH153" s="528">
        <f t="shared" si="470"/>
        <v>0.31669600654181829</v>
      </c>
      <c r="BI153" s="528">
        <f t="shared" si="471"/>
        <v>5.394482354815168E-2</v>
      </c>
      <c r="BJ153" s="528">
        <f t="shared" si="350"/>
        <v>1.6945573248993297E-2</v>
      </c>
      <c r="BK153">
        <f t="shared" si="351"/>
        <v>3.991475558279528E-3</v>
      </c>
      <c r="BL153" s="460">
        <f t="shared" si="427"/>
        <v>57.936299106431207</v>
      </c>
      <c r="BM153" s="528">
        <f t="shared" si="472"/>
        <v>0.49005958694880525</v>
      </c>
      <c r="BN153" s="460">
        <f t="shared" si="353"/>
        <v>490.05958694880525</v>
      </c>
      <c r="BO153" s="528">
        <f t="shared" si="354"/>
        <v>0.30099999999999999</v>
      </c>
      <c r="BR153" s="460">
        <f t="shared" si="355"/>
        <v>301</v>
      </c>
      <c r="BS153" s="528">
        <f t="shared" si="356"/>
        <v>8.4615029313426376E-2</v>
      </c>
      <c r="BT153" s="528">
        <f t="shared" si="357"/>
        <v>2.2222327690330095E-2</v>
      </c>
      <c r="BU153" s="528">
        <f t="shared" si="358"/>
        <v>0.36733172440009909</v>
      </c>
      <c r="BV153" s="528"/>
      <c r="BW153" s="528">
        <f t="shared" si="359"/>
        <v>0.40919650637544558</v>
      </c>
      <c r="BX153" s="460">
        <f t="shared" si="360"/>
        <v>883.36558777930122</v>
      </c>
      <c r="BY153" s="173">
        <f t="shared" si="361"/>
        <v>1.6887635057611123</v>
      </c>
      <c r="BZ153" s="5">
        <f t="shared" si="362"/>
        <v>10.32</v>
      </c>
      <c r="CA153" s="173">
        <f t="shared" si="363"/>
        <v>0.85937240707996776</v>
      </c>
      <c r="CB153" s="5">
        <f t="shared" si="364"/>
        <v>85.937240707996779</v>
      </c>
      <c r="CE153" s="562">
        <f t="shared" si="473"/>
        <v>-50</v>
      </c>
      <c r="CF153">
        <f t="shared" si="474"/>
        <v>-50</v>
      </c>
      <c r="CG153" s="173">
        <f t="shared" si="475"/>
        <v>0.34698915068391079</v>
      </c>
      <c r="CI153" s="170">
        <v>43</v>
      </c>
      <c r="CJ153" s="217">
        <f t="shared" si="428"/>
        <v>0.43</v>
      </c>
      <c r="CK153" s="217"/>
      <c r="CL153" s="217">
        <f t="shared" si="368"/>
        <v>10.32</v>
      </c>
      <c r="CM153" s="541">
        <f t="shared" si="369"/>
        <v>9</v>
      </c>
      <c r="CN153" s="443">
        <f t="shared" si="370"/>
        <v>16.3415</v>
      </c>
      <c r="CO153" s="443">
        <f t="shared" si="371"/>
        <v>25.3415</v>
      </c>
      <c r="CP153" s="443"/>
      <c r="CQ153" s="217">
        <f t="shared" si="372"/>
        <v>0.64485133082098534</v>
      </c>
      <c r="CR153" s="172">
        <f t="shared" si="429"/>
        <v>32.320915977744015</v>
      </c>
      <c r="CS153" s="172">
        <f t="shared" si="373"/>
        <v>10.32</v>
      </c>
      <c r="CT153" s="217">
        <f t="shared" si="374"/>
        <v>1.3467048324060007</v>
      </c>
      <c r="CU153" s="217">
        <f t="shared" si="375"/>
        <v>24</v>
      </c>
      <c r="CV153" s="217"/>
      <c r="CW153" s="172">
        <f t="shared" si="376"/>
        <v>102.85109510916806</v>
      </c>
      <c r="CX153" s="172">
        <f t="shared" si="377"/>
        <v>24</v>
      </c>
      <c r="CY153" s="217">
        <f t="shared" si="378"/>
        <v>3.5563752817468814</v>
      </c>
      <c r="CZ153" s="217">
        <f t="shared" si="379"/>
        <v>3.9515280908298682</v>
      </c>
      <c r="DA153" s="217">
        <f t="shared" si="380"/>
        <v>2.1762844792380638</v>
      </c>
      <c r="DB153" s="197">
        <f t="shared" si="381"/>
        <v>261.16478898249903</v>
      </c>
      <c r="DC153" s="443">
        <f t="shared" si="382"/>
        <v>163.19036990207977</v>
      </c>
      <c r="DE153" s="217">
        <f t="shared" si="383"/>
        <v>2.2222222222222223</v>
      </c>
      <c r="DF153" s="173">
        <f t="shared" si="384"/>
        <v>1.3598642855443031</v>
      </c>
      <c r="DG153" s="173">
        <f t="shared" si="385"/>
        <v>0.26320462482489204</v>
      </c>
      <c r="DH153" s="173"/>
      <c r="DI153" s="173">
        <f t="shared" si="386"/>
        <v>1.3598642855443031</v>
      </c>
      <c r="DJ153" s="545">
        <f t="shared" si="387"/>
        <v>426.6674999999999</v>
      </c>
      <c r="DK153" s="528">
        <f t="shared" si="388"/>
        <v>0.26320462482489204</v>
      </c>
      <c r="DM153" s="173">
        <f t="shared" si="389"/>
        <v>2.4535688292770592</v>
      </c>
      <c r="DN153" s="173">
        <f t="shared" si="390"/>
        <v>3.5563752817468814</v>
      </c>
      <c r="DO153" s="173">
        <f t="shared" si="391"/>
        <v>2.1882615255738216</v>
      </c>
      <c r="DQ153" s="545">
        <f t="shared" si="392"/>
        <v>430</v>
      </c>
      <c r="DR153" s="460">
        <f t="shared" si="393"/>
        <v>163.19036990207977</v>
      </c>
      <c r="DT153">
        <f t="shared" si="430"/>
        <v>430</v>
      </c>
      <c r="DU153">
        <f t="shared" si="431"/>
        <v>163.19036990207977</v>
      </c>
      <c r="DW153" s="5">
        <f t="shared" si="394"/>
        <v>6.1278125700679329</v>
      </c>
      <c r="DX153" s="5">
        <f t="shared" si="395"/>
        <v>3.9515280908298682</v>
      </c>
      <c r="DY153" s="5">
        <f t="shared" si="396"/>
        <v>2.1762844792380647</v>
      </c>
      <c r="DZ153" s="5"/>
      <c r="EA153" s="173">
        <f t="shared" si="397"/>
        <v>0.64485133082098522</v>
      </c>
      <c r="EB153" s="173">
        <f t="shared" si="398"/>
        <v>10.319999999999997</v>
      </c>
      <c r="EC153" s="173">
        <f t="shared" si="399"/>
        <v>0.42122448979591853</v>
      </c>
      <c r="ED153" s="173">
        <f t="shared" si="400"/>
        <v>24.499999999999982</v>
      </c>
      <c r="EE153" s="460">
        <f t="shared" si="401"/>
        <v>7.079821162736847</v>
      </c>
      <c r="EF153" s="5">
        <f t="shared" si="402"/>
        <v>2.0795607246052619</v>
      </c>
      <c r="EH153" s="173">
        <f t="shared" si="403"/>
        <v>1.6488333228349519</v>
      </c>
      <c r="EI153" s="173">
        <f t="shared" si="404"/>
        <v>0.816164847117551</v>
      </c>
      <c r="EK153" s="528">
        <f t="shared" si="405"/>
        <v>0.10874605305963794</v>
      </c>
      <c r="EL153" s="528">
        <f t="shared" si="406"/>
        <v>0.404452125</v>
      </c>
      <c r="EM153" s="528">
        <f t="shared" si="407"/>
        <v>3.2638073980415953E-2</v>
      </c>
      <c r="EN153" s="528">
        <f t="shared" si="408"/>
        <v>1.8339910467023979E-2</v>
      </c>
      <c r="EO153">
        <f t="shared" si="409"/>
        <v>4.0499999999999998E-3</v>
      </c>
      <c r="EP153" s="460">
        <f t="shared" si="410"/>
        <v>36.68807398041595</v>
      </c>
      <c r="EQ153" s="460"/>
      <c r="ER153" s="460">
        <f t="shared" si="432"/>
        <v>568.2261625070779</v>
      </c>
      <c r="ES153" s="528">
        <f t="shared" si="411"/>
        <v>0.30099999999999999</v>
      </c>
      <c r="EV153" s="460">
        <f t="shared" si="412"/>
        <v>301</v>
      </c>
      <c r="EW153" s="528">
        <f t="shared" si="413"/>
        <v>8.155953979472845E-2</v>
      </c>
      <c r="EX153" s="528">
        <f t="shared" si="414"/>
        <v>1.9983751730112461E-2</v>
      </c>
      <c r="EY153" s="528">
        <f t="shared" si="415"/>
        <v>0.40571893711760965</v>
      </c>
      <c r="EZ153" s="528"/>
      <c r="FA153" s="528">
        <f t="shared" si="416"/>
        <v>0.41279999999999994</v>
      </c>
      <c r="FB153" s="460">
        <f t="shared" si="417"/>
        <v>920.06222864245046</v>
      </c>
      <c r="FC153" s="173">
        <f t="shared" si="418"/>
        <v>1.7892883911495283</v>
      </c>
      <c r="FD153" s="5">
        <f t="shared" si="419"/>
        <v>10.32</v>
      </c>
      <c r="FE153" s="173">
        <f t="shared" si="420"/>
        <v>0.85223835345623711</v>
      </c>
      <c r="FF153" s="5">
        <f t="shared" si="421"/>
        <v>85.223835345623712</v>
      </c>
      <c r="FI153" s="562">
        <f t="shared" si="422"/>
        <v>-50</v>
      </c>
      <c r="FJ153">
        <f t="shared" si="423"/>
        <v>-50</v>
      </c>
      <c r="FL153">
        <f t="shared" si="476"/>
        <v>0.35514866917901478</v>
      </c>
    </row>
    <row r="154" spans="5:168">
      <c r="E154" s="170">
        <v>44</v>
      </c>
      <c r="F154" s="217">
        <f t="shared" si="477"/>
        <v>0.44</v>
      </c>
      <c r="G154" s="217"/>
      <c r="H154" s="217">
        <f t="shared" si="442"/>
        <v>10.56</v>
      </c>
      <c r="I154" s="541">
        <f t="shared" si="443"/>
        <v>8.8669922502849445</v>
      </c>
      <c r="J154" s="172">
        <f t="shared" si="444"/>
        <v>16.366860150612705</v>
      </c>
      <c r="K154" s="172">
        <f t="shared" si="445"/>
        <v>25.23385240089765</v>
      </c>
      <c r="L154" s="443"/>
      <c r="M154" s="217">
        <f t="shared" si="446"/>
        <v>0.64859934190745117</v>
      </c>
      <c r="N154" s="172">
        <f t="shared" si="447"/>
        <v>32.028336515584392</v>
      </c>
      <c r="O154" s="172">
        <f t="shared" si="438"/>
        <v>10.56</v>
      </c>
      <c r="P154" s="217">
        <f t="shared" si="448"/>
        <v>1.3345140214826829</v>
      </c>
      <c r="Q154" s="217">
        <f t="shared" si="449"/>
        <v>24</v>
      </c>
      <c r="R154" s="217"/>
      <c r="S154" s="172">
        <f t="shared" si="450"/>
        <v>98.730116315624201</v>
      </c>
      <c r="T154" s="172">
        <f t="shared" si="451"/>
        <v>24</v>
      </c>
      <c r="U154" s="217">
        <f t="shared" si="452"/>
        <v>3.7545186653794089</v>
      </c>
      <c r="V154" s="217">
        <f t="shared" si="453"/>
        <v>4.2342640654261947</v>
      </c>
      <c r="W154" s="217">
        <f t="shared" si="454"/>
        <v>2.2939761388740503</v>
      </c>
      <c r="X154" s="197">
        <f t="shared" si="455"/>
        <v>258.80380417188297</v>
      </c>
      <c r="Y154" s="443">
        <f t="shared" si="328"/>
        <v>148.62727394317261</v>
      </c>
      <c r="AA154" s="217">
        <f t="shared" si="456"/>
        <v>2.2222222222222223</v>
      </c>
      <c r="AB154" s="173">
        <f t="shared" si="457"/>
        <v>1.3577572006925422</v>
      </c>
      <c r="AC154" s="173">
        <f t="shared" si="458"/>
        <v>0.26042105558913869</v>
      </c>
      <c r="AD154" s="173"/>
      <c r="AE154" s="173">
        <f t="shared" si="459"/>
        <v>1.3577572006925422</v>
      </c>
      <c r="AF154" s="545">
        <f t="shared" si="460"/>
        <v>437.26753805684905</v>
      </c>
      <c r="AG154" s="528">
        <f t="shared" si="461"/>
        <v>0.26042105558913869</v>
      </c>
      <c r="AI154" s="173">
        <f t="shared" si="462"/>
        <v>2.4838598229066235</v>
      </c>
      <c r="AJ154" s="173">
        <f t="shared" si="463"/>
        <v>3.7545186653794089</v>
      </c>
      <c r="AK154" s="173">
        <f t="shared" si="464"/>
        <v>2.3350344023386569</v>
      </c>
      <c r="AM154" s="545">
        <f t="shared" si="465"/>
        <v>440</v>
      </c>
      <c r="AN154" s="460">
        <f t="shared" si="466"/>
        <v>148.62727394317261</v>
      </c>
      <c r="AP154" s="460">
        <f t="shared" si="467"/>
        <v>440</v>
      </c>
      <c r="AQ154" s="460">
        <f t="shared" si="468"/>
        <v>148.62727394317261</v>
      </c>
      <c r="AS154" s="5">
        <f t="shared" si="439"/>
        <v>6.7282402043002438</v>
      </c>
      <c r="AT154" s="5">
        <f t="shared" si="469"/>
        <v>4.2342640654261947</v>
      </c>
      <c r="AU154" s="5">
        <f t="shared" si="343"/>
        <v>2.4939761388740491</v>
      </c>
      <c r="AV154" s="5"/>
      <c r="AW154" s="173">
        <f t="shared" si="344"/>
        <v>0.62932712519983081</v>
      </c>
      <c r="AX154" s="173">
        <f t="shared" si="435"/>
        <v>10.475555257133129</v>
      </c>
      <c r="AY154" s="173">
        <f t="shared" si="436"/>
        <v>0.46413135876689121</v>
      </c>
      <c r="AZ154" s="173">
        <f t="shared" si="440"/>
        <v>22.570238057098077</v>
      </c>
      <c r="BA154" s="460">
        <f t="shared" si="433"/>
        <v>7.7628174532813574</v>
      </c>
      <c r="BB154" s="5">
        <f t="shared" si="434"/>
        <v>2.4751335517842992</v>
      </c>
      <c r="BD154" s="173">
        <f t="shared" si="441"/>
        <v>1.7196175386921606</v>
      </c>
      <c r="BE154" s="173">
        <f t="shared" si="437"/>
        <v>0.8802679250225881</v>
      </c>
      <c r="BG154" s="528">
        <f t="shared" si="347"/>
        <v>0.11828337917510739</v>
      </c>
      <c r="BH154" s="528">
        <f t="shared" si="470"/>
        <v>0.31682457175147521</v>
      </c>
      <c r="BI154" s="528">
        <f t="shared" si="471"/>
        <v>5.2715075449403563E-2</v>
      </c>
      <c r="BJ154" s="528">
        <f t="shared" si="350"/>
        <v>1.656165287500902E-2</v>
      </c>
      <c r="BK154">
        <f t="shared" si="351"/>
        <v>3.9901465126282246E-3</v>
      </c>
      <c r="BL154" s="460">
        <f t="shared" si="427"/>
        <v>56.705221962031786</v>
      </c>
      <c r="BM154" s="528">
        <f t="shared" si="472"/>
        <v>0.49759046370134696</v>
      </c>
      <c r="BN154" s="460">
        <f t="shared" si="353"/>
        <v>497.59046370134695</v>
      </c>
      <c r="BO154" s="528">
        <f t="shared" si="354"/>
        <v>0.308</v>
      </c>
      <c r="BR154" s="460">
        <f t="shared" si="355"/>
        <v>308</v>
      </c>
      <c r="BS154" s="528">
        <f t="shared" si="356"/>
        <v>8.8712534381330532E-2</v>
      </c>
      <c r="BT154" s="528">
        <f t="shared" si="357"/>
        <v>2.3246148594707184E-2</v>
      </c>
      <c r="BU154" s="528">
        <f t="shared" si="358"/>
        <v>0.36779172541650468</v>
      </c>
      <c r="BV154" s="528"/>
      <c r="BW154" s="528">
        <f t="shared" si="359"/>
        <v>0.41902221028532516</v>
      </c>
      <c r="BX154" s="460">
        <f t="shared" si="360"/>
        <v>898.77261867786751</v>
      </c>
      <c r="BY154" s="173">
        <f t="shared" si="361"/>
        <v>1.7151474444414909</v>
      </c>
      <c r="BZ154" s="5">
        <f t="shared" si="362"/>
        <v>10.56</v>
      </c>
      <c r="CA154" s="173">
        <f t="shared" si="363"/>
        <v>0.86027479896234116</v>
      </c>
      <c r="CB154" s="5">
        <f t="shared" si="364"/>
        <v>86.027479896234112</v>
      </c>
      <c r="CE154" s="562">
        <f t="shared" si="473"/>
        <v>-50</v>
      </c>
      <c r="CF154">
        <f t="shared" si="474"/>
        <v>-50</v>
      </c>
      <c r="CG154" s="173">
        <f t="shared" si="475"/>
        <v>0.34717459428607222</v>
      </c>
      <c r="CI154" s="170">
        <v>44</v>
      </c>
      <c r="CJ154" s="217">
        <f t="shared" si="428"/>
        <v>0.44</v>
      </c>
      <c r="CK154" s="217"/>
      <c r="CL154" s="217">
        <f t="shared" si="368"/>
        <v>10.56</v>
      </c>
      <c r="CM154" s="541">
        <f t="shared" si="369"/>
        <v>9</v>
      </c>
      <c r="CN154" s="443">
        <f t="shared" si="370"/>
        <v>16.3415</v>
      </c>
      <c r="CO154" s="443">
        <f t="shared" si="371"/>
        <v>25.3415</v>
      </c>
      <c r="CP154" s="443"/>
      <c r="CQ154" s="217">
        <f t="shared" si="372"/>
        <v>0.64485133082098534</v>
      </c>
      <c r="CR154" s="172">
        <f t="shared" si="429"/>
        <v>32.320915977744015</v>
      </c>
      <c r="CS154" s="172">
        <f t="shared" si="373"/>
        <v>10.56</v>
      </c>
      <c r="CT154" s="217">
        <f t="shared" si="374"/>
        <v>1.3467048324060007</v>
      </c>
      <c r="CU154" s="217">
        <f t="shared" si="375"/>
        <v>24</v>
      </c>
      <c r="CV154" s="217"/>
      <c r="CW154" s="172">
        <f t="shared" si="376"/>
        <v>100.21010082934998</v>
      </c>
      <c r="CX154" s="172">
        <f t="shared" si="377"/>
        <v>24</v>
      </c>
      <c r="CY154" s="217">
        <f t="shared" si="378"/>
        <v>3.639081683647972</v>
      </c>
      <c r="CZ154" s="217">
        <f t="shared" si="379"/>
        <v>4.0434240929421916</v>
      </c>
      <c r="DA154" s="217">
        <f t="shared" si="380"/>
        <v>2.2268957461970889</v>
      </c>
      <c r="DB154" s="197">
        <f t="shared" si="381"/>
        <v>261.16478898249903</v>
      </c>
      <c r="DC154" s="443">
        <f t="shared" si="382"/>
        <v>159.48149785885064</v>
      </c>
      <c r="DE154" s="217">
        <f t="shared" si="383"/>
        <v>2.2222222222222223</v>
      </c>
      <c r="DF154" s="173">
        <f t="shared" si="384"/>
        <v>1.3598642855443031</v>
      </c>
      <c r="DG154" s="173">
        <f t="shared" si="385"/>
        <v>0.26320462482489204</v>
      </c>
      <c r="DH154" s="173"/>
      <c r="DI154" s="173">
        <f t="shared" si="386"/>
        <v>1.3598642855443031</v>
      </c>
      <c r="DJ154" s="545">
        <f t="shared" si="387"/>
        <v>436.58999999999986</v>
      </c>
      <c r="DK154" s="528">
        <f t="shared" si="388"/>
        <v>0.26320462482489204</v>
      </c>
      <c r="DM154" s="173">
        <f t="shared" si="389"/>
        <v>2.481934729198171</v>
      </c>
      <c r="DN154" s="173">
        <f t="shared" si="390"/>
        <v>3.639081683647972</v>
      </c>
      <c r="DO154" s="173">
        <f t="shared" si="391"/>
        <v>2.2495255269820369</v>
      </c>
      <c r="DQ154" s="545">
        <f t="shared" si="392"/>
        <v>440</v>
      </c>
      <c r="DR154" s="460">
        <f t="shared" si="393"/>
        <v>159.48149785885064</v>
      </c>
      <c r="DT154">
        <f t="shared" si="430"/>
        <v>440</v>
      </c>
      <c r="DU154">
        <f t="shared" si="431"/>
        <v>159.48149785885064</v>
      </c>
      <c r="DW154" s="5">
        <f t="shared" si="394"/>
        <v>6.2703198391392814</v>
      </c>
      <c r="DX154" s="5">
        <f t="shared" si="395"/>
        <v>4.0434240929421916</v>
      </c>
      <c r="DY154" s="5">
        <f t="shared" si="396"/>
        <v>2.2268957461970897</v>
      </c>
      <c r="DZ154" s="5"/>
      <c r="EA154" s="173">
        <f t="shared" si="397"/>
        <v>0.64485133082098522</v>
      </c>
      <c r="EB154" s="173">
        <f t="shared" si="398"/>
        <v>10.559999999999999</v>
      </c>
      <c r="EC154" s="173">
        <f t="shared" si="399"/>
        <v>0.43102040816326548</v>
      </c>
      <c r="ED154" s="173">
        <f t="shared" si="400"/>
        <v>24.499999999999986</v>
      </c>
      <c r="EE154" s="460">
        <f t="shared" si="401"/>
        <v>7.4129441703940184</v>
      </c>
      <c r="EF154" s="5">
        <f t="shared" si="402"/>
        <v>2.1774091740593762</v>
      </c>
      <c r="EH154" s="173">
        <f t="shared" si="403"/>
        <v>1.6871782838311138</v>
      </c>
      <c r="EI154" s="173">
        <f t="shared" si="404"/>
        <v>0.835145424957494</v>
      </c>
      <c r="EK154" s="528">
        <f t="shared" si="405"/>
        <v>0.11386282245725209</v>
      </c>
      <c r="EL154" s="528">
        <f t="shared" si="406"/>
        <v>0.40445212499999994</v>
      </c>
      <c r="EM154" s="528">
        <f t="shared" si="407"/>
        <v>3.1896299571770127E-2</v>
      </c>
      <c r="EN154" s="528">
        <f t="shared" si="408"/>
        <v>1.792309432004616E-2</v>
      </c>
      <c r="EO154">
        <f t="shared" si="409"/>
        <v>4.0499999999999998E-3</v>
      </c>
      <c r="EP154" s="460">
        <f t="shared" si="410"/>
        <v>35.946299571770126</v>
      </c>
      <c r="EQ154" s="460"/>
      <c r="ER154" s="460">
        <f t="shared" si="432"/>
        <v>572.18434134906829</v>
      </c>
      <c r="ES154" s="528">
        <f t="shared" si="411"/>
        <v>0.308</v>
      </c>
      <c r="EV154" s="460">
        <f t="shared" si="412"/>
        <v>308</v>
      </c>
      <c r="EW154" s="528">
        <f t="shared" si="413"/>
        <v>8.5397116842939061E-2</v>
      </c>
      <c r="EX154" s="528">
        <f t="shared" si="414"/>
        <v>2.0924036424822996E-2</v>
      </c>
      <c r="EY154" s="528">
        <f t="shared" si="415"/>
        <v>0.40571893711761003</v>
      </c>
      <c r="EZ154" s="528"/>
      <c r="FA154" s="528">
        <f t="shared" si="416"/>
        <v>0.42239999999999989</v>
      </c>
      <c r="FB154" s="460">
        <f t="shared" si="417"/>
        <v>934.44009038537206</v>
      </c>
      <c r="FC154" s="173">
        <f t="shared" si="418"/>
        <v>1.8146244317344402</v>
      </c>
      <c r="FD154" s="5">
        <f t="shared" si="419"/>
        <v>10.56</v>
      </c>
      <c r="FE154" s="173">
        <f t="shared" si="420"/>
        <v>0.85335923189063601</v>
      </c>
      <c r="FF154" s="5">
        <f t="shared" si="421"/>
        <v>85.335923189063607</v>
      </c>
      <c r="FI154" s="562">
        <f t="shared" si="422"/>
        <v>-50</v>
      </c>
      <c r="FJ154">
        <f t="shared" si="423"/>
        <v>-50</v>
      </c>
      <c r="FL154">
        <f t="shared" si="476"/>
        <v>0.35514866917901478</v>
      </c>
    </row>
    <row r="155" spans="5:168">
      <c r="E155" s="170">
        <v>45</v>
      </c>
      <c r="F155" s="217">
        <f t="shared" si="477"/>
        <v>0.45</v>
      </c>
      <c r="G155" s="217"/>
      <c r="H155" s="217">
        <f t="shared" si="442"/>
        <v>10.8</v>
      </c>
      <c r="I155" s="541">
        <f t="shared" si="443"/>
        <v>8.8640387429770318</v>
      </c>
      <c r="J155" s="172">
        <f t="shared" si="444"/>
        <v>16.367423286146725</v>
      </c>
      <c r="K155" s="172">
        <f t="shared" si="445"/>
        <v>25.231462029123755</v>
      </c>
      <c r="L155" s="443"/>
      <c r="M155" s="217">
        <f t="shared" si="446"/>
        <v>0.6486831134638722</v>
      </c>
      <c r="N155" s="172">
        <f t="shared" si="447"/>
        <v>32.021803520141106</v>
      </c>
      <c r="O155" s="172">
        <f t="shared" si="438"/>
        <v>10.8</v>
      </c>
      <c r="P155" s="217">
        <f t="shared" si="448"/>
        <v>1.3342418133392127</v>
      </c>
      <c r="Q155" s="217">
        <f t="shared" si="449"/>
        <v>24</v>
      </c>
      <c r="R155" s="217"/>
      <c r="S155" s="172">
        <f t="shared" si="450"/>
        <v>96.211869882876144</v>
      </c>
      <c r="T155" s="172">
        <f t="shared" si="451"/>
        <v>24</v>
      </c>
      <c r="U155" s="217">
        <f t="shared" si="452"/>
        <v>3.8407642474440973</v>
      </c>
      <c r="V155" s="217">
        <f t="shared" si="453"/>
        <v>4.3329732177526088</v>
      </c>
      <c r="W155" s="217">
        <f t="shared" si="454"/>
        <v>2.346590651623762</v>
      </c>
      <c r="X155" s="197">
        <f t="shared" si="455"/>
        <v>258.75101206438626</v>
      </c>
      <c r="Y155" s="443">
        <f t="shared" si="328"/>
        <v>145.35805161303773</v>
      </c>
      <c r="AA155" s="217">
        <f t="shared" si="456"/>
        <v>2.2222222222222219</v>
      </c>
      <c r="AB155" s="173">
        <f t="shared" si="457"/>
        <v>1.3577104858668227</v>
      </c>
      <c r="AC155" s="173">
        <f t="shared" si="458"/>
        <v>0.26035897539972164</v>
      </c>
      <c r="AD155" s="173"/>
      <c r="AE155" s="173">
        <f t="shared" si="459"/>
        <v>1.3577104858668232</v>
      </c>
      <c r="AF155" s="545">
        <f t="shared" si="460"/>
        <v>447.22082367319933</v>
      </c>
      <c r="AG155" s="528">
        <f t="shared" si="461"/>
        <v>0.2603589753997218</v>
      </c>
      <c r="AI155" s="173">
        <f t="shared" si="462"/>
        <v>2.5119701401105559</v>
      </c>
      <c r="AJ155" s="173">
        <f t="shared" si="463"/>
        <v>3.8407642474440973</v>
      </c>
      <c r="AK155" s="173">
        <f t="shared" si="464"/>
        <v>2.3989200186828703</v>
      </c>
      <c r="AM155" s="545">
        <f t="shared" si="465"/>
        <v>450</v>
      </c>
      <c r="AN155" s="460">
        <f t="shared" si="466"/>
        <v>145.35805161303773</v>
      </c>
      <c r="AP155" s="460">
        <f t="shared" si="467"/>
        <v>450</v>
      </c>
      <c r="AQ155" s="460">
        <f t="shared" si="468"/>
        <v>145.35805161303773</v>
      </c>
      <c r="AS155" s="5">
        <f t="shared" si="439"/>
        <v>6.8795638693763701</v>
      </c>
      <c r="AT155" s="5">
        <f t="shared" si="469"/>
        <v>4.3329732177526088</v>
      </c>
      <c r="AU155" s="5">
        <f t="shared" si="343"/>
        <v>2.5465906516237613</v>
      </c>
      <c r="AV155" s="5"/>
      <c r="AW155" s="173">
        <f t="shared" si="344"/>
        <v>0.62983254462399385</v>
      </c>
      <c r="AX155" s="173">
        <f t="shared" si="435"/>
        <v>10.721224691371342</v>
      </c>
      <c r="AY155" s="173">
        <f t="shared" si="436"/>
        <v>0.47414559704653686</v>
      </c>
      <c r="AZ155" s="173">
        <f t="shared" si="440"/>
        <v>22.611671938227584</v>
      </c>
      <c r="BA155" s="460">
        <f t="shared" si="433"/>
        <v>8.1243247832861414</v>
      </c>
      <c r="BB155" s="5">
        <f t="shared" si="434"/>
        <v>2.5856515894374668</v>
      </c>
      <c r="BD155" s="173">
        <f t="shared" si="441"/>
        <v>1.7598253596918836</v>
      </c>
      <c r="BE155" s="173">
        <f t="shared" si="437"/>
        <v>0.89987455865260191</v>
      </c>
      <c r="BG155" s="528">
        <f t="shared" si="347"/>
        <v>0.1238794118645867</v>
      </c>
      <c r="BH155" s="528">
        <f t="shared" si="470"/>
        <v>0.3169433746128148</v>
      </c>
      <c r="BI155" s="528">
        <f t="shared" si="471"/>
        <v>5.153837604406486E-2</v>
      </c>
      <c r="BJ155" s="528">
        <f t="shared" si="350"/>
        <v>1.6194292318176293E-2</v>
      </c>
      <c r="BK155">
        <f t="shared" si="351"/>
        <v>3.9888174343396645E-3</v>
      </c>
      <c r="BL155" s="460">
        <f t="shared" si="427"/>
        <v>55.527193478404527</v>
      </c>
      <c r="BM155" s="528">
        <f t="shared" si="472"/>
        <v>0.50533852698796689</v>
      </c>
      <c r="BN155" s="460">
        <f t="shared" si="353"/>
        <v>505.33852698796687</v>
      </c>
      <c r="BO155" s="528">
        <f t="shared" si="354"/>
        <v>0.315</v>
      </c>
      <c r="BR155" s="460">
        <f t="shared" si="355"/>
        <v>315</v>
      </c>
      <c r="BS155" s="528">
        <f t="shared" si="356"/>
        <v>9.290955889844002E-2</v>
      </c>
      <c r="BT155" s="528">
        <f t="shared" si="357"/>
        <v>2.4293226639306449E-2</v>
      </c>
      <c r="BU155" s="528">
        <f t="shared" si="358"/>
        <v>0.36822380596759974</v>
      </c>
      <c r="BV155" s="528"/>
      <c r="BW155" s="528">
        <f t="shared" si="359"/>
        <v>0.42884898765485369</v>
      </c>
      <c r="BX155" s="460">
        <f t="shared" si="360"/>
        <v>914.27557916019987</v>
      </c>
      <c r="BY155" s="173">
        <f t="shared" si="361"/>
        <v>1.7418198514341823</v>
      </c>
      <c r="BZ155" s="5">
        <f t="shared" si="362"/>
        <v>10.8</v>
      </c>
      <c r="CA155" s="173">
        <f t="shared" si="363"/>
        <v>0.86111905033981151</v>
      </c>
      <c r="CB155" s="5">
        <f t="shared" si="364"/>
        <v>86.111905033981145</v>
      </c>
      <c r="CE155" s="562">
        <f t="shared" si="473"/>
        <v>-50</v>
      </c>
      <c r="CF155">
        <f t="shared" si="474"/>
        <v>-50</v>
      </c>
      <c r="CG155" s="173">
        <f t="shared" si="475"/>
        <v>0.34735179595035987</v>
      </c>
      <c r="CI155" s="170">
        <v>45</v>
      </c>
      <c r="CJ155" s="217">
        <f t="shared" si="428"/>
        <v>0.45</v>
      </c>
      <c r="CK155" s="217"/>
      <c r="CL155" s="217">
        <f t="shared" si="368"/>
        <v>10.8</v>
      </c>
      <c r="CM155" s="541">
        <f t="shared" si="369"/>
        <v>9</v>
      </c>
      <c r="CN155" s="443">
        <f t="shared" si="370"/>
        <v>16.3415</v>
      </c>
      <c r="CO155" s="443">
        <f t="shared" si="371"/>
        <v>25.3415</v>
      </c>
      <c r="CP155" s="443"/>
      <c r="CQ155" s="217">
        <f t="shared" si="372"/>
        <v>0.64485133082098534</v>
      </c>
      <c r="CR155" s="172">
        <f t="shared" si="429"/>
        <v>32.320915977744015</v>
      </c>
      <c r="CS155" s="172">
        <f t="shared" si="373"/>
        <v>10.8</v>
      </c>
      <c r="CT155" s="217">
        <f t="shared" si="374"/>
        <v>1.3467048324060007</v>
      </c>
      <c r="CU155" s="217">
        <f t="shared" si="375"/>
        <v>24</v>
      </c>
      <c r="CV155" s="217"/>
      <c r="CW155" s="172">
        <f t="shared" si="376"/>
        <v>97.686570054389733</v>
      </c>
      <c r="CX155" s="172">
        <f t="shared" si="377"/>
        <v>24</v>
      </c>
      <c r="CY155" s="217">
        <f t="shared" si="378"/>
        <v>3.7217880855490622</v>
      </c>
      <c r="CZ155" s="217">
        <f t="shared" si="379"/>
        <v>4.1353200950545137</v>
      </c>
      <c r="DA155" s="217">
        <f t="shared" si="380"/>
        <v>2.2775070131561135</v>
      </c>
      <c r="DB155" s="197">
        <f t="shared" si="381"/>
        <v>261.16478898249903</v>
      </c>
      <c r="DC155" s="443">
        <f t="shared" si="382"/>
        <v>155.93746457309842</v>
      </c>
      <c r="DE155" s="217">
        <f t="shared" si="383"/>
        <v>2.2222222222222223</v>
      </c>
      <c r="DF155" s="173">
        <f t="shared" si="384"/>
        <v>1.3598642855443031</v>
      </c>
      <c r="DG155" s="173">
        <f t="shared" si="385"/>
        <v>0.26320462482489204</v>
      </c>
      <c r="DH155" s="173"/>
      <c r="DI155" s="173">
        <f t="shared" si="386"/>
        <v>1.3598642855443031</v>
      </c>
      <c r="DJ155" s="545">
        <f t="shared" si="387"/>
        <v>446.51249999999987</v>
      </c>
      <c r="DK155" s="528">
        <f t="shared" si="388"/>
        <v>0.26320462482489204</v>
      </c>
      <c r="DM155" s="173">
        <f t="shared" si="389"/>
        <v>2.5099800796022262</v>
      </c>
      <c r="DN155" s="173">
        <f t="shared" si="390"/>
        <v>3.7217880855490622</v>
      </c>
      <c r="DO155" s="173">
        <f t="shared" si="391"/>
        <v>2.3107895283902518</v>
      </c>
      <c r="DQ155" s="545">
        <f t="shared" si="392"/>
        <v>450</v>
      </c>
      <c r="DR155" s="460">
        <f t="shared" si="393"/>
        <v>155.93746457309842</v>
      </c>
      <c r="DT155">
        <f t="shared" si="430"/>
        <v>450</v>
      </c>
      <c r="DU155">
        <f t="shared" si="431"/>
        <v>155.93746457309842</v>
      </c>
      <c r="DW155" s="5">
        <f t="shared" si="394"/>
        <v>6.4128271082106281</v>
      </c>
      <c r="DX155" s="5">
        <f t="shared" si="395"/>
        <v>4.1353200950545137</v>
      </c>
      <c r="DY155" s="5">
        <f t="shared" si="396"/>
        <v>2.2775070131561144</v>
      </c>
      <c r="DZ155" s="5"/>
      <c r="EA155" s="173">
        <f t="shared" si="397"/>
        <v>0.64485133082098522</v>
      </c>
      <c r="EB155" s="173">
        <f t="shared" si="398"/>
        <v>10.799999999999997</v>
      </c>
      <c r="EC155" s="173">
        <f t="shared" si="399"/>
        <v>0.44081632653061237</v>
      </c>
      <c r="ED155" s="173">
        <f t="shared" si="400"/>
        <v>24.499999999999986</v>
      </c>
      <c r="EE155" s="460">
        <f t="shared" si="401"/>
        <v>7.7537251782272136</v>
      </c>
      <c r="EF155" s="5">
        <f t="shared" si="402"/>
        <v>2.2775070131561144</v>
      </c>
      <c r="EH155" s="173">
        <f t="shared" si="403"/>
        <v>1.7255232448272753</v>
      </c>
      <c r="EI155" s="173">
        <f t="shared" si="404"/>
        <v>0.854126002797437</v>
      </c>
      <c r="EK155" s="528">
        <f t="shared" si="405"/>
        <v>0.11909721873756995</v>
      </c>
      <c r="EL155" s="528">
        <f t="shared" si="406"/>
        <v>0.404452125</v>
      </c>
      <c r="EM155" s="528">
        <f t="shared" si="407"/>
        <v>3.1187492914619683E-2</v>
      </c>
      <c r="EN155" s="528">
        <f t="shared" si="408"/>
        <v>1.7524803335156245E-2</v>
      </c>
      <c r="EO155">
        <f t="shared" si="409"/>
        <v>4.0499999999999998E-3</v>
      </c>
      <c r="EP155" s="460">
        <f t="shared" si="410"/>
        <v>35.237492914619679</v>
      </c>
      <c r="EQ155" s="460"/>
      <c r="ER155" s="460">
        <f t="shared" si="432"/>
        <v>576.31163998734587</v>
      </c>
      <c r="ES155" s="528">
        <f t="shared" si="411"/>
        <v>0.315</v>
      </c>
      <c r="EV155" s="460">
        <f t="shared" si="412"/>
        <v>315</v>
      </c>
      <c r="EW155" s="528">
        <f t="shared" si="413"/>
        <v>8.9322914053177466E-2</v>
      </c>
      <c r="EX155" s="528">
        <f t="shared" si="414"/>
        <v>2.1885936859641818E-2</v>
      </c>
      <c r="EY155" s="528">
        <f t="shared" si="415"/>
        <v>0.40571893711760909</v>
      </c>
      <c r="EZ155" s="528"/>
      <c r="FA155" s="528">
        <f t="shared" si="416"/>
        <v>0.43199999999999994</v>
      </c>
      <c r="FB155" s="460">
        <f t="shared" si="417"/>
        <v>948.92778803042836</v>
      </c>
      <c r="FC155" s="173">
        <f t="shared" si="418"/>
        <v>1.8402394280177743</v>
      </c>
      <c r="FD155" s="5">
        <f t="shared" si="419"/>
        <v>10.8</v>
      </c>
      <c r="FE155" s="173">
        <f t="shared" si="420"/>
        <v>0.85441419535623797</v>
      </c>
      <c r="FF155" s="5">
        <f t="shared" si="421"/>
        <v>85.441419535623794</v>
      </c>
      <c r="FI155" s="562">
        <f t="shared" si="422"/>
        <v>-50</v>
      </c>
      <c r="FJ155">
        <f t="shared" si="423"/>
        <v>-50</v>
      </c>
      <c r="FL155">
        <f t="shared" si="476"/>
        <v>0.35514866917901478</v>
      </c>
    </row>
    <row r="156" spans="5:168" s="76" customFormat="1">
      <c r="E156" s="189">
        <v>46</v>
      </c>
      <c r="F156" s="329">
        <f t="shared" si="477"/>
        <v>0.46</v>
      </c>
      <c r="G156" s="329"/>
      <c r="H156" s="329">
        <f t="shared" si="442"/>
        <v>11.040000000000001</v>
      </c>
      <c r="I156" s="541">
        <f t="shared" si="443"/>
        <v>8.8610851679757303</v>
      </c>
      <c r="J156" s="172">
        <f t="shared" si="444"/>
        <v>16.367986434587621</v>
      </c>
      <c r="K156" s="172">
        <f t="shared" si="445"/>
        <v>25.229071602563351</v>
      </c>
      <c r="L156" s="535"/>
      <c r="M156" s="217">
        <f t="shared" si="446"/>
        <v>0.64876690263366055</v>
      </c>
      <c r="N156" s="172">
        <f t="shared" si="447"/>
        <v>32.015268393512208</v>
      </c>
      <c r="O156" s="172">
        <f t="shared" si="438"/>
        <v>11.040000000000001</v>
      </c>
      <c r="P156" s="329">
        <f t="shared" si="448"/>
        <v>1.3339695163963421</v>
      </c>
      <c r="Q156" s="329">
        <f t="shared" si="449"/>
        <v>24</v>
      </c>
      <c r="R156" s="329"/>
      <c r="S156" s="172">
        <f t="shared" si="450"/>
        <v>93.803389027207317</v>
      </c>
      <c r="T156" s="172">
        <f t="shared" si="451"/>
        <v>24</v>
      </c>
      <c r="U156" s="217">
        <f t="shared" si="452"/>
        <v>3.9270511667895369</v>
      </c>
      <c r="V156" s="329">
        <f t="shared" si="453"/>
        <v>4.4317948562124609</v>
      </c>
      <c r="W156" s="329">
        <f t="shared" si="454"/>
        <v>2.3992267970672203</v>
      </c>
      <c r="X156" s="537">
        <f t="shared" si="455"/>
        <v>258.69820280936216</v>
      </c>
      <c r="Y156" s="443">
        <f t="shared" si="328"/>
        <v>142.22684117798744</v>
      </c>
      <c r="AA156" s="329">
        <f t="shared" si="456"/>
        <v>2.2222222222222228</v>
      </c>
      <c r="AB156" s="538">
        <f t="shared" si="457"/>
        <v>1.3576637731849452</v>
      </c>
      <c r="AC156" s="538">
        <f t="shared" si="458"/>
        <v>0.26029688202325491</v>
      </c>
      <c r="AD156" s="538"/>
      <c r="AE156" s="538">
        <f t="shared" si="459"/>
        <v>1.357663773184945</v>
      </c>
      <c r="AF156" s="545">
        <f t="shared" si="460"/>
        <v>457.17479351779212</v>
      </c>
      <c r="AG156" s="579">
        <f t="shared" si="461"/>
        <v>0.26029688202325474</v>
      </c>
      <c r="AI156" s="538">
        <f t="shared" si="462"/>
        <v>2.5397712502858152</v>
      </c>
      <c r="AJ156" s="538">
        <f t="shared" si="463"/>
        <v>3.9270511667895369</v>
      </c>
      <c r="AK156" s="538">
        <f t="shared" si="464"/>
        <v>2.4628362552350476</v>
      </c>
      <c r="AM156" s="563">
        <f t="shared" si="465"/>
        <v>460</v>
      </c>
      <c r="AN156" s="564">
        <f t="shared" si="466"/>
        <v>142.22684117798744</v>
      </c>
      <c r="AP156" s="76">
        <f t="shared" si="467"/>
        <v>460</v>
      </c>
      <c r="AQ156" s="76">
        <f t="shared" si="468"/>
        <v>142.22684117798744</v>
      </c>
      <c r="AS156" s="534">
        <f t="shared" si="439"/>
        <v>7.0310216532796819</v>
      </c>
      <c r="AT156" s="5">
        <f t="shared" si="469"/>
        <v>4.4317948562124609</v>
      </c>
      <c r="AU156" s="5">
        <f t="shared" si="343"/>
        <v>2.5992267970672209</v>
      </c>
      <c r="AV156" s="5"/>
      <c r="AW156" s="173">
        <f t="shared" si="344"/>
        <v>0.63032018314795135</v>
      </c>
      <c r="AX156" s="173">
        <f t="shared" si="435"/>
        <v>10.96692033325588</v>
      </c>
      <c r="AY156" s="173">
        <f t="shared" si="436"/>
        <v>0.48415914396181126</v>
      </c>
      <c r="AZ156" s="173">
        <f t="shared" si="440"/>
        <v>22.651478279466122</v>
      </c>
      <c r="BA156" s="460">
        <f t="shared" si="433"/>
        <v>8.4942734744072173</v>
      </c>
      <c r="BB156" s="5">
        <f t="shared" si="434"/>
        <v>2.6986408639249322</v>
      </c>
      <c r="BD156" s="173">
        <f t="shared" si="441"/>
        <v>1.8000581679752325</v>
      </c>
      <c r="BE156" s="173">
        <f t="shared" si="437"/>
        <v>0.91948497421658293</v>
      </c>
      <c r="BG156" s="528">
        <f t="shared" si="347"/>
        <v>0.12960837632377403</v>
      </c>
      <c r="BH156" s="528">
        <f t="shared" si="470"/>
        <v>0.31705303284368191</v>
      </c>
      <c r="BI156" s="528">
        <f t="shared" si="471"/>
        <v>5.0411366114012174E-2</v>
      </c>
      <c r="BJ156" s="528">
        <f t="shared" si="350"/>
        <v>1.5842442952129696E-2</v>
      </c>
      <c r="BK156">
        <f t="shared" si="351"/>
        <v>3.9874883255890782E-3</v>
      </c>
      <c r="BL156" s="460">
        <f t="shared" si="427"/>
        <v>54.398854439601251</v>
      </c>
      <c r="BM156" s="528">
        <f t="shared" si="472"/>
        <v>0.51330532567605114</v>
      </c>
      <c r="BN156" s="460">
        <f t="shared" si="353"/>
        <v>513.3053256760511</v>
      </c>
      <c r="BO156" s="528">
        <f t="shared" si="354"/>
        <v>0.32200000000000001</v>
      </c>
      <c r="BR156" s="460">
        <f t="shared" si="355"/>
        <v>322</v>
      </c>
      <c r="BS156" s="528">
        <f t="shared" si="356"/>
        <v>9.7206282242830511E-2</v>
      </c>
      <c r="BT156" s="528">
        <f t="shared" si="357"/>
        <v>2.5363578534302104E-2</v>
      </c>
      <c r="BU156" s="528">
        <f t="shared" si="358"/>
        <v>0.36862969374182941</v>
      </c>
      <c r="BV156" s="528"/>
      <c r="BW156" s="528">
        <f t="shared" si="359"/>
        <v>0.43867681333023523</v>
      </c>
      <c r="BX156" s="460">
        <f t="shared" si="360"/>
        <v>929.87636784919721</v>
      </c>
      <c r="BY156" s="173">
        <f t="shared" si="361"/>
        <v>1.7687790744083842</v>
      </c>
      <c r="BZ156" s="5">
        <f t="shared" si="362"/>
        <v>11.040000000000001</v>
      </c>
      <c r="CA156" s="173">
        <f t="shared" si="363"/>
        <v>0.86190884672666734</v>
      </c>
      <c r="CB156" s="5">
        <f t="shared" si="364"/>
        <v>86.190884672666741</v>
      </c>
      <c r="CE156" s="562">
        <f t="shared" si="473"/>
        <v>-50</v>
      </c>
      <c r="CF156">
        <f t="shared" si="474"/>
        <v>-50</v>
      </c>
      <c r="CG156" s="173">
        <f t="shared" si="475"/>
        <v>0.34752129319446096</v>
      </c>
      <c r="CH156"/>
      <c r="CI156" s="189">
        <v>46</v>
      </c>
      <c r="CJ156" s="329">
        <f t="shared" si="428"/>
        <v>0.46</v>
      </c>
      <c r="CK156" s="329"/>
      <c r="CL156" s="329">
        <f t="shared" si="368"/>
        <v>11.040000000000001</v>
      </c>
      <c r="CM156" s="541">
        <f t="shared" si="369"/>
        <v>9</v>
      </c>
      <c r="CN156" s="443">
        <f t="shared" si="370"/>
        <v>16.3415</v>
      </c>
      <c r="CO156" s="535">
        <f t="shared" si="371"/>
        <v>25.3415</v>
      </c>
      <c r="CP156" s="535"/>
      <c r="CQ156" s="329">
        <f t="shared" si="372"/>
        <v>0.64485133082098534</v>
      </c>
      <c r="CR156" s="172">
        <f t="shared" si="429"/>
        <v>32.320915977744015</v>
      </c>
      <c r="CS156" s="172">
        <f t="shared" si="373"/>
        <v>11.040000000000001</v>
      </c>
      <c r="CT156" s="329">
        <f t="shared" si="374"/>
        <v>1.3467048324060007</v>
      </c>
      <c r="CU156" s="329">
        <f t="shared" si="375"/>
        <v>24</v>
      </c>
      <c r="CV156" s="329"/>
      <c r="CW156" s="172">
        <f t="shared" si="376"/>
        <v>95.272842848056442</v>
      </c>
      <c r="CX156" s="172">
        <f t="shared" si="377"/>
        <v>24</v>
      </c>
      <c r="CY156" s="217">
        <f t="shared" si="378"/>
        <v>3.8044944874501527</v>
      </c>
      <c r="CZ156" s="329">
        <f t="shared" si="379"/>
        <v>4.2272160971668358</v>
      </c>
      <c r="DA156" s="329">
        <f t="shared" si="380"/>
        <v>2.3281182801151381</v>
      </c>
      <c r="DB156" s="537">
        <f t="shared" si="381"/>
        <v>261.16478898249903</v>
      </c>
      <c r="DC156" s="535">
        <f t="shared" si="382"/>
        <v>152.54751969107457</v>
      </c>
      <c r="DE156" s="329">
        <f t="shared" si="383"/>
        <v>2.2222222222222223</v>
      </c>
      <c r="DF156" s="538">
        <f t="shared" si="384"/>
        <v>1.3598642855443031</v>
      </c>
      <c r="DG156" s="538">
        <f t="shared" si="385"/>
        <v>0.26320462482489204</v>
      </c>
      <c r="DH156" s="538"/>
      <c r="DI156" s="538">
        <f t="shared" si="386"/>
        <v>1.3598642855443031</v>
      </c>
      <c r="DJ156" s="545">
        <f t="shared" si="387"/>
        <v>456.43499999999989</v>
      </c>
      <c r="DK156" s="579">
        <f t="shared" si="388"/>
        <v>0.26320462482489204</v>
      </c>
      <c r="DM156" s="538">
        <f t="shared" si="389"/>
        <v>2.5377155080899039</v>
      </c>
      <c r="DN156" s="538">
        <f t="shared" si="390"/>
        <v>3.8044944874501527</v>
      </c>
      <c r="DO156" s="538">
        <f t="shared" si="391"/>
        <v>2.3720535297984671</v>
      </c>
      <c r="DQ156" s="563">
        <f t="shared" si="392"/>
        <v>460</v>
      </c>
      <c r="DR156" s="564">
        <f t="shared" si="393"/>
        <v>152.54751969107457</v>
      </c>
      <c r="DT156">
        <f t="shared" si="430"/>
        <v>460</v>
      </c>
      <c r="DU156">
        <f t="shared" si="431"/>
        <v>152.54751969107457</v>
      </c>
      <c r="DW156" s="534">
        <f t="shared" si="394"/>
        <v>6.5553343772819739</v>
      </c>
      <c r="DX156" s="5">
        <f t="shared" si="395"/>
        <v>4.2272160971668358</v>
      </c>
      <c r="DY156" s="5">
        <f t="shared" si="396"/>
        <v>2.3281182801151381</v>
      </c>
      <c r="DZ156" s="5"/>
      <c r="EA156" s="173">
        <f t="shared" si="397"/>
        <v>0.64485133082098534</v>
      </c>
      <c r="EB156" s="173">
        <f t="shared" si="398"/>
        <v>11.040000000000003</v>
      </c>
      <c r="EC156" s="173">
        <f t="shared" si="399"/>
        <v>0.45061224489795926</v>
      </c>
      <c r="ED156" s="173">
        <f t="shared" si="400"/>
        <v>24.500000000000004</v>
      </c>
      <c r="EE156" s="460">
        <f t="shared" si="401"/>
        <v>8.1021641862364344</v>
      </c>
      <c r="EF156" s="5">
        <f t="shared" si="402"/>
        <v>2.3798542418954747</v>
      </c>
      <c r="EH156" s="173">
        <f t="shared" si="403"/>
        <v>1.7638682058234374</v>
      </c>
      <c r="EI156" s="173">
        <f t="shared" si="404"/>
        <v>0.87310658063738011</v>
      </c>
      <c r="EK156" s="528">
        <f t="shared" si="405"/>
        <v>0.12444924190059169</v>
      </c>
      <c r="EL156" s="528">
        <f t="shared" si="406"/>
        <v>0.404452125</v>
      </c>
      <c r="EM156" s="528">
        <f t="shared" si="407"/>
        <v>3.0509503938214912E-2</v>
      </c>
      <c r="EN156" s="528">
        <f t="shared" si="408"/>
        <v>1.7143829349609375E-2</v>
      </c>
      <c r="EO156">
        <f t="shared" si="409"/>
        <v>4.0499999999999998E-3</v>
      </c>
      <c r="EP156" s="460">
        <f t="shared" si="410"/>
        <v>34.559503938214917</v>
      </c>
      <c r="EQ156" s="460"/>
      <c r="ER156" s="460">
        <f t="shared" si="432"/>
        <v>580.6047001884159</v>
      </c>
      <c r="ES156" s="528">
        <f t="shared" si="411"/>
        <v>0.32200000000000001</v>
      </c>
      <c r="EV156" s="460">
        <f t="shared" si="412"/>
        <v>322</v>
      </c>
      <c r="EW156" s="528">
        <f t="shared" si="413"/>
        <v>9.3336931425443762E-2</v>
      </c>
      <c r="EX156" s="528">
        <f t="shared" si="414"/>
        <v>2.2869453034568936E-2</v>
      </c>
      <c r="EY156" s="528">
        <f t="shared" si="415"/>
        <v>0.40571893711760953</v>
      </c>
      <c r="EZ156" s="528"/>
      <c r="FA156" s="528">
        <f t="shared" si="416"/>
        <v>0.4416000000000001</v>
      </c>
      <c r="FB156" s="460">
        <f t="shared" si="417"/>
        <v>963.52532157762244</v>
      </c>
      <c r="FC156" s="173">
        <f t="shared" si="418"/>
        <v>1.8661300217660384</v>
      </c>
      <c r="FD156" s="5">
        <f t="shared" si="419"/>
        <v>11.040000000000001</v>
      </c>
      <c r="FE156" s="173">
        <f t="shared" si="420"/>
        <v>0.85540746772124321</v>
      </c>
      <c r="FF156" s="5">
        <f t="shared" si="421"/>
        <v>85.540746772124322</v>
      </c>
      <c r="FI156" s="562">
        <f t="shared" si="422"/>
        <v>-50</v>
      </c>
      <c r="FJ156">
        <f t="shared" si="423"/>
        <v>-50</v>
      </c>
      <c r="FL156">
        <f t="shared" si="476"/>
        <v>0.35514866917901466</v>
      </c>
    </row>
    <row r="157" spans="5:168">
      <c r="E157" s="170">
        <v>47</v>
      </c>
      <c r="F157" s="217">
        <f t="shared" si="477"/>
        <v>0.47</v>
      </c>
      <c r="G157" s="217"/>
      <c r="H157" s="217">
        <f t="shared" si="442"/>
        <v>11.28</v>
      </c>
      <c r="I157" s="541">
        <f t="shared" si="443"/>
        <v>8.8581315296946688</v>
      </c>
      <c r="J157" s="172">
        <f t="shared" si="444"/>
        <v>16.36854959509386</v>
      </c>
      <c r="K157" s="172">
        <f t="shared" si="445"/>
        <v>25.226681124788527</v>
      </c>
      <c r="L157" s="443"/>
      <c r="M157" s="217">
        <f t="shared" si="446"/>
        <v>0.64885070930897282</v>
      </c>
      <c r="N157" s="172">
        <f t="shared" si="447"/>
        <v>32.008731145362297</v>
      </c>
      <c r="O157" s="172">
        <f t="shared" si="438"/>
        <v>11.28</v>
      </c>
      <c r="P157" s="217">
        <f t="shared" si="448"/>
        <v>1.3336971310567625</v>
      </c>
      <c r="Q157" s="217">
        <f t="shared" si="449"/>
        <v>24</v>
      </c>
      <c r="R157" s="217"/>
      <c r="S157" s="172">
        <f t="shared" si="450"/>
        <v>91.497668203977014</v>
      </c>
      <c r="T157" s="172">
        <f t="shared" si="451"/>
        <v>24</v>
      </c>
      <c r="U157" s="217">
        <f t="shared" si="452"/>
        <v>4.0133794647583754</v>
      </c>
      <c r="V157" s="217">
        <f t="shared" si="453"/>
        <v>4.530729140004893</v>
      </c>
      <c r="W157" s="217">
        <f t="shared" si="454"/>
        <v>2.451884598230563</v>
      </c>
      <c r="X157" s="197">
        <f t="shared" si="455"/>
        <v>258.64537648013442</v>
      </c>
      <c r="Y157" s="443">
        <f t="shared" si="328"/>
        <v>139.22508385445613</v>
      </c>
      <c r="AA157" s="217">
        <f t="shared" si="456"/>
        <v>2.2222222222222232</v>
      </c>
      <c r="AB157" s="173">
        <f t="shared" si="457"/>
        <v>1.3576170627165947</v>
      </c>
      <c r="AC157" s="173">
        <f t="shared" si="458"/>
        <v>0.26023477554839941</v>
      </c>
      <c r="AD157" s="173"/>
      <c r="AE157" s="173">
        <f t="shared" si="459"/>
        <v>1.3576170627165942</v>
      </c>
      <c r="AF157" s="545">
        <f t="shared" si="460"/>
        <v>467.12944759012225</v>
      </c>
      <c r="AG157" s="528">
        <f t="shared" si="461"/>
        <v>0.26023477554839919</v>
      </c>
      <c r="AI157" s="173">
        <f t="shared" si="462"/>
        <v>2.5672731986986848</v>
      </c>
      <c r="AJ157" s="173">
        <f t="shared" si="463"/>
        <v>4.0133794647583754</v>
      </c>
      <c r="AK157" s="173">
        <f t="shared" si="464"/>
        <v>2.5267831426193723</v>
      </c>
      <c r="AM157" s="545">
        <f t="shared" si="465"/>
        <v>470</v>
      </c>
      <c r="AN157" s="460">
        <f t="shared" si="466"/>
        <v>139.22508385445613</v>
      </c>
      <c r="AP157">
        <f t="shared" si="467"/>
        <v>470</v>
      </c>
      <c r="AQ157">
        <f t="shared" si="468"/>
        <v>139.22508385445613</v>
      </c>
      <c r="AS157" s="5">
        <f t="shared" si="439"/>
        <v>7.1826137382354567</v>
      </c>
      <c r="AT157" s="5">
        <f t="shared" si="469"/>
        <v>4.530729140004893</v>
      </c>
      <c r="AU157" s="5">
        <f t="shared" si="343"/>
        <v>2.6518845982305637</v>
      </c>
      <c r="AV157" s="5"/>
      <c r="AW157" s="173">
        <f t="shared" si="344"/>
        <v>0.63079114443900908</v>
      </c>
      <c r="AX157" s="173">
        <f t="shared" si="435"/>
        <v>11.212641605938053</v>
      </c>
      <c r="AY157" s="173">
        <f t="shared" si="436"/>
        <v>0.49417204224499334</v>
      </c>
      <c r="AZ157" s="173">
        <f t="shared" si="440"/>
        <v>22.689753056445095</v>
      </c>
      <c r="BA157" s="460">
        <f t="shared" si="433"/>
        <v>8.8726778991762476</v>
      </c>
      <c r="BB157" s="5">
        <f t="shared" si="434"/>
        <v>2.814105338106955</v>
      </c>
      <c r="BD157" s="173">
        <f t="shared" si="441"/>
        <v>1.8403159522294856</v>
      </c>
      <c r="BE157" s="173">
        <f t="shared" si="437"/>
        <v>0.93909923185689348</v>
      </c>
      <c r="BG157" s="528">
        <f t="shared" si="347"/>
        <v>0.13547051216121272</v>
      </c>
      <c r="BH157" s="528">
        <f t="shared" si="470"/>
        <v>0.31715411308473018</v>
      </c>
      <c r="BI157" s="528">
        <f t="shared" si="471"/>
        <v>4.9330964200621684E-2</v>
      </c>
      <c r="BJ157" s="528">
        <f t="shared" si="350"/>
        <v>1.5505142857287742E-2</v>
      </c>
      <c r="BK157">
        <f t="shared" si="351"/>
        <v>3.9861591883626011E-3</v>
      </c>
      <c r="BL157" s="460">
        <f t="shared" si="427"/>
        <v>53.317123388984285</v>
      </c>
      <c r="BM157" s="528">
        <f t="shared" si="472"/>
        <v>0.52149249936700726</v>
      </c>
      <c r="BN157" s="460">
        <f t="shared" si="353"/>
        <v>521.49249936700721</v>
      </c>
      <c r="BO157" s="528">
        <f t="shared" si="354"/>
        <v>0.32899999999999996</v>
      </c>
      <c r="BR157" s="460">
        <f t="shared" si="355"/>
        <v>328.99999999999994</v>
      </c>
      <c r="BS157" s="528">
        <f t="shared" si="356"/>
        <v>0.10160288412090955</v>
      </c>
      <c r="BT157" s="528">
        <f t="shared" si="357"/>
        <v>2.6457221018226219E-2</v>
      </c>
      <c r="BU157" s="528">
        <f t="shared" si="358"/>
        <v>0.36901097683121475</v>
      </c>
      <c r="BV157" s="528"/>
      <c r="BW157" s="528">
        <f t="shared" si="359"/>
        <v>0.44850566423752214</v>
      </c>
      <c r="BX157" s="460">
        <f t="shared" si="360"/>
        <v>945.5767462078727</v>
      </c>
      <c r="BY157" s="173">
        <f t="shared" si="361"/>
        <v>1.7960236377000878</v>
      </c>
      <c r="BZ157" s="5">
        <f t="shared" si="362"/>
        <v>11.28</v>
      </c>
      <c r="CA157" s="173">
        <f t="shared" si="363"/>
        <v>0.86264756875156678</v>
      </c>
      <c r="CB157" s="5">
        <f t="shared" si="364"/>
        <v>86.264756875156678</v>
      </c>
      <c r="CE157" s="562">
        <f t="shared" si="473"/>
        <v>-50</v>
      </c>
      <c r="CF157">
        <f t="shared" si="474"/>
        <v>-50</v>
      </c>
      <c r="CG157" s="173">
        <f t="shared" si="475"/>
        <v>0.34768357778987696</v>
      </c>
      <c r="CI157" s="170">
        <v>47</v>
      </c>
      <c r="CJ157" s="217">
        <f t="shared" si="428"/>
        <v>0.47</v>
      </c>
      <c r="CK157" s="217"/>
      <c r="CL157" s="217">
        <f t="shared" si="368"/>
        <v>11.28</v>
      </c>
      <c r="CM157" s="541">
        <f t="shared" si="369"/>
        <v>9</v>
      </c>
      <c r="CN157" s="443">
        <f t="shared" si="370"/>
        <v>16.3415</v>
      </c>
      <c r="CO157" s="443">
        <f t="shared" si="371"/>
        <v>25.3415</v>
      </c>
      <c r="CP157" s="443"/>
      <c r="CQ157" s="217">
        <f t="shared" si="372"/>
        <v>0.64485133082098534</v>
      </c>
      <c r="CR157" s="172">
        <f t="shared" si="429"/>
        <v>32.320915977744015</v>
      </c>
      <c r="CS157" s="172">
        <f t="shared" si="373"/>
        <v>11.28</v>
      </c>
      <c r="CT157" s="217">
        <f t="shared" si="374"/>
        <v>1.3467048324060007</v>
      </c>
      <c r="CU157" s="217">
        <f t="shared" si="375"/>
        <v>24</v>
      </c>
      <c r="CV157" s="217"/>
      <c r="CW157" s="172">
        <f t="shared" si="376"/>
        <v>92.961911191367406</v>
      </c>
      <c r="CX157" s="172">
        <f t="shared" si="377"/>
        <v>24</v>
      </c>
      <c r="CY157" s="217">
        <f t="shared" si="378"/>
        <v>3.8872008893512424</v>
      </c>
      <c r="CZ157" s="217">
        <f t="shared" si="379"/>
        <v>4.3191120992791587</v>
      </c>
      <c r="DA157" s="217">
        <f t="shared" si="380"/>
        <v>2.3787295470741627</v>
      </c>
      <c r="DB157" s="197">
        <f t="shared" si="381"/>
        <v>261.16478898249903</v>
      </c>
      <c r="DC157" s="443">
        <f t="shared" si="382"/>
        <v>149.30182778275383</v>
      </c>
      <c r="DE157" s="217">
        <f t="shared" si="383"/>
        <v>2.2222222222222223</v>
      </c>
      <c r="DF157" s="173">
        <f t="shared" si="384"/>
        <v>1.3598642855443031</v>
      </c>
      <c r="DG157" s="173">
        <f t="shared" si="385"/>
        <v>0.26320462482489204</v>
      </c>
      <c r="DH157" s="173"/>
      <c r="DI157" s="173">
        <f t="shared" si="386"/>
        <v>1.3598642855443031</v>
      </c>
      <c r="DJ157" s="545">
        <f t="shared" si="387"/>
        <v>466.35749999999985</v>
      </c>
      <c r="DK157" s="528">
        <f t="shared" si="388"/>
        <v>0.26320462482489204</v>
      </c>
      <c r="DM157" s="173">
        <f t="shared" si="389"/>
        <v>2.5651510676761315</v>
      </c>
      <c r="DN157" s="173">
        <f t="shared" si="390"/>
        <v>3.8872008893512424</v>
      </c>
      <c r="DO157" s="173">
        <f t="shared" si="391"/>
        <v>2.4333175312066815</v>
      </c>
      <c r="DQ157" s="545">
        <f t="shared" si="392"/>
        <v>470</v>
      </c>
      <c r="DR157" s="460">
        <f t="shared" si="393"/>
        <v>149.30182778275383</v>
      </c>
      <c r="DT157">
        <f t="shared" si="430"/>
        <v>470</v>
      </c>
      <c r="DU157">
        <f t="shared" si="431"/>
        <v>149.30182778275383</v>
      </c>
      <c r="DW157" s="5">
        <f t="shared" si="394"/>
        <v>6.6978416463533215</v>
      </c>
      <c r="DX157" s="5">
        <f t="shared" si="395"/>
        <v>4.3191120992791587</v>
      </c>
      <c r="DY157" s="5">
        <f t="shared" si="396"/>
        <v>2.3787295470741627</v>
      </c>
      <c r="DZ157" s="5"/>
      <c r="EA157" s="173">
        <f t="shared" si="397"/>
        <v>0.64485133082098534</v>
      </c>
      <c r="EB157" s="173">
        <f t="shared" si="398"/>
        <v>11.279999999999998</v>
      </c>
      <c r="EC157" s="173">
        <f t="shared" si="399"/>
        <v>0.46040816326530609</v>
      </c>
      <c r="ED157" s="173">
        <f t="shared" si="400"/>
        <v>24.499999999999996</v>
      </c>
      <c r="EE157" s="460">
        <f t="shared" si="401"/>
        <v>8.4582611944216861</v>
      </c>
      <c r="EF157" s="5">
        <f t="shared" si="402"/>
        <v>2.484450860277458</v>
      </c>
      <c r="EH157" s="173">
        <f t="shared" si="403"/>
        <v>1.8022131668195989</v>
      </c>
      <c r="EI157" s="173">
        <f t="shared" si="404"/>
        <v>0.89208715847732289</v>
      </c>
      <c r="EK157" s="528">
        <f t="shared" si="405"/>
        <v>0.12991889194631709</v>
      </c>
      <c r="EL157" s="528">
        <f t="shared" si="406"/>
        <v>0.40445212499999994</v>
      </c>
      <c r="EM157" s="528">
        <f t="shared" si="407"/>
        <v>2.9860365556550764E-2</v>
      </c>
      <c r="EN157" s="528">
        <f t="shared" si="408"/>
        <v>1.677906702302194E-2</v>
      </c>
      <c r="EO157">
        <f t="shared" si="409"/>
        <v>4.0499999999999998E-3</v>
      </c>
      <c r="EP157" s="460">
        <f t="shared" si="410"/>
        <v>33.910365556550765</v>
      </c>
      <c r="EQ157" s="460"/>
      <c r="ER157" s="460">
        <f t="shared" si="432"/>
        <v>585.06044952588979</v>
      </c>
      <c r="ES157" s="528">
        <f t="shared" si="411"/>
        <v>0.32899999999999996</v>
      </c>
      <c r="EV157" s="460">
        <f t="shared" si="412"/>
        <v>328.99999999999994</v>
      </c>
      <c r="EW157" s="528">
        <f t="shared" si="413"/>
        <v>9.743916895973781E-2</v>
      </c>
      <c r="EX157" s="528">
        <f t="shared" si="414"/>
        <v>2.3874584949604327E-2</v>
      </c>
      <c r="EY157" s="528">
        <f t="shared" si="415"/>
        <v>0.4057189371176092</v>
      </c>
      <c r="EZ157" s="528"/>
      <c r="FA157" s="528">
        <f t="shared" si="416"/>
        <v>0.45119999999999993</v>
      </c>
      <c r="FB157" s="460">
        <f t="shared" si="417"/>
        <v>978.23269102695133</v>
      </c>
      <c r="FC157" s="173">
        <f t="shared" si="418"/>
        <v>1.8922931405528409</v>
      </c>
      <c r="FD157" s="5">
        <f t="shared" si="419"/>
        <v>11.28</v>
      </c>
      <c r="FE157" s="173">
        <f t="shared" si="420"/>
        <v>0.85634292219574593</v>
      </c>
      <c r="FF157" s="5">
        <f t="shared" si="421"/>
        <v>85.63429221957459</v>
      </c>
      <c r="FI157" s="562">
        <f t="shared" si="422"/>
        <v>-50</v>
      </c>
      <c r="FJ157">
        <f t="shared" si="423"/>
        <v>-50</v>
      </c>
      <c r="FL157">
        <f t="shared" si="476"/>
        <v>0.35514866917901466</v>
      </c>
    </row>
    <row r="158" spans="5:168">
      <c r="E158" s="170">
        <v>48</v>
      </c>
      <c r="F158" s="217">
        <f t="shared" si="477"/>
        <v>0.48</v>
      </c>
      <c r="G158" s="217"/>
      <c r="H158" s="217">
        <f t="shared" si="442"/>
        <v>11.52</v>
      </c>
      <c r="I158" s="541">
        <f t="shared" si="443"/>
        <v>8.8551778321719432</v>
      </c>
      <c r="J158" s="172">
        <f t="shared" si="444"/>
        <v>16.369112766895508</v>
      </c>
      <c r="K158" s="172">
        <f t="shared" si="445"/>
        <v>25.224290599067452</v>
      </c>
      <c r="L158" s="443"/>
      <c r="M158" s="217">
        <f t="shared" si="446"/>
        <v>0.6489345333915274</v>
      </c>
      <c r="N158" s="172">
        <f t="shared" si="447"/>
        <v>32.002191784485674</v>
      </c>
      <c r="O158" s="172">
        <f t="shared" si="438"/>
        <v>11.52</v>
      </c>
      <c r="P158" s="217">
        <f t="shared" si="448"/>
        <v>1.3334246576869031</v>
      </c>
      <c r="Q158" s="217">
        <f t="shared" si="449"/>
        <v>24</v>
      </c>
      <c r="R158" s="217"/>
      <c r="S158" s="172">
        <f t="shared" si="450"/>
        <v>89.288285667198707</v>
      </c>
      <c r="T158" s="172">
        <f t="shared" si="451"/>
        <v>24</v>
      </c>
      <c r="U158" s="217">
        <f t="shared" si="452"/>
        <v>4.0997491827507311</v>
      </c>
      <c r="V158" s="217">
        <f t="shared" si="453"/>
        <v>4.6297762286103863</v>
      </c>
      <c r="W158" s="217">
        <f t="shared" si="454"/>
        <v>2.5045640781716427</v>
      </c>
      <c r="X158" s="197">
        <f t="shared" si="455"/>
        <v>258.59253314340037</v>
      </c>
      <c r="Y158" s="443">
        <f t="shared" si="328"/>
        <v>136.34491422157009</v>
      </c>
      <c r="AA158" s="217">
        <f t="shared" si="456"/>
        <v>2.2222222222222223</v>
      </c>
      <c r="AB158" s="173">
        <f t="shared" si="457"/>
        <v>1.3575703545255002</v>
      </c>
      <c r="AC158" s="173">
        <f t="shared" si="458"/>
        <v>0.2601726560559865</v>
      </c>
      <c r="AD158" s="173"/>
      <c r="AE158" s="173">
        <f t="shared" si="459"/>
        <v>1.3575703545255002</v>
      </c>
      <c r="AF158" s="545">
        <f t="shared" si="460"/>
        <v>477.08478588972798</v>
      </c>
      <c r="AG158" s="528">
        <f t="shared" si="461"/>
        <v>0.26017265605598655</v>
      </c>
      <c r="AI158" s="173">
        <f t="shared" si="462"/>
        <v>2.5944854988484982</v>
      </c>
      <c r="AJ158" s="173">
        <f t="shared" si="463"/>
        <v>4.0997491827507311</v>
      </c>
      <c r="AK158" s="173">
        <f t="shared" si="464"/>
        <v>2.590760711502599</v>
      </c>
      <c r="AM158" s="545">
        <f t="shared" si="465"/>
        <v>480</v>
      </c>
      <c r="AN158" s="460">
        <f t="shared" si="466"/>
        <v>136.34491422157009</v>
      </c>
      <c r="AP158">
        <f t="shared" si="467"/>
        <v>480</v>
      </c>
      <c r="AQ158">
        <f t="shared" si="468"/>
        <v>136.34491422157009</v>
      </c>
      <c r="AS158" s="5">
        <f t="shared" si="439"/>
        <v>7.3343403067820301</v>
      </c>
      <c r="AT158" s="5">
        <f t="shared" si="469"/>
        <v>4.6297762286103863</v>
      </c>
      <c r="AU158" s="5">
        <f t="shared" si="343"/>
        <v>2.7045640781716438</v>
      </c>
      <c r="AV158" s="5"/>
      <c r="AW158" s="173">
        <f t="shared" si="344"/>
        <v>0.63124644275494746</v>
      </c>
      <c r="AX158" s="173">
        <f t="shared" si="435"/>
        <v>11.458387979299966</v>
      </c>
      <c r="AY158" s="173">
        <f t="shared" si="436"/>
        <v>0.50418433116643502</v>
      </c>
      <c r="AZ158" s="173">
        <f t="shared" si="440"/>
        <v>22.726584844060667</v>
      </c>
      <c r="BA158" s="460">
        <f t="shared" si="433"/>
        <v>9.2595524572207726</v>
      </c>
      <c r="BB158" s="5">
        <f t="shared" si="434"/>
        <v>2.9320489822483364</v>
      </c>
      <c r="BD158" s="173">
        <f t="shared" si="441"/>
        <v>1.8805987040436172</v>
      </c>
      <c r="BE158" s="173">
        <f t="shared" si="437"/>
        <v>0.95871738723153654</v>
      </c>
      <c r="BG158" s="528">
        <f t="shared" si="347"/>
        <v>0.14146605942602128</v>
      </c>
      <c r="BH158" s="528">
        <f t="shared" si="470"/>
        <v>0.31724713607177174</v>
      </c>
      <c r="BI158" s="528">
        <f t="shared" si="471"/>
        <v>4.8294338477769309E-2</v>
      </c>
      <c r="BJ158" s="528">
        <f t="shared" si="350"/>
        <v>1.5181508040556015E-2</v>
      </c>
      <c r="BK158">
        <f t="shared" si="351"/>
        <v>3.9848300244773741E-3</v>
      </c>
      <c r="BL158" s="460">
        <f t="shared" si="427"/>
        <v>52.279168502246684</v>
      </c>
      <c r="BM158" s="528">
        <f t="shared" si="472"/>
        <v>0.52990177597590105</v>
      </c>
      <c r="BN158" s="460">
        <f t="shared" si="353"/>
        <v>529.90177597590105</v>
      </c>
      <c r="BO158" s="528">
        <f t="shared" si="354"/>
        <v>0.33599999999999997</v>
      </c>
      <c r="BR158" s="460">
        <f t="shared" si="355"/>
        <v>335.99999999999994</v>
      </c>
      <c r="BS158" s="528">
        <f t="shared" si="356"/>
        <v>0.10609954456951597</v>
      </c>
      <c r="BT158" s="528">
        <f t="shared" si="357"/>
        <v>2.7574170857401919E-2</v>
      </c>
      <c r="BU158" s="528">
        <f t="shared" si="358"/>
        <v>0.36936911754596302</v>
      </c>
      <c r="BV158" s="528"/>
      <c r="BW158" s="528">
        <f t="shared" si="359"/>
        <v>0.45833551917199866</v>
      </c>
      <c r="BX158" s="460">
        <f t="shared" si="360"/>
        <v>961.3783521448795</v>
      </c>
      <c r="BY158" s="173">
        <f t="shared" si="361"/>
        <v>1.8235522241854754</v>
      </c>
      <c r="BZ158" s="5">
        <f t="shared" si="362"/>
        <v>11.52</v>
      </c>
      <c r="CA158" s="173">
        <f t="shared" si="363"/>
        <v>0.8633383229931646</v>
      </c>
      <c r="CB158" s="5">
        <f t="shared" si="364"/>
        <v>86.333832299316455</v>
      </c>
      <c r="CE158" s="562">
        <f t="shared" si="473"/>
        <v>-50</v>
      </c>
      <c r="CF158">
        <f t="shared" si="474"/>
        <v>-50</v>
      </c>
      <c r="CG158" s="173">
        <f t="shared" si="475"/>
        <v>0.34783910052715067</v>
      </c>
      <c r="CI158" s="170">
        <v>48</v>
      </c>
      <c r="CJ158" s="217">
        <f t="shared" si="428"/>
        <v>0.48</v>
      </c>
      <c r="CK158" s="217"/>
      <c r="CL158" s="217">
        <f t="shared" si="368"/>
        <v>11.52</v>
      </c>
      <c r="CM158" s="541">
        <f t="shared" si="369"/>
        <v>9</v>
      </c>
      <c r="CN158" s="443">
        <f t="shared" si="370"/>
        <v>16.3415</v>
      </c>
      <c r="CO158" s="443">
        <f t="shared" si="371"/>
        <v>25.3415</v>
      </c>
      <c r="CP158" s="443"/>
      <c r="CQ158" s="217">
        <f t="shared" si="372"/>
        <v>0.64485133082098534</v>
      </c>
      <c r="CR158" s="172">
        <f t="shared" si="429"/>
        <v>32.320915977744015</v>
      </c>
      <c r="CS158" s="172">
        <f t="shared" si="373"/>
        <v>11.52</v>
      </c>
      <c r="CT158" s="217">
        <f t="shared" si="374"/>
        <v>1.3467048324060007</v>
      </c>
      <c r="CU158" s="217">
        <f t="shared" si="375"/>
        <v>24</v>
      </c>
      <c r="CV158" s="217"/>
      <c r="CW158" s="172">
        <f t="shared" si="376"/>
        <v>90.747351074639028</v>
      </c>
      <c r="CX158" s="172">
        <f t="shared" si="377"/>
        <v>24</v>
      </c>
      <c r="CY158" s="217">
        <f t="shared" si="378"/>
        <v>3.9699072912523325</v>
      </c>
      <c r="CZ158" s="217">
        <f t="shared" si="379"/>
        <v>4.4110081013914808</v>
      </c>
      <c r="DA158" s="217">
        <f t="shared" si="380"/>
        <v>2.4293408140331874</v>
      </c>
      <c r="DB158" s="197">
        <f t="shared" si="381"/>
        <v>261.16478898249903</v>
      </c>
      <c r="DC158" s="443">
        <f t="shared" si="382"/>
        <v>146.19137303727982</v>
      </c>
      <c r="DE158" s="217">
        <f t="shared" si="383"/>
        <v>2.2222222222222223</v>
      </c>
      <c r="DF158" s="173">
        <f t="shared" si="384"/>
        <v>1.3598642855443031</v>
      </c>
      <c r="DG158" s="173">
        <f t="shared" si="385"/>
        <v>0.26320462482489204</v>
      </c>
      <c r="DH158" s="173"/>
      <c r="DI158" s="173">
        <f t="shared" si="386"/>
        <v>1.3598642855443031</v>
      </c>
      <c r="DJ158" s="545">
        <f t="shared" si="387"/>
        <v>476.2799999999998</v>
      </c>
      <c r="DK158" s="528">
        <f t="shared" si="388"/>
        <v>0.26320462482489204</v>
      </c>
      <c r="DM158" s="173">
        <f t="shared" si="389"/>
        <v>2.5922962793631439</v>
      </c>
      <c r="DN158" s="173">
        <f t="shared" si="390"/>
        <v>3.9699072912523325</v>
      </c>
      <c r="DO158" s="173">
        <f t="shared" si="391"/>
        <v>2.4945815326148963</v>
      </c>
      <c r="DQ158" s="545">
        <f t="shared" si="392"/>
        <v>480</v>
      </c>
      <c r="DR158" s="460">
        <f t="shared" si="393"/>
        <v>146.19137303727982</v>
      </c>
      <c r="DT158">
        <f t="shared" si="430"/>
        <v>480</v>
      </c>
      <c r="DU158">
        <f t="shared" si="431"/>
        <v>146.19137303727982</v>
      </c>
      <c r="DW158" s="5">
        <f t="shared" si="394"/>
        <v>6.8403489154246682</v>
      </c>
      <c r="DX158" s="5">
        <f t="shared" si="395"/>
        <v>4.4110081013914808</v>
      </c>
      <c r="DY158" s="5">
        <f t="shared" si="396"/>
        <v>2.4293408140331874</v>
      </c>
      <c r="DZ158" s="5"/>
      <c r="EA158" s="173">
        <f t="shared" si="397"/>
        <v>0.64485133082098534</v>
      </c>
      <c r="EB158" s="173">
        <f t="shared" si="398"/>
        <v>11.52</v>
      </c>
      <c r="EC158" s="173">
        <f t="shared" si="399"/>
        <v>0.47020408163265304</v>
      </c>
      <c r="ED158" s="173">
        <f t="shared" si="400"/>
        <v>24.5</v>
      </c>
      <c r="EE158" s="460">
        <f t="shared" si="401"/>
        <v>8.8220162027829634</v>
      </c>
      <c r="EF158" s="5">
        <f t="shared" si="402"/>
        <v>2.5912968683020661</v>
      </c>
      <c r="EH158" s="173">
        <f t="shared" si="403"/>
        <v>1.8405581278157603</v>
      </c>
      <c r="EI158" s="173">
        <f t="shared" si="404"/>
        <v>0.91106773631726601</v>
      </c>
      <c r="EK158" s="528">
        <f t="shared" si="405"/>
        <v>0.13550616887474629</v>
      </c>
      <c r="EL158" s="528">
        <f t="shared" si="406"/>
        <v>0.404452125</v>
      </c>
      <c r="EM158" s="528">
        <f t="shared" si="407"/>
        <v>2.9238274607455962E-2</v>
      </c>
      <c r="EN158" s="528">
        <f t="shared" si="408"/>
        <v>1.6429503126708989E-2</v>
      </c>
      <c r="EO158">
        <f t="shared" si="409"/>
        <v>4.0499999999999998E-3</v>
      </c>
      <c r="EP158" s="460">
        <f t="shared" si="410"/>
        <v>33.288274607455961</v>
      </c>
      <c r="EQ158" s="460"/>
      <c r="ER158" s="460">
        <f t="shared" si="432"/>
        <v>589.67607160891123</v>
      </c>
      <c r="ES158" s="528">
        <f t="shared" si="411"/>
        <v>0.33599999999999997</v>
      </c>
      <c r="EV158" s="460">
        <f t="shared" si="412"/>
        <v>335.99999999999994</v>
      </c>
      <c r="EW158" s="528">
        <f t="shared" si="413"/>
        <v>0.10162962665605969</v>
      </c>
      <c r="EX158" s="528">
        <f t="shared" si="414"/>
        <v>2.4901332604748017E-2</v>
      </c>
      <c r="EY158" s="528">
        <f t="shared" si="415"/>
        <v>0.40571893711761065</v>
      </c>
      <c r="EZ158" s="528"/>
      <c r="FA158" s="528">
        <f t="shared" si="416"/>
        <v>0.46079999999999999</v>
      </c>
      <c r="FB158" s="460">
        <f t="shared" si="417"/>
        <v>993.04989637841834</v>
      </c>
      <c r="FC158" s="173">
        <f t="shared" si="418"/>
        <v>1.9187259679873296</v>
      </c>
      <c r="FD158" s="5">
        <f t="shared" si="419"/>
        <v>11.52</v>
      </c>
      <c r="FE158" s="173">
        <f t="shared" si="420"/>
        <v>0.85722411688742173</v>
      </c>
      <c r="FF158" s="5">
        <f t="shared" si="421"/>
        <v>85.72241168874217</v>
      </c>
      <c r="FI158" s="562">
        <f t="shared" si="422"/>
        <v>-50</v>
      </c>
      <c r="FJ158">
        <f t="shared" si="423"/>
        <v>-50</v>
      </c>
      <c r="FL158">
        <f t="shared" si="476"/>
        <v>0.35514866917901466</v>
      </c>
    </row>
    <row r="159" spans="5:168">
      <c r="E159" s="170">
        <v>49</v>
      </c>
      <c r="F159" s="217">
        <f t="shared" si="477"/>
        <v>0.49</v>
      </c>
      <c r="G159" s="217"/>
      <c r="H159" s="217">
        <f t="shared" si="442"/>
        <v>11.76</v>
      </c>
      <c r="I159" s="541">
        <f t="shared" si="443"/>
        <v>8.8522240791092273</v>
      </c>
      <c r="J159" s="172">
        <f t="shared" si="444"/>
        <v>16.36967594928679</v>
      </c>
      <c r="K159" s="172">
        <f t="shared" si="445"/>
        <v>25.221900028396018</v>
      </c>
      <c r="L159" s="443"/>
      <c r="M159" s="217">
        <f t="shared" si="446"/>
        <v>0.64901837479160929</v>
      </c>
      <c r="N159" s="172">
        <f t="shared" si="447"/>
        <v>31.995650318896935</v>
      </c>
      <c r="O159" s="172">
        <f t="shared" si="438"/>
        <v>11.76</v>
      </c>
      <c r="P159" s="217">
        <f t="shared" si="448"/>
        <v>1.3331520966207056</v>
      </c>
      <c r="Q159" s="217">
        <f t="shared" si="449"/>
        <v>24</v>
      </c>
      <c r="R159" s="217"/>
      <c r="S159" s="172">
        <f t="shared" si="450"/>
        <v>87.169343898784433</v>
      </c>
      <c r="T159" s="172">
        <f t="shared" si="451"/>
        <v>24</v>
      </c>
      <c r="U159" s="217">
        <f t="shared" si="452"/>
        <v>4.1861603622240473</v>
      </c>
      <c r="V159" s="217">
        <f t="shared" si="453"/>
        <v>4.7289362817906522</v>
      </c>
      <c r="W159" s="217">
        <f t="shared" si="454"/>
        <v>2.5572652599799537</v>
      </c>
      <c r="X159" s="197">
        <f t="shared" si="455"/>
        <v>258.53967285992053</v>
      </c>
      <c r="Y159" s="443">
        <f t="shared" si="328"/>
        <v>133.57909140173697</v>
      </c>
      <c r="AA159" s="217">
        <f t="shared" si="456"/>
        <v>2.2222222222222223</v>
      </c>
      <c r="AB159" s="173">
        <f t="shared" si="457"/>
        <v>1.3575236486700537</v>
      </c>
      <c r="AC159" s="173">
        <f t="shared" si="458"/>
        <v>0.26011052361983322</v>
      </c>
      <c r="AD159" s="173"/>
      <c r="AE159" s="173">
        <f t="shared" si="459"/>
        <v>1.3575236486700537</v>
      </c>
      <c r="AF159" s="545">
        <f t="shared" si="460"/>
        <v>487.04080841618622</v>
      </c>
      <c r="AG159" s="528">
        <f t="shared" si="461"/>
        <v>0.26011052361983317</v>
      </c>
      <c r="AI159" s="173">
        <f t="shared" si="462"/>
        <v>2.6214171710561631</v>
      </c>
      <c r="AJ159" s="173">
        <f t="shared" si="463"/>
        <v>4.1861603622240473</v>
      </c>
      <c r="AK159" s="173">
        <f t="shared" si="464"/>
        <v>2.6547689925939446</v>
      </c>
      <c r="AM159" s="545">
        <f t="shared" si="465"/>
        <v>490</v>
      </c>
      <c r="AN159" s="460">
        <f t="shared" si="466"/>
        <v>133.57909140173697</v>
      </c>
      <c r="AP159">
        <f t="shared" si="467"/>
        <v>490</v>
      </c>
      <c r="AQ159">
        <f t="shared" si="468"/>
        <v>133.57909140173697</v>
      </c>
      <c r="AS159" s="5">
        <f t="shared" si="439"/>
        <v>7.4862015417706056</v>
      </c>
      <c r="AT159" s="5">
        <f t="shared" si="469"/>
        <v>4.7289362817906522</v>
      </c>
      <c r="AU159" s="5">
        <f t="shared" si="343"/>
        <v>2.7572652599799534</v>
      </c>
      <c r="AV159" s="5"/>
      <c r="AW159" s="173">
        <f t="shared" si="344"/>
        <v>0.63168701181830378</v>
      </c>
      <c r="AX159" s="173">
        <f t="shared" si="435"/>
        <v>11.704158965316259</v>
      </c>
      <c r="AY159" s="173">
        <f t="shared" si="436"/>
        <v>0.51419604687817333</v>
      </c>
      <c r="AZ159" s="173">
        <f t="shared" si="440"/>
        <v>22.762055516325827</v>
      </c>
      <c r="BA159" s="460">
        <f t="shared" si="433"/>
        <v>9.6549115753225809</v>
      </c>
      <c r="BB159" s="5">
        <f t="shared" si="434"/>
        <v>3.0524757740342472</v>
      </c>
      <c r="BD159" s="173">
        <f t="shared" si="441"/>
        <v>1.9209064176221495</v>
      </c>
      <c r="BE159" s="173">
        <f t="shared" si="437"/>
        <v>0.97833949195304837</v>
      </c>
      <c r="BG159" s="528">
        <f t="shared" si="347"/>
        <v>0.1475952586104784</v>
      </c>
      <c r="BH159" s="528">
        <f t="shared" si="470"/>
        <v>0.31733258119206753</v>
      </c>
      <c r="BI159" s="528">
        <f t="shared" si="471"/>
        <v>4.7298881974879539E-2</v>
      </c>
      <c r="BJ159" s="528">
        <f t="shared" si="350"/>
        <v>1.4870724700806054E-2</v>
      </c>
      <c r="BK159">
        <f t="shared" si="351"/>
        <v>3.9835008355991524E-3</v>
      </c>
      <c r="BL159" s="460">
        <f t="shared" si="427"/>
        <v>51.282382810478694</v>
      </c>
      <c r="BM159" s="528">
        <f t="shared" si="472"/>
        <v>0.53853496978121007</v>
      </c>
      <c r="BN159" s="460">
        <f t="shared" si="353"/>
        <v>538.53496978121007</v>
      </c>
      <c r="BO159" s="528">
        <f t="shared" si="354"/>
        <v>0.34299999999999997</v>
      </c>
      <c r="BR159" s="460">
        <f t="shared" si="355"/>
        <v>343</v>
      </c>
      <c r="BS159" s="528">
        <f t="shared" si="356"/>
        <v>0.11069644395785878</v>
      </c>
      <c r="BT159" s="528">
        <f t="shared" si="357"/>
        <v>2.871444484544846E-2</v>
      </c>
      <c r="BU159" s="528">
        <f t="shared" si="358"/>
        <v>0.36970546462103282</v>
      </c>
      <c r="BV159" s="528"/>
      <c r="BW159" s="528">
        <f t="shared" si="359"/>
        <v>0.46816635861265038</v>
      </c>
      <c r="BX159" s="460">
        <f t="shared" si="360"/>
        <v>977.28271203699046</v>
      </c>
      <c r="BY159" s="173">
        <f t="shared" si="361"/>
        <v>1.8513636593508211</v>
      </c>
      <c r="BZ159" s="5">
        <f t="shared" si="362"/>
        <v>11.76</v>
      </c>
      <c r="CA159" s="173">
        <f t="shared" si="363"/>
        <v>0.86398396915367404</v>
      </c>
      <c r="CB159" s="5">
        <f t="shared" si="364"/>
        <v>86.3983969153674</v>
      </c>
      <c r="CE159" s="562">
        <f t="shared" si="473"/>
        <v>-50</v>
      </c>
      <c r="CF159">
        <f t="shared" si="474"/>
        <v>-50</v>
      </c>
      <c r="CG159" s="173">
        <f t="shared" si="475"/>
        <v>0.34798827539759686</v>
      </c>
      <c r="CI159" s="170">
        <v>49</v>
      </c>
      <c r="CJ159" s="217">
        <f t="shared" si="428"/>
        <v>0.49</v>
      </c>
      <c r="CK159" s="217"/>
      <c r="CL159" s="217">
        <f t="shared" si="368"/>
        <v>11.76</v>
      </c>
      <c r="CM159" s="541">
        <f t="shared" si="369"/>
        <v>9</v>
      </c>
      <c r="CN159" s="443">
        <f t="shared" si="370"/>
        <v>16.3415</v>
      </c>
      <c r="CO159" s="443">
        <f t="shared" si="371"/>
        <v>25.3415</v>
      </c>
      <c r="CP159" s="443"/>
      <c r="CQ159" s="217">
        <f t="shared" si="372"/>
        <v>0.64485133082098534</v>
      </c>
      <c r="CR159" s="172">
        <f t="shared" si="429"/>
        <v>32.320915977744015</v>
      </c>
      <c r="CS159" s="172">
        <f t="shared" si="373"/>
        <v>11.76</v>
      </c>
      <c r="CT159" s="217">
        <f t="shared" si="374"/>
        <v>1.3467048324060007</v>
      </c>
      <c r="CU159" s="217">
        <f t="shared" si="375"/>
        <v>24</v>
      </c>
      <c r="CV159" s="217"/>
      <c r="CW159" s="172">
        <f t="shared" si="376"/>
        <v>88.623262904798523</v>
      </c>
      <c r="CX159" s="172">
        <f t="shared" si="377"/>
        <v>24</v>
      </c>
      <c r="CY159" s="217">
        <f t="shared" si="378"/>
        <v>4.0526136931534227</v>
      </c>
      <c r="CZ159" s="217">
        <f t="shared" si="379"/>
        <v>4.5029041035038029</v>
      </c>
      <c r="DA159" s="217">
        <f t="shared" si="380"/>
        <v>2.479952080992212</v>
      </c>
      <c r="DB159" s="197">
        <f t="shared" si="381"/>
        <v>261.16478898249903</v>
      </c>
      <c r="DC159" s="443">
        <f t="shared" si="382"/>
        <v>143.20787562835574</v>
      </c>
      <c r="DE159" s="217">
        <f t="shared" si="383"/>
        <v>2.2222222222222223</v>
      </c>
      <c r="DF159" s="173">
        <f t="shared" si="384"/>
        <v>1.3598642855443031</v>
      </c>
      <c r="DG159" s="173">
        <f t="shared" si="385"/>
        <v>0.26320462482489204</v>
      </c>
      <c r="DH159" s="173"/>
      <c r="DI159" s="173">
        <f t="shared" si="386"/>
        <v>1.3598642855443031</v>
      </c>
      <c r="DJ159" s="545">
        <f t="shared" si="387"/>
        <v>486.20249999999982</v>
      </c>
      <c r="DK159" s="528">
        <f t="shared" si="388"/>
        <v>0.26320462482489204</v>
      </c>
      <c r="DM159" s="173">
        <f t="shared" si="389"/>
        <v>2.6191601707417589</v>
      </c>
      <c r="DN159" s="173">
        <f t="shared" si="390"/>
        <v>4.0526136931534227</v>
      </c>
      <c r="DO159" s="173">
        <f t="shared" si="391"/>
        <v>2.5558455340231117</v>
      </c>
      <c r="DQ159" s="545">
        <f t="shared" si="392"/>
        <v>490</v>
      </c>
      <c r="DR159" s="460">
        <f t="shared" si="393"/>
        <v>143.20787562835574</v>
      </c>
      <c r="DT159">
        <f t="shared" si="430"/>
        <v>490</v>
      </c>
      <c r="DU159">
        <f t="shared" si="431"/>
        <v>143.20787562835574</v>
      </c>
      <c r="DW159" s="5">
        <f t="shared" si="394"/>
        <v>6.9828561844960149</v>
      </c>
      <c r="DX159" s="5">
        <f t="shared" si="395"/>
        <v>4.5029041035038029</v>
      </c>
      <c r="DY159" s="5">
        <f t="shared" si="396"/>
        <v>2.479952080992212</v>
      </c>
      <c r="DZ159" s="5"/>
      <c r="EA159" s="173">
        <f t="shared" si="397"/>
        <v>0.64485133082098534</v>
      </c>
      <c r="EB159" s="173">
        <f t="shared" si="398"/>
        <v>11.760000000000002</v>
      </c>
      <c r="EC159" s="173">
        <f t="shared" si="399"/>
        <v>0.47999999999999993</v>
      </c>
      <c r="ED159" s="173">
        <f t="shared" si="400"/>
        <v>24.500000000000007</v>
      </c>
      <c r="EE159" s="460">
        <f t="shared" si="401"/>
        <v>9.1934292113202645</v>
      </c>
      <c r="EF159" s="5">
        <f t="shared" si="402"/>
        <v>2.7003922659692967</v>
      </c>
      <c r="EH159" s="173">
        <f t="shared" si="403"/>
        <v>1.878903088811922</v>
      </c>
      <c r="EI159" s="173">
        <f t="shared" si="404"/>
        <v>0.9300483141572089</v>
      </c>
      <c r="EK159" s="528">
        <f t="shared" si="405"/>
        <v>0.14121107268587926</v>
      </c>
      <c r="EL159" s="528">
        <f t="shared" si="406"/>
        <v>0.404452125</v>
      </c>
      <c r="EM159" s="528">
        <f t="shared" si="407"/>
        <v>2.8641575125671146E-2</v>
      </c>
      <c r="EN159" s="528">
        <f t="shared" si="408"/>
        <v>1.6094207144531254E-2</v>
      </c>
      <c r="EO159">
        <f t="shared" si="409"/>
        <v>4.0499999999999998E-3</v>
      </c>
      <c r="EP159" s="460">
        <f t="shared" si="410"/>
        <v>32.69157512567115</v>
      </c>
      <c r="EQ159" s="460"/>
      <c r="ER159" s="460">
        <f t="shared" si="432"/>
        <v>594.44897995608164</v>
      </c>
      <c r="ES159" s="528">
        <f t="shared" si="411"/>
        <v>0.34299999999999997</v>
      </c>
      <c r="EV159" s="460">
        <f t="shared" si="412"/>
        <v>343</v>
      </c>
      <c r="EW159" s="528">
        <f t="shared" si="413"/>
        <v>0.10590830451440944</v>
      </c>
      <c r="EX159" s="528">
        <f t="shared" si="414"/>
        <v>2.5949695999999987E-2</v>
      </c>
      <c r="EY159" s="528">
        <f t="shared" si="415"/>
        <v>0.40571893711760953</v>
      </c>
      <c r="EZ159" s="528"/>
      <c r="FA159" s="528">
        <f t="shared" si="416"/>
        <v>0.47039999999999998</v>
      </c>
      <c r="FB159" s="460">
        <f t="shared" si="417"/>
        <v>1007.9769376320189</v>
      </c>
      <c r="FC159" s="173">
        <f t="shared" si="418"/>
        <v>1.9454259175881006</v>
      </c>
      <c r="FD159" s="5">
        <f t="shared" si="419"/>
        <v>11.76</v>
      </c>
      <c r="FE159" s="173">
        <f t="shared" si="420"/>
        <v>0.85805432612703081</v>
      </c>
      <c r="FF159" s="5">
        <f t="shared" si="421"/>
        <v>85.805432612703086</v>
      </c>
      <c r="FI159" s="562">
        <f t="shared" si="422"/>
        <v>-50</v>
      </c>
      <c r="FJ159">
        <f t="shared" si="423"/>
        <v>-50</v>
      </c>
      <c r="FL159">
        <f t="shared" si="476"/>
        <v>0.35514866917901466</v>
      </c>
    </row>
    <row r="160" spans="5:168">
      <c r="E160" s="170">
        <v>50</v>
      </c>
      <c r="F160" s="217">
        <f t="shared" si="477"/>
        <v>0.5</v>
      </c>
      <c r="G160" s="217"/>
      <c r="H160" s="217">
        <f t="shared" si="442"/>
        <v>12</v>
      </c>
      <c r="I160" s="541">
        <f t="shared" si="443"/>
        <v>8.8492702739060878</v>
      </c>
      <c r="J160" s="172">
        <f t="shared" si="444"/>
        <v>16.370239141619514</v>
      </c>
      <c r="K160" s="172">
        <f t="shared" si="445"/>
        <v>25.2195094155256</v>
      </c>
      <c r="L160" s="443"/>
      <c r="M160" s="217">
        <f t="shared" si="446"/>
        <v>0.64910223342719631</v>
      </c>
      <c r="N160" s="172">
        <f t="shared" si="447"/>
        <v>31.989106755910509</v>
      </c>
      <c r="O160" s="172">
        <f t="shared" si="438"/>
        <v>12</v>
      </c>
      <c r="P160" s="217">
        <f t="shared" si="448"/>
        <v>1.3328794481629378</v>
      </c>
      <c r="Q160" s="217">
        <f t="shared" si="449"/>
        <v>24</v>
      </c>
      <c r="R160" s="217"/>
      <c r="S160" s="172">
        <f t="shared" si="450"/>
        <v>85.135417186228111</v>
      </c>
      <c r="T160" s="172">
        <f t="shared" si="451"/>
        <v>24</v>
      </c>
      <c r="U160" s="217">
        <f t="shared" si="452"/>
        <v>4.2726130446929815</v>
      </c>
      <c r="V160" s="217">
        <f t="shared" si="453"/>
        <v>4.8282094595886269</v>
      </c>
      <c r="W160" s="217">
        <f t="shared" si="454"/>
        <v>2.6099881667765854</v>
      </c>
      <c r="X160" s="197">
        <f t="shared" si="455"/>
        <v>258.48679568512432</v>
      </c>
      <c r="Y160" s="443">
        <f t="shared" si="328"/>
        <v>130.9209382784548</v>
      </c>
      <c r="AA160" s="217">
        <f t="shared" si="456"/>
        <v>2.2222222222222223</v>
      </c>
      <c r="AB160" s="173">
        <f t="shared" si="457"/>
        <v>1.3574769452038544</v>
      </c>
      <c r="AC160" s="173">
        <f t="shared" si="458"/>
        <v>0.2600483783074567</v>
      </c>
      <c r="AD160" s="173"/>
      <c r="AE160" s="173">
        <f t="shared" si="459"/>
        <v>1.3574769452038544</v>
      </c>
      <c r="AF160" s="545">
        <f t="shared" si="460"/>
        <v>496.99751516910806</v>
      </c>
      <c r="AG160" s="528">
        <f t="shared" si="461"/>
        <v>0.2600483783074567</v>
      </c>
      <c r="AI160" s="173">
        <f t="shared" si="462"/>
        <v>2.6480767775255227</v>
      </c>
      <c r="AJ160" s="173">
        <f t="shared" si="463"/>
        <v>4.2726130446929815</v>
      </c>
      <c r="AK160" s="173">
        <f t="shared" si="464"/>
        <v>2.7188080166450068</v>
      </c>
      <c r="AM160" s="545">
        <f t="shared" si="465"/>
        <v>500</v>
      </c>
      <c r="AN160" s="460">
        <f t="shared" si="466"/>
        <v>130.9209382784548</v>
      </c>
      <c r="AP160">
        <f t="shared" si="467"/>
        <v>500</v>
      </c>
      <c r="AQ160">
        <f t="shared" si="468"/>
        <v>130.9209382784548</v>
      </c>
      <c r="AS160" s="5">
        <f t="shared" si="439"/>
        <v>7.6381976263652138</v>
      </c>
      <c r="AT160" s="5">
        <f t="shared" si="469"/>
        <v>4.8282094595886269</v>
      </c>
      <c r="AU160" s="5">
        <f t="shared" si="343"/>
        <v>2.8099881667765869</v>
      </c>
      <c r="AV160" s="5"/>
      <c r="AW160" s="173">
        <f t="shared" si="344"/>
        <v>0.6321137126542542</v>
      </c>
      <c r="AX160" s="173">
        <f t="shared" si="435"/>
        <v>11.949954113957469</v>
      </c>
      <c r="AY160" s="173">
        <f t="shared" si="436"/>
        <v>0.52420722271741427</v>
      </c>
      <c r="AZ160" s="173">
        <f t="shared" si="440"/>
        <v>22.796240868278463</v>
      </c>
      <c r="BA160" s="460">
        <f t="shared" si="433"/>
        <v>10.058769707476305</v>
      </c>
      <c r="BB160" s="5">
        <f t="shared" si="434"/>
        <v>3.1753896985861312</v>
      </c>
      <c r="BD160" s="173">
        <f t="shared" si="441"/>
        <v>1.9612390895325922</v>
      </c>
      <c r="BE160" s="173">
        <f t="shared" si="437"/>
        <v>0.9979655939768789</v>
      </c>
      <c r="BG160" s="528">
        <f t="shared" si="347"/>
        <v>0.15385835065242526</v>
      </c>
      <c r="BH160" s="528">
        <f t="shared" si="470"/>
        <v>0.31741089050849741</v>
      </c>
      <c r="BI160" s="528">
        <f t="shared" si="471"/>
        <v>4.6342190693576951E-2</v>
      </c>
      <c r="BJ160" s="528">
        <f t="shared" si="350"/>
        <v>1.4572042397641987E-2</v>
      </c>
      <c r="BK160">
        <f t="shared" si="351"/>
        <v>3.9821716232577393E-3</v>
      </c>
      <c r="BL160" s="460">
        <f t="shared" si="427"/>
        <v>50.324362316834687</v>
      </c>
      <c r="BM160" s="528">
        <f t="shared" si="472"/>
        <v>0.54739397988756966</v>
      </c>
      <c r="BN160" s="460">
        <f t="shared" si="353"/>
        <v>547.39397988756969</v>
      </c>
      <c r="BO160" s="528">
        <f t="shared" si="354"/>
        <v>0.35</v>
      </c>
      <c r="BR160" s="460">
        <f t="shared" si="355"/>
        <v>350</v>
      </c>
      <c r="BS160" s="528">
        <f t="shared" si="356"/>
        <v>0.11539376298931893</v>
      </c>
      <c r="BT160" s="528">
        <f t="shared" si="357"/>
        <v>2.9878059802848737E-2</v>
      </c>
      <c r="BU160" s="528">
        <f t="shared" si="358"/>
        <v>0.37002126402879854</v>
      </c>
      <c r="BV160" s="528"/>
      <c r="BW160" s="528">
        <f t="shared" si="359"/>
        <v>0.47799816455829885</v>
      </c>
      <c r="BX160" s="460">
        <f t="shared" si="360"/>
        <v>993.29125137926508</v>
      </c>
      <c r="BY160" s="173">
        <f t="shared" si="361"/>
        <v>1.8794568972546646</v>
      </c>
      <c r="BZ160" s="5">
        <f t="shared" si="362"/>
        <v>12</v>
      </c>
      <c r="CA160" s="173">
        <f t="shared" si="363"/>
        <v>0.86458714406711268</v>
      </c>
      <c r="CB160" s="5">
        <f t="shared" si="364"/>
        <v>86.458714406711266</v>
      </c>
      <c r="CE160" s="562">
        <f t="shared" si="473"/>
        <v>-50</v>
      </c>
      <c r="CF160">
        <f t="shared" si="474"/>
        <v>-50</v>
      </c>
      <c r="CG160" s="173">
        <f t="shared" si="475"/>
        <v>0.34813148327322513</v>
      </c>
      <c r="CI160" s="170">
        <v>50</v>
      </c>
      <c r="CJ160" s="217">
        <f t="shared" si="428"/>
        <v>0.5</v>
      </c>
      <c r="CK160" s="217"/>
      <c r="CL160" s="217">
        <f t="shared" si="368"/>
        <v>12</v>
      </c>
      <c r="CM160" s="541">
        <f t="shared" si="369"/>
        <v>9</v>
      </c>
      <c r="CN160" s="443">
        <f t="shared" si="370"/>
        <v>16.3415</v>
      </c>
      <c r="CO160" s="443">
        <f t="shared" si="371"/>
        <v>25.3415</v>
      </c>
      <c r="CP160" s="443"/>
      <c r="CQ160" s="217">
        <f t="shared" si="372"/>
        <v>0.64485133082098534</v>
      </c>
      <c r="CR160" s="172">
        <f t="shared" si="429"/>
        <v>32.320915977744015</v>
      </c>
      <c r="CS160" s="172">
        <f t="shared" si="373"/>
        <v>12</v>
      </c>
      <c r="CT160" s="217">
        <f t="shared" si="374"/>
        <v>1.3467048324060007</v>
      </c>
      <c r="CU160" s="217">
        <f t="shared" si="375"/>
        <v>24</v>
      </c>
      <c r="CV160" s="217"/>
      <c r="CW160" s="172">
        <f t="shared" si="376"/>
        <v>86.584219063819177</v>
      </c>
      <c r="CX160" s="172">
        <f t="shared" si="377"/>
        <v>24</v>
      </c>
      <c r="CY160" s="217">
        <f t="shared" si="378"/>
        <v>4.1353200950545137</v>
      </c>
      <c r="CZ160" s="217">
        <f t="shared" si="379"/>
        <v>4.5948001056161267</v>
      </c>
      <c r="DA160" s="217">
        <f t="shared" si="380"/>
        <v>2.5305633479512371</v>
      </c>
      <c r="DB160" s="197">
        <f t="shared" si="381"/>
        <v>261.16478898249903</v>
      </c>
      <c r="DC160" s="443">
        <f t="shared" si="382"/>
        <v>140.34371811578862</v>
      </c>
      <c r="DE160" s="217">
        <f t="shared" si="383"/>
        <v>2.2222222222222223</v>
      </c>
      <c r="DF160" s="173">
        <f t="shared" si="384"/>
        <v>1.3598642855443031</v>
      </c>
      <c r="DG160" s="173">
        <f t="shared" si="385"/>
        <v>0.26320462482489204</v>
      </c>
      <c r="DH160" s="173"/>
      <c r="DI160" s="173">
        <f t="shared" si="386"/>
        <v>1.3598642855443031</v>
      </c>
      <c r="DJ160" s="545">
        <f t="shared" si="387"/>
        <v>496.12499999999983</v>
      </c>
      <c r="DK160" s="528">
        <f t="shared" si="388"/>
        <v>0.26320462482489204</v>
      </c>
      <c r="DM160" s="173">
        <f t="shared" si="389"/>
        <v>2.6457513110645903</v>
      </c>
      <c r="DN160" s="173">
        <f t="shared" si="390"/>
        <v>4.1353200950545137</v>
      </c>
      <c r="DO160" s="173">
        <f t="shared" si="391"/>
        <v>2.617109535431327</v>
      </c>
      <c r="DQ160" s="545">
        <f t="shared" si="392"/>
        <v>500</v>
      </c>
      <c r="DR160" s="460">
        <f t="shared" si="393"/>
        <v>140.34371811578862</v>
      </c>
      <c r="DT160">
        <f t="shared" si="430"/>
        <v>500</v>
      </c>
      <c r="DU160">
        <f t="shared" si="431"/>
        <v>140.34371811578862</v>
      </c>
      <c r="DW160" s="5">
        <f t="shared" si="394"/>
        <v>7.1253634535673624</v>
      </c>
      <c r="DX160" s="5">
        <f t="shared" si="395"/>
        <v>4.5948001056161267</v>
      </c>
      <c r="DY160" s="5">
        <f t="shared" si="396"/>
        <v>2.5305633479512357</v>
      </c>
      <c r="DZ160" s="5"/>
      <c r="EA160" s="173">
        <f t="shared" si="397"/>
        <v>0.64485133082098545</v>
      </c>
      <c r="EB160" s="173">
        <f t="shared" si="398"/>
        <v>12.000000000000002</v>
      </c>
      <c r="EC160" s="173">
        <f t="shared" si="399"/>
        <v>0.48979591836734682</v>
      </c>
      <c r="ED160" s="173">
        <f t="shared" si="400"/>
        <v>24.500000000000011</v>
      </c>
      <c r="EE160" s="460">
        <f t="shared" si="401"/>
        <v>9.5725002200335965</v>
      </c>
      <c r="EF160" s="5">
        <f t="shared" si="402"/>
        <v>2.8117370532791504</v>
      </c>
      <c r="EH160" s="173">
        <f t="shared" si="403"/>
        <v>1.9172480498080839</v>
      </c>
      <c r="EI160" s="173">
        <f t="shared" si="404"/>
        <v>0.94902889199715201</v>
      </c>
      <c r="EK160" s="528">
        <f t="shared" si="405"/>
        <v>0.14703360337971605</v>
      </c>
      <c r="EL160" s="528">
        <f t="shared" si="406"/>
        <v>0.40445212500000005</v>
      </c>
      <c r="EM160" s="528">
        <f t="shared" si="407"/>
        <v>2.8068743623157724E-2</v>
      </c>
      <c r="EN160" s="528">
        <f t="shared" si="408"/>
        <v>1.5772323001640626E-2</v>
      </c>
      <c r="EO160">
        <f t="shared" si="409"/>
        <v>4.0499999999999998E-3</v>
      </c>
      <c r="EP160" s="460">
        <f t="shared" si="410"/>
        <v>32.118743623157727</v>
      </c>
      <c r="EQ160" s="460"/>
      <c r="ER160" s="460">
        <f t="shared" si="432"/>
        <v>599.37679500451441</v>
      </c>
      <c r="ES160" s="528">
        <f t="shared" si="411"/>
        <v>0.35</v>
      </c>
      <c r="EV160" s="460">
        <f t="shared" si="412"/>
        <v>350</v>
      </c>
      <c r="EW160" s="528">
        <f t="shared" si="413"/>
        <v>0.11027520253478702</v>
      </c>
      <c r="EX160" s="528">
        <f t="shared" si="414"/>
        <v>2.7019675135360258E-2</v>
      </c>
      <c r="EY160" s="528">
        <f t="shared" si="415"/>
        <v>0.40571893711760965</v>
      </c>
      <c r="EZ160" s="528"/>
      <c r="FA160" s="528">
        <f t="shared" si="416"/>
        <v>0.48000000000000009</v>
      </c>
      <c r="FB160" s="460">
        <f t="shared" si="417"/>
        <v>1023.013814787757</v>
      </c>
      <c r="FC160" s="173">
        <f t="shared" si="418"/>
        <v>1.9723906097922712</v>
      </c>
      <c r="FD160" s="5">
        <f t="shared" si="419"/>
        <v>12</v>
      </c>
      <c r="FE160" s="173">
        <f t="shared" si="420"/>
        <v>0.858836568138171</v>
      </c>
      <c r="FF160" s="5">
        <f t="shared" si="421"/>
        <v>85.883656813817097</v>
      </c>
      <c r="FI160" s="562">
        <f t="shared" si="422"/>
        <v>-50</v>
      </c>
      <c r="FJ160">
        <f t="shared" si="423"/>
        <v>-50</v>
      </c>
      <c r="FL160">
        <f t="shared" si="476"/>
        <v>0.35514866917901455</v>
      </c>
    </row>
    <row r="161" spans="5:168">
      <c r="E161" s="170">
        <v>51</v>
      </c>
      <c r="F161" s="217">
        <f t="shared" si="477"/>
        <v>0.51</v>
      </c>
      <c r="G161" s="217"/>
      <c r="H161" s="217">
        <f t="shared" si="442"/>
        <v>12.24</v>
      </c>
      <c r="I161" s="541">
        <f t="shared" si="443"/>
        <v>8.8463164196901953</v>
      </c>
      <c r="J161" s="172">
        <f t="shared" si="444"/>
        <v>16.370802343297338</v>
      </c>
      <c r="K161" s="172">
        <f t="shared" si="445"/>
        <v>25.217118762987532</v>
      </c>
      <c r="L161" s="443"/>
      <c r="M161" s="217">
        <f t="shared" si="446"/>
        <v>0.64918610922318998</v>
      </c>
      <c r="N161" s="172">
        <f t="shared" si="447"/>
        <v>31.982561102210642</v>
      </c>
      <c r="O161" s="172">
        <f t="shared" si="438"/>
        <v>12.24</v>
      </c>
      <c r="P161" s="217">
        <f t="shared" si="448"/>
        <v>1.3326067125921102</v>
      </c>
      <c r="Q161" s="217">
        <f t="shared" si="449"/>
        <v>24</v>
      </c>
      <c r="R161" s="217"/>
      <c r="S161" s="172">
        <f t="shared" si="450"/>
        <v>83.181505367576548</v>
      </c>
      <c r="T161" s="172">
        <f t="shared" si="451"/>
        <v>24</v>
      </c>
      <c r="U161" s="217">
        <f t="shared" si="452"/>
        <v>4.3591072717293127</v>
      </c>
      <c r="V161" s="217">
        <f t="shared" si="453"/>
        <v>4.927595922328508</v>
      </c>
      <c r="W161" s="217">
        <f t="shared" si="454"/>
        <v>2.6627328217141737</v>
      </c>
      <c r="X161" s="197">
        <f t="shared" si="455"/>
        <v>258.43390166964292</v>
      </c>
      <c r="Y161" s="443">
        <f t="shared" si="328"/>
        <v>128.36428767716728</v>
      </c>
      <c r="AA161" s="217">
        <f t="shared" si="456"/>
        <v>2.2222222222222223</v>
      </c>
      <c r="AB161" s="173">
        <f t="shared" si="457"/>
        <v>1.3574302441761885</v>
      </c>
      <c r="AC161" s="173">
        <f t="shared" si="458"/>
        <v>0.25998622018070511</v>
      </c>
      <c r="AD161" s="173"/>
      <c r="AE161" s="173">
        <f t="shared" si="459"/>
        <v>1.3574302441761885</v>
      </c>
      <c r="AF161" s="545">
        <f t="shared" si="460"/>
        <v>506.95490614813559</v>
      </c>
      <c r="AG161" s="528">
        <f t="shared" si="461"/>
        <v>0.25998622018070511</v>
      </c>
      <c r="AI161" s="173">
        <f t="shared" si="462"/>
        <v>2.6744724542637694</v>
      </c>
      <c r="AJ161" s="173">
        <f t="shared" si="463"/>
        <v>4.3591072717293127</v>
      </c>
      <c r="AK161" s="173">
        <f t="shared" si="464"/>
        <v>2.7828778144496966</v>
      </c>
      <c r="AM161" s="545">
        <f t="shared" si="465"/>
        <v>510</v>
      </c>
      <c r="AN161" s="460">
        <f t="shared" si="466"/>
        <v>128.36428767716728</v>
      </c>
      <c r="AP161">
        <f t="shared" si="467"/>
        <v>510</v>
      </c>
      <c r="AQ161">
        <f t="shared" si="468"/>
        <v>128.36428767716728</v>
      </c>
      <c r="AS161" s="5">
        <f t="shared" si="439"/>
        <v>7.7903287440426805</v>
      </c>
      <c r="AT161" s="5">
        <f t="shared" si="469"/>
        <v>4.927595922328508</v>
      </c>
      <c r="AU161" s="5">
        <f t="shared" si="343"/>
        <v>2.8627328217141725</v>
      </c>
      <c r="AV161" s="5"/>
      <c r="AW161" s="173">
        <f t="shared" si="344"/>
        <v>0.6325273405306131</v>
      </c>
      <c r="AX161" s="173">
        <f t="shared" si="435"/>
        <v>12.195773009562783</v>
      </c>
      <c r="AY161" s="173">
        <f t="shared" si="436"/>
        <v>0.53421788947524707</v>
      </c>
      <c r="AZ161" s="173">
        <f t="shared" si="440"/>
        <v>22.8292111698889</v>
      </c>
      <c r="BA161" s="460">
        <f t="shared" si="433"/>
        <v>10.471141334948079</v>
      </c>
      <c r="BB161" s="5">
        <f t="shared" si="434"/>
        <v>3.3007947484775992</v>
      </c>
      <c r="BD161" s="173">
        <f t="shared" si="441"/>
        <v>2.0015967184819496</v>
      </c>
      <c r="BE161" s="173">
        <f t="shared" si="437"/>
        <v>1.0175957379459106</v>
      </c>
      <c r="BG161" s="528">
        <f t="shared" si="347"/>
        <v>0.16025557693750839</v>
      </c>
      <c r="BH161" s="528">
        <f t="shared" si="470"/>
        <v>0.31748247232273208</v>
      </c>
      <c r="BI161" s="528">
        <f t="shared" si="471"/>
        <v>4.5422044231214431E-2</v>
      </c>
      <c r="BJ161" s="528">
        <f t="shared" si="350"/>
        <v>1.4284768002731213E-2</v>
      </c>
      <c r="BK161">
        <f t="shared" si="351"/>
        <v>3.9808423888605879E-3</v>
      </c>
      <c r="BL161" s="460">
        <f t="shared" si="427"/>
        <v>49.402886620075016</v>
      </c>
      <c r="BM161" s="528">
        <f t="shared" si="472"/>
        <v>0.55648078905338183</v>
      </c>
      <c r="BN161" s="460">
        <f t="shared" si="353"/>
        <v>556.48078905338184</v>
      </c>
      <c r="BO161" s="528">
        <f t="shared" si="354"/>
        <v>0.35699999999999998</v>
      </c>
      <c r="BR161" s="460">
        <f t="shared" si="355"/>
        <v>357</v>
      </c>
      <c r="BS161" s="528">
        <f t="shared" si="356"/>
        <v>0.12019168270313127</v>
      </c>
      <c r="BT161" s="528">
        <f t="shared" si="357"/>
        <v>3.1065032576570468E-2</v>
      </c>
      <c r="BU161" s="528">
        <f t="shared" si="358"/>
        <v>0.37031766857998466</v>
      </c>
      <c r="BV161" s="528"/>
      <c r="BW161" s="528">
        <f t="shared" si="359"/>
        <v>0.48783092038251136</v>
      </c>
      <c r="BX161" s="460">
        <f t="shared" si="360"/>
        <v>1009.4053042421978</v>
      </c>
      <c r="BY161" s="173">
        <f t="shared" si="361"/>
        <v>1.9078310081252443</v>
      </c>
      <c r="BZ161" s="5">
        <f t="shared" si="362"/>
        <v>12.24</v>
      </c>
      <c r="CA161" s="173">
        <f t="shared" si="363"/>
        <v>0.86515028296354701</v>
      </c>
      <c r="CB161" s="5">
        <f t="shared" si="364"/>
        <v>86.5150282963547</v>
      </c>
      <c r="CE161" s="562">
        <f t="shared" si="473"/>
        <v>-50</v>
      </c>
      <c r="CF161">
        <f t="shared" si="474"/>
        <v>-50</v>
      </c>
      <c r="CG161" s="173">
        <f t="shared" si="475"/>
        <v>0.3482690751537309</v>
      </c>
      <c r="CI161" s="170">
        <v>51</v>
      </c>
      <c r="CJ161" s="217">
        <f t="shared" si="428"/>
        <v>0.51</v>
      </c>
      <c r="CK161" s="217"/>
      <c r="CL161" s="217">
        <f t="shared" si="368"/>
        <v>12.24</v>
      </c>
      <c r="CM161" s="541">
        <f t="shared" si="369"/>
        <v>9</v>
      </c>
      <c r="CN161" s="443">
        <f t="shared" si="370"/>
        <v>16.3415</v>
      </c>
      <c r="CO161" s="443">
        <f t="shared" si="371"/>
        <v>25.3415</v>
      </c>
      <c r="CP161" s="443"/>
      <c r="CQ161" s="217">
        <f t="shared" si="372"/>
        <v>0.64485133082098534</v>
      </c>
      <c r="CR161" s="172">
        <f t="shared" si="429"/>
        <v>32.320915977744015</v>
      </c>
      <c r="CS161" s="172">
        <f t="shared" si="373"/>
        <v>12.24</v>
      </c>
      <c r="CT161" s="217">
        <f t="shared" si="374"/>
        <v>1.3467048324060007</v>
      </c>
      <c r="CU161" s="217">
        <f t="shared" si="375"/>
        <v>24</v>
      </c>
      <c r="CV161" s="217"/>
      <c r="CW161" s="172">
        <f t="shared" si="376"/>
        <v>84.625217636753064</v>
      </c>
      <c r="CX161" s="172">
        <f t="shared" si="377"/>
        <v>24</v>
      </c>
      <c r="CY161" s="217">
        <f t="shared" si="378"/>
        <v>4.2180264969556038</v>
      </c>
      <c r="CZ161" s="217">
        <f t="shared" si="379"/>
        <v>4.6866961077284488</v>
      </c>
      <c r="DA161" s="217">
        <f t="shared" si="380"/>
        <v>2.5811746149102617</v>
      </c>
      <c r="DB161" s="197">
        <f t="shared" si="381"/>
        <v>261.16478898249903</v>
      </c>
      <c r="DC161" s="443">
        <f t="shared" si="382"/>
        <v>137.59188050567511</v>
      </c>
      <c r="DE161" s="217">
        <f t="shared" si="383"/>
        <v>2.2222222222222223</v>
      </c>
      <c r="DF161" s="173">
        <f t="shared" si="384"/>
        <v>1.3598642855443031</v>
      </c>
      <c r="DG161" s="173">
        <f t="shared" si="385"/>
        <v>0.26320462482489204</v>
      </c>
      <c r="DH161" s="173"/>
      <c r="DI161" s="173">
        <f t="shared" si="386"/>
        <v>1.3598642855443031</v>
      </c>
      <c r="DJ161" s="545">
        <f t="shared" si="387"/>
        <v>506.04749999999984</v>
      </c>
      <c r="DK161" s="528">
        <f t="shared" si="388"/>
        <v>0.26320462482489204</v>
      </c>
      <c r="DM161" s="173">
        <f t="shared" si="389"/>
        <v>2.6720778431774774</v>
      </c>
      <c r="DN161" s="173">
        <f t="shared" si="390"/>
        <v>4.2180264969556038</v>
      </c>
      <c r="DO161" s="173">
        <f t="shared" si="391"/>
        <v>2.6783735368395418</v>
      </c>
      <c r="DQ161" s="545">
        <f t="shared" si="392"/>
        <v>510</v>
      </c>
      <c r="DR161" s="460">
        <f t="shared" si="393"/>
        <v>137.59188050567511</v>
      </c>
      <c r="DT161">
        <f t="shared" si="430"/>
        <v>510</v>
      </c>
      <c r="DU161">
        <f t="shared" si="431"/>
        <v>137.59188050567511</v>
      </c>
      <c r="DW161" s="5">
        <f t="shared" si="394"/>
        <v>7.26787072263871</v>
      </c>
      <c r="DX161" s="5">
        <f t="shared" si="395"/>
        <v>4.6866961077284488</v>
      </c>
      <c r="DY161" s="5">
        <f t="shared" si="396"/>
        <v>2.5811746149102612</v>
      </c>
      <c r="DZ161" s="5"/>
      <c r="EA161" s="173">
        <f t="shared" si="397"/>
        <v>0.64485133082098534</v>
      </c>
      <c r="EB161" s="173">
        <f t="shared" si="398"/>
        <v>12.24</v>
      </c>
      <c r="EC161" s="173">
        <f t="shared" si="399"/>
        <v>0.49959183673469393</v>
      </c>
      <c r="ED161" s="173">
        <f t="shared" si="400"/>
        <v>24.499999999999996</v>
      </c>
      <c r="EE161" s="460">
        <f t="shared" si="401"/>
        <v>9.959229228922954</v>
      </c>
      <c r="EF161" s="5">
        <f t="shared" si="402"/>
        <v>2.9253312302316292</v>
      </c>
      <c r="EH161" s="173">
        <f t="shared" si="403"/>
        <v>1.9555930108042456</v>
      </c>
      <c r="EI161" s="173">
        <f t="shared" si="404"/>
        <v>0.96800946983709524</v>
      </c>
      <c r="EK161" s="528">
        <f t="shared" si="405"/>
        <v>0.15297376095625659</v>
      </c>
      <c r="EL161" s="528">
        <f t="shared" si="406"/>
        <v>0.404452125</v>
      </c>
      <c r="EM161" s="528">
        <f t="shared" si="407"/>
        <v>2.7518376101135021E-2</v>
      </c>
      <c r="EN161" s="528">
        <f t="shared" si="408"/>
        <v>1.5463061766314337E-2</v>
      </c>
      <c r="EO161">
        <f t="shared" si="409"/>
        <v>4.0499999999999998E-3</v>
      </c>
      <c r="EP161" s="460">
        <f t="shared" si="410"/>
        <v>31.568376101135019</v>
      </c>
      <c r="EQ161" s="460"/>
      <c r="ER161" s="460">
        <f t="shared" si="432"/>
        <v>604.45732382370602</v>
      </c>
      <c r="ES161" s="528">
        <f t="shared" si="411"/>
        <v>0.35699999999999998</v>
      </c>
      <c r="EV161" s="460">
        <f t="shared" si="412"/>
        <v>357</v>
      </c>
      <c r="EW161" s="528">
        <f t="shared" si="413"/>
        <v>0.11473032071719243</v>
      </c>
      <c r="EX161" s="528">
        <f t="shared" si="414"/>
        <v>2.8111270010828825E-2</v>
      </c>
      <c r="EY161" s="528">
        <f t="shared" si="415"/>
        <v>0.40571893711760948</v>
      </c>
      <c r="EZ161" s="528"/>
      <c r="FA161" s="528">
        <f t="shared" si="416"/>
        <v>0.48960000000000009</v>
      </c>
      <c r="FB161" s="460">
        <f t="shared" si="417"/>
        <v>1038.1605278456307</v>
      </c>
      <c r="FC161" s="173">
        <f t="shared" si="418"/>
        <v>1.9996178516693368</v>
      </c>
      <c r="FD161" s="5">
        <f t="shared" si="419"/>
        <v>12.24</v>
      </c>
      <c r="FE161" s="173">
        <f t="shared" si="420"/>
        <v>0.85957362953845584</v>
      </c>
      <c r="FF161" s="5">
        <f t="shared" si="421"/>
        <v>85.957362953845589</v>
      </c>
      <c r="FI161" s="562">
        <f t="shared" si="422"/>
        <v>-50</v>
      </c>
      <c r="FJ161">
        <f t="shared" si="423"/>
        <v>-50</v>
      </c>
      <c r="FL161">
        <f t="shared" si="476"/>
        <v>0.35514866917901466</v>
      </c>
    </row>
    <row r="162" spans="5:168">
      <c r="E162" s="170">
        <v>52</v>
      </c>
      <c r="F162" s="217">
        <f t="shared" si="477"/>
        <v>0.52</v>
      </c>
      <c r="G162" s="217"/>
      <c r="H162" s="217">
        <f t="shared" si="442"/>
        <v>12.48</v>
      </c>
      <c r="I162" s="541">
        <f t="shared" si="443"/>
        <v>8.8433625193439731</v>
      </c>
      <c r="J162" s="172">
        <f t="shared" si="444"/>
        <v>16.371365553770676</v>
      </c>
      <c r="K162" s="172">
        <f t="shared" si="445"/>
        <v>25.214728073114649</v>
      </c>
      <c r="L162" s="443"/>
      <c r="M162" s="217">
        <f t="shared" si="446"/>
        <v>0.64927000211073704</v>
      </c>
      <c r="N162" s="172">
        <f t="shared" si="447"/>
        <v>31.976013363913125</v>
      </c>
      <c r="O162" s="172">
        <f t="shared" si="438"/>
        <v>12.48</v>
      </c>
      <c r="P162" s="217">
        <f t="shared" si="448"/>
        <v>1.3323338901630468</v>
      </c>
      <c r="Q162" s="217">
        <f t="shared" si="449"/>
        <v>24</v>
      </c>
      <c r="R162" s="217"/>
      <c r="S162" s="172">
        <f t="shared" si="450"/>
        <v>81.302992913482811</v>
      </c>
      <c r="T162" s="172">
        <f t="shared" si="451"/>
        <v>24</v>
      </c>
      <c r="U162" s="217">
        <f t="shared" si="452"/>
        <v>4.4456430849618833</v>
      </c>
      <c r="V162" s="217">
        <f t="shared" si="453"/>
        <v>5.0270958306158802</v>
      </c>
      <c r="W162" s="217">
        <f t="shared" si="454"/>
        <v>2.715499247976878</v>
      </c>
      <c r="X162" s="197">
        <f t="shared" si="455"/>
        <v>258.38099085977927</v>
      </c>
      <c r="Y162" s="443">
        <f t="shared" si="328"/>
        <v>125.90343459598554</v>
      </c>
      <c r="AA162" s="217">
        <f t="shared" si="456"/>
        <v>2.2222222222222223</v>
      </c>
      <c r="AB162" s="173">
        <f t="shared" si="457"/>
        <v>1.3573835456324517</v>
      </c>
      <c r="AC162" s="173">
        <f t="shared" si="458"/>
        <v>0.25992404929631258</v>
      </c>
      <c r="AD162" s="173"/>
      <c r="AE162" s="173">
        <f t="shared" si="459"/>
        <v>1.3573835456324517</v>
      </c>
      <c r="AF162" s="545">
        <f t="shared" si="460"/>
        <v>516.91298135293914</v>
      </c>
      <c r="AG162" s="528">
        <f t="shared" si="461"/>
        <v>0.25992404929631258</v>
      </c>
      <c r="AI162" s="173">
        <f t="shared" si="462"/>
        <v>2.7006119401981077</v>
      </c>
      <c r="AJ162" s="173">
        <f t="shared" si="463"/>
        <v>4.4456430849618833</v>
      </c>
      <c r="AK162" s="173">
        <f t="shared" si="464"/>
        <v>2.8469784168441934</v>
      </c>
      <c r="AM162" s="545">
        <f t="shared" si="465"/>
        <v>520</v>
      </c>
      <c r="AN162" s="460">
        <f t="shared" si="466"/>
        <v>125.90343459598554</v>
      </c>
      <c r="AP162">
        <f t="shared" si="467"/>
        <v>520</v>
      </c>
      <c r="AQ162">
        <f t="shared" si="468"/>
        <v>125.90343459598554</v>
      </c>
      <c r="AS162" s="5">
        <f t="shared" si="439"/>
        <v>7.9425950785927579</v>
      </c>
      <c r="AT162" s="5">
        <f t="shared" si="469"/>
        <v>5.0270958306158802</v>
      </c>
      <c r="AU162" s="5">
        <f t="shared" si="343"/>
        <v>2.9154992479768778</v>
      </c>
      <c r="AV162" s="5"/>
      <c r="AW162" s="173">
        <f t="shared" si="344"/>
        <v>0.63292863111769815</v>
      </c>
      <c r="AX162" s="173">
        <f t="shared" si="435"/>
        <v>12.441615267620495</v>
      </c>
      <c r="AY162" s="173">
        <f t="shared" si="436"/>
        <v>0.54422807563515918</v>
      </c>
      <c r="AZ162" s="173">
        <f t="shared" si="440"/>
        <v>22.861031660485544</v>
      </c>
      <c r="BA162" s="460">
        <f t="shared" si="433"/>
        <v>10.89204096633441</v>
      </c>
      <c r="BB162" s="5">
        <f t="shared" si="434"/>
        <v>3.4286949237504336</v>
      </c>
      <c r="BD162" s="173">
        <f t="shared" si="441"/>
        <v>2.0419793051184736</v>
      </c>
      <c r="BE162" s="173">
        <f t="shared" si="437"/>
        <v>1.0372299654967987</v>
      </c>
      <c r="BG162" s="528">
        <f t="shared" si="347"/>
        <v>0.16678717930128495</v>
      </c>
      <c r="BH162" s="528">
        <f t="shared" si="470"/>
        <v>0.31754770433786056</v>
      </c>
      <c r="BI162" s="528">
        <f t="shared" si="471"/>
        <v>4.4536388582512555E-2</v>
      </c>
      <c r="BJ162" s="528">
        <f t="shared" si="350"/>
        <v>1.4008260331069061E-2</v>
      </c>
      <c r="BK162">
        <f t="shared" si="351"/>
        <v>3.9795131337047882E-3</v>
      </c>
      <c r="BL162" s="460">
        <f t="shared" si="427"/>
        <v>48.515901716217343</v>
      </c>
      <c r="BM162" s="528">
        <f t="shared" si="472"/>
        <v>0.56579746284264509</v>
      </c>
      <c r="BN162" s="460">
        <f t="shared" si="353"/>
        <v>565.79746284264513</v>
      </c>
      <c r="BO162" s="528">
        <f t="shared" si="354"/>
        <v>0.36399999999999999</v>
      </c>
      <c r="BR162" s="460">
        <f t="shared" si="355"/>
        <v>364</v>
      </c>
      <c r="BS162" s="528">
        <f t="shared" si="356"/>
        <v>0.12509038447596371</v>
      </c>
      <c r="BT162" s="528">
        <f t="shared" si="357"/>
        <v>3.2275380039734701E-2</v>
      </c>
      <c r="BU162" s="528">
        <f t="shared" si="358"/>
        <v>0.37059574646831522</v>
      </c>
      <c r="BV162" s="528"/>
      <c r="BW162" s="528">
        <f t="shared" si="359"/>
        <v>0.49766461070481982</v>
      </c>
      <c r="BX162" s="460">
        <f t="shared" si="360"/>
        <v>1025.6261216888336</v>
      </c>
      <c r="BY162" s="173">
        <f t="shared" si="361"/>
        <v>1.9364851673752654</v>
      </c>
      <c r="BZ162" s="5">
        <f t="shared" si="362"/>
        <v>12.48</v>
      </c>
      <c r="CA162" s="173">
        <f t="shared" si="363"/>
        <v>0.86567563834785743</v>
      </c>
      <c r="CB162" s="5">
        <f t="shared" si="364"/>
        <v>86.567563834785744</v>
      </c>
      <c r="CE162" s="562">
        <f t="shared" si="473"/>
        <v>-50</v>
      </c>
      <c r="CF162">
        <f t="shared" si="474"/>
        <v>-50</v>
      </c>
      <c r="CG162" s="173">
        <f t="shared" si="475"/>
        <v>0.34840137503883239</v>
      </c>
      <c r="CI162" s="170">
        <v>52</v>
      </c>
      <c r="CJ162" s="217">
        <f t="shared" si="428"/>
        <v>0.52</v>
      </c>
      <c r="CK162" s="217"/>
      <c r="CL162" s="217">
        <f t="shared" si="368"/>
        <v>12.48</v>
      </c>
      <c r="CM162" s="541">
        <f t="shared" si="369"/>
        <v>9</v>
      </c>
      <c r="CN162" s="443">
        <f t="shared" si="370"/>
        <v>16.3415</v>
      </c>
      <c r="CO162" s="443">
        <f t="shared" si="371"/>
        <v>25.3415</v>
      </c>
      <c r="CP162" s="443"/>
      <c r="CQ162" s="217">
        <f t="shared" si="372"/>
        <v>0.64485133082098534</v>
      </c>
      <c r="CR162" s="172">
        <f t="shared" si="429"/>
        <v>32.320915977744015</v>
      </c>
      <c r="CS162" s="172">
        <f t="shared" si="373"/>
        <v>12.48</v>
      </c>
      <c r="CT162" s="217">
        <f t="shared" si="374"/>
        <v>1.3467048324060007</v>
      </c>
      <c r="CU162" s="217">
        <f t="shared" si="375"/>
        <v>24</v>
      </c>
      <c r="CV162" s="217"/>
      <c r="CW162" s="172">
        <f t="shared" si="376"/>
        <v>82.741641478838119</v>
      </c>
      <c r="CX162" s="172">
        <f t="shared" si="377"/>
        <v>24</v>
      </c>
      <c r="CY162" s="217">
        <f t="shared" si="378"/>
        <v>4.300732898856694</v>
      </c>
      <c r="CZ162" s="217">
        <f t="shared" si="379"/>
        <v>4.7785921098407709</v>
      </c>
      <c r="DA162" s="217">
        <f t="shared" si="380"/>
        <v>2.6317858818692863</v>
      </c>
      <c r="DB162" s="197">
        <f t="shared" si="381"/>
        <v>261.16478898249903</v>
      </c>
      <c r="DC162" s="443">
        <f t="shared" si="382"/>
        <v>134.94588280364292</v>
      </c>
      <c r="DE162" s="217">
        <f t="shared" si="383"/>
        <v>2.2222222222222223</v>
      </c>
      <c r="DF162" s="173">
        <f t="shared" si="384"/>
        <v>1.3598642855443031</v>
      </c>
      <c r="DG162" s="173">
        <f t="shared" si="385"/>
        <v>0.26320462482489204</v>
      </c>
      <c r="DH162" s="173"/>
      <c r="DI162" s="173">
        <f t="shared" si="386"/>
        <v>1.3598642855443031</v>
      </c>
      <c r="DJ162" s="545">
        <f t="shared" si="387"/>
        <v>515.96999999999991</v>
      </c>
      <c r="DK162" s="528">
        <f t="shared" si="388"/>
        <v>0.26320462482489204</v>
      </c>
      <c r="DM162" s="173">
        <f t="shared" si="389"/>
        <v>2.6981475126464081</v>
      </c>
      <c r="DN162" s="173">
        <f t="shared" si="390"/>
        <v>4.300732898856694</v>
      </c>
      <c r="DO162" s="173">
        <f t="shared" si="391"/>
        <v>2.7396375382477567</v>
      </c>
      <c r="DQ162" s="545">
        <f t="shared" si="392"/>
        <v>520</v>
      </c>
      <c r="DR162" s="460">
        <f t="shared" si="393"/>
        <v>134.94588280364292</v>
      </c>
      <c r="DT162">
        <f t="shared" si="430"/>
        <v>520</v>
      </c>
      <c r="DU162">
        <f t="shared" si="431"/>
        <v>134.94588280364292</v>
      </c>
      <c r="DW162" s="5">
        <f t="shared" si="394"/>
        <v>7.4103779917100558</v>
      </c>
      <c r="DX162" s="5">
        <f t="shared" si="395"/>
        <v>4.7785921098407709</v>
      </c>
      <c r="DY162" s="5">
        <f t="shared" si="396"/>
        <v>2.631785881869285</v>
      </c>
      <c r="DZ162" s="5"/>
      <c r="EA162" s="173">
        <f t="shared" si="397"/>
        <v>0.64485133082098545</v>
      </c>
      <c r="EB162" s="173">
        <f t="shared" si="398"/>
        <v>12.480000000000002</v>
      </c>
      <c r="EC162" s="173">
        <f t="shared" si="399"/>
        <v>0.50938775510204071</v>
      </c>
      <c r="ED162" s="173">
        <f t="shared" si="400"/>
        <v>24.500000000000011</v>
      </c>
      <c r="EE162" s="460">
        <f t="shared" si="401"/>
        <v>10.353616237988337</v>
      </c>
      <c r="EF162" s="5">
        <f t="shared" si="402"/>
        <v>3.0411747968267289</v>
      </c>
      <c r="EH162" s="173">
        <f t="shared" si="403"/>
        <v>1.9939379718004073</v>
      </c>
      <c r="EI162" s="173">
        <f t="shared" si="404"/>
        <v>0.98699004767703802</v>
      </c>
      <c r="EK162" s="528">
        <f t="shared" si="405"/>
        <v>0.15903154541550088</v>
      </c>
      <c r="EL162" s="528">
        <f t="shared" si="406"/>
        <v>0.40445212500000005</v>
      </c>
      <c r="EM162" s="528">
        <f t="shared" si="407"/>
        <v>2.6989176560728582E-2</v>
      </c>
      <c r="EN162" s="528">
        <f t="shared" si="408"/>
        <v>1.5165695193885219E-2</v>
      </c>
      <c r="EO162">
        <f t="shared" si="409"/>
        <v>4.0499999999999998E-3</v>
      </c>
      <c r="EP162" s="460">
        <f t="shared" si="410"/>
        <v>31.039176560728585</v>
      </c>
      <c r="EQ162" s="460"/>
      <c r="ER162" s="460">
        <f t="shared" si="432"/>
        <v>609.68854217011483</v>
      </c>
      <c r="ES162" s="528">
        <f t="shared" si="411"/>
        <v>0.36399999999999999</v>
      </c>
      <c r="EV162" s="460">
        <f t="shared" si="412"/>
        <v>364</v>
      </c>
      <c r="EW162" s="528">
        <f t="shared" si="413"/>
        <v>0.11927365906162565</v>
      </c>
      <c r="EX162" s="528">
        <f t="shared" si="414"/>
        <v>2.9224480626405654E-2</v>
      </c>
      <c r="EY162" s="528">
        <f t="shared" si="415"/>
        <v>0.4057189371176102</v>
      </c>
      <c r="EZ162" s="528"/>
      <c r="FA162" s="528">
        <f t="shared" si="416"/>
        <v>0.49920000000000009</v>
      </c>
      <c r="FB162" s="460">
        <f t="shared" si="417"/>
        <v>1053.4170768056415</v>
      </c>
      <c r="FC162" s="173">
        <f t="shared" si="418"/>
        <v>2.0271056189757566</v>
      </c>
      <c r="FD162" s="5">
        <f t="shared" si="419"/>
        <v>12.48</v>
      </c>
      <c r="FE162" s="173">
        <f t="shared" si="420"/>
        <v>0.86026808708663172</v>
      </c>
      <c r="FF162" s="5">
        <f t="shared" si="421"/>
        <v>86.026808708663168</v>
      </c>
      <c r="FI162" s="562">
        <f t="shared" si="422"/>
        <v>-50</v>
      </c>
      <c r="FJ162">
        <f t="shared" si="423"/>
        <v>-50</v>
      </c>
      <c r="FL162">
        <f t="shared" si="476"/>
        <v>0.35514866917901455</v>
      </c>
    </row>
    <row r="163" spans="5:168">
      <c r="E163" s="170">
        <v>53</v>
      </c>
      <c r="F163" s="217">
        <f t="shared" si="477"/>
        <v>0.53</v>
      </c>
      <c r="G163" s="217"/>
      <c r="H163" s="217">
        <f t="shared" si="442"/>
        <v>12.72</v>
      </c>
      <c r="I163" s="541">
        <f t="shared" si="443"/>
        <v>8.8404085755281656</v>
      </c>
      <c r="J163" s="172">
        <f t="shared" si="444"/>
        <v>16.371928772532222</v>
      </c>
      <c r="K163" s="172">
        <f t="shared" si="445"/>
        <v>25.212337348060387</v>
      </c>
      <c r="L163" s="443"/>
      <c r="M163" s="217">
        <f t="shared" si="446"/>
        <v>0.64935391202662973</v>
      </c>
      <c r="N163" s="172">
        <f t="shared" si="447"/>
        <v>31.969463546619949</v>
      </c>
      <c r="O163" s="172">
        <f t="shared" si="438"/>
        <v>12.72</v>
      </c>
      <c r="P163" s="217">
        <f t="shared" si="448"/>
        <v>1.3320609811091646</v>
      </c>
      <c r="Q163" s="217">
        <f t="shared" si="449"/>
        <v>24</v>
      </c>
      <c r="R163" s="217"/>
      <c r="S163" s="172">
        <f t="shared" si="450"/>
        <v>79.495612641448659</v>
      </c>
      <c r="T163" s="172">
        <f t="shared" si="451"/>
        <v>24</v>
      </c>
      <c r="U163" s="217">
        <f t="shared" si="452"/>
        <v>4.5322205260765411</v>
      </c>
      <c r="V163" s="217">
        <f t="shared" si="453"/>
        <v>5.1267093453378836</v>
      </c>
      <c r="W163" s="217">
        <f t="shared" si="454"/>
        <v>2.7682874687803505</v>
      </c>
      <c r="X163" s="197">
        <f t="shared" si="455"/>
        <v>258.32806329792396</v>
      </c>
      <c r="Y163" s="443">
        <f t="shared" si="328"/>
        <v>123.53309370745285</v>
      </c>
      <c r="AA163" s="217">
        <f t="shared" si="456"/>
        <v>2.2222222222222223</v>
      </c>
      <c r="AB163" s="173">
        <f t="shared" si="457"/>
        <v>1.3573368496145217</v>
      </c>
      <c r="AC163" s="173">
        <f t="shared" si="458"/>
        <v>0.25986186570639025</v>
      </c>
      <c r="AD163" s="173"/>
      <c r="AE163" s="173">
        <f t="shared" si="459"/>
        <v>1.3573368496145217</v>
      </c>
      <c r="AF163" s="545">
        <f t="shared" si="460"/>
        <v>526.87174078321436</v>
      </c>
      <c r="AG163" s="528">
        <f t="shared" si="461"/>
        <v>0.25986186570639025</v>
      </c>
      <c r="AI163" s="173">
        <f t="shared" si="462"/>
        <v>2.7265026037839055</v>
      </c>
      <c r="AJ163" s="173">
        <f t="shared" si="463"/>
        <v>4.5322205260765411</v>
      </c>
      <c r="AK163" s="173">
        <f t="shared" si="464"/>
        <v>2.9111098547069028</v>
      </c>
      <c r="AM163" s="545">
        <f t="shared" si="465"/>
        <v>530</v>
      </c>
      <c r="AN163" s="460">
        <f t="shared" si="466"/>
        <v>123.53309370745285</v>
      </c>
      <c r="AP163">
        <f t="shared" si="467"/>
        <v>530</v>
      </c>
      <c r="AQ163">
        <f t="shared" si="468"/>
        <v>123.53309370745285</v>
      </c>
      <c r="AS163" s="5">
        <f t="shared" si="439"/>
        <v>8.0949968141182325</v>
      </c>
      <c r="AT163" s="5">
        <f t="shared" si="469"/>
        <v>5.1267093453378836</v>
      </c>
      <c r="AU163" s="5">
        <f t="shared" si="343"/>
        <v>2.9682874687803489</v>
      </c>
      <c r="AV163" s="5"/>
      <c r="AW163" s="173">
        <f t="shared" si="344"/>
        <v>0.63331826596849905</v>
      </c>
      <c r="AX163" s="173">
        <f t="shared" si="435"/>
        <v>12.687480531903708</v>
      </c>
      <c r="AY163" s="173">
        <f t="shared" si="436"/>
        <v>0.55423780758522179</v>
      </c>
      <c r="AZ163" s="173">
        <f t="shared" si="440"/>
        <v>22.891762991020475</v>
      </c>
      <c r="BA163" s="460">
        <f t="shared" si="433"/>
        <v>11.32148313762116</v>
      </c>
      <c r="BB163" s="5">
        <f t="shared" si="434"/>
        <v>3.559094231930553</v>
      </c>
      <c r="BD163" s="173">
        <f t="shared" si="441"/>
        <v>2.0823868518553925</v>
      </c>
      <c r="BE163" s="173">
        <f t="shared" si="437"/>
        <v>1.0568683155329628</v>
      </c>
      <c r="BG163" s="528">
        <f t="shared" si="347"/>
        <v>0.17345340003120849</v>
      </c>
      <c r="BH163" s="528">
        <f t="shared" si="470"/>
        <v>0.31760693647204086</v>
      </c>
      <c r="BI163" s="528">
        <f t="shared" si="471"/>
        <v>4.3683320838915622E-2</v>
      </c>
      <c r="BJ163" s="528">
        <f t="shared" si="350"/>
        <v>1.3741925364647261E-2</v>
      </c>
      <c r="BK163">
        <f t="shared" si="351"/>
        <v>3.9781838589876741E-3</v>
      </c>
      <c r="BL163" s="460">
        <f t="shared" si="427"/>
        <v>47.661504697903297</v>
      </c>
      <c r="BM163" s="528">
        <f t="shared" si="472"/>
        <v>0.57534614906663462</v>
      </c>
      <c r="BN163" s="460">
        <f t="shared" si="353"/>
        <v>575.34614906663467</v>
      </c>
      <c r="BO163" s="528">
        <f t="shared" si="354"/>
        <v>0.371</v>
      </c>
      <c r="BR163" s="460">
        <f t="shared" si="355"/>
        <v>371</v>
      </c>
      <c r="BS163" s="528">
        <f t="shared" si="356"/>
        <v>0.13009005002340637</v>
      </c>
      <c r="BT163" s="528">
        <f t="shared" si="357"/>
        <v>3.3509119091324466E-2</v>
      </c>
      <c r="BU163" s="528">
        <f t="shared" si="358"/>
        <v>0.37085648889198208</v>
      </c>
      <c r="BV163" s="528"/>
      <c r="BW163" s="528">
        <f t="shared" si="359"/>
        <v>0.50749922127614822</v>
      </c>
      <c r="BX163" s="460">
        <f t="shared" si="360"/>
        <v>1041.9548792828612</v>
      </c>
      <c r="BY163" s="173">
        <f t="shared" si="361"/>
        <v>1.9654186458486609</v>
      </c>
      <c r="BZ163" s="5">
        <f t="shared" si="362"/>
        <v>12.72</v>
      </c>
      <c r="CA163" s="173">
        <f t="shared" si="363"/>
        <v>0.86616529679906307</v>
      </c>
      <c r="CB163" s="5">
        <f t="shared" si="364"/>
        <v>86.616529679906307</v>
      </c>
      <c r="CE163" s="562">
        <f t="shared" si="473"/>
        <v>-50</v>
      </c>
      <c r="CF163">
        <f t="shared" si="474"/>
        <v>-50</v>
      </c>
      <c r="CG163" s="173">
        <f t="shared" si="475"/>
        <v>0.34852868247543972</v>
      </c>
      <c r="CI163" s="170">
        <v>53</v>
      </c>
      <c r="CJ163" s="217">
        <f t="shared" si="428"/>
        <v>0.53</v>
      </c>
      <c r="CK163" s="217"/>
      <c r="CL163" s="217">
        <f t="shared" si="368"/>
        <v>12.72</v>
      </c>
      <c r="CM163" s="541">
        <f t="shared" si="369"/>
        <v>9</v>
      </c>
      <c r="CN163" s="443">
        <f t="shared" si="370"/>
        <v>16.3415</v>
      </c>
      <c r="CO163" s="443">
        <f t="shared" si="371"/>
        <v>25.3415</v>
      </c>
      <c r="CP163" s="443"/>
      <c r="CQ163" s="217">
        <f t="shared" si="372"/>
        <v>0.64485133082098534</v>
      </c>
      <c r="CR163" s="172">
        <f t="shared" si="429"/>
        <v>32.320915977744015</v>
      </c>
      <c r="CS163" s="172">
        <f t="shared" si="373"/>
        <v>12.72</v>
      </c>
      <c r="CT163" s="217">
        <f t="shared" si="374"/>
        <v>1.3467048324060007</v>
      </c>
      <c r="CU163" s="217">
        <f t="shared" si="375"/>
        <v>24</v>
      </c>
      <c r="CV163" s="217"/>
      <c r="CW163" s="172">
        <f t="shared" si="376"/>
        <v>80.929221916518983</v>
      </c>
      <c r="CX163" s="172">
        <f t="shared" si="377"/>
        <v>24</v>
      </c>
      <c r="CY163" s="217">
        <f t="shared" si="378"/>
        <v>4.3834393007577841</v>
      </c>
      <c r="CZ163" s="217">
        <f t="shared" si="379"/>
        <v>4.8704881119530938</v>
      </c>
      <c r="DA163" s="217">
        <f t="shared" si="380"/>
        <v>2.6823971488283114</v>
      </c>
      <c r="DB163" s="197">
        <f t="shared" si="381"/>
        <v>261.16478898249903</v>
      </c>
      <c r="DC163" s="443">
        <f t="shared" si="382"/>
        <v>132.3997340714987</v>
      </c>
      <c r="DE163" s="217">
        <f t="shared" si="383"/>
        <v>2.2222222222222223</v>
      </c>
      <c r="DF163" s="173">
        <f t="shared" si="384"/>
        <v>1.3598642855443031</v>
      </c>
      <c r="DG163" s="173">
        <f t="shared" si="385"/>
        <v>0.26320462482489204</v>
      </c>
      <c r="DH163" s="173"/>
      <c r="DI163" s="173">
        <f t="shared" si="386"/>
        <v>1.3598642855443031</v>
      </c>
      <c r="DJ163" s="545">
        <f t="shared" si="387"/>
        <v>525.89249999999993</v>
      </c>
      <c r="DK163" s="528">
        <f t="shared" si="388"/>
        <v>0.26320462482489204</v>
      </c>
      <c r="DM163" s="173">
        <f t="shared" si="389"/>
        <v>2.7239676943752471</v>
      </c>
      <c r="DN163" s="173">
        <f t="shared" si="390"/>
        <v>4.3834393007577841</v>
      </c>
      <c r="DO163" s="173">
        <f t="shared" si="391"/>
        <v>2.8009015396559716</v>
      </c>
      <c r="DQ163" s="545">
        <f t="shared" si="392"/>
        <v>530</v>
      </c>
      <c r="DR163" s="460">
        <f t="shared" si="393"/>
        <v>132.3997340714987</v>
      </c>
      <c r="DT163">
        <f t="shared" si="430"/>
        <v>530</v>
      </c>
      <c r="DU163">
        <f t="shared" si="431"/>
        <v>132.3997340714987</v>
      </c>
      <c r="DW163" s="5">
        <f t="shared" si="394"/>
        <v>7.5528852607814043</v>
      </c>
      <c r="DX163" s="5">
        <f t="shared" si="395"/>
        <v>4.8704881119530938</v>
      </c>
      <c r="DY163" s="5">
        <f t="shared" si="396"/>
        <v>2.6823971488283105</v>
      </c>
      <c r="DZ163" s="5"/>
      <c r="EA163" s="173">
        <f t="shared" si="397"/>
        <v>0.64485133082098534</v>
      </c>
      <c r="EB163" s="173">
        <f t="shared" si="398"/>
        <v>12.719999999999999</v>
      </c>
      <c r="EC163" s="173">
        <f t="shared" si="399"/>
        <v>0.51918367346938776</v>
      </c>
      <c r="ED163" s="173">
        <f t="shared" si="400"/>
        <v>24.499999999999996</v>
      </c>
      <c r="EE163" s="460">
        <f t="shared" si="401"/>
        <v>10.755661247229748</v>
      </c>
      <c r="EF163" s="5">
        <f t="shared" si="402"/>
        <v>3.1592677530644542</v>
      </c>
      <c r="EH163" s="173">
        <f t="shared" si="403"/>
        <v>2.0322829327965688</v>
      </c>
      <c r="EI163" s="173">
        <f t="shared" si="404"/>
        <v>1.0059706255169814</v>
      </c>
      <c r="EK163" s="528">
        <f t="shared" si="405"/>
        <v>0.16520695675744893</v>
      </c>
      <c r="EL163" s="528">
        <f t="shared" si="406"/>
        <v>0.404452125</v>
      </c>
      <c r="EM163" s="528">
        <f t="shared" si="407"/>
        <v>2.6479946814299739E-2</v>
      </c>
      <c r="EN163" s="528">
        <f t="shared" si="408"/>
        <v>1.487955000154776E-2</v>
      </c>
      <c r="EO163">
        <f t="shared" si="409"/>
        <v>4.0499999999999998E-3</v>
      </c>
      <c r="EP163" s="460">
        <f t="shared" si="410"/>
        <v>30.529946814299741</v>
      </c>
      <c r="EQ163" s="460"/>
      <c r="ER163" s="460">
        <f t="shared" si="432"/>
        <v>615.06857857329646</v>
      </c>
      <c r="ES163" s="528">
        <f t="shared" si="411"/>
        <v>0.371</v>
      </c>
      <c r="EV163" s="460">
        <f t="shared" si="412"/>
        <v>371</v>
      </c>
      <c r="EW163" s="528">
        <f t="shared" si="413"/>
        <v>0.12390521756808669</v>
      </c>
      <c r="EX163" s="528">
        <f t="shared" si="414"/>
        <v>3.03593069820908E-2</v>
      </c>
      <c r="EY163" s="528">
        <f t="shared" si="415"/>
        <v>0.40571893711760881</v>
      </c>
      <c r="EZ163" s="528"/>
      <c r="FA163" s="528">
        <f t="shared" si="416"/>
        <v>0.50880000000000003</v>
      </c>
      <c r="FB163" s="460">
        <f t="shared" si="417"/>
        <v>1068.7834616677865</v>
      </c>
      <c r="FC163" s="173">
        <f t="shared" si="418"/>
        <v>2.0548520402410828</v>
      </c>
      <c r="FD163" s="5">
        <f t="shared" si="419"/>
        <v>12.72</v>
      </c>
      <c r="FE163" s="173">
        <f t="shared" si="420"/>
        <v>0.86092232702943849</v>
      </c>
      <c r="FF163" s="5">
        <f t="shared" si="421"/>
        <v>86.092232702943846</v>
      </c>
      <c r="FI163" s="562">
        <f t="shared" si="422"/>
        <v>-50</v>
      </c>
      <c r="FJ163">
        <f t="shared" si="423"/>
        <v>-50</v>
      </c>
      <c r="FL163">
        <f t="shared" si="476"/>
        <v>0.35514866917901466</v>
      </c>
    </row>
    <row r="164" spans="5:168">
      <c r="E164" s="170">
        <v>54</v>
      </c>
      <c r="F164" s="217">
        <f t="shared" si="477"/>
        <v>0.54</v>
      </c>
      <c r="G164" s="217"/>
      <c r="H164" s="217">
        <f t="shared" si="442"/>
        <v>12.96</v>
      </c>
      <c r="I164" s="541">
        <f t="shared" si="443"/>
        <v>8.8374545907027553</v>
      </c>
      <c r="J164" s="172">
        <f t="shared" si="444"/>
        <v>16.372491999112935</v>
      </c>
      <c r="K164" s="172">
        <f t="shared" si="445"/>
        <v>25.20994658981569</v>
      </c>
      <c r="L164" s="443"/>
      <c r="M164" s="217">
        <f t="shared" si="446"/>
        <v>0.64943783891277274</v>
      </c>
      <c r="N164" s="172">
        <f t="shared" si="447"/>
        <v>31.96291165546771</v>
      </c>
      <c r="O164" s="172">
        <f t="shared" si="438"/>
        <v>12.96</v>
      </c>
      <c r="P164" s="217">
        <f t="shared" si="448"/>
        <v>1.3317879856444879</v>
      </c>
      <c r="Q164" s="217">
        <f t="shared" si="449"/>
        <v>24</v>
      </c>
      <c r="R164" s="217"/>
      <c r="S164" s="172">
        <f t="shared" si="450"/>
        <v>77.75541346179206</v>
      </c>
      <c r="T164" s="172">
        <f t="shared" si="451"/>
        <v>24</v>
      </c>
      <c r="U164" s="217">
        <f t="shared" si="452"/>
        <v>4.6188396368161131</v>
      </c>
      <c r="V164" s="217">
        <f t="shared" si="453"/>
        <v>5.2264366276634222</v>
      </c>
      <c r="W164" s="217">
        <f t="shared" si="454"/>
        <v>2.8210975073717326</v>
      </c>
      <c r="X164" s="197">
        <f t="shared" si="455"/>
        <v>258.27511902292429</v>
      </c>
      <c r="Y164" s="443">
        <f t="shared" si="328"/>
        <v>121.24836146504019</v>
      </c>
      <c r="AA164" s="217">
        <f t="shared" si="456"/>
        <v>2.2222222222222223</v>
      </c>
      <c r="AB164" s="173">
        <f t="shared" si="457"/>
        <v>1.3572901561610922</v>
      </c>
      <c r="AC164" s="173">
        <f t="shared" si="458"/>
        <v>0.25979966945886307</v>
      </c>
      <c r="AD164" s="173"/>
      <c r="AE164" s="173">
        <f t="shared" si="459"/>
        <v>1.3572901561610922</v>
      </c>
      <c r="AF164" s="545">
        <f t="shared" si="460"/>
        <v>536.83118443868045</v>
      </c>
      <c r="AG164" s="528">
        <f t="shared" si="461"/>
        <v>0.25979966945886301</v>
      </c>
      <c r="AI164" s="173">
        <f t="shared" si="462"/>
        <v>2.7521514673635217</v>
      </c>
      <c r="AJ164" s="173">
        <f t="shared" si="463"/>
        <v>4.6188396368161131</v>
      </c>
      <c r="AK164" s="173">
        <f t="shared" si="464"/>
        <v>2.9752721589584379</v>
      </c>
      <c r="AM164" s="545">
        <f t="shared" si="465"/>
        <v>540</v>
      </c>
      <c r="AN164" s="460">
        <f t="shared" si="466"/>
        <v>121.24836146504019</v>
      </c>
      <c r="AP164">
        <f t="shared" si="467"/>
        <v>540</v>
      </c>
      <c r="AQ164">
        <f t="shared" si="468"/>
        <v>121.24836146504019</v>
      </c>
      <c r="AS164" s="5">
        <f t="shared" si="439"/>
        <v>8.2475341350351545</v>
      </c>
      <c r="AT164" s="5">
        <f t="shared" si="469"/>
        <v>5.2264366276634222</v>
      </c>
      <c r="AU164" s="5">
        <f t="shared" si="343"/>
        <v>3.0210975073717323</v>
      </c>
      <c r="AV164" s="5"/>
      <c r="AW164" s="173">
        <f t="shared" si="344"/>
        <v>0.63369687740506031</v>
      </c>
      <c r="AX164" s="173">
        <f t="shared" si="435"/>
        <v>12.933368471916408</v>
      </c>
      <c r="AY164" s="173">
        <f t="shared" si="436"/>
        <v>0.56424710980729498</v>
      </c>
      <c r="AZ164" s="173">
        <f t="shared" si="440"/>
        <v>22.921461620483068</v>
      </c>
      <c r="BA164" s="460">
        <f t="shared" si="433"/>
        <v>11.759482412242701</v>
      </c>
      <c r="BB164" s="5">
        <f t="shared" si="434"/>
        <v>3.6919966880441009</v>
      </c>
      <c r="BD164" s="173">
        <f t="shared" si="441"/>
        <v>2.122819362713829</v>
      </c>
      <c r="BE164" s="173">
        <f t="shared" si="437"/>
        <v>1.0765108244684121</v>
      </c>
      <c r="BG164" s="528">
        <f t="shared" si="347"/>
        <v>0.18025448186850987</v>
      </c>
      <c r="BH164" s="528">
        <f t="shared" si="470"/>
        <v>0.31766049336728641</v>
      </c>
      <c r="BI164" s="528">
        <f t="shared" si="471"/>
        <v>4.2861075545776263E-2</v>
      </c>
      <c r="BJ164" s="528">
        <f t="shared" si="350"/>
        <v>1.3485211993640799E-2</v>
      </c>
      <c r="BK164">
        <f t="shared" si="351"/>
        <v>3.9768545658162395E-3</v>
      </c>
      <c r="BL164" s="460">
        <f t="shared" si="427"/>
        <v>46.837930111592499</v>
      </c>
      <c r="BM164" s="528">
        <f t="shared" si="472"/>
        <v>0.58512907748632137</v>
      </c>
      <c r="BN164" s="460">
        <f t="shared" si="353"/>
        <v>585.12907748632142</v>
      </c>
      <c r="BO164" s="528">
        <f t="shared" si="354"/>
        <v>0.378</v>
      </c>
      <c r="BR164" s="460">
        <f t="shared" si="355"/>
        <v>378</v>
      </c>
      <c r="BS164" s="528">
        <f t="shared" si="356"/>
        <v>0.1351908614013824</v>
      </c>
      <c r="BT164" s="528">
        <f t="shared" si="357"/>
        <v>3.4766266655929808E-2</v>
      </c>
      <c r="BU164" s="528">
        <f t="shared" si="358"/>
        <v>0.371100816866203</v>
      </c>
      <c r="BV164" s="528"/>
      <c r="BW164" s="528">
        <f t="shared" si="359"/>
        <v>0.51733473887665626</v>
      </c>
      <c r="BX164" s="460">
        <f t="shared" si="360"/>
        <v>1058.3926838001717</v>
      </c>
      <c r="BY164" s="173">
        <f t="shared" si="361"/>
        <v>1.9946308011412013</v>
      </c>
      <c r="BZ164" s="5">
        <f t="shared" si="362"/>
        <v>12.96</v>
      </c>
      <c r="CA164" s="173">
        <f t="shared" si="363"/>
        <v>0.86662119395224457</v>
      </c>
      <c r="CB164" s="5">
        <f t="shared" si="364"/>
        <v>86.662119395224451</v>
      </c>
      <c r="CE164" s="562">
        <f t="shared" si="473"/>
        <v>-50</v>
      </c>
      <c r="CF164">
        <f t="shared" si="474"/>
        <v>-50</v>
      </c>
      <c r="CG164" s="173">
        <f t="shared" si="475"/>
        <v>0.34865127482180225</v>
      </c>
      <c r="CI164" s="170">
        <v>54</v>
      </c>
      <c r="CJ164" s="217">
        <f t="shared" si="428"/>
        <v>0.54</v>
      </c>
      <c r="CK164" s="217"/>
      <c r="CL164" s="217">
        <f t="shared" si="368"/>
        <v>12.96</v>
      </c>
      <c r="CM164" s="541">
        <f t="shared" si="369"/>
        <v>9</v>
      </c>
      <c r="CN164" s="443">
        <f t="shared" si="370"/>
        <v>16.3415</v>
      </c>
      <c r="CO164" s="443">
        <f t="shared" si="371"/>
        <v>25.3415</v>
      </c>
      <c r="CP164" s="443"/>
      <c r="CQ164" s="217">
        <f t="shared" si="372"/>
        <v>0.64485133082098534</v>
      </c>
      <c r="CR164" s="172">
        <f t="shared" si="429"/>
        <v>32.320915977744015</v>
      </c>
      <c r="CS164" s="172">
        <f t="shared" si="373"/>
        <v>12.96</v>
      </c>
      <c r="CT164" s="217">
        <f t="shared" si="374"/>
        <v>1.3467048324060007</v>
      </c>
      <c r="CU164" s="217">
        <f t="shared" si="375"/>
        <v>24</v>
      </c>
      <c r="CV164" s="217"/>
      <c r="CW164" s="172">
        <f t="shared" si="376"/>
        <v>79.184006481689138</v>
      </c>
      <c r="CX164" s="172">
        <f t="shared" si="377"/>
        <v>24</v>
      </c>
      <c r="CY164" s="217">
        <f t="shared" si="378"/>
        <v>4.4661457026588742</v>
      </c>
      <c r="CZ164" s="217">
        <f t="shared" si="379"/>
        <v>4.9623841140654159</v>
      </c>
      <c r="DA164" s="217">
        <f t="shared" si="380"/>
        <v>2.733008415787336</v>
      </c>
      <c r="DB164" s="197">
        <f t="shared" si="381"/>
        <v>261.16478898249903</v>
      </c>
      <c r="DC164" s="443">
        <f t="shared" si="382"/>
        <v>129.94788714424871</v>
      </c>
      <c r="DE164" s="217">
        <f t="shared" si="383"/>
        <v>2.2222222222222223</v>
      </c>
      <c r="DF164" s="173">
        <f t="shared" si="384"/>
        <v>1.3598642855443031</v>
      </c>
      <c r="DG164" s="173">
        <f t="shared" si="385"/>
        <v>0.26320462482489204</v>
      </c>
      <c r="DH164" s="173"/>
      <c r="DI164" s="173">
        <f t="shared" si="386"/>
        <v>1.3598642855443031</v>
      </c>
      <c r="DJ164" s="545">
        <f t="shared" si="387"/>
        <v>535.81499999999983</v>
      </c>
      <c r="DK164" s="528">
        <f t="shared" si="388"/>
        <v>0.26320462482489204</v>
      </c>
      <c r="DM164" s="173">
        <f t="shared" si="389"/>
        <v>2.7495454169735041</v>
      </c>
      <c r="DN164" s="173">
        <f t="shared" si="390"/>
        <v>4.4661457026588742</v>
      </c>
      <c r="DO164" s="173">
        <f t="shared" si="391"/>
        <v>2.8621655410641864</v>
      </c>
      <c r="DQ164" s="545">
        <f t="shared" si="392"/>
        <v>540</v>
      </c>
      <c r="DR164" s="460">
        <f t="shared" si="393"/>
        <v>129.94788714424871</v>
      </c>
      <c r="DT164">
        <f t="shared" si="430"/>
        <v>540</v>
      </c>
      <c r="DU164">
        <f t="shared" si="431"/>
        <v>129.94788714424871</v>
      </c>
      <c r="DW164" s="5">
        <f t="shared" si="394"/>
        <v>7.6953925298527519</v>
      </c>
      <c r="DX164" s="5">
        <f t="shared" si="395"/>
        <v>4.9623841140654159</v>
      </c>
      <c r="DY164" s="5">
        <f t="shared" si="396"/>
        <v>2.733008415787336</v>
      </c>
      <c r="DZ164" s="5"/>
      <c r="EA164" s="173">
        <f t="shared" si="397"/>
        <v>0.64485133082098534</v>
      </c>
      <c r="EB164" s="173">
        <f t="shared" si="398"/>
        <v>12.959999999999997</v>
      </c>
      <c r="EC164" s="173">
        <f t="shared" si="399"/>
        <v>0.52897959183673471</v>
      </c>
      <c r="ED164" s="173">
        <f t="shared" si="400"/>
        <v>24.499999999999993</v>
      </c>
      <c r="EE164" s="460">
        <f t="shared" si="401"/>
        <v>11.165364256647187</v>
      </c>
      <c r="EF164" s="5">
        <f t="shared" si="402"/>
        <v>3.2796100989448034</v>
      </c>
      <c r="EH164" s="173">
        <f t="shared" si="403"/>
        <v>2.0706278937927305</v>
      </c>
      <c r="EI164" s="173">
        <f t="shared" si="404"/>
        <v>1.0249512033569241</v>
      </c>
      <c r="EK164" s="528">
        <f t="shared" si="405"/>
        <v>0.17149999498210075</v>
      </c>
      <c r="EL164" s="528">
        <f t="shared" si="406"/>
        <v>0.404452125</v>
      </c>
      <c r="EM164" s="528">
        <f t="shared" si="407"/>
        <v>2.598957742884974E-2</v>
      </c>
      <c r="EN164" s="528">
        <f t="shared" si="408"/>
        <v>1.4604002779296875E-2</v>
      </c>
      <c r="EO164">
        <f t="shared" si="409"/>
        <v>4.0499999999999998E-3</v>
      </c>
      <c r="EP164" s="460">
        <f t="shared" si="410"/>
        <v>30.039577428849739</v>
      </c>
      <c r="EQ164" s="460"/>
      <c r="ER164" s="460">
        <f t="shared" si="432"/>
        <v>620.59570019024738</v>
      </c>
      <c r="ES164" s="528">
        <f t="shared" si="411"/>
        <v>0.378</v>
      </c>
      <c r="EV164" s="460">
        <f t="shared" si="412"/>
        <v>378</v>
      </c>
      <c r="EW164" s="528">
        <f t="shared" si="413"/>
        <v>0.12862499623657556</v>
      </c>
      <c r="EX164" s="528">
        <f t="shared" si="414"/>
        <v>3.1515749077884209E-2</v>
      </c>
      <c r="EY164" s="528">
        <f t="shared" si="415"/>
        <v>0.40571893711760931</v>
      </c>
      <c r="EZ164" s="528"/>
      <c r="FA164" s="528">
        <f t="shared" si="416"/>
        <v>0.51839999999999986</v>
      </c>
      <c r="FB164" s="460">
        <f t="shared" si="417"/>
        <v>1084.259682432069</v>
      </c>
      <c r="FC164" s="173">
        <f t="shared" si="418"/>
        <v>2.0828553826223164</v>
      </c>
      <c r="FD164" s="5">
        <f t="shared" si="419"/>
        <v>12.96</v>
      </c>
      <c r="FE164" s="173">
        <f t="shared" si="420"/>
        <v>0.86153856235110426</v>
      </c>
      <c r="FF164" s="5">
        <f t="shared" si="421"/>
        <v>86.153856235110425</v>
      </c>
      <c r="FI164" s="562">
        <f t="shared" si="422"/>
        <v>-50</v>
      </c>
      <c r="FJ164">
        <f t="shared" si="423"/>
        <v>-50</v>
      </c>
      <c r="FL164">
        <f t="shared" si="476"/>
        <v>0.35514866917901466</v>
      </c>
    </row>
    <row r="165" spans="5:168">
      <c r="E165" s="170">
        <v>55</v>
      </c>
      <c r="F165" s="217">
        <f t="shared" si="477"/>
        <v>0.55000000000000004</v>
      </c>
      <c r="G165" s="217"/>
      <c r="H165" s="217">
        <f t="shared" si="442"/>
        <v>13.200000000000001</v>
      </c>
      <c r="I165" s="541">
        <f t="shared" si="443"/>
        <v>8.834500567145545</v>
      </c>
      <c r="J165" s="172">
        <f t="shared" si="444"/>
        <v>16.373055233078507</v>
      </c>
      <c r="K165" s="172">
        <f t="shared" si="445"/>
        <v>25.20755580022405</v>
      </c>
      <c r="L165" s="443"/>
      <c r="M165" s="217">
        <f t="shared" si="446"/>
        <v>0.64952178271571037</v>
      </c>
      <c r="N165" s="172">
        <f t="shared" si="447"/>
        <v>31.956357695170681</v>
      </c>
      <c r="O165" s="172">
        <f t="shared" si="438"/>
        <v>13.200000000000001</v>
      </c>
      <c r="P165" s="217">
        <f t="shared" si="448"/>
        <v>1.331514903965445</v>
      </c>
      <c r="Q165" s="217">
        <f t="shared" si="449"/>
        <v>24</v>
      </c>
      <c r="R165" s="217"/>
      <c r="S165" s="172">
        <f t="shared" si="450"/>
        <v>76.078731642214024</v>
      </c>
      <c r="T165" s="172">
        <f t="shared" si="451"/>
        <v>24</v>
      </c>
      <c r="U165" s="217">
        <f t="shared" si="452"/>
        <v>4.7055004589803895</v>
      </c>
      <c r="V165" s="217">
        <f t="shared" si="453"/>
        <v>5.326277839043426</v>
      </c>
      <c r="W165" s="217">
        <f t="shared" si="454"/>
        <v>2.8739293870296492</v>
      </c>
      <c r="X165" s="197">
        <f t="shared" si="455"/>
        <v>258.22215807041187</v>
      </c>
      <c r="Y165" s="443">
        <f t="shared" si="328"/>
        <v>119.04468224261647</v>
      </c>
      <c r="AA165" s="217">
        <f t="shared" si="456"/>
        <v>2.2222222222222223</v>
      </c>
      <c r="AB165" s="173">
        <f t="shared" si="457"/>
        <v>1.3572434653079677</v>
      </c>
      <c r="AC165" s="173">
        <f t="shared" si="458"/>
        <v>0.25973746059785707</v>
      </c>
      <c r="AD165" s="173"/>
      <c r="AE165" s="173">
        <f t="shared" si="459"/>
        <v>1.3572434653079677</v>
      </c>
      <c r="AF165" s="545">
        <f t="shared" si="460"/>
        <v>546.79131231907593</v>
      </c>
      <c r="AG165" s="528">
        <f t="shared" si="461"/>
        <v>0.25973746059785707</v>
      </c>
      <c r="AI165" s="173">
        <f t="shared" si="462"/>
        <v>2.7775652295039306</v>
      </c>
      <c r="AJ165" s="173">
        <f t="shared" si="463"/>
        <v>4.7055004589803895</v>
      </c>
      <c r="AK165" s="173">
        <f t="shared" si="464"/>
        <v>3.0394653605616053</v>
      </c>
      <c r="AM165" s="545">
        <f t="shared" si="465"/>
        <v>550</v>
      </c>
      <c r="AN165" s="460">
        <f t="shared" si="466"/>
        <v>119.04468224261647</v>
      </c>
      <c r="AP165">
        <f t="shared" si="467"/>
        <v>550</v>
      </c>
      <c r="AQ165">
        <f t="shared" si="468"/>
        <v>119.04468224261647</v>
      </c>
      <c r="AS165" s="5">
        <f t="shared" si="439"/>
        <v>8.4002072260730749</v>
      </c>
      <c r="AT165" s="5">
        <f t="shared" si="469"/>
        <v>5.326277839043426</v>
      </c>
      <c r="AU165" s="5">
        <f t="shared" si="343"/>
        <v>3.0739293870296489</v>
      </c>
      <c r="AV165" s="5"/>
      <c r="AW165" s="173">
        <f t="shared" si="344"/>
        <v>0.63406505288481463</v>
      </c>
      <c r="AX165" s="173">
        <f t="shared" si="435"/>
        <v>13.179278780611384</v>
      </c>
      <c r="AY165" s="173">
        <f t="shared" si="436"/>
        <v>0.57425600504609109</v>
      </c>
      <c r="AZ165" s="173">
        <f t="shared" si="440"/>
        <v>22.950180171914067</v>
      </c>
      <c r="BA165" s="460">
        <f t="shared" si="433"/>
        <v>12.206053381141187</v>
      </c>
      <c r="BB165" s="5">
        <f t="shared" si="434"/>
        <v>3.8274063146335044</v>
      </c>
      <c r="BD165" s="173">
        <f t="shared" si="441"/>
        <v>2.163276843182516</v>
      </c>
      <c r="BE165" s="173">
        <f t="shared" si="437"/>
        <v>1.0961575264459604</v>
      </c>
      <c r="BG165" s="528">
        <f t="shared" si="347"/>
        <v>0.18719066800998849</v>
      </c>
      <c r="BH165" s="528">
        <f t="shared" si="470"/>
        <v>0.31770867663124297</v>
      </c>
      <c r="BI165" s="528">
        <f t="shared" si="471"/>
        <v>4.2068012511522257E-2</v>
      </c>
      <c r="BJ165" s="528">
        <f t="shared" si="350"/>
        <v>1.3237608210854781E-2</v>
      </c>
      <c r="BK165">
        <f t="shared" si="351"/>
        <v>3.9755252552154952E-3</v>
      </c>
      <c r="BL165" s="460">
        <f t="shared" si="427"/>
        <v>46.043537766737749</v>
      </c>
      <c r="BM165" s="528">
        <f t="shared" si="472"/>
        <v>0.59514855975085412</v>
      </c>
      <c r="BN165" s="460">
        <f t="shared" si="353"/>
        <v>595.14855975085413</v>
      </c>
      <c r="BO165" s="528">
        <f t="shared" si="354"/>
        <v>0.38500000000000001</v>
      </c>
      <c r="BR165" s="460">
        <f t="shared" si="355"/>
        <v>385</v>
      </c>
      <c r="BS165" s="528">
        <f t="shared" si="356"/>
        <v>0.14039300100749136</v>
      </c>
      <c r="BT165" s="528">
        <f t="shared" si="357"/>
        <v>3.604683968352379E-2</v>
      </c>
      <c r="BU165" s="528">
        <f t="shared" si="358"/>
        <v>0.3713295873252398</v>
      </c>
      <c r="BV165" s="528"/>
      <c r="BW165" s="528">
        <f t="shared" si="359"/>
        <v>0.52717115122445535</v>
      </c>
      <c r="BX165" s="460">
        <f t="shared" si="360"/>
        <v>1074.9405792407103</v>
      </c>
      <c r="BY165" s="173">
        <f t="shared" si="361"/>
        <v>2.0241210698595342</v>
      </c>
      <c r="BZ165" s="5">
        <f t="shared" si="362"/>
        <v>13.200000000000001</v>
      </c>
      <c r="CA165" s="173">
        <f t="shared" si="363"/>
        <v>0.86704512788808175</v>
      </c>
      <c r="CB165" s="5">
        <f t="shared" si="364"/>
        <v>86.704512788808174</v>
      </c>
      <c r="CE165" s="562">
        <f t="shared" si="473"/>
        <v>-50</v>
      </c>
      <c r="CF165">
        <f t="shared" si="474"/>
        <v>-50</v>
      </c>
      <c r="CG165" s="173">
        <f t="shared" si="475"/>
        <v>0.34876940926466077</v>
      </c>
      <c r="CI165" s="170">
        <v>55</v>
      </c>
      <c r="CJ165" s="217">
        <f t="shared" si="428"/>
        <v>0.55000000000000004</v>
      </c>
      <c r="CK165" s="217"/>
      <c r="CL165" s="217">
        <f t="shared" si="368"/>
        <v>13.200000000000001</v>
      </c>
      <c r="CM165" s="541">
        <f t="shared" si="369"/>
        <v>9</v>
      </c>
      <c r="CN165" s="443">
        <f t="shared" si="370"/>
        <v>16.3415</v>
      </c>
      <c r="CO165" s="443">
        <f t="shared" si="371"/>
        <v>25.3415</v>
      </c>
      <c r="CP165" s="443"/>
      <c r="CQ165" s="217">
        <f t="shared" si="372"/>
        <v>0.64485133082098534</v>
      </c>
      <c r="CR165" s="172">
        <f t="shared" si="429"/>
        <v>32.320915977744015</v>
      </c>
      <c r="CS165" s="172">
        <f t="shared" si="373"/>
        <v>13.200000000000001</v>
      </c>
      <c r="CT165" s="217">
        <f t="shared" si="374"/>
        <v>1.3467048324060007</v>
      </c>
      <c r="CU165" s="217">
        <f t="shared" si="375"/>
        <v>24</v>
      </c>
      <c r="CV165" s="217"/>
      <c r="CW165" s="172">
        <f t="shared" si="376"/>
        <v>77.502330165835062</v>
      </c>
      <c r="CX165" s="172">
        <f t="shared" si="377"/>
        <v>24</v>
      </c>
      <c r="CY165" s="217">
        <f t="shared" si="378"/>
        <v>4.5488521045599652</v>
      </c>
      <c r="CZ165" s="217">
        <f t="shared" si="379"/>
        <v>5.0542801161777389</v>
      </c>
      <c r="DA165" s="217">
        <f t="shared" si="380"/>
        <v>2.7836196827463611</v>
      </c>
      <c r="DB165" s="197">
        <f t="shared" si="381"/>
        <v>261.16478898249903</v>
      </c>
      <c r="DC165" s="443">
        <f t="shared" si="382"/>
        <v>127.58519828708053</v>
      </c>
      <c r="DE165" s="217">
        <f t="shared" si="383"/>
        <v>2.2222222222222223</v>
      </c>
      <c r="DF165" s="173">
        <f t="shared" si="384"/>
        <v>1.3598642855443031</v>
      </c>
      <c r="DG165" s="173">
        <f t="shared" si="385"/>
        <v>0.26320462482489204</v>
      </c>
      <c r="DH165" s="173"/>
      <c r="DI165" s="173">
        <f t="shared" si="386"/>
        <v>1.3598642855443031</v>
      </c>
      <c r="DJ165" s="545">
        <f t="shared" si="387"/>
        <v>545.73749999999984</v>
      </c>
      <c r="DK165" s="528">
        <f t="shared" si="388"/>
        <v>0.26320462482489204</v>
      </c>
      <c r="DM165" s="173">
        <f t="shared" si="389"/>
        <v>2.7748873851023212</v>
      </c>
      <c r="DN165" s="173">
        <f t="shared" si="390"/>
        <v>4.5488521045599652</v>
      </c>
      <c r="DO165" s="173">
        <f t="shared" si="391"/>
        <v>2.9234295424724022</v>
      </c>
      <c r="DQ165" s="545">
        <f t="shared" si="392"/>
        <v>550</v>
      </c>
      <c r="DR165" s="460">
        <f t="shared" si="393"/>
        <v>127.58519828708053</v>
      </c>
      <c r="DT165">
        <f t="shared" si="430"/>
        <v>550</v>
      </c>
      <c r="DU165">
        <f t="shared" si="431"/>
        <v>127.58519828708053</v>
      </c>
      <c r="DW165" s="5">
        <f t="shared" si="394"/>
        <v>7.8378997989241013</v>
      </c>
      <c r="DX165" s="5">
        <f t="shared" si="395"/>
        <v>5.0542801161777389</v>
      </c>
      <c r="DY165" s="5">
        <f t="shared" si="396"/>
        <v>2.7836196827463624</v>
      </c>
      <c r="DZ165" s="5"/>
      <c r="EA165" s="173">
        <f t="shared" si="397"/>
        <v>0.64485133082098522</v>
      </c>
      <c r="EB165" s="173">
        <f t="shared" si="398"/>
        <v>13.200000000000001</v>
      </c>
      <c r="EC165" s="173">
        <f t="shared" si="399"/>
        <v>0.53877551020408188</v>
      </c>
      <c r="ED165" s="173">
        <f t="shared" si="400"/>
        <v>24.499999999999989</v>
      </c>
      <c r="EE165" s="460">
        <f t="shared" si="401"/>
        <v>11.582725266240653</v>
      </c>
      <c r="EF165" s="5">
        <f t="shared" si="402"/>
        <v>3.402201834467776</v>
      </c>
      <c r="EH165" s="173">
        <f t="shared" si="403"/>
        <v>2.1089728547888922</v>
      </c>
      <c r="EI165" s="173">
        <f t="shared" si="404"/>
        <v>1.0439317811968676</v>
      </c>
      <c r="EK165" s="528">
        <f t="shared" si="405"/>
        <v>0.17791066008945638</v>
      </c>
      <c r="EL165" s="528">
        <f t="shared" si="406"/>
        <v>0.404452125</v>
      </c>
      <c r="EM165" s="528">
        <f t="shared" si="407"/>
        <v>2.5517039657416102E-2</v>
      </c>
      <c r="EN165" s="528">
        <f t="shared" si="408"/>
        <v>1.433847545603693E-2</v>
      </c>
      <c r="EO165">
        <f t="shared" si="409"/>
        <v>4.0499999999999998E-3</v>
      </c>
      <c r="EP165" s="460">
        <f t="shared" si="410"/>
        <v>29.567039657416103</v>
      </c>
      <c r="EQ165" s="460"/>
      <c r="ER165" s="460">
        <f t="shared" si="432"/>
        <v>626.26830020290947</v>
      </c>
      <c r="ES165" s="528">
        <f t="shared" si="411"/>
        <v>0.38500000000000001</v>
      </c>
      <c r="EV165" s="460">
        <f t="shared" si="412"/>
        <v>385</v>
      </c>
      <c r="EW165" s="528">
        <f t="shared" si="413"/>
        <v>0.13343299506709227</v>
      </c>
      <c r="EX165" s="528">
        <f t="shared" si="414"/>
        <v>3.2693806913785935E-2</v>
      </c>
      <c r="EY165" s="528">
        <f t="shared" si="415"/>
        <v>0.40571893711760948</v>
      </c>
      <c r="EZ165" s="528"/>
      <c r="FA165" s="528">
        <f t="shared" si="416"/>
        <v>0.52800000000000002</v>
      </c>
      <c r="FB165" s="460">
        <f t="shared" si="417"/>
        <v>1099.8457390984877</v>
      </c>
      <c r="FC165" s="173">
        <f t="shared" si="418"/>
        <v>2.1111140393013974</v>
      </c>
      <c r="FD165" s="5">
        <f t="shared" si="419"/>
        <v>13.200000000000001</v>
      </c>
      <c r="FE165" s="173">
        <f t="shared" si="420"/>
        <v>0.86211884818554196</v>
      </c>
      <c r="FF165" s="5">
        <f t="shared" si="421"/>
        <v>86.211884818554196</v>
      </c>
      <c r="FI165" s="562">
        <f t="shared" si="422"/>
        <v>-50</v>
      </c>
      <c r="FJ165">
        <f t="shared" si="423"/>
        <v>-50</v>
      </c>
      <c r="FL165">
        <f t="shared" si="476"/>
        <v>0.35514866917901478</v>
      </c>
    </row>
    <row r="166" spans="5:168">
      <c r="E166" s="170">
        <v>56</v>
      </c>
      <c r="F166" s="217">
        <f t="shared" si="477"/>
        <v>0.56000000000000005</v>
      </c>
      <c r="G166" s="217"/>
      <c r="H166" s="217">
        <f t="shared" si="442"/>
        <v>13.440000000000001</v>
      </c>
      <c r="I166" s="541">
        <f t="shared" si="443"/>
        <v>8.8315465069687136</v>
      </c>
      <c r="J166" s="172">
        <f t="shared" si="444"/>
        <v>16.373618474026227</v>
      </c>
      <c r="K166" s="172">
        <f t="shared" si="445"/>
        <v>25.20516498099494</v>
      </c>
      <c r="L166" s="443"/>
      <c r="M166" s="217">
        <f t="shared" si="446"/>
        <v>0.64960574338620569</v>
      </c>
      <c r="N166" s="172">
        <f t="shared" si="447"/>
        <v>31.949801670059212</v>
      </c>
      <c r="O166" s="172">
        <f t="shared" si="438"/>
        <v>13.440000000000001</v>
      </c>
      <c r="P166" s="217">
        <f t="shared" si="448"/>
        <v>1.3312417362524671</v>
      </c>
      <c r="Q166" s="217">
        <f t="shared" si="449"/>
        <v>24</v>
      </c>
      <c r="R166" s="217"/>
      <c r="S166" s="172">
        <f t="shared" si="450"/>
        <v>74.462165151142884</v>
      </c>
      <c r="T166" s="172">
        <f t="shared" si="451"/>
        <v>24</v>
      </c>
      <c r="U166" s="217">
        <f t="shared" si="452"/>
        <v>4.792203034426108</v>
      </c>
      <c r="V166" s="217">
        <f t="shared" si="453"/>
        <v>5.4262331412111369</v>
      </c>
      <c r="W166" s="217">
        <f t="shared" si="454"/>
        <v>2.9267831310641985</v>
      </c>
      <c r="X166" s="197">
        <f t="shared" si="455"/>
        <v>258.16918047309474</v>
      </c>
      <c r="Y166" s="443">
        <f t="shared" si="328"/>
        <v>116.91781801485722</v>
      </c>
      <c r="AA166" s="217">
        <f t="shared" si="456"/>
        <v>2.2222222222222223</v>
      </c>
      <c r="AB166" s="173">
        <f t="shared" si="457"/>
        <v>1.3571967770883235</v>
      </c>
      <c r="AC166" s="173">
        <f t="shared" si="458"/>
        <v>0.25967523916404361</v>
      </c>
      <c r="AD166" s="173"/>
      <c r="AE166" s="173">
        <f t="shared" si="459"/>
        <v>1.3571967770883235</v>
      </c>
      <c r="AF166" s="545">
        <f t="shared" si="460"/>
        <v>556.75212442415989</v>
      </c>
      <c r="AG166" s="528">
        <f t="shared" si="461"/>
        <v>0.25967523916404356</v>
      </c>
      <c r="AI166" s="173">
        <f t="shared" si="462"/>
        <v>2.8027502855144113</v>
      </c>
      <c r="AJ166" s="173">
        <f t="shared" si="463"/>
        <v>4.792203034426108</v>
      </c>
      <c r="AK166" s="173">
        <f t="shared" si="464"/>
        <v>3.103689490521397</v>
      </c>
      <c r="AM166" s="545">
        <f t="shared" si="465"/>
        <v>560</v>
      </c>
      <c r="AN166" s="460">
        <f t="shared" si="466"/>
        <v>116.91781801485722</v>
      </c>
      <c r="AP166">
        <f t="shared" si="467"/>
        <v>560</v>
      </c>
      <c r="AQ166">
        <f t="shared" si="468"/>
        <v>116.91781801485722</v>
      </c>
      <c r="AS166" s="5">
        <f t="shared" si="439"/>
        <v>8.5530162722753342</v>
      </c>
      <c r="AT166" s="5">
        <f t="shared" si="469"/>
        <v>5.4262331412111369</v>
      </c>
      <c r="AU166" s="5">
        <f t="shared" si="343"/>
        <v>3.1267831310641974</v>
      </c>
      <c r="AV166" s="5"/>
      <c r="AW166" s="173">
        <f t="shared" si="344"/>
        <v>0.63442333891031077</v>
      </c>
      <c r="AX166" s="173">
        <f t="shared" si="435"/>
        <v>13.425211172346703</v>
      </c>
      <c r="AY166" s="173">
        <f t="shared" si="436"/>
        <v>0.58426451446055616</v>
      </c>
      <c r="AZ166" s="173">
        <f t="shared" si="440"/>
        <v>22.977967752742995</v>
      </c>
      <c r="BA166" s="460">
        <f t="shared" si="433"/>
        <v>12.661210662825988</v>
      </c>
      <c r="BB166" s="5">
        <f t="shared" si="434"/>
        <v>3.9653271417736158</v>
      </c>
      <c r="BD166" s="173">
        <f t="shared" si="441"/>
        <v>2.203759300092242</v>
      </c>
      <c r="BE166" s="173">
        <f t="shared" si="437"/>
        <v>1.1158084535329185</v>
      </c>
      <c r="BG166" s="528">
        <f t="shared" si="347"/>
        <v>0.19426220210972195</v>
      </c>
      <c r="BH166" s="528">
        <f t="shared" si="470"/>
        <v>0.31775176684453299</v>
      </c>
      <c r="BI166" s="528">
        <f t="shared" si="471"/>
        <v>4.130260589166064E-2</v>
      </c>
      <c r="BJ166" s="528">
        <f t="shared" si="350"/>
        <v>1.2998637704132315E-2</v>
      </c>
      <c r="BK166">
        <f t="shared" si="351"/>
        <v>3.9741959281359212E-3</v>
      </c>
      <c r="BL166" s="460">
        <f t="shared" si="427"/>
        <v>45.27680181979656</v>
      </c>
      <c r="BM166" s="528">
        <f t="shared" si="472"/>
        <v>0.60540698955118055</v>
      </c>
      <c r="BN166" s="460">
        <f t="shared" si="353"/>
        <v>605.40698955118057</v>
      </c>
      <c r="BO166" s="528">
        <f t="shared" si="354"/>
        <v>0.39200000000000002</v>
      </c>
      <c r="BR166" s="460">
        <f t="shared" si="355"/>
        <v>392</v>
      </c>
      <c r="BS166" s="528">
        <f t="shared" si="356"/>
        <v>0.14569665158229145</v>
      </c>
      <c r="BT166" s="528">
        <f t="shared" si="357"/>
        <v>3.7350855149265685E-2</v>
      </c>
      <c r="BU166" s="528">
        <f t="shared" si="358"/>
        <v>0.37154359859886094</v>
      </c>
      <c r="BV166" s="528"/>
      <c r="BW166" s="528">
        <f t="shared" si="359"/>
        <v>0.53700844689386817</v>
      </c>
      <c r="BX166" s="460">
        <f t="shared" si="360"/>
        <v>1091.5995522242863</v>
      </c>
      <c r="BY166" s="173">
        <f t="shared" si="361"/>
        <v>2.0538889607024702</v>
      </c>
      <c r="BZ166" s="5">
        <f t="shared" si="362"/>
        <v>13.440000000000001</v>
      </c>
      <c r="CA166" s="173">
        <f t="shared" si="363"/>
        <v>0.86743877112377676</v>
      </c>
      <c r="CB166" s="5">
        <f t="shared" si="364"/>
        <v>86.743877112377675</v>
      </c>
      <c r="CE166" s="562">
        <f t="shared" si="473"/>
        <v>-50</v>
      </c>
      <c r="CF166">
        <f t="shared" si="474"/>
        <v>-50</v>
      </c>
      <c r="CG166" s="173">
        <f t="shared" si="475"/>
        <v>0.3488833246202741</v>
      </c>
      <c r="CI166" s="170">
        <v>56</v>
      </c>
      <c r="CJ166" s="217">
        <f t="shared" si="428"/>
        <v>0.56000000000000005</v>
      </c>
      <c r="CK166" s="217"/>
      <c r="CL166" s="217">
        <f t="shared" si="368"/>
        <v>13.440000000000001</v>
      </c>
      <c r="CM166" s="541">
        <f t="shared" si="369"/>
        <v>9</v>
      </c>
      <c r="CN166" s="443">
        <f t="shared" si="370"/>
        <v>16.3415</v>
      </c>
      <c r="CO166" s="443">
        <f t="shared" si="371"/>
        <v>25.3415</v>
      </c>
      <c r="CP166" s="443"/>
      <c r="CQ166" s="217">
        <f t="shared" si="372"/>
        <v>0.64485133082098534</v>
      </c>
      <c r="CR166" s="172">
        <f t="shared" si="429"/>
        <v>32.320915977744015</v>
      </c>
      <c r="CS166" s="172">
        <f t="shared" si="373"/>
        <v>13.440000000000001</v>
      </c>
      <c r="CT166" s="217">
        <f t="shared" si="374"/>
        <v>1.3467048324060007</v>
      </c>
      <c r="CU166" s="217">
        <f t="shared" si="375"/>
        <v>24</v>
      </c>
      <c r="CV166" s="217"/>
      <c r="CW166" s="172">
        <f t="shared" si="376"/>
        <v>75.880789754094991</v>
      </c>
      <c r="CX166" s="172">
        <f t="shared" si="377"/>
        <v>24</v>
      </c>
      <c r="CY166" s="217">
        <f t="shared" si="378"/>
        <v>4.6315585064610554</v>
      </c>
      <c r="CZ166" s="217">
        <f t="shared" si="379"/>
        <v>5.1461761182900609</v>
      </c>
      <c r="DA166" s="217">
        <f t="shared" si="380"/>
        <v>2.8342309497053857</v>
      </c>
      <c r="DB166" s="197">
        <f t="shared" si="381"/>
        <v>261.16478898249903</v>
      </c>
      <c r="DC166" s="443">
        <f t="shared" si="382"/>
        <v>125.30689117481126</v>
      </c>
      <c r="DE166" s="217">
        <f t="shared" si="383"/>
        <v>2.2222222222222223</v>
      </c>
      <c r="DF166" s="173">
        <f t="shared" si="384"/>
        <v>1.3598642855443031</v>
      </c>
      <c r="DG166" s="173">
        <f t="shared" si="385"/>
        <v>0.26320462482489204</v>
      </c>
      <c r="DH166" s="173"/>
      <c r="DI166" s="173">
        <f t="shared" si="386"/>
        <v>1.3598642855443031</v>
      </c>
      <c r="DJ166" s="545">
        <f t="shared" si="387"/>
        <v>555.65999999999985</v>
      </c>
      <c r="DK166" s="528">
        <f t="shared" si="388"/>
        <v>0.26320462482489204</v>
      </c>
      <c r="DM166" s="173">
        <f t="shared" si="389"/>
        <v>2.8</v>
      </c>
      <c r="DN166" s="173">
        <f t="shared" si="390"/>
        <v>4.6315585064610554</v>
      </c>
      <c r="DO166" s="173">
        <f t="shared" si="391"/>
        <v>2.984693543880617</v>
      </c>
      <c r="DQ166" s="545">
        <f t="shared" si="392"/>
        <v>560</v>
      </c>
      <c r="DR166" s="460">
        <f t="shared" si="393"/>
        <v>125.30689117481126</v>
      </c>
      <c r="DT166">
        <f t="shared" si="430"/>
        <v>560</v>
      </c>
      <c r="DU166">
        <f t="shared" si="431"/>
        <v>125.30689117481126</v>
      </c>
      <c r="DW166" s="5">
        <f t="shared" si="394"/>
        <v>7.9804070679954462</v>
      </c>
      <c r="DX166" s="5">
        <f t="shared" si="395"/>
        <v>5.1461761182900609</v>
      </c>
      <c r="DY166" s="5">
        <f t="shared" si="396"/>
        <v>2.8342309497053852</v>
      </c>
      <c r="DZ166" s="5"/>
      <c r="EA166" s="173">
        <f t="shared" si="397"/>
        <v>0.64485133082098534</v>
      </c>
      <c r="EB166" s="173">
        <f t="shared" si="398"/>
        <v>13.440000000000003</v>
      </c>
      <c r="EC166" s="173">
        <f t="shared" si="399"/>
        <v>0.5485714285714286</v>
      </c>
      <c r="ED166" s="173">
        <f t="shared" si="400"/>
        <v>24.500000000000004</v>
      </c>
      <c r="EE166" s="460">
        <f t="shared" si="401"/>
        <v>12.007744276010145</v>
      </c>
      <c r="EF166" s="5">
        <f t="shared" si="402"/>
        <v>3.5270429596333681</v>
      </c>
      <c r="EH166" s="173">
        <f t="shared" si="403"/>
        <v>2.1473178157850543</v>
      </c>
      <c r="EI166" s="173">
        <f t="shared" si="404"/>
        <v>1.0629123590368104</v>
      </c>
      <c r="EK166" s="528">
        <f t="shared" si="405"/>
        <v>0.18443895207951586</v>
      </c>
      <c r="EL166" s="528">
        <f t="shared" si="406"/>
        <v>0.404452125</v>
      </c>
      <c r="EM166" s="528">
        <f t="shared" si="407"/>
        <v>2.506137823496225E-2</v>
      </c>
      <c r="EN166" s="528">
        <f t="shared" si="408"/>
        <v>1.4082431251464843E-2</v>
      </c>
      <c r="EO166">
        <f t="shared" si="409"/>
        <v>4.0499999999999998E-3</v>
      </c>
      <c r="EP166" s="460">
        <f t="shared" si="410"/>
        <v>29.111378234962253</v>
      </c>
      <c r="EQ166" s="460"/>
      <c r="ER166" s="460">
        <f t="shared" si="432"/>
        <v>632.08488656594284</v>
      </c>
      <c r="ES166" s="528">
        <f t="shared" si="411"/>
        <v>0.39200000000000002</v>
      </c>
      <c r="EV166" s="460">
        <f t="shared" si="412"/>
        <v>392</v>
      </c>
      <c r="EW166" s="528">
        <f t="shared" si="413"/>
        <v>0.13832921405963688</v>
      </c>
      <c r="EX166" s="528">
        <f t="shared" si="414"/>
        <v>3.3893480489795916E-2</v>
      </c>
      <c r="EY166" s="528">
        <f t="shared" si="415"/>
        <v>0.4057189371176097</v>
      </c>
      <c r="EZ166" s="528"/>
      <c r="FA166" s="528">
        <f t="shared" si="416"/>
        <v>0.53760000000000008</v>
      </c>
      <c r="FB166" s="460">
        <f t="shared" si="417"/>
        <v>1115.5416316670426</v>
      </c>
      <c r="FC166" s="173">
        <f t="shared" si="418"/>
        <v>2.1396265182329852</v>
      </c>
      <c r="FD166" s="5">
        <f t="shared" si="419"/>
        <v>13.440000000000001</v>
      </c>
      <c r="FE166" s="173">
        <f t="shared" si="420"/>
        <v>0.8626650956151638</v>
      </c>
      <c r="FF166" s="5">
        <f t="shared" si="421"/>
        <v>86.266509561516386</v>
      </c>
      <c r="FI166" s="562">
        <f t="shared" si="422"/>
        <v>-50</v>
      </c>
      <c r="FJ166">
        <f t="shared" si="423"/>
        <v>-50</v>
      </c>
      <c r="FL166">
        <f t="shared" si="476"/>
        <v>0.35514866917901466</v>
      </c>
    </row>
    <row r="167" spans="5:168">
      <c r="E167" s="170">
        <v>57</v>
      </c>
      <c r="F167" s="217">
        <f t="shared" si="477"/>
        <v>0.56999999999999995</v>
      </c>
      <c r="G167" s="217"/>
      <c r="H167" s="217">
        <f t="shared" si="442"/>
        <v>13.68</v>
      </c>
      <c r="I167" s="541">
        <f t="shared" si="443"/>
        <v>8.8285924121336024</v>
      </c>
      <c r="J167" s="172">
        <f t="shared" si="444"/>
        <v>16.374181721582126</v>
      </c>
      <c r="K167" s="172">
        <f t="shared" si="445"/>
        <v>25.202774133715728</v>
      </c>
      <c r="L167" s="443"/>
      <c r="M167" s="217">
        <f t="shared" si="446"/>
        <v>0.64968972087886312</v>
      </c>
      <c r="N167" s="172">
        <f t="shared" si="447"/>
        <v>31.943243584113944</v>
      </c>
      <c r="O167" s="172">
        <f t="shared" si="438"/>
        <v>13.68</v>
      </c>
      <c r="P167" s="217">
        <f t="shared" si="448"/>
        <v>1.3309684826714143</v>
      </c>
      <c r="Q167" s="217">
        <f t="shared" si="449"/>
        <v>24</v>
      </c>
      <c r="R167" s="217"/>
      <c r="S167" s="172">
        <f t="shared" si="450"/>
        <v>72.902550701763474</v>
      </c>
      <c r="T167" s="172">
        <f t="shared" si="451"/>
        <v>24</v>
      </c>
      <c r="U167" s="217">
        <f t="shared" si="452"/>
        <v>4.8789474050669686</v>
      </c>
      <c r="V167" s="217">
        <f t="shared" si="453"/>
        <v>5.526302696182432</v>
      </c>
      <c r="W167" s="217">
        <f t="shared" si="454"/>
        <v>2.9796587628169728</v>
      </c>
      <c r="X167" s="197">
        <f t="shared" si="455"/>
        <v>258.11618626101853</v>
      </c>
      <c r="Y167" s="443">
        <f t="shared" si="328"/>
        <v>114.86382115398571</v>
      </c>
      <c r="AA167" s="217">
        <f t="shared" si="456"/>
        <v>2.2222222222222223</v>
      </c>
      <c r="AB167" s="173">
        <f t="shared" si="457"/>
        <v>1.3571500915329431</v>
      </c>
      <c r="AC167" s="173">
        <f t="shared" si="458"/>
        <v>0.25961300519494857</v>
      </c>
      <c r="AD167" s="173"/>
      <c r="AE167" s="173">
        <f t="shared" si="459"/>
        <v>1.3571500915329431</v>
      </c>
      <c r="AF167" s="545">
        <f t="shared" si="460"/>
        <v>566.71362075370803</v>
      </c>
      <c r="AG167" s="528">
        <f t="shared" si="461"/>
        <v>0.25961300519494862</v>
      </c>
      <c r="AI167" s="173">
        <f t="shared" si="462"/>
        <v>2.827712746322316</v>
      </c>
      <c r="AJ167" s="173">
        <f t="shared" si="463"/>
        <v>4.8789474050669686</v>
      </c>
      <c r="AK167" s="173">
        <f t="shared" si="464"/>
        <v>3.1679445798849972</v>
      </c>
      <c r="AM167" s="545">
        <f t="shared" si="465"/>
        <v>570</v>
      </c>
      <c r="AN167" s="460">
        <f t="shared" si="466"/>
        <v>114.86382115398571</v>
      </c>
      <c r="AP167">
        <f t="shared" si="467"/>
        <v>570</v>
      </c>
      <c r="AQ167">
        <f t="shared" si="468"/>
        <v>114.86382115398571</v>
      </c>
      <c r="AS167" s="5">
        <f t="shared" si="439"/>
        <v>8.7059614589994041</v>
      </c>
      <c r="AT167" s="5">
        <f t="shared" si="469"/>
        <v>5.526302696182432</v>
      </c>
      <c r="AU167" s="5">
        <f t="shared" si="343"/>
        <v>3.1796587628169721</v>
      </c>
      <c r="AV167" s="5"/>
      <c r="AW167" s="173">
        <f t="shared" si="344"/>
        <v>0.63477224453708792</v>
      </c>
      <c r="AX167" s="173">
        <f t="shared" si="435"/>
        <v>13.671165381052338</v>
      </c>
      <c r="AY167" s="173">
        <f t="shared" si="436"/>
        <v>0.59427265775969851</v>
      </c>
      <c r="AZ167" s="173">
        <f t="shared" si="440"/>
        <v>23.004870243551476</v>
      </c>
      <c r="BA167" s="460">
        <f t="shared" si="433"/>
        <v>13.124968903433276</v>
      </c>
      <c r="BB167" s="5">
        <f t="shared" si="434"/>
        <v>4.1057632070878904</v>
      </c>
      <c r="BD167" s="173">
        <f t="shared" si="441"/>
        <v>2.2442667415032682</v>
      </c>
      <c r="BE167" s="173">
        <f t="shared" si="437"/>
        <v>1.1354636358969399</v>
      </c>
      <c r="BG167" s="528">
        <f t="shared" si="347"/>
        <v>0.20146932828070788</v>
      </c>
      <c r="BH167" s="528">
        <f t="shared" si="470"/>
        <v>0.31779002536177758</v>
      </c>
      <c r="BI167" s="528">
        <f t="shared" si="471"/>
        <v>4.0563434394749978E-2</v>
      </c>
      <c r="BJ167" s="528">
        <f t="shared" si="350"/>
        <v>1.2767856799002681E-2</v>
      </c>
      <c r="BK167">
        <f t="shared" si="351"/>
        <v>3.9728665854601207E-3</v>
      </c>
      <c r="BL167" s="460">
        <f t="shared" si="427"/>
        <v>44.5363009802101</v>
      </c>
      <c r="BM167" s="528">
        <f t="shared" si="472"/>
        <v>0.61590684297108078</v>
      </c>
      <c r="BN167" s="460">
        <f t="shared" si="353"/>
        <v>615.90684297108078</v>
      </c>
      <c r="BO167" s="528">
        <f t="shared" si="354"/>
        <v>0.39899999999999997</v>
      </c>
      <c r="BR167" s="460">
        <f t="shared" si="355"/>
        <v>398.99999999999994</v>
      </c>
      <c r="BS167" s="528">
        <f t="shared" si="356"/>
        <v>0.15110199621053091</v>
      </c>
      <c r="BT167" s="528">
        <f t="shared" si="357"/>
        <v>3.8678330053328949E-2</v>
      </c>
      <c r="BU167" s="528">
        <f t="shared" si="358"/>
        <v>0.3717435953367581</v>
      </c>
      <c r="BV167" s="528"/>
      <c r="BW167" s="528">
        <f t="shared" si="359"/>
        <v>0.54684661524209355</v>
      </c>
      <c r="BX167" s="460">
        <f t="shared" si="360"/>
        <v>1108.3705368427115</v>
      </c>
      <c r="BY167" s="173">
        <f t="shared" si="361"/>
        <v>2.0839340482644095</v>
      </c>
      <c r="BZ167" s="5">
        <f t="shared" si="362"/>
        <v>13.68</v>
      </c>
      <c r="CA167" s="173">
        <f t="shared" si="363"/>
        <v>0.8678036813726806</v>
      </c>
      <c r="CB167" s="5">
        <f t="shared" si="364"/>
        <v>86.780368137268056</v>
      </c>
      <c r="CE167" s="562">
        <f t="shared" si="473"/>
        <v>-50</v>
      </c>
      <c r="CF167">
        <f t="shared" si="474"/>
        <v>-50</v>
      </c>
      <c r="CG167" s="173">
        <f t="shared" si="475"/>
        <v>0.34899324294586603</v>
      </c>
      <c r="CI167" s="170">
        <v>57</v>
      </c>
      <c r="CJ167" s="217">
        <f t="shared" si="428"/>
        <v>0.56999999999999995</v>
      </c>
      <c r="CK167" s="217"/>
      <c r="CL167" s="217">
        <f t="shared" si="368"/>
        <v>13.68</v>
      </c>
      <c r="CM167" s="541">
        <f t="shared" si="369"/>
        <v>9</v>
      </c>
      <c r="CN167" s="443">
        <f t="shared" si="370"/>
        <v>16.3415</v>
      </c>
      <c r="CO167" s="443">
        <f t="shared" si="371"/>
        <v>25.3415</v>
      </c>
      <c r="CP167" s="443"/>
      <c r="CQ167" s="217">
        <f t="shared" si="372"/>
        <v>0.64485133082098534</v>
      </c>
      <c r="CR167" s="172">
        <f t="shared" si="429"/>
        <v>32.320915977744015</v>
      </c>
      <c r="CS167" s="172">
        <f t="shared" si="373"/>
        <v>13.68</v>
      </c>
      <c r="CT167" s="217">
        <f t="shared" si="374"/>
        <v>1.3467048324060007</v>
      </c>
      <c r="CU167" s="217">
        <f t="shared" si="375"/>
        <v>24</v>
      </c>
      <c r="CV167" s="217"/>
      <c r="CW167" s="172">
        <f t="shared" si="376"/>
        <v>74.31622086099695</v>
      </c>
      <c r="CX167" s="172">
        <f t="shared" si="377"/>
        <v>24</v>
      </c>
      <c r="CY167" s="217">
        <f t="shared" si="378"/>
        <v>4.7142649083621446</v>
      </c>
      <c r="CZ167" s="217">
        <f t="shared" si="379"/>
        <v>5.238072120402383</v>
      </c>
      <c r="DA167" s="217">
        <f t="shared" si="380"/>
        <v>2.8848422166644099</v>
      </c>
      <c r="DB167" s="197">
        <f t="shared" si="381"/>
        <v>261.16478898249903</v>
      </c>
      <c r="DC167" s="443">
        <f t="shared" si="382"/>
        <v>123.1085246629725</v>
      </c>
      <c r="DE167" s="217">
        <f t="shared" si="383"/>
        <v>2.2222222222222223</v>
      </c>
      <c r="DF167" s="173">
        <f t="shared" si="384"/>
        <v>1.3598642855443031</v>
      </c>
      <c r="DG167" s="173">
        <f t="shared" si="385"/>
        <v>0.26320462482489204</v>
      </c>
      <c r="DH167" s="173"/>
      <c r="DI167" s="173">
        <f t="shared" si="386"/>
        <v>1.3598642855443031</v>
      </c>
      <c r="DJ167" s="545">
        <f t="shared" si="387"/>
        <v>565.58249999999975</v>
      </c>
      <c r="DK167" s="528">
        <f t="shared" si="388"/>
        <v>0.26320462482489204</v>
      </c>
      <c r="DM167" s="173">
        <f t="shared" si="389"/>
        <v>2.8248893783651066</v>
      </c>
      <c r="DN167" s="173">
        <f t="shared" si="390"/>
        <v>4.7142649083621446</v>
      </c>
      <c r="DO167" s="173">
        <f t="shared" si="391"/>
        <v>3.0459575452888314</v>
      </c>
      <c r="DQ167" s="545">
        <f t="shared" si="392"/>
        <v>570</v>
      </c>
      <c r="DR167" s="460">
        <f t="shared" si="393"/>
        <v>123.1085246629725</v>
      </c>
      <c r="DT167">
        <f t="shared" si="430"/>
        <v>570</v>
      </c>
      <c r="DU167">
        <f t="shared" si="431"/>
        <v>123.1085246629725</v>
      </c>
      <c r="DW167" s="5">
        <f t="shared" si="394"/>
        <v>8.122914337066792</v>
      </c>
      <c r="DX167" s="5">
        <f t="shared" si="395"/>
        <v>5.238072120402383</v>
      </c>
      <c r="DY167" s="5">
        <f t="shared" si="396"/>
        <v>2.884842216664409</v>
      </c>
      <c r="DZ167" s="5"/>
      <c r="EA167" s="173">
        <f t="shared" si="397"/>
        <v>0.64485133082098534</v>
      </c>
      <c r="EB167" s="173">
        <f t="shared" si="398"/>
        <v>13.68</v>
      </c>
      <c r="EC167" s="173">
        <f t="shared" si="399"/>
        <v>0.55836734693877543</v>
      </c>
      <c r="ED167" s="173">
        <f t="shared" si="400"/>
        <v>24.500000000000004</v>
      </c>
      <c r="EE167" s="460">
        <f t="shared" si="401"/>
        <v>12.440421285955658</v>
      </c>
      <c r="EF167" s="5">
        <f t="shared" si="402"/>
        <v>3.6541334744415841</v>
      </c>
      <c r="EH167" s="173">
        <f t="shared" si="403"/>
        <v>2.1856627767812151</v>
      </c>
      <c r="EI167" s="173">
        <f t="shared" si="404"/>
        <v>1.0818929368767534</v>
      </c>
      <c r="EK167" s="528">
        <f t="shared" si="405"/>
        <v>0.19108487095227886</v>
      </c>
      <c r="EL167" s="528">
        <f t="shared" si="406"/>
        <v>0.40445212500000005</v>
      </c>
      <c r="EM167" s="528">
        <f t="shared" si="407"/>
        <v>2.4621704932594499E-2</v>
      </c>
      <c r="EN167" s="528">
        <f t="shared" si="408"/>
        <v>1.3835371054070728E-2</v>
      </c>
      <c r="EO167">
        <f t="shared" si="409"/>
        <v>4.0499999999999998E-3</v>
      </c>
      <c r="EP167" s="460">
        <f t="shared" si="410"/>
        <v>28.671704932594501</v>
      </c>
      <c r="EQ167" s="460"/>
      <c r="ER167" s="460">
        <f t="shared" si="432"/>
        <v>638.04407193894417</v>
      </c>
      <c r="ES167" s="528">
        <f t="shared" si="411"/>
        <v>0.39899999999999997</v>
      </c>
      <c r="EV167" s="460">
        <f t="shared" si="412"/>
        <v>398.99999999999994</v>
      </c>
      <c r="EW167" s="528">
        <f t="shared" si="413"/>
        <v>0.14331365321420914</v>
      </c>
      <c r="EX167" s="528">
        <f t="shared" si="414"/>
        <v>3.5114769805914194E-2</v>
      </c>
      <c r="EY167" s="528">
        <f t="shared" si="415"/>
        <v>0.40571893711760987</v>
      </c>
      <c r="EZ167" s="528"/>
      <c r="FA167" s="528">
        <f t="shared" si="416"/>
        <v>0.54720000000000002</v>
      </c>
      <c r="FB167" s="460">
        <f t="shared" si="417"/>
        <v>1131.3473601377334</v>
      </c>
      <c r="FC167" s="173">
        <f t="shared" si="418"/>
        <v>2.1683914320766777</v>
      </c>
      <c r="FD167" s="5">
        <f t="shared" si="419"/>
        <v>13.68</v>
      </c>
      <c r="FE167" s="173">
        <f t="shared" si="420"/>
        <v>0.86317908404963306</v>
      </c>
      <c r="FF167" s="5">
        <f t="shared" si="421"/>
        <v>86.317908404963305</v>
      </c>
      <c r="FI167" s="562">
        <f t="shared" si="422"/>
        <v>-50</v>
      </c>
      <c r="FJ167">
        <f t="shared" si="423"/>
        <v>-50</v>
      </c>
      <c r="FL167">
        <f t="shared" si="476"/>
        <v>0.35514866917901466</v>
      </c>
    </row>
    <row r="168" spans="5:168">
      <c r="E168" s="170">
        <v>58</v>
      </c>
      <c r="F168" s="217">
        <f t="shared" si="477"/>
        <v>0.57999999999999996</v>
      </c>
      <c r="G168" s="217"/>
      <c r="H168" s="217">
        <f t="shared" si="442"/>
        <v>13.919999999999998</v>
      </c>
      <c r="I168" s="541">
        <f t="shared" si="443"/>
        <v>8.8256382844639472</v>
      </c>
      <c r="J168" s="172">
        <f t="shared" si="444"/>
        <v>16.374744975398482</v>
      </c>
      <c r="K168" s="172">
        <f t="shared" si="445"/>
        <v>25.200383259862427</v>
      </c>
      <c r="L168" s="443"/>
      <c r="M168" s="217">
        <f t="shared" si="446"/>
        <v>0.64977371515179183</v>
      </c>
      <c r="N168" s="172">
        <f t="shared" si="447"/>
        <v>31.936683440996458</v>
      </c>
      <c r="O168" s="172">
        <f t="shared" si="438"/>
        <v>13.919999999999998</v>
      </c>
      <c r="P168" s="217">
        <f t="shared" si="448"/>
        <v>1.3306951433748524</v>
      </c>
      <c r="Q168" s="217">
        <f t="shared" si="449"/>
        <v>24</v>
      </c>
      <c r="R168" s="217"/>
      <c r="S168" s="172">
        <f t="shared" si="450"/>
        <v>71.39694317078775</v>
      </c>
      <c r="T168" s="172">
        <f t="shared" si="451"/>
        <v>24</v>
      </c>
      <c r="U168" s="217">
        <f t="shared" si="452"/>
        <v>4.9657336128736489</v>
      </c>
      <c r="V168" s="217">
        <f t="shared" si="453"/>
        <v>5.6264866662561834</v>
      </c>
      <c r="W168" s="217">
        <f t="shared" si="454"/>
        <v>3.032556305661064</v>
      </c>
      <c r="X168" s="197">
        <f t="shared" si="455"/>
        <v>258.06317546179946</v>
      </c>
      <c r="Y168" s="443">
        <f t="shared" si="328"/>
        <v>112.87900997545144</v>
      </c>
      <c r="AA168" s="217">
        <f t="shared" si="456"/>
        <v>2.2222222222222223</v>
      </c>
      <c r="AB168" s="173">
        <f t="shared" si="457"/>
        <v>1.357103408670427</v>
      </c>
      <c r="AC168" s="173">
        <f t="shared" si="458"/>
        <v>0.25955075872522837</v>
      </c>
      <c r="AD168" s="173"/>
      <c r="AE168" s="173">
        <f t="shared" si="459"/>
        <v>1.357103408670427</v>
      </c>
      <c r="AF168" s="545">
        <f t="shared" si="460"/>
        <v>576.67580130751151</v>
      </c>
      <c r="AG168" s="528">
        <f t="shared" si="461"/>
        <v>0.25955075872522843</v>
      </c>
      <c r="AI168" s="173">
        <f t="shared" si="462"/>
        <v>2.8524584558646997</v>
      </c>
      <c r="AJ168" s="173">
        <f t="shared" si="463"/>
        <v>4.9657336128736489</v>
      </c>
      <c r="AK168" s="173">
        <f t="shared" si="464"/>
        <v>3.2322306597417976</v>
      </c>
      <c r="AM168" s="545">
        <f t="shared" si="465"/>
        <v>580</v>
      </c>
      <c r="AN168" s="460">
        <f t="shared" si="466"/>
        <v>112.87900997545144</v>
      </c>
      <c r="AP168">
        <f t="shared" si="467"/>
        <v>580</v>
      </c>
      <c r="AQ168">
        <f t="shared" si="468"/>
        <v>112.87900997545144</v>
      </c>
      <c r="AS168" s="5">
        <f t="shared" si="439"/>
        <v>8.8590429719172477</v>
      </c>
      <c r="AT168" s="5">
        <f t="shared" si="469"/>
        <v>5.6264866662561834</v>
      </c>
      <c r="AU168" s="5">
        <f t="shared" si="343"/>
        <v>3.2325563056610642</v>
      </c>
      <c r="AV168" s="5"/>
      <c r="AW168" s="173">
        <f t="shared" si="344"/>
        <v>0.63511224452707626</v>
      </c>
      <c r="AX168" s="173">
        <f t="shared" si="435"/>
        <v>13.917141158581975</v>
      </c>
      <c r="AY168" s="173">
        <f t="shared" si="436"/>
        <v>0.60428045332468572</v>
      </c>
      <c r="AZ168" s="173">
        <f t="shared" si="440"/>
        <v>23.030930558834676</v>
      </c>
      <c r="BA168" s="460">
        <f t="shared" si="433"/>
        <v>13.597342776785776</v>
      </c>
      <c r="BB168" s="5">
        <f t="shared" si="434"/>
        <v>4.2487185557645901</v>
      </c>
      <c r="BD168" s="173">
        <f t="shared" si="441"/>
        <v>2.2847991766041731</v>
      </c>
      <c r="BE168" s="173">
        <f t="shared" si="437"/>
        <v>1.1551231019643187</v>
      </c>
      <c r="BG168" s="528">
        <f t="shared" si="347"/>
        <v>0.20881229109644431</v>
      </c>
      <c r="BH168" s="528">
        <f t="shared" si="470"/>
        <v>0.31782369593062165</v>
      </c>
      <c r="BI168" s="528">
        <f t="shared" si="471"/>
        <v>3.9849172478069281E-2</v>
      </c>
      <c r="BJ168" s="528">
        <f t="shared" si="350"/>
        <v>1.2544851710279088E-2</v>
      </c>
      <c r="BK168">
        <f t="shared" si="351"/>
        <v>3.9715372280087757E-3</v>
      </c>
      <c r="BL168" s="460">
        <f t="shared" si="427"/>
        <v>43.820709706078055</v>
      </c>
      <c r="BM168" s="528">
        <f t="shared" si="472"/>
        <v>0.62665067902060101</v>
      </c>
      <c r="BN168" s="460">
        <f t="shared" si="353"/>
        <v>626.65067902060105</v>
      </c>
      <c r="BO168" s="528">
        <f t="shared" si="354"/>
        <v>0.40599999999999997</v>
      </c>
      <c r="BR168" s="460">
        <f t="shared" si="355"/>
        <v>406</v>
      </c>
      <c r="BS168" s="528">
        <f t="shared" si="356"/>
        <v>0.15660921832233321</v>
      </c>
      <c r="BT168" s="528">
        <f t="shared" si="357"/>
        <v>4.0029281420750087E-2</v>
      </c>
      <c r="BU168" s="528">
        <f t="shared" si="358"/>
        <v>0.37193027294477327</v>
      </c>
      <c r="BV168" s="528"/>
      <c r="BW168" s="528">
        <f t="shared" si="359"/>
        <v>0.55668564634327899</v>
      </c>
      <c r="BX168" s="460">
        <f t="shared" si="360"/>
        <v>1125.2544190311355</v>
      </c>
      <c r="BY168" s="173">
        <f t="shared" si="361"/>
        <v>2.1142559674745587</v>
      </c>
      <c r="BZ168" s="5">
        <f t="shared" si="362"/>
        <v>13.919999999999998</v>
      </c>
      <c r="CA168" s="173">
        <f t="shared" si="363"/>
        <v>0.86814131121747584</v>
      </c>
      <c r="CB168" s="5">
        <f t="shared" si="364"/>
        <v>86.814131121747579</v>
      </c>
      <c r="CE168" s="562">
        <f t="shared" si="473"/>
        <v>-50</v>
      </c>
      <c r="CF168">
        <f t="shared" si="474"/>
        <v>-50</v>
      </c>
      <c r="CG168" s="173">
        <f t="shared" si="475"/>
        <v>0.34909937098436872</v>
      </c>
      <c r="CI168" s="170">
        <v>58</v>
      </c>
      <c r="CJ168" s="217">
        <f t="shared" si="428"/>
        <v>0.57999999999999996</v>
      </c>
      <c r="CK168" s="217"/>
      <c r="CL168" s="217">
        <f t="shared" si="368"/>
        <v>13.919999999999998</v>
      </c>
      <c r="CM168" s="541">
        <f t="shared" si="369"/>
        <v>9</v>
      </c>
      <c r="CN168" s="443">
        <f t="shared" si="370"/>
        <v>16.3415</v>
      </c>
      <c r="CO168" s="443">
        <f t="shared" si="371"/>
        <v>25.3415</v>
      </c>
      <c r="CP168" s="443"/>
      <c r="CQ168" s="217">
        <f t="shared" si="372"/>
        <v>0.64485133082098534</v>
      </c>
      <c r="CR168" s="172">
        <f t="shared" si="429"/>
        <v>32.320915977744015</v>
      </c>
      <c r="CS168" s="172">
        <f t="shared" si="373"/>
        <v>13.919999999999998</v>
      </c>
      <c r="CT168" s="217">
        <f t="shared" si="374"/>
        <v>1.3467048324060007</v>
      </c>
      <c r="CU168" s="217">
        <f t="shared" si="375"/>
        <v>24</v>
      </c>
      <c r="CV168" s="217"/>
      <c r="CW168" s="172">
        <f t="shared" si="376"/>
        <v>72.805677341811247</v>
      </c>
      <c r="CX168" s="172">
        <f t="shared" si="377"/>
        <v>24</v>
      </c>
      <c r="CY168" s="217">
        <f t="shared" si="378"/>
        <v>4.7969713102632348</v>
      </c>
      <c r="CZ168" s="217">
        <f t="shared" si="379"/>
        <v>5.3299681225147051</v>
      </c>
      <c r="DA168" s="217">
        <f t="shared" si="380"/>
        <v>2.9354534836234345</v>
      </c>
      <c r="DB168" s="197">
        <f t="shared" si="381"/>
        <v>261.16478898249903</v>
      </c>
      <c r="DC168" s="443">
        <f t="shared" si="382"/>
        <v>120.98596389292122</v>
      </c>
      <c r="DE168" s="217">
        <f t="shared" si="383"/>
        <v>2.2222222222222223</v>
      </c>
      <c r="DF168" s="173">
        <f t="shared" si="384"/>
        <v>1.3598642855443031</v>
      </c>
      <c r="DG168" s="173">
        <f t="shared" si="385"/>
        <v>0.26320462482489204</v>
      </c>
      <c r="DH168" s="173"/>
      <c r="DI168" s="173">
        <f t="shared" si="386"/>
        <v>1.3598642855443031</v>
      </c>
      <c r="DJ168" s="545">
        <f t="shared" si="387"/>
        <v>575.50499999999977</v>
      </c>
      <c r="DK168" s="528">
        <f t="shared" si="388"/>
        <v>0.26320462482489204</v>
      </c>
      <c r="DM168" s="173">
        <f t="shared" si="389"/>
        <v>2.8495613697550009</v>
      </c>
      <c r="DN168" s="173">
        <f t="shared" si="390"/>
        <v>4.7969713102632348</v>
      </c>
      <c r="DO168" s="173">
        <f t="shared" si="391"/>
        <v>3.1072215466970463</v>
      </c>
      <c r="DQ168" s="545">
        <f t="shared" si="392"/>
        <v>580</v>
      </c>
      <c r="DR168" s="460">
        <f t="shared" si="393"/>
        <v>120.98596389292122</v>
      </c>
      <c r="DT168">
        <f t="shared" si="430"/>
        <v>580</v>
      </c>
      <c r="DU168">
        <f t="shared" si="431"/>
        <v>120.98596389292122</v>
      </c>
      <c r="DW168" s="5">
        <f t="shared" si="394"/>
        <v>8.2654216061381405</v>
      </c>
      <c r="DX168" s="5">
        <f t="shared" si="395"/>
        <v>5.3299681225147051</v>
      </c>
      <c r="DY168" s="5">
        <f t="shared" si="396"/>
        <v>2.9354534836234354</v>
      </c>
      <c r="DZ168" s="5"/>
      <c r="EA168" s="173">
        <f t="shared" si="397"/>
        <v>0.64485133082098522</v>
      </c>
      <c r="EB168" s="173">
        <f t="shared" si="398"/>
        <v>13.919999999999995</v>
      </c>
      <c r="EC168" s="173">
        <f t="shared" si="399"/>
        <v>0.56816326530612249</v>
      </c>
      <c r="ED168" s="173">
        <f t="shared" si="400"/>
        <v>24.499999999999989</v>
      </c>
      <c r="EE168" s="460">
        <f t="shared" si="401"/>
        <v>12.880756296077204</v>
      </c>
      <c r="EF168" s="5">
        <f t="shared" si="402"/>
        <v>3.7834733788924266</v>
      </c>
      <c r="EH168" s="173">
        <f t="shared" si="403"/>
        <v>2.2240077377773768</v>
      </c>
      <c r="EI168" s="173">
        <f t="shared" si="404"/>
        <v>1.1008735147166964</v>
      </c>
      <c r="EK168" s="528">
        <f t="shared" si="405"/>
        <v>0.19784841670774583</v>
      </c>
      <c r="EL168" s="528">
        <f t="shared" si="406"/>
        <v>0.404452125</v>
      </c>
      <c r="EM168" s="528">
        <f t="shared" si="407"/>
        <v>2.4197192778584242E-2</v>
      </c>
      <c r="EN168" s="528">
        <f t="shared" si="408"/>
        <v>1.3596830173828126E-2</v>
      </c>
      <c r="EO168">
        <f t="shared" si="409"/>
        <v>4.0499999999999998E-3</v>
      </c>
      <c r="EP168" s="460">
        <f t="shared" si="410"/>
        <v>28.247192778584242</v>
      </c>
      <c r="EQ168" s="460"/>
      <c r="ER168" s="460">
        <f t="shared" si="432"/>
        <v>644.14456466015827</v>
      </c>
      <c r="ES168" s="528">
        <f t="shared" si="411"/>
        <v>0.40599999999999997</v>
      </c>
      <c r="EV168" s="460">
        <f t="shared" si="412"/>
        <v>406</v>
      </c>
      <c r="EW168" s="528">
        <f t="shared" si="413"/>
        <v>0.14838631253080936</v>
      </c>
      <c r="EX168" s="528">
        <f t="shared" si="414"/>
        <v>3.6357674862140768E-2</v>
      </c>
      <c r="EY168" s="528">
        <f t="shared" si="415"/>
        <v>0.40571893711760859</v>
      </c>
      <c r="EZ168" s="528"/>
      <c r="FA168" s="528">
        <f t="shared" si="416"/>
        <v>0.55679999999999985</v>
      </c>
      <c r="FB168" s="460">
        <f t="shared" si="417"/>
        <v>1147.2629245105586</v>
      </c>
      <c r="FC168" s="173">
        <f t="shared" si="418"/>
        <v>2.1974074891707169</v>
      </c>
      <c r="FD168" s="5">
        <f t="shared" si="419"/>
        <v>13.919999999999998</v>
      </c>
      <c r="FE168" s="173">
        <f t="shared" si="420"/>
        <v>0.86366247235188687</v>
      </c>
      <c r="FF168" s="5">
        <f t="shared" si="421"/>
        <v>86.366247235188681</v>
      </c>
      <c r="FI168" s="562">
        <f t="shared" si="422"/>
        <v>-50</v>
      </c>
      <c r="FJ168">
        <f t="shared" si="423"/>
        <v>-50</v>
      </c>
      <c r="FL168">
        <f t="shared" si="476"/>
        <v>0.35514866917901478</v>
      </c>
    </row>
    <row r="169" spans="5:168">
      <c r="E169" s="170">
        <v>59</v>
      </c>
      <c r="F169" s="217">
        <f t="shared" si="477"/>
        <v>0.59</v>
      </c>
      <c r="G169" s="217"/>
      <c r="H169" s="217">
        <f t="shared" si="442"/>
        <v>14.16</v>
      </c>
      <c r="I169" s="541">
        <f t="shared" si="443"/>
        <v>8.822684125657732</v>
      </c>
      <c r="J169" s="172">
        <f t="shared" si="444"/>
        <v>16.37530823515154</v>
      </c>
      <c r="K169" s="172">
        <f t="shared" si="445"/>
        <v>25.197992360809273</v>
      </c>
      <c r="L169" s="443"/>
      <c r="M169" s="217">
        <f t="shared" si="446"/>
        <v>0.64985772616630455</v>
      </c>
      <c r="N169" s="172">
        <f t="shared" si="447"/>
        <v>31.930121244076787</v>
      </c>
      <c r="O169" s="172">
        <f t="shared" si="438"/>
        <v>14.16</v>
      </c>
      <c r="P169" s="217">
        <f t="shared" si="448"/>
        <v>1.3304217185031995</v>
      </c>
      <c r="Q169" s="217">
        <f t="shared" si="449"/>
        <v>24</v>
      </c>
      <c r="R169" s="217"/>
      <c r="S169" s="172">
        <f t="shared" si="450"/>
        <v>69.942597110220618</v>
      </c>
      <c r="T169" s="172">
        <f t="shared" si="451"/>
        <v>24</v>
      </c>
      <c r="U169" s="217">
        <f t="shared" si="452"/>
        <v>5.0525616998738192</v>
      </c>
      <c r="V169" s="217">
        <f t="shared" si="453"/>
        <v>5.7267852140146189</v>
      </c>
      <c r="W169" s="217">
        <f t="shared" si="454"/>
        <v>3.0854757830010775</v>
      </c>
      <c r="X169" s="197">
        <f t="shared" si="455"/>
        <v>258.01014810083348</v>
      </c>
      <c r="Y169" s="443">
        <f t="shared" si="328"/>
        <v>110.9599467138311</v>
      </c>
      <c r="AA169" s="217">
        <f t="shared" si="456"/>
        <v>2.2222222222222223</v>
      </c>
      <c r="AB169" s="173">
        <f t="shared" si="457"/>
        <v>1.3570567285273807</v>
      </c>
      <c r="AC169" s="173">
        <f t="shared" si="458"/>
        <v>0.25948849978691585</v>
      </c>
      <c r="AD169" s="173"/>
      <c r="AE169" s="173">
        <f t="shared" si="459"/>
        <v>1.3570567285273807</v>
      </c>
      <c r="AF169" s="545">
        <f t="shared" si="460"/>
        <v>586.63866608537614</v>
      </c>
      <c r="AG169" s="528">
        <f t="shared" si="461"/>
        <v>0.2594884997869159</v>
      </c>
      <c r="AI169" s="173">
        <f t="shared" si="462"/>
        <v>2.8769930071359862</v>
      </c>
      <c r="AJ169" s="173">
        <f t="shared" si="463"/>
        <v>5.0525616998738192</v>
      </c>
      <c r="AK169" s="173">
        <f t="shared" si="464"/>
        <v>3.2965477612234046</v>
      </c>
      <c r="AM169" s="545">
        <f t="shared" si="465"/>
        <v>590</v>
      </c>
      <c r="AN169" s="460">
        <f t="shared" si="466"/>
        <v>110.9599467138311</v>
      </c>
      <c r="AP169">
        <f t="shared" si="467"/>
        <v>590</v>
      </c>
      <c r="AQ169">
        <f t="shared" si="468"/>
        <v>110.9599467138311</v>
      </c>
      <c r="AS169" s="5">
        <f t="shared" si="439"/>
        <v>9.0122609970156962</v>
      </c>
      <c r="AT169" s="5">
        <f t="shared" si="469"/>
        <v>5.7267852140146189</v>
      </c>
      <c r="AU169" s="5">
        <f t="shared" si="343"/>
        <v>3.2854757830010772</v>
      </c>
      <c r="AV169" s="5"/>
      <c r="AW169" s="173">
        <f t="shared" si="344"/>
        <v>0.63544378218861797</v>
      </c>
      <c r="AX169" s="173">
        <f t="shared" si="435"/>
        <v>14.163138273228682</v>
      </c>
      <c r="AY169" s="173">
        <f t="shared" si="436"/>
        <v>0.61428791831880969</v>
      </c>
      <c r="AZ169" s="173">
        <f t="shared" si="440"/>
        <v>23.056188882878445</v>
      </c>
      <c r="BA169" s="460">
        <f t="shared" si="433"/>
        <v>14.078346984452603</v>
      </c>
      <c r="BB169" s="5">
        <f t="shared" si="434"/>
        <v>4.3941972405730327</v>
      </c>
      <c r="BD169" s="173">
        <f t="shared" si="441"/>
        <v>2.3253566156207892</v>
      </c>
      <c r="BE169" s="173">
        <f t="shared" si="437"/>
        <v>1.174786878562752</v>
      </c>
      <c r="BG169" s="528">
        <f t="shared" si="347"/>
        <v>0.21629133559245486</v>
      </c>
      <c r="BH169" s="528">
        <f t="shared" si="470"/>
        <v>0.31785300614986356</v>
      </c>
      <c r="BI169" s="528">
        <f t="shared" si="471"/>
        <v>3.9158582418237817E-2</v>
      </c>
      <c r="BJ169" s="528">
        <f t="shared" si="350"/>
        <v>1.2329236066786084E-2</v>
      </c>
      <c r="BK169">
        <f t="shared" si="351"/>
        <v>3.970207856545979E-3</v>
      </c>
      <c r="BL169" s="460">
        <f t="shared" si="427"/>
        <v>43.128790274783796</v>
      </c>
      <c r="BM169" s="528">
        <f t="shared" si="472"/>
        <v>0.63764114033921238</v>
      </c>
      <c r="BN169" s="460">
        <f t="shared" si="353"/>
        <v>637.64114033921237</v>
      </c>
      <c r="BO169" s="528">
        <f t="shared" si="354"/>
        <v>0.41299999999999998</v>
      </c>
      <c r="BR169" s="460">
        <f t="shared" si="355"/>
        <v>413</v>
      </c>
      <c r="BS169" s="528">
        <f t="shared" si="356"/>
        <v>0.16221850169434113</v>
      </c>
      <c r="BT169" s="528">
        <f t="shared" si="357"/>
        <v>4.1403726301296427E-2</v>
      </c>
      <c r="BU169" s="528">
        <f t="shared" si="358"/>
        <v>0.37210428158844455</v>
      </c>
      <c r="BV169" s="528"/>
      <c r="BW169" s="528">
        <f t="shared" si="359"/>
        <v>0.56652553092914726</v>
      </c>
      <c r="BX169" s="460">
        <f t="shared" si="360"/>
        <v>1142.2520405132293</v>
      </c>
      <c r="BY169" s="173">
        <f t="shared" si="361"/>
        <v>2.1448544085971175</v>
      </c>
      <c r="BZ169" s="5">
        <f t="shared" si="362"/>
        <v>14.16</v>
      </c>
      <c r="CA169" s="173">
        <f t="shared" si="363"/>
        <v>0.86845301682263465</v>
      </c>
      <c r="CB169" s="5">
        <f t="shared" si="364"/>
        <v>86.845301682263468</v>
      </c>
      <c r="CE169" s="562">
        <f t="shared" si="473"/>
        <v>-50</v>
      </c>
      <c r="CF169">
        <f t="shared" si="474"/>
        <v>-50</v>
      </c>
      <c r="CG169" s="173">
        <f t="shared" si="475"/>
        <v>0.34920190146224395</v>
      </c>
      <c r="CI169" s="170">
        <v>59</v>
      </c>
      <c r="CJ169" s="217">
        <f t="shared" si="428"/>
        <v>0.59</v>
      </c>
      <c r="CK169" s="217"/>
      <c r="CL169" s="217">
        <f t="shared" si="368"/>
        <v>14.16</v>
      </c>
      <c r="CM169" s="541">
        <f t="shared" si="369"/>
        <v>9</v>
      </c>
      <c r="CN169" s="443">
        <f t="shared" si="370"/>
        <v>16.3415</v>
      </c>
      <c r="CO169" s="443">
        <f t="shared" si="371"/>
        <v>25.3415</v>
      </c>
      <c r="CP169" s="443"/>
      <c r="CQ169" s="217">
        <f t="shared" si="372"/>
        <v>0.64485133082098534</v>
      </c>
      <c r="CR169" s="172">
        <f t="shared" si="429"/>
        <v>32.320915977744015</v>
      </c>
      <c r="CS169" s="172">
        <f t="shared" si="373"/>
        <v>14.16</v>
      </c>
      <c r="CT169" s="217">
        <f t="shared" si="374"/>
        <v>1.3467048324060007</v>
      </c>
      <c r="CU169" s="217">
        <f t="shared" si="375"/>
        <v>24</v>
      </c>
      <c r="CV169" s="217"/>
      <c r="CW169" s="172">
        <f t="shared" si="376"/>
        <v>71.346412797665394</v>
      </c>
      <c r="CX169" s="172">
        <f t="shared" si="377"/>
        <v>24</v>
      </c>
      <c r="CY169" s="217">
        <f t="shared" si="378"/>
        <v>4.8796777121643258</v>
      </c>
      <c r="CZ169" s="217">
        <f t="shared" si="379"/>
        <v>5.421864124627028</v>
      </c>
      <c r="DA169" s="217">
        <f t="shared" si="380"/>
        <v>2.9860647505824591</v>
      </c>
      <c r="DB169" s="197">
        <f t="shared" si="381"/>
        <v>261.16478898249903</v>
      </c>
      <c r="DC169" s="443">
        <f t="shared" si="382"/>
        <v>118.93535433541409</v>
      </c>
      <c r="DE169" s="217">
        <f t="shared" si="383"/>
        <v>2.2222222222222223</v>
      </c>
      <c r="DF169" s="173">
        <f t="shared" si="384"/>
        <v>1.3598642855443031</v>
      </c>
      <c r="DG169" s="173">
        <f t="shared" si="385"/>
        <v>0.26320462482489204</v>
      </c>
      <c r="DH169" s="173"/>
      <c r="DI169" s="173">
        <f t="shared" si="386"/>
        <v>1.3598642855443031</v>
      </c>
      <c r="DJ169" s="545">
        <f t="shared" si="387"/>
        <v>585.42749999999978</v>
      </c>
      <c r="DK169" s="528">
        <f t="shared" si="388"/>
        <v>0.26320462482489204</v>
      </c>
      <c r="DM169" s="173">
        <f t="shared" si="389"/>
        <v>2.8740215726399825</v>
      </c>
      <c r="DN169" s="173">
        <f t="shared" si="390"/>
        <v>4.8796777121643258</v>
      </c>
      <c r="DO169" s="173">
        <f t="shared" si="391"/>
        <v>3.1684855481052616</v>
      </c>
      <c r="DQ169" s="545">
        <f t="shared" si="392"/>
        <v>590</v>
      </c>
      <c r="DR169" s="460">
        <f t="shared" si="393"/>
        <v>118.93535433541409</v>
      </c>
      <c r="DT169">
        <f t="shared" si="430"/>
        <v>590</v>
      </c>
      <c r="DU169">
        <f t="shared" si="431"/>
        <v>118.93535433541409</v>
      </c>
      <c r="DW169" s="5">
        <f t="shared" si="394"/>
        <v>8.4079288752094872</v>
      </c>
      <c r="DX169" s="5">
        <f t="shared" si="395"/>
        <v>5.421864124627028</v>
      </c>
      <c r="DY169" s="5">
        <f t="shared" si="396"/>
        <v>2.9860647505824591</v>
      </c>
      <c r="DZ169" s="5"/>
      <c r="EA169" s="173">
        <f t="shared" si="397"/>
        <v>0.64485133082098534</v>
      </c>
      <c r="EB169" s="173">
        <f t="shared" si="398"/>
        <v>14.16</v>
      </c>
      <c r="EC169" s="173">
        <f t="shared" si="399"/>
        <v>0.57795918367346943</v>
      </c>
      <c r="ED169" s="173">
        <f t="shared" si="400"/>
        <v>24.5</v>
      </c>
      <c r="EE169" s="460">
        <f t="shared" si="401"/>
        <v>13.328749306374776</v>
      </c>
      <c r="EF169" s="5">
        <f t="shared" si="402"/>
        <v>3.9150626729858904</v>
      </c>
      <c r="EH169" s="173">
        <f t="shared" si="403"/>
        <v>2.262352698773539</v>
      </c>
      <c r="EI169" s="173">
        <f t="shared" si="404"/>
        <v>1.1198540925566394</v>
      </c>
      <c r="EK169" s="528">
        <f t="shared" si="405"/>
        <v>0.20472958934591659</v>
      </c>
      <c r="EL169" s="528">
        <f t="shared" si="406"/>
        <v>0.404452125</v>
      </c>
      <c r="EM169" s="528">
        <f t="shared" si="407"/>
        <v>2.3787070867082816E-2</v>
      </c>
      <c r="EN169" s="528">
        <f t="shared" si="408"/>
        <v>1.3366375425119174E-2</v>
      </c>
      <c r="EO169">
        <f t="shared" si="409"/>
        <v>4.0499999999999998E-3</v>
      </c>
      <c r="EP169" s="460">
        <f t="shared" si="410"/>
        <v>27.837070867082815</v>
      </c>
      <c r="EQ169" s="460"/>
      <c r="ER169" s="460">
        <f t="shared" si="432"/>
        <v>650.38516063811869</v>
      </c>
      <c r="ES169" s="528">
        <f t="shared" si="411"/>
        <v>0.41299999999999998</v>
      </c>
      <c r="EV169" s="460">
        <f t="shared" si="412"/>
        <v>413</v>
      </c>
      <c r="EW169" s="528">
        <f t="shared" si="413"/>
        <v>0.15354719200943745</v>
      </c>
      <c r="EX169" s="528">
        <f t="shared" si="414"/>
        <v>3.7622195658475625E-2</v>
      </c>
      <c r="EY169" s="528">
        <f t="shared" si="415"/>
        <v>0.40571893711760981</v>
      </c>
      <c r="EZ169" s="528"/>
      <c r="FA169" s="528">
        <f t="shared" si="416"/>
        <v>0.56640000000000001</v>
      </c>
      <c r="FB169" s="460">
        <f t="shared" si="417"/>
        <v>1163.2883247855229</v>
      </c>
      <c r="FC169" s="173">
        <f t="shared" si="418"/>
        <v>2.2266734854236416</v>
      </c>
      <c r="FD169" s="5">
        <f t="shared" si="419"/>
        <v>14.16</v>
      </c>
      <c r="FE169" s="173">
        <f t="shared" si="420"/>
        <v>0.86411680885664044</v>
      </c>
      <c r="FF169" s="5">
        <f t="shared" si="421"/>
        <v>86.41168088566404</v>
      </c>
      <c r="FI169" s="562">
        <f t="shared" si="422"/>
        <v>-50</v>
      </c>
      <c r="FJ169">
        <f t="shared" si="423"/>
        <v>-50</v>
      </c>
      <c r="FL169">
        <f t="shared" si="476"/>
        <v>0.35514866917901466</v>
      </c>
    </row>
    <row r="170" spans="5:168">
      <c r="E170" s="170">
        <v>60</v>
      </c>
      <c r="F170" s="217">
        <f t="shared" si="477"/>
        <v>0.6</v>
      </c>
      <c r="G170" s="217"/>
      <c r="H170" s="217">
        <f t="shared" si="442"/>
        <v>14.399999999999999</v>
      </c>
      <c r="I170" s="541">
        <f t="shared" si="443"/>
        <v>8.8197299372978488</v>
      </c>
      <c r="J170" s="172">
        <f t="shared" si="444"/>
        <v>16.3758715005395</v>
      </c>
      <c r="K170" s="172">
        <f t="shared" si="445"/>
        <v>25.195601437837347</v>
      </c>
      <c r="L170" s="443"/>
      <c r="M170" s="217">
        <f t="shared" si="446"/>
        <v>0.64994175388664566</v>
      </c>
      <c r="N170" s="172">
        <f t="shared" si="447"/>
        <v>31.923556996458085</v>
      </c>
      <c r="O170" s="172">
        <f t="shared" si="438"/>
        <v>14.399999999999999</v>
      </c>
      <c r="P170" s="217">
        <f t="shared" si="448"/>
        <v>1.3301482081857536</v>
      </c>
      <c r="Q170" s="217">
        <f t="shared" si="449"/>
        <v>24</v>
      </c>
      <c r="R170" s="217"/>
      <c r="S170" s="172">
        <f t="shared" si="450"/>
        <v>68.536950107938779</v>
      </c>
      <c r="T170" s="172">
        <f t="shared" si="451"/>
        <v>24</v>
      </c>
      <c r="U170" s="217">
        <f t="shared" si="452"/>
        <v>5.139431708152177</v>
      </c>
      <c r="V170" s="217">
        <f t="shared" si="453"/>
        <v>5.8271985023237285</v>
      </c>
      <c r="W170" s="217">
        <f t="shared" si="454"/>
        <v>3.1384172182731529</v>
      </c>
      <c r="X170" s="197">
        <f t="shared" si="455"/>
        <v>257.95710420148475</v>
      </c>
      <c r="Y170" s="443">
        <f t="shared" si="328"/>
        <v>109.10341765177979</v>
      </c>
      <c r="AA170" s="217">
        <f t="shared" si="456"/>
        <v>2.2222222222222223</v>
      </c>
      <c r="AB170" s="173">
        <f t="shared" si="457"/>
        <v>1.3570100511285839</v>
      </c>
      <c r="AC170" s="173">
        <f t="shared" si="458"/>
        <v>0.25942622840964374</v>
      </c>
      <c r="AD170" s="173"/>
      <c r="AE170" s="173">
        <f t="shared" si="459"/>
        <v>1.3570100511285839</v>
      </c>
      <c r="AF170" s="545">
        <f t="shared" si="460"/>
        <v>596.60221508712107</v>
      </c>
      <c r="AG170" s="528">
        <f t="shared" si="461"/>
        <v>0.25942622840964369</v>
      </c>
      <c r="AI170" s="173">
        <f t="shared" si="462"/>
        <v>2.9013217570164738</v>
      </c>
      <c r="AJ170" s="173">
        <f t="shared" si="463"/>
        <v>5.139431708152177</v>
      </c>
      <c r="AK170" s="173">
        <f t="shared" si="464"/>
        <v>3.3608959155036704</v>
      </c>
      <c r="AM170" s="545">
        <f t="shared" si="465"/>
        <v>600</v>
      </c>
      <c r="AN170" s="460">
        <f t="shared" si="466"/>
        <v>109.10341765177979</v>
      </c>
      <c r="AP170">
        <f t="shared" si="467"/>
        <v>600</v>
      </c>
      <c r="AQ170">
        <f t="shared" si="468"/>
        <v>109.10341765177979</v>
      </c>
      <c r="AS170" s="5">
        <f t="shared" si="439"/>
        <v>9.1656157205968789</v>
      </c>
      <c r="AT170" s="5">
        <f t="shared" si="469"/>
        <v>5.8271985023237285</v>
      </c>
      <c r="AU170" s="5">
        <f t="shared" ref="AU170:AU233" si="478">AS170-AT170</f>
        <v>3.3384172182731504</v>
      </c>
      <c r="AV170" s="5"/>
      <c r="AW170" s="173">
        <f t="shared" ref="AW170:AW233" si="479">AT170/AS170</f>
        <v>0.63576727193885152</v>
      </c>
      <c r="AX170" s="173">
        <f t="shared" si="435"/>
        <v>14.409156508385612</v>
      </c>
      <c r="AY170" s="173">
        <f t="shared" si="436"/>
        <v>0.62429506878670271</v>
      </c>
      <c r="AZ170" s="173">
        <f t="shared" si="440"/>
        <v>23.080682883479028</v>
      </c>
      <c r="BA170" s="460">
        <f t="shared" si="433"/>
        <v>14.567996255809321</v>
      </c>
      <c r="BB170" s="5">
        <f t="shared" si="434"/>
        <v>4.5422033218798887</v>
      </c>
      <c r="BD170" s="173">
        <f t="shared" si="441"/>
        <v>2.3659390697340856</v>
      </c>
      <c r="BE170" s="173">
        <f t="shared" si="437"/>
        <v>1.1944549910503224</v>
      </c>
      <c r="BG170" s="528">
        <f t="shared" ref="BG170:BG210" si="480">Rdson*BD170^2</f>
        <v>0.22390670726776762</v>
      </c>
      <c r="BH170" s="528">
        <f t="shared" si="470"/>
        <v>0.31787816878503672</v>
      </c>
      <c r="BI170" s="528">
        <f t="shared" si="471"/>
        <v>3.8490507156996513E-2</v>
      </c>
      <c r="BJ170" s="528">
        <f t="shared" ref="BJ170:BJ210" si="481">0.5*(Coss+Csw)*K170^2*AN170*1000</f>
        <v>1.2120648678065778E-2</v>
      </c>
      <c r="BK170">
        <f t="shared" ref="BK170:BK210" si="482">I170*IQ</f>
        <v>3.9688784717840314E-3</v>
      </c>
      <c r="BL170" s="460">
        <f t="shared" si="427"/>
        <v>42.459385628780545</v>
      </c>
      <c r="BM170" s="528">
        <f t="shared" si="472"/>
        <v>0.64888095405802693</v>
      </c>
      <c r="BN170" s="460">
        <f t="shared" si="353"/>
        <v>648.88095405802687</v>
      </c>
      <c r="BO170" s="528">
        <f t="shared" ref="BO170:BO210" si="483">Vfwd2*F170</f>
        <v>0.42</v>
      </c>
      <c r="BR170" s="460">
        <f t="shared" ref="BR170:BR210" si="484">SUM(BO170:BQ170)*1000</f>
        <v>420</v>
      </c>
      <c r="BS170" s="528">
        <f t="shared" ref="BS170:BS210" si="485">Rdcr_pri*BD170^2</f>
        <v>0.16793003045082572</v>
      </c>
      <c r="BT170" s="528">
        <f t="shared" ref="BT170:BT210" si="486">Rdcr_sec*BE170^2</f>
        <v>4.2801681769350772E-2</v>
      </c>
      <c r="BU170" s="528">
        <f t="shared" ref="BU170:BU210" si="487">AJ170^2.5*AN170^2.5*k_core</f>
        <v>0.37226622981232377</v>
      </c>
      <c r="BV170" s="528"/>
      <c r="BW170" s="528">
        <f t="shared" ref="BW170:BW210" si="488">0.5*Lleak*0.000000001*AJ170^2*AN170*1000</f>
        <v>0.57636626033542449</v>
      </c>
      <c r="BX170" s="460">
        <f t="shared" ref="BX170:BX210" si="489">SUM(BS170:BW170)*1000</f>
        <v>1159.3642023679247</v>
      </c>
      <c r="BY170" s="173">
        <f t="shared" ref="BY170:BY210" si="490">SUM(BG170:BK170,BO170:BQ170,BS170:BW170)</f>
        <v>2.1757291127275753</v>
      </c>
      <c r="BZ170" s="5">
        <f t="shared" ref="BZ170:BZ210" si="491">MIN(H170,O170)</f>
        <v>14.399999999999999</v>
      </c>
      <c r="CA170" s="173">
        <f t="shared" ref="CA170:CA210" si="492">BZ170/(BZ170+BY170)</f>
        <v>0.86874006579553997</v>
      </c>
      <c r="CB170" s="5">
        <f t="shared" ref="CB170:CB210" si="493">CA170*100</f>
        <v>86.874006579553992</v>
      </c>
      <c r="CE170" s="562">
        <f t="shared" si="473"/>
        <v>-50</v>
      </c>
      <c r="CF170">
        <f t="shared" si="474"/>
        <v>-50</v>
      </c>
      <c r="CG170" s="173">
        <f t="shared" si="475"/>
        <v>0.34930101425752347</v>
      </c>
      <c r="CI170" s="170">
        <v>60</v>
      </c>
      <c r="CJ170" s="217">
        <f t="shared" si="428"/>
        <v>0.6</v>
      </c>
      <c r="CK170" s="217"/>
      <c r="CL170" s="217">
        <f t="shared" si="368"/>
        <v>14.399999999999999</v>
      </c>
      <c r="CM170" s="541">
        <f t="shared" si="369"/>
        <v>9</v>
      </c>
      <c r="CN170" s="443">
        <f t="shared" si="370"/>
        <v>16.3415</v>
      </c>
      <c r="CO170" s="443">
        <f t="shared" si="371"/>
        <v>25.3415</v>
      </c>
      <c r="CP170" s="443"/>
      <c r="CQ170" s="217">
        <f t="shared" si="372"/>
        <v>0.64485133082098534</v>
      </c>
      <c r="CR170" s="172">
        <f t="shared" si="429"/>
        <v>32.320915977744015</v>
      </c>
      <c r="CS170" s="172">
        <f t="shared" si="373"/>
        <v>14.399999999999999</v>
      </c>
      <c r="CT170" s="217">
        <f t="shared" si="374"/>
        <v>1.3467048324060007</v>
      </c>
      <c r="CU170" s="217">
        <f t="shared" si="375"/>
        <v>24</v>
      </c>
      <c r="CV170" s="217"/>
      <c r="CW170" s="172">
        <f t="shared" si="376"/>
        <v>69.935863930148443</v>
      </c>
      <c r="CX170" s="172">
        <f t="shared" si="377"/>
        <v>24</v>
      </c>
      <c r="CY170" s="217">
        <f t="shared" si="378"/>
        <v>4.962384114065415</v>
      </c>
      <c r="CZ170" s="217">
        <f t="shared" si="379"/>
        <v>5.5137601267393501</v>
      </c>
      <c r="DA170" s="217">
        <f t="shared" si="380"/>
        <v>3.0366760175414833</v>
      </c>
      <c r="DB170" s="197">
        <f t="shared" si="381"/>
        <v>261.16478898249903</v>
      </c>
      <c r="DC170" s="443">
        <f t="shared" si="382"/>
        <v>116.95309842982387</v>
      </c>
      <c r="DE170" s="217">
        <f t="shared" si="383"/>
        <v>2.2222222222222223</v>
      </c>
      <c r="DF170" s="173">
        <f t="shared" si="384"/>
        <v>1.3598642855443031</v>
      </c>
      <c r="DG170" s="173">
        <f t="shared" si="385"/>
        <v>0.26320462482489204</v>
      </c>
      <c r="DH170" s="173"/>
      <c r="DI170" s="173">
        <f t="shared" si="386"/>
        <v>1.3598642855443031</v>
      </c>
      <c r="DJ170" s="545">
        <f t="shared" si="387"/>
        <v>595.3499999999998</v>
      </c>
      <c r="DK170" s="528">
        <f t="shared" si="388"/>
        <v>0.26320462482489204</v>
      </c>
      <c r="DM170" s="173">
        <f t="shared" si="389"/>
        <v>2.8982753492378874</v>
      </c>
      <c r="DN170" s="173">
        <f t="shared" si="390"/>
        <v>4.962384114065415</v>
      </c>
      <c r="DO170" s="173">
        <f t="shared" si="391"/>
        <v>3.2297495495134756</v>
      </c>
      <c r="DQ170" s="545">
        <f t="shared" si="392"/>
        <v>600</v>
      </c>
      <c r="DR170" s="460">
        <f t="shared" si="393"/>
        <v>116.95309842982387</v>
      </c>
      <c r="DT170">
        <f t="shared" si="430"/>
        <v>600</v>
      </c>
      <c r="DU170">
        <f t="shared" si="431"/>
        <v>116.95309842982387</v>
      </c>
      <c r="DW170" s="5">
        <f t="shared" si="394"/>
        <v>8.5504361442808339</v>
      </c>
      <c r="DX170" s="5">
        <f t="shared" si="395"/>
        <v>5.5137601267393501</v>
      </c>
      <c r="DY170" s="5">
        <f t="shared" si="396"/>
        <v>3.0366760175414838</v>
      </c>
      <c r="DZ170" s="5"/>
      <c r="EA170" s="173">
        <f t="shared" si="397"/>
        <v>0.64485133082098534</v>
      </c>
      <c r="EB170" s="173">
        <f t="shared" si="398"/>
        <v>14.399999999999997</v>
      </c>
      <c r="EC170" s="173">
        <f t="shared" si="399"/>
        <v>0.58775510204081616</v>
      </c>
      <c r="ED170" s="173">
        <f t="shared" si="400"/>
        <v>24.5</v>
      </c>
      <c r="EE170" s="460">
        <f t="shared" si="401"/>
        <v>13.784400316848377</v>
      </c>
      <c r="EF170" s="5">
        <f t="shared" si="402"/>
        <v>4.0489013567219772</v>
      </c>
      <c r="EH170" s="173">
        <f t="shared" si="403"/>
        <v>2.3006976597697002</v>
      </c>
      <c r="EI170" s="173">
        <f t="shared" si="404"/>
        <v>1.1388346703965821</v>
      </c>
      <c r="EK170" s="528">
        <f t="shared" si="405"/>
        <v>0.21172838886679102</v>
      </c>
      <c r="EL170" s="528">
        <f t="shared" si="406"/>
        <v>0.404452125</v>
      </c>
      <c r="EM170" s="528">
        <f t="shared" si="407"/>
        <v>2.3390619685964772E-2</v>
      </c>
      <c r="EN170" s="528">
        <f t="shared" si="408"/>
        <v>1.314360250136719E-2</v>
      </c>
      <c r="EO170">
        <f t="shared" si="409"/>
        <v>4.0499999999999998E-3</v>
      </c>
      <c r="EP170" s="460">
        <f t="shared" si="410"/>
        <v>27.440619685964769</v>
      </c>
      <c r="EQ170" s="460"/>
      <c r="ER170" s="460">
        <f t="shared" si="432"/>
        <v>656.76473605412298</v>
      </c>
      <c r="ES170" s="528">
        <f t="shared" si="411"/>
        <v>0.42</v>
      </c>
      <c r="EV170" s="460">
        <f t="shared" ref="EV170:EV210" si="494">SUM(ES170:EU170)*1000</f>
        <v>420</v>
      </c>
      <c r="EW170" s="528">
        <f t="shared" si="413"/>
        <v>0.15879629165009326</v>
      </c>
      <c r="EX170" s="528">
        <f t="shared" si="414"/>
        <v>3.8908332194918759E-2</v>
      </c>
      <c r="EY170" s="528">
        <f t="shared" si="415"/>
        <v>0.40571893711760992</v>
      </c>
      <c r="EZ170" s="528"/>
      <c r="FA170" s="528">
        <f t="shared" si="416"/>
        <v>0.57599999999999996</v>
      </c>
      <c r="FB170" s="460">
        <f t="shared" si="417"/>
        <v>1179.4235609626221</v>
      </c>
      <c r="FC170" s="173">
        <f t="shared" si="418"/>
        <v>2.2561882970167453</v>
      </c>
      <c r="FD170" s="5">
        <f t="shared" si="419"/>
        <v>14.399999999999999</v>
      </c>
      <c r="FE170" s="173">
        <f t="shared" si="420"/>
        <v>0.86454354040769055</v>
      </c>
      <c r="FF170" s="5">
        <f t="shared" si="421"/>
        <v>86.454354040769061</v>
      </c>
      <c r="FI170" s="562">
        <f t="shared" si="422"/>
        <v>-50</v>
      </c>
      <c r="FJ170">
        <f t="shared" si="423"/>
        <v>-50</v>
      </c>
      <c r="FL170">
        <f t="shared" si="476"/>
        <v>0.35514866917901466</v>
      </c>
    </row>
    <row r="171" spans="5:168">
      <c r="E171" s="170">
        <v>61</v>
      </c>
      <c r="F171" s="217">
        <f t="shared" si="477"/>
        <v>0.61</v>
      </c>
      <c r="G171" s="217"/>
      <c r="H171" s="217">
        <f t="shared" si="442"/>
        <v>14.64</v>
      </c>
      <c r="I171" s="541">
        <f t="shared" si="443"/>
        <v>8.8167757208616813</v>
      </c>
      <c r="J171" s="172">
        <f t="shared" si="444"/>
        <v>16.376434771280671</v>
      </c>
      <c r="K171" s="172">
        <f t="shared" si="445"/>
        <v>25.193210492142352</v>
      </c>
      <c r="L171" s="443"/>
      <c r="M171" s="217">
        <f t="shared" si="446"/>
        <v>0.65002579827974694</v>
      </c>
      <c r="N171" s="172">
        <f t="shared" si="447"/>
        <v>31.916990700998817</v>
      </c>
      <c r="O171" s="172">
        <f t="shared" si="438"/>
        <v>14.64</v>
      </c>
      <c r="P171" s="217">
        <f t="shared" si="448"/>
        <v>1.3298746125416174</v>
      </c>
      <c r="Q171" s="217">
        <f t="shared" si="449"/>
        <v>24</v>
      </c>
      <c r="R171" s="217"/>
      <c r="S171" s="172">
        <f t="shared" si="450"/>
        <v>67.177607784925797</v>
      </c>
      <c r="T171" s="172">
        <f t="shared" si="451"/>
        <v>24</v>
      </c>
      <c r="U171" s="217">
        <f t="shared" si="452"/>
        <v>5.2263436798504888</v>
      </c>
      <c r="V171" s="217">
        <f t="shared" si="453"/>
        <v>5.9277266943336837</v>
      </c>
      <c r="W171" s="217">
        <f t="shared" si="454"/>
        <v>3.1913806349449882</v>
      </c>
      <c r="X171" s="197">
        <f t="shared" si="455"/>
        <v>257.90404378525432</v>
      </c>
      <c r="Y171" s="443">
        <f t="shared" si="328"/>
        <v>107.30641516041035</v>
      </c>
      <c r="AA171" s="217">
        <f t="shared" si="456"/>
        <v>2.2222222222222219</v>
      </c>
      <c r="AB171" s="173">
        <f t="shared" si="457"/>
        <v>1.3569633764971418</v>
      </c>
      <c r="AC171" s="173">
        <f t="shared" si="458"/>
        <v>0.25936394462084367</v>
      </c>
      <c r="AD171" s="173"/>
      <c r="AE171" s="173">
        <f t="shared" si="459"/>
        <v>1.3569633764971423</v>
      </c>
      <c r="AF171" s="545">
        <f t="shared" si="460"/>
        <v>606.56644831257699</v>
      </c>
      <c r="AG171" s="528">
        <f t="shared" si="461"/>
        <v>0.25936394462084383</v>
      </c>
      <c r="AI171" s="173">
        <f t="shared" si="462"/>
        <v>2.9254498399929916</v>
      </c>
      <c r="AJ171" s="173">
        <f t="shared" si="463"/>
        <v>5.2263436798504888</v>
      </c>
      <c r="AK171" s="173">
        <f t="shared" si="464"/>
        <v>3.4252751537987161</v>
      </c>
      <c r="AM171" s="545">
        <f t="shared" si="465"/>
        <v>610</v>
      </c>
      <c r="AN171" s="460">
        <f t="shared" si="466"/>
        <v>107.30641516041035</v>
      </c>
      <c r="AP171">
        <f t="shared" si="467"/>
        <v>610</v>
      </c>
      <c r="AQ171">
        <f t="shared" si="468"/>
        <v>107.30641516041035</v>
      </c>
      <c r="AS171" s="5">
        <f t="shared" si="439"/>
        <v>9.3191073292786708</v>
      </c>
      <c r="AT171" s="5">
        <f t="shared" si="469"/>
        <v>5.9277266943336837</v>
      </c>
      <c r="AU171" s="5">
        <f t="shared" si="478"/>
        <v>3.3913806349449871</v>
      </c>
      <c r="AV171" s="5"/>
      <c r="AW171" s="173">
        <f t="shared" si="479"/>
        <v>0.63608310161961712</v>
      </c>
      <c r="AX171" s="173">
        <f t="shared" si="435"/>
        <v>14.65519566133562</v>
      </c>
      <c r="AY171" s="173">
        <f t="shared" si="436"/>
        <v>0.63430191974400907</v>
      </c>
      <c r="AZ171" s="173">
        <f t="shared" si="440"/>
        <v>23.104447905896532</v>
      </c>
      <c r="BA171" s="460">
        <f t="shared" si="433"/>
        <v>15.066305348098112</v>
      </c>
      <c r="BB171" s="5">
        <f t="shared" si="434"/>
        <v>4.6927408676655311</v>
      </c>
      <c r="BD171" s="173">
        <f t="shared" si="441"/>
        <v>2.4065465510059894</v>
      </c>
      <c r="BE171" s="173">
        <f t="shared" si="437"/>
        <v>1.214127463432223</v>
      </c>
      <c r="BG171" s="528">
        <f t="shared" si="480"/>
        <v>0.23165865208635292</v>
      </c>
      <c r="BH171" s="528">
        <f t="shared" si="470"/>
        <v>0.31789938295744602</v>
      </c>
      <c r="BI171" s="528">
        <f t="shared" si="471"/>
        <v>3.7843863835160398E-2</v>
      </c>
      <c r="BJ171" s="528">
        <f t="shared" si="481"/>
        <v>1.1918751515907353E-2</v>
      </c>
      <c r="BK171">
        <f t="shared" si="482"/>
        <v>3.9675490743877563E-3</v>
      </c>
      <c r="BL171" s="460">
        <f t="shared" si="427"/>
        <v>41.811412909548153</v>
      </c>
      <c r="BM171" s="528">
        <f t="shared" si="472"/>
        <v>0.66037293281214415</v>
      </c>
      <c r="BN171" s="460">
        <f t="shared" si="353"/>
        <v>660.3729328121442</v>
      </c>
      <c r="BO171" s="528">
        <f t="shared" si="483"/>
        <v>0.42699999999999999</v>
      </c>
      <c r="BR171" s="460">
        <f t="shared" si="484"/>
        <v>427</v>
      </c>
      <c r="BS171" s="528">
        <f t="shared" si="485"/>
        <v>0.17374398906476468</v>
      </c>
      <c r="BT171" s="528">
        <f t="shared" si="486"/>
        <v>4.4223164923810919E-2</v>
      </c>
      <c r="BU171" s="528">
        <f t="shared" si="487"/>
        <v>0.37241668781738291</v>
      </c>
      <c r="BV171" s="528"/>
      <c r="BW171" s="528">
        <f t="shared" si="488"/>
        <v>0.58620782645342484</v>
      </c>
      <c r="BX171" s="460">
        <f t="shared" si="489"/>
        <v>1176.5916682593834</v>
      </c>
      <c r="BY171" s="173">
        <f t="shared" si="490"/>
        <v>2.2068798677286381</v>
      </c>
      <c r="BZ171" s="5">
        <f t="shared" si="491"/>
        <v>14.64</v>
      </c>
      <c r="CA171" s="173">
        <f t="shared" si="492"/>
        <v>0.86900364429166088</v>
      </c>
      <c r="CB171" s="5">
        <f t="shared" si="493"/>
        <v>86.900364429166089</v>
      </c>
      <c r="CE171" s="562">
        <f t="shared" si="473"/>
        <v>-50</v>
      </c>
      <c r="CF171">
        <f t="shared" si="474"/>
        <v>-50</v>
      </c>
      <c r="CG171" s="173">
        <f t="shared" si="475"/>
        <v>0.349396877452958</v>
      </c>
      <c r="CI171" s="170">
        <v>61</v>
      </c>
      <c r="CJ171" s="217">
        <f t="shared" si="428"/>
        <v>0.61</v>
      </c>
      <c r="CK171" s="217"/>
      <c r="CL171" s="217">
        <f t="shared" si="368"/>
        <v>14.64</v>
      </c>
      <c r="CM171" s="541">
        <f t="shared" si="369"/>
        <v>9</v>
      </c>
      <c r="CN171" s="443">
        <f t="shared" si="370"/>
        <v>16.3415</v>
      </c>
      <c r="CO171" s="443">
        <f t="shared" si="371"/>
        <v>25.3415</v>
      </c>
      <c r="CP171" s="443"/>
      <c r="CQ171" s="217">
        <f t="shared" si="372"/>
        <v>0.64485133082098534</v>
      </c>
      <c r="CR171" s="172">
        <f t="shared" si="429"/>
        <v>32.320915977744015</v>
      </c>
      <c r="CS171" s="172">
        <f t="shared" si="373"/>
        <v>14.64</v>
      </c>
      <c r="CT171" s="217">
        <f t="shared" si="374"/>
        <v>1.3467048324060007</v>
      </c>
      <c r="CU171" s="217">
        <f t="shared" si="375"/>
        <v>24</v>
      </c>
      <c r="CV171" s="217"/>
      <c r="CW171" s="172">
        <f t="shared" si="376"/>
        <v>68.571635533168859</v>
      </c>
      <c r="CX171" s="172">
        <f t="shared" si="377"/>
        <v>24</v>
      </c>
      <c r="CY171" s="217">
        <f t="shared" si="378"/>
        <v>5.045090515966506</v>
      </c>
      <c r="CZ171" s="217">
        <f t="shared" si="379"/>
        <v>5.6056561288516731</v>
      </c>
      <c r="DA171" s="217">
        <f t="shared" si="380"/>
        <v>3.0872872845005084</v>
      </c>
      <c r="DB171" s="197">
        <f t="shared" si="381"/>
        <v>261.16478898249903</v>
      </c>
      <c r="DC171" s="443">
        <f t="shared" si="382"/>
        <v>115.0358345211382</v>
      </c>
      <c r="DE171" s="217">
        <f t="shared" si="383"/>
        <v>2.2222222222222223</v>
      </c>
      <c r="DF171" s="173">
        <f t="shared" si="384"/>
        <v>1.3598642855443031</v>
      </c>
      <c r="DG171" s="173">
        <f t="shared" si="385"/>
        <v>0.26320462482489204</v>
      </c>
      <c r="DH171" s="173"/>
      <c r="DI171" s="173">
        <f t="shared" si="386"/>
        <v>1.3598642855443031</v>
      </c>
      <c r="DJ171" s="545">
        <f t="shared" si="387"/>
        <v>605.27249999999981</v>
      </c>
      <c r="DK171" s="528">
        <f t="shared" si="388"/>
        <v>0.26320462482489204</v>
      </c>
      <c r="DM171" s="173">
        <f t="shared" si="389"/>
        <v>2.9223278392404914</v>
      </c>
      <c r="DN171" s="173">
        <f t="shared" si="390"/>
        <v>5.045090515966506</v>
      </c>
      <c r="DO171" s="173">
        <f t="shared" si="391"/>
        <v>3.2910135509216918</v>
      </c>
      <c r="DQ171" s="545">
        <f t="shared" si="392"/>
        <v>610</v>
      </c>
      <c r="DR171" s="460">
        <f t="shared" si="393"/>
        <v>115.0358345211382</v>
      </c>
      <c r="DT171">
        <f t="shared" si="430"/>
        <v>610</v>
      </c>
      <c r="DU171">
        <f t="shared" si="431"/>
        <v>115.0358345211382</v>
      </c>
      <c r="DW171" s="5">
        <f t="shared" si="394"/>
        <v>8.6929434133521841</v>
      </c>
      <c r="DX171" s="5">
        <f t="shared" si="395"/>
        <v>5.6056561288516731</v>
      </c>
      <c r="DY171" s="5">
        <f t="shared" si="396"/>
        <v>3.087287284500511</v>
      </c>
      <c r="DZ171" s="5"/>
      <c r="EA171" s="173">
        <f t="shared" si="397"/>
        <v>0.64485133082098511</v>
      </c>
      <c r="EB171" s="173">
        <f t="shared" si="398"/>
        <v>14.639999999999997</v>
      </c>
      <c r="EC171" s="173">
        <f t="shared" si="399"/>
        <v>0.59755102040816366</v>
      </c>
      <c r="ED171" s="173">
        <f t="shared" si="400"/>
        <v>24.499999999999979</v>
      </c>
      <c r="EE171" s="460">
        <f t="shared" si="401"/>
        <v>14.247709327498002</v>
      </c>
      <c r="EF171" s="5">
        <f t="shared" si="402"/>
        <v>4.1849894301006918</v>
      </c>
      <c r="EH171" s="173">
        <f t="shared" si="403"/>
        <v>2.3390426207658614</v>
      </c>
      <c r="EI171" s="173">
        <f t="shared" si="404"/>
        <v>1.1578152482365258</v>
      </c>
      <c r="EK171" s="528">
        <f t="shared" si="405"/>
        <v>0.2188448152703692</v>
      </c>
      <c r="EL171" s="528">
        <f t="shared" si="406"/>
        <v>0.40445212499999994</v>
      </c>
      <c r="EM171" s="528">
        <f t="shared" si="407"/>
        <v>2.300716690422764E-2</v>
      </c>
      <c r="EN171" s="528">
        <f t="shared" si="408"/>
        <v>1.292813360790215E-2</v>
      </c>
      <c r="EO171">
        <f t="shared" si="409"/>
        <v>4.0499999999999998E-3</v>
      </c>
      <c r="EP171" s="460">
        <f t="shared" si="410"/>
        <v>27.057166904227639</v>
      </c>
      <c r="EQ171" s="460"/>
      <c r="ER171" s="460">
        <f t="shared" si="432"/>
        <v>663.282240782499</v>
      </c>
      <c r="ES171" s="528">
        <f t="shared" si="411"/>
        <v>0.42699999999999999</v>
      </c>
      <c r="EV171" s="460">
        <f t="shared" si="494"/>
        <v>427</v>
      </c>
      <c r="EW171" s="528">
        <f t="shared" si="413"/>
        <v>0.16413361145277688</v>
      </c>
      <c r="EX171" s="528">
        <f t="shared" si="414"/>
        <v>4.0216084471470237E-2</v>
      </c>
      <c r="EY171" s="528">
        <f t="shared" si="415"/>
        <v>0.40571893711760992</v>
      </c>
      <c r="EZ171" s="528"/>
      <c r="FA171" s="528">
        <f t="shared" si="416"/>
        <v>0.5855999999999999</v>
      </c>
      <c r="FB171" s="460">
        <f t="shared" si="417"/>
        <v>1195.668633041857</v>
      </c>
      <c r="FC171" s="173">
        <f t="shared" si="418"/>
        <v>2.2859508738243561</v>
      </c>
      <c r="FD171" s="5">
        <f t="shared" si="419"/>
        <v>14.64</v>
      </c>
      <c r="FE171" s="173">
        <f t="shared" si="420"/>
        <v>0.86494402052415664</v>
      </c>
      <c r="FF171" s="5">
        <f t="shared" si="421"/>
        <v>86.494402052415666</v>
      </c>
      <c r="FI171" s="562">
        <f t="shared" si="422"/>
        <v>-50</v>
      </c>
      <c r="FJ171">
        <f t="shared" si="423"/>
        <v>-50</v>
      </c>
      <c r="FL171">
        <f t="shared" si="476"/>
        <v>0.35514866917901489</v>
      </c>
    </row>
    <row r="172" spans="5:168">
      <c r="E172" s="170">
        <v>62</v>
      </c>
      <c r="F172" s="217">
        <f t="shared" si="477"/>
        <v>0.62</v>
      </c>
      <c r="G172" s="217"/>
      <c r="H172" s="217">
        <f t="shared" si="442"/>
        <v>14.879999999999999</v>
      </c>
      <c r="I172" s="541">
        <f t="shared" si="443"/>
        <v>8.8138214777297588</v>
      </c>
      <c r="J172" s="172">
        <f t="shared" si="444"/>
        <v>16.376998047111837</v>
      </c>
      <c r="K172" s="172">
        <f t="shared" si="445"/>
        <v>25.190819524841594</v>
      </c>
      <c r="L172" s="443"/>
      <c r="M172" s="217">
        <f t="shared" si="446"/>
        <v>0.6501098593150082</v>
      </c>
      <c r="N172" s="172">
        <f t="shared" si="447"/>
        <v>31.910422360332849</v>
      </c>
      <c r="O172" s="172">
        <f t="shared" si="438"/>
        <v>14.879999999999999</v>
      </c>
      <c r="P172" s="217">
        <f t="shared" si="448"/>
        <v>1.3296009316805353</v>
      </c>
      <c r="Q172" s="217">
        <f t="shared" si="449"/>
        <v>24</v>
      </c>
      <c r="R172" s="217"/>
      <c r="S172" s="172">
        <f t="shared" si="450"/>
        <v>65.862330244380118</v>
      </c>
      <c r="T172" s="172">
        <f t="shared" si="451"/>
        <v>24</v>
      </c>
      <c r="U172" s="217">
        <f t="shared" si="452"/>
        <v>5.313297657167622</v>
      </c>
      <c r="V172" s="217">
        <f t="shared" si="453"/>
        <v>6.0283699534792579</v>
      </c>
      <c r="W172" s="217">
        <f t="shared" si="454"/>
        <v>3.2443660565158634</v>
      </c>
      <c r="X172" s="197">
        <f t="shared" si="455"/>
        <v>257.85096687193277</v>
      </c>
      <c r="Y172" s="443">
        <f t="shared" si="328"/>
        <v>105.56612143997826</v>
      </c>
      <c r="AA172" s="217">
        <f t="shared" si="456"/>
        <v>2.2222222222222223</v>
      </c>
      <c r="AB172" s="173">
        <f t="shared" si="457"/>
        <v>1.3569167046546253</v>
      </c>
      <c r="AC172" s="173">
        <f t="shared" si="458"/>
        <v>0.2593016484459274</v>
      </c>
      <c r="AD172" s="173"/>
      <c r="AE172" s="173">
        <f t="shared" si="459"/>
        <v>1.3569167046546253</v>
      </c>
      <c r="AF172" s="545">
        <f t="shared" si="460"/>
        <v>616.53136576158636</v>
      </c>
      <c r="AG172" s="528">
        <f t="shared" si="461"/>
        <v>0.25930164844592735</v>
      </c>
      <c r="AI172" s="173">
        <f t="shared" si="462"/>
        <v>2.9493821808712286</v>
      </c>
      <c r="AJ172" s="173">
        <f t="shared" si="463"/>
        <v>5.313297657167622</v>
      </c>
      <c r="AK172" s="173">
        <f t="shared" si="464"/>
        <v>3.4896855073669624</v>
      </c>
      <c r="AM172" s="545">
        <f t="shared" si="465"/>
        <v>620</v>
      </c>
      <c r="AN172" s="460">
        <f t="shared" si="466"/>
        <v>105.56612143997826</v>
      </c>
      <c r="AP172">
        <f t="shared" si="467"/>
        <v>620</v>
      </c>
      <c r="AQ172">
        <f t="shared" si="468"/>
        <v>105.56612143997826</v>
      </c>
      <c r="AS172" s="5">
        <f t="shared" si="439"/>
        <v>9.4727360099951206</v>
      </c>
      <c r="AT172" s="5">
        <f t="shared" si="469"/>
        <v>6.0283699534792579</v>
      </c>
      <c r="AU172" s="5">
        <f t="shared" si="478"/>
        <v>3.4443660565158627</v>
      </c>
      <c r="AV172" s="5"/>
      <c r="AW172" s="173">
        <f t="shared" si="479"/>
        <v>0.63639163459410741</v>
      </c>
      <c r="AX172" s="173">
        <f t="shared" si="435"/>
        <v>14.901255542155388</v>
      </c>
      <c r="AY172" s="173">
        <f t="shared" si="436"/>
        <v>0.64430848525856554</v>
      </c>
      <c r="AZ172" s="173">
        <f t="shared" si="440"/>
        <v>23.127517149142324</v>
      </c>
      <c r="BA172" s="460">
        <f t="shared" si="433"/>
        <v>15.573289046488084</v>
      </c>
      <c r="BB172" s="5">
        <f t="shared" si="434"/>
        <v>4.8458139535403726</v>
      </c>
      <c r="BD172" s="173">
        <f t="shared" si="441"/>
        <v>2.447179072312252</v>
      </c>
      <c r="BE172" s="173">
        <f t="shared" si="437"/>
        <v>1.2338043184665628</v>
      </c>
      <c r="BG172" s="528">
        <f t="shared" si="480"/>
        <v>0.23954741647852218</v>
      </c>
      <c r="BH172" s="528">
        <f t="shared" si="470"/>
        <v>0.31791683522063008</v>
      </c>
      <c r="BI172" s="528">
        <f t="shared" si="471"/>
        <v>3.721763793873234E-2</v>
      </c>
      <c r="BJ172" s="528">
        <f t="shared" si="481"/>
        <v>1.1723227886972094E-2</v>
      </c>
      <c r="BK172">
        <f t="shared" si="482"/>
        <v>3.9662196649783909E-3</v>
      </c>
      <c r="BL172" s="460">
        <f t="shared" si="427"/>
        <v>41.183857603710734</v>
      </c>
      <c r="BM172" s="528">
        <f t="shared" si="472"/>
        <v>0.6721199758956915</v>
      </c>
      <c r="BN172" s="460">
        <f t="shared" si="353"/>
        <v>672.11997589569148</v>
      </c>
      <c r="BO172" s="528">
        <f t="shared" si="483"/>
        <v>0.434</v>
      </c>
      <c r="BR172" s="460">
        <f t="shared" si="484"/>
        <v>434</v>
      </c>
      <c r="BS172" s="528">
        <f t="shared" si="485"/>
        <v>0.17966056235889161</v>
      </c>
      <c r="BT172" s="528">
        <f t="shared" si="486"/>
        <v>4.5668192888002182E-2</v>
      </c>
      <c r="BU172" s="528">
        <f t="shared" si="487"/>
        <v>0.37255619043360921</v>
      </c>
      <c r="BV172" s="528"/>
      <c r="BW172" s="528">
        <f t="shared" si="488"/>
        <v>0.59605022168621558</v>
      </c>
      <c r="BX172" s="460">
        <f t="shared" si="489"/>
        <v>1193.9351673667184</v>
      </c>
      <c r="BY172" s="173">
        <f t="shared" si="490"/>
        <v>2.2383065045565536</v>
      </c>
      <c r="BZ172" s="5">
        <f t="shared" si="491"/>
        <v>14.879999999999999</v>
      </c>
      <c r="CA172" s="173">
        <f t="shared" si="492"/>
        <v>0.86924486344716623</v>
      </c>
      <c r="CB172" s="5">
        <f t="shared" si="493"/>
        <v>86.924486344716627</v>
      </c>
      <c r="CE172" s="562">
        <f t="shared" si="473"/>
        <v>-50</v>
      </c>
      <c r="CF172">
        <f t="shared" si="474"/>
        <v>-50</v>
      </c>
      <c r="CG172" s="173">
        <f t="shared" si="475"/>
        <v>0.34948964828724888</v>
      </c>
      <c r="CI172" s="170">
        <v>62</v>
      </c>
      <c r="CJ172" s="217">
        <f t="shared" si="428"/>
        <v>0.62</v>
      </c>
      <c r="CK172" s="217"/>
      <c r="CL172" s="217">
        <f t="shared" si="368"/>
        <v>14.879999999999999</v>
      </c>
      <c r="CM172" s="541">
        <f t="shared" si="369"/>
        <v>9</v>
      </c>
      <c r="CN172" s="443">
        <f t="shared" si="370"/>
        <v>16.3415</v>
      </c>
      <c r="CO172" s="443">
        <f t="shared" si="371"/>
        <v>25.3415</v>
      </c>
      <c r="CP172" s="443"/>
      <c r="CQ172" s="217">
        <f t="shared" si="372"/>
        <v>0.64485133082098534</v>
      </c>
      <c r="CR172" s="172">
        <f t="shared" si="429"/>
        <v>32.320915977744015</v>
      </c>
      <c r="CS172" s="172">
        <f t="shared" si="373"/>
        <v>14.879999999999999</v>
      </c>
      <c r="CT172" s="217">
        <f t="shared" si="374"/>
        <v>1.3467048324060007</v>
      </c>
      <c r="CU172" s="217">
        <f t="shared" si="375"/>
        <v>24</v>
      </c>
      <c r="CV172" s="217"/>
      <c r="CW172" s="172">
        <f t="shared" si="376"/>
        <v>67.251486937214494</v>
      </c>
      <c r="CX172" s="172">
        <f t="shared" si="377"/>
        <v>24</v>
      </c>
      <c r="CY172" s="217">
        <f t="shared" si="378"/>
        <v>5.1277969178675962</v>
      </c>
      <c r="CZ172" s="217">
        <f t="shared" si="379"/>
        <v>5.6975521309639952</v>
      </c>
      <c r="DA172" s="217">
        <f t="shared" si="380"/>
        <v>3.137898551459533</v>
      </c>
      <c r="DB172" s="197">
        <f t="shared" si="381"/>
        <v>261.16478898249903</v>
      </c>
      <c r="DC172" s="443">
        <f t="shared" si="382"/>
        <v>113.18041783531343</v>
      </c>
      <c r="DE172" s="217">
        <f t="shared" si="383"/>
        <v>2.2222222222222223</v>
      </c>
      <c r="DF172" s="173">
        <f t="shared" si="384"/>
        <v>1.3598642855443031</v>
      </c>
      <c r="DG172" s="173">
        <f t="shared" si="385"/>
        <v>0.26320462482489204</v>
      </c>
      <c r="DH172" s="173"/>
      <c r="DI172" s="173">
        <f t="shared" si="386"/>
        <v>1.3598642855443031</v>
      </c>
      <c r="DJ172" s="545">
        <f t="shared" si="387"/>
        <v>615.19499999999982</v>
      </c>
      <c r="DK172" s="528">
        <f t="shared" si="388"/>
        <v>0.26320462482489204</v>
      </c>
      <c r="DM172" s="173">
        <f t="shared" si="389"/>
        <v>2.9461839725312466</v>
      </c>
      <c r="DN172" s="173">
        <f t="shared" si="390"/>
        <v>5.1277969178675962</v>
      </c>
      <c r="DO172" s="173">
        <f t="shared" si="391"/>
        <v>3.3522775523299062</v>
      </c>
      <c r="DQ172" s="545">
        <f t="shared" si="392"/>
        <v>620</v>
      </c>
      <c r="DR172" s="460">
        <f t="shared" si="393"/>
        <v>113.18041783531343</v>
      </c>
      <c r="DT172">
        <f t="shared" si="430"/>
        <v>620</v>
      </c>
      <c r="DU172">
        <f t="shared" si="431"/>
        <v>113.18041783531343</v>
      </c>
      <c r="DW172" s="5">
        <f t="shared" si="394"/>
        <v>8.8354506824235273</v>
      </c>
      <c r="DX172" s="5">
        <f t="shared" si="395"/>
        <v>5.6975521309639952</v>
      </c>
      <c r="DY172" s="5">
        <f t="shared" si="396"/>
        <v>3.1378985514595321</v>
      </c>
      <c r="DZ172" s="5"/>
      <c r="EA172" s="173">
        <f t="shared" si="397"/>
        <v>0.64485133082098545</v>
      </c>
      <c r="EB172" s="173">
        <f t="shared" si="398"/>
        <v>14.880000000000003</v>
      </c>
      <c r="EC172" s="173">
        <f t="shared" si="399"/>
        <v>0.60734693877550994</v>
      </c>
      <c r="ED172" s="173">
        <f t="shared" si="400"/>
        <v>24.500000000000014</v>
      </c>
      <c r="EE172" s="460">
        <f t="shared" si="401"/>
        <v>14.718676338323654</v>
      </c>
      <c r="EF172" s="5">
        <f t="shared" si="402"/>
        <v>4.3233268931220215</v>
      </c>
      <c r="EH172" s="173">
        <f t="shared" si="403"/>
        <v>2.3773875817620236</v>
      </c>
      <c r="EI172" s="173">
        <f t="shared" si="404"/>
        <v>1.1767958260764682</v>
      </c>
      <c r="EK172" s="528">
        <f t="shared" si="405"/>
        <v>0.2260788685566513</v>
      </c>
      <c r="EL172" s="528">
        <f t="shared" si="406"/>
        <v>0.40445212500000011</v>
      </c>
      <c r="EM172" s="528">
        <f t="shared" si="407"/>
        <v>2.2636083567062686E-2</v>
      </c>
      <c r="EN172" s="528">
        <f t="shared" si="408"/>
        <v>1.2719615323903734E-2</v>
      </c>
      <c r="EO172">
        <f t="shared" si="409"/>
        <v>4.0499999999999998E-3</v>
      </c>
      <c r="EP172" s="460">
        <f t="shared" si="410"/>
        <v>26.686083567062688</v>
      </c>
      <c r="EQ172" s="460"/>
      <c r="ER172" s="460">
        <f t="shared" si="432"/>
        <v>669.93669244761793</v>
      </c>
      <c r="ES172" s="528">
        <f t="shared" si="411"/>
        <v>0.434</v>
      </c>
      <c r="EV172" s="460">
        <f t="shared" si="494"/>
        <v>434</v>
      </c>
      <c r="EW172" s="528">
        <f t="shared" si="413"/>
        <v>0.16955915141748845</v>
      </c>
      <c r="EX172" s="528">
        <f t="shared" si="414"/>
        <v>4.1545452488129908E-2</v>
      </c>
      <c r="EY172" s="528">
        <f t="shared" si="415"/>
        <v>0.40571893711760948</v>
      </c>
      <c r="EZ172" s="528"/>
      <c r="FA172" s="528">
        <f t="shared" si="416"/>
        <v>0.59520000000000006</v>
      </c>
      <c r="FB172" s="460">
        <f t="shared" si="417"/>
        <v>1212.0235410232278</v>
      </c>
      <c r="FC172" s="173">
        <f t="shared" si="418"/>
        <v>2.3159602334708458</v>
      </c>
      <c r="FD172" s="5">
        <f t="shared" si="419"/>
        <v>14.879999999999999</v>
      </c>
      <c r="FE172" s="173">
        <f t="shared" si="420"/>
        <v>0.86531951679191621</v>
      </c>
      <c r="FF172" s="5">
        <f t="shared" si="421"/>
        <v>86.531951679191621</v>
      </c>
      <c r="FI172" s="562">
        <f t="shared" si="422"/>
        <v>-50</v>
      </c>
      <c r="FJ172">
        <f t="shared" si="423"/>
        <v>-50</v>
      </c>
      <c r="FL172">
        <f t="shared" si="476"/>
        <v>0.35514866917901455</v>
      </c>
    </row>
    <row r="173" spans="5:168">
      <c r="E173" s="170">
        <v>63</v>
      </c>
      <c r="F173" s="217">
        <f t="shared" si="477"/>
        <v>0.63</v>
      </c>
      <c r="G173" s="217"/>
      <c r="H173" s="217">
        <f t="shared" si="442"/>
        <v>15.120000000000001</v>
      </c>
      <c r="I173" s="541">
        <f t="shared" si="443"/>
        <v>8.8108672091935585</v>
      </c>
      <c r="J173" s="172">
        <f t="shared" si="444"/>
        <v>16.377561327786754</v>
      </c>
      <c r="K173" s="172">
        <f t="shared" si="445"/>
        <v>25.188428536980311</v>
      </c>
      <c r="L173" s="443"/>
      <c r="M173" s="217">
        <f t="shared" si="446"/>
        <v>0.65019393696409777</v>
      </c>
      <c r="N173" s="172">
        <f t="shared" si="447"/>
        <v>31.903851976887495</v>
      </c>
      <c r="O173" s="172">
        <f t="shared" si="438"/>
        <v>15.120000000000001</v>
      </c>
      <c r="P173" s="217">
        <f>N173/Vout</f>
        <v>1.3293271657036456</v>
      </c>
      <c r="Q173" s="217">
        <f t="shared" si="449"/>
        <v>24</v>
      </c>
      <c r="R173" s="217"/>
      <c r="S173" s="172">
        <f t="shared" si="450"/>
        <v>64.589019811378193</v>
      </c>
      <c r="T173" s="172">
        <f t="shared" si="451"/>
        <v>24</v>
      </c>
      <c r="U173" s="217">
        <f t="shared" si="452"/>
        <v>5.4002936823596031</v>
      </c>
      <c r="V173" s="217">
        <f t="shared" si="453"/>
        <v>6.1291284434802895</v>
      </c>
      <c r="W173" s="217">
        <f t="shared" si="454"/>
        <v>3.2973735065166707</v>
      </c>
      <c r="X173" s="197">
        <f t="shared" si="455"/>
        <v>257.79787347973809</v>
      </c>
      <c r="Y173" s="443">
        <f t="shared" si="328"/>
        <v>103.87989377598535</v>
      </c>
      <c r="AA173" s="217">
        <f t="shared" si="456"/>
        <v>2.2222222222222228</v>
      </c>
      <c r="AB173" s="173">
        <f t="shared" si="457"/>
        <v>1.3568700356211896</v>
      </c>
      <c r="AC173" s="173">
        <f t="shared" si="458"/>
        <v>0.25923933990844811</v>
      </c>
      <c r="AD173" s="173"/>
      <c r="AE173" s="173">
        <f t="shared" si="459"/>
        <v>1.3568700356211894</v>
      </c>
      <c r="AF173" s="545">
        <f t="shared" si="460"/>
        <v>626.49696743400136</v>
      </c>
      <c r="AG173" s="528">
        <f t="shared" si="461"/>
        <v>0.25923933990844805</v>
      </c>
      <c r="AI173" s="173">
        <f t="shared" si="462"/>
        <v>2.9731235065688391</v>
      </c>
      <c r="AJ173" s="173">
        <f t="shared" si="463"/>
        <v>5.4002936823596031</v>
      </c>
      <c r="AK173" s="173">
        <f t="shared" si="464"/>
        <v>3.5541270075091704</v>
      </c>
      <c r="AM173" s="545">
        <f t="shared" si="465"/>
        <v>630</v>
      </c>
      <c r="AN173" s="460">
        <f t="shared" si="466"/>
        <v>103.87989377598535</v>
      </c>
      <c r="AP173">
        <f t="shared" si="467"/>
        <v>630</v>
      </c>
      <c r="AQ173">
        <f t="shared" si="468"/>
        <v>103.87989377598535</v>
      </c>
      <c r="AS173" s="5">
        <f t="shared" si="439"/>
        <v>9.6265019499969586</v>
      </c>
      <c r="AT173" s="5">
        <f t="shared" si="469"/>
        <v>6.1291284434802895</v>
      </c>
      <c r="AU173" s="5">
        <f t="shared" si="478"/>
        <v>3.4973735065166691</v>
      </c>
      <c r="AV173" s="5"/>
      <c r="AW173" s="173">
        <f t="shared" si="479"/>
        <v>0.636693211648103</v>
      </c>
      <c r="AX173" s="173">
        <f t="shared" si="435"/>
        <v>15.147335972721772</v>
      </c>
      <c r="AY173" s="173">
        <f t="shared" si="436"/>
        <v>0.65431477852401809</v>
      </c>
      <c r="AZ173" s="173">
        <f t="shared" si="440"/>
        <v>23.149921826449706</v>
      </c>
      <c r="BA173" s="460">
        <f t="shared" si="433"/>
        <v>16.088962164135758</v>
      </c>
      <c r="BB173" s="5">
        <f t="shared" si="434"/>
        <v>5.0014266627613138</v>
      </c>
      <c r="BD173" s="173">
        <f t="shared" si="441"/>
        <v>2.487836647281612</v>
      </c>
      <c r="BE173" s="173">
        <f t="shared" si="437"/>
        <v>1.2534855777604299</v>
      </c>
      <c r="BG173" s="528">
        <f t="shared" si="480"/>
        <v>0.24757324734229649</v>
      </c>
      <c r="BH173" s="528">
        <f t="shared" si="470"/>
        <v>0.31793070053649569</v>
      </c>
      <c r="BI173" s="528">
        <f t="shared" si="471"/>
        <v>3.6610877990613577E-2</v>
      </c>
      <c r="BJ173" s="528">
        <f t="shared" si="481"/>
        <v>1.1533780775734821E-2</v>
      </c>
      <c r="BK173">
        <f t="shared" si="482"/>
        <v>3.9648902441371016E-3</v>
      </c>
      <c r="BL173" s="460">
        <f t="shared" si="427"/>
        <v>40.575768234750676</v>
      </c>
      <c r="BM173" s="528">
        <f t="shared" si="472"/>
        <v>0.68412507055346217</v>
      </c>
      <c r="BN173" s="460">
        <f t="shared" si="353"/>
        <v>684.12507055346214</v>
      </c>
      <c r="BO173" s="528">
        <f t="shared" si="483"/>
        <v>0.44099999999999995</v>
      </c>
      <c r="BR173" s="460">
        <f t="shared" si="484"/>
        <v>440.99999999999994</v>
      </c>
      <c r="BS173" s="528">
        <f t="shared" si="485"/>
        <v>0.18567993550672235</v>
      </c>
      <c r="BT173" s="528">
        <f t="shared" si="486"/>
        <v>4.7136782809601964E-2</v>
      </c>
      <c r="BU173" s="528">
        <f t="shared" si="487"/>
        <v>0.37268523982034546</v>
      </c>
      <c r="BV173" s="528"/>
      <c r="BW173" s="528">
        <f t="shared" si="488"/>
        <v>0.60589343890887082</v>
      </c>
      <c r="BX173" s="460">
        <f t="shared" si="489"/>
        <v>1211.3953970455404</v>
      </c>
      <c r="BY173" s="173">
        <f t="shared" si="490"/>
        <v>2.2700088939348184</v>
      </c>
      <c r="BZ173" s="5">
        <f t="shared" si="491"/>
        <v>15.120000000000001</v>
      </c>
      <c r="CA173" s="173">
        <f t="shared" si="492"/>
        <v>0.86946476521202132</v>
      </c>
      <c r="CB173" s="5">
        <f t="shared" si="493"/>
        <v>86.946476521202129</v>
      </c>
      <c r="CE173" s="562">
        <f t="shared" si="473"/>
        <v>-50</v>
      </c>
      <c r="CF173">
        <f t="shared" si="474"/>
        <v>-50</v>
      </c>
      <c r="CG173" s="173">
        <f t="shared" si="475"/>
        <v>0.34957947401568973</v>
      </c>
      <c r="CI173" s="170">
        <v>63</v>
      </c>
      <c r="CJ173" s="217">
        <f t="shared" si="428"/>
        <v>0.63</v>
      </c>
      <c r="CK173" s="217"/>
      <c r="CL173" s="217">
        <f t="shared" si="368"/>
        <v>15.120000000000001</v>
      </c>
      <c r="CM173" s="541">
        <f t="shared" si="369"/>
        <v>9</v>
      </c>
      <c r="CN173" s="443">
        <f t="shared" si="370"/>
        <v>16.3415</v>
      </c>
      <c r="CO173" s="443">
        <f t="shared" si="371"/>
        <v>25.3415</v>
      </c>
      <c r="CP173" s="443"/>
      <c r="CQ173" s="217">
        <f t="shared" si="372"/>
        <v>0.64485133082098534</v>
      </c>
      <c r="CR173" s="172">
        <f t="shared" si="429"/>
        <v>32.320915977744015</v>
      </c>
      <c r="CS173" s="172">
        <f t="shared" si="373"/>
        <v>15.120000000000001</v>
      </c>
      <c r="CT173" s="217">
        <f t="shared" si="374"/>
        <v>1.3467048324060007</v>
      </c>
      <c r="CU173" s="217">
        <f t="shared" si="375"/>
        <v>24</v>
      </c>
      <c r="CV173" s="217"/>
      <c r="CW173" s="172">
        <f t="shared" si="376"/>
        <v>65.973319744636711</v>
      </c>
      <c r="CX173" s="172">
        <f t="shared" si="377"/>
        <v>24</v>
      </c>
      <c r="CY173" s="217">
        <f t="shared" si="378"/>
        <v>5.2105033197686872</v>
      </c>
      <c r="CZ173" s="217">
        <f t="shared" si="379"/>
        <v>5.7894481330763199</v>
      </c>
      <c r="DA173" s="217">
        <f t="shared" si="380"/>
        <v>3.1885098184185585</v>
      </c>
      <c r="DB173" s="197">
        <f t="shared" si="381"/>
        <v>261.16478898249903</v>
      </c>
      <c r="DC173" s="443">
        <f t="shared" si="382"/>
        <v>111.38390326649888</v>
      </c>
      <c r="DE173" s="217">
        <f t="shared" si="383"/>
        <v>2.2222222222222223</v>
      </c>
      <c r="DF173" s="173">
        <f t="shared" si="384"/>
        <v>1.3598642855443031</v>
      </c>
      <c r="DG173" s="173">
        <f t="shared" si="385"/>
        <v>0.26320462482489204</v>
      </c>
      <c r="DH173" s="173"/>
      <c r="DI173" s="173">
        <f t="shared" si="386"/>
        <v>1.3598642855443031</v>
      </c>
      <c r="DJ173" s="545">
        <f t="shared" si="387"/>
        <v>625.11749999999972</v>
      </c>
      <c r="DK173" s="528">
        <f t="shared" si="388"/>
        <v>0.26320462482489204</v>
      </c>
      <c r="DM173" s="173">
        <f t="shared" si="389"/>
        <v>2.9698484809834995</v>
      </c>
      <c r="DN173" s="173">
        <f t="shared" si="390"/>
        <v>5.2105033197686872</v>
      </c>
      <c r="DO173" s="173">
        <f t="shared" si="391"/>
        <v>3.4135415537381224</v>
      </c>
      <c r="DQ173" s="545">
        <f t="shared" si="392"/>
        <v>630</v>
      </c>
      <c r="DR173" s="460">
        <f t="shared" si="393"/>
        <v>111.38390326649888</v>
      </c>
      <c r="DT173">
        <f t="shared" si="430"/>
        <v>630</v>
      </c>
      <c r="DU173">
        <f t="shared" si="431"/>
        <v>111.38390326649888</v>
      </c>
      <c r="DW173" s="5">
        <f t="shared" si="394"/>
        <v>8.9779579514948793</v>
      </c>
      <c r="DX173" s="5">
        <f t="shared" si="395"/>
        <v>5.7894481330763199</v>
      </c>
      <c r="DY173" s="5">
        <f t="shared" si="396"/>
        <v>3.1885098184185594</v>
      </c>
      <c r="DZ173" s="5"/>
      <c r="EA173" s="173">
        <f t="shared" si="397"/>
        <v>0.64485133082098534</v>
      </c>
      <c r="EB173" s="173">
        <f t="shared" si="398"/>
        <v>15.119999999999997</v>
      </c>
      <c r="EC173" s="173">
        <f t="shared" si="399"/>
        <v>0.61714285714285722</v>
      </c>
      <c r="ED173" s="173">
        <f t="shared" si="400"/>
        <v>24.499999999999993</v>
      </c>
      <c r="EE173" s="460">
        <f t="shared" si="401"/>
        <v>15.19730134932534</v>
      </c>
      <c r="EF173" s="5">
        <f t="shared" si="402"/>
        <v>4.463913745785983</v>
      </c>
      <c r="EH173" s="173">
        <f t="shared" si="403"/>
        <v>2.4157325427581857</v>
      </c>
      <c r="EI173" s="173">
        <f t="shared" si="404"/>
        <v>1.1957764039164116</v>
      </c>
      <c r="EK173" s="528">
        <f t="shared" si="405"/>
        <v>0.2334305487256372</v>
      </c>
      <c r="EL173" s="528">
        <f t="shared" si="406"/>
        <v>0.40445212499999994</v>
      </c>
      <c r="EM173" s="528">
        <f t="shared" si="407"/>
        <v>2.2276780653299775E-2</v>
      </c>
      <c r="EN173" s="528">
        <f t="shared" si="408"/>
        <v>1.2517716667968748E-2</v>
      </c>
      <c r="EO173">
        <f t="shared" si="409"/>
        <v>4.0499999999999998E-3</v>
      </c>
      <c r="EP173" s="460">
        <f t="shared" si="410"/>
        <v>26.326780653299778</v>
      </c>
      <c r="EQ173" s="460"/>
      <c r="ER173" s="460">
        <f t="shared" si="432"/>
        <v>676.7271710469056</v>
      </c>
      <c r="ES173" s="528">
        <f t="shared" si="411"/>
        <v>0.44099999999999995</v>
      </c>
      <c r="EV173" s="460">
        <f t="shared" si="494"/>
        <v>440.99999999999994</v>
      </c>
      <c r="EW173" s="528">
        <f t="shared" si="413"/>
        <v>0.17507291154422788</v>
      </c>
      <c r="EX173" s="528">
        <f t="shared" si="414"/>
        <v>4.2896436244897959E-2</v>
      </c>
      <c r="EY173" s="528">
        <f t="shared" si="415"/>
        <v>0.40571893711760915</v>
      </c>
      <c r="EZ173" s="528"/>
      <c r="FA173" s="528">
        <f t="shared" si="416"/>
        <v>0.6048</v>
      </c>
      <c r="FB173" s="460">
        <f t="shared" si="417"/>
        <v>1228.4882849067351</v>
      </c>
      <c r="FC173" s="173">
        <f t="shared" si="418"/>
        <v>2.3462154559536401</v>
      </c>
      <c r="FD173" s="5">
        <f t="shared" si="419"/>
        <v>15.120000000000001</v>
      </c>
      <c r="FE173" s="173">
        <f t="shared" si="420"/>
        <v>0.86567121756454146</v>
      </c>
      <c r="FF173" s="5">
        <f t="shared" si="421"/>
        <v>86.567121756454142</v>
      </c>
      <c r="FI173" s="562">
        <f t="shared" si="422"/>
        <v>-50</v>
      </c>
      <c r="FJ173">
        <f t="shared" si="423"/>
        <v>-50</v>
      </c>
      <c r="FL173">
        <f t="shared" si="476"/>
        <v>0.35514866917901466</v>
      </c>
    </row>
    <row r="174" spans="5:168">
      <c r="E174" s="170">
        <v>64</v>
      </c>
      <c r="F174" s="217">
        <f t="shared" si="477"/>
        <v>0.64</v>
      </c>
      <c r="G174" s="217"/>
      <c r="H174" s="217">
        <f t="shared" ref="H174:H205" si="495">F174*Vout</f>
        <v>15.36</v>
      </c>
      <c r="I174" s="541">
        <f t="shared" ref="I174:I210" si="496">VIN_min-F174*(Rdcr_pri+RON/1000)/CG174/Nps</f>
        <v>8.8079129164625769</v>
      </c>
      <c r="J174" s="172">
        <f t="shared" ref="J174:J210" si="497">(T174+Vfwd1+F174/CG174*Rdcr_sec)*Nps</f>
        <v>16.378124613074807</v>
      </c>
      <c r="K174" s="172">
        <f t="shared" ref="K174:K210" si="498">(Vout+Vfwd1+F174/CG174*Rdcr_sec)*Nps++I174</f>
        <v>25.186037529537384</v>
      </c>
      <c r="L174" s="443"/>
      <c r="M174" s="217">
        <f t="shared" ref="M174:M209" si="499">(Vout+Vfwd1+F174/FL174*Rdcr_sec)*Nps/((Vout+Vfwd1+F174/FL174*Rdcr_sec)*Nps+I174)</f>
        <v>0.65027803120077277</v>
      </c>
      <c r="N174" s="172">
        <f t="shared" ref="N174:N205" si="500">M174*I174*(Isw_max+VIN_min/Lmag*ILIM_delay)*0.5*Efficiency</f>
        <v>31.897279552899903</v>
      </c>
      <c r="O174" s="172">
        <f t="shared" si="438"/>
        <v>15.36</v>
      </c>
      <c r="P174" s="217">
        <f t="shared" ref="P174:P205" si="501">N174/Vout</f>
        <v>1.3290533147041625</v>
      </c>
      <c r="Q174" s="217">
        <f t="shared" ref="Q174:Q210" si="502">MIN(Vout,N174/F174)</f>
        <v>24</v>
      </c>
      <c r="R174" s="217"/>
      <c r="S174" s="172">
        <f t="shared" ref="S174:S210" si="503">(SQRT(Isw_max^2*Nps^2*I174^2+4*Isw_max*F174/Efficiency*(Nps^2*Vfwd1*I174-Nps*I174^2)+4*(F174/Efficiency)^2*Nps^2*Vfwd1^2+8*(F174/Efficiency)^2*Nps*Vfwd1*I174+4*(F174/Efficiency)^2*I174^2)-2*F174/Efficiency*I174-2*F174/Efficiency*Nps*Vfwd1+Isw_max*Nps*I174)/(4*F174/Efficiency*Nps)</f>
        <v>63.355709921938853</v>
      </c>
      <c r="T174" s="172">
        <f t="shared" ref="T174:T205" si="504">MIN(Vout, S174)</f>
        <v>24</v>
      </c>
      <c r="U174" s="217">
        <f t="shared" ref="U174:U209" si="505">MIN(2*(Vout+Vfwd1+F174/FL174*Rdcr_sec)*F174/(I174*M174), Isw_max)</f>
        <v>5.4873317977396674</v>
      </c>
      <c r="V174" s="217">
        <f t="shared" ref="V174:V205" si="506">L*U174/I174*1000000</f>
        <v>6.2300023283421417</v>
      </c>
      <c r="W174" s="217">
        <f t="shared" ref="W174:W210" si="507">L*U174/J174*1000000</f>
        <v>3.3504030085099492</v>
      </c>
      <c r="X174" s="197">
        <f t="shared" ref="X174:X210" si="508">IF(1/((350000*L)*(1/I174+1/J174))&gt;Isw_min, 350, 0.001/((Isw_min*L)*(1/I174+1/J174)))</f>
        <v>257.74476362544038</v>
      </c>
      <c r="Y174" s="443">
        <f t="shared" ref="Y174:Y209" si="509">MIN(1/(V174+W174+0.2)*1000, 350)</f>
        <v>102.24525114844153</v>
      </c>
      <c r="AA174" s="217">
        <f t="shared" ref="AA174:AA210" si="510">1/((X174*1000*L)*(1/I174+1/J174))</f>
        <v>2.2222222222222228</v>
      </c>
      <c r="AB174" s="173">
        <f t="shared" ref="AB174:AB205" si="511">L*AA174/J174*1000000</f>
        <v>1.3568233694156917</v>
      </c>
      <c r="AC174" s="173">
        <f t="shared" ref="AC174:AC205" si="512">0.5*AB174*AA174*Nps*X174/1000</f>
        <v>0.25917701903024959</v>
      </c>
      <c r="AD174" s="173"/>
      <c r="AE174" s="173">
        <f t="shared" ref="AE174:AE210" si="513">L*Isw_min/J174*1000000</f>
        <v>1.3568233694156915</v>
      </c>
      <c r="AF174" s="545">
        <f t="shared" ref="AF174:AF205" si="514">MAX(12000,F174/(0.5*AE174/1000000*Isw_min*Nps))/1000</f>
        <v>636.46325332968343</v>
      </c>
      <c r="AG174" s="528">
        <f t="shared" ref="AG174:AG210" si="515">0.5*AE174/1000000*Isw_min*Nps*X174*1000</f>
        <v>0.25917701903024948</v>
      </c>
      <c r="AI174" s="173">
        <f t="shared" ref="AI174:AI210" si="516">SQRT(F174/(0.5*L/J174*Fsw_DCM*Nps))</f>
        <v>2.9966783570692832</v>
      </c>
      <c r="AJ174" s="173">
        <f t="shared" ref="AJ174:AJ205" si="517">MAX(IF(F174&gt;AC174,U174,AI174),Isw_min)</f>
        <v>5.4873317977396674</v>
      </c>
      <c r="AK174" s="173">
        <f t="shared" ref="AK174:AK205" si="518">IF(F174&gt;AG174, (AJ174-Isw_min)/1.08*0.8+1.2, AF174*0.2/350+1)</f>
        <v>3.6185996855684781</v>
      </c>
      <c r="AM174" s="545">
        <f t="shared" ref="AM174:AM210" si="519">F174*1000</f>
        <v>640</v>
      </c>
      <c r="AN174" s="460">
        <f t="shared" ref="AN174:AN210" si="520">IF(F174&gt;AG174, Y174, AF174)</f>
        <v>102.24525114844153</v>
      </c>
      <c r="AP174">
        <f t="shared" ref="AP174:AP210" si="521">IF(H174&gt;N174, "",AM174)</f>
        <v>640</v>
      </c>
      <c r="AQ174">
        <f t="shared" ref="AQ174:AQ210" si="522">IF(H174&gt;N174, "",AN174)</f>
        <v>102.24525114844153</v>
      </c>
      <c r="AS174" s="5">
        <f t="shared" si="439"/>
        <v>9.7804053368520929</v>
      </c>
      <c r="AT174" s="5">
        <f t="shared" ref="AT174:AT210" si="523">L*AJ174/I174*1000000</f>
        <v>6.2300023283421417</v>
      </c>
      <c r="AU174" s="5">
        <f t="shared" si="478"/>
        <v>3.5504030085099512</v>
      </c>
      <c r="AV174" s="5"/>
      <c r="AW174" s="173">
        <f t="shared" si="479"/>
        <v>0.63698815271671771</v>
      </c>
      <c r="AX174" s="173">
        <f t="shared" si="435"/>
        <v>15.393436785809264</v>
      </c>
      <c r="AY174" s="173">
        <f t="shared" si="436"/>
        <v>0.66432081192668269</v>
      </c>
      <c r="AZ174" s="173">
        <f t="shared" si="440"/>
        <v>23.171691311558895</v>
      </c>
      <c r="BA174" s="460">
        <f t="shared" si="433"/>
        <v>16.613339542245711</v>
      </c>
      <c r="BB174" s="5">
        <f t="shared" si="434"/>
        <v>5.1595830862482002</v>
      </c>
      <c r="BD174" s="173">
        <f t="shared" si="441"/>
        <v>2.5285192902405589</v>
      </c>
      <c r="BE174" s="173">
        <f t="shared" si="437"/>
        <v>1.2731712618572415</v>
      </c>
      <c r="BG174" s="528">
        <f t="shared" si="480"/>
        <v>0.2557363920447448</v>
      </c>
      <c r="BH174" s="528">
        <f t="shared" ref="BH174:BH210" si="524">0.5*K174*AJ174*AN174*1000*Tfall</f>
        <v>0.31794114316186295</v>
      </c>
      <c r="BI174" s="528">
        <f t="shared" ref="BI174:BI210" si="525">Qg*Vdd*AN174*1000*0+Qg*I174*AN174*1000</f>
        <v>3.6022690729492726E-2</v>
      </c>
      <c r="BJ174" s="528">
        <f t="shared" si="481"/>
        <v>1.1350131339505467E-2</v>
      </c>
      <c r="BK174">
        <f t="shared" si="482"/>
        <v>3.9635608124081595E-3</v>
      </c>
      <c r="BL174" s="460">
        <f t="shared" si="427"/>
        <v>39.986251541900884</v>
      </c>
      <c r="BM174" s="528">
        <f t="shared" ref="BM174:BM210" si="526">(BH174+BI174*0+BJ174+BK174*0+BG174*(1+RdsonTC*(Ta-25)))/(1-BG174*RdsonTC*ThetaJA)</f>
        <v>0.69639129340418493</v>
      </c>
      <c r="BN174" s="460">
        <f t="shared" ref="BN174:BN210" si="527">BM174*1000</f>
        <v>696.39129340418492</v>
      </c>
      <c r="BO174" s="528">
        <f t="shared" si="483"/>
        <v>0.44799999999999995</v>
      </c>
      <c r="BR174" s="460">
        <f t="shared" si="484"/>
        <v>447.99999999999994</v>
      </c>
      <c r="BS174" s="528">
        <f t="shared" si="485"/>
        <v>0.19180229403355858</v>
      </c>
      <c r="BT174" s="528">
        <f t="shared" si="486"/>
        <v>4.8628951860574816E-2</v>
      </c>
      <c r="BU174" s="528">
        <f t="shared" si="487"/>
        <v>0.37280430792302005</v>
      </c>
      <c r="BV174" s="528"/>
      <c r="BW174" s="528">
        <f t="shared" si="488"/>
        <v>0.61573747143237068</v>
      </c>
      <c r="BX174" s="460">
        <f t="shared" si="489"/>
        <v>1228.9730252495242</v>
      </c>
      <c r="BY174" s="173">
        <f t="shared" si="490"/>
        <v>2.3019869433375382</v>
      </c>
      <c r="BZ174" s="5">
        <f t="shared" si="491"/>
        <v>15.36</v>
      </c>
      <c r="CA174" s="173">
        <f t="shared" si="492"/>
        <v>0.86966432764769452</v>
      </c>
      <c r="CB174" s="5">
        <f t="shared" si="493"/>
        <v>86.966432764769451</v>
      </c>
      <c r="CE174" s="562">
        <f t="shared" ref="CE174:CE210" si="528">IF(ABS(F174-Ioutmax_Vinmin)&lt;Iout/200, AN174, -50)</f>
        <v>-50</v>
      </c>
      <c r="CF174">
        <f t="shared" ref="CF174:CF210" si="529">IF(ABS(F174-Ioutmax_Vinmin)&lt;Iout/200, N174*CA174, -50)</f>
        <v>-50</v>
      </c>
      <c r="CG174" s="173">
        <f t="shared" ref="CG174:CG210" si="530">MIN(SQRT(2*DU174*1000*Ls1_*CL174)/CU174,1-EA174-0.00000005*DU174*1000)</f>
        <v>0.34966649269011657</v>
      </c>
      <c r="CI174" s="170">
        <v>64</v>
      </c>
      <c r="CJ174" s="217">
        <f t="shared" si="428"/>
        <v>0.64</v>
      </c>
      <c r="CK174" s="217"/>
      <c r="CL174" s="217">
        <f t="shared" ref="CL174:CL210" si="531">CJ174*Vout</f>
        <v>15.36</v>
      </c>
      <c r="CM174" s="541">
        <f t="shared" ref="CM174:CM212" si="532">VIN_min</f>
        <v>9</v>
      </c>
      <c r="CN174" s="443">
        <f t="shared" ref="CN174:CN210" si="533">(CX174+Vfwd1)*Nps</f>
        <v>16.3415</v>
      </c>
      <c r="CO174" s="443">
        <f t="shared" ref="CO174:CO210" si="534">(Vout+Vfwd1)*Nps+CM174</f>
        <v>25.3415</v>
      </c>
      <c r="CP174" s="443"/>
      <c r="CQ174" s="217">
        <f t="shared" ref="CQ174:CQ210" si="535">(Vout+Vfwd1)*Nps/((Vout+Vfwd1)*Nps+CM174)</f>
        <v>0.64485133082098534</v>
      </c>
      <c r="CR174" s="172">
        <f t="shared" si="429"/>
        <v>32.320915977744015</v>
      </c>
      <c r="CS174" s="172">
        <f t="shared" ref="CS174:CS210" si="536">CX174*CJ174</f>
        <v>15.36</v>
      </c>
      <c r="CT174" s="217">
        <f t="shared" ref="CT174:CT210" si="537">CR174/Vout</f>
        <v>1.3467048324060007</v>
      </c>
      <c r="CU174" s="217">
        <f t="shared" ref="CU174:CU210" si="538">MIN(Vout,CR174/CJ174)</f>
        <v>24</v>
      </c>
      <c r="CV174" s="217"/>
      <c r="CW174" s="172">
        <f t="shared" ref="CW174:CW210" si="539">(SQRT(Isw_max^2*Nps^2*CM174^2+4*Isw_max*CJ174/Efficiency*(Nps^2*Vfwd1*CM174-Nps*CM174^2)+4*(CJ174/Efficiency)^2*Nps^2*Vfwd1^2+8*(CJ174/Efficiency)^2*Nps*Vfwd1*CM174+4*(CJ174/Efficiency)^2*CM174^2)-2*CJ174/Efficiency*CM174-2*CJ174/Efficiency*Nps*Vfwd1+Isw_max*Nps*CM174)/(4*CJ174/Efficiency*Nps)</f>
        <v>64.735166714752921</v>
      </c>
      <c r="CX174" s="172">
        <f t="shared" ref="CX174:CX210" si="540">MIN(Vout, CW174)</f>
        <v>24</v>
      </c>
      <c r="CY174" s="217">
        <f t="shared" ref="CY174:CY210" si="541">MIN(2*Vout*CJ174/(Efficiency*CM174*CQ174), Isw_max)</f>
        <v>5.2932097216697764</v>
      </c>
      <c r="CZ174" s="217">
        <f t="shared" ref="CZ174:CZ210" si="542">L*CY174/CM174*1000000</f>
        <v>5.8813441351886402</v>
      </c>
      <c r="DA174" s="217">
        <f t="shared" ref="DA174:DA210" si="543">L*CY174/CN174*1000000</f>
        <v>3.2391210853775827</v>
      </c>
      <c r="DB174" s="197">
        <f t="shared" ref="DB174:DB210" si="544">IF(1/((350000*L)*(1/CM174+1/CN174))&gt;Isw_min, 350, 0.001/((Isw_min*L)*(1/CM174+1/CN174)))</f>
        <v>261.16478898249903</v>
      </c>
      <c r="DC174" s="443">
        <f t="shared" ref="DC174:DC210" si="545">MIN(1/(CZ174+DA174)*1000, 350)</f>
        <v>109.64352977795988</v>
      </c>
      <c r="DE174" s="217">
        <f t="shared" ref="DE174:DE210" si="546">1/((DB174*1000*L)*(1/CM174+1/CN174))</f>
        <v>2.2222222222222223</v>
      </c>
      <c r="DF174" s="173">
        <f t="shared" ref="DF174:DF210" si="547">L*DE174/CN174*1000000</f>
        <v>1.3598642855443031</v>
      </c>
      <c r="DG174" s="173">
        <f t="shared" ref="DG174:DG210" si="548">0.5*DF174*DE174*Nps*DB174/1000</f>
        <v>0.26320462482489204</v>
      </c>
      <c r="DH174" s="173"/>
      <c r="DI174" s="173">
        <f t="shared" ref="DI174:DI210" si="549">L*Isw_min/CN174*1000000</f>
        <v>1.3598642855443031</v>
      </c>
      <c r="DJ174" s="545">
        <f t="shared" ref="DJ174:DJ210" si="550">MAX(12000,CJ174/(0.5*DI174/1000000*Isw_min*Nps))/1000</f>
        <v>635.03999999999974</v>
      </c>
      <c r="DK174" s="528">
        <f t="shared" ref="DK174:DK210" si="551">0.5*DI174/1000000*Isw_min*Nps*DB174*1000</f>
        <v>0.26320462482489204</v>
      </c>
      <c r="DM174" s="173">
        <f t="shared" ref="DM174:DM210" si="552">SQRT(CJ174/(0.5*L/CN174*Fsw_DCM*Nps))</f>
        <v>2.9933259094191529</v>
      </c>
      <c r="DN174" s="173">
        <f t="shared" ref="DN174:DN210" si="553">MAX(IF(CJ174&gt;DG174,CY174,DM174),Isw_min)</f>
        <v>5.2932097216697764</v>
      </c>
      <c r="DO174" s="173">
        <f t="shared" ref="DO174:DO210" si="554">IF(CJ174&gt;DK174, (DN174-Isw_min)/1.08*0.8+1.2, DJ174*0.2/350+1)</f>
        <v>3.4748055551463359</v>
      </c>
      <c r="DQ174" s="545">
        <f t="shared" ref="DQ174:DQ210" si="555">CJ174*1000</f>
        <v>640</v>
      </c>
      <c r="DR174" s="460">
        <f t="shared" ref="DR174:DR210" si="556">IF(CJ174&gt;DK174, DC174, DJ174)</f>
        <v>109.64352977795988</v>
      </c>
      <c r="DT174">
        <f t="shared" si="430"/>
        <v>640</v>
      </c>
      <c r="DU174">
        <f t="shared" si="431"/>
        <v>109.64352977795988</v>
      </c>
      <c r="DW174" s="5">
        <f t="shared" ref="DW174:DW210" si="557">1/DR174*1000</f>
        <v>9.1204652205662207</v>
      </c>
      <c r="DX174" s="5">
        <f t="shared" ref="DX174:DX210" si="558">L*DN174/CM174*1000000</f>
        <v>5.8813441351886402</v>
      </c>
      <c r="DY174" s="5">
        <f t="shared" ref="DY174:DY210" si="559">DW174-DX174</f>
        <v>3.2391210853775805</v>
      </c>
      <c r="DZ174" s="5"/>
      <c r="EA174" s="173">
        <f t="shared" ref="EA174:EA210" si="560">DX174/DW174</f>
        <v>0.64485133082098545</v>
      </c>
      <c r="EB174" s="173">
        <f t="shared" ref="EB174:EB210" si="561">0.5*L*DN174^2*DR174*1000</f>
        <v>15.360000000000001</v>
      </c>
      <c r="EC174" s="173">
        <f t="shared" ref="EC174:EC210" si="562">DN174*Nps/2*(1-EA174)</f>
        <v>0.62693877551020383</v>
      </c>
      <c r="ED174" s="173">
        <f t="shared" ref="ED174:ED210" si="563">EB174/EC174</f>
        <v>24.500000000000011</v>
      </c>
      <c r="EE174" s="460">
        <f t="shared" ref="EE174:EE210" si="564">CJ174*DX174/Vout_ripple*1000</f>
        <v>15.683584360503041</v>
      </c>
      <c r="EF174" s="5">
        <f t="shared" ref="EF174:EF210" si="565">CL174/Efficiency/CM174*DY174/Vinripple1</f>
        <v>4.6067499880925578</v>
      </c>
      <c r="EH174" s="173">
        <f t="shared" ref="EH174:EH210" si="566">DN174*SQRT(EA174/3)</f>
        <v>2.454077503754347</v>
      </c>
      <c r="EI174" s="173">
        <f t="shared" ref="EI174:EI210" si="567">DN174*Nps*SQRT((1-EA174)/3)</f>
        <v>1.2147569817563542</v>
      </c>
      <c r="EK174" s="528">
        <f t="shared" ref="EK174:EK210" si="568">Rdson*EH174^2</f>
        <v>0.24089985577732667</v>
      </c>
      <c r="EL174" s="528">
        <f t="shared" ref="EL174:EL210" si="569">0.5*CO174*DN174*DR174*1000*Trise</f>
        <v>0.40445212500000005</v>
      </c>
      <c r="EM174" s="528">
        <f t="shared" ref="EM174:EM210" si="570">Qg*Vdd*DR174*1000</f>
        <v>2.1928705955591977E-2</v>
      </c>
      <c r="EN174" s="528">
        <f t="shared" ref="EN174:EN210" si="571">0.5*(Coss+Csw)*CO174^2*DR174*1000</f>
        <v>1.2322127345031741E-2</v>
      </c>
      <c r="EO174">
        <f t="shared" ref="EO174:EO210" si="572">CM174*IQ</f>
        <v>4.0499999999999998E-3</v>
      </c>
      <c r="EP174" s="460">
        <f t="shared" ref="EP174:EP210" si="573">(EO174+EM174)*1000</f>
        <v>25.978705955591977</v>
      </c>
      <c r="EQ174" s="460"/>
      <c r="ER174" s="460">
        <f t="shared" si="432"/>
        <v>683.65281407795044</v>
      </c>
      <c r="ES174" s="528">
        <f t="shared" ref="ES174:ES210" si="574">Vfwd2*CJ174</f>
        <v>0.44799999999999995</v>
      </c>
      <c r="EV174" s="460">
        <f t="shared" si="494"/>
        <v>447.99999999999994</v>
      </c>
      <c r="EW174" s="528">
        <f t="shared" ref="EW174:EW210" si="575">Rdcr_pri*EH174^2</f>
        <v>0.18067489183299498</v>
      </c>
      <c r="EX174" s="528">
        <f t="shared" ref="EX174:EX210" si="576">Rdcr_sec*EI174^2</f>
        <v>4.4269035741774217E-2</v>
      </c>
      <c r="EY174" s="528">
        <f t="shared" ref="EY174:EY210" si="577">DN174^2.5*DR174^2.5*k_core</f>
        <v>0.40571893711760981</v>
      </c>
      <c r="EZ174" s="528"/>
      <c r="FA174" s="528">
        <f t="shared" ref="FA174:FA210" si="578">0.5*Lleak*0.000000001*DN174^2*DR174*1000</f>
        <v>0.61440000000000006</v>
      </c>
      <c r="FB174" s="460">
        <f t="shared" ref="FB174:FB210" si="579">SUM(EW174:FA174)*1000</f>
        <v>1245.062864692379</v>
      </c>
      <c r="FC174" s="173">
        <f t="shared" ref="FC174:FC210" si="580">SUM(EK174:EO174,ES174:EU174,EW174:FA174)</f>
        <v>2.3767156787703296</v>
      </c>
      <c r="FD174" s="5">
        <f t="shared" ref="FD174:FD210" si="581">MIN(CL174,CS174)</f>
        <v>15.36</v>
      </c>
      <c r="FE174" s="173">
        <f t="shared" ref="FE174:FE210" si="582">FD174/(FD174+FC174)</f>
        <v>0.8660002380477293</v>
      </c>
      <c r="FF174" s="5">
        <f t="shared" ref="FF174:FF210" si="583">FE174*100</f>
        <v>86.600023804772931</v>
      </c>
      <c r="FI174" s="562">
        <f t="shared" ref="FI174:FI210" si="584">IF(ABS(CJ174-Ioutmax_Vinmin)&lt;Iout/200, DR174, -50)</f>
        <v>-50</v>
      </c>
      <c r="FJ174">
        <f t="shared" ref="FJ174:FJ210" si="585">IF(ABS(CJ174-Ioutmax_Vinmin)&lt;Iout/200, CR174*FE174, -50)</f>
        <v>-50</v>
      </c>
      <c r="FL174">
        <f t="shared" ref="FL174:FL210" si="586">MIN(SQRT(2*L*DR174*1000*CJ174*(CX174+Vfwd1))/(Nps*(CX174+Vfwd1)), 1-EA174)</f>
        <v>0.35514866917901455</v>
      </c>
    </row>
    <row r="175" spans="5:168">
      <c r="E175" s="170">
        <v>65</v>
      </c>
      <c r="F175" s="217">
        <f t="shared" ref="F175:F206" si="587">IF(PLOT_TYPE=1, E175/100*Iout_max, min_I*EXP(N175*rr/100))</f>
        <v>0.65</v>
      </c>
      <c r="G175" s="217"/>
      <c r="H175" s="217">
        <f t="shared" si="495"/>
        <v>15.600000000000001</v>
      </c>
      <c r="I175" s="541">
        <f t="shared" si="496"/>
        <v>8.8049586006707301</v>
      </c>
      <c r="J175" s="172">
        <f t="shared" si="497"/>
        <v>16.3786879027598</v>
      </c>
      <c r="K175" s="172">
        <f t="shared" si="498"/>
        <v>25.183646503430531</v>
      </c>
      <c r="L175" s="443"/>
      <c r="M175" s="217">
        <f t="shared" si="499"/>
        <v>0.65036214200071607</v>
      </c>
      <c r="N175" s="172">
        <f t="shared" si="500"/>
        <v>31.890705090431887</v>
      </c>
      <c r="O175" s="172">
        <f t="shared" si="438"/>
        <v>15.600000000000001</v>
      </c>
      <c r="P175" s="217">
        <f t="shared" si="501"/>
        <v>1.3287793787679953</v>
      </c>
      <c r="Q175" s="217">
        <f t="shared" si="502"/>
        <v>24</v>
      </c>
      <c r="R175" s="217"/>
      <c r="S175" s="172">
        <f t="shared" si="503"/>
        <v>62.160555037707944</v>
      </c>
      <c r="T175" s="172">
        <f t="shared" si="504"/>
        <v>24</v>
      </c>
      <c r="U175" s="217">
        <f t="shared" si="505"/>
        <v>5.5744120456783142</v>
      </c>
      <c r="V175" s="217">
        <f t="shared" si="506"/>
        <v>6.3309917723561764</v>
      </c>
      <c r="W175" s="217">
        <f t="shared" si="507"/>
        <v>3.4034545860899081</v>
      </c>
      <c r="X175" s="197">
        <f t="shared" si="508"/>
        <v>257.69163732447464</v>
      </c>
      <c r="Y175" s="443">
        <f t="shared" si="509"/>
        <v>100.65986205157958</v>
      </c>
      <c r="AA175" s="217">
        <f t="shared" si="510"/>
        <v>2.2222222222222223</v>
      </c>
      <c r="AB175" s="173">
        <f t="shared" si="511"/>
        <v>1.3567767060557883</v>
      </c>
      <c r="AC175" s="173">
        <f t="shared" si="512"/>
        <v>0.25911468583159791</v>
      </c>
      <c r="AD175" s="173"/>
      <c r="AE175" s="173">
        <f t="shared" si="513"/>
        <v>1.3567767060557883</v>
      </c>
      <c r="AF175" s="545">
        <f t="shared" si="514"/>
        <v>646.43022344850317</v>
      </c>
      <c r="AG175" s="528">
        <f t="shared" si="515"/>
        <v>0.25911468583159791</v>
      </c>
      <c r="AI175" s="173">
        <f t="shared" si="516"/>
        <v>3.0200510956082689</v>
      </c>
      <c r="AJ175" s="173">
        <f t="shared" si="517"/>
        <v>5.5744120456783142</v>
      </c>
      <c r="AK175" s="173">
        <f t="shared" si="518"/>
        <v>3.6831035729304382</v>
      </c>
      <c r="AM175" s="545">
        <f t="shared" si="519"/>
        <v>650</v>
      </c>
      <c r="AN175" s="460">
        <f t="shared" si="520"/>
        <v>100.65986205157958</v>
      </c>
      <c r="AP175">
        <f t="shared" si="521"/>
        <v>650</v>
      </c>
      <c r="AQ175">
        <f t="shared" si="522"/>
        <v>100.65986205157958</v>
      </c>
      <c r="AS175" s="5">
        <f t="shared" si="439"/>
        <v>9.9344463584460847</v>
      </c>
      <c r="AT175" s="5">
        <f t="shared" si="523"/>
        <v>6.3309917723561764</v>
      </c>
      <c r="AU175" s="5">
        <f t="shared" si="478"/>
        <v>3.6034545860899083</v>
      </c>
      <c r="AV175" s="5"/>
      <c r="AW175" s="173">
        <f t="shared" si="479"/>
        <v>0.63727675845505805</v>
      </c>
      <c r="AX175" s="173">
        <f t="shared" si="435"/>
        <v>15.639557824269131</v>
      </c>
      <c r="AY175" s="173">
        <f t="shared" si="436"/>
        <v>0.67432659710635567</v>
      </c>
      <c r="AZ175" s="173">
        <f t="shared" si="440"/>
        <v>23.192853272258574</v>
      </c>
      <c r="BA175" s="460">
        <f t="shared" si="433"/>
        <v>17.146436050131314</v>
      </c>
      <c r="BB175" s="5">
        <f t="shared" si="434"/>
        <v>5.320287322600282</v>
      </c>
      <c r="BD175" s="173">
        <f t="shared" si="441"/>
        <v>2.5692270161631177</v>
      </c>
      <c r="BE175" s="173">
        <f t="shared" si="437"/>
        <v>1.2928613903162847</v>
      </c>
      <c r="BG175" s="528">
        <f t="shared" si="480"/>
        <v>0.26403709842329748</v>
      </c>
      <c r="BH175" s="528">
        <f t="shared" si="524"/>
        <v>0.31794831745487306</v>
      </c>
      <c r="BI175" s="528">
        <f t="shared" si="525"/>
        <v>3.5452236724535395E-2</v>
      </c>
      <c r="BJ175" s="528">
        <f t="shared" si="481"/>
        <v>1.1172017539492396E-2</v>
      </c>
      <c r="BK175">
        <f t="shared" si="482"/>
        <v>3.9622313703018283E-3</v>
      </c>
      <c r="BL175" s="460">
        <f t="shared" ref="BL175:BL210" si="588">(BK175+BI175)*1000</f>
        <v>39.414468094837225</v>
      </c>
      <c r="BM175" s="528">
        <f t="shared" si="526"/>
        <v>0.70892181199149273</v>
      </c>
      <c r="BN175" s="460">
        <f t="shared" si="527"/>
        <v>708.92181199149275</v>
      </c>
      <c r="BO175" s="528">
        <f t="shared" si="483"/>
        <v>0.45499999999999996</v>
      </c>
      <c r="BR175" s="460">
        <f t="shared" si="484"/>
        <v>454.99999999999994</v>
      </c>
      <c r="BS175" s="528">
        <f t="shared" si="485"/>
        <v>0.19802782381747308</v>
      </c>
      <c r="BT175" s="528">
        <f t="shared" si="486"/>
        <v>5.01447172371167E-2</v>
      </c>
      <c r="BU175" s="528">
        <f t="shared" si="487"/>
        <v>0.37291383871152872</v>
      </c>
      <c r="BV175" s="528"/>
      <c r="BW175" s="528">
        <f t="shared" si="488"/>
        <v>0.62558231297076528</v>
      </c>
      <c r="BX175" s="460">
        <f t="shared" si="489"/>
        <v>1246.6686927368837</v>
      </c>
      <c r="BY175" s="173">
        <f t="shared" si="490"/>
        <v>2.3342405942493838</v>
      </c>
      <c r="BZ175" s="5">
        <f t="shared" si="491"/>
        <v>15.600000000000001</v>
      </c>
      <c r="CA175" s="173">
        <f t="shared" si="492"/>
        <v>0.86984446974588614</v>
      </c>
      <c r="CB175" s="5">
        <f t="shared" si="493"/>
        <v>86.984446974588607</v>
      </c>
      <c r="CE175" s="562">
        <f t="shared" si="528"/>
        <v>-50</v>
      </c>
      <c r="CF175">
        <f t="shared" si="529"/>
        <v>-50</v>
      </c>
      <c r="CG175" s="173">
        <f t="shared" si="530"/>
        <v>0.34975083386686895</v>
      </c>
      <c r="CI175" s="170">
        <v>65</v>
      </c>
      <c r="CJ175" s="217">
        <f t="shared" ref="CJ175:CJ210" si="589">IF(PLOT_TYPE=1, CI175/100*Iout_max, min_I*EXP(CR175*rr/100))</f>
        <v>0.65</v>
      </c>
      <c r="CK175" s="217"/>
      <c r="CL175" s="217">
        <f t="shared" si="531"/>
        <v>15.600000000000001</v>
      </c>
      <c r="CM175" s="541">
        <f t="shared" si="532"/>
        <v>9</v>
      </c>
      <c r="CN175" s="443">
        <f t="shared" si="533"/>
        <v>16.3415</v>
      </c>
      <c r="CO175" s="443">
        <f t="shared" si="534"/>
        <v>25.3415</v>
      </c>
      <c r="CP175" s="443"/>
      <c r="CQ175" s="217">
        <f t="shared" si="535"/>
        <v>0.64485133082098534</v>
      </c>
      <c r="CR175" s="172">
        <f t="shared" ref="CR175:CR210" si="590">CQ175*CM175*(Isw_max+VIN_min/Lmag*ILIM_delay)*0.5*Efficiency</f>
        <v>32.320915977744015</v>
      </c>
      <c r="CS175" s="172">
        <f t="shared" si="536"/>
        <v>15.600000000000001</v>
      </c>
      <c r="CT175" s="217">
        <f t="shared" si="537"/>
        <v>1.3467048324060007</v>
      </c>
      <c r="CU175" s="217">
        <f t="shared" si="538"/>
        <v>24</v>
      </c>
      <c r="CV175" s="217"/>
      <c r="CW175" s="172">
        <f t="shared" si="539"/>
        <v>63.53518167494083</v>
      </c>
      <c r="CX175" s="172">
        <f t="shared" si="540"/>
        <v>24</v>
      </c>
      <c r="CY175" s="217">
        <f t="shared" si="541"/>
        <v>5.3759161235708675</v>
      </c>
      <c r="CZ175" s="217">
        <f t="shared" si="542"/>
        <v>5.973240137300964</v>
      </c>
      <c r="DA175" s="217">
        <f t="shared" si="543"/>
        <v>3.2897323523366082</v>
      </c>
      <c r="DB175" s="197">
        <f t="shared" si="544"/>
        <v>261.16478898249903</v>
      </c>
      <c r="DC175" s="443">
        <f t="shared" si="545"/>
        <v>107.95670624291429</v>
      </c>
      <c r="DE175" s="217">
        <f t="shared" si="546"/>
        <v>2.2222222222222223</v>
      </c>
      <c r="DF175" s="173">
        <f t="shared" si="547"/>
        <v>1.3598642855443031</v>
      </c>
      <c r="DG175" s="173">
        <f t="shared" si="548"/>
        <v>0.26320462482489204</v>
      </c>
      <c r="DH175" s="173"/>
      <c r="DI175" s="173">
        <f t="shared" si="549"/>
        <v>1.3598642855443031</v>
      </c>
      <c r="DJ175" s="545">
        <f t="shared" si="550"/>
        <v>644.96249999999975</v>
      </c>
      <c r="DK175" s="528">
        <f t="shared" si="551"/>
        <v>0.26320462482489204</v>
      </c>
      <c r="DM175" s="173">
        <f t="shared" si="552"/>
        <v>3.0166206257996713</v>
      </c>
      <c r="DN175" s="173">
        <f t="shared" si="553"/>
        <v>5.3759161235708675</v>
      </c>
      <c r="DO175" s="173">
        <f t="shared" si="554"/>
        <v>3.5360695565545521</v>
      </c>
      <c r="DQ175" s="545">
        <f t="shared" si="555"/>
        <v>650</v>
      </c>
      <c r="DR175" s="460">
        <f t="shared" si="556"/>
        <v>107.95670624291429</v>
      </c>
      <c r="DT175">
        <f t="shared" ref="DT175:DT209" si="591">IF(CL175&gt;CR175, " ",DQ175)</f>
        <v>650</v>
      </c>
      <c r="DU175">
        <f t="shared" ref="DU175:DU209" si="592">IF(CL175&gt;CR175, " ",DR175)</f>
        <v>107.95670624291429</v>
      </c>
      <c r="DW175" s="5">
        <f t="shared" si="557"/>
        <v>9.2629724896375727</v>
      </c>
      <c r="DX175" s="5">
        <f t="shared" si="558"/>
        <v>5.973240137300964</v>
      </c>
      <c r="DY175" s="5">
        <f t="shared" si="559"/>
        <v>3.2897323523366087</v>
      </c>
      <c r="DZ175" s="5"/>
      <c r="EA175" s="173">
        <f t="shared" si="560"/>
        <v>0.64485133082098534</v>
      </c>
      <c r="EB175" s="173">
        <f t="shared" si="561"/>
        <v>15.6</v>
      </c>
      <c r="EC175" s="173">
        <f t="shared" si="562"/>
        <v>0.63673469387755099</v>
      </c>
      <c r="ED175" s="173">
        <f t="shared" si="563"/>
        <v>24.5</v>
      </c>
      <c r="EE175" s="460">
        <f t="shared" si="564"/>
        <v>16.177525371856781</v>
      </c>
      <c r="EF175" s="5">
        <f t="shared" si="565"/>
        <v>4.7518356200417671</v>
      </c>
      <c r="EH175" s="173">
        <f t="shared" si="566"/>
        <v>2.4924224647505091</v>
      </c>
      <c r="EI175" s="173">
        <f t="shared" si="567"/>
        <v>1.2337375595962976</v>
      </c>
      <c r="EK175" s="528">
        <f t="shared" si="568"/>
        <v>0.24848678971172011</v>
      </c>
      <c r="EL175" s="528">
        <f t="shared" si="569"/>
        <v>0.40445212499999994</v>
      </c>
      <c r="EM175" s="528">
        <f t="shared" si="570"/>
        <v>2.1591341248582859E-2</v>
      </c>
      <c r="EN175" s="528">
        <f t="shared" si="571"/>
        <v>1.2132556155108172E-2</v>
      </c>
      <c r="EO175">
        <f t="shared" si="572"/>
        <v>4.0499999999999998E-3</v>
      </c>
      <c r="EP175" s="460">
        <f t="shared" si="573"/>
        <v>25.641341248582862</v>
      </c>
      <c r="EQ175" s="460"/>
      <c r="ER175" s="460">
        <f t="shared" ref="ER175:ER210" si="593">SUM(EK175:EO175)*1000</f>
        <v>690.71281211541111</v>
      </c>
      <c r="ES175" s="528">
        <f t="shared" si="574"/>
        <v>0.45499999999999996</v>
      </c>
      <c r="EV175" s="460">
        <f t="shared" si="494"/>
        <v>454.99999999999994</v>
      </c>
      <c r="EW175" s="528">
        <f t="shared" si="575"/>
        <v>0.18636509228379006</v>
      </c>
      <c r="EX175" s="528">
        <f t="shared" si="576"/>
        <v>4.566325097875884E-2</v>
      </c>
      <c r="EY175" s="528">
        <f t="shared" si="577"/>
        <v>0.40571893711760915</v>
      </c>
      <c r="EZ175" s="528"/>
      <c r="FA175" s="528">
        <f t="shared" si="578"/>
        <v>0.62399999999999989</v>
      </c>
      <c r="FB175" s="460">
        <f t="shared" si="579"/>
        <v>1261.7472803801579</v>
      </c>
      <c r="FC175" s="173">
        <f t="shared" si="580"/>
        <v>2.4074600924955689</v>
      </c>
      <c r="FD175" s="5">
        <f t="shared" si="581"/>
        <v>15.600000000000001</v>
      </c>
      <c r="FE175" s="173">
        <f t="shared" si="582"/>
        <v>0.86630762583231524</v>
      </c>
      <c r="FF175" s="5">
        <f t="shared" si="583"/>
        <v>86.63076258323153</v>
      </c>
      <c r="FI175" s="562">
        <f t="shared" si="584"/>
        <v>-50</v>
      </c>
      <c r="FJ175">
        <f t="shared" si="585"/>
        <v>-50</v>
      </c>
      <c r="FL175">
        <f t="shared" si="586"/>
        <v>0.35514866917901466</v>
      </c>
    </row>
    <row r="176" spans="5:168">
      <c r="E176" s="170">
        <v>66</v>
      </c>
      <c r="F176" s="217">
        <f t="shared" si="587"/>
        <v>0.66</v>
      </c>
      <c r="G176" s="217"/>
      <c r="H176" s="217">
        <f t="shared" si="495"/>
        <v>15.84</v>
      </c>
      <c r="I176" s="541">
        <f t="shared" si="496"/>
        <v>8.8020042628821695</v>
      </c>
      <c r="J176" s="172">
        <f t="shared" si="497"/>
        <v>16.379251196638837</v>
      </c>
      <c r="K176" s="172">
        <f t="shared" si="498"/>
        <v>25.181255459521005</v>
      </c>
      <c r="L176" s="443"/>
      <c r="M176" s="217">
        <f t="shared" si="499"/>
        <v>0.65044626934138883</v>
      </c>
      <c r="N176" s="172">
        <f t="shared" si="500"/>
        <v>31.884128591383433</v>
      </c>
      <c r="O176" s="172">
        <f t="shared" si="438"/>
        <v>15.84</v>
      </c>
      <c r="P176" s="217">
        <f t="shared" si="501"/>
        <v>1.3285053579743098</v>
      </c>
      <c r="Q176" s="217">
        <f t="shared" si="502"/>
        <v>24</v>
      </c>
      <c r="R176" s="217"/>
      <c r="S176" s="172">
        <f t="shared" si="503"/>
        <v>61.001821477486175</v>
      </c>
      <c r="T176" s="536">
        <f t="shared" si="504"/>
        <v>24</v>
      </c>
      <c r="U176" s="217">
        <f t="shared" si="505"/>
        <v>5.6615344686033628</v>
      </c>
      <c r="V176" s="217">
        <f t="shared" si="506"/>
        <v>6.4320969401002355</v>
      </c>
      <c r="W176" s="217">
        <f t="shared" si="507"/>
        <v>3.4565282628824687</v>
      </c>
      <c r="X176" s="197">
        <f t="shared" si="508"/>
        <v>257.63849459104318</v>
      </c>
      <c r="Y176" s="443">
        <f t="shared" si="509"/>
        <v>99.12153339826223</v>
      </c>
      <c r="AA176" s="217">
        <f t="shared" si="510"/>
        <v>2.2222222222222228</v>
      </c>
      <c r="AB176" s="173">
        <f t="shared" si="511"/>
        <v>1.3567300455580302</v>
      </c>
      <c r="AC176" s="173">
        <f t="shared" si="512"/>
        <v>0.25905234033130398</v>
      </c>
      <c r="AD176" s="173"/>
      <c r="AE176" s="173">
        <f t="shared" si="513"/>
        <v>1.35673004555803</v>
      </c>
      <c r="AF176" s="545">
        <f t="shared" si="514"/>
        <v>656.39787779033884</v>
      </c>
      <c r="AG176" s="528">
        <f t="shared" si="515"/>
        <v>0.25905234033130398</v>
      </c>
      <c r="AI176" s="173">
        <f t="shared" si="516"/>
        <v>3.0432459181574871</v>
      </c>
      <c r="AJ176" s="173">
        <f t="shared" si="517"/>
        <v>5.6615344686033628</v>
      </c>
      <c r="AK176" s="173">
        <f t="shared" si="518"/>
        <v>3.7476387010230674</v>
      </c>
      <c r="AM176" s="545">
        <f t="shared" si="519"/>
        <v>660</v>
      </c>
      <c r="AN176" s="460">
        <f t="shared" si="520"/>
        <v>99.12153339826223</v>
      </c>
      <c r="AP176">
        <f t="shared" si="521"/>
        <v>660</v>
      </c>
      <c r="AQ176">
        <f t="shared" si="522"/>
        <v>99.12153339826223</v>
      </c>
      <c r="AS176" s="5">
        <f t="shared" si="439"/>
        <v>10.088625202982703</v>
      </c>
      <c r="AT176" s="5">
        <f t="shared" si="523"/>
        <v>6.4320969401002355</v>
      </c>
      <c r="AU176" s="5">
        <f t="shared" si="478"/>
        <v>3.6565282628824676</v>
      </c>
      <c r="AV176" s="5"/>
      <c r="AW176" s="173">
        <f t="shared" si="479"/>
        <v>0.6375593116690057</v>
      </c>
      <c r="AX176" s="173">
        <f t="shared" si="435"/>
        <v>15.885698940281527</v>
      </c>
      <c r="AY176" s="173">
        <f t="shared" si="436"/>
        <v>0.68433214501171935</v>
      </c>
      <c r="AZ176" s="173">
        <f t="shared" si="440"/>
        <v>23.213433792459771</v>
      </c>
      <c r="BA176" s="460">
        <f t="shared" si="433"/>
        <v>17.688266585275649</v>
      </c>
      <c r="BB176" s="5">
        <f t="shared" si="434"/>
        <v>5.4835434781127974</v>
      </c>
      <c r="BD176" s="173">
        <f t="shared" si="441"/>
        <v>2.6099598406251179</v>
      </c>
      <c r="BE176" s="173">
        <f t="shared" si="437"/>
        <v>1.3125559817852599</v>
      </c>
      <c r="BG176" s="528">
        <f t="shared" si="480"/>
        <v>0.27247561478703564</v>
      </c>
      <c r="BH176" s="528">
        <f t="shared" si="524"/>
        <v>0.3179523686095802</v>
      </c>
      <c r="BI176" s="528">
        <f t="shared" si="525"/>
        <v>3.4898726380596858E-2</v>
      </c>
      <c r="BJ176" s="528">
        <f t="shared" si="481"/>
        <v>1.0999192893773329E-2</v>
      </c>
      <c r="BK176">
        <f t="shared" si="482"/>
        <v>3.960901918296976E-3</v>
      </c>
      <c r="BL176" s="460">
        <f t="shared" si="588"/>
        <v>38.859628298893831</v>
      </c>
      <c r="BM176" s="528">
        <f t="shared" si="526"/>
        <v>0.72171988645955065</v>
      </c>
      <c r="BN176" s="460">
        <f t="shared" si="527"/>
        <v>721.71988645955071</v>
      </c>
      <c r="BO176" s="528">
        <f t="shared" si="483"/>
        <v>0.46199999999999997</v>
      </c>
      <c r="BR176" s="460">
        <f t="shared" si="484"/>
        <v>461.99999999999994</v>
      </c>
      <c r="BS176" s="528">
        <f t="shared" si="485"/>
        <v>0.20435671109027673</v>
      </c>
      <c r="BT176" s="528">
        <f t="shared" si="486"/>
        <v>5.1684096159608027E-2</v>
      </c>
      <c r="BU176" s="528">
        <f t="shared" si="487"/>
        <v>0.37301425022256213</v>
      </c>
      <c r="BV176" s="528"/>
      <c r="BW176" s="528">
        <f t="shared" si="488"/>
        <v>0.63542795761126103</v>
      </c>
      <c r="BX176" s="460">
        <f t="shared" si="489"/>
        <v>1264.4830150837079</v>
      </c>
      <c r="BY176" s="173">
        <f t="shared" si="490"/>
        <v>2.3667698196729909</v>
      </c>
      <c r="BZ176" s="5">
        <f t="shared" si="491"/>
        <v>15.84</v>
      </c>
      <c r="CA176" s="173">
        <f t="shared" si="492"/>
        <v>0.8700060558180055</v>
      </c>
      <c r="CB176" s="5">
        <f t="shared" si="493"/>
        <v>87.000605581800556</v>
      </c>
      <c r="CE176" s="562">
        <f t="shared" si="528"/>
        <v>-50</v>
      </c>
      <c r="CF176">
        <f t="shared" si="529"/>
        <v>-50</v>
      </c>
      <c r="CG176" s="173">
        <f t="shared" si="530"/>
        <v>0.34983261925038633</v>
      </c>
      <c r="CI176" s="170">
        <v>66</v>
      </c>
      <c r="CJ176" s="217">
        <f t="shared" si="589"/>
        <v>0.66</v>
      </c>
      <c r="CK176" s="217"/>
      <c r="CL176" s="217">
        <f t="shared" si="531"/>
        <v>15.84</v>
      </c>
      <c r="CM176" s="541">
        <f t="shared" si="532"/>
        <v>9</v>
      </c>
      <c r="CN176" s="443">
        <f t="shared" si="533"/>
        <v>16.3415</v>
      </c>
      <c r="CO176" s="443">
        <f t="shared" si="534"/>
        <v>25.3415</v>
      </c>
      <c r="CP176" s="443"/>
      <c r="CQ176" s="217">
        <f t="shared" si="535"/>
        <v>0.64485133082098534</v>
      </c>
      <c r="CR176" s="172">
        <f t="shared" si="590"/>
        <v>32.320915977744015</v>
      </c>
      <c r="CS176" s="172">
        <f t="shared" si="536"/>
        <v>15.84</v>
      </c>
      <c r="CT176" s="217">
        <f t="shared" si="537"/>
        <v>1.3467048324060007</v>
      </c>
      <c r="CU176" s="217">
        <f t="shared" si="538"/>
        <v>24</v>
      </c>
      <c r="CV176" s="217"/>
      <c r="CW176" s="172">
        <f t="shared" si="539"/>
        <v>62.371630348907452</v>
      </c>
      <c r="CX176" s="536">
        <f t="shared" si="540"/>
        <v>24</v>
      </c>
      <c r="CY176" s="217">
        <f t="shared" si="541"/>
        <v>5.4586225254719576</v>
      </c>
      <c r="CZ176" s="217">
        <f t="shared" si="542"/>
        <v>6.065136139413287</v>
      </c>
      <c r="DA176" s="217">
        <f t="shared" si="543"/>
        <v>3.3403436192956328</v>
      </c>
      <c r="DB176" s="197">
        <f t="shared" si="544"/>
        <v>261.16478898249903</v>
      </c>
      <c r="DC176" s="443">
        <f t="shared" si="545"/>
        <v>106.32099857256712</v>
      </c>
      <c r="DE176" s="217">
        <f t="shared" si="546"/>
        <v>2.2222222222222223</v>
      </c>
      <c r="DF176" s="173">
        <f t="shared" si="547"/>
        <v>1.3598642855443031</v>
      </c>
      <c r="DG176" s="173">
        <f t="shared" si="548"/>
        <v>0.26320462482489204</v>
      </c>
      <c r="DH176" s="173"/>
      <c r="DI176" s="173">
        <f t="shared" si="549"/>
        <v>1.3598642855443031</v>
      </c>
      <c r="DJ176" s="545">
        <f t="shared" si="550"/>
        <v>654.88499999999988</v>
      </c>
      <c r="DK176" s="528">
        <f t="shared" si="551"/>
        <v>0.26320462482489204</v>
      </c>
      <c r="DM176" s="173">
        <f t="shared" si="552"/>
        <v>3.0397368307141326</v>
      </c>
      <c r="DN176" s="173">
        <f t="shared" si="553"/>
        <v>5.4586225254719576</v>
      </c>
      <c r="DO176" s="173">
        <f t="shared" si="554"/>
        <v>3.5973335579627665</v>
      </c>
      <c r="DQ176" s="545">
        <f t="shared" si="555"/>
        <v>660</v>
      </c>
      <c r="DR176" s="460">
        <f t="shared" si="556"/>
        <v>106.32099857256712</v>
      </c>
      <c r="DT176">
        <f t="shared" si="591"/>
        <v>660</v>
      </c>
      <c r="DU176">
        <f t="shared" si="592"/>
        <v>106.32099857256712</v>
      </c>
      <c r="DW176" s="5">
        <f t="shared" si="557"/>
        <v>9.4054797587089194</v>
      </c>
      <c r="DX176" s="5">
        <f t="shared" si="558"/>
        <v>6.065136139413287</v>
      </c>
      <c r="DY176" s="5">
        <f t="shared" si="559"/>
        <v>3.3403436192956324</v>
      </c>
      <c r="DZ176" s="5"/>
      <c r="EA176" s="173">
        <f t="shared" si="560"/>
        <v>0.64485133082098534</v>
      </c>
      <c r="EB176" s="173">
        <f t="shared" si="561"/>
        <v>15.84</v>
      </c>
      <c r="EC176" s="173">
        <f t="shared" si="562"/>
        <v>0.64653061224489794</v>
      </c>
      <c r="ED176" s="173">
        <f t="shared" si="563"/>
        <v>24.5</v>
      </c>
      <c r="EE176" s="460">
        <f t="shared" si="564"/>
        <v>16.67912438338654</v>
      </c>
      <c r="EF176" s="5">
        <f t="shared" si="565"/>
        <v>4.8991706416335941</v>
      </c>
      <c r="EH176" s="173">
        <f t="shared" si="566"/>
        <v>2.5307674257466708</v>
      </c>
      <c r="EI176" s="173">
        <f t="shared" si="567"/>
        <v>1.2527181374362408</v>
      </c>
      <c r="EK176" s="528">
        <f t="shared" si="568"/>
        <v>0.25619135052881725</v>
      </c>
      <c r="EL176" s="528">
        <f t="shared" si="569"/>
        <v>0.404452125</v>
      </c>
      <c r="EM176" s="528">
        <f t="shared" si="570"/>
        <v>2.1264199714513422E-2</v>
      </c>
      <c r="EN176" s="528">
        <f t="shared" si="571"/>
        <v>1.1948729546697442E-2</v>
      </c>
      <c r="EO176">
        <f t="shared" si="572"/>
        <v>4.0499999999999998E-3</v>
      </c>
      <c r="EP176" s="460">
        <f t="shared" si="573"/>
        <v>25.314199714513425</v>
      </c>
      <c r="EQ176" s="460"/>
      <c r="ER176" s="460">
        <f t="shared" si="593"/>
        <v>697.9064047900282</v>
      </c>
      <c r="ES176" s="528">
        <f t="shared" si="574"/>
        <v>0.46199999999999997</v>
      </c>
      <c r="EV176" s="460">
        <f t="shared" si="494"/>
        <v>461.99999999999994</v>
      </c>
      <c r="EW176" s="528">
        <f t="shared" si="575"/>
        <v>0.19214351289661291</v>
      </c>
      <c r="EX176" s="528">
        <f t="shared" si="576"/>
        <v>4.7079081955851726E-2</v>
      </c>
      <c r="EY176" s="528">
        <f t="shared" si="577"/>
        <v>0.40571893711760909</v>
      </c>
      <c r="EZ176" s="528"/>
      <c r="FA176" s="528">
        <f t="shared" si="578"/>
        <v>0.63360000000000005</v>
      </c>
      <c r="FB176" s="460">
        <f t="shared" si="579"/>
        <v>1278.5415319700739</v>
      </c>
      <c r="FC176" s="173">
        <f t="shared" si="580"/>
        <v>2.438447936760102</v>
      </c>
      <c r="FD176" s="5">
        <f t="shared" si="581"/>
        <v>15.84</v>
      </c>
      <c r="FE176" s="173">
        <f t="shared" si="582"/>
        <v>0.86659436593322026</v>
      </c>
      <c r="FF176" s="5">
        <f t="shared" si="583"/>
        <v>86.659436593322027</v>
      </c>
      <c r="FI176" s="562">
        <f t="shared" si="584"/>
        <v>-50</v>
      </c>
      <c r="FJ176">
        <f t="shared" si="585"/>
        <v>-50</v>
      </c>
      <c r="FL176">
        <f t="shared" si="586"/>
        <v>0.35514866917901466</v>
      </c>
    </row>
    <row r="177" spans="5:168">
      <c r="E177" s="170">
        <v>67</v>
      </c>
      <c r="F177" s="217">
        <f t="shared" si="587"/>
        <v>0.67</v>
      </c>
      <c r="G177" s="217"/>
      <c r="H177" s="217">
        <f t="shared" si="495"/>
        <v>16.080000000000002</v>
      </c>
      <c r="I177" s="541">
        <f t="shared" si="496"/>
        <v>8.7990499040965595</v>
      </c>
      <c r="J177" s="172">
        <f t="shared" si="497"/>
        <v>16.379814494521309</v>
      </c>
      <c r="K177" s="172">
        <f t="shared" si="498"/>
        <v>25.178864398617868</v>
      </c>
      <c r="L177" s="443"/>
      <c r="M177" s="217">
        <f t="shared" si="499"/>
        <v>0.65053041320189509</v>
      </c>
      <c r="N177" s="172">
        <f t="shared" si="500"/>
        <v>31.87755005750487</v>
      </c>
      <c r="O177" s="172">
        <f t="shared" si="438"/>
        <v>16.080000000000002</v>
      </c>
      <c r="P177" s="217">
        <f t="shared" si="501"/>
        <v>1.3282312523960362</v>
      </c>
      <c r="Q177" s="217">
        <f t="shared" si="502"/>
        <v>24</v>
      </c>
      <c r="R177" s="217"/>
      <c r="S177" s="172">
        <f t="shared" si="503"/>
        <v>59.877879069810739</v>
      </c>
      <c r="T177" s="536">
        <f t="shared" si="504"/>
        <v>24</v>
      </c>
      <c r="U177" s="217">
        <f t="shared" si="505"/>
        <v>5.7486991090000341</v>
      </c>
      <c r="V177" s="217">
        <f t="shared" si="506"/>
        <v>6.5333179964391634</v>
      </c>
      <c r="W177" s="217">
        <f t="shared" si="507"/>
        <v>3.5096240625453046</v>
      </c>
      <c r="X177" s="197">
        <f t="shared" si="508"/>
        <v>257.58533543820931</v>
      </c>
      <c r="Y177" s="443">
        <f t="shared" si="509"/>
        <v>97.628200398035304</v>
      </c>
      <c r="AA177" s="217">
        <f t="shared" si="510"/>
        <v>2.2222222222222228</v>
      </c>
      <c r="AB177" s="173">
        <f t="shared" si="511"/>
        <v>1.3566833879379452</v>
      </c>
      <c r="AC177" s="173">
        <f t="shared" si="512"/>
        <v>0.25898998254683314</v>
      </c>
      <c r="AD177" s="173"/>
      <c r="AE177" s="173">
        <f t="shared" si="513"/>
        <v>1.356683387937945</v>
      </c>
      <c r="AF177" s="545">
        <f t="shared" si="514"/>
        <v>666.36621635507572</v>
      </c>
      <c r="AG177" s="528">
        <f t="shared" si="515"/>
        <v>0.25898998254683309</v>
      </c>
      <c r="AI177" s="173">
        <f t="shared" si="516"/>
        <v>3.0662668622640066</v>
      </c>
      <c r="AJ177" s="173">
        <f t="shared" si="517"/>
        <v>5.7486991090000341</v>
      </c>
      <c r="AK177" s="173">
        <f t="shared" si="518"/>
        <v>3.8122051013168976</v>
      </c>
      <c r="AM177" s="545">
        <f t="shared" si="519"/>
        <v>670</v>
      </c>
      <c r="AN177" s="460">
        <f t="shared" si="520"/>
        <v>97.628200398035304</v>
      </c>
      <c r="AP177">
        <f t="shared" si="521"/>
        <v>670</v>
      </c>
      <c r="AQ177">
        <f t="shared" si="522"/>
        <v>97.628200398035304</v>
      </c>
      <c r="AS177" s="5">
        <f t="shared" si="439"/>
        <v>10.242942058984468</v>
      </c>
      <c r="AT177" s="5">
        <f t="shared" si="523"/>
        <v>6.5333179964391634</v>
      </c>
      <c r="AU177" s="5">
        <f t="shared" si="478"/>
        <v>3.7096240625453047</v>
      </c>
      <c r="AV177" s="5"/>
      <c r="AW177" s="173">
        <f t="shared" si="479"/>
        <v>0.63783607862045311</v>
      </c>
      <c r="AX177" s="173">
        <f t="shared" si="435"/>
        <v>16.131859994673384</v>
      </c>
      <c r="AY177" s="173">
        <f t="shared" si="436"/>
        <v>0.69433746595087764</v>
      </c>
      <c r="AZ177" s="173">
        <f t="shared" si="440"/>
        <v>23.233457483935723</v>
      </c>
      <c r="BA177" s="460">
        <f t="shared" si="433"/>
        <v>18.238846073392665</v>
      </c>
      <c r="BB177" s="5">
        <f t="shared" si="434"/>
        <v>5.6493556667935438</v>
      </c>
      <c r="BD177" s="173">
        <f t="shared" si="441"/>
        <v>2.6507177797625125</v>
      </c>
      <c r="BE177" s="173">
        <f t="shared" si="437"/>
        <v>1.3322550540665303</v>
      </c>
      <c r="BG177" s="528">
        <f t="shared" si="480"/>
        <v>0.28105218991796416</v>
      </c>
      <c r="BH177" s="528">
        <f t="shared" si="524"/>
        <v>0.31795343332608428</v>
      </c>
      <c r="BI177" s="528">
        <f t="shared" si="525"/>
        <v>3.4361416293978098E-2</v>
      </c>
      <c r="BJ177" s="528">
        <f t="shared" si="481"/>
        <v>1.0831425339693591E-2</v>
      </c>
      <c r="BK177">
        <f t="shared" si="482"/>
        <v>3.9595724568434517E-3</v>
      </c>
      <c r="BL177" s="460">
        <f t="shared" si="588"/>
        <v>38.320988750821549</v>
      </c>
      <c r="BM177" s="528">
        <f t="shared" si="526"/>
        <v>0.7347888713511227</v>
      </c>
      <c r="BN177" s="460">
        <f t="shared" si="527"/>
        <v>734.78887135112268</v>
      </c>
      <c r="BO177" s="528">
        <f t="shared" si="483"/>
        <v>0.46899999999999997</v>
      </c>
      <c r="BR177" s="460">
        <f t="shared" si="484"/>
        <v>469</v>
      </c>
      <c r="BS177" s="528">
        <f t="shared" si="485"/>
        <v>0.2107891424384731</v>
      </c>
      <c r="BT177" s="528">
        <f t="shared" si="486"/>
        <v>5.3247105872574411E-2</v>
      </c>
      <c r="BU177" s="528">
        <f t="shared" si="487"/>
        <v>0.37310593642563739</v>
      </c>
      <c r="BV177" s="528"/>
      <c r="BW177" s="528">
        <f t="shared" si="488"/>
        <v>0.64527439978693524</v>
      </c>
      <c r="BX177" s="460">
        <f t="shared" si="489"/>
        <v>1282.4165845236203</v>
      </c>
      <c r="BY177" s="173">
        <f t="shared" si="490"/>
        <v>2.3995746218581835</v>
      </c>
      <c r="BZ177" s="5">
        <f t="shared" si="491"/>
        <v>16.080000000000002</v>
      </c>
      <c r="CA177" s="173">
        <f t="shared" si="492"/>
        <v>0.87014989949931565</v>
      </c>
      <c r="CB177" s="5">
        <f t="shared" si="493"/>
        <v>87.014989949931561</v>
      </c>
      <c r="CE177" s="562">
        <f t="shared" si="528"/>
        <v>-50</v>
      </c>
      <c r="CF177">
        <f t="shared" si="529"/>
        <v>-50</v>
      </c>
      <c r="CG177" s="173">
        <f t="shared" si="530"/>
        <v>0.34991196327917179</v>
      </c>
      <c r="CI177" s="170">
        <v>67</v>
      </c>
      <c r="CJ177" s="217">
        <f t="shared" si="589"/>
        <v>0.67</v>
      </c>
      <c r="CK177" s="217"/>
      <c r="CL177" s="217">
        <f t="shared" si="531"/>
        <v>16.080000000000002</v>
      </c>
      <c r="CM177" s="541">
        <f t="shared" si="532"/>
        <v>9</v>
      </c>
      <c r="CN177" s="443">
        <f t="shared" si="533"/>
        <v>16.3415</v>
      </c>
      <c r="CO177" s="443">
        <f t="shared" si="534"/>
        <v>25.3415</v>
      </c>
      <c r="CP177" s="443"/>
      <c r="CQ177" s="217">
        <f t="shared" si="535"/>
        <v>0.64485133082098534</v>
      </c>
      <c r="CR177" s="172">
        <f t="shared" si="590"/>
        <v>32.320915977744015</v>
      </c>
      <c r="CS177" s="172">
        <f t="shared" si="536"/>
        <v>16.080000000000002</v>
      </c>
      <c r="CT177" s="217">
        <f t="shared" si="537"/>
        <v>1.3467048324060007</v>
      </c>
      <c r="CU177" s="217">
        <f t="shared" si="538"/>
        <v>24</v>
      </c>
      <c r="CV177" s="217"/>
      <c r="CW177" s="172">
        <f t="shared" si="539"/>
        <v>61.242882006308186</v>
      </c>
      <c r="CX177" s="536">
        <f t="shared" si="540"/>
        <v>24</v>
      </c>
      <c r="CY177" s="217">
        <f t="shared" si="541"/>
        <v>5.5413289273730486</v>
      </c>
      <c r="CZ177" s="217">
        <f t="shared" si="542"/>
        <v>6.15703214152561</v>
      </c>
      <c r="DA177" s="217">
        <f t="shared" si="543"/>
        <v>3.3909548862546579</v>
      </c>
      <c r="DB177" s="197">
        <f t="shared" si="544"/>
        <v>261.16478898249903</v>
      </c>
      <c r="DC177" s="443">
        <f t="shared" si="545"/>
        <v>104.73411799685715</v>
      </c>
      <c r="DE177" s="217">
        <f t="shared" si="546"/>
        <v>2.2222222222222223</v>
      </c>
      <c r="DF177" s="173">
        <f t="shared" si="547"/>
        <v>1.3598642855443031</v>
      </c>
      <c r="DG177" s="173">
        <f t="shared" si="548"/>
        <v>0.26320462482489204</v>
      </c>
      <c r="DH177" s="173"/>
      <c r="DI177" s="173">
        <f t="shared" si="549"/>
        <v>1.3598642855443031</v>
      </c>
      <c r="DJ177" s="545">
        <f t="shared" si="550"/>
        <v>664.80749999999989</v>
      </c>
      <c r="DK177" s="528">
        <f t="shared" si="551"/>
        <v>0.26320462482489204</v>
      </c>
      <c r="DM177" s="173">
        <f t="shared" si="552"/>
        <v>3.0626785662227105</v>
      </c>
      <c r="DN177" s="173">
        <f t="shared" si="553"/>
        <v>5.5413289273730486</v>
      </c>
      <c r="DO177" s="173">
        <f t="shared" si="554"/>
        <v>3.6585975593709827</v>
      </c>
      <c r="DQ177" s="545">
        <f t="shared" si="555"/>
        <v>670</v>
      </c>
      <c r="DR177" s="460">
        <f t="shared" si="556"/>
        <v>104.73411799685715</v>
      </c>
      <c r="DT177">
        <f t="shared" si="591"/>
        <v>670</v>
      </c>
      <c r="DU177">
        <f t="shared" si="592"/>
        <v>104.73411799685715</v>
      </c>
      <c r="DW177" s="5">
        <f t="shared" si="557"/>
        <v>9.5479870277802679</v>
      </c>
      <c r="DX177" s="5">
        <f t="shared" si="558"/>
        <v>6.15703214152561</v>
      </c>
      <c r="DY177" s="5">
        <f t="shared" si="559"/>
        <v>3.3909548862546579</v>
      </c>
      <c r="DZ177" s="5"/>
      <c r="EA177" s="173">
        <f t="shared" si="560"/>
        <v>0.64485133082098534</v>
      </c>
      <c r="EB177" s="173">
        <f t="shared" si="561"/>
        <v>16.080000000000002</v>
      </c>
      <c r="EC177" s="173">
        <f t="shared" si="562"/>
        <v>0.656326530612245</v>
      </c>
      <c r="ED177" s="173">
        <f t="shared" si="563"/>
        <v>24.5</v>
      </c>
      <c r="EE177" s="460">
        <f t="shared" si="564"/>
        <v>17.188381395092328</v>
      </c>
      <c r="EF177" s="5">
        <f t="shared" si="565"/>
        <v>5.0487550528680458</v>
      </c>
      <c r="EH177" s="173">
        <f t="shared" si="566"/>
        <v>2.5691123867428325</v>
      </c>
      <c r="EI177" s="173">
        <f t="shared" si="567"/>
        <v>1.2716987152761841</v>
      </c>
      <c r="EK177" s="528">
        <f t="shared" si="568"/>
        <v>0.26401353822861817</v>
      </c>
      <c r="EL177" s="528">
        <f t="shared" si="569"/>
        <v>0.404452125</v>
      </c>
      <c r="EM177" s="528">
        <f t="shared" si="570"/>
        <v>2.0946823599371431E-2</v>
      </c>
      <c r="EN177" s="528">
        <f t="shared" si="571"/>
        <v>1.1770390299731807E-2</v>
      </c>
      <c r="EO177">
        <f t="shared" si="572"/>
        <v>4.0499999999999998E-3</v>
      </c>
      <c r="EP177" s="460">
        <f t="shared" si="573"/>
        <v>24.996823599371428</v>
      </c>
      <c r="EQ177" s="460"/>
      <c r="ER177" s="460">
        <f t="shared" si="593"/>
        <v>705.23287712772128</v>
      </c>
      <c r="ES177" s="528">
        <f t="shared" si="574"/>
        <v>0.46899999999999997</v>
      </c>
      <c r="EV177" s="460">
        <f t="shared" si="494"/>
        <v>469</v>
      </c>
      <c r="EW177" s="528">
        <f t="shared" si="575"/>
        <v>0.1980101536714636</v>
      </c>
      <c r="EX177" s="528">
        <f t="shared" si="576"/>
        <v>4.8516528673052915E-2</v>
      </c>
      <c r="EY177" s="528">
        <f t="shared" si="577"/>
        <v>0.4057189371176092</v>
      </c>
      <c r="EZ177" s="528"/>
      <c r="FA177" s="528">
        <f t="shared" si="578"/>
        <v>0.64319999999999999</v>
      </c>
      <c r="FB177" s="460">
        <f t="shared" si="579"/>
        <v>1295.4456194621257</v>
      </c>
      <c r="FC177" s="173">
        <f t="shared" si="580"/>
        <v>2.4696784965898466</v>
      </c>
      <c r="FD177" s="5">
        <f t="shared" si="581"/>
        <v>16.080000000000002</v>
      </c>
      <c r="FE177" s="173">
        <f t="shared" si="582"/>
        <v>0.86686138538498825</v>
      </c>
      <c r="FF177" s="5">
        <f t="shared" si="583"/>
        <v>86.686138538498824</v>
      </c>
      <c r="FI177" s="562">
        <f t="shared" si="584"/>
        <v>-50</v>
      </c>
      <c r="FJ177">
        <f t="shared" si="585"/>
        <v>-50</v>
      </c>
      <c r="FL177">
        <f t="shared" si="586"/>
        <v>0.35514866917901466</v>
      </c>
    </row>
    <row r="178" spans="5:168">
      <c r="E178" s="170">
        <v>68</v>
      </c>
      <c r="F178" s="217">
        <f t="shared" si="587"/>
        <v>0.68</v>
      </c>
      <c r="G178" s="217"/>
      <c r="H178" s="217">
        <f t="shared" si="495"/>
        <v>16.32</v>
      </c>
      <c r="I178" s="541">
        <f t="shared" si="496"/>
        <v>8.7960955252539001</v>
      </c>
      <c r="J178" s="172">
        <f t="shared" si="497"/>
        <v>16.380377796227993</v>
      </c>
      <c r="K178" s="172">
        <f t="shared" si="498"/>
        <v>25.176473321481893</v>
      </c>
      <c r="L178" s="443"/>
      <c r="M178" s="217">
        <f t="shared" si="499"/>
        <v>0.6506145735628599</v>
      </c>
      <c r="N178" s="172">
        <f t="shared" si="500"/>
        <v>31.87096949040809</v>
      </c>
      <c r="O178" s="172">
        <f t="shared" si="438"/>
        <v>16.32</v>
      </c>
      <c r="P178" s="217">
        <f t="shared" si="501"/>
        <v>1.3279570621003371</v>
      </c>
      <c r="Q178" s="217">
        <f t="shared" si="502"/>
        <v>24</v>
      </c>
      <c r="R178" s="217"/>
      <c r="S178" s="172">
        <f t="shared" si="503"/>
        <v>58.787193542071343</v>
      </c>
      <c r="T178" s="536">
        <f t="shared" si="504"/>
        <v>24</v>
      </c>
      <c r="U178" s="217">
        <f t="shared" si="505"/>
        <v>5.8359060094109925</v>
      </c>
      <c r="V178" s="217">
        <f t="shared" si="506"/>
        <v>6.634655106525277</v>
      </c>
      <c r="W178" s="217">
        <f t="shared" si="507"/>
        <v>3.5627420087678692</v>
      </c>
      <c r="X178" s="197">
        <f t="shared" si="508"/>
        <v>257.53215987798194</v>
      </c>
      <c r="Y178" s="443">
        <f t="shared" si="509"/>
        <v>96.177917310587006</v>
      </c>
      <c r="AA178" s="217">
        <f t="shared" si="510"/>
        <v>2.2222222222222223</v>
      </c>
      <c r="AB178" s="173">
        <f t="shared" si="511"/>
        <v>1.3566367332101137</v>
      </c>
      <c r="AC178" s="173">
        <f t="shared" si="512"/>
        <v>0.2589276124944051</v>
      </c>
      <c r="AD178" s="173"/>
      <c r="AE178" s="173">
        <f t="shared" si="513"/>
        <v>1.3566367332101137</v>
      </c>
      <c r="AF178" s="545">
        <f t="shared" si="514"/>
        <v>676.33523914260695</v>
      </c>
      <c r="AG178" s="528">
        <f t="shared" si="515"/>
        <v>0.25892761249440505</v>
      </c>
      <c r="AI178" s="173">
        <f t="shared" si="516"/>
        <v>3.0891178152980232</v>
      </c>
      <c r="AJ178" s="173">
        <f t="shared" si="517"/>
        <v>5.8359060094109925</v>
      </c>
      <c r="AK178" s="173">
        <f t="shared" si="518"/>
        <v>3.8768028053250152</v>
      </c>
      <c r="AM178" s="545">
        <f t="shared" si="519"/>
        <v>680</v>
      </c>
      <c r="AN178" s="460">
        <f t="shared" si="520"/>
        <v>96.177917310587006</v>
      </c>
      <c r="AP178">
        <f t="shared" si="521"/>
        <v>680</v>
      </c>
      <c r="AQ178">
        <f t="shared" si="522"/>
        <v>96.177917310587006</v>
      </c>
      <c r="AS178" s="5">
        <f t="shared" si="439"/>
        <v>10.397397115293145</v>
      </c>
      <c r="AT178" s="5">
        <f t="shared" si="523"/>
        <v>6.634655106525277</v>
      </c>
      <c r="AU178" s="5">
        <f t="shared" si="478"/>
        <v>3.7627420087678685</v>
      </c>
      <c r="AV178" s="5"/>
      <c r="AW178" s="173">
        <f t="shared" si="479"/>
        <v>0.63810731021965195</v>
      </c>
      <c r="AX178" s="173">
        <f t="shared" si="435"/>
        <v>16.378040856295168</v>
      </c>
      <c r="AY178" s="173">
        <f t="shared" si="436"/>
        <v>0.70434256963752229</v>
      </c>
      <c r="AZ178" s="173">
        <f t="shared" si="440"/>
        <v>23.25294758873348</v>
      </c>
      <c r="BA178" s="460">
        <f t="shared" si="433"/>
        <v>18.798189468488285</v>
      </c>
      <c r="BB178" s="5">
        <f t="shared" si="434"/>
        <v>5.8177280103794553</v>
      </c>
      <c r="BD178" s="173">
        <f t="shared" si="441"/>
        <v>2.6915008502332967</v>
      </c>
      <c r="BE178" s="173">
        <f t="shared" si="437"/>
        <v>1.3519586241776964</v>
      </c>
      <c r="BG178" s="528">
        <f t="shared" si="480"/>
        <v>0.28976707307226235</v>
      </c>
      <c r="BH178" s="528">
        <f t="shared" si="524"/>
        <v>0.31795164042270568</v>
      </c>
      <c r="BI178" s="528">
        <f t="shared" si="525"/>
        <v>3.3839605923355762E-2</v>
      </c>
      <c r="BJ178" s="528">
        <f t="shared" si="481"/>
        <v>1.0668496194650564E-2</v>
      </c>
      <c r="BK178">
        <f t="shared" si="482"/>
        <v>3.9582429863642549E-3</v>
      </c>
      <c r="BL178" s="460">
        <f t="shared" si="588"/>
        <v>37.797848909720017</v>
      </c>
      <c r="BM178" s="528">
        <f t="shared" si="526"/>
        <v>0.74813221752656023</v>
      </c>
      <c r="BN178" s="460">
        <f t="shared" si="527"/>
        <v>748.13221752656023</v>
      </c>
      <c r="BO178" s="528">
        <f t="shared" si="483"/>
        <v>0.47599999999999998</v>
      </c>
      <c r="BR178" s="460">
        <f t="shared" si="484"/>
        <v>476</v>
      </c>
      <c r="BS178" s="528">
        <f t="shared" si="485"/>
        <v>0.21732530480419676</v>
      </c>
      <c r="BT178" s="528">
        <f t="shared" si="486"/>
        <v>5.4833763644653491E-2</v>
      </c>
      <c r="BU178" s="528">
        <f t="shared" si="487"/>
        <v>0.3731892689303109</v>
      </c>
      <c r="BV178" s="528"/>
      <c r="BW178" s="528">
        <f t="shared" si="488"/>
        <v>0.65512163425180681</v>
      </c>
      <c r="BX178" s="460">
        <f t="shared" si="489"/>
        <v>1300.4699716309678</v>
      </c>
      <c r="BY178" s="173">
        <f t="shared" si="490"/>
        <v>2.4326550302303063</v>
      </c>
      <c r="BZ178" s="5">
        <f t="shared" si="491"/>
        <v>16.32</v>
      </c>
      <c r="CA178" s="173">
        <f t="shared" si="492"/>
        <v>0.87027676740660276</v>
      </c>
      <c r="CB178" s="5">
        <f t="shared" si="493"/>
        <v>87.027676740660269</v>
      </c>
      <c r="CE178" s="562">
        <f t="shared" si="528"/>
        <v>-50</v>
      </c>
      <c r="CF178">
        <f t="shared" si="529"/>
        <v>-50</v>
      </c>
      <c r="CG178" s="173">
        <f t="shared" si="530"/>
        <v>0.34998897366005183</v>
      </c>
      <c r="CI178" s="170">
        <v>68</v>
      </c>
      <c r="CJ178" s="217">
        <f t="shared" si="589"/>
        <v>0.68</v>
      </c>
      <c r="CK178" s="217"/>
      <c r="CL178" s="217">
        <f t="shared" si="531"/>
        <v>16.32</v>
      </c>
      <c r="CM178" s="541">
        <f t="shared" si="532"/>
        <v>9</v>
      </c>
      <c r="CN178" s="443">
        <f t="shared" si="533"/>
        <v>16.3415</v>
      </c>
      <c r="CO178" s="443">
        <f t="shared" si="534"/>
        <v>25.3415</v>
      </c>
      <c r="CP178" s="443"/>
      <c r="CQ178" s="217">
        <f t="shared" si="535"/>
        <v>0.64485133082098534</v>
      </c>
      <c r="CR178" s="172">
        <f t="shared" si="590"/>
        <v>32.320915977744015</v>
      </c>
      <c r="CS178" s="172">
        <f t="shared" si="536"/>
        <v>16.32</v>
      </c>
      <c r="CT178" s="217">
        <f t="shared" si="537"/>
        <v>1.3467048324060007</v>
      </c>
      <c r="CU178" s="217">
        <f t="shared" si="538"/>
        <v>24</v>
      </c>
      <c r="CV178" s="217"/>
      <c r="CW178" s="172">
        <f t="shared" si="539"/>
        <v>60.147401849165639</v>
      </c>
      <c r="CX178" s="536">
        <f t="shared" si="540"/>
        <v>24</v>
      </c>
      <c r="CY178" s="217">
        <f t="shared" si="541"/>
        <v>5.6240353292741379</v>
      </c>
      <c r="CZ178" s="217">
        <f t="shared" si="542"/>
        <v>6.2489281436379311</v>
      </c>
      <c r="DA178" s="217">
        <f t="shared" si="543"/>
        <v>3.4415661532136821</v>
      </c>
      <c r="DB178" s="197">
        <f t="shared" si="544"/>
        <v>261.16478898249903</v>
      </c>
      <c r="DC178" s="443">
        <f t="shared" si="545"/>
        <v>103.19391037925634</v>
      </c>
      <c r="DE178" s="217">
        <f t="shared" si="546"/>
        <v>2.2222222222222223</v>
      </c>
      <c r="DF178" s="173">
        <f t="shared" si="547"/>
        <v>1.3598642855443031</v>
      </c>
      <c r="DG178" s="173">
        <f t="shared" si="548"/>
        <v>0.26320462482489204</v>
      </c>
      <c r="DH178" s="173"/>
      <c r="DI178" s="173">
        <f t="shared" si="549"/>
        <v>1.3598642855443031</v>
      </c>
      <c r="DJ178" s="545">
        <f t="shared" si="550"/>
        <v>674.7299999999999</v>
      </c>
      <c r="DK178" s="528">
        <f t="shared" si="551"/>
        <v>0.26320462482489204</v>
      </c>
      <c r="DM178" s="173">
        <f t="shared" si="552"/>
        <v>3.0854497241083023</v>
      </c>
      <c r="DN178" s="173">
        <f t="shared" si="553"/>
        <v>5.6240353292741379</v>
      </c>
      <c r="DO178" s="173">
        <f t="shared" si="554"/>
        <v>3.7198615607791963</v>
      </c>
      <c r="DQ178" s="545">
        <f t="shared" si="555"/>
        <v>680</v>
      </c>
      <c r="DR178" s="460">
        <f t="shared" si="556"/>
        <v>103.19391037925634</v>
      </c>
      <c r="DT178">
        <f t="shared" si="591"/>
        <v>680</v>
      </c>
      <c r="DU178">
        <f t="shared" si="592"/>
        <v>103.19391037925634</v>
      </c>
      <c r="DW178" s="5">
        <f t="shared" si="557"/>
        <v>9.6904942968516128</v>
      </c>
      <c r="DX178" s="5">
        <f t="shared" si="558"/>
        <v>6.2489281436379311</v>
      </c>
      <c r="DY178" s="5">
        <f t="shared" si="559"/>
        <v>3.4415661532136816</v>
      </c>
      <c r="DZ178" s="5"/>
      <c r="EA178" s="173">
        <f t="shared" si="560"/>
        <v>0.64485133082098534</v>
      </c>
      <c r="EB178" s="173">
        <f t="shared" si="561"/>
        <v>16.32</v>
      </c>
      <c r="EC178" s="173">
        <f t="shared" si="562"/>
        <v>0.66612244897959183</v>
      </c>
      <c r="ED178" s="173">
        <f t="shared" si="563"/>
        <v>24.5</v>
      </c>
      <c r="EE178" s="460">
        <f t="shared" si="564"/>
        <v>17.705296406974142</v>
      </c>
      <c r="EF178" s="5">
        <f t="shared" si="565"/>
        <v>5.2005888537451179</v>
      </c>
      <c r="EH178" s="173">
        <f t="shared" si="566"/>
        <v>2.6074573477389937</v>
      </c>
      <c r="EI178" s="173">
        <f t="shared" si="567"/>
        <v>1.2906792931161268</v>
      </c>
      <c r="EK178" s="528">
        <f t="shared" si="568"/>
        <v>0.27195335281112271</v>
      </c>
      <c r="EL178" s="528">
        <f t="shared" si="569"/>
        <v>0.404452125</v>
      </c>
      <c r="EM178" s="528">
        <f t="shared" si="570"/>
        <v>2.0638782075851264E-2</v>
      </c>
      <c r="EN178" s="528">
        <f t="shared" si="571"/>
        <v>1.1597296324735754E-2</v>
      </c>
      <c r="EO178">
        <f t="shared" si="572"/>
        <v>4.0499999999999998E-3</v>
      </c>
      <c r="EP178" s="460">
        <f t="shared" si="573"/>
        <v>24.688782075851261</v>
      </c>
      <c r="EQ178" s="460"/>
      <c r="ER178" s="460">
        <f t="shared" si="593"/>
        <v>712.69155621170967</v>
      </c>
      <c r="ES178" s="528">
        <f t="shared" si="574"/>
        <v>0.47599999999999998</v>
      </c>
      <c r="EV178" s="460">
        <f t="shared" si="494"/>
        <v>476</v>
      </c>
      <c r="EW178" s="528">
        <f t="shared" si="575"/>
        <v>0.20396501460834202</v>
      </c>
      <c r="EX178" s="528">
        <f t="shared" si="576"/>
        <v>4.9975591130362346E-2</v>
      </c>
      <c r="EY178" s="528">
        <f t="shared" si="577"/>
        <v>0.40571893711760981</v>
      </c>
      <c r="EZ178" s="528"/>
      <c r="FA178" s="528">
        <f t="shared" si="578"/>
        <v>0.65279999999999994</v>
      </c>
      <c r="FB178" s="460">
        <f t="shared" si="579"/>
        <v>1312.4595428563141</v>
      </c>
      <c r="FC178" s="173">
        <f t="shared" si="580"/>
        <v>2.5011510990680237</v>
      </c>
      <c r="FD178" s="5">
        <f t="shared" si="581"/>
        <v>16.32</v>
      </c>
      <c r="FE178" s="173">
        <f t="shared" si="582"/>
        <v>0.86710955743871188</v>
      </c>
      <c r="FF178" s="5">
        <f t="shared" si="583"/>
        <v>86.710955743871182</v>
      </c>
      <c r="FI178" s="562">
        <f t="shared" si="584"/>
        <v>-50</v>
      </c>
      <c r="FJ178">
        <f t="shared" si="585"/>
        <v>-50</v>
      </c>
      <c r="FL178">
        <f t="shared" si="586"/>
        <v>0.35514866917901466</v>
      </c>
    </row>
    <row r="179" spans="5:168">
      <c r="E179" s="170">
        <v>69</v>
      </c>
      <c r="F179" s="217">
        <f t="shared" si="587"/>
        <v>0.69</v>
      </c>
      <c r="G179" s="217"/>
      <c r="H179" s="217">
        <f t="shared" si="495"/>
        <v>16.559999999999999</v>
      </c>
      <c r="I179" s="541">
        <f t="shared" si="496"/>
        <v>8.7931411272389024</v>
      </c>
      <c r="J179" s="172">
        <f t="shared" si="497"/>
        <v>16.380941101590206</v>
      </c>
      <c r="K179" s="172">
        <f t="shared" si="498"/>
        <v>25.174082228829107</v>
      </c>
      <c r="L179" s="443"/>
      <c r="M179" s="217">
        <f t="shared" si="499"/>
        <v>0.65069875040631764</v>
      </c>
      <c r="N179" s="172">
        <f t="shared" si="500"/>
        <v>31.864386891576665</v>
      </c>
      <c r="O179" s="172">
        <f t="shared" si="438"/>
        <v>16.559999999999999</v>
      </c>
      <c r="P179" s="217">
        <f t="shared" si="501"/>
        <v>1.3276827871490278</v>
      </c>
      <c r="Q179" s="217">
        <f t="shared" si="502"/>
        <v>24</v>
      </c>
      <c r="R179" s="217"/>
      <c r="S179" s="172">
        <f t="shared" si="503"/>
        <v>57.728319571439791</v>
      </c>
      <c r="T179" s="536">
        <f t="shared" si="504"/>
        <v>24</v>
      </c>
      <c r="U179" s="217">
        <f t="shared" si="505"/>
        <v>5.9231552124364333</v>
      </c>
      <c r="V179" s="217">
        <f t="shared" si="506"/>
        <v>6.7361084357989141</v>
      </c>
      <c r="W179" s="217">
        <f t="shared" si="507"/>
        <v>3.6158821252714435</v>
      </c>
      <c r="X179" s="197">
        <f t="shared" si="508"/>
        <v>257.47896792139272</v>
      </c>
      <c r="Y179" s="443">
        <f t="shared" si="509"/>
        <v>94.768848987537723</v>
      </c>
      <c r="AA179" s="217">
        <f t="shared" si="510"/>
        <v>2.2222222222222223</v>
      </c>
      <c r="AB179" s="173">
        <f t="shared" si="511"/>
        <v>1.3565900813882401</v>
      </c>
      <c r="AC179" s="173">
        <f t="shared" si="512"/>
        <v>0.25886523018908614</v>
      </c>
      <c r="AD179" s="173"/>
      <c r="AE179" s="173">
        <f t="shared" si="513"/>
        <v>1.3565900813882401</v>
      </c>
      <c r="AF179" s="545">
        <f t="shared" si="514"/>
        <v>686.30494615283089</v>
      </c>
      <c r="AG179" s="528">
        <f t="shared" si="515"/>
        <v>0.25886523018908619</v>
      </c>
      <c r="AI179" s="173">
        <f t="shared" si="516"/>
        <v>3.1118025221566703</v>
      </c>
      <c r="AJ179" s="173">
        <f t="shared" si="517"/>
        <v>5.9231552124364333</v>
      </c>
      <c r="AK179" s="173">
        <f t="shared" si="518"/>
        <v>3.9414318446031196</v>
      </c>
      <c r="AM179" s="545">
        <f t="shared" si="519"/>
        <v>690</v>
      </c>
      <c r="AN179" s="460">
        <f t="shared" si="520"/>
        <v>94.768848987537723</v>
      </c>
      <c r="AP179">
        <f t="shared" si="521"/>
        <v>690</v>
      </c>
      <c r="AQ179">
        <f t="shared" si="522"/>
        <v>94.768848987537723</v>
      </c>
      <c r="AS179" s="5">
        <f t="shared" si="439"/>
        <v>10.551990561070356</v>
      </c>
      <c r="AT179" s="5">
        <f t="shared" si="523"/>
        <v>6.7361084357989141</v>
      </c>
      <c r="AU179" s="5">
        <f t="shared" si="478"/>
        <v>3.8158821252714423</v>
      </c>
      <c r="AV179" s="5"/>
      <c r="AW179" s="173">
        <f t="shared" si="479"/>
        <v>0.63837324311590615</v>
      </c>
      <c r="AX179" s="173">
        <f t="shared" si="435"/>
        <v>16.624241401450856</v>
      </c>
      <c r="AY179" s="173">
        <f t="shared" si="436"/>
        <v>0.71434746523316683</v>
      </c>
      <c r="AZ179" s="173">
        <f t="shared" si="440"/>
        <v>23.271926073153512</v>
      </c>
      <c r="BA179" s="460">
        <f t="shared" si="433"/>
        <v>19.366311752921874</v>
      </c>
      <c r="BB179" s="5">
        <f t="shared" si="434"/>
        <v>5.9886646383533231</v>
      </c>
      <c r="BD179" s="173">
        <f t="shared" si="441"/>
        <v>2.7323090691827021</v>
      </c>
      <c r="BE179" s="173">
        <f t="shared" si="437"/>
        <v>1.3716667084070759</v>
      </c>
      <c r="BG179" s="528">
        <f t="shared" si="480"/>
        <v>0.29862051398152178</v>
      </c>
      <c r="BH179" s="528">
        <f t="shared" si="524"/>
        <v>0.31794711139596726</v>
      </c>
      <c r="BI179" s="528">
        <f t="shared" si="525"/>
        <v>3.3332634544536437E-2</v>
      </c>
      <c r="BJ179" s="528">
        <f t="shared" si="481"/>
        <v>1.0510199205478063E-2</v>
      </c>
      <c r="BK179">
        <f t="shared" si="482"/>
        <v>3.9569135072575062E-3</v>
      </c>
      <c r="BL179" s="460">
        <f t="shared" si="588"/>
        <v>37.289548051793943</v>
      </c>
      <c r="BM179" s="528">
        <f t="shared" si="526"/>
        <v>0.76175347420287454</v>
      </c>
      <c r="BN179" s="460">
        <f t="shared" si="527"/>
        <v>761.75347420287449</v>
      </c>
      <c r="BO179" s="528">
        <f t="shared" si="483"/>
        <v>0.48299999999999993</v>
      </c>
      <c r="BR179" s="460">
        <f t="shared" si="484"/>
        <v>482.99999999999994</v>
      </c>
      <c r="BS179" s="528">
        <f t="shared" si="485"/>
        <v>0.22396538548614131</v>
      </c>
      <c r="BT179" s="528">
        <f t="shared" si="486"/>
        <v>5.6444086768569067E-2</v>
      </c>
      <c r="BU179" s="528">
        <f t="shared" si="487"/>
        <v>0.373264598550136</v>
      </c>
      <c r="BV179" s="528"/>
      <c r="BW179" s="528">
        <f t="shared" si="488"/>
        <v>0.66496965605803426</v>
      </c>
      <c r="BX179" s="460">
        <f t="shared" si="489"/>
        <v>1318.6437268628806</v>
      </c>
      <c r="BY179" s="173">
        <f t="shared" si="490"/>
        <v>2.4660110994976416</v>
      </c>
      <c r="BZ179" s="5">
        <f t="shared" si="491"/>
        <v>16.559999999999999</v>
      </c>
      <c r="CA179" s="173">
        <f t="shared" si="492"/>
        <v>0.87038738248382741</v>
      </c>
      <c r="CB179" s="5">
        <f t="shared" si="493"/>
        <v>87.038738248382742</v>
      </c>
      <c r="CE179" s="562">
        <f t="shared" si="528"/>
        <v>-50</v>
      </c>
      <c r="CF179">
        <f t="shared" si="529"/>
        <v>-50</v>
      </c>
      <c r="CG179" s="173">
        <f t="shared" si="530"/>
        <v>0.35006375185597882</v>
      </c>
      <c r="CI179" s="170">
        <v>69</v>
      </c>
      <c r="CJ179" s="217">
        <f t="shared" si="589"/>
        <v>0.69</v>
      </c>
      <c r="CK179" s="217"/>
      <c r="CL179" s="217">
        <f t="shared" si="531"/>
        <v>16.559999999999999</v>
      </c>
      <c r="CM179" s="541">
        <f t="shared" si="532"/>
        <v>9</v>
      </c>
      <c r="CN179" s="443">
        <f t="shared" si="533"/>
        <v>16.3415</v>
      </c>
      <c r="CO179" s="443">
        <f t="shared" si="534"/>
        <v>25.3415</v>
      </c>
      <c r="CP179" s="443"/>
      <c r="CQ179" s="217">
        <f t="shared" si="535"/>
        <v>0.64485133082098534</v>
      </c>
      <c r="CR179" s="172">
        <f t="shared" si="590"/>
        <v>32.320915977744015</v>
      </c>
      <c r="CS179" s="172">
        <f t="shared" si="536"/>
        <v>16.559999999999999</v>
      </c>
      <c r="CT179" s="217">
        <f t="shared" si="537"/>
        <v>1.3467048324060007</v>
      </c>
      <c r="CU179" s="217">
        <f t="shared" si="538"/>
        <v>24</v>
      </c>
      <c r="CV179" s="217"/>
      <c r="CW179" s="172">
        <f t="shared" si="539"/>
        <v>59.083744060340315</v>
      </c>
      <c r="CX179" s="536">
        <f t="shared" si="540"/>
        <v>24</v>
      </c>
      <c r="CY179" s="217">
        <f t="shared" si="541"/>
        <v>5.706741731175228</v>
      </c>
      <c r="CZ179" s="217">
        <f t="shared" si="542"/>
        <v>6.3408241457502541</v>
      </c>
      <c r="DA179" s="217">
        <f t="shared" si="543"/>
        <v>3.4921774201727067</v>
      </c>
      <c r="DB179" s="197">
        <f t="shared" si="544"/>
        <v>261.16478898249903</v>
      </c>
      <c r="DC179" s="443">
        <f t="shared" si="545"/>
        <v>101.69834646071638</v>
      </c>
      <c r="DE179" s="217">
        <f t="shared" si="546"/>
        <v>2.2222222222222223</v>
      </c>
      <c r="DF179" s="173">
        <f t="shared" si="547"/>
        <v>1.3598642855443031</v>
      </c>
      <c r="DG179" s="173">
        <f t="shared" si="548"/>
        <v>0.26320462482489204</v>
      </c>
      <c r="DH179" s="173"/>
      <c r="DI179" s="173">
        <f t="shared" si="549"/>
        <v>1.3598642855443031</v>
      </c>
      <c r="DJ179" s="545">
        <f t="shared" si="550"/>
        <v>684.6524999999998</v>
      </c>
      <c r="DK179" s="528">
        <f t="shared" si="551"/>
        <v>0.26320462482489204</v>
      </c>
      <c r="DM179" s="173">
        <f t="shared" si="552"/>
        <v>3.1080540535840102</v>
      </c>
      <c r="DN179" s="173">
        <f t="shared" si="553"/>
        <v>5.706741731175228</v>
      </c>
      <c r="DO179" s="173">
        <f t="shared" si="554"/>
        <v>3.7811255621874116</v>
      </c>
      <c r="DQ179" s="545">
        <f t="shared" si="555"/>
        <v>690</v>
      </c>
      <c r="DR179" s="460">
        <f t="shared" si="556"/>
        <v>101.69834646071638</v>
      </c>
      <c r="DT179">
        <f t="shared" si="591"/>
        <v>690</v>
      </c>
      <c r="DU179">
        <f t="shared" si="592"/>
        <v>101.69834646071638</v>
      </c>
      <c r="DW179" s="5">
        <f t="shared" si="557"/>
        <v>9.8330015659229613</v>
      </c>
      <c r="DX179" s="5">
        <f t="shared" si="558"/>
        <v>6.3408241457502541</v>
      </c>
      <c r="DY179" s="5">
        <f t="shared" si="559"/>
        <v>3.4921774201727072</v>
      </c>
      <c r="DZ179" s="5"/>
      <c r="EA179" s="173">
        <f t="shared" si="560"/>
        <v>0.64485133082098534</v>
      </c>
      <c r="EB179" s="173">
        <f t="shared" si="561"/>
        <v>16.559999999999995</v>
      </c>
      <c r="EC179" s="173">
        <f t="shared" si="562"/>
        <v>0.67591836734693866</v>
      </c>
      <c r="ED179" s="173">
        <f t="shared" si="563"/>
        <v>24.499999999999996</v>
      </c>
      <c r="EE179" s="460">
        <f t="shared" si="564"/>
        <v>18.229869419031978</v>
      </c>
      <c r="EF179" s="5">
        <f t="shared" si="565"/>
        <v>5.3546720442648166</v>
      </c>
      <c r="EH179" s="173">
        <f t="shared" si="566"/>
        <v>2.6458023087351554</v>
      </c>
      <c r="EI179" s="173">
        <f t="shared" si="567"/>
        <v>1.3096598709560698</v>
      </c>
      <c r="EK179" s="528">
        <f t="shared" si="568"/>
        <v>0.28001079427633119</v>
      </c>
      <c r="EL179" s="528">
        <f t="shared" si="569"/>
        <v>0.40445212499999994</v>
      </c>
      <c r="EM179" s="528">
        <f t="shared" si="570"/>
        <v>2.0339669292143276E-2</v>
      </c>
      <c r="EN179" s="528">
        <f t="shared" si="571"/>
        <v>1.1429219566406251E-2</v>
      </c>
      <c r="EO179">
        <f t="shared" si="572"/>
        <v>4.0499999999999998E-3</v>
      </c>
      <c r="EP179" s="460">
        <f t="shared" si="573"/>
        <v>24.389669292143278</v>
      </c>
      <c r="EQ179" s="460"/>
      <c r="ER179" s="460">
        <f t="shared" si="593"/>
        <v>720.28180813488075</v>
      </c>
      <c r="ES179" s="528">
        <f t="shared" si="574"/>
        <v>0.48299999999999993</v>
      </c>
      <c r="EV179" s="460">
        <f t="shared" si="494"/>
        <v>482.99999999999994</v>
      </c>
      <c r="EW179" s="528">
        <f t="shared" si="575"/>
        <v>0.21000809570724835</v>
      </c>
      <c r="EX179" s="528">
        <f t="shared" si="576"/>
        <v>5.1456269327780087E-2</v>
      </c>
      <c r="EY179" s="528">
        <f t="shared" si="577"/>
        <v>0.40571893711760915</v>
      </c>
      <c r="EZ179" s="528"/>
      <c r="FA179" s="528">
        <f t="shared" si="578"/>
        <v>0.66239999999999988</v>
      </c>
      <c r="FB179" s="460">
        <f t="shared" si="579"/>
        <v>1329.5833021526375</v>
      </c>
      <c r="FC179" s="173">
        <f t="shared" si="580"/>
        <v>2.5328651102875179</v>
      </c>
      <c r="FD179" s="5">
        <f t="shared" si="581"/>
        <v>16.559999999999999</v>
      </c>
      <c r="FE179" s="173">
        <f t="shared" si="582"/>
        <v>0.86733970540006733</v>
      </c>
      <c r="FF179" s="5">
        <f t="shared" si="583"/>
        <v>86.733970540006737</v>
      </c>
      <c r="FI179" s="562">
        <f t="shared" si="584"/>
        <v>-50</v>
      </c>
      <c r="FJ179">
        <f t="shared" si="585"/>
        <v>-50</v>
      </c>
      <c r="FL179">
        <f t="shared" si="586"/>
        <v>0.35514866917901466</v>
      </c>
    </row>
    <row r="180" spans="5:168">
      <c r="E180" s="170">
        <v>70</v>
      </c>
      <c r="F180" s="217">
        <f t="shared" si="587"/>
        <v>0.7</v>
      </c>
      <c r="G180" s="217"/>
      <c r="H180" s="217">
        <f t="shared" si="495"/>
        <v>16.799999999999997</v>
      </c>
      <c r="I180" s="541">
        <f t="shared" si="496"/>
        <v>8.7901867108850009</v>
      </c>
      <c r="J180" s="172">
        <f t="shared" si="497"/>
        <v>16.381504410449036</v>
      </c>
      <c r="K180" s="172">
        <f t="shared" si="498"/>
        <v>25.171691121334035</v>
      </c>
      <c r="L180" s="443"/>
      <c r="M180" s="217">
        <f t="shared" si="499"/>
        <v>0.65078294371560963</v>
      </c>
      <c r="N180" s="172">
        <f t="shared" si="500"/>
        <v>31.857802262375138</v>
      </c>
      <c r="O180" s="172">
        <f t="shared" si="438"/>
        <v>16.799999999999997</v>
      </c>
      <c r="P180" s="217">
        <f t="shared" si="501"/>
        <v>1.3274084275989642</v>
      </c>
      <c r="Q180" s="217">
        <f t="shared" si="502"/>
        <v>24</v>
      </c>
      <c r="R180" s="217"/>
      <c r="S180" s="172">
        <f t="shared" si="503"/>
        <v>56.699894431432341</v>
      </c>
      <c r="T180" s="536">
        <f t="shared" si="504"/>
        <v>24</v>
      </c>
      <c r="U180" s="217">
        <f t="shared" si="505"/>
        <v>6.010446760734153</v>
      </c>
      <c r="V180" s="217">
        <f t="shared" si="506"/>
        <v>6.8376781499889416</v>
      </c>
      <c r="W180" s="217">
        <f t="shared" si="507"/>
        <v>3.6690444358091772</v>
      </c>
      <c r="X180" s="197">
        <f t="shared" si="508"/>
        <v>257.42575957856718</v>
      </c>
      <c r="Y180" s="443">
        <f t="shared" si="509"/>
        <v>93.399263125248538</v>
      </c>
      <c r="AA180" s="217">
        <f t="shared" si="510"/>
        <v>2.2222222222222223</v>
      </c>
      <c r="AB180" s="173">
        <f t="shared" si="511"/>
        <v>1.3565434324852153</v>
      </c>
      <c r="AC180" s="173">
        <f t="shared" si="512"/>
        <v>0.25880283564487239</v>
      </c>
      <c r="AD180" s="173"/>
      <c r="AE180" s="173">
        <f t="shared" si="513"/>
        <v>1.3565434324852153</v>
      </c>
      <c r="AF180" s="545">
        <f t="shared" si="514"/>
        <v>696.27533738565216</v>
      </c>
      <c r="AG180" s="528">
        <f t="shared" si="515"/>
        <v>0.25880283564487244</v>
      </c>
      <c r="AI180" s="173">
        <f t="shared" si="516"/>
        <v>3.1343245924670833</v>
      </c>
      <c r="AJ180" s="173">
        <f t="shared" si="517"/>
        <v>6.010446760734153</v>
      </c>
      <c r="AK180" s="173">
        <f t="shared" si="518"/>
        <v>4.0060922507495782</v>
      </c>
      <c r="AM180" s="545">
        <f t="shared" si="519"/>
        <v>700</v>
      </c>
      <c r="AN180" s="460">
        <f t="shared" si="520"/>
        <v>93.399263125248538</v>
      </c>
      <c r="AP180">
        <f t="shared" si="521"/>
        <v>700</v>
      </c>
      <c r="AQ180">
        <f t="shared" si="522"/>
        <v>93.399263125248538</v>
      </c>
      <c r="AS180" s="5">
        <f t="shared" si="439"/>
        <v>10.70672258579812</v>
      </c>
      <c r="AT180" s="5">
        <f t="shared" si="523"/>
        <v>6.8376781499889416</v>
      </c>
      <c r="AU180" s="5">
        <f t="shared" si="478"/>
        <v>3.8690444358091787</v>
      </c>
      <c r="AV180" s="5"/>
      <c r="AW180" s="173">
        <f t="shared" si="479"/>
        <v>0.63863410069657978</v>
      </c>
      <c r="AX180" s="173">
        <f t="shared" si="435"/>
        <v>16.87046151337578</v>
      </c>
      <c r="AY180" s="173">
        <f t="shared" si="436"/>
        <v>0.72435216138582681</v>
      </c>
      <c r="AZ180" s="173">
        <f t="shared" si="440"/>
        <v>23.290413714096331</v>
      </c>
      <c r="BA180" s="460">
        <f t="shared" si="433"/>
        <v>19.943227937467743</v>
      </c>
      <c r="BB180" s="5">
        <f t="shared" si="434"/>
        <v>6.1621696879604686</v>
      </c>
      <c r="BD180" s="173">
        <f t="shared" si="441"/>
        <v>2.7731424542113343</v>
      </c>
      <c r="BE180" s="173">
        <f t="shared" si="437"/>
        <v>1.3913793223645603</v>
      </c>
      <c r="BG180" s="528">
        <f t="shared" si="480"/>
        <v>0.30761276285397049</v>
      </c>
      <c r="BH180" s="528">
        <f t="shared" si="524"/>
        <v>0.31793996093350341</v>
      </c>
      <c r="BI180" s="528">
        <f t="shared" si="525"/>
        <v>3.2839878461200449E-2</v>
      </c>
      <c r="BJ180" s="528">
        <f t="shared" si="481"/>
        <v>1.0356339677741595E-2</v>
      </c>
      <c r="BK180">
        <f t="shared" si="482"/>
        <v>3.9555840198982504E-3</v>
      </c>
      <c r="BL180" s="460">
        <f t="shared" si="588"/>
        <v>36.795462481098696</v>
      </c>
      <c r="BM180" s="528">
        <f t="shared" si="526"/>
        <v>0.77565629111263878</v>
      </c>
      <c r="BN180" s="460">
        <f t="shared" si="527"/>
        <v>775.65629111263877</v>
      </c>
      <c r="BO180" s="528">
        <f t="shared" si="483"/>
        <v>0.48999999999999994</v>
      </c>
      <c r="BR180" s="460">
        <f t="shared" si="484"/>
        <v>489.99999999999994</v>
      </c>
      <c r="BS180" s="528">
        <f t="shared" si="485"/>
        <v>0.23070957214047785</v>
      </c>
      <c r="BT180" s="528">
        <f t="shared" si="486"/>
        <v>5.8078092561109886E-2</v>
      </c>
      <c r="BU180" s="528">
        <f t="shared" si="487"/>
        <v>0.37333225673719245</v>
      </c>
      <c r="BV180" s="528"/>
      <c r="BW180" s="528">
        <f t="shared" si="488"/>
        <v>0.67481846053503125</v>
      </c>
      <c r="BX180" s="460">
        <f t="shared" si="489"/>
        <v>1336.9383819738114</v>
      </c>
      <c r="BY180" s="173">
        <f t="shared" si="490"/>
        <v>2.4996429079201254</v>
      </c>
      <c r="BZ180" s="5">
        <f t="shared" si="491"/>
        <v>16.799999999999997</v>
      </c>
      <c r="CA180" s="173">
        <f t="shared" si="492"/>
        <v>0.8704824270663406</v>
      </c>
      <c r="CB180" s="5">
        <f t="shared" si="493"/>
        <v>87.048242706634056</v>
      </c>
      <c r="CE180" s="562">
        <f t="shared" si="528"/>
        <v>-50</v>
      </c>
      <c r="CF180">
        <f t="shared" si="529"/>
        <v>-50</v>
      </c>
      <c r="CG180" s="173">
        <f t="shared" si="530"/>
        <v>0.35013639353202231</v>
      </c>
      <c r="CI180" s="170">
        <v>70</v>
      </c>
      <c r="CJ180" s="217">
        <f t="shared" si="589"/>
        <v>0.7</v>
      </c>
      <c r="CK180" s="217"/>
      <c r="CL180" s="217">
        <f t="shared" si="531"/>
        <v>16.799999999999997</v>
      </c>
      <c r="CM180" s="541">
        <f t="shared" si="532"/>
        <v>9</v>
      </c>
      <c r="CN180" s="443">
        <f t="shared" si="533"/>
        <v>16.3415</v>
      </c>
      <c r="CO180" s="443">
        <f t="shared" si="534"/>
        <v>25.3415</v>
      </c>
      <c r="CP180" s="443"/>
      <c r="CQ180" s="217">
        <f t="shared" si="535"/>
        <v>0.64485133082098534</v>
      </c>
      <c r="CR180" s="172">
        <f t="shared" si="590"/>
        <v>32.320915977744015</v>
      </c>
      <c r="CS180" s="172">
        <f t="shared" si="536"/>
        <v>16.799999999999997</v>
      </c>
      <c r="CT180" s="217">
        <f t="shared" si="537"/>
        <v>1.3467048324060007</v>
      </c>
      <c r="CU180" s="217">
        <f t="shared" si="538"/>
        <v>24</v>
      </c>
      <c r="CV180" s="217"/>
      <c r="CW180" s="172">
        <f t="shared" si="539"/>
        <v>58.050545447847725</v>
      </c>
      <c r="CX180" s="536">
        <f t="shared" si="540"/>
        <v>24</v>
      </c>
      <c r="CY180" s="217">
        <f t="shared" si="541"/>
        <v>5.7894481330763172</v>
      </c>
      <c r="CZ180" s="217">
        <f t="shared" si="542"/>
        <v>6.4327201478625753</v>
      </c>
      <c r="DA180" s="217">
        <f t="shared" si="543"/>
        <v>3.5427886871317305</v>
      </c>
      <c r="DB180" s="197">
        <f t="shared" si="544"/>
        <v>261.16478898249903</v>
      </c>
      <c r="DC180" s="443">
        <f t="shared" si="545"/>
        <v>100.24551293984902</v>
      </c>
      <c r="DE180" s="217">
        <f t="shared" si="546"/>
        <v>2.2222222222222223</v>
      </c>
      <c r="DF180" s="173">
        <f t="shared" si="547"/>
        <v>1.3598642855443031</v>
      </c>
      <c r="DG180" s="173">
        <f t="shared" si="548"/>
        <v>0.26320462482489204</v>
      </c>
      <c r="DH180" s="173"/>
      <c r="DI180" s="173">
        <f t="shared" si="549"/>
        <v>1.3598642855443031</v>
      </c>
      <c r="DJ180" s="545">
        <f t="shared" si="550"/>
        <v>694.57499999999982</v>
      </c>
      <c r="DK180" s="528">
        <f t="shared" si="551"/>
        <v>0.26320462482489204</v>
      </c>
      <c r="DM180" s="173">
        <f t="shared" si="552"/>
        <v>3.1304951684997051</v>
      </c>
      <c r="DN180" s="173">
        <f t="shared" si="553"/>
        <v>5.7894481330763172</v>
      </c>
      <c r="DO180" s="173">
        <f t="shared" si="554"/>
        <v>3.842389563595626</v>
      </c>
      <c r="DQ180" s="545">
        <f t="shared" si="555"/>
        <v>700</v>
      </c>
      <c r="DR180" s="460">
        <f t="shared" si="556"/>
        <v>100.24551293984902</v>
      </c>
      <c r="DT180">
        <f t="shared" si="591"/>
        <v>700</v>
      </c>
      <c r="DU180">
        <f t="shared" si="592"/>
        <v>100.24551293984902</v>
      </c>
      <c r="DW180" s="5">
        <f t="shared" si="557"/>
        <v>9.975508834994308</v>
      </c>
      <c r="DX180" s="5">
        <f t="shared" si="558"/>
        <v>6.4327201478625753</v>
      </c>
      <c r="DY180" s="5">
        <f t="shared" si="559"/>
        <v>3.5427886871317327</v>
      </c>
      <c r="DZ180" s="5"/>
      <c r="EA180" s="173">
        <f t="shared" si="560"/>
        <v>0.64485133082098522</v>
      </c>
      <c r="EB180" s="173">
        <f t="shared" si="561"/>
        <v>16.799999999999994</v>
      </c>
      <c r="EC180" s="173">
        <f t="shared" si="562"/>
        <v>0.68571428571428572</v>
      </c>
      <c r="ED180" s="173">
        <f t="shared" si="563"/>
        <v>24.499999999999989</v>
      </c>
      <c r="EE180" s="460">
        <f t="shared" si="564"/>
        <v>18.762100431265843</v>
      </c>
      <c r="EF180" s="5">
        <f t="shared" si="565"/>
        <v>5.5110046244271373</v>
      </c>
      <c r="EH180" s="173">
        <f t="shared" si="566"/>
        <v>2.6841472697313162</v>
      </c>
      <c r="EI180" s="173">
        <f t="shared" si="567"/>
        <v>1.3286404487960128</v>
      </c>
      <c r="EK180" s="528">
        <f t="shared" si="568"/>
        <v>0.28818586262424317</v>
      </c>
      <c r="EL180" s="528">
        <f t="shared" si="569"/>
        <v>0.404452125</v>
      </c>
      <c r="EM180" s="528">
        <f t="shared" si="570"/>
        <v>2.0049102587969804E-2</v>
      </c>
      <c r="EN180" s="528">
        <f t="shared" si="571"/>
        <v>1.1265945001171876E-2</v>
      </c>
      <c r="EO180">
        <f t="shared" si="572"/>
        <v>4.0499999999999998E-3</v>
      </c>
      <c r="EP180" s="460">
        <f t="shared" si="573"/>
        <v>24.099102587969803</v>
      </c>
      <c r="EQ180" s="460"/>
      <c r="ER180" s="460">
        <f t="shared" si="593"/>
        <v>728.00303521338481</v>
      </c>
      <c r="ES180" s="528">
        <f t="shared" si="574"/>
        <v>0.48999999999999994</v>
      </c>
      <c r="EV180" s="460">
        <f t="shared" si="494"/>
        <v>489.99999999999994</v>
      </c>
      <c r="EW180" s="528">
        <f t="shared" si="575"/>
        <v>0.21613939696818238</v>
      </c>
      <c r="EX180" s="528">
        <f t="shared" si="576"/>
        <v>5.2958563265306111E-2</v>
      </c>
      <c r="EY180" s="528">
        <f t="shared" si="577"/>
        <v>0.40571893711760948</v>
      </c>
      <c r="EZ180" s="528"/>
      <c r="FA180" s="528">
        <f t="shared" si="578"/>
        <v>0.67199999999999971</v>
      </c>
      <c r="FB180" s="460">
        <f t="shared" si="579"/>
        <v>1346.8168973510976</v>
      </c>
      <c r="FC180" s="173">
        <f t="shared" si="580"/>
        <v>2.5648199325644825</v>
      </c>
      <c r="FD180" s="5">
        <f t="shared" si="581"/>
        <v>16.799999999999997</v>
      </c>
      <c r="FE180" s="173">
        <f t="shared" si="582"/>
        <v>0.8675526061437111</v>
      </c>
      <c r="FF180" s="5">
        <f t="shared" si="583"/>
        <v>86.75526061437111</v>
      </c>
      <c r="FI180" s="562">
        <f t="shared" si="584"/>
        <v>-50</v>
      </c>
      <c r="FJ180">
        <f t="shared" si="585"/>
        <v>-50</v>
      </c>
      <c r="FL180">
        <f t="shared" si="586"/>
        <v>0.35514866917901478</v>
      </c>
    </row>
    <row r="181" spans="5:168">
      <c r="E181" s="170">
        <v>71</v>
      </c>
      <c r="F181" s="217">
        <f t="shared" si="587"/>
        <v>0.71</v>
      </c>
      <c r="G181" s="217"/>
      <c r="H181" s="217">
        <f t="shared" si="495"/>
        <v>17.04</v>
      </c>
      <c r="I181" s="541">
        <f t="shared" si="496"/>
        <v>8.7872322769780133</v>
      </c>
      <c r="J181" s="172">
        <f t="shared" si="497"/>
        <v>16.382067722654657</v>
      </c>
      <c r="K181" s="172">
        <f t="shared" si="498"/>
        <v>25.169299999632671</v>
      </c>
      <c r="L181" s="443"/>
      <c r="M181" s="217">
        <f t="shared" si="499"/>
        <v>0.650867153475291</v>
      </c>
      <c r="N181" s="172">
        <f t="shared" si="500"/>
        <v>31.851215604057515</v>
      </c>
      <c r="O181" s="172">
        <f t="shared" si="438"/>
        <v>17.04</v>
      </c>
      <c r="P181" s="217">
        <f t="shared" si="501"/>
        <v>1.3271339835023965</v>
      </c>
      <c r="Q181" s="217">
        <f t="shared" si="502"/>
        <v>24</v>
      </c>
      <c r="R181" s="217"/>
      <c r="S181" s="172">
        <f t="shared" si="503"/>
        <v>55.700632175380932</v>
      </c>
      <c r="T181" s="536">
        <f t="shared" si="504"/>
        <v>24</v>
      </c>
      <c r="U181" s="217">
        <f t="shared" si="505"/>
        <v>6.0977806970196173</v>
      </c>
      <c r="V181" s="217">
        <f t="shared" si="506"/>
        <v>6.9393644151132925</v>
      </c>
      <c r="W181" s="217">
        <f t="shared" si="507"/>
        <v>3.7222289641661268</v>
      </c>
      <c r="X181" s="197">
        <f t="shared" si="508"/>
        <v>257.37253485878909</v>
      </c>
      <c r="Y181" s="443">
        <f t="shared" si="509"/>
        <v>92.067523159879329</v>
      </c>
      <c r="AA181" s="217">
        <f t="shared" si="510"/>
        <v>2.2222222222222228</v>
      </c>
      <c r="AB181" s="173">
        <f t="shared" si="511"/>
        <v>1.3564967865131738</v>
      </c>
      <c r="AC181" s="173">
        <f t="shared" si="512"/>
        <v>0.25874042887476573</v>
      </c>
      <c r="AD181" s="173"/>
      <c r="AE181" s="173">
        <f t="shared" si="513"/>
        <v>1.3564967865131736</v>
      </c>
      <c r="AF181" s="545">
        <f t="shared" si="514"/>
        <v>706.24641284098129</v>
      </c>
      <c r="AG181" s="528">
        <f t="shared" si="515"/>
        <v>0.25874042887476562</v>
      </c>
      <c r="AI181" s="173">
        <f t="shared" si="516"/>
        <v>3.1566875073279541</v>
      </c>
      <c r="AJ181" s="173">
        <f t="shared" si="517"/>
        <v>6.0977806970196173</v>
      </c>
      <c r="AK181" s="173">
        <f t="shared" si="518"/>
        <v>4.0707840554054782</v>
      </c>
      <c r="AM181" s="545">
        <f t="shared" si="519"/>
        <v>710</v>
      </c>
      <c r="AN181" s="460">
        <f t="shared" si="520"/>
        <v>92.067523159879329</v>
      </c>
      <c r="AP181">
        <f t="shared" si="521"/>
        <v>710</v>
      </c>
      <c r="AQ181">
        <f t="shared" si="522"/>
        <v>92.067523159879329</v>
      </c>
      <c r="AS181" s="5">
        <f t="shared" si="439"/>
        <v>10.861593379279419</v>
      </c>
      <c r="AT181" s="5">
        <f t="shared" si="523"/>
        <v>6.9393644151132925</v>
      </c>
      <c r="AU181" s="5">
        <f t="shared" si="478"/>
        <v>3.922228964166127</v>
      </c>
      <c r="AV181" s="5"/>
      <c r="AW181" s="173">
        <f t="shared" si="479"/>
        <v>0.63889009400328556</v>
      </c>
      <c r="AX181" s="173">
        <f t="shared" si="435"/>
        <v>17.116701081757789</v>
      </c>
      <c r="AY181" s="173">
        <f t="shared" si="436"/>
        <v>0.7343566662654929</v>
      </c>
      <c r="AZ181" s="173">
        <f t="shared" si="440"/>
        <v>23.308430178489814</v>
      </c>
      <c r="BA181" s="460">
        <f t="shared" ref="BA181:BA244" si="594">F181*AT181/Vout_ripple*1000</f>
        <v>20.528953061376821</v>
      </c>
      <c r="BB181" s="5">
        <f t="shared" ref="BB181:BB244" si="595">H181/Efficiency/I181*AU181/Vinripple1</f>
        <v>6.3382473042254759</v>
      </c>
      <c r="BD181" s="173">
        <f t="shared" si="441"/>
        <v>2.8140010233459547</v>
      </c>
      <c r="BE181" s="173">
        <f t="shared" si="437"/>
        <v>1.4110964810283038</v>
      </c>
      <c r="BG181" s="528">
        <f t="shared" si="480"/>
        <v>0.31674407037568325</v>
      </c>
      <c r="BH181" s="528">
        <f t="shared" si="524"/>
        <v>0.31793029738444811</v>
      </c>
      <c r="BI181" s="528">
        <f t="shared" si="525"/>
        <v>3.2360748446876496E-2</v>
      </c>
      <c r="BJ181" s="528">
        <f t="shared" si="481"/>
        <v>1.0206733677215678E-2</v>
      </c>
      <c r="BK181">
        <f t="shared" si="482"/>
        <v>3.9542545246401056E-3</v>
      </c>
      <c r="BL181" s="460">
        <f t="shared" si="588"/>
        <v>36.315002971516606</v>
      </c>
      <c r="BM181" s="528">
        <f t="shared" si="526"/>
        <v>0.78984442078301675</v>
      </c>
      <c r="BN181" s="460">
        <f t="shared" si="527"/>
        <v>789.84442078301674</v>
      </c>
      <c r="BO181" s="528">
        <f t="shared" si="483"/>
        <v>0.49699999999999994</v>
      </c>
      <c r="BR181" s="460">
        <f t="shared" si="484"/>
        <v>496.99999999999994</v>
      </c>
      <c r="BS181" s="528">
        <f t="shared" si="485"/>
        <v>0.2375580527817624</v>
      </c>
      <c r="BT181" s="528">
        <f t="shared" si="486"/>
        <v>5.9735798363113858E-2</v>
      </c>
      <c r="BU181" s="528">
        <f t="shared" si="487"/>
        <v>0.37339255689949352</v>
      </c>
      <c r="BV181" s="528"/>
      <c r="BW181" s="528">
        <f t="shared" si="488"/>
        <v>0.6846680432703115</v>
      </c>
      <c r="BX181" s="460">
        <f t="shared" si="489"/>
        <v>1355.3544513146815</v>
      </c>
      <c r="BY181" s="173">
        <f t="shared" si="490"/>
        <v>2.5335505557235454</v>
      </c>
      <c r="BZ181" s="5">
        <f t="shared" si="491"/>
        <v>17.04</v>
      </c>
      <c r="CA181" s="173">
        <f t="shared" si="492"/>
        <v>0.87056254569088887</v>
      </c>
      <c r="CB181" s="5">
        <f t="shared" si="493"/>
        <v>87.056254569088892</v>
      </c>
      <c r="CE181" s="562">
        <f t="shared" si="528"/>
        <v>-50</v>
      </c>
      <c r="CF181">
        <f t="shared" si="529"/>
        <v>-50</v>
      </c>
      <c r="CG181" s="173">
        <f t="shared" si="530"/>
        <v>0.35020698896366997</v>
      </c>
      <c r="CI181" s="170">
        <v>71</v>
      </c>
      <c r="CJ181" s="217">
        <f t="shared" si="589"/>
        <v>0.71</v>
      </c>
      <c r="CK181" s="217"/>
      <c r="CL181" s="217">
        <f t="shared" si="531"/>
        <v>17.04</v>
      </c>
      <c r="CM181" s="541">
        <f t="shared" si="532"/>
        <v>9</v>
      </c>
      <c r="CN181" s="443">
        <f t="shared" si="533"/>
        <v>16.3415</v>
      </c>
      <c r="CO181" s="443">
        <f t="shared" si="534"/>
        <v>25.3415</v>
      </c>
      <c r="CP181" s="443"/>
      <c r="CQ181" s="217">
        <f t="shared" si="535"/>
        <v>0.64485133082098534</v>
      </c>
      <c r="CR181" s="172">
        <f t="shared" si="590"/>
        <v>32.320915977744015</v>
      </c>
      <c r="CS181" s="172">
        <f t="shared" si="536"/>
        <v>17.04</v>
      </c>
      <c r="CT181" s="217">
        <f t="shared" si="537"/>
        <v>1.3467048324060007</v>
      </c>
      <c r="CU181" s="217">
        <f t="shared" si="538"/>
        <v>24</v>
      </c>
      <c r="CV181" s="217"/>
      <c r="CW181" s="172">
        <f t="shared" si="539"/>
        <v>57.046519626277018</v>
      </c>
      <c r="CX181" s="536">
        <f t="shared" si="540"/>
        <v>24</v>
      </c>
      <c r="CY181" s="217">
        <f t="shared" si="541"/>
        <v>5.8721545349774082</v>
      </c>
      <c r="CZ181" s="217">
        <f t="shared" si="542"/>
        <v>6.5246161499748991</v>
      </c>
      <c r="DA181" s="217">
        <f t="shared" si="543"/>
        <v>3.593399954090756</v>
      </c>
      <c r="DB181" s="197">
        <f t="shared" si="544"/>
        <v>261.16478898249903</v>
      </c>
      <c r="DC181" s="443">
        <f t="shared" si="545"/>
        <v>98.833604306893392</v>
      </c>
      <c r="DE181" s="217">
        <f t="shared" si="546"/>
        <v>2.2222222222222223</v>
      </c>
      <c r="DF181" s="173">
        <f t="shared" si="547"/>
        <v>1.3598642855443031</v>
      </c>
      <c r="DG181" s="173">
        <f t="shared" si="548"/>
        <v>0.26320462482489204</v>
      </c>
      <c r="DH181" s="173"/>
      <c r="DI181" s="173">
        <f t="shared" si="549"/>
        <v>1.3598642855443031</v>
      </c>
      <c r="DJ181" s="545">
        <f t="shared" si="550"/>
        <v>704.49749999999972</v>
      </c>
      <c r="DK181" s="528">
        <f t="shared" si="551"/>
        <v>0.26320462482489204</v>
      </c>
      <c r="DM181" s="173">
        <f t="shared" si="552"/>
        <v>3.1527765540868891</v>
      </c>
      <c r="DN181" s="173">
        <f t="shared" si="553"/>
        <v>5.8721545349774082</v>
      </c>
      <c r="DO181" s="173">
        <f t="shared" si="554"/>
        <v>3.9036535650038413</v>
      </c>
      <c r="DQ181" s="545">
        <f t="shared" si="555"/>
        <v>710</v>
      </c>
      <c r="DR181" s="460">
        <f t="shared" si="556"/>
        <v>98.833604306893392</v>
      </c>
      <c r="DT181">
        <f t="shared" si="591"/>
        <v>710</v>
      </c>
      <c r="DU181">
        <f t="shared" si="592"/>
        <v>98.833604306893392</v>
      </c>
      <c r="DW181" s="5">
        <f t="shared" si="557"/>
        <v>10.118016104065655</v>
      </c>
      <c r="DX181" s="5">
        <f t="shared" si="558"/>
        <v>6.5246161499748991</v>
      </c>
      <c r="DY181" s="5">
        <f t="shared" si="559"/>
        <v>3.5933999540907555</v>
      </c>
      <c r="DZ181" s="5"/>
      <c r="EA181" s="173">
        <f t="shared" si="560"/>
        <v>0.64485133082098534</v>
      </c>
      <c r="EB181" s="173">
        <f t="shared" si="561"/>
        <v>17.039999999999996</v>
      </c>
      <c r="EC181" s="173">
        <f t="shared" si="562"/>
        <v>0.69551020408163255</v>
      </c>
      <c r="ED181" s="173">
        <f t="shared" si="563"/>
        <v>24.499999999999996</v>
      </c>
      <c r="EE181" s="460">
        <f t="shared" si="564"/>
        <v>19.30198944367574</v>
      </c>
      <c r="EF181" s="5">
        <f t="shared" si="565"/>
        <v>5.6695865942320802</v>
      </c>
      <c r="EH181" s="173">
        <f t="shared" si="566"/>
        <v>2.7224922307274788</v>
      </c>
      <c r="EI181" s="173">
        <f t="shared" si="567"/>
        <v>1.3476210266359558</v>
      </c>
      <c r="EK181" s="528">
        <f t="shared" si="568"/>
        <v>0.29647855785485933</v>
      </c>
      <c r="EL181" s="528">
        <f t="shared" si="569"/>
        <v>0.404452125</v>
      </c>
      <c r="EM181" s="528">
        <f t="shared" si="570"/>
        <v>1.9766720861378675E-2</v>
      </c>
      <c r="EN181" s="528">
        <f t="shared" si="571"/>
        <v>1.110726971946523E-2</v>
      </c>
      <c r="EO181">
        <f t="shared" si="572"/>
        <v>4.0499999999999998E-3</v>
      </c>
      <c r="EP181" s="460">
        <f t="shared" si="573"/>
        <v>23.816720861378677</v>
      </c>
      <c r="EQ181" s="460"/>
      <c r="ER181" s="460">
        <f t="shared" si="593"/>
        <v>735.85467343570326</v>
      </c>
      <c r="ES181" s="528">
        <f t="shared" si="574"/>
        <v>0.49699999999999994</v>
      </c>
      <c r="EV181" s="460">
        <f t="shared" si="494"/>
        <v>496.99999999999994</v>
      </c>
      <c r="EW181" s="528">
        <f t="shared" si="575"/>
        <v>0.22235891839114449</v>
      </c>
      <c r="EX181" s="528">
        <f t="shared" si="576"/>
        <v>5.4482472942940424E-2</v>
      </c>
      <c r="EY181" s="528">
        <f t="shared" si="577"/>
        <v>0.40571893711760987</v>
      </c>
      <c r="EZ181" s="528"/>
      <c r="FA181" s="528">
        <f t="shared" si="578"/>
        <v>0.68159999999999998</v>
      </c>
      <c r="FB181" s="460">
        <f t="shared" si="579"/>
        <v>1364.1603284516948</v>
      </c>
      <c r="FC181" s="173">
        <f t="shared" si="580"/>
        <v>2.5970150018873981</v>
      </c>
      <c r="FD181" s="5">
        <f t="shared" si="581"/>
        <v>17.04</v>
      </c>
      <c r="FE181" s="173">
        <f t="shared" si="582"/>
        <v>0.86774899333540312</v>
      </c>
      <c r="FF181" s="5">
        <f t="shared" si="583"/>
        <v>86.774899333540318</v>
      </c>
      <c r="FI181" s="562">
        <f t="shared" si="584"/>
        <v>-50</v>
      </c>
      <c r="FJ181">
        <f t="shared" si="585"/>
        <v>-50</v>
      </c>
      <c r="FL181">
        <f t="shared" si="586"/>
        <v>0.35514866917901466</v>
      </c>
    </row>
    <row r="182" spans="5:168">
      <c r="E182" s="170">
        <v>72</v>
      </c>
      <c r="F182" s="217">
        <f t="shared" si="587"/>
        <v>0.72</v>
      </c>
      <c r="G182" s="217"/>
      <c r="H182" s="217">
        <f t="shared" si="495"/>
        <v>17.28</v>
      </c>
      <c r="I182" s="541">
        <f t="shared" si="496"/>
        <v>8.784277826259494</v>
      </c>
      <c r="J182" s="172">
        <f t="shared" si="497"/>
        <v>16.382631038065675</v>
      </c>
      <c r="K182" s="172">
        <f t="shared" si="498"/>
        <v>25.166908864325169</v>
      </c>
      <c r="L182" s="443"/>
      <c r="M182" s="217">
        <f t="shared" si="499"/>
        <v>0.6509513796710461</v>
      </c>
      <c r="N182" s="172">
        <f t="shared" si="500"/>
        <v>31.844626917775049</v>
      </c>
      <c r="O182" s="172">
        <f t="shared" si="438"/>
        <v>17.28</v>
      </c>
      <c r="P182" s="217">
        <f t="shared" si="501"/>
        <v>1.3268594549072936</v>
      </c>
      <c r="Q182" s="217">
        <f t="shared" si="502"/>
        <v>24</v>
      </c>
      <c r="R182" s="217"/>
      <c r="S182" s="172">
        <f t="shared" si="503"/>
        <v>54.729318304613528</v>
      </c>
      <c r="T182" s="536">
        <f t="shared" si="504"/>
        <v>24</v>
      </c>
      <c r="U182" s="217">
        <f t="shared" si="505"/>
        <v>6.1851570640660407</v>
      </c>
      <c r="V182" s="217">
        <f t="shared" si="506"/>
        <v>7.0411673974794979</v>
      </c>
      <c r="W182" s="217">
        <f t="shared" si="507"/>
        <v>3.7754357341592999</v>
      </c>
      <c r="X182" s="197">
        <f t="shared" si="508"/>
        <v>257.31929377055957</v>
      </c>
      <c r="Y182" s="443">
        <f t="shared" si="509"/>
        <v>90.772081743426014</v>
      </c>
      <c r="AA182" s="217">
        <f t="shared" si="510"/>
        <v>2.2222222222222223</v>
      </c>
      <c r="AB182" s="173">
        <f t="shared" si="511"/>
        <v>1.3564501434835488</v>
      </c>
      <c r="AC182" s="173">
        <f t="shared" si="512"/>
        <v>0.25867800989084372</v>
      </c>
      <c r="AD182" s="173"/>
      <c r="AE182" s="173">
        <f t="shared" si="513"/>
        <v>1.3564501434835488</v>
      </c>
      <c r="AF182" s="545">
        <f t="shared" si="514"/>
        <v>716.21817251873313</v>
      </c>
      <c r="AG182" s="528">
        <f t="shared" si="515"/>
        <v>0.25867800989084377</v>
      </c>
      <c r="AI182" s="173">
        <f t="shared" si="516"/>
        <v>3.1788946256251847</v>
      </c>
      <c r="AJ182" s="173">
        <f t="shared" si="517"/>
        <v>6.1851570640660407</v>
      </c>
      <c r="AK182" s="173">
        <f t="shared" si="518"/>
        <v>4.1355072902546803</v>
      </c>
      <c r="AM182" s="545">
        <f t="shared" si="519"/>
        <v>720</v>
      </c>
      <c r="AN182" s="460">
        <f t="shared" si="520"/>
        <v>90.772081743426014</v>
      </c>
      <c r="AP182">
        <f t="shared" si="521"/>
        <v>720</v>
      </c>
      <c r="AQ182">
        <f t="shared" si="522"/>
        <v>90.772081743426014</v>
      </c>
      <c r="AS182" s="5">
        <f t="shared" si="439"/>
        <v>11.016603131638799</v>
      </c>
      <c r="AT182" s="5">
        <f t="shared" si="523"/>
        <v>7.0411673974794979</v>
      </c>
      <c r="AU182" s="5">
        <f t="shared" si="478"/>
        <v>3.9754357341593014</v>
      </c>
      <c r="AV182" s="5"/>
      <c r="AW182" s="173">
        <f t="shared" si="479"/>
        <v>0.63914142257315509</v>
      </c>
      <c r="AX182" s="173">
        <f t="shared" si="435"/>
        <v>17.362960002297537</v>
      </c>
      <c r="AY182" s="173">
        <f t="shared" si="436"/>
        <v>0.74436098759670755</v>
      </c>
      <c r="AZ182" s="173">
        <f t="shared" si="440"/>
        <v>23.325994096435284</v>
      </c>
      <c r="BA182" s="460">
        <f t="shared" si="594"/>
        <v>21.12350219243849</v>
      </c>
      <c r="BB182" s="5">
        <f t="shared" si="595"/>
        <v>6.5169016399690136</v>
      </c>
      <c r="BD182" s="173">
        <f t="shared" si="441"/>
        <v>2.8548847950126692</v>
      </c>
      <c r="BE182" s="173">
        <f t="shared" si="437"/>
        <v>1.4308181987876376</v>
      </c>
      <c r="BG182" s="528">
        <f t="shared" si="480"/>
        <v>0.32601468771178121</v>
      </c>
      <c r="BH182" s="528">
        <f t="shared" si="524"/>
        <v>0.31791822319135821</v>
      </c>
      <c r="BI182" s="528">
        <f t="shared" si="525"/>
        <v>3.1894687396087661E-2</v>
      </c>
      <c r="BJ182" s="528">
        <f t="shared" si="481"/>
        <v>1.006120729665699E-2</v>
      </c>
      <c r="BK182">
        <f t="shared" si="482"/>
        <v>3.9529250218167718E-3</v>
      </c>
      <c r="BL182" s="460">
        <f t="shared" si="588"/>
        <v>35.847612417904436</v>
      </c>
      <c r="BM182" s="528">
        <f t="shared" si="526"/>
        <v>0.80432172093572707</v>
      </c>
      <c r="BN182" s="460">
        <f t="shared" si="527"/>
        <v>804.32172093572706</v>
      </c>
      <c r="BO182" s="528">
        <f t="shared" si="483"/>
        <v>0.504</v>
      </c>
      <c r="BR182" s="460">
        <f t="shared" si="484"/>
        <v>504</v>
      </c>
      <c r="BS182" s="528">
        <f t="shared" si="485"/>
        <v>0.24451101578383588</v>
      </c>
      <c r="BT182" s="528">
        <f t="shared" si="486"/>
        <v>6.1417221539456987E-2</v>
      </c>
      <c r="BU182" s="528">
        <f t="shared" si="487"/>
        <v>0.37344579561230545</v>
      </c>
      <c r="BV182" s="528"/>
      <c r="BW182" s="528">
        <f t="shared" si="488"/>
        <v>0.69451840009190147</v>
      </c>
      <c r="BX182" s="460">
        <f t="shared" si="489"/>
        <v>1373.8924330274997</v>
      </c>
      <c r="BY182" s="173">
        <f t="shared" si="490"/>
        <v>2.5677341636452007</v>
      </c>
      <c r="BZ182" s="5">
        <f t="shared" si="491"/>
        <v>17.28</v>
      </c>
      <c r="CA182" s="173">
        <f t="shared" si="492"/>
        <v>0.87062834767565145</v>
      </c>
      <c r="CB182" s="5">
        <f t="shared" si="493"/>
        <v>87.06283476756515</v>
      </c>
      <c r="CE182" s="562">
        <f t="shared" si="528"/>
        <v>-50</v>
      </c>
      <c r="CF182">
        <f t="shared" si="529"/>
        <v>-50</v>
      </c>
      <c r="CG182" s="173">
        <f t="shared" si="530"/>
        <v>0.35027562341110546</v>
      </c>
      <c r="CI182" s="170">
        <v>72</v>
      </c>
      <c r="CJ182" s="217">
        <f t="shared" si="589"/>
        <v>0.72</v>
      </c>
      <c r="CK182" s="217"/>
      <c r="CL182" s="217">
        <f t="shared" si="531"/>
        <v>17.28</v>
      </c>
      <c r="CM182" s="541">
        <f t="shared" si="532"/>
        <v>9</v>
      </c>
      <c r="CN182" s="443">
        <f t="shared" si="533"/>
        <v>16.3415</v>
      </c>
      <c r="CO182" s="443">
        <f t="shared" si="534"/>
        <v>25.3415</v>
      </c>
      <c r="CP182" s="443"/>
      <c r="CQ182" s="217">
        <f t="shared" si="535"/>
        <v>0.64485133082098534</v>
      </c>
      <c r="CR182" s="172">
        <f t="shared" si="590"/>
        <v>32.320915977744015</v>
      </c>
      <c r="CS182" s="172">
        <f t="shared" si="536"/>
        <v>17.28</v>
      </c>
      <c r="CT182" s="217">
        <f t="shared" si="537"/>
        <v>1.3467048324060007</v>
      </c>
      <c r="CU182" s="217">
        <f t="shared" si="538"/>
        <v>24</v>
      </c>
      <c r="CV182" s="217"/>
      <c r="CW182" s="172">
        <f t="shared" si="539"/>
        <v>56.070451683092472</v>
      </c>
      <c r="CX182" s="536">
        <f t="shared" si="540"/>
        <v>24</v>
      </c>
      <c r="CY182" s="217">
        <f t="shared" si="541"/>
        <v>5.9548609368784993</v>
      </c>
      <c r="CZ182" s="217">
        <f t="shared" si="542"/>
        <v>6.6165121520872212</v>
      </c>
      <c r="DA182" s="217">
        <f t="shared" si="543"/>
        <v>3.644011221049781</v>
      </c>
      <c r="DB182" s="197">
        <f t="shared" si="544"/>
        <v>261.16478898249903</v>
      </c>
      <c r="DC182" s="443">
        <f t="shared" si="545"/>
        <v>97.46091535818654</v>
      </c>
      <c r="DE182" s="217">
        <f t="shared" si="546"/>
        <v>2.2222222222222223</v>
      </c>
      <c r="DF182" s="173">
        <f t="shared" si="547"/>
        <v>1.3598642855443031</v>
      </c>
      <c r="DG182" s="173">
        <f t="shared" si="548"/>
        <v>0.26320462482489204</v>
      </c>
      <c r="DH182" s="173"/>
      <c r="DI182" s="173">
        <f t="shared" si="549"/>
        <v>1.3598642855443031</v>
      </c>
      <c r="DJ182" s="545">
        <f t="shared" si="550"/>
        <v>714.41999999999973</v>
      </c>
      <c r="DK182" s="528">
        <f t="shared" si="551"/>
        <v>0.26320462482489204</v>
      </c>
      <c r="DM182" s="173">
        <f t="shared" si="552"/>
        <v>3.1749015732775083</v>
      </c>
      <c r="DN182" s="173">
        <f t="shared" si="553"/>
        <v>5.9548609368784993</v>
      </c>
      <c r="DO182" s="173">
        <f t="shared" si="554"/>
        <v>3.9649175664120575</v>
      </c>
      <c r="DQ182" s="545">
        <f t="shared" si="555"/>
        <v>720</v>
      </c>
      <c r="DR182" s="460">
        <f t="shared" si="556"/>
        <v>97.46091535818654</v>
      </c>
      <c r="DT182">
        <f t="shared" si="591"/>
        <v>720</v>
      </c>
      <c r="DU182">
        <f t="shared" si="592"/>
        <v>97.46091535818654</v>
      </c>
      <c r="DW182" s="5">
        <f t="shared" si="557"/>
        <v>10.260523373137003</v>
      </c>
      <c r="DX182" s="5">
        <f t="shared" si="558"/>
        <v>6.6165121520872212</v>
      </c>
      <c r="DY182" s="5">
        <f t="shared" si="559"/>
        <v>3.6440112210497819</v>
      </c>
      <c r="DZ182" s="5"/>
      <c r="EA182" s="173">
        <f t="shared" si="560"/>
        <v>0.64485133082098522</v>
      </c>
      <c r="EB182" s="173">
        <f t="shared" si="561"/>
        <v>17.28</v>
      </c>
      <c r="EC182" s="173">
        <f t="shared" si="562"/>
        <v>0.70530612244897983</v>
      </c>
      <c r="ED182" s="173">
        <f t="shared" si="563"/>
        <v>24.499999999999993</v>
      </c>
      <c r="EE182" s="460">
        <f t="shared" si="564"/>
        <v>19.84953645626166</v>
      </c>
      <c r="EF182" s="5">
        <f t="shared" si="565"/>
        <v>5.8304179536796514</v>
      </c>
      <c r="EH182" s="173">
        <f t="shared" si="566"/>
        <v>2.7608371917236405</v>
      </c>
      <c r="EI182" s="173">
        <f t="shared" si="567"/>
        <v>1.3666016044758993</v>
      </c>
      <c r="EK182" s="528">
        <f t="shared" si="568"/>
        <v>0.30488887996817915</v>
      </c>
      <c r="EL182" s="528">
        <f t="shared" si="569"/>
        <v>0.404452125</v>
      </c>
      <c r="EM182" s="528">
        <f t="shared" si="570"/>
        <v>1.9492183071637307E-2</v>
      </c>
      <c r="EN182" s="528">
        <f t="shared" si="571"/>
        <v>1.0953002084472656E-2</v>
      </c>
      <c r="EO182">
        <f t="shared" si="572"/>
        <v>4.0499999999999998E-3</v>
      </c>
      <c r="EP182" s="460">
        <f t="shared" si="573"/>
        <v>23.542183071637307</v>
      </c>
      <c r="EQ182" s="460"/>
      <c r="ER182" s="460">
        <f t="shared" si="593"/>
        <v>743.83619012428926</v>
      </c>
      <c r="ES182" s="528">
        <f t="shared" si="574"/>
        <v>0.504</v>
      </c>
      <c r="EV182" s="460">
        <f t="shared" si="494"/>
        <v>504</v>
      </c>
      <c r="EW182" s="528">
        <f t="shared" si="575"/>
        <v>0.22866665997613433</v>
      </c>
      <c r="EX182" s="528">
        <f t="shared" si="576"/>
        <v>5.6027998360683069E-2</v>
      </c>
      <c r="EY182" s="528">
        <f t="shared" si="577"/>
        <v>0.40571893711760981</v>
      </c>
      <c r="EZ182" s="528"/>
      <c r="FA182" s="528">
        <f t="shared" si="578"/>
        <v>0.69120000000000004</v>
      </c>
      <c r="FB182" s="460">
        <f t="shared" si="579"/>
        <v>1381.6135954544272</v>
      </c>
      <c r="FC182" s="173">
        <f t="shared" si="580"/>
        <v>2.629449785578716</v>
      </c>
      <c r="FD182" s="5">
        <f t="shared" si="581"/>
        <v>17.28</v>
      </c>
      <c r="FE182" s="173">
        <f t="shared" si="582"/>
        <v>0.86792956038979341</v>
      </c>
      <c r="FF182" s="5">
        <f t="shared" si="583"/>
        <v>86.792956038979341</v>
      </c>
      <c r="FI182" s="562">
        <f t="shared" si="584"/>
        <v>-50</v>
      </c>
      <c r="FJ182">
        <f t="shared" si="585"/>
        <v>-50</v>
      </c>
      <c r="FL182">
        <f t="shared" si="586"/>
        <v>0.35514866917901478</v>
      </c>
    </row>
    <row r="183" spans="5:168">
      <c r="E183" s="170">
        <v>73</v>
      </c>
      <c r="F183" s="217">
        <f t="shared" si="587"/>
        <v>0.73</v>
      </c>
      <c r="G183" s="217"/>
      <c r="H183" s="217">
        <f t="shared" si="495"/>
        <v>17.52</v>
      </c>
      <c r="I183" s="541">
        <f t="shared" si="496"/>
        <v>8.7813233594298037</v>
      </c>
      <c r="J183" s="172">
        <f t="shared" si="497"/>
        <v>16.383194356548561</v>
      </c>
      <c r="K183" s="172">
        <f t="shared" si="498"/>
        <v>25.164517715978363</v>
      </c>
      <c r="L183" s="443"/>
      <c r="M183" s="217">
        <f t="shared" si="499"/>
        <v>0.65103562228960909</v>
      </c>
      <c r="N183" s="172">
        <f t="shared" si="500"/>
        <v>31.838036204583307</v>
      </c>
      <c r="O183" s="172">
        <f t="shared" si="438"/>
        <v>17.52</v>
      </c>
      <c r="P183" s="217">
        <f t="shared" si="501"/>
        <v>1.3265848418576378</v>
      </c>
      <c r="Q183" s="217">
        <f t="shared" si="502"/>
        <v>24</v>
      </c>
      <c r="R183" s="217"/>
      <c r="S183" s="172">
        <f t="shared" si="503"/>
        <v>53.784804874865529</v>
      </c>
      <c r="T183" s="536">
        <f t="shared" si="504"/>
        <v>24</v>
      </c>
      <c r="U183" s="217">
        <f t="shared" si="505"/>
        <v>6.2725759047044694</v>
      </c>
      <c r="V183" s="217">
        <f t="shared" si="506"/>
        <v>7.1430872636852376</v>
      </c>
      <c r="W183" s="217">
        <f t="shared" si="507"/>
        <v>3.8286647696377023</v>
      </c>
      <c r="X183" s="197">
        <f t="shared" si="508"/>
        <v>257.26603632165126</v>
      </c>
      <c r="Y183" s="443">
        <f t="shared" si="509"/>
        <v>89.511474746057246</v>
      </c>
      <c r="AA183" s="217">
        <f t="shared" si="510"/>
        <v>2.2222222222222228</v>
      </c>
      <c r="AB183" s="173">
        <f t="shared" si="511"/>
        <v>1.3564035034071205</v>
      </c>
      <c r="AC183" s="173">
        <f t="shared" si="512"/>
        <v>0.25861557870432483</v>
      </c>
      <c r="AD183" s="173"/>
      <c r="AE183" s="173">
        <f t="shared" si="513"/>
        <v>1.3564035034071202</v>
      </c>
      <c r="AF183" s="545">
        <f t="shared" si="514"/>
        <v>726.19061641882752</v>
      </c>
      <c r="AG183" s="528">
        <f t="shared" si="515"/>
        <v>0.25861557870432478</v>
      </c>
      <c r="AI183" s="173">
        <f t="shared" si="516"/>
        <v>3.2009491899540929</v>
      </c>
      <c r="AJ183" s="173">
        <f t="shared" si="517"/>
        <v>6.2725759047044694</v>
      </c>
      <c r="AK183" s="173">
        <f t="shared" si="518"/>
        <v>4.2002619870238869</v>
      </c>
      <c r="AM183" s="545">
        <f t="shared" si="519"/>
        <v>730</v>
      </c>
      <c r="AN183" s="460">
        <f t="shared" si="520"/>
        <v>89.511474746057246</v>
      </c>
      <c r="AP183">
        <f t="shared" si="521"/>
        <v>730</v>
      </c>
      <c r="AQ183">
        <f t="shared" si="522"/>
        <v>89.511474746057246</v>
      </c>
      <c r="AS183" s="5">
        <f t="shared" si="439"/>
        <v>11.171752033322941</v>
      </c>
      <c r="AT183" s="5">
        <f t="shared" si="523"/>
        <v>7.1430872636852376</v>
      </c>
      <c r="AU183" s="5">
        <f t="shared" si="478"/>
        <v>4.0286647696377029</v>
      </c>
      <c r="AV183" s="5"/>
      <c r="AW183" s="173">
        <f t="shared" si="479"/>
        <v>0.63938827521224428</v>
      </c>
      <c r="AX183" s="173">
        <f t="shared" si="435"/>
        <v>17.609238176304295</v>
      </c>
      <c r="AY183" s="173">
        <f t="shared" si="436"/>
        <v>0.75436513268850836</v>
      </c>
      <c r="AZ183" s="173">
        <f t="shared" si="440"/>
        <v>23.343123128644763</v>
      </c>
      <c r="BA183" s="460">
        <f t="shared" si="594"/>
        <v>21.726890427042598</v>
      </c>
      <c r="BB183" s="5">
        <f t="shared" si="595"/>
        <v>6.6981368558246226</v>
      </c>
      <c r="BD183" s="173">
        <f t="shared" si="441"/>
        <v>2.8957937880122961</v>
      </c>
      <c r="BE183" s="173">
        <f t="shared" si="437"/>
        <v>1.4505444894825534</v>
      </c>
      <c r="BG183" s="528">
        <f t="shared" si="480"/>
        <v>0.33542486650762415</v>
      </c>
      <c r="BH183" s="528">
        <f t="shared" si="524"/>
        <v>0.31790383528729327</v>
      </c>
      <c r="BI183" s="528">
        <f t="shared" si="525"/>
        <v>3.144116816498254E-2</v>
      </c>
      <c r="BJ183" s="528">
        <f t="shared" si="481"/>
        <v>9.9195959817281066E-3</v>
      </c>
      <c r="BK183">
        <f t="shared" si="482"/>
        <v>3.9515955117434111E-3</v>
      </c>
      <c r="BL183" s="460">
        <f t="shared" si="588"/>
        <v>35.392763676725956</v>
      </c>
      <c r="BM183" s="528">
        <f t="shared" si="526"/>
        <v>0.8190921570092341</v>
      </c>
      <c r="BN183" s="460">
        <f t="shared" si="527"/>
        <v>819.09215700923414</v>
      </c>
      <c r="BO183" s="528">
        <f t="shared" si="483"/>
        <v>0.51100000000000001</v>
      </c>
      <c r="BR183" s="460">
        <f t="shared" si="484"/>
        <v>511</v>
      </c>
      <c r="BS183" s="528">
        <f t="shared" si="485"/>
        <v>0.25156864988071809</v>
      </c>
      <c r="BT183" s="528">
        <f t="shared" si="486"/>
        <v>6.3122379479046045E-2</v>
      </c>
      <c r="BU183" s="528">
        <f t="shared" si="487"/>
        <v>0.37349225373318007</v>
      </c>
      <c r="BV183" s="528"/>
      <c r="BW183" s="528">
        <f t="shared" si="488"/>
        <v>0.70436952705217193</v>
      </c>
      <c r="BX183" s="460">
        <f t="shared" si="489"/>
        <v>1392.5528101451162</v>
      </c>
      <c r="BY183" s="173">
        <f t="shared" si="490"/>
        <v>2.6021938715984878</v>
      </c>
      <c r="BZ183" s="5">
        <f t="shared" si="491"/>
        <v>17.52</v>
      </c>
      <c r="CA183" s="173">
        <f t="shared" si="492"/>
        <v>0.87068040949196102</v>
      </c>
      <c r="CB183" s="5">
        <f t="shared" si="493"/>
        <v>87.068040949196103</v>
      </c>
      <c r="CE183" s="562">
        <f t="shared" si="528"/>
        <v>-50</v>
      </c>
      <c r="CF183">
        <f t="shared" si="529"/>
        <v>-50</v>
      </c>
      <c r="CG183" s="173">
        <f t="shared" si="530"/>
        <v>0.35034237746272051</v>
      </c>
      <c r="CI183" s="170">
        <v>73</v>
      </c>
      <c r="CJ183" s="217">
        <f t="shared" si="589"/>
        <v>0.73</v>
      </c>
      <c r="CK183" s="217"/>
      <c r="CL183" s="217">
        <f t="shared" si="531"/>
        <v>17.52</v>
      </c>
      <c r="CM183" s="541">
        <f t="shared" si="532"/>
        <v>9</v>
      </c>
      <c r="CN183" s="443">
        <f t="shared" si="533"/>
        <v>16.3415</v>
      </c>
      <c r="CO183" s="443">
        <f t="shared" si="534"/>
        <v>25.3415</v>
      </c>
      <c r="CP183" s="443"/>
      <c r="CQ183" s="217">
        <f t="shared" si="535"/>
        <v>0.64485133082098534</v>
      </c>
      <c r="CR183" s="172">
        <f t="shared" si="590"/>
        <v>32.320915977744015</v>
      </c>
      <c r="CS183" s="172">
        <f t="shared" si="536"/>
        <v>17.52</v>
      </c>
      <c r="CT183" s="217">
        <f t="shared" si="537"/>
        <v>1.3467048324060007</v>
      </c>
      <c r="CU183" s="217">
        <f t="shared" si="538"/>
        <v>24</v>
      </c>
      <c r="CV183" s="217"/>
      <c r="CW183" s="172">
        <f t="shared" si="539"/>
        <v>55.121193283322526</v>
      </c>
      <c r="CX183" s="536">
        <f t="shared" si="540"/>
        <v>24</v>
      </c>
      <c r="CY183" s="217">
        <f t="shared" si="541"/>
        <v>6.0375673387795894</v>
      </c>
      <c r="CZ183" s="217">
        <f t="shared" si="542"/>
        <v>6.7084081541995442</v>
      </c>
      <c r="DA183" s="217">
        <f t="shared" si="543"/>
        <v>3.6946224880088057</v>
      </c>
      <c r="DB183" s="197">
        <f t="shared" si="544"/>
        <v>261.16478898249903</v>
      </c>
      <c r="DC183" s="443">
        <f t="shared" si="545"/>
        <v>96.125834325882607</v>
      </c>
      <c r="DE183" s="217">
        <f t="shared" si="546"/>
        <v>2.2222222222222223</v>
      </c>
      <c r="DF183" s="173">
        <f t="shared" si="547"/>
        <v>1.3598642855443031</v>
      </c>
      <c r="DG183" s="173">
        <f t="shared" si="548"/>
        <v>0.26320462482489204</v>
      </c>
      <c r="DH183" s="173"/>
      <c r="DI183" s="173">
        <f t="shared" si="549"/>
        <v>1.3598642855443031</v>
      </c>
      <c r="DJ183" s="545">
        <f t="shared" si="550"/>
        <v>724.34249999999975</v>
      </c>
      <c r="DK183" s="528">
        <f t="shared" si="551"/>
        <v>0.26320462482489204</v>
      </c>
      <c r="DM183" s="173">
        <f t="shared" si="552"/>
        <v>3.1968734726291559</v>
      </c>
      <c r="DN183" s="173">
        <f t="shared" si="553"/>
        <v>6.0375673387795894</v>
      </c>
      <c r="DO183" s="173">
        <f t="shared" si="554"/>
        <v>4.0261815678202719</v>
      </c>
      <c r="DQ183" s="545">
        <f t="shared" si="555"/>
        <v>730</v>
      </c>
      <c r="DR183" s="460">
        <f t="shared" si="556"/>
        <v>96.125834325882607</v>
      </c>
      <c r="DT183">
        <f t="shared" si="591"/>
        <v>730</v>
      </c>
      <c r="DU183">
        <f t="shared" si="592"/>
        <v>96.125834325882607</v>
      </c>
      <c r="DW183" s="5">
        <f t="shared" si="557"/>
        <v>10.40303064220835</v>
      </c>
      <c r="DX183" s="5">
        <f t="shared" si="558"/>
        <v>6.7084081541995442</v>
      </c>
      <c r="DY183" s="5">
        <f t="shared" si="559"/>
        <v>3.6946224880088057</v>
      </c>
      <c r="DZ183" s="5"/>
      <c r="EA183" s="173">
        <f t="shared" si="560"/>
        <v>0.64485133082098534</v>
      </c>
      <c r="EB183" s="173">
        <f t="shared" si="561"/>
        <v>17.519999999999996</v>
      </c>
      <c r="EC183" s="173">
        <f t="shared" si="562"/>
        <v>0.71510204081632645</v>
      </c>
      <c r="ED183" s="173">
        <f t="shared" si="563"/>
        <v>24.499999999999996</v>
      </c>
      <c r="EE183" s="460">
        <f t="shared" si="564"/>
        <v>20.404741469023612</v>
      </c>
      <c r="EF183" s="5">
        <f t="shared" si="565"/>
        <v>5.9934987027698394</v>
      </c>
      <c r="EH183" s="173">
        <f t="shared" si="566"/>
        <v>2.7991821527198022</v>
      </c>
      <c r="EI183" s="173">
        <f t="shared" si="567"/>
        <v>1.3855821823158418</v>
      </c>
      <c r="EK183" s="528">
        <f t="shared" si="568"/>
        <v>0.31341682896420264</v>
      </c>
      <c r="EL183" s="528">
        <f t="shared" si="569"/>
        <v>0.404452125</v>
      </c>
      <c r="EM183" s="528">
        <f t="shared" si="570"/>
        <v>1.9225166865176523E-2</v>
      </c>
      <c r="EN183" s="528">
        <f t="shared" si="571"/>
        <v>1.0802960960027825E-2</v>
      </c>
      <c r="EO183">
        <f t="shared" si="572"/>
        <v>4.0499999999999998E-3</v>
      </c>
      <c r="EP183" s="460">
        <f t="shared" si="573"/>
        <v>23.275166865176519</v>
      </c>
      <c r="EQ183" s="460"/>
      <c r="ER183" s="460">
        <f t="shared" si="593"/>
        <v>751.94708178940709</v>
      </c>
      <c r="ES183" s="528">
        <f t="shared" si="574"/>
        <v>0.51100000000000001</v>
      </c>
      <c r="EV183" s="460">
        <f t="shared" si="494"/>
        <v>511</v>
      </c>
      <c r="EW183" s="528">
        <f t="shared" si="575"/>
        <v>0.23506262172315195</v>
      </c>
      <c r="EX183" s="528">
        <f t="shared" si="576"/>
        <v>5.7595139518533921E-2</v>
      </c>
      <c r="EY183" s="528">
        <f t="shared" si="577"/>
        <v>0.40571893711760909</v>
      </c>
      <c r="EZ183" s="528"/>
      <c r="FA183" s="528">
        <f t="shared" si="578"/>
        <v>0.70079999999999987</v>
      </c>
      <c r="FB183" s="460">
        <f t="shared" si="579"/>
        <v>1399.1766983592947</v>
      </c>
      <c r="FC183" s="173">
        <f t="shared" si="580"/>
        <v>2.6621237801487019</v>
      </c>
      <c r="FD183" s="5">
        <f t="shared" si="581"/>
        <v>17.52</v>
      </c>
      <c r="FE183" s="173">
        <f t="shared" si="582"/>
        <v>0.86809496318880042</v>
      </c>
      <c r="FF183" s="5">
        <f t="shared" si="583"/>
        <v>86.809496318880036</v>
      </c>
      <c r="FI183" s="562">
        <f t="shared" si="584"/>
        <v>-50</v>
      </c>
      <c r="FJ183">
        <f t="shared" si="585"/>
        <v>-50</v>
      </c>
      <c r="FL183">
        <f t="shared" si="586"/>
        <v>0.35514866917901466</v>
      </c>
    </row>
    <row r="184" spans="5:168">
      <c r="E184" s="170">
        <v>74</v>
      </c>
      <c r="F184" s="217">
        <f t="shared" si="587"/>
        <v>0.74</v>
      </c>
      <c r="G184" s="217"/>
      <c r="H184" s="217">
        <f t="shared" si="495"/>
        <v>17.759999999999998</v>
      </c>
      <c r="I184" s="541">
        <f t="shared" si="496"/>
        <v>8.7783688771509372</v>
      </c>
      <c r="J184" s="172">
        <f t="shared" si="497"/>
        <v>16.383757677977087</v>
      </c>
      <c r="K184" s="172">
        <f t="shared" si="498"/>
        <v>25.162126555128026</v>
      </c>
      <c r="L184" s="443"/>
      <c r="M184" s="217">
        <f t="shared" si="499"/>
        <v>0.65111988131869303</v>
      </c>
      <c r="N184" s="172">
        <f t="shared" si="500"/>
        <v>31.831443465448771</v>
      </c>
      <c r="O184" s="172">
        <f t="shared" si="438"/>
        <v>17.759999999999998</v>
      </c>
      <c r="P184" s="217">
        <f t="shared" si="501"/>
        <v>1.3263101443936989</v>
      </c>
      <c r="Q184" s="217">
        <f t="shared" si="502"/>
        <v>24</v>
      </c>
      <c r="R184" s="217"/>
      <c r="S184" s="172">
        <f t="shared" si="503"/>
        <v>52.866005999467781</v>
      </c>
      <c r="T184" s="536">
        <f t="shared" si="504"/>
        <v>24</v>
      </c>
      <c r="U184" s="217">
        <f t="shared" si="505"/>
        <v>6.3600372618238472</v>
      </c>
      <c r="V184" s="217">
        <f t="shared" si="506"/>
        <v>7.2451241806188804</v>
      </c>
      <c r="W184" s="217">
        <f t="shared" si="507"/>
        <v>3.881916094482377</v>
      </c>
      <c r="X184" s="197">
        <f t="shared" si="508"/>
        <v>257.21276251915839</v>
      </c>
      <c r="Y184" s="443">
        <f t="shared" si="509"/>
        <v>88.28431573587396</v>
      </c>
      <c r="AA184" s="217">
        <f t="shared" si="510"/>
        <v>2.2222222222222223</v>
      </c>
      <c r="AB184" s="173">
        <f t="shared" si="511"/>
        <v>1.3563568662940588</v>
      </c>
      <c r="AC184" s="173">
        <f t="shared" si="512"/>
        <v>0.25855313532562541</v>
      </c>
      <c r="AD184" s="173"/>
      <c r="AE184" s="173">
        <f t="shared" si="513"/>
        <v>1.3563568662940588</v>
      </c>
      <c r="AF184" s="545">
        <f t="shared" si="514"/>
        <v>736.1637445411892</v>
      </c>
      <c r="AG184" s="528">
        <f t="shared" si="515"/>
        <v>0.25855313532562541</v>
      </c>
      <c r="AI184" s="173">
        <f t="shared" si="516"/>
        <v>3.2228543321776946</v>
      </c>
      <c r="AJ184" s="173">
        <f t="shared" si="517"/>
        <v>6.3600372618238472</v>
      </c>
      <c r="AK184" s="173">
        <f t="shared" si="518"/>
        <v>4.2650481774826856</v>
      </c>
      <c r="AM184" s="545">
        <f t="shared" si="519"/>
        <v>740</v>
      </c>
      <c r="AN184" s="460">
        <f t="shared" si="520"/>
        <v>88.28431573587396</v>
      </c>
      <c r="AP184">
        <f t="shared" si="521"/>
        <v>740</v>
      </c>
      <c r="AQ184">
        <f t="shared" si="522"/>
        <v>88.28431573587396</v>
      </c>
      <c r="AS184" s="5">
        <f t="shared" si="439"/>
        <v>11.327040275101256</v>
      </c>
      <c r="AT184" s="5">
        <f t="shared" si="523"/>
        <v>7.2451241806188804</v>
      </c>
      <c r="AU184" s="5">
        <f t="shared" si="478"/>
        <v>4.0819160944823754</v>
      </c>
      <c r="AV184" s="5"/>
      <c r="AW184" s="173">
        <f t="shared" si="479"/>
        <v>0.63963083070737237</v>
      </c>
      <c r="AX184" s="173">
        <f t="shared" si="435"/>
        <v>17.85553551032385</v>
      </c>
      <c r="AY184" s="173">
        <f t="shared" si="436"/>
        <v>0.76436910846199158</v>
      </c>
      <c r="AZ184" s="173">
        <f t="shared" si="440"/>
        <v>23.359834028682126</v>
      </c>
      <c r="BA184" s="460">
        <f t="shared" si="594"/>
        <v>22.339132890241547</v>
      </c>
      <c r="BB184" s="5">
        <f t="shared" si="595"/>
        <v>6.8819571202556116</v>
      </c>
      <c r="BD184" s="173">
        <f t="shared" si="441"/>
        <v>2.9367280214976939</v>
      </c>
      <c r="BE184" s="173">
        <f t="shared" si="437"/>
        <v>1.4702753664400787</v>
      </c>
      <c r="BG184" s="528">
        <f t="shared" si="480"/>
        <v>0.34497485888999035</v>
      </c>
      <c r="BH184" s="528">
        <f t="shared" si="524"/>
        <v>0.31788722546128639</v>
      </c>
      <c r="BI184" s="528">
        <f t="shared" si="525"/>
        <v>3.0999691583854513E-2</v>
      </c>
      <c r="BJ184" s="528">
        <f t="shared" si="481"/>
        <v>9.781743910578471E-3</v>
      </c>
      <c r="BK184">
        <f t="shared" si="482"/>
        <v>3.9502659947179214E-3</v>
      </c>
      <c r="BL184" s="460">
        <f t="shared" si="588"/>
        <v>34.949957578572437</v>
      </c>
      <c r="BM184" s="528">
        <f t="shared" si="526"/>
        <v>0.83415980480488661</v>
      </c>
      <c r="BN184" s="460">
        <f t="shared" si="527"/>
        <v>834.15980480488656</v>
      </c>
      <c r="BO184" s="528">
        <f t="shared" si="483"/>
        <v>0.51800000000000002</v>
      </c>
      <c r="BR184" s="460">
        <f t="shared" si="484"/>
        <v>518</v>
      </c>
      <c r="BS184" s="528">
        <f t="shared" si="485"/>
        <v>0.25873114416749277</v>
      </c>
      <c r="BT184" s="528">
        <f t="shared" si="486"/>
        <v>6.4851289594815231E-2</v>
      </c>
      <c r="BU184" s="528">
        <f t="shared" si="487"/>
        <v>0.37353219742953708</v>
      </c>
      <c r="BV184" s="528"/>
      <c r="BW184" s="528">
        <f t="shared" si="488"/>
        <v>0.71422142041295389</v>
      </c>
      <c r="BX184" s="460">
        <f t="shared" si="489"/>
        <v>1411.336051604799</v>
      </c>
      <c r="BY184" s="173">
        <f t="shared" si="490"/>
        <v>2.6369298374452268</v>
      </c>
      <c r="BZ184" s="5">
        <f t="shared" si="491"/>
        <v>17.759999999999998</v>
      </c>
      <c r="CA184" s="173">
        <f t="shared" si="492"/>
        <v>0.87071927694704909</v>
      </c>
      <c r="CB184" s="5">
        <f t="shared" si="493"/>
        <v>87.071927694704911</v>
      </c>
      <c r="CE184" s="562">
        <f t="shared" si="528"/>
        <v>-50</v>
      </c>
      <c r="CF184">
        <f t="shared" si="529"/>
        <v>-50</v>
      </c>
      <c r="CG184" s="173">
        <f t="shared" si="530"/>
        <v>0.35040732735077856</v>
      </c>
      <c r="CI184" s="170">
        <v>74</v>
      </c>
      <c r="CJ184" s="217">
        <f t="shared" si="589"/>
        <v>0.74</v>
      </c>
      <c r="CK184" s="217"/>
      <c r="CL184" s="217">
        <f t="shared" si="531"/>
        <v>17.759999999999998</v>
      </c>
      <c r="CM184" s="541">
        <f t="shared" si="532"/>
        <v>9</v>
      </c>
      <c r="CN184" s="443">
        <f t="shared" si="533"/>
        <v>16.3415</v>
      </c>
      <c r="CO184" s="443">
        <f t="shared" si="534"/>
        <v>25.3415</v>
      </c>
      <c r="CP184" s="443"/>
      <c r="CQ184" s="217">
        <f t="shared" si="535"/>
        <v>0.64485133082098534</v>
      </c>
      <c r="CR184" s="172">
        <f t="shared" si="590"/>
        <v>32.320915977744015</v>
      </c>
      <c r="CS184" s="172">
        <f t="shared" si="536"/>
        <v>17.759999999999998</v>
      </c>
      <c r="CT184" s="217">
        <f t="shared" si="537"/>
        <v>1.3467048324060007</v>
      </c>
      <c r="CU184" s="217">
        <f t="shared" si="538"/>
        <v>24</v>
      </c>
      <c r="CV184" s="217"/>
      <c r="CW184" s="172">
        <f t="shared" si="539"/>
        <v>54.19765817116717</v>
      </c>
      <c r="CX184" s="536">
        <f t="shared" si="540"/>
        <v>24</v>
      </c>
      <c r="CY184" s="217">
        <f t="shared" si="541"/>
        <v>6.1202737406806786</v>
      </c>
      <c r="CZ184" s="217">
        <f t="shared" si="542"/>
        <v>6.8003041563118654</v>
      </c>
      <c r="DA184" s="217">
        <f t="shared" si="543"/>
        <v>3.7452337549678294</v>
      </c>
      <c r="DB184" s="197">
        <f t="shared" si="544"/>
        <v>261.16478898249903</v>
      </c>
      <c r="DC184" s="443">
        <f t="shared" si="545"/>
        <v>94.826836564722058</v>
      </c>
      <c r="DE184" s="217">
        <f t="shared" si="546"/>
        <v>2.2222222222222223</v>
      </c>
      <c r="DF184" s="173">
        <f t="shared" si="547"/>
        <v>1.3598642855443031</v>
      </c>
      <c r="DG184" s="173">
        <f t="shared" si="548"/>
        <v>0.26320462482489204</v>
      </c>
      <c r="DH184" s="173"/>
      <c r="DI184" s="173">
        <f t="shared" si="549"/>
        <v>1.3598642855443031</v>
      </c>
      <c r="DJ184" s="545">
        <f t="shared" si="550"/>
        <v>734.26499999999976</v>
      </c>
      <c r="DK184" s="528">
        <f t="shared" si="551"/>
        <v>0.26320462482489204</v>
      </c>
      <c r="DM184" s="173">
        <f t="shared" si="552"/>
        <v>3.2186953878862159</v>
      </c>
      <c r="DN184" s="173">
        <f t="shared" si="553"/>
        <v>6.1202737406806786</v>
      </c>
      <c r="DO184" s="173">
        <f t="shared" si="554"/>
        <v>4.0874455692284863</v>
      </c>
      <c r="DQ184" s="545">
        <f t="shared" si="555"/>
        <v>740</v>
      </c>
      <c r="DR184" s="460">
        <f t="shared" si="556"/>
        <v>94.826836564722058</v>
      </c>
      <c r="DT184">
        <f t="shared" si="591"/>
        <v>740</v>
      </c>
      <c r="DU184">
        <f t="shared" si="592"/>
        <v>94.826836564722058</v>
      </c>
      <c r="DW184" s="5">
        <f t="shared" si="557"/>
        <v>10.545537911279695</v>
      </c>
      <c r="DX184" s="5">
        <f t="shared" si="558"/>
        <v>6.8003041563118654</v>
      </c>
      <c r="DY184" s="5">
        <f t="shared" si="559"/>
        <v>3.7452337549678294</v>
      </c>
      <c r="DZ184" s="5"/>
      <c r="EA184" s="173">
        <f t="shared" si="560"/>
        <v>0.64485133082098534</v>
      </c>
      <c r="EB184" s="173">
        <f t="shared" si="561"/>
        <v>17.759999999999998</v>
      </c>
      <c r="EC184" s="173">
        <f t="shared" si="562"/>
        <v>0.72489795918367339</v>
      </c>
      <c r="ED184" s="173">
        <f t="shared" si="563"/>
        <v>24.5</v>
      </c>
      <c r="EE184" s="460">
        <f t="shared" si="564"/>
        <v>20.967604481961587</v>
      </c>
      <c r="EF184" s="5">
        <f t="shared" si="565"/>
        <v>6.1588288415026513</v>
      </c>
      <c r="EH184" s="173">
        <f t="shared" si="566"/>
        <v>2.8375271137159634</v>
      </c>
      <c r="EI184" s="173">
        <f t="shared" si="567"/>
        <v>1.4045627601557849</v>
      </c>
      <c r="EK184" s="528">
        <f t="shared" si="568"/>
        <v>0.32206240484292986</v>
      </c>
      <c r="EL184" s="528">
        <f t="shared" si="569"/>
        <v>0.404452125</v>
      </c>
      <c r="EM184" s="528">
        <f t="shared" si="570"/>
        <v>1.896536731294441E-2</v>
      </c>
      <c r="EN184" s="528">
        <f t="shared" si="571"/>
        <v>1.0656975001108534E-2</v>
      </c>
      <c r="EO184">
        <f t="shared" si="572"/>
        <v>4.0499999999999998E-3</v>
      </c>
      <c r="EP184" s="460">
        <f t="shared" si="573"/>
        <v>23.015367312944409</v>
      </c>
      <c r="EQ184" s="460"/>
      <c r="ER184" s="460">
        <f t="shared" si="593"/>
        <v>760.18687215698276</v>
      </c>
      <c r="ES184" s="528">
        <f t="shared" si="574"/>
        <v>0.51800000000000002</v>
      </c>
      <c r="EV184" s="460">
        <f t="shared" si="494"/>
        <v>518</v>
      </c>
      <c r="EW184" s="528">
        <f t="shared" si="575"/>
        <v>0.24154680363219738</v>
      </c>
      <c r="EX184" s="528">
        <f t="shared" si="576"/>
        <v>5.9183896416493104E-2</v>
      </c>
      <c r="EY184" s="528">
        <f t="shared" si="577"/>
        <v>0.40571893711760948</v>
      </c>
      <c r="EZ184" s="528"/>
      <c r="FA184" s="528">
        <f t="shared" si="578"/>
        <v>0.71039999999999981</v>
      </c>
      <c r="FB184" s="460">
        <f t="shared" si="579"/>
        <v>1416.8496371662998</v>
      </c>
      <c r="FC184" s="173">
        <f t="shared" si="580"/>
        <v>2.6950365093232826</v>
      </c>
      <c r="FD184" s="5">
        <f t="shared" si="581"/>
        <v>17.759999999999998</v>
      </c>
      <c r="FE184" s="173">
        <f t="shared" si="582"/>
        <v>0.86824582258286842</v>
      </c>
      <c r="FF184" s="5">
        <f t="shared" si="583"/>
        <v>86.824582258286839</v>
      </c>
      <c r="FI184" s="562">
        <f t="shared" si="584"/>
        <v>-50</v>
      </c>
      <c r="FJ184">
        <f t="shared" si="585"/>
        <v>-50</v>
      </c>
      <c r="FL184">
        <f t="shared" si="586"/>
        <v>0.35514866917901466</v>
      </c>
    </row>
    <row r="185" spans="5:168">
      <c r="E185" s="170">
        <v>75</v>
      </c>
      <c r="F185" s="217">
        <f t="shared" si="587"/>
        <v>0.75</v>
      </c>
      <c r="G185" s="217"/>
      <c r="H185" s="217">
        <f t="shared" si="495"/>
        <v>18</v>
      </c>
      <c r="I185" s="541">
        <f t="shared" si="496"/>
        <v>8.77541438004911</v>
      </c>
      <c r="J185" s="172">
        <f t="shared" si="497"/>
        <v>16.384321002231857</v>
      </c>
      <c r="K185" s="172">
        <f t="shared" si="498"/>
        <v>25.159735382280967</v>
      </c>
      <c r="L185" s="443"/>
      <c r="M185" s="217">
        <f t="shared" si="499"/>
        <v>0.65120415674692311</v>
      </c>
      <c r="N185" s="172">
        <f t="shared" si="500"/>
        <v>31.82484870125479</v>
      </c>
      <c r="O185" s="172">
        <f t="shared" si="438"/>
        <v>18</v>
      </c>
      <c r="P185" s="217">
        <f t="shared" si="501"/>
        <v>1.3260353625522829</v>
      </c>
      <c r="Q185" s="217">
        <f t="shared" si="502"/>
        <v>24</v>
      </c>
      <c r="R185" s="217"/>
      <c r="S185" s="172">
        <f t="shared" si="503"/>
        <v>51.971893712278877</v>
      </c>
      <c r="T185" s="536">
        <f t="shared" si="504"/>
        <v>24</v>
      </c>
      <c r="U185" s="217">
        <f t="shared" si="505"/>
        <v>6.4475411783711172</v>
      </c>
      <c r="V185" s="217">
        <f t="shared" si="506"/>
        <v>7.3472783154600565</v>
      </c>
      <c r="W185" s="217">
        <f t="shared" si="507"/>
        <v>3.9351897326064598</v>
      </c>
      <c r="X185" s="197">
        <f t="shared" si="508"/>
        <v>257.15947236954207</v>
      </c>
      <c r="Y185" s="443">
        <f t="shared" si="509"/>
        <v>87.089290892334418</v>
      </c>
      <c r="AA185" s="217">
        <f t="shared" si="510"/>
        <v>2.2222222222222223</v>
      </c>
      <c r="AB185" s="173">
        <f t="shared" si="511"/>
        <v>1.3563102321539682</v>
      </c>
      <c r="AC185" s="173">
        <f t="shared" si="512"/>
        <v>0.25849067976441531</v>
      </c>
      <c r="AD185" s="173"/>
      <c r="AE185" s="173">
        <f t="shared" si="513"/>
        <v>1.3563102321539682</v>
      </c>
      <c r="AF185" s="545">
        <f t="shared" si="514"/>
        <v>746.13755688574577</v>
      </c>
      <c r="AG185" s="528">
        <f t="shared" si="515"/>
        <v>0.25849067976441531</v>
      </c>
      <c r="AI185" s="173">
        <f t="shared" si="516"/>
        <v>3.2446130786480509</v>
      </c>
      <c r="AJ185" s="173">
        <f t="shared" si="517"/>
        <v>6.4475411783711172</v>
      </c>
      <c r="AK185" s="173">
        <f t="shared" si="518"/>
        <v>4.3298658934436256</v>
      </c>
      <c r="AM185" s="545">
        <f t="shared" si="519"/>
        <v>750</v>
      </c>
      <c r="AN185" s="460">
        <f t="shared" si="520"/>
        <v>87.089290892334418</v>
      </c>
      <c r="AP185">
        <f t="shared" si="521"/>
        <v>750</v>
      </c>
      <c r="AQ185">
        <f t="shared" si="522"/>
        <v>87.089290892334418</v>
      </c>
      <c r="AS185" s="5">
        <f t="shared" si="439"/>
        <v>11.482468048066513</v>
      </c>
      <c r="AT185" s="5">
        <f t="shared" si="523"/>
        <v>7.3472783154600565</v>
      </c>
      <c r="AU185" s="5">
        <f t="shared" si="478"/>
        <v>4.1351897326064568</v>
      </c>
      <c r="AV185" s="5"/>
      <c r="AW185" s="173">
        <f t="shared" si="479"/>
        <v>0.63986925848204168</v>
      </c>
      <c r="AX185" s="173">
        <f t="shared" si="435"/>
        <v>18.101851915795731</v>
      </c>
      <c r="AY185" s="173">
        <f t="shared" si="436"/>
        <v>0.77437292147570957</v>
      </c>
      <c r="AZ185" s="173">
        <f t="shared" si="440"/>
        <v>23.376142700469604</v>
      </c>
      <c r="BA185" s="460">
        <f t="shared" si="594"/>
        <v>22.960244735812676</v>
      </c>
      <c r="BB185" s="5">
        <f t="shared" si="595"/>
        <v>7.0683666095719717</v>
      </c>
      <c r="BD185" s="173">
        <f t="shared" si="441"/>
        <v>2.9776875149528932</v>
      </c>
      <c r="BE185" s="173">
        <f t="shared" si="437"/>
        <v>1.490010842507828</v>
      </c>
      <c r="BG185" s="528">
        <f t="shared" si="480"/>
        <v>0.35466491746825346</v>
      </c>
      <c r="BH185" s="528">
        <f t="shared" si="524"/>
        <v>0.31786848069510487</v>
      </c>
      <c r="BI185" s="528">
        <f t="shared" si="525"/>
        <v>3.0569784625794856E-2</v>
      </c>
      <c r="BJ185" s="528">
        <f t="shared" si="481"/>
        <v>9.6475034221648395E-3</v>
      </c>
      <c r="BK185">
        <f t="shared" si="482"/>
        <v>3.948936471022099E-3</v>
      </c>
      <c r="BL185" s="460">
        <f t="shared" si="588"/>
        <v>34.518721096816954</v>
      </c>
      <c r="BM185" s="528">
        <f t="shared" si="526"/>
        <v>0.84952885325918037</v>
      </c>
      <c r="BN185" s="460">
        <f t="shared" si="527"/>
        <v>849.52885325918032</v>
      </c>
      <c r="BO185" s="528">
        <f t="shared" si="483"/>
        <v>0.52499999999999991</v>
      </c>
      <c r="BR185" s="460">
        <f t="shared" si="484"/>
        <v>524.99999999999989</v>
      </c>
      <c r="BS185" s="528">
        <f t="shared" si="485"/>
        <v>0.26599868810119009</v>
      </c>
      <c r="BT185" s="528">
        <f t="shared" si="486"/>
        <v>6.6603969323726614E-2</v>
      </c>
      <c r="BU185" s="528">
        <f t="shared" si="487"/>
        <v>0.3735658791266791</v>
      </c>
      <c r="BV185" s="528"/>
      <c r="BW185" s="528">
        <f t="shared" si="488"/>
        <v>0.7240740766318291</v>
      </c>
      <c r="BX185" s="460">
        <f t="shared" si="489"/>
        <v>1430.2426131834247</v>
      </c>
      <c r="BY185" s="173">
        <f t="shared" si="490"/>
        <v>2.6719422358657647</v>
      </c>
      <c r="BZ185" s="5">
        <f t="shared" si="491"/>
        <v>18</v>
      </c>
      <c r="CA185" s="173">
        <f t="shared" si="492"/>
        <v>0.87074546719514578</v>
      </c>
      <c r="CB185" s="5">
        <f t="shared" si="493"/>
        <v>87.074546719514572</v>
      </c>
      <c r="CE185" s="562">
        <f t="shared" si="528"/>
        <v>-50</v>
      </c>
      <c r="CF185">
        <f t="shared" si="529"/>
        <v>-50</v>
      </c>
      <c r="CG185" s="173">
        <f t="shared" si="530"/>
        <v>0.3504705452418217</v>
      </c>
      <c r="CI185" s="170">
        <v>75</v>
      </c>
      <c r="CJ185" s="217">
        <f t="shared" si="589"/>
        <v>0.75</v>
      </c>
      <c r="CK185" s="217"/>
      <c r="CL185" s="217">
        <f t="shared" si="531"/>
        <v>18</v>
      </c>
      <c r="CM185" s="541">
        <f t="shared" si="532"/>
        <v>9</v>
      </c>
      <c r="CN185" s="443">
        <f t="shared" si="533"/>
        <v>16.3415</v>
      </c>
      <c r="CO185" s="443">
        <f t="shared" si="534"/>
        <v>25.3415</v>
      </c>
      <c r="CP185" s="443"/>
      <c r="CQ185" s="217">
        <f t="shared" si="535"/>
        <v>0.64485133082098534</v>
      </c>
      <c r="CR185" s="172">
        <f t="shared" si="590"/>
        <v>32.320915977744015</v>
      </c>
      <c r="CS185" s="172">
        <f t="shared" si="536"/>
        <v>18</v>
      </c>
      <c r="CT185" s="217">
        <f t="shared" si="537"/>
        <v>1.3467048324060007</v>
      </c>
      <c r="CU185" s="217">
        <f t="shared" si="538"/>
        <v>24</v>
      </c>
      <c r="CV185" s="217"/>
      <c r="CW185" s="172">
        <f t="shared" si="539"/>
        <v>53.298818031478035</v>
      </c>
      <c r="CX185" s="536">
        <f t="shared" si="540"/>
        <v>24</v>
      </c>
      <c r="CY185" s="217">
        <f t="shared" si="541"/>
        <v>6.2029801425817697</v>
      </c>
      <c r="CZ185" s="217">
        <f t="shared" si="542"/>
        <v>6.8922001584241892</v>
      </c>
      <c r="DA185" s="217">
        <f t="shared" si="543"/>
        <v>3.7958450219268549</v>
      </c>
      <c r="DB185" s="197">
        <f t="shared" si="544"/>
        <v>261.16478898249903</v>
      </c>
      <c r="DC185" s="443">
        <f t="shared" si="545"/>
        <v>93.562478743859074</v>
      </c>
      <c r="DE185" s="217">
        <f t="shared" si="546"/>
        <v>2.2222222222222223</v>
      </c>
      <c r="DF185" s="173">
        <f t="shared" si="547"/>
        <v>1.3598642855443031</v>
      </c>
      <c r="DG185" s="173">
        <f t="shared" si="548"/>
        <v>0.26320462482489204</v>
      </c>
      <c r="DH185" s="173"/>
      <c r="DI185" s="173">
        <f t="shared" si="549"/>
        <v>1.3598642855443031</v>
      </c>
      <c r="DJ185" s="545">
        <f t="shared" si="550"/>
        <v>744.18749999999977</v>
      </c>
      <c r="DK185" s="528">
        <f t="shared" si="551"/>
        <v>0.26320462482489204</v>
      </c>
      <c r="DM185" s="173">
        <f t="shared" si="552"/>
        <v>3.2403703492039297</v>
      </c>
      <c r="DN185" s="173">
        <f t="shared" si="553"/>
        <v>6.2029801425817697</v>
      </c>
      <c r="DO185" s="173">
        <f t="shared" si="554"/>
        <v>4.1487095706367016</v>
      </c>
      <c r="DQ185" s="545">
        <f t="shared" si="555"/>
        <v>750</v>
      </c>
      <c r="DR185" s="460">
        <f t="shared" si="556"/>
        <v>93.562478743859074</v>
      </c>
      <c r="DT185">
        <f t="shared" si="591"/>
        <v>750</v>
      </c>
      <c r="DU185">
        <f t="shared" si="592"/>
        <v>93.562478743859074</v>
      </c>
      <c r="DW185" s="5">
        <f t="shared" si="557"/>
        <v>10.688045180351045</v>
      </c>
      <c r="DX185" s="5">
        <f t="shared" si="558"/>
        <v>6.8922001584241892</v>
      </c>
      <c r="DY185" s="5">
        <f t="shared" si="559"/>
        <v>3.7958450219268558</v>
      </c>
      <c r="DZ185" s="5"/>
      <c r="EA185" s="173">
        <f t="shared" si="560"/>
        <v>0.64485133082098534</v>
      </c>
      <c r="EB185" s="173">
        <f t="shared" si="561"/>
        <v>18</v>
      </c>
      <c r="EC185" s="173">
        <f t="shared" si="562"/>
        <v>0.73469387755102045</v>
      </c>
      <c r="ED185" s="173">
        <f t="shared" si="563"/>
        <v>24.5</v>
      </c>
      <c r="EE185" s="460">
        <f t="shared" si="564"/>
        <v>21.538125495075594</v>
      </c>
      <c r="EF185" s="5">
        <f t="shared" si="565"/>
        <v>6.3264083698780924</v>
      </c>
      <c r="EH185" s="173">
        <f t="shared" si="566"/>
        <v>2.8758720747121256</v>
      </c>
      <c r="EI185" s="173">
        <f t="shared" si="567"/>
        <v>1.4235433379957281</v>
      </c>
      <c r="EK185" s="528">
        <f t="shared" si="568"/>
        <v>0.33082560760436103</v>
      </c>
      <c r="EL185" s="528">
        <f t="shared" si="569"/>
        <v>0.404452125</v>
      </c>
      <c r="EM185" s="528">
        <f t="shared" si="570"/>
        <v>1.8712495748771815E-2</v>
      </c>
      <c r="EN185" s="528">
        <f t="shared" si="571"/>
        <v>1.051488200109375E-2</v>
      </c>
      <c r="EO185">
        <f t="shared" si="572"/>
        <v>4.0499999999999998E-3</v>
      </c>
      <c r="EP185" s="460">
        <f t="shared" si="573"/>
        <v>22.762495748771816</v>
      </c>
      <c r="EQ185" s="460"/>
      <c r="ER185" s="460">
        <f t="shared" si="593"/>
        <v>768.55511035422649</v>
      </c>
      <c r="ES185" s="528">
        <f t="shared" si="574"/>
        <v>0.52499999999999991</v>
      </c>
      <c r="EV185" s="460">
        <f t="shared" si="494"/>
        <v>524.99999999999989</v>
      </c>
      <c r="EW185" s="528">
        <f t="shared" si="575"/>
        <v>0.24811920570327076</v>
      </c>
      <c r="EX185" s="528">
        <f t="shared" si="576"/>
        <v>6.0794269054560597E-2</v>
      </c>
      <c r="EY185" s="528">
        <f t="shared" si="577"/>
        <v>0.40571893711760948</v>
      </c>
      <c r="EZ185" s="528"/>
      <c r="FA185" s="528">
        <f t="shared" si="578"/>
        <v>0.72</v>
      </c>
      <c r="FB185" s="460">
        <f t="shared" si="579"/>
        <v>1434.6324118754408</v>
      </c>
      <c r="FC185" s="173">
        <f t="shared" si="580"/>
        <v>2.7281875222296676</v>
      </c>
      <c r="FD185" s="5">
        <f t="shared" si="581"/>
        <v>18</v>
      </c>
      <c r="FE185" s="173">
        <f t="shared" si="582"/>
        <v>0.86838272669504468</v>
      </c>
      <c r="FF185" s="5">
        <f t="shared" si="583"/>
        <v>86.838272669504462</v>
      </c>
      <c r="FI185" s="562">
        <f t="shared" si="584"/>
        <v>-50</v>
      </c>
      <c r="FJ185">
        <f t="shared" si="585"/>
        <v>-50</v>
      </c>
      <c r="FL185">
        <f t="shared" si="586"/>
        <v>0.35514866917901466</v>
      </c>
    </row>
    <row r="186" spans="5:168">
      <c r="E186" s="170">
        <v>76</v>
      </c>
      <c r="F186" s="217">
        <f t="shared" si="587"/>
        <v>0.76</v>
      </c>
      <c r="G186" s="217"/>
      <c r="H186" s="217">
        <f t="shared" si="495"/>
        <v>18.240000000000002</v>
      </c>
      <c r="I186" s="541">
        <f t="shared" si="496"/>
        <v>8.772459868717144</v>
      </c>
      <c r="J186" s="172">
        <f t="shared" si="497"/>
        <v>16.384884329199842</v>
      </c>
      <c r="K186" s="172">
        <f t="shared" si="498"/>
        <v>25.157344197916984</v>
      </c>
      <c r="L186" s="443"/>
      <c r="M186" s="217">
        <f t="shared" si="499"/>
        <v>0.65128844856377699</v>
      </c>
      <c r="N186" s="172">
        <f t="shared" si="500"/>
        <v>31.818251912807145</v>
      </c>
      <c r="O186" s="172">
        <f t="shared" si="438"/>
        <v>18.240000000000002</v>
      </c>
      <c r="P186" s="217">
        <f t="shared" si="501"/>
        <v>1.3257604963669645</v>
      </c>
      <c r="Q186" s="217">
        <f t="shared" si="502"/>
        <v>24</v>
      </c>
      <c r="R186" s="217"/>
      <c r="S186" s="172">
        <f t="shared" si="503"/>
        <v>51.101494157227847</v>
      </c>
      <c r="T186" s="536">
        <f t="shared" si="504"/>
        <v>24</v>
      </c>
      <c r="U186" s="217">
        <f t="shared" si="505"/>
        <v>6.5350876973512877</v>
      </c>
      <c r="V186" s="217">
        <f t="shared" si="506"/>
        <v>7.4495498356801919</v>
      </c>
      <c r="W186" s="217">
        <f t="shared" si="507"/>
        <v>3.9884857079552116</v>
      </c>
      <c r="X186" s="197">
        <f t="shared" si="508"/>
        <v>257.10616587867275</v>
      </c>
      <c r="Y186" s="443">
        <f t="shared" si="509"/>
        <v>85.92515431411266</v>
      </c>
      <c r="AA186" s="217">
        <f t="shared" si="510"/>
        <v>2.2222222222222228</v>
      </c>
      <c r="AB186" s="173">
        <f t="shared" si="511"/>
        <v>1.3562636009959219</v>
      </c>
      <c r="AC186" s="173">
        <f t="shared" si="512"/>
        <v>0.2584282120296667</v>
      </c>
      <c r="AD186" s="173"/>
      <c r="AE186" s="173">
        <f t="shared" si="513"/>
        <v>1.3562636009959217</v>
      </c>
      <c r="AF186" s="545">
        <f t="shared" si="514"/>
        <v>756.11205345243025</v>
      </c>
      <c r="AG186" s="528">
        <f t="shared" si="515"/>
        <v>0.25842821202966665</v>
      </c>
      <c r="AI186" s="173">
        <f t="shared" si="516"/>
        <v>3.2662283551152944</v>
      </c>
      <c r="AJ186" s="173">
        <f t="shared" si="517"/>
        <v>6.5350876973512877</v>
      </c>
      <c r="AK186" s="173">
        <f t="shared" si="518"/>
        <v>4.3947151667622704</v>
      </c>
      <c r="AM186" s="545">
        <f t="shared" si="519"/>
        <v>760</v>
      </c>
      <c r="AN186" s="460">
        <f t="shared" si="520"/>
        <v>85.92515431411266</v>
      </c>
      <c r="AP186">
        <f t="shared" si="521"/>
        <v>760</v>
      </c>
      <c r="AQ186">
        <f t="shared" si="522"/>
        <v>85.92515431411266</v>
      </c>
      <c r="AS186" s="5">
        <f t="shared" si="439"/>
        <v>11.638035543635402</v>
      </c>
      <c r="AT186" s="5">
        <f t="shared" si="523"/>
        <v>7.4495498356801919</v>
      </c>
      <c r="AU186" s="5">
        <f t="shared" si="478"/>
        <v>4.18848570795521</v>
      </c>
      <c r="AV186" s="5"/>
      <c r="AW186" s="173">
        <f t="shared" si="479"/>
        <v>0.64010371920149312</v>
      </c>
      <c r="AX186" s="173">
        <f t="shared" si="435"/>
        <v>18.348187308736964</v>
      </c>
      <c r="AY186" s="173">
        <f t="shared" si="436"/>
        <v>0.7843765779490971</v>
      </c>
      <c r="AZ186" s="173">
        <f t="shared" si="440"/>
        <v>23.392064251474487</v>
      </c>
      <c r="BA186" s="460">
        <f t="shared" si="594"/>
        <v>23.590241146320611</v>
      </c>
      <c r="BB186" s="5">
        <f t="shared" si="595"/>
        <v>7.2573695079473017</v>
      </c>
      <c r="BD186" s="173">
        <f t="shared" si="441"/>
        <v>3.0186722881738457</v>
      </c>
      <c r="BE186" s="173">
        <f t="shared" si="437"/>
        <v>1.5097509300849699</v>
      </c>
      <c r="BG186" s="528">
        <f t="shared" si="480"/>
        <v>0.36449529533554886</v>
      </c>
      <c r="BH186" s="528">
        <f t="shared" si="524"/>
        <v>0.31784768347389625</v>
      </c>
      <c r="BI186" s="528">
        <f t="shared" si="525"/>
        <v>3.0150998717355243E-2</v>
      </c>
      <c r="BJ186" s="528">
        <f t="shared" si="481"/>
        <v>9.5167344889019491E-3</v>
      </c>
      <c r="BK186">
        <f t="shared" si="482"/>
        <v>3.9476069409227149E-3</v>
      </c>
      <c r="BL186" s="460">
        <f t="shared" si="588"/>
        <v>34.098605658277954</v>
      </c>
      <c r="BM186" s="528">
        <f t="shared" si="526"/>
        <v>0.86520360734469981</v>
      </c>
      <c r="BN186" s="460">
        <f t="shared" si="527"/>
        <v>865.20360734469978</v>
      </c>
      <c r="BO186" s="528">
        <f t="shared" si="483"/>
        <v>0.53199999999999992</v>
      </c>
      <c r="BR186" s="460">
        <f t="shared" si="484"/>
        <v>531.99999999999989</v>
      </c>
      <c r="BS186" s="528">
        <f t="shared" si="485"/>
        <v>0.27337147150166163</v>
      </c>
      <c r="BT186" s="528">
        <f t="shared" si="486"/>
        <v>6.8380436126772942E-2</v>
      </c>
      <c r="BU186" s="528">
        <f t="shared" si="487"/>
        <v>0.37359353838334014</v>
      </c>
      <c r="BV186" s="528"/>
      <c r="BW186" s="528">
        <f t="shared" si="488"/>
        <v>0.73392749234947852</v>
      </c>
      <c r="BX186" s="460">
        <f t="shared" si="489"/>
        <v>1449.2729383612532</v>
      </c>
      <c r="BY186" s="173">
        <f t="shared" si="490"/>
        <v>2.7072312573178783</v>
      </c>
      <c r="BZ186" s="5">
        <f t="shared" si="491"/>
        <v>18.240000000000002</v>
      </c>
      <c r="CA186" s="173">
        <f t="shared" si="492"/>
        <v>0.8707594705924625</v>
      </c>
      <c r="CB186" s="5">
        <f t="shared" si="493"/>
        <v>87.075947059246246</v>
      </c>
      <c r="CE186" s="562">
        <f t="shared" si="528"/>
        <v>-50</v>
      </c>
      <c r="CF186">
        <f t="shared" si="529"/>
        <v>-50</v>
      </c>
      <c r="CG186" s="173">
        <f t="shared" si="530"/>
        <v>0.35053209950415309</v>
      </c>
      <c r="CI186" s="170">
        <v>76</v>
      </c>
      <c r="CJ186" s="217">
        <f t="shared" si="589"/>
        <v>0.76</v>
      </c>
      <c r="CK186" s="217"/>
      <c r="CL186" s="217">
        <f t="shared" si="531"/>
        <v>18.240000000000002</v>
      </c>
      <c r="CM186" s="541">
        <f t="shared" si="532"/>
        <v>9</v>
      </c>
      <c r="CN186" s="443">
        <f t="shared" si="533"/>
        <v>16.3415</v>
      </c>
      <c r="CO186" s="443">
        <f t="shared" si="534"/>
        <v>25.3415</v>
      </c>
      <c r="CP186" s="443"/>
      <c r="CQ186" s="217">
        <f t="shared" si="535"/>
        <v>0.64485133082098534</v>
      </c>
      <c r="CR186" s="172">
        <f t="shared" si="590"/>
        <v>32.320915977744015</v>
      </c>
      <c r="CS186" s="172">
        <f t="shared" si="536"/>
        <v>18.240000000000002</v>
      </c>
      <c r="CT186" s="217">
        <f t="shared" si="537"/>
        <v>1.3467048324060007</v>
      </c>
      <c r="CU186" s="217">
        <f t="shared" si="538"/>
        <v>24</v>
      </c>
      <c r="CV186" s="217"/>
      <c r="CW186" s="172">
        <f t="shared" si="539"/>
        <v>52.423698677965007</v>
      </c>
      <c r="CX186" s="536">
        <f t="shared" si="540"/>
        <v>24</v>
      </c>
      <c r="CY186" s="217">
        <f t="shared" si="541"/>
        <v>6.2856865444828607</v>
      </c>
      <c r="CZ186" s="217">
        <f t="shared" si="542"/>
        <v>6.9840961605365131</v>
      </c>
      <c r="DA186" s="217">
        <f t="shared" si="543"/>
        <v>3.8464562888858804</v>
      </c>
      <c r="DB186" s="197">
        <f t="shared" si="544"/>
        <v>261.16478898249903</v>
      </c>
      <c r="DC186" s="443">
        <f t="shared" si="545"/>
        <v>92.331393497229342</v>
      </c>
      <c r="DE186" s="217">
        <f t="shared" si="546"/>
        <v>2.2222222222222223</v>
      </c>
      <c r="DF186" s="173">
        <f t="shared" si="547"/>
        <v>1.3598642855443031</v>
      </c>
      <c r="DG186" s="173">
        <f t="shared" si="548"/>
        <v>0.26320462482489204</v>
      </c>
      <c r="DH186" s="173"/>
      <c r="DI186" s="173">
        <f t="shared" si="549"/>
        <v>1.3598642855443031</v>
      </c>
      <c r="DJ186" s="545">
        <f t="shared" si="550"/>
        <v>754.10999999999979</v>
      </c>
      <c r="DK186" s="528">
        <f t="shared" si="551"/>
        <v>0.26320462482489204</v>
      </c>
      <c r="DM186" s="173">
        <f t="shared" si="552"/>
        <v>3.2619012860600178</v>
      </c>
      <c r="DN186" s="173">
        <f t="shared" si="553"/>
        <v>6.2856865444828607</v>
      </c>
      <c r="DO186" s="173">
        <f t="shared" si="554"/>
        <v>4.209973572044917</v>
      </c>
      <c r="DQ186" s="545">
        <f t="shared" si="555"/>
        <v>760</v>
      </c>
      <c r="DR186" s="460">
        <f t="shared" si="556"/>
        <v>92.331393497229342</v>
      </c>
      <c r="DT186">
        <f t="shared" si="591"/>
        <v>760</v>
      </c>
      <c r="DU186">
        <f t="shared" si="592"/>
        <v>92.331393497229342</v>
      </c>
      <c r="DW186" s="5">
        <f t="shared" si="557"/>
        <v>10.830552449422392</v>
      </c>
      <c r="DX186" s="5">
        <f t="shared" si="558"/>
        <v>6.9840961605365131</v>
      </c>
      <c r="DY186" s="5">
        <f t="shared" si="559"/>
        <v>3.8464562888858786</v>
      </c>
      <c r="DZ186" s="5"/>
      <c r="EA186" s="173">
        <f t="shared" si="560"/>
        <v>0.64485133082098545</v>
      </c>
      <c r="EB186" s="173">
        <f t="shared" si="561"/>
        <v>18.240000000000002</v>
      </c>
      <c r="EC186" s="173">
        <f t="shared" si="562"/>
        <v>0.74448979591836728</v>
      </c>
      <c r="ED186" s="173">
        <f t="shared" si="563"/>
        <v>24.500000000000004</v>
      </c>
      <c r="EE186" s="460">
        <f t="shared" si="564"/>
        <v>22.116304508365623</v>
      </c>
      <c r="EF186" s="5">
        <f t="shared" si="565"/>
        <v>6.4962372878961503</v>
      </c>
      <c r="EH186" s="173">
        <f t="shared" si="566"/>
        <v>2.9142170357082877</v>
      </c>
      <c r="EI186" s="173">
        <f t="shared" si="567"/>
        <v>1.4425239158356711</v>
      </c>
      <c r="EK186" s="528">
        <f t="shared" si="568"/>
        <v>0.33970643724849597</v>
      </c>
      <c r="EL186" s="528">
        <f t="shared" si="569"/>
        <v>0.404452125</v>
      </c>
      <c r="EM186" s="528">
        <f t="shared" si="570"/>
        <v>1.8466278699445868E-2</v>
      </c>
      <c r="EN186" s="528">
        <f t="shared" si="571"/>
        <v>1.0376528290553043E-2</v>
      </c>
      <c r="EO186">
        <f t="shared" si="572"/>
        <v>4.0499999999999998E-3</v>
      </c>
      <c r="EP186" s="460">
        <f t="shared" si="573"/>
        <v>22.51627869944587</v>
      </c>
      <c r="EQ186" s="460"/>
      <c r="ER186" s="460">
        <f t="shared" si="593"/>
        <v>777.05136923849477</v>
      </c>
      <c r="ES186" s="528">
        <f t="shared" si="574"/>
        <v>0.53199999999999992</v>
      </c>
      <c r="EV186" s="460">
        <f t="shared" si="494"/>
        <v>531.99999999999989</v>
      </c>
      <c r="EW186" s="528">
        <f t="shared" si="575"/>
        <v>0.25477982793637194</v>
      </c>
      <c r="EX186" s="528">
        <f t="shared" si="576"/>
        <v>6.2426257432736353E-2</v>
      </c>
      <c r="EY186" s="528">
        <f t="shared" si="577"/>
        <v>0.4057189371176102</v>
      </c>
      <c r="EZ186" s="528"/>
      <c r="FA186" s="528">
        <f t="shared" si="578"/>
        <v>0.72960000000000003</v>
      </c>
      <c r="FB186" s="460">
        <f t="shared" si="579"/>
        <v>1452.5250224867186</v>
      </c>
      <c r="FC186" s="173">
        <f t="shared" si="580"/>
        <v>2.7615763917252134</v>
      </c>
      <c r="FD186" s="5">
        <f t="shared" si="581"/>
        <v>18.240000000000002</v>
      </c>
      <c r="FE186" s="173">
        <f t="shared" si="582"/>
        <v>0.86850623304575858</v>
      </c>
      <c r="FF186" s="5">
        <f t="shared" si="583"/>
        <v>86.850623304575862</v>
      </c>
      <c r="FI186" s="562">
        <f t="shared" si="584"/>
        <v>-50</v>
      </c>
      <c r="FJ186">
        <f t="shared" si="585"/>
        <v>-50</v>
      </c>
      <c r="FL186">
        <f t="shared" si="586"/>
        <v>0.35514866917901455</v>
      </c>
    </row>
    <row r="187" spans="5:168">
      <c r="E187" s="170">
        <v>77</v>
      </c>
      <c r="F187" s="217">
        <f t="shared" si="587"/>
        <v>0.77</v>
      </c>
      <c r="G187" s="217"/>
      <c r="H187" s="217">
        <f t="shared" si="495"/>
        <v>18.48</v>
      </c>
      <c r="I187" s="541">
        <f t="shared" si="496"/>
        <v>8.7695053437166681</v>
      </c>
      <c r="J187" s="172">
        <f t="shared" si="497"/>
        <v>16.385447658773959</v>
      </c>
      <c r="K187" s="172">
        <f t="shared" si="498"/>
        <v>25.154953002490629</v>
      </c>
      <c r="L187" s="443"/>
      <c r="M187" s="217">
        <f t="shared" si="499"/>
        <v>0.65137275675952755</v>
      </c>
      <c r="N187" s="172">
        <f t="shared" si="500"/>
        <v>31.811653100839102</v>
      </c>
      <c r="O187" s="172">
        <f t="shared" si="438"/>
        <v>18.48</v>
      </c>
      <c r="P187" s="217">
        <f t="shared" si="501"/>
        <v>1.3254855458682959</v>
      </c>
      <c r="Q187" s="217">
        <f t="shared" si="502"/>
        <v>24</v>
      </c>
      <c r="R187" s="217"/>
      <c r="S187" s="172">
        <f t="shared" si="503"/>
        <v>50.253884074775257</v>
      </c>
      <c r="T187" s="536">
        <f t="shared" si="504"/>
        <v>24</v>
      </c>
      <c r="U187" s="217">
        <f t="shared" si="505"/>
        <v>6.6226768618275296</v>
      </c>
      <c r="V187" s="217">
        <f t="shared" si="506"/>
        <v>7.5519389090431002</v>
      </c>
      <c r="W187" s="217">
        <f t="shared" si="507"/>
        <v>4.0418040445060814</v>
      </c>
      <c r="X187" s="197">
        <f t="shared" si="508"/>
        <v>257.05284305186876</v>
      </c>
      <c r="Y187" s="443">
        <f t="shared" si="509"/>
        <v>84.790723686161272</v>
      </c>
      <c r="AA187" s="217">
        <f t="shared" si="510"/>
        <v>2.2222222222222232</v>
      </c>
      <c r="AB187" s="173">
        <f t="shared" si="511"/>
        <v>1.356216972828499</v>
      </c>
      <c r="AC187" s="173">
        <f t="shared" si="512"/>
        <v>0.25836573212970015</v>
      </c>
      <c r="AD187" s="173"/>
      <c r="AE187" s="173">
        <f t="shared" si="513"/>
        <v>1.3562169728284985</v>
      </c>
      <c r="AF187" s="545">
        <f t="shared" si="514"/>
        <v>766.08723424117807</v>
      </c>
      <c r="AG187" s="528">
        <f t="shared" si="515"/>
        <v>0.25836573212969999</v>
      </c>
      <c r="AI187" s="173">
        <f t="shared" si="516"/>
        <v>3.2877029913468698</v>
      </c>
      <c r="AJ187" s="173">
        <f t="shared" si="517"/>
        <v>6.6226768618275296</v>
      </c>
      <c r="AK187" s="173">
        <f t="shared" si="518"/>
        <v>4.4595960293372645</v>
      </c>
      <c r="AM187" s="545">
        <f t="shared" si="519"/>
        <v>770</v>
      </c>
      <c r="AN187" s="460">
        <f t="shared" si="520"/>
        <v>84.790723686161272</v>
      </c>
      <c r="AP187">
        <f t="shared" si="521"/>
        <v>770</v>
      </c>
      <c r="AQ187">
        <f t="shared" si="522"/>
        <v>84.790723686161272</v>
      </c>
      <c r="AS187" s="5">
        <f t="shared" si="439"/>
        <v>11.793742953549181</v>
      </c>
      <c r="AT187" s="5">
        <f t="shared" si="523"/>
        <v>7.5519389090431002</v>
      </c>
      <c r="AU187" s="5">
        <f t="shared" si="478"/>
        <v>4.2418040445060807</v>
      </c>
      <c r="AV187" s="5"/>
      <c r="AW187" s="173">
        <f t="shared" si="479"/>
        <v>0.64033436533144361</v>
      </c>
      <c r="AX187" s="173">
        <f t="shared" si="435"/>
        <v>18.594541609450062</v>
      </c>
      <c r="AY187" s="173">
        <f t="shared" si="436"/>
        <v>0.79438008378410618</v>
      </c>
      <c r="AZ187" s="173">
        <f t="shared" si="440"/>
        <v>23.407613041949855</v>
      </c>
      <c r="BA187" s="460">
        <f t="shared" si="594"/>
        <v>24.229137333179946</v>
      </c>
      <c r="BB187" s="5">
        <f t="shared" si="595"/>
        <v>7.4489700074358218</v>
      </c>
      <c r="BD187" s="173">
        <f t="shared" si="441"/>
        <v>3.0596823612506663</v>
      </c>
      <c r="BE187" s="173">
        <f t="shared" si="437"/>
        <v>1.5294956411508558</v>
      </c>
      <c r="BG187" s="528">
        <f t="shared" si="480"/>
        <v>0.37446624606993811</v>
      </c>
      <c r="BH187" s="528">
        <f t="shared" si="524"/>
        <v>0.31782491207305302</v>
      </c>
      <c r="BI187" s="528">
        <f t="shared" si="525"/>
        <v>2.9742908178535789E-2</v>
      </c>
      <c r="BJ187" s="528">
        <f t="shared" si="481"/>
        <v>9.3893042296839552E-3</v>
      </c>
      <c r="BK187">
        <f t="shared" si="482"/>
        <v>3.9462774046725001E-3</v>
      </c>
      <c r="BL187" s="460">
        <f t="shared" si="588"/>
        <v>33.689185583208292</v>
      </c>
      <c r="BM187" s="528">
        <f t="shared" si="526"/>
        <v>0.88118849110271891</v>
      </c>
      <c r="BN187" s="460">
        <f t="shared" si="527"/>
        <v>881.1884911027189</v>
      </c>
      <c r="BO187" s="528">
        <f t="shared" si="483"/>
        <v>0.53899999999999992</v>
      </c>
      <c r="BR187" s="460">
        <f t="shared" si="484"/>
        <v>538.99999999999989</v>
      </c>
      <c r="BS187" s="528">
        <f t="shared" si="485"/>
        <v>0.28084968455245357</v>
      </c>
      <c r="BT187" s="528">
        <f t="shared" si="486"/>
        <v>7.0180707488984015E-2</v>
      </c>
      <c r="BU187" s="528">
        <f t="shared" si="487"/>
        <v>0.37361540270114535</v>
      </c>
      <c r="BV187" s="528"/>
      <c r="BW187" s="528">
        <f t="shared" si="488"/>
        <v>0.74378166437800253</v>
      </c>
      <c r="BX187" s="460">
        <f t="shared" si="489"/>
        <v>1468.4274591205856</v>
      </c>
      <c r="BY187" s="173">
        <f t="shared" si="490"/>
        <v>2.7427971070764685</v>
      </c>
      <c r="BZ187" s="5">
        <f t="shared" si="491"/>
        <v>18.48</v>
      </c>
      <c r="CA187" s="173">
        <f t="shared" si="492"/>
        <v>0.87076175241001008</v>
      </c>
      <c r="CB187" s="5">
        <f t="shared" si="493"/>
        <v>87.07617524100101</v>
      </c>
      <c r="CE187" s="562">
        <f t="shared" si="528"/>
        <v>-50</v>
      </c>
      <c r="CF187">
        <f t="shared" si="529"/>
        <v>-50</v>
      </c>
      <c r="CG187" s="173">
        <f t="shared" si="530"/>
        <v>0.35059205495447598</v>
      </c>
      <c r="CI187" s="170">
        <v>77</v>
      </c>
      <c r="CJ187" s="217">
        <f t="shared" si="589"/>
        <v>0.77</v>
      </c>
      <c r="CK187" s="217"/>
      <c r="CL187" s="217">
        <f t="shared" si="531"/>
        <v>18.48</v>
      </c>
      <c r="CM187" s="541">
        <f t="shared" si="532"/>
        <v>9</v>
      </c>
      <c r="CN187" s="443">
        <f t="shared" si="533"/>
        <v>16.3415</v>
      </c>
      <c r="CO187" s="443">
        <f t="shared" si="534"/>
        <v>25.3415</v>
      </c>
      <c r="CP187" s="443"/>
      <c r="CQ187" s="217">
        <f t="shared" si="535"/>
        <v>0.64485133082098534</v>
      </c>
      <c r="CR187" s="172">
        <f t="shared" si="590"/>
        <v>32.320915977744015</v>
      </c>
      <c r="CS187" s="172">
        <f t="shared" si="536"/>
        <v>18.48</v>
      </c>
      <c r="CT187" s="217">
        <f t="shared" si="537"/>
        <v>1.3467048324060007</v>
      </c>
      <c r="CU187" s="217">
        <f t="shared" si="538"/>
        <v>24</v>
      </c>
      <c r="CV187" s="217"/>
      <c r="CW187" s="172">
        <f t="shared" si="539"/>
        <v>51.571376538426982</v>
      </c>
      <c r="CX187" s="536">
        <f t="shared" si="540"/>
        <v>24</v>
      </c>
      <c r="CY187" s="217">
        <f t="shared" si="541"/>
        <v>6.3683929463839508</v>
      </c>
      <c r="CZ187" s="217">
        <f t="shared" si="542"/>
        <v>7.0759921626488351</v>
      </c>
      <c r="DA187" s="217">
        <f t="shared" si="543"/>
        <v>3.8970675558449051</v>
      </c>
      <c r="DB187" s="197">
        <f t="shared" si="544"/>
        <v>261.16478898249903</v>
      </c>
      <c r="DC187" s="443">
        <f t="shared" si="545"/>
        <v>91.132284490771823</v>
      </c>
      <c r="DE187" s="217">
        <f t="shared" si="546"/>
        <v>2.2222222222222223</v>
      </c>
      <c r="DF187" s="173">
        <f t="shared" si="547"/>
        <v>1.3598642855443031</v>
      </c>
      <c r="DG187" s="173">
        <f t="shared" si="548"/>
        <v>0.26320462482489204</v>
      </c>
      <c r="DH187" s="173"/>
      <c r="DI187" s="173">
        <f t="shared" si="549"/>
        <v>1.3598642855443031</v>
      </c>
      <c r="DJ187" s="545">
        <f t="shared" si="550"/>
        <v>764.0324999999998</v>
      </c>
      <c r="DK187" s="528">
        <f t="shared" si="551"/>
        <v>0.26320462482489204</v>
      </c>
      <c r="DM187" s="173">
        <f t="shared" si="552"/>
        <v>3.2832910318764008</v>
      </c>
      <c r="DN187" s="173">
        <f t="shared" si="553"/>
        <v>6.3683929463839508</v>
      </c>
      <c r="DO187" s="173">
        <f t="shared" si="554"/>
        <v>4.2712375734531323</v>
      </c>
      <c r="DQ187" s="545">
        <f t="shared" si="555"/>
        <v>770</v>
      </c>
      <c r="DR187" s="460">
        <f t="shared" si="556"/>
        <v>91.132284490771823</v>
      </c>
      <c r="DT187">
        <f t="shared" si="591"/>
        <v>770</v>
      </c>
      <c r="DU187">
        <f t="shared" si="592"/>
        <v>91.132284490771823</v>
      </c>
      <c r="DW187" s="5">
        <f t="shared" si="557"/>
        <v>10.973059718493738</v>
      </c>
      <c r="DX187" s="5">
        <f t="shared" si="558"/>
        <v>7.0759921626488351</v>
      </c>
      <c r="DY187" s="5">
        <f t="shared" si="559"/>
        <v>3.8970675558449033</v>
      </c>
      <c r="DZ187" s="5"/>
      <c r="EA187" s="173">
        <f t="shared" si="560"/>
        <v>0.64485133082098545</v>
      </c>
      <c r="EB187" s="173">
        <f t="shared" si="561"/>
        <v>18.48</v>
      </c>
      <c r="EC187" s="173">
        <f t="shared" si="562"/>
        <v>0.75428571428571412</v>
      </c>
      <c r="ED187" s="173">
        <f t="shared" si="563"/>
        <v>24.500000000000007</v>
      </c>
      <c r="EE187" s="460">
        <f t="shared" si="564"/>
        <v>22.702141521831681</v>
      </c>
      <c r="EF187" s="5">
        <f t="shared" si="565"/>
        <v>6.6683155955568338</v>
      </c>
      <c r="EH187" s="173">
        <f t="shared" si="566"/>
        <v>2.9525619967044494</v>
      </c>
      <c r="EI187" s="173">
        <f t="shared" si="567"/>
        <v>1.4615044936756141</v>
      </c>
      <c r="EK187" s="528">
        <f t="shared" si="568"/>
        <v>0.34870489377533459</v>
      </c>
      <c r="EL187" s="528">
        <f t="shared" si="569"/>
        <v>0.404452125</v>
      </c>
      <c r="EM187" s="528">
        <f t="shared" si="570"/>
        <v>1.8226456898154362E-2</v>
      </c>
      <c r="EN187" s="528">
        <f t="shared" si="571"/>
        <v>1.0241768182883523E-2</v>
      </c>
      <c r="EO187">
        <f t="shared" si="572"/>
        <v>4.0499999999999998E-3</v>
      </c>
      <c r="EP187" s="460">
        <f t="shared" si="573"/>
        <v>22.276456898154365</v>
      </c>
      <c r="EQ187" s="460"/>
      <c r="ER187" s="460">
        <f t="shared" si="593"/>
        <v>785.67524385637239</v>
      </c>
      <c r="ES187" s="528">
        <f t="shared" si="574"/>
        <v>0.53899999999999992</v>
      </c>
      <c r="EV187" s="460">
        <f t="shared" si="494"/>
        <v>538.99999999999989</v>
      </c>
      <c r="EW187" s="528">
        <f t="shared" si="575"/>
        <v>0.26152867033150096</v>
      </c>
      <c r="EX187" s="528">
        <f t="shared" si="576"/>
        <v>6.4079861551020384E-2</v>
      </c>
      <c r="EY187" s="528">
        <f t="shared" si="577"/>
        <v>0.40571893711760948</v>
      </c>
      <c r="EZ187" s="528"/>
      <c r="FA187" s="528">
        <f t="shared" si="578"/>
        <v>0.73920000000000008</v>
      </c>
      <c r="FB187" s="460">
        <f t="shared" si="579"/>
        <v>1470.5274690001308</v>
      </c>
      <c r="FC187" s="173">
        <f t="shared" si="580"/>
        <v>2.7952027128565033</v>
      </c>
      <c r="FD187" s="5">
        <f t="shared" si="581"/>
        <v>18.48</v>
      </c>
      <c r="FE187" s="173">
        <f t="shared" si="582"/>
        <v>0.86861687051435821</v>
      </c>
      <c r="FF187" s="5">
        <f t="shared" si="583"/>
        <v>86.861687051435823</v>
      </c>
      <c r="FI187" s="562">
        <f t="shared" si="584"/>
        <v>-50</v>
      </c>
      <c r="FJ187">
        <f t="shared" si="585"/>
        <v>-50</v>
      </c>
      <c r="FL187">
        <f t="shared" si="586"/>
        <v>0.35514866917901455</v>
      </c>
    </row>
    <row r="188" spans="5:168">
      <c r="E188" s="170">
        <v>78</v>
      </c>
      <c r="F188" s="217">
        <f t="shared" si="587"/>
        <v>0.78</v>
      </c>
      <c r="G188" s="217"/>
      <c r="H188" s="217">
        <f t="shared" si="495"/>
        <v>18.72</v>
      </c>
      <c r="I188" s="541">
        <f t="shared" si="496"/>
        <v>8.7665508055801382</v>
      </c>
      <c r="J188" s="172">
        <f t="shared" si="497"/>
        <v>16.386010990852682</v>
      </c>
      <c r="K188" s="172">
        <f t="shared" si="498"/>
        <v>25.152561796432821</v>
      </c>
      <c r="L188" s="443"/>
      <c r="M188" s="217">
        <f t="shared" si="499"/>
        <v>0.65145708132519287</v>
      </c>
      <c r="N188" s="172">
        <f t="shared" si="500"/>
        <v>31.805052266016162</v>
      </c>
      <c r="O188" s="172">
        <f t="shared" si="438"/>
        <v>18.72</v>
      </c>
      <c r="P188" s="217">
        <f t="shared" si="501"/>
        <v>1.3252105110840067</v>
      </c>
      <c r="Q188" s="217">
        <f t="shared" si="502"/>
        <v>24</v>
      </c>
      <c r="R188" s="217"/>
      <c r="S188" s="172">
        <f t="shared" si="503"/>
        <v>49.428187558646385</v>
      </c>
      <c r="T188" s="536">
        <f t="shared" si="504"/>
        <v>24</v>
      </c>
      <c r="U188" s="217">
        <f t="shared" si="505"/>
        <v>6.7103087149212461</v>
      </c>
      <c r="V188" s="217">
        <f t="shared" si="506"/>
        <v>7.6544457036055276</v>
      </c>
      <c r="W188" s="217">
        <f t="shared" si="507"/>
        <v>4.0951447662687439</v>
      </c>
      <c r="X188" s="197">
        <f t="shared" si="508"/>
        <v>256.99950389393211</v>
      </c>
      <c r="Y188" s="443">
        <f t="shared" si="509"/>
        <v>83.684876274301445</v>
      </c>
      <c r="AA188" s="217">
        <f t="shared" si="510"/>
        <v>2.2222222222222223</v>
      </c>
      <c r="AB188" s="173">
        <f t="shared" si="511"/>
        <v>1.3561703476598146</v>
      </c>
      <c r="AC188" s="173">
        <f t="shared" si="512"/>
        <v>0.2583032400722266</v>
      </c>
      <c r="AD188" s="173"/>
      <c r="AE188" s="173">
        <f t="shared" si="513"/>
        <v>1.3561703476598146</v>
      </c>
      <c r="AF188" s="545">
        <f t="shared" si="514"/>
        <v>776.06309925192818</v>
      </c>
      <c r="AG188" s="528">
        <f t="shared" si="515"/>
        <v>0.2583032400722266</v>
      </c>
      <c r="AI188" s="173">
        <f t="shared" si="516"/>
        <v>3.3090397254776365</v>
      </c>
      <c r="AJ188" s="173">
        <f t="shared" si="517"/>
        <v>6.7103087149212461</v>
      </c>
      <c r="AK188" s="173">
        <f t="shared" si="518"/>
        <v>4.5245085131103879</v>
      </c>
      <c r="AM188" s="545">
        <f t="shared" si="519"/>
        <v>780</v>
      </c>
      <c r="AN188" s="460">
        <f t="shared" si="520"/>
        <v>83.684876274301445</v>
      </c>
      <c r="AP188">
        <f t="shared" si="521"/>
        <v>780</v>
      </c>
      <c r="AQ188">
        <f t="shared" si="522"/>
        <v>83.684876274301445</v>
      </c>
      <c r="AS188" s="5">
        <f t="shared" si="439"/>
        <v>11.949590469874272</v>
      </c>
      <c r="AT188" s="5">
        <f t="shared" si="523"/>
        <v>7.6544457036055276</v>
      </c>
      <c r="AU188" s="5">
        <f t="shared" si="478"/>
        <v>4.2951447662687441</v>
      </c>
      <c r="AV188" s="5"/>
      <c r="AW188" s="173">
        <f t="shared" si="479"/>
        <v>0.64056134165458678</v>
      </c>
      <c r="AX188" s="173">
        <f t="shared" si="435"/>
        <v>18.840914742253002</v>
      </c>
      <c r="AY188" s="173">
        <f t="shared" si="436"/>
        <v>0.80438344458520472</v>
      </c>
      <c r="AZ188" s="173">
        <f t="shared" si="440"/>
        <v>23.422802730566726</v>
      </c>
      <c r="BA188" s="460">
        <f t="shared" si="594"/>
        <v>24.876948536717965</v>
      </c>
      <c r="BB188" s="5">
        <f t="shared" si="595"/>
        <v>7.6431723079894134</v>
      </c>
      <c r="BD188" s="173">
        <f t="shared" si="441"/>
        <v>3.1007177545512108</v>
      </c>
      <c r="BE188" s="173">
        <f t="shared" si="437"/>
        <v>1.5492449872915</v>
      </c>
      <c r="BG188" s="528">
        <f t="shared" si="480"/>
        <v>0.3845780237355641</v>
      </c>
      <c r="BH188" s="528">
        <f t="shared" si="524"/>
        <v>0.31780024082339281</v>
      </c>
      <c r="BI188" s="528">
        <f t="shared" si="525"/>
        <v>2.9345108780694063E-2</v>
      </c>
      <c r="BJ188" s="528">
        <f t="shared" si="481"/>
        <v>9.2650864597165535E-3</v>
      </c>
      <c r="BK188">
        <f t="shared" si="482"/>
        <v>3.9449478625110624E-3</v>
      </c>
      <c r="BL188" s="460">
        <f t="shared" si="588"/>
        <v>33.290056643205126</v>
      </c>
      <c r="BM188" s="528">
        <f t="shared" si="526"/>
        <v>0.8974880508108033</v>
      </c>
      <c r="BN188" s="460">
        <f t="shared" si="527"/>
        <v>897.48805081080332</v>
      </c>
      <c r="BO188" s="528">
        <f t="shared" si="483"/>
        <v>0.54599999999999993</v>
      </c>
      <c r="BR188" s="460">
        <f t="shared" si="484"/>
        <v>545.99999999999989</v>
      </c>
      <c r="BS188" s="528">
        <f t="shared" si="485"/>
        <v>0.28843351780167309</v>
      </c>
      <c r="BT188" s="528">
        <f t="shared" si="486"/>
        <v>7.2004800919435188E-2</v>
      </c>
      <c r="BU188" s="528">
        <f t="shared" si="487"/>
        <v>0.37363168827372856</v>
      </c>
      <c r="BV188" s="528"/>
      <c r="BW188" s="528">
        <f t="shared" si="488"/>
        <v>0.75363658969012026</v>
      </c>
      <c r="BX188" s="460">
        <f t="shared" si="489"/>
        <v>1487.7065966849573</v>
      </c>
      <c r="BY188" s="173">
        <f t="shared" si="490"/>
        <v>2.778640004346836</v>
      </c>
      <c r="BZ188" s="5">
        <f t="shared" si="491"/>
        <v>18.72</v>
      </c>
      <c r="CA188" s="173">
        <f t="shared" si="492"/>
        <v>0.87075275441679012</v>
      </c>
      <c r="CB188" s="5">
        <f t="shared" si="493"/>
        <v>87.075275441679011</v>
      </c>
      <c r="CE188" s="562">
        <f t="shared" si="528"/>
        <v>-50</v>
      </c>
      <c r="CF188">
        <f t="shared" si="529"/>
        <v>-50</v>
      </c>
      <c r="CG188" s="173">
        <f t="shared" si="530"/>
        <v>0.35065047308555991</v>
      </c>
      <c r="CI188" s="170">
        <v>78</v>
      </c>
      <c r="CJ188" s="217">
        <f t="shared" si="589"/>
        <v>0.78</v>
      </c>
      <c r="CK188" s="217"/>
      <c r="CL188" s="217">
        <f t="shared" si="531"/>
        <v>18.72</v>
      </c>
      <c r="CM188" s="541">
        <f t="shared" si="532"/>
        <v>9</v>
      </c>
      <c r="CN188" s="443">
        <f t="shared" si="533"/>
        <v>16.3415</v>
      </c>
      <c r="CO188" s="443">
        <f t="shared" si="534"/>
        <v>25.3415</v>
      </c>
      <c r="CP188" s="443"/>
      <c r="CQ188" s="217">
        <f t="shared" si="535"/>
        <v>0.64485133082098534</v>
      </c>
      <c r="CR188" s="172">
        <f t="shared" si="590"/>
        <v>32.320915977744015</v>
      </c>
      <c r="CS188" s="172">
        <f t="shared" si="536"/>
        <v>18.72</v>
      </c>
      <c r="CT188" s="217">
        <f t="shared" si="537"/>
        <v>1.3467048324060007</v>
      </c>
      <c r="CU188" s="217">
        <f t="shared" si="538"/>
        <v>24</v>
      </c>
      <c r="CV188" s="217"/>
      <c r="CW188" s="172">
        <f t="shared" si="539"/>
        <v>50.74097541035075</v>
      </c>
      <c r="CX188" s="536">
        <f t="shared" si="540"/>
        <v>24</v>
      </c>
      <c r="CY188" s="217">
        <f t="shared" si="541"/>
        <v>6.4510993482850401</v>
      </c>
      <c r="CZ188" s="217">
        <f t="shared" si="542"/>
        <v>7.1678881647611563</v>
      </c>
      <c r="DA188" s="217">
        <f t="shared" si="543"/>
        <v>3.9476788228039292</v>
      </c>
      <c r="DB188" s="197">
        <f t="shared" si="544"/>
        <v>261.16478898249903</v>
      </c>
      <c r="DC188" s="443">
        <f t="shared" si="545"/>
        <v>89.963921869095273</v>
      </c>
      <c r="DE188" s="217">
        <f t="shared" si="546"/>
        <v>2.2222222222222223</v>
      </c>
      <c r="DF188" s="173">
        <f t="shared" si="547"/>
        <v>1.3598642855443031</v>
      </c>
      <c r="DG188" s="173">
        <f t="shared" si="548"/>
        <v>0.26320462482489204</v>
      </c>
      <c r="DH188" s="173"/>
      <c r="DI188" s="173">
        <f t="shared" si="549"/>
        <v>1.3598642855443031</v>
      </c>
      <c r="DJ188" s="545">
        <f t="shared" si="550"/>
        <v>773.95499999999981</v>
      </c>
      <c r="DK188" s="528">
        <f t="shared" si="551"/>
        <v>0.26320462482489204</v>
      </c>
      <c r="DM188" s="173">
        <f t="shared" si="552"/>
        <v>3.3045423283716611</v>
      </c>
      <c r="DN188" s="173">
        <f t="shared" si="553"/>
        <v>6.4510993482850401</v>
      </c>
      <c r="DO188" s="173">
        <f t="shared" si="554"/>
        <v>4.3325015748613467</v>
      </c>
      <c r="DQ188" s="545">
        <f t="shared" si="555"/>
        <v>780</v>
      </c>
      <c r="DR188" s="460">
        <f t="shared" si="556"/>
        <v>89.963921869095273</v>
      </c>
      <c r="DT188">
        <f t="shared" si="591"/>
        <v>780</v>
      </c>
      <c r="DU188">
        <f t="shared" si="592"/>
        <v>89.963921869095273</v>
      </c>
      <c r="DW188" s="5">
        <f t="shared" si="557"/>
        <v>11.115566987565085</v>
      </c>
      <c r="DX188" s="5">
        <f t="shared" si="558"/>
        <v>7.1678881647611563</v>
      </c>
      <c r="DY188" s="5">
        <f t="shared" si="559"/>
        <v>3.9476788228039288</v>
      </c>
      <c r="DZ188" s="5"/>
      <c r="EA188" s="173">
        <f t="shared" si="560"/>
        <v>0.64485133082098534</v>
      </c>
      <c r="EB188" s="173">
        <f t="shared" si="561"/>
        <v>18.719999999999995</v>
      </c>
      <c r="EC188" s="173">
        <f t="shared" si="562"/>
        <v>0.76408163265306106</v>
      </c>
      <c r="ED188" s="173">
        <f t="shared" si="563"/>
        <v>24.5</v>
      </c>
      <c r="EE188" s="460">
        <f t="shared" si="564"/>
        <v>23.295636535473761</v>
      </c>
      <c r="EF188" s="5">
        <f t="shared" si="565"/>
        <v>6.8426432928601431</v>
      </c>
      <c r="EH188" s="173">
        <f t="shared" si="566"/>
        <v>2.9909069577006107</v>
      </c>
      <c r="EI188" s="173">
        <f t="shared" si="567"/>
        <v>1.4804850715155569</v>
      </c>
      <c r="EK188" s="528">
        <f t="shared" si="568"/>
        <v>0.35782097718487693</v>
      </c>
      <c r="EL188" s="528">
        <f t="shared" si="569"/>
        <v>0.404452125</v>
      </c>
      <c r="EM188" s="528">
        <f t="shared" si="570"/>
        <v>1.7992784373819053E-2</v>
      </c>
      <c r="EN188" s="528">
        <f t="shared" si="571"/>
        <v>1.0110463462590145E-2</v>
      </c>
      <c r="EO188">
        <f t="shared" si="572"/>
        <v>4.0499999999999998E-3</v>
      </c>
      <c r="EP188" s="460">
        <f t="shared" si="573"/>
        <v>22.042784373819053</v>
      </c>
      <c r="EQ188" s="460"/>
      <c r="ER188" s="460">
        <f t="shared" si="593"/>
        <v>794.42635002128611</v>
      </c>
      <c r="ES188" s="528">
        <f t="shared" si="574"/>
        <v>0.54599999999999993</v>
      </c>
      <c r="EV188" s="460">
        <f t="shared" si="494"/>
        <v>545.99999999999989</v>
      </c>
      <c r="EW188" s="528">
        <f t="shared" si="575"/>
        <v>0.26836573288865767</v>
      </c>
      <c r="EX188" s="528">
        <f t="shared" si="576"/>
        <v>6.5755081409412705E-2</v>
      </c>
      <c r="EY188" s="528">
        <f t="shared" si="577"/>
        <v>0.4057189371176102</v>
      </c>
      <c r="EZ188" s="528"/>
      <c r="FA188" s="528">
        <f t="shared" si="578"/>
        <v>0.74879999999999991</v>
      </c>
      <c r="FB188" s="460">
        <f t="shared" si="579"/>
        <v>1488.6397514156804</v>
      </c>
      <c r="FC188" s="173">
        <f t="shared" si="580"/>
        <v>2.8290661014369665</v>
      </c>
      <c r="FD188" s="5">
        <f t="shared" si="581"/>
        <v>18.72</v>
      </c>
      <c r="FE188" s="173">
        <f t="shared" si="582"/>
        <v>0.86871514115183335</v>
      </c>
      <c r="FF188" s="5">
        <f t="shared" si="583"/>
        <v>86.871514115183331</v>
      </c>
      <c r="FI188" s="562">
        <f t="shared" si="584"/>
        <v>-50</v>
      </c>
      <c r="FJ188">
        <f t="shared" si="585"/>
        <v>-50</v>
      </c>
      <c r="FL188">
        <f t="shared" si="586"/>
        <v>0.35514866917901466</v>
      </c>
    </row>
    <row r="189" spans="5:168">
      <c r="E189" s="170">
        <v>79</v>
      </c>
      <c r="F189" s="217">
        <f t="shared" si="587"/>
        <v>0.79</v>
      </c>
      <c r="G189" s="217"/>
      <c r="H189" s="217">
        <f t="shared" si="495"/>
        <v>18.96</v>
      </c>
      <c r="I189" s="541">
        <f t="shared" si="496"/>
        <v>8.7635962548127058</v>
      </c>
      <c r="J189" s="172">
        <f t="shared" si="497"/>
        <v>16.386574325339701</v>
      </c>
      <c r="K189" s="172">
        <f t="shared" si="498"/>
        <v>25.150170580152405</v>
      </c>
      <c r="L189" s="443"/>
      <c r="M189" s="217">
        <f t="shared" si="499"/>
        <v>0.65154142225248712</v>
      </c>
      <c r="N189" s="172">
        <f t="shared" si="500"/>
        <v>31.7984494089403</v>
      </c>
      <c r="O189" s="172">
        <f t="shared" si="438"/>
        <v>18.96</v>
      </c>
      <c r="P189" s="217">
        <f t="shared" si="501"/>
        <v>1.3249353920391791</v>
      </c>
      <c r="Q189" s="217">
        <f t="shared" si="502"/>
        <v>24</v>
      </c>
      <c r="R189" s="217"/>
      <c r="S189" s="172">
        <f t="shared" si="503"/>
        <v>48.623573058888688</v>
      </c>
      <c r="T189" s="536">
        <f t="shared" si="504"/>
        <v>24</v>
      </c>
      <c r="U189" s="217">
        <f t="shared" si="505"/>
        <v>6.7979832998121807</v>
      </c>
      <c r="V189" s="217">
        <f t="shared" si="506"/>
        <v>7.7570703877177491</v>
      </c>
      <c r="W189" s="217">
        <f t="shared" si="507"/>
        <v>4.1485078972851488</v>
      </c>
      <c r="X189" s="197">
        <f t="shared" si="508"/>
        <v>256.94614840918132</v>
      </c>
      <c r="Y189" s="443">
        <f t="shared" si="509"/>
        <v>82.606545218815256</v>
      </c>
      <c r="AA189" s="217">
        <f t="shared" si="510"/>
        <v>2.2222222222222223</v>
      </c>
      <c r="AB189" s="173">
        <f t="shared" si="511"/>
        <v>1.3561237254975529</v>
      </c>
      <c r="AC189" s="173">
        <f t="shared" si="512"/>
        <v>0.25824073586438712</v>
      </c>
      <c r="AD189" s="173"/>
      <c r="AE189" s="173">
        <f t="shared" si="513"/>
        <v>1.3561237254975529</v>
      </c>
      <c r="AF189" s="545">
        <f t="shared" si="514"/>
        <v>786.03964848462317</v>
      </c>
      <c r="AG189" s="528">
        <f t="shared" si="515"/>
        <v>0.25824073586438706</v>
      </c>
      <c r="AI189" s="173">
        <f t="shared" si="516"/>
        <v>3.3302412081097392</v>
      </c>
      <c r="AJ189" s="173">
        <f t="shared" si="517"/>
        <v>6.7979832998121807</v>
      </c>
      <c r="AK189" s="173">
        <f t="shared" si="518"/>
        <v>4.5894526500666357</v>
      </c>
      <c r="AM189" s="545">
        <f t="shared" si="519"/>
        <v>790</v>
      </c>
      <c r="AN189" s="460">
        <f t="shared" si="520"/>
        <v>82.606545218815256</v>
      </c>
      <c r="AP189">
        <f t="shared" si="521"/>
        <v>790</v>
      </c>
      <c r="AQ189">
        <f t="shared" si="522"/>
        <v>82.606545218815256</v>
      </c>
      <c r="AS189" s="5">
        <f t="shared" si="439"/>
        <v>12.105578285002899</v>
      </c>
      <c r="AT189" s="5">
        <f t="shared" si="523"/>
        <v>7.7570703877177491</v>
      </c>
      <c r="AU189" s="5">
        <f t="shared" si="478"/>
        <v>4.3485078972851499</v>
      </c>
      <c r="AV189" s="5"/>
      <c r="AW189" s="173">
        <f t="shared" si="479"/>
        <v>0.64078478574853903</v>
      </c>
      <c r="AX189" s="173">
        <f t="shared" si="435"/>
        <v>19.087306635229549</v>
      </c>
      <c r="AY189" s="173">
        <f t="shared" si="436"/>
        <v>0.81438666567788209</v>
      </c>
      <c r="AZ189" s="173">
        <f t="shared" si="440"/>
        <v>23.437646316742658</v>
      </c>
      <c r="BA189" s="460">
        <f t="shared" si="594"/>
        <v>25.53369002623759</v>
      </c>
      <c r="BB189" s="5">
        <f t="shared" si="595"/>
        <v>7.8399806174746844</v>
      </c>
      <c r="BD189" s="173">
        <f t="shared" si="441"/>
        <v>3.1417784887059073</v>
      </c>
      <c r="BE189" s="173">
        <f t="shared" si="437"/>
        <v>1.5689989797241075</v>
      </c>
      <c r="BG189" s="528">
        <f t="shared" si="480"/>
        <v>0.39483088288380702</v>
      </c>
      <c r="BH189" s="528">
        <f t="shared" si="524"/>
        <v>0.31777374035654438</v>
      </c>
      <c r="BI189" s="528">
        <f t="shared" si="525"/>
        <v>2.8957216412105035E-2</v>
      </c>
      <c r="BJ189" s="528">
        <f t="shared" si="481"/>
        <v>9.1439612739538864E-3</v>
      </c>
      <c r="BK189">
        <f t="shared" si="482"/>
        <v>3.9436183146657174E-3</v>
      </c>
      <c r="BL189" s="460">
        <f t="shared" si="588"/>
        <v>32.900834726770753</v>
      </c>
      <c r="BM189" s="528">
        <f t="shared" si="526"/>
        <v>0.91410695828916355</v>
      </c>
      <c r="BN189" s="460">
        <f t="shared" si="527"/>
        <v>914.10695828916357</v>
      </c>
      <c r="BO189" s="528">
        <f t="shared" si="483"/>
        <v>0.55299999999999994</v>
      </c>
      <c r="BR189" s="460">
        <f t="shared" si="484"/>
        <v>552.99999999999989</v>
      </c>
      <c r="BS189" s="528">
        <f t="shared" si="485"/>
        <v>0.29612316216285522</v>
      </c>
      <c r="BT189" s="528">
        <f t="shared" si="486"/>
        <v>7.3852733951258701E-2</v>
      </c>
      <c r="BU189" s="528">
        <f t="shared" si="487"/>
        <v>0.37364260068069738</v>
      </c>
      <c r="BV189" s="528"/>
      <c r="BW189" s="528">
        <f t="shared" si="488"/>
        <v>0.76349226540918191</v>
      </c>
      <c r="BX189" s="460">
        <f t="shared" si="489"/>
        <v>1507.1107622039931</v>
      </c>
      <c r="BY189" s="173">
        <f t="shared" si="490"/>
        <v>2.8147601814450693</v>
      </c>
      <c r="BZ189" s="5">
        <f t="shared" si="491"/>
        <v>18.96</v>
      </c>
      <c r="CA189" s="173">
        <f t="shared" si="492"/>
        <v>0.87073289634465811</v>
      </c>
      <c r="CB189" s="5">
        <f t="shared" si="493"/>
        <v>87.073289634465809</v>
      </c>
      <c r="CE189" s="562">
        <f t="shared" si="528"/>
        <v>-50</v>
      </c>
      <c r="CF189">
        <f t="shared" si="529"/>
        <v>-50</v>
      </c>
      <c r="CG189" s="173">
        <f t="shared" si="530"/>
        <v>0.35070741227661617</v>
      </c>
      <c r="CI189" s="170">
        <v>79</v>
      </c>
      <c r="CJ189" s="217">
        <f t="shared" si="589"/>
        <v>0.79</v>
      </c>
      <c r="CK189" s="217"/>
      <c r="CL189" s="217">
        <f t="shared" si="531"/>
        <v>18.96</v>
      </c>
      <c r="CM189" s="541">
        <f t="shared" si="532"/>
        <v>9</v>
      </c>
      <c r="CN189" s="443">
        <f t="shared" si="533"/>
        <v>16.3415</v>
      </c>
      <c r="CO189" s="443">
        <f t="shared" si="534"/>
        <v>25.3415</v>
      </c>
      <c r="CP189" s="443"/>
      <c r="CQ189" s="217">
        <f t="shared" si="535"/>
        <v>0.64485133082098534</v>
      </c>
      <c r="CR189" s="172">
        <f t="shared" si="590"/>
        <v>32.320915977744015</v>
      </c>
      <c r="CS189" s="172">
        <f t="shared" si="536"/>
        <v>18.96</v>
      </c>
      <c r="CT189" s="217">
        <f t="shared" si="537"/>
        <v>1.3467048324060007</v>
      </c>
      <c r="CU189" s="217">
        <f t="shared" si="538"/>
        <v>24</v>
      </c>
      <c r="CV189" s="217"/>
      <c r="CW189" s="172">
        <f t="shared" si="539"/>
        <v>49.931663462921456</v>
      </c>
      <c r="CX189" s="536">
        <f t="shared" si="540"/>
        <v>24</v>
      </c>
      <c r="CY189" s="217">
        <f t="shared" si="541"/>
        <v>6.5338057501861311</v>
      </c>
      <c r="CZ189" s="217">
        <f t="shared" si="542"/>
        <v>7.2597841668734802</v>
      </c>
      <c r="DA189" s="217">
        <f t="shared" si="543"/>
        <v>3.9982900897629543</v>
      </c>
      <c r="DB189" s="197">
        <f t="shared" si="544"/>
        <v>261.16478898249903</v>
      </c>
      <c r="DC189" s="443">
        <f t="shared" si="545"/>
        <v>88.825138047967471</v>
      </c>
      <c r="DE189" s="217">
        <f t="shared" si="546"/>
        <v>2.2222222222222223</v>
      </c>
      <c r="DF189" s="173">
        <f t="shared" si="547"/>
        <v>1.3598642855443031</v>
      </c>
      <c r="DG189" s="173">
        <f t="shared" si="548"/>
        <v>0.26320462482489204</v>
      </c>
      <c r="DH189" s="173"/>
      <c r="DI189" s="173">
        <f t="shared" si="549"/>
        <v>1.3598642855443031</v>
      </c>
      <c r="DJ189" s="545">
        <f t="shared" si="550"/>
        <v>783.87749999999971</v>
      </c>
      <c r="DK189" s="528">
        <f t="shared" si="551"/>
        <v>0.26320462482489204</v>
      </c>
      <c r="DM189" s="173">
        <f t="shared" si="552"/>
        <v>3.3256578296631778</v>
      </c>
      <c r="DN189" s="173">
        <f t="shared" si="553"/>
        <v>6.5338057501861311</v>
      </c>
      <c r="DO189" s="173">
        <f t="shared" si="554"/>
        <v>4.393765576269562</v>
      </c>
      <c r="DQ189" s="545">
        <f t="shared" si="555"/>
        <v>790</v>
      </c>
      <c r="DR189" s="460">
        <f t="shared" si="556"/>
        <v>88.825138047967471</v>
      </c>
      <c r="DT189">
        <f t="shared" si="591"/>
        <v>790</v>
      </c>
      <c r="DU189">
        <f t="shared" si="592"/>
        <v>88.825138047967471</v>
      </c>
      <c r="DW189" s="5">
        <f t="shared" si="557"/>
        <v>11.258074256636434</v>
      </c>
      <c r="DX189" s="5">
        <f t="shared" si="558"/>
        <v>7.2597841668734802</v>
      </c>
      <c r="DY189" s="5">
        <f t="shared" si="559"/>
        <v>3.9982900897629534</v>
      </c>
      <c r="DZ189" s="5"/>
      <c r="EA189" s="173">
        <f t="shared" si="560"/>
        <v>0.64485133082098545</v>
      </c>
      <c r="EB189" s="173">
        <f t="shared" si="561"/>
        <v>18.959999999999997</v>
      </c>
      <c r="EC189" s="173">
        <f t="shared" si="562"/>
        <v>0.77387755102040789</v>
      </c>
      <c r="ED189" s="173">
        <f t="shared" si="563"/>
        <v>24.500000000000004</v>
      </c>
      <c r="EE189" s="460">
        <f t="shared" si="564"/>
        <v>23.896789549291874</v>
      </c>
      <c r="EF189" s="5">
        <f t="shared" si="565"/>
        <v>7.0192203798060726</v>
      </c>
      <c r="EH189" s="173">
        <f t="shared" si="566"/>
        <v>3.0292519186967723</v>
      </c>
      <c r="EI189" s="173">
        <f t="shared" si="567"/>
        <v>1.4994656493554999</v>
      </c>
      <c r="EK189" s="528">
        <f t="shared" si="568"/>
        <v>0.36705468747712311</v>
      </c>
      <c r="EL189" s="528">
        <f t="shared" si="569"/>
        <v>0.404452125</v>
      </c>
      <c r="EM189" s="528">
        <f t="shared" si="570"/>
        <v>1.7765027609593493E-2</v>
      </c>
      <c r="EN189" s="528">
        <f t="shared" si="571"/>
        <v>9.9824829124307742E-3</v>
      </c>
      <c r="EO189">
        <f t="shared" si="572"/>
        <v>4.0499999999999998E-3</v>
      </c>
      <c r="EP189" s="460">
        <f t="shared" si="573"/>
        <v>21.815027609593493</v>
      </c>
      <c r="EQ189" s="460"/>
      <c r="ER189" s="460">
        <f t="shared" si="593"/>
        <v>803.30432299914742</v>
      </c>
      <c r="ES189" s="528">
        <f t="shared" si="574"/>
        <v>0.55299999999999994</v>
      </c>
      <c r="EV189" s="460">
        <f t="shared" si="494"/>
        <v>552.99999999999989</v>
      </c>
      <c r="EW189" s="528">
        <f t="shared" si="575"/>
        <v>0.2752910156078423</v>
      </c>
      <c r="EX189" s="528">
        <f t="shared" si="576"/>
        <v>6.7451917007913323E-2</v>
      </c>
      <c r="EY189" s="528">
        <f t="shared" si="577"/>
        <v>0.40571893711760981</v>
      </c>
      <c r="EZ189" s="528"/>
      <c r="FA189" s="528">
        <f t="shared" si="578"/>
        <v>0.75839999999999996</v>
      </c>
      <c r="FB189" s="460">
        <f t="shared" si="579"/>
        <v>1506.8618697333654</v>
      </c>
      <c r="FC189" s="173">
        <f t="shared" si="580"/>
        <v>2.8631661927325127</v>
      </c>
      <c r="FD189" s="5">
        <f t="shared" si="581"/>
        <v>18.96</v>
      </c>
      <c r="FE189" s="173">
        <f t="shared" si="582"/>
        <v>0.86880152185772219</v>
      </c>
      <c r="FF189" s="5">
        <f t="shared" si="583"/>
        <v>86.880152185772218</v>
      </c>
      <c r="FI189" s="562">
        <f t="shared" si="584"/>
        <v>-50</v>
      </c>
      <c r="FJ189">
        <f t="shared" si="585"/>
        <v>-50</v>
      </c>
      <c r="FL189">
        <f t="shared" si="586"/>
        <v>0.35514866917901455</v>
      </c>
    </row>
    <row r="190" spans="5:168">
      <c r="E190" s="170">
        <v>80</v>
      </c>
      <c r="F190" s="217">
        <f t="shared" si="587"/>
        <v>0.8</v>
      </c>
      <c r="G190" s="217"/>
      <c r="H190" s="217">
        <f t="shared" si="495"/>
        <v>19.200000000000003</v>
      </c>
      <c r="I190" s="541">
        <f t="shared" si="496"/>
        <v>8.7606416918939551</v>
      </c>
      <c r="J190" s="172">
        <f t="shared" si="497"/>
        <v>16.387137662143566</v>
      </c>
      <c r="K190" s="172">
        <f t="shared" si="498"/>
        <v>25.147779354037521</v>
      </c>
      <c r="L190" s="443"/>
      <c r="M190" s="217">
        <f t="shared" si="499"/>
        <v>0.65162577953377732</v>
      </c>
      <c r="N190" s="172">
        <f t="shared" si="500"/>
        <v>31.791844530154055</v>
      </c>
      <c r="O190" s="172">
        <f t="shared" si="438"/>
        <v>19.200000000000003</v>
      </c>
      <c r="P190" s="217">
        <f t="shared" si="501"/>
        <v>1.3246601887564189</v>
      </c>
      <c r="Q190" s="217">
        <f t="shared" si="502"/>
        <v>24</v>
      </c>
      <c r="R190" s="217"/>
      <c r="S190" s="172">
        <f t="shared" si="503"/>
        <v>47.83925060969986</v>
      </c>
      <c r="T190" s="536">
        <f t="shared" si="504"/>
        <v>24</v>
      </c>
      <c r="U190" s="217">
        <f t="shared" si="505"/>
        <v>6.885700659738486</v>
      </c>
      <c r="V190" s="217">
        <f t="shared" si="506"/>
        <v>7.8598131300241239</v>
      </c>
      <c r="W190" s="217">
        <f t="shared" si="507"/>
        <v>4.2018934616295791</v>
      </c>
      <c r="X190" s="197">
        <f t="shared" si="508"/>
        <v>256.89277660148207</v>
      </c>
      <c r="Y190" s="443">
        <f t="shared" si="509"/>
        <v>81.554716101319855</v>
      </c>
      <c r="AA190" s="217">
        <f t="shared" si="510"/>
        <v>2.2222222222222223</v>
      </c>
      <c r="AB190" s="173">
        <f t="shared" si="511"/>
        <v>1.3560771063489918</v>
      </c>
      <c r="AC190" s="173">
        <f t="shared" si="512"/>
        <v>0.25817821951278791</v>
      </c>
      <c r="AD190" s="173"/>
      <c r="AE190" s="173">
        <f t="shared" si="513"/>
        <v>1.3560771063489918</v>
      </c>
      <c r="AF190" s="545">
        <f t="shared" si="514"/>
        <v>796.01688193920745</v>
      </c>
      <c r="AG190" s="528">
        <f t="shared" si="515"/>
        <v>0.25817821951278791</v>
      </c>
      <c r="AI190" s="173">
        <f t="shared" si="516"/>
        <v>3.3513100061796259</v>
      </c>
      <c r="AJ190" s="173">
        <f t="shared" si="517"/>
        <v>6.885700659738486</v>
      </c>
      <c r="AK190" s="173">
        <f t="shared" si="518"/>
        <v>4.6544284722342688</v>
      </c>
      <c r="AM190" s="545">
        <f t="shared" si="519"/>
        <v>800</v>
      </c>
      <c r="AN190" s="460">
        <f t="shared" si="520"/>
        <v>81.554716101319855</v>
      </c>
      <c r="AP190">
        <f t="shared" si="521"/>
        <v>800</v>
      </c>
      <c r="AQ190">
        <f t="shared" si="522"/>
        <v>81.554716101319855</v>
      </c>
      <c r="AS190" s="5">
        <f t="shared" si="439"/>
        <v>12.261706591653702</v>
      </c>
      <c r="AT190" s="5">
        <f t="shared" si="523"/>
        <v>7.8598131300241239</v>
      </c>
      <c r="AU190" s="5">
        <f t="shared" si="478"/>
        <v>4.4018934616295784</v>
      </c>
      <c r="AV190" s="5"/>
      <c r="AW190" s="173">
        <f t="shared" si="479"/>
        <v>0.64100482842854367</v>
      </c>
      <c r="AX190" s="173">
        <f t="shared" si="435"/>
        <v>19.333717219997752</v>
      </c>
      <c r="AY190" s="173">
        <f t="shared" si="436"/>
        <v>0.82438975212579146</v>
      </c>
      <c r="AZ190" s="173">
        <f t="shared" si="440"/>
        <v>23.452156179942023</v>
      </c>
      <c r="BA190" s="460">
        <f t="shared" si="594"/>
        <v>26.199377100080415</v>
      </c>
      <c r="BB190" s="5">
        <f t="shared" si="595"/>
        <v>8.0393991516901089</v>
      </c>
      <c r="BD190" s="173">
        <f t="shared" si="441"/>
        <v>3.1828645845936943</v>
      </c>
      <c r="BE190" s="173">
        <f t="shared" si="437"/>
        <v>1.5887576293198065</v>
      </c>
      <c r="BG190" s="528">
        <f t="shared" si="480"/>
        <v>0.40522507855443157</v>
      </c>
      <c r="BH190" s="528">
        <f t="shared" si="524"/>
        <v>0.31774547783223861</v>
      </c>
      <c r="BI190" s="528">
        <f t="shared" si="525"/>
        <v>2.8578865841911921E-2</v>
      </c>
      <c r="BJ190" s="528">
        <f t="shared" si="481"/>
        <v>9.0258146612494719E-3</v>
      </c>
      <c r="BK190">
        <f t="shared" si="482"/>
        <v>3.9422887613522794E-3</v>
      </c>
      <c r="BL190" s="460">
        <f t="shared" si="588"/>
        <v>32.5211546032642</v>
      </c>
      <c r="BM190" s="528">
        <f t="shared" si="526"/>
        <v>0.93105001434985479</v>
      </c>
      <c r="BN190" s="460">
        <f t="shared" si="527"/>
        <v>931.05001434985479</v>
      </c>
      <c r="BO190" s="528">
        <f t="shared" si="483"/>
        <v>0.55999999999999994</v>
      </c>
      <c r="BR190" s="460">
        <f t="shared" si="484"/>
        <v>559.99999999999989</v>
      </c>
      <c r="BS190" s="528">
        <f t="shared" si="485"/>
        <v>0.30391880891582368</v>
      </c>
      <c r="BT190" s="528">
        <f t="shared" si="486"/>
        <v>7.5724524141656743E-2</v>
      </c>
      <c r="BU190" s="528">
        <f t="shared" si="487"/>
        <v>0.3736483355311091</v>
      </c>
      <c r="BV190" s="528"/>
      <c r="BW190" s="528">
        <f t="shared" si="488"/>
        <v>0.77334868879991003</v>
      </c>
      <c r="BX190" s="460">
        <f t="shared" si="489"/>
        <v>1526.6403573884998</v>
      </c>
      <c r="BY190" s="173">
        <f t="shared" si="490"/>
        <v>2.8511578830396833</v>
      </c>
      <c r="BZ190" s="5">
        <f t="shared" si="491"/>
        <v>19.200000000000003</v>
      </c>
      <c r="CA190" s="173">
        <f t="shared" si="492"/>
        <v>0.87070257724504307</v>
      </c>
      <c r="CB190" s="5">
        <f t="shared" si="493"/>
        <v>87.070257724504302</v>
      </c>
      <c r="CE190" s="562">
        <f t="shared" si="528"/>
        <v>-50</v>
      </c>
      <c r="CF190">
        <f t="shared" si="529"/>
        <v>-50</v>
      </c>
      <c r="CG190" s="173">
        <f t="shared" si="530"/>
        <v>0.35076292798789627</v>
      </c>
      <c r="CI190" s="170">
        <v>80</v>
      </c>
      <c r="CJ190" s="217">
        <f t="shared" si="589"/>
        <v>0.8</v>
      </c>
      <c r="CK190" s="217"/>
      <c r="CL190" s="217">
        <f t="shared" si="531"/>
        <v>19.200000000000003</v>
      </c>
      <c r="CM190" s="541">
        <f t="shared" si="532"/>
        <v>9</v>
      </c>
      <c r="CN190" s="443">
        <f t="shared" si="533"/>
        <v>16.3415</v>
      </c>
      <c r="CO190" s="443">
        <f t="shared" si="534"/>
        <v>25.3415</v>
      </c>
      <c r="CP190" s="443"/>
      <c r="CQ190" s="217">
        <f t="shared" si="535"/>
        <v>0.64485133082098534</v>
      </c>
      <c r="CR190" s="172">
        <f t="shared" si="590"/>
        <v>32.320915977744015</v>
      </c>
      <c r="CS190" s="172">
        <f t="shared" si="536"/>
        <v>19.200000000000003</v>
      </c>
      <c r="CT190" s="217">
        <f t="shared" si="537"/>
        <v>1.3467048324060007</v>
      </c>
      <c r="CU190" s="217">
        <f t="shared" si="538"/>
        <v>24</v>
      </c>
      <c r="CV190" s="217"/>
      <c r="CW190" s="172">
        <f t="shared" si="539"/>
        <v>49.142650463883363</v>
      </c>
      <c r="CX190" s="536">
        <f t="shared" si="540"/>
        <v>24</v>
      </c>
      <c r="CY190" s="217">
        <f t="shared" si="541"/>
        <v>6.6165121520872221</v>
      </c>
      <c r="CZ190" s="217">
        <f t="shared" si="542"/>
        <v>7.3516801689858031</v>
      </c>
      <c r="DA190" s="217">
        <f t="shared" si="543"/>
        <v>4.0489013567219789</v>
      </c>
      <c r="DB190" s="197">
        <f t="shared" si="544"/>
        <v>261.16478898249903</v>
      </c>
      <c r="DC190" s="443">
        <f t="shared" si="545"/>
        <v>87.714823822367862</v>
      </c>
      <c r="DE190" s="217">
        <f t="shared" si="546"/>
        <v>2.2222222222222223</v>
      </c>
      <c r="DF190" s="173">
        <f t="shared" si="547"/>
        <v>1.3598642855443031</v>
      </c>
      <c r="DG190" s="173">
        <f t="shared" si="548"/>
        <v>0.26320462482489204</v>
      </c>
      <c r="DH190" s="173"/>
      <c r="DI190" s="173">
        <f t="shared" si="549"/>
        <v>1.3598642855443031</v>
      </c>
      <c r="DJ190" s="545">
        <f t="shared" si="550"/>
        <v>793.79999999999973</v>
      </c>
      <c r="DK190" s="528">
        <f t="shared" si="551"/>
        <v>0.26320462482489204</v>
      </c>
      <c r="DM190" s="173">
        <f t="shared" si="552"/>
        <v>3.3466401061363023</v>
      </c>
      <c r="DN190" s="173">
        <f t="shared" si="553"/>
        <v>6.6165121520872221</v>
      </c>
      <c r="DO190" s="173">
        <f t="shared" si="554"/>
        <v>4.4550295776777773</v>
      </c>
      <c r="DQ190" s="545">
        <f t="shared" si="555"/>
        <v>800</v>
      </c>
      <c r="DR190" s="460">
        <f t="shared" si="556"/>
        <v>87.714823822367862</v>
      </c>
      <c r="DT190">
        <f t="shared" si="591"/>
        <v>800</v>
      </c>
      <c r="DU190">
        <f t="shared" si="592"/>
        <v>87.714823822367862</v>
      </c>
      <c r="DW190" s="5">
        <f t="shared" si="557"/>
        <v>11.400581525707782</v>
      </c>
      <c r="DX190" s="5">
        <f t="shared" si="558"/>
        <v>7.3516801689858031</v>
      </c>
      <c r="DY190" s="5">
        <f t="shared" si="559"/>
        <v>4.0489013567219789</v>
      </c>
      <c r="DZ190" s="5"/>
      <c r="EA190" s="173">
        <f t="shared" si="560"/>
        <v>0.64485133082098534</v>
      </c>
      <c r="EB190" s="173">
        <f t="shared" si="561"/>
        <v>19.2</v>
      </c>
      <c r="EC190" s="173">
        <f t="shared" si="562"/>
        <v>0.78367346938775517</v>
      </c>
      <c r="ED190" s="173">
        <f t="shared" si="563"/>
        <v>24.499999999999996</v>
      </c>
      <c r="EE190" s="460">
        <f t="shared" si="564"/>
        <v>24.505600563286009</v>
      </c>
      <c r="EF190" s="5">
        <f t="shared" si="565"/>
        <v>7.1980468563946287</v>
      </c>
      <c r="EH190" s="173">
        <f t="shared" si="566"/>
        <v>3.0675968796929345</v>
      </c>
      <c r="EI190" s="173">
        <f t="shared" si="567"/>
        <v>1.5184462271954433</v>
      </c>
      <c r="EK190" s="528">
        <f t="shared" si="568"/>
        <v>0.37640602465207307</v>
      </c>
      <c r="EL190" s="528">
        <f t="shared" si="569"/>
        <v>0.40445212499999994</v>
      </c>
      <c r="EM190" s="528">
        <f t="shared" si="570"/>
        <v>1.7542964764473569E-2</v>
      </c>
      <c r="EN190" s="528">
        <f t="shared" si="571"/>
        <v>9.8577018760253893E-3</v>
      </c>
      <c r="EO190">
        <f t="shared" si="572"/>
        <v>4.0499999999999998E-3</v>
      </c>
      <c r="EP190" s="460">
        <f t="shared" si="573"/>
        <v>21.592964764473567</v>
      </c>
      <c r="EQ190" s="460"/>
      <c r="ER190" s="460">
        <f t="shared" si="593"/>
        <v>812.30881629257203</v>
      </c>
      <c r="ES190" s="528">
        <f t="shared" si="574"/>
        <v>0.55999999999999994</v>
      </c>
      <c r="EV190" s="460">
        <f t="shared" si="494"/>
        <v>559.99999999999989</v>
      </c>
      <c r="EW190" s="528">
        <f t="shared" si="575"/>
        <v>0.2823045184890548</v>
      </c>
      <c r="EX190" s="528">
        <f t="shared" si="576"/>
        <v>6.9170368346522265E-2</v>
      </c>
      <c r="EY190" s="528">
        <f t="shared" si="577"/>
        <v>0.40571893711760948</v>
      </c>
      <c r="EZ190" s="528"/>
      <c r="FA190" s="528">
        <f t="shared" si="578"/>
        <v>0.7679999999999999</v>
      </c>
      <c r="FB190" s="460">
        <f t="shared" si="579"/>
        <v>1525.1938239531864</v>
      </c>
      <c r="FC190" s="173">
        <f t="shared" si="580"/>
        <v>2.8975026402457584</v>
      </c>
      <c r="FD190" s="5">
        <f t="shared" si="581"/>
        <v>19.200000000000003</v>
      </c>
      <c r="FE190" s="173">
        <f t="shared" si="582"/>
        <v>0.86887646593291534</v>
      </c>
      <c r="FF190" s="5">
        <f t="shared" si="583"/>
        <v>86.887646593291535</v>
      </c>
      <c r="FI190" s="562">
        <f t="shared" si="584"/>
        <v>-50</v>
      </c>
      <c r="FJ190">
        <f t="shared" si="585"/>
        <v>-50</v>
      </c>
      <c r="FL190">
        <f t="shared" si="586"/>
        <v>0.35514866917901466</v>
      </c>
    </row>
    <row r="191" spans="5:168">
      <c r="E191" s="170">
        <v>81</v>
      </c>
      <c r="F191" s="217">
        <f t="shared" si="587"/>
        <v>0.81</v>
      </c>
      <c r="G191" s="217"/>
      <c r="H191" s="217">
        <f t="shared" si="495"/>
        <v>19.440000000000001</v>
      </c>
      <c r="I191" s="541">
        <f t="shared" si="496"/>
        <v>8.7576871172794917</v>
      </c>
      <c r="J191" s="172">
        <f t="shared" si="497"/>
        <v>16.387701001177419</v>
      </c>
      <c r="K191" s="172">
        <f t="shared" si="498"/>
        <v>25.145388118456911</v>
      </c>
      <c r="L191" s="443"/>
      <c r="M191" s="217">
        <f t="shared" si="499"/>
        <v>0.65171015316204317</v>
      </c>
      <c r="N191" s="172">
        <f t="shared" si="500"/>
        <v>31.78523763014422</v>
      </c>
      <c r="O191" s="172">
        <f t="shared" si="438"/>
        <v>19.440000000000001</v>
      </c>
      <c r="P191" s="217">
        <f t="shared" si="501"/>
        <v>1.3243849012560092</v>
      </c>
      <c r="Q191" s="217">
        <f t="shared" si="502"/>
        <v>24</v>
      </c>
      <c r="R191" s="217"/>
      <c r="S191" s="172">
        <f t="shared" si="503"/>
        <v>47.074469262602292</v>
      </c>
      <c r="T191" s="536">
        <f t="shared" si="504"/>
        <v>24</v>
      </c>
      <c r="U191" s="217">
        <f t="shared" si="505"/>
        <v>6.973460837996817</v>
      </c>
      <c r="V191" s="217">
        <f t="shared" si="506"/>
        <v>7.9626740994636842</v>
      </c>
      <c r="W191" s="217">
        <f t="shared" si="507"/>
        <v>4.2553014834086804</v>
      </c>
      <c r="X191" s="197">
        <f t="shared" si="508"/>
        <v>256.83938847427549</v>
      </c>
      <c r="Y191" s="443">
        <f t="shared" si="509"/>
        <v>80.52842376170085</v>
      </c>
      <c r="AA191" s="217">
        <f t="shared" si="510"/>
        <v>2.2222222222222219</v>
      </c>
      <c r="AB191" s="173">
        <f t="shared" si="511"/>
        <v>1.3560304902210263</v>
      </c>
      <c r="AC191" s="173">
        <f t="shared" si="512"/>
        <v>0.25811569102353393</v>
      </c>
      <c r="AD191" s="173"/>
      <c r="AE191" s="173">
        <f t="shared" si="513"/>
        <v>1.3560304902210267</v>
      </c>
      <c r="AF191" s="545">
        <f t="shared" si="514"/>
        <v>805.99479961562986</v>
      </c>
      <c r="AG191" s="528">
        <f t="shared" si="515"/>
        <v>0.2581156910235341</v>
      </c>
      <c r="AI191" s="173">
        <f t="shared" si="516"/>
        <v>3.3722486066081774</v>
      </c>
      <c r="AJ191" s="173">
        <f t="shared" si="517"/>
        <v>6.973460837996817</v>
      </c>
      <c r="AK191" s="173">
        <f t="shared" si="518"/>
        <v>4.719436011684885</v>
      </c>
      <c r="AM191" s="545">
        <f t="shared" si="519"/>
        <v>810</v>
      </c>
      <c r="AN191" s="460">
        <f t="shared" si="520"/>
        <v>80.52842376170085</v>
      </c>
      <c r="AP191">
        <f t="shared" si="521"/>
        <v>810</v>
      </c>
      <c r="AQ191">
        <f t="shared" si="522"/>
        <v>80.52842376170085</v>
      </c>
      <c r="AS191" s="5">
        <f t="shared" si="439"/>
        <v>12.417975582872366</v>
      </c>
      <c r="AT191" s="5">
        <f t="shared" si="523"/>
        <v>7.9626740994636842</v>
      </c>
      <c r="AU191" s="5">
        <f t="shared" si="478"/>
        <v>4.4553014834086815</v>
      </c>
      <c r="AV191" s="5"/>
      <c r="AW191" s="173">
        <f t="shared" si="479"/>
        <v>0.64122159415793123</v>
      </c>
      <c r="AX191" s="173">
        <f t="shared" si="435"/>
        <v>19.580146431495482</v>
      </c>
      <c r="AY191" s="173">
        <f t="shared" si="436"/>
        <v>0.8343927087466414</v>
      </c>
      <c r="AZ191" s="173">
        <f t="shared" si="440"/>
        <v>23.466344116198265</v>
      </c>
      <c r="BA191" s="460">
        <f t="shared" si="594"/>
        <v>26.874025085689933</v>
      </c>
      <c r="BB191" s="5">
        <f t="shared" si="595"/>
        <v>8.2414321343831602</v>
      </c>
      <c r="BD191" s="173">
        <f t="shared" si="441"/>
        <v>3.2239760633289998</v>
      </c>
      <c r="BE191" s="173">
        <f t="shared" si="437"/>
        <v>1.6085209466247439</v>
      </c>
      <c r="BG191" s="528">
        <f t="shared" si="480"/>
        <v>0.4157608662767342</v>
      </c>
      <c r="BH191" s="528">
        <f t="shared" si="524"/>
        <v>0.31771551714904595</v>
      </c>
      <c r="BI191" s="528">
        <f t="shared" si="525"/>
        <v>2.8209709574106848E-2</v>
      </c>
      <c r="BJ191" s="528">
        <f t="shared" si="481"/>
        <v>8.9105381466112205E-3</v>
      </c>
      <c r="BK191">
        <f t="shared" si="482"/>
        <v>3.940959202775771E-3</v>
      </c>
      <c r="BL191" s="460">
        <f t="shared" si="588"/>
        <v>32.150668776882618</v>
      </c>
      <c r="BM191" s="528">
        <f t="shared" si="526"/>
        <v>0.94832215239332962</v>
      </c>
      <c r="BN191" s="460">
        <f t="shared" si="527"/>
        <v>948.32215239332959</v>
      </c>
      <c r="BO191" s="528">
        <f t="shared" si="483"/>
        <v>0.56699999999999995</v>
      </c>
      <c r="BR191" s="460">
        <f t="shared" si="484"/>
        <v>567</v>
      </c>
      <c r="BS191" s="528">
        <f t="shared" si="485"/>
        <v>0.31182064970755063</v>
      </c>
      <c r="BT191" s="528">
        <f t="shared" si="486"/>
        <v>7.7620189071916854E-2</v>
      </c>
      <c r="BU191" s="528">
        <f t="shared" si="487"/>
        <v>0.37364907906071015</v>
      </c>
      <c r="BV191" s="528"/>
      <c r="BW191" s="528">
        <f t="shared" si="488"/>
        <v>0.78320585725981928</v>
      </c>
      <c r="BX191" s="460">
        <f t="shared" si="489"/>
        <v>1546.2957750999967</v>
      </c>
      <c r="BY191" s="173">
        <f t="shared" si="490"/>
        <v>2.8878333654492709</v>
      </c>
      <c r="BZ191" s="5">
        <f t="shared" si="491"/>
        <v>19.440000000000001</v>
      </c>
      <c r="CA191" s="173">
        <f t="shared" si="492"/>
        <v>0.87066217674671531</v>
      </c>
      <c r="CB191" s="5">
        <f t="shared" si="493"/>
        <v>87.066217674671535</v>
      </c>
      <c r="CE191" s="562">
        <f t="shared" si="528"/>
        <v>-50</v>
      </c>
      <c r="CF191">
        <f t="shared" si="529"/>
        <v>-50</v>
      </c>
      <c r="CG191" s="173">
        <f t="shared" si="530"/>
        <v>0.35081707294087305</v>
      </c>
      <c r="CI191" s="170">
        <v>81</v>
      </c>
      <c r="CJ191" s="217">
        <f t="shared" si="589"/>
        <v>0.81</v>
      </c>
      <c r="CK191" s="217"/>
      <c r="CL191" s="217">
        <f t="shared" si="531"/>
        <v>19.440000000000001</v>
      </c>
      <c r="CM191" s="541">
        <f t="shared" si="532"/>
        <v>9</v>
      </c>
      <c r="CN191" s="443">
        <f t="shared" si="533"/>
        <v>16.3415</v>
      </c>
      <c r="CO191" s="443">
        <f t="shared" si="534"/>
        <v>25.3415</v>
      </c>
      <c r="CP191" s="443"/>
      <c r="CQ191" s="217">
        <f t="shared" si="535"/>
        <v>0.64485133082098534</v>
      </c>
      <c r="CR191" s="172">
        <f t="shared" si="590"/>
        <v>32.320915977744015</v>
      </c>
      <c r="CS191" s="172">
        <f t="shared" si="536"/>
        <v>19.440000000000001</v>
      </c>
      <c r="CT191" s="217">
        <f t="shared" si="537"/>
        <v>1.3467048324060007</v>
      </c>
      <c r="CU191" s="217">
        <f t="shared" si="538"/>
        <v>24</v>
      </c>
      <c r="CV191" s="217"/>
      <c r="CW191" s="172">
        <f t="shared" si="539"/>
        <v>48.373185211819887</v>
      </c>
      <c r="CX191" s="536">
        <f t="shared" si="540"/>
        <v>24</v>
      </c>
      <c r="CY191" s="217">
        <f t="shared" si="541"/>
        <v>6.6992185539883122</v>
      </c>
      <c r="CZ191" s="217">
        <f t="shared" si="542"/>
        <v>7.4435761710981252</v>
      </c>
      <c r="DA191" s="217">
        <f t="shared" si="543"/>
        <v>4.0995126236810036</v>
      </c>
      <c r="DB191" s="197">
        <f t="shared" si="544"/>
        <v>261.16478898249903</v>
      </c>
      <c r="DC191" s="443">
        <f t="shared" si="545"/>
        <v>86.631924762832469</v>
      </c>
      <c r="DE191" s="217">
        <f t="shared" si="546"/>
        <v>2.2222222222222223</v>
      </c>
      <c r="DF191" s="173">
        <f t="shared" si="547"/>
        <v>1.3598642855443031</v>
      </c>
      <c r="DG191" s="173">
        <f t="shared" si="548"/>
        <v>0.26320462482489204</v>
      </c>
      <c r="DH191" s="173"/>
      <c r="DI191" s="173">
        <f t="shared" si="549"/>
        <v>1.3598642855443031</v>
      </c>
      <c r="DJ191" s="545">
        <f t="shared" si="550"/>
        <v>803.72249999999974</v>
      </c>
      <c r="DK191" s="528">
        <f t="shared" si="551"/>
        <v>0.26320462482489204</v>
      </c>
      <c r="DM191" s="173">
        <f t="shared" si="552"/>
        <v>3.3674916480965473</v>
      </c>
      <c r="DN191" s="173">
        <f t="shared" si="553"/>
        <v>6.6992185539883122</v>
      </c>
      <c r="DO191" s="173">
        <f t="shared" si="554"/>
        <v>4.5162935790859926</v>
      </c>
      <c r="DQ191" s="545">
        <f t="shared" si="555"/>
        <v>810</v>
      </c>
      <c r="DR191" s="460">
        <f t="shared" si="556"/>
        <v>86.631924762832469</v>
      </c>
      <c r="DT191">
        <f t="shared" si="591"/>
        <v>810</v>
      </c>
      <c r="DU191">
        <f t="shared" si="592"/>
        <v>86.631924762832469</v>
      </c>
      <c r="DW191" s="5">
        <f t="shared" si="557"/>
        <v>11.543088794779129</v>
      </c>
      <c r="DX191" s="5">
        <f t="shared" si="558"/>
        <v>7.4435761710981252</v>
      </c>
      <c r="DY191" s="5">
        <f t="shared" si="559"/>
        <v>4.0995126236810036</v>
      </c>
      <c r="DZ191" s="5"/>
      <c r="EA191" s="173">
        <f t="shared" si="560"/>
        <v>0.64485133082098534</v>
      </c>
      <c r="EB191" s="173">
        <f t="shared" si="561"/>
        <v>19.440000000000001</v>
      </c>
      <c r="EC191" s="173">
        <f t="shared" si="562"/>
        <v>0.79346938775510223</v>
      </c>
      <c r="ED191" s="173">
        <f t="shared" si="563"/>
        <v>24.499999999999996</v>
      </c>
      <c r="EE191" s="460">
        <f t="shared" si="564"/>
        <v>25.122069577456173</v>
      </c>
      <c r="EF191" s="5">
        <f t="shared" si="565"/>
        <v>7.379122722625806</v>
      </c>
      <c r="EH191" s="173">
        <f t="shared" si="566"/>
        <v>3.1059418406890962</v>
      </c>
      <c r="EI191" s="173">
        <f t="shared" si="567"/>
        <v>1.5374268050353868</v>
      </c>
      <c r="EK191" s="528">
        <f t="shared" si="568"/>
        <v>0.38587498870972681</v>
      </c>
      <c r="EL191" s="528">
        <f t="shared" si="569"/>
        <v>0.404452125</v>
      </c>
      <c r="EM191" s="528">
        <f t="shared" si="570"/>
        <v>1.7326384952566495E-2</v>
      </c>
      <c r="EN191" s="528">
        <f t="shared" si="571"/>
        <v>9.7360018528645838E-3</v>
      </c>
      <c r="EO191">
        <f t="shared" si="572"/>
        <v>4.0499999999999998E-3</v>
      </c>
      <c r="EP191" s="460">
        <f t="shared" si="573"/>
        <v>21.376384952566497</v>
      </c>
      <c r="EQ191" s="460"/>
      <c r="ER191" s="460">
        <f t="shared" si="593"/>
        <v>821.43950051515776</v>
      </c>
      <c r="ES191" s="528">
        <f t="shared" si="574"/>
        <v>0.56699999999999995</v>
      </c>
      <c r="EV191" s="460">
        <f t="shared" si="494"/>
        <v>567</v>
      </c>
      <c r="EW191" s="528">
        <f t="shared" si="575"/>
        <v>0.28940624153229511</v>
      </c>
      <c r="EX191" s="528">
        <f t="shared" si="576"/>
        <v>7.0910435425239518E-2</v>
      </c>
      <c r="EY191" s="528">
        <f t="shared" si="577"/>
        <v>0.40571893711760948</v>
      </c>
      <c r="EZ191" s="528"/>
      <c r="FA191" s="528">
        <f t="shared" si="578"/>
        <v>0.77760000000000018</v>
      </c>
      <c r="FB191" s="460">
        <f t="shared" si="579"/>
        <v>1543.6356140751441</v>
      </c>
      <c r="FC191" s="173">
        <f t="shared" si="580"/>
        <v>2.9320751145903019</v>
      </c>
      <c r="FD191" s="5">
        <f t="shared" si="581"/>
        <v>19.440000000000001</v>
      </c>
      <c r="FE191" s="173">
        <f t="shared" si="582"/>
        <v>0.86894040451893073</v>
      </c>
      <c r="FF191" s="5">
        <f t="shared" si="583"/>
        <v>86.894040451893076</v>
      </c>
      <c r="FI191" s="562">
        <f t="shared" si="584"/>
        <v>-50</v>
      </c>
      <c r="FJ191">
        <f t="shared" si="585"/>
        <v>-50</v>
      </c>
      <c r="FL191">
        <f t="shared" si="586"/>
        <v>0.35514866917901466</v>
      </c>
    </row>
    <row r="192" spans="5:168">
      <c r="E192" s="170">
        <v>82</v>
      </c>
      <c r="F192" s="217">
        <f t="shared" si="587"/>
        <v>0.82</v>
      </c>
      <c r="G192" s="217"/>
      <c r="H192" s="217">
        <f t="shared" si="495"/>
        <v>19.68</v>
      </c>
      <c r="I192" s="541">
        <f t="shared" si="496"/>
        <v>8.7547325314024231</v>
      </c>
      <c r="J192" s="172">
        <f t="shared" si="497"/>
        <v>16.388264342358678</v>
      </c>
      <c r="K192" s="172">
        <f t="shared" si="498"/>
        <v>25.142996873761099</v>
      </c>
      <c r="L192" s="443"/>
      <c r="M192" s="217">
        <f t="shared" si="499"/>
        <v>0.65179454313083818</v>
      </c>
      <c r="N192" s="172">
        <f t="shared" si="500"/>
        <v>31.778628709345199</v>
      </c>
      <c r="O192" s="172">
        <f t="shared" si="438"/>
        <v>19.68</v>
      </c>
      <c r="P192" s="217">
        <f t="shared" si="501"/>
        <v>1.3241095295560499</v>
      </c>
      <c r="Q192" s="217">
        <f t="shared" si="502"/>
        <v>24</v>
      </c>
      <c r="R192" s="217"/>
      <c r="S192" s="172">
        <f t="shared" si="503"/>
        <v>46.328514707434366</v>
      </c>
      <c r="T192" s="536">
        <f t="shared" si="504"/>
        <v>24</v>
      </c>
      <c r="U192" s="217">
        <f t="shared" si="505"/>
        <v>7.0612638779424319</v>
      </c>
      <c r="V192" s="217">
        <f t="shared" si="506"/>
        <v>8.0656534652707279</v>
      </c>
      <c r="W192" s="217">
        <f t="shared" si="507"/>
        <v>4.3087319867615346</v>
      </c>
      <c r="X192" s="197">
        <f t="shared" si="508"/>
        <v>256.78598403060386</v>
      </c>
      <c r="Y192" s="443">
        <f t="shared" si="509"/>
        <v>79.526749344110556</v>
      </c>
      <c r="AA192" s="217">
        <f t="shared" si="510"/>
        <v>2.2222222222222228</v>
      </c>
      <c r="AB192" s="173">
        <f t="shared" si="511"/>
        <v>1.3559838771201991</v>
      </c>
      <c r="AC192" s="173">
        <f t="shared" si="512"/>
        <v>0.25805315040226068</v>
      </c>
      <c r="AD192" s="173"/>
      <c r="AE192" s="173">
        <f t="shared" si="513"/>
        <v>1.3559838771201989</v>
      </c>
      <c r="AF192" s="545">
        <f t="shared" si="514"/>
        <v>815.97340151384037</v>
      </c>
      <c r="AG192" s="528">
        <f t="shared" si="515"/>
        <v>0.25805315040226051</v>
      </c>
      <c r="AI192" s="173">
        <f t="shared" si="516"/>
        <v>3.3930594197486199</v>
      </c>
      <c r="AJ192" s="173">
        <f t="shared" si="517"/>
        <v>7.0612638779424319</v>
      </c>
      <c r="AK192" s="173">
        <f t="shared" si="518"/>
        <v>4.7844753005334892</v>
      </c>
      <c r="AM192" s="545">
        <f t="shared" si="519"/>
        <v>820</v>
      </c>
      <c r="AN192" s="460">
        <f t="shared" si="520"/>
        <v>79.526749344110556</v>
      </c>
      <c r="AP192">
        <f t="shared" si="521"/>
        <v>820</v>
      </c>
      <c r="AQ192">
        <f t="shared" si="522"/>
        <v>79.526749344110556</v>
      </c>
      <c r="AS192" s="5">
        <f t="shared" si="439"/>
        <v>12.574385452032264</v>
      </c>
      <c r="AT192" s="5">
        <f t="shared" si="523"/>
        <v>8.0656534652707279</v>
      </c>
      <c r="AU192" s="5">
        <f t="shared" si="478"/>
        <v>4.5087319867615356</v>
      </c>
      <c r="AV192" s="5"/>
      <c r="AW192" s="173">
        <f t="shared" si="479"/>
        <v>0.64143520142904176</v>
      </c>
      <c r="AX192" s="173">
        <f t="shared" si="435"/>
        <v>19.826594207781355</v>
      </c>
      <c r="AY192" s="173">
        <f t="shared" si="436"/>
        <v>0.84439554012694562</v>
      </c>
      <c r="AZ192" s="173">
        <f t="shared" si="440"/>
        <v>23.480221372084277</v>
      </c>
      <c r="BA192" s="460">
        <f t="shared" si="594"/>
        <v>27.557649339674985</v>
      </c>
      <c r="BB192" s="5">
        <f t="shared" si="595"/>
        <v>8.4460837972675549</v>
      </c>
      <c r="BD192" s="173">
        <f t="shared" si="441"/>
        <v>3.2651129462496717</v>
      </c>
      <c r="BE192" s="173">
        <f t="shared" si="437"/>
        <v>1.6282889418796771</v>
      </c>
      <c r="BG192" s="528">
        <f t="shared" si="480"/>
        <v>0.42643850207068845</v>
      </c>
      <c r="BH192" s="528">
        <f t="shared" si="524"/>
        <v>0.31768391913994726</v>
      </c>
      <c r="BI192" s="528">
        <f t="shared" si="525"/>
        <v>2.7849416783982839E-2</v>
      </c>
      <c r="BJ192" s="528">
        <f t="shared" si="481"/>
        <v>8.7980284592010152E-3</v>
      </c>
      <c r="BK192">
        <f t="shared" si="482"/>
        <v>3.9396296391310901E-3</v>
      </c>
      <c r="BL192" s="460">
        <f t="shared" si="588"/>
        <v>31.789046423113927</v>
      </c>
      <c r="BM192" s="528">
        <f t="shared" si="526"/>
        <v>0.96592844215720652</v>
      </c>
      <c r="BN192" s="460">
        <f t="shared" si="527"/>
        <v>965.92844215720652</v>
      </c>
      <c r="BO192" s="528">
        <f t="shared" si="483"/>
        <v>0.57399999999999995</v>
      </c>
      <c r="BR192" s="460">
        <f t="shared" si="484"/>
        <v>574</v>
      </c>
      <c r="BS192" s="528">
        <f t="shared" si="485"/>
        <v>0.31982887655301634</v>
      </c>
      <c r="BT192" s="528">
        <f t="shared" si="486"/>
        <v>7.9539746347429149E-2</v>
      </c>
      <c r="BU192" s="528">
        <f t="shared" si="487"/>
        <v>0.37364500868675782</v>
      </c>
      <c r="BV192" s="528"/>
      <c r="BW192" s="528">
        <f t="shared" si="488"/>
        <v>0.79306376831125414</v>
      </c>
      <c r="BX192" s="460">
        <f t="shared" si="489"/>
        <v>1566.0773998984573</v>
      </c>
      <c r="BY192" s="173">
        <f t="shared" si="490"/>
        <v>2.9247868959914083</v>
      </c>
      <c r="BZ192" s="5">
        <f t="shared" si="491"/>
        <v>19.68</v>
      </c>
      <c r="CA192" s="173">
        <f t="shared" si="492"/>
        <v>0.87061205622292004</v>
      </c>
      <c r="CB192" s="5">
        <f t="shared" si="493"/>
        <v>87.061205622292007</v>
      </c>
      <c r="CE192" s="562">
        <f t="shared" si="528"/>
        <v>-50</v>
      </c>
      <c r="CF192">
        <f t="shared" si="529"/>
        <v>-50</v>
      </c>
      <c r="CG192" s="173">
        <f t="shared" si="530"/>
        <v>0.35086989728524048</v>
      </c>
      <c r="CI192" s="170">
        <v>82</v>
      </c>
      <c r="CJ192" s="217">
        <f t="shared" si="589"/>
        <v>0.82</v>
      </c>
      <c r="CK192" s="217"/>
      <c r="CL192" s="217">
        <f t="shared" si="531"/>
        <v>19.68</v>
      </c>
      <c r="CM192" s="541">
        <f t="shared" si="532"/>
        <v>9</v>
      </c>
      <c r="CN192" s="443">
        <f t="shared" si="533"/>
        <v>16.3415</v>
      </c>
      <c r="CO192" s="443">
        <f t="shared" si="534"/>
        <v>25.3415</v>
      </c>
      <c r="CP192" s="443"/>
      <c r="CQ192" s="217">
        <f t="shared" si="535"/>
        <v>0.64485133082098534</v>
      </c>
      <c r="CR192" s="172">
        <f t="shared" si="590"/>
        <v>32.320915977744015</v>
      </c>
      <c r="CS192" s="172">
        <f t="shared" si="536"/>
        <v>19.68</v>
      </c>
      <c r="CT192" s="217">
        <f t="shared" si="537"/>
        <v>1.3467048324060007</v>
      </c>
      <c r="CU192" s="217">
        <f t="shared" si="538"/>
        <v>24</v>
      </c>
      <c r="CV192" s="217"/>
      <c r="CW192" s="172">
        <f t="shared" si="539"/>
        <v>47.622553156316613</v>
      </c>
      <c r="CX192" s="536">
        <f t="shared" si="540"/>
        <v>24</v>
      </c>
      <c r="CY192" s="217">
        <f t="shared" si="541"/>
        <v>6.7819249558894015</v>
      </c>
      <c r="CZ192" s="217">
        <f t="shared" si="542"/>
        <v>7.5354721732104482</v>
      </c>
      <c r="DA192" s="217">
        <f t="shared" si="543"/>
        <v>4.1501238906400282</v>
      </c>
      <c r="DB192" s="197">
        <f t="shared" si="544"/>
        <v>261.16478898249903</v>
      </c>
      <c r="DC192" s="443">
        <f t="shared" si="545"/>
        <v>85.575437875480858</v>
      </c>
      <c r="DE192" s="217">
        <f t="shared" si="546"/>
        <v>2.2222222222222223</v>
      </c>
      <c r="DF192" s="173">
        <f t="shared" si="547"/>
        <v>1.3598642855443031</v>
      </c>
      <c r="DG192" s="173">
        <f t="shared" si="548"/>
        <v>0.26320462482489204</v>
      </c>
      <c r="DH192" s="173"/>
      <c r="DI192" s="173">
        <f t="shared" si="549"/>
        <v>1.3598642855443031</v>
      </c>
      <c r="DJ192" s="545">
        <f t="shared" si="550"/>
        <v>813.64499999999964</v>
      </c>
      <c r="DK192" s="528">
        <f t="shared" si="551"/>
        <v>0.26320462482489204</v>
      </c>
      <c r="DM192" s="173">
        <f t="shared" si="552"/>
        <v>3.3882148692194827</v>
      </c>
      <c r="DN192" s="173">
        <f t="shared" si="553"/>
        <v>6.7819249558894015</v>
      </c>
      <c r="DO192" s="173">
        <f t="shared" si="554"/>
        <v>4.577557580494207</v>
      </c>
      <c r="DQ192" s="545">
        <f t="shared" si="555"/>
        <v>820</v>
      </c>
      <c r="DR192" s="460">
        <f t="shared" si="556"/>
        <v>85.575437875480858</v>
      </c>
      <c r="DT192">
        <f t="shared" si="591"/>
        <v>820</v>
      </c>
      <c r="DU192">
        <f t="shared" si="592"/>
        <v>85.575437875480858</v>
      </c>
      <c r="DW192" s="5">
        <f t="shared" si="557"/>
        <v>11.685596063850475</v>
      </c>
      <c r="DX192" s="5">
        <f t="shared" si="558"/>
        <v>7.5354721732104482</v>
      </c>
      <c r="DY192" s="5">
        <f t="shared" si="559"/>
        <v>4.1501238906400273</v>
      </c>
      <c r="DZ192" s="5"/>
      <c r="EA192" s="173">
        <f t="shared" si="560"/>
        <v>0.64485133082098545</v>
      </c>
      <c r="EB192" s="173">
        <f t="shared" si="561"/>
        <v>19.679999999999996</v>
      </c>
      <c r="EC192" s="173">
        <f t="shared" si="562"/>
        <v>0.80326530612244862</v>
      </c>
      <c r="ED192" s="173">
        <f t="shared" si="563"/>
        <v>24.500000000000007</v>
      </c>
      <c r="EE192" s="460">
        <f t="shared" si="564"/>
        <v>25.746196591802363</v>
      </c>
      <c r="EF192" s="5">
        <f t="shared" si="565"/>
        <v>7.5624479784996037</v>
      </c>
      <c r="EH192" s="173">
        <f t="shared" si="566"/>
        <v>3.1442868016852574</v>
      </c>
      <c r="EI192" s="173">
        <f t="shared" si="567"/>
        <v>1.5564073828753291</v>
      </c>
      <c r="EK192" s="528">
        <f t="shared" si="568"/>
        <v>0.39546157965008422</v>
      </c>
      <c r="EL192" s="528">
        <f t="shared" si="569"/>
        <v>0.40445212499999994</v>
      </c>
      <c r="EM192" s="528">
        <f t="shared" si="570"/>
        <v>1.711508757509617E-2</v>
      </c>
      <c r="EN192" s="528">
        <f t="shared" si="571"/>
        <v>9.617270122951601E-3</v>
      </c>
      <c r="EO192">
        <f t="shared" si="572"/>
        <v>4.0499999999999998E-3</v>
      </c>
      <c r="EP192" s="460">
        <f t="shared" si="573"/>
        <v>21.16508757509617</v>
      </c>
      <c r="EQ192" s="460"/>
      <c r="ER192" s="460">
        <f t="shared" si="593"/>
        <v>830.69606234813182</v>
      </c>
      <c r="ES192" s="528">
        <f t="shared" si="574"/>
        <v>0.57399999999999995</v>
      </c>
      <c r="EV192" s="460">
        <f t="shared" si="494"/>
        <v>574</v>
      </c>
      <c r="EW192" s="528">
        <f t="shared" si="575"/>
        <v>0.29659618473756311</v>
      </c>
      <c r="EX192" s="528">
        <f t="shared" si="576"/>
        <v>7.2672118244064943E-2</v>
      </c>
      <c r="EY192" s="528">
        <f t="shared" si="577"/>
        <v>0.40571893711760987</v>
      </c>
      <c r="EZ192" s="528"/>
      <c r="FA192" s="528">
        <f t="shared" si="578"/>
        <v>0.78719999999999979</v>
      </c>
      <c r="FB192" s="460">
        <f t="shared" si="579"/>
        <v>1562.1872400992377</v>
      </c>
      <c r="FC192" s="173">
        <f t="shared" si="580"/>
        <v>2.96688330244737</v>
      </c>
      <c r="FD192" s="5">
        <f t="shared" si="581"/>
        <v>19.68</v>
      </c>
      <c r="FE192" s="173">
        <f t="shared" si="582"/>
        <v>0.86899374793322004</v>
      </c>
      <c r="FF192" s="5">
        <f t="shared" si="583"/>
        <v>86.899374793322011</v>
      </c>
      <c r="FI192" s="562">
        <f t="shared" si="584"/>
        <v>-50</v>
      </c>
      <c r="FJ192">
        <f t="shared" si="585"/>
        <v>-50</v>
      </c>
      <c r="FL192">
        <f t="shared" si="586"/>
        <v>0.35514866917901455</v>
      </c>
    </row>
    <row r="193" spans="5:168">
      <c r="E193" s="170">
        <v>83</v>
      </c>
      <c r="F193" s="217">
        <f t="shared" si="587"/>
        <v>0.83</v>
      </c>
      <c r="G193" s="217"/>
      <c r="H193" s="217">
        <f t="shared" si="495"/>
        <v>19.919999999999998</v>
      </c>
      <c r="I193" s="541">
        <f t="shared" si="496"/>
        <v>8.7517779346747364</v>
      </c>
      <c r="J193" s="172">
        <f t="shared" si="497"/>
        <v>16.388827685608781</v>
      </c>
      <c r="K193" s="172">
        <f t="shared" si="498"/>
        <v>25.140605620283516</v>
      </c>
      <c r="L193" s="443"/>
      <c r="M193" s="217">
        <f t="shared" si="499"/>
        <v>0.65187894943425595</v>
      </c>
      <c r="N193" s="172">
        <f t="shared" si="500"/>
        <v>31.772017768142284</v>
      </c>
      <c r="O193" s="172">
        <f t="shared" si="438"/>
        <v>19.919999999999998</v>
      </c>
      <c r="P193" s="217">
        <f t="shared" si="501"/>
        <v>1.3238340736725951</v>
      </c>
      <c r="Q193" s="217">
        <f t="shared" si="502"/>
        <v>24</v>
      </c>
      <c r="R193" s="217"/>
      <c r="S193" s="172">
        <f t="shared" si="503"/>
        <v>45.600707065318616</v>
      </c>
      <c r="T193" s="536">
        <f t="shared" si="504"/>
        <v>24</v>
      </c>
      <c r="U193" s="217">
        <f t="shared" si="505"/>
        <v>7.1491098229892671</v>
      </c>
      <c r="V193" s="217">
        <f t="shared" si="506"/>
        <v>8.1687513969753933</v>
      </c>
      <c r="W193" s="217">
        <f t="shared" si="507"/>
        <v>4.3621849958597005</v>
      </c>
      <c r="X193" s="197">
        <f t="shared" si="508"/>
        <v>256.73256327313533</v>
      </c>
      <c r="Y193" s="443">
        <f t="shared" si="509"/>
        <v>78.548817553027348</v>
      </c>
      <c r="AA193" s="217">
        <f t="shared" si="510"/>
        <v>2.2222222222222223</v>
      </c>
      <c r="AB193" s="173">
        <f t="shared" si="511"/>
        <v>1.3559372670527141</v>
      </c>
      <c r="AC193" s="173">
        <f t="shared" si="512"/>
        <v>0.25799059765416088</v>
      </c>
      <c r="AD193" s="173"/>
      <c r="AE193" s="173">
        <f t="shared" si="513"/>
        <v>1.3559372670527141</v>
      </c>
      <c r="AF193" s="545">
        <f t="shared" si="514"/>
        <v>825.95268763379147</v>
      </c>
      <c r="AG193" s="528">
        <f t="shared" si="515"/>
        <v>0.25799059765416082</v>
      </c>
      <c r="AI193" s="173">
        <f t="shared" si="516"/>
        <v>3.4137447826457605</v>
      </c>
      <c r="AJ193" s="173">
        <f t="shared" si="517"/>
        <v>7.1491098229892671</v>
      </c>
      <c r="AK193" s="173">
        <f t="shared" si="518"/>
        <v>4.8495463709385511</v>
      </c>
      <c r="AM193" s="545">
        <f t="shared" si="519"/>
        <v>830</v>
      </c>
      <c r="AN193" s="460">
        <f t="shared" si="520"/>
        <v>78.548817553027348</v>
      </c>
      <c r="AP193">
        <f t="shared" si="521"/>
        <v>830</v>
      </c>
      <c r="AQ193">
        <f t="shared" si="522"/>
        <v>78.548817553027348</v>
      </c>
      <c r="AS193" s="5">
        <f t="shared" si="439"/>
        <v>12.730936392835096</v>
      </c>
      <c r="AT193" s="5">
        <f t="shared" si="523"/>
        <v>8.1687513969753933</v>
      </c>
      <c r="AU193" s="5">
        <f t="shared" si="478"/>
        <v>4.5621849958597025</v>
      </c>
      <c r="AV193" s="5"/>
      <c r="AW193" s="173">
        <f t="shared" si="479"/>
        <v>0.64164576311705745</v>
      </c>
      <c r="AX193" s="173">
        <f t="shared" si="435"/>
        <v>20.07306048984973</v>
      </c>
      <c r="AY193" s="173">
        <f t="shared" si="436"/>
        <v>0.85439825063572405</v>
      </c>
      <c r="AZ193" s="173">
        <f t="shared" si="440"/>
        <v>23.493798676336425</v>
      </c>
      <c r="BA193" s="460">
        <f t="shared" si="594"/>
        <v>28.250265247873234</v>
      </c>
      <c r="BB193" s="5">
        <f t="shared" si="595"/>
        <v>8.6533583800404852</v>
      </c>
      <c r="BD193" s="173">
        <f t="shared" si="441"/>
        <v>3.3062752549057532</v>
      </c>
      <c r="BE193" s="173">
        <f t="shared" si="437"/>
        <v>1.6480616250381852</v>
      </c>
      <c r="BG193" s="528">
        <f t="shared" si="480"/>
        <v>0.43725824244808414</v>
      </c>
      <c r="BH193" s="528">
        <f t="shared" si="524"/>
        <v>0.31765074175399766</v>
      </c>
      <c r="BI193" s="528">
        <f t="shared" si="525"/>
        <v>2.7497672330215057E-2</v>
      </c>
      <c r="BJ193" s="528">
        <f t="shared" si="481"/>
        <v>8.6881872239429666E-3</v>
      </c>
      <c r="BK193">
        <f t="shared" si="482"/>
        <v>3.9383000706036311E-3</v>
      </c>
      <c r="BL193" s="460">
        <f t="shared" si="588"/>
        <v>31.435972400818692</v>
      </c>
      <c r="BM193" s="528">
        <f t="shared" si="526"/>
        <v>0.98387409362250411</v>
      </c>
      <c r="BN193" s="460">
        <f t="shared" si="527"/>
        <v>983.87409362250412</v>
      </c>
      <c r="BO193" s="528">
        <f t="shared" si="483"/>
        <v>0.58099999999999996</v>
      </c>
      <c r="BR193" s="460">
        <f t="shared" si="484"/>
        <v>581</v>
      </c>
      <c r="BS193" s="528">
        <f t="shared" si="485"/>
        <v>0.32794368183606309</v>
      </c>
      <c r="BT193" s="528">
        <f t="shared" si="486"/>
        <v>8.1483213597705106E-2</v>
      </c>
      <c r="BU193" s="528">
        <f t="shared" si="487"/>
        <v>0.37363629352389427</v>
      </c>
      <c r="BV193" s="528"/>
      <c r="BW193" s="528">
        <f t="shared" si="488"/>
        <v>0.80292241959398913</v>
      </c>
      <c r="BX193" s="460">
        <f t="shared" si="489"/>
        <v>1585.9856085516517</v>
      </c>
      <c r="BY193" s="173">
        <f t="shared" si="490"/>
        <v>2.9620187523784947</v>
      </c>
      <c r="BZ193" s="5">
        <f t="shared" si="491"/>
        <v>19.919999999999998</v>
      </c>
      <c r="CA193" s="173">
        <f t="shared" si="492"/>
        <v>0.87055255987539981</v>
      </c>
      <c r="CB193" s="5">
        <f t="shared" si="493"/>
        <v>87.055255987539979</v>
      </c>
      <c r="CE193" s="562">
        <f t="shared" si="528"/>
        <v>-50</v>
      </c>
      <c r="CF193">
        <f t="shared" si="529"/>
        <v>-50</v>
      </c>
      <c r="CG193" s="173">
        <f t="shared" si="530"/>
        <v>0.35092144875384029</v>
      </c>
      <c r="CI193" s="170">
        <v>83</v>
      </c>
      <c r="CJ193" s="217">
        <f t="shared" si="589"/>
        <v>0.83</v>
      </c>
      <c r="CK193" s="217"/>
      <c r="CL193" s="217">
        <f t="shared" si="531"/>
        <v>19.919999999999998</v>
      </c>
      <c r="CM193" s="541">
        <f t="shared" si="532"/>
        <v>9</v>
      </c>
      <c r="CN193" s="443">
        <f t="shared" si="533"/>
        <v>16.3415</v>
      </c>
      <c r="CO193" s="443">
        <f t="shared" si="534"/>
        <v>25.3415</v>
      </c>
      <c r="CP193" s="443"/>
      <c r="CQ193" s="217">
        <f t="shared" si="535"/>
        <v>0.64485133082098534</v>
      </c>
      <c r="CR193" s="172">
        <f t="shared" si="590"/>
        <v>32.320915977744015</v>
      </c>
      <c r="CS193" s="172">
        <f t="shared" si="536"/>
        <v>19.919999999999998</v>
      </c>
      <c r="CT193" s="217">
        <f t="shared" si="537"/>
        <v>1.3467048324060007</v>
      </c>
      <c r="CU193" s="217">
        <f t="shared" si="538"/>
        <v>24</v>
      </c>
      <c r="CV193" s="217"/>
      <c r="CW193" s="172">
        <f t="shared" si="539"/>
        <v>46.890074190162153</v>
      </c>
      <c r="CX193" s="536">
        <f t="shared" si="540"/>
        <v>24</v>
      </c>
      <c r="CY193" s="217">
        <f t="shared" si="541"/>
        <v>6.8646313577904916</v>
      </c>
      <c r="CZ193" s="217">
        <f t="shared" si="542"/>
        <v>7.6273681753227702</v>
      </c>
      <c r="DA193" s="217">
        <f t="shared" si="543"/>
        <v>4.2007351575990528</v>
      </c>
      <c r="DB193" s="197">
        <f t="shared" si="544"/>
        <v>261.16478898249903</v>
      </c>
      <c r="DC193" s="443">
        <f t="shared" si="545"/>
        <v>84.544408503487105</v>
      </c>
      <c r="DE193" s="217">
        <f t="shared" si="546"/>
        <v>2.2222222222222223</v>
      </c>
      <c r="DF193" s="173">
        <f t="shared" si="547"/>
        <v>1.3598642855443031</v>
      </c>
      <c r="DG193" s="173">
        <f t="shared" si="548"/>
        <v>0.26320462482489204</v>
      </c>
      <c r="DH193" s="173"/>
      <c r="DI193" s="173">
        <f t="shared" si="549"/>
        <v>1.3598642855443031</v>
      </c>
      <c r="DJ193" s="545">
        <f t="shared" si="550"/>
        <v>823.56749999999965</v>
      </c>
      <c r="DK193" s="528">
        <f t="shared" si="551"/>
        <v>0.26320462482489204</v>
      </c>
      <c r="DM193" s="173">
        <f t="shared" si="552"/>
        <v>3.408812109811862</v>
      </c>
      <c r="DN193" s="173">
        <f t="shared" si="553"/>
        <v>6.8646313577904916</v>
      </c>
      <c r="DO193" s="173">
        <f t="shared" si="554"/>
        <v>4.6388215819024223</v>
      </c>
      <c r="DQ193" s="545">
        <f t="shared" si="555"/>
        <v>830</v>
      </c>
      <c r="DR193" s="460">
        <f t="shared" si="556"/>
        <v>84.544408503487105</v>
      </c>
      <c r="DT193">
        <f t="shared" si="591"/>
        <v>830</v>
      </c>
      <c r="DU193">
        <f t="shared" si="592"/>
        <v>84.544408503487105</v>
      </c>
      <c r="DW193" s="5">
        <f t="shared" si="557"/>
        <v>11.828103332921824</v>
      </c>
      <c r="DX193" s="5">
        <f t="shared" si="558"/>
        <v>7.6273681753227702</v>
      </c>
      <c r="DY193" s="5">
        <f t="shared" si="559"/>
        <v>4.2007351575990537</v>
      </c>
      <c r="DZ193" s="5"/>
      <c r="EA193" s="173">
        <f t="shared" si="560"/>
        <v>0.64485133082098534</v>
      </c>
      <c r="EB193" s="173">
        <f t="shared" si="561"/>
        <v>19.919999999999995</v>
      </c>
      <c r="EC193" s="173">
        <f t="shared" si="562"/>
        <v>0.81306122448979579</v>
      </c>
      <c r="ED193" s="173">
        <f t="shared" si="563"/>
        <v>24.499999999999996</v>
      </c>
      <c r="EE193" s="460">
        <f t="shared" si="564"/>
        <v>26.377981606324578</v>
      </c>
      <c r="EF193" s="5">
        <f t="shared" si="565"/>
        <v>7.7480226240160288</v>
      </c>
      <c r="EH193" s="173">
        <f t="shared" si="566"/>
        <v>3.1826317626814191</v>
      </c>
      <c r="EI193" s="173">
        <f t="shared" si="567"/>
        <v>1.5753879607152723</v>
      </c>
      <c r="EK193" s="528">
        <f t="shared" si="568"/>
        <v>0.40516579747314546</v>
      </c>
      <c r="EL193" s="528">
        <f t="shared" si="569"/>
        <v>0.40445212499999994</v>
      </c>
      <c r="EM193" s="528">
        <f t="shared" si="570"/>
        <v>1.6908881700697417E-2</v>
      </c>
      <c r="EN193" s="528">
        <f t="shared" si="571"/>
        <v>9.5013993985786898E-3</v>
      </c>
      <c r="EO193">
        <f t="shared" si="572"/>
        <v>4.0499999999999998E-3</v>
      </c>
      <c r="EP193" s="460">
        <f t="shared" si="573"/>
        <v>20.958881700697415</v>
      </c>
      <c r="EQ193" s="460"/>
      <c r="ER193" s="460">
        <f t="shared" si="593"/>
        <v>840.07820357242144</v>
      </c>
      <c r="ES193" s="528">
        <f t="shared" si="574"/>
        <v>0.58099999999999996</v>
      </c>
      <c r="EV193" s="460">
        <f t="shared" si="494"/>
        <v>581</v>
      </c>
      <c r="EW193" s="528">
        <f t="shared" si="575"/>
        <v>0.30387434810485908</v>
      </c>
      <c r="EX193" s="528">
        <f t="shared" si="576"/>
        <v>7.445541680299872E-2</v>
      </c>
      <c r="EY193" s="528">
        <f t="shared" si="577"/>
        <v>0.40571893711760987</v>
      </c>
      <c r="EZ193" s="528"/>
      <c r="FA193" s="528">
        <f t="shared" si="578"/>
        <v>0.79679999999999973</v>
      </c>
      <c r="FB193" s="460">
        <f t="shared" si="579"/>
        <v>1580.8487020254674</v>
      </c>
      <c r="FC193" s="173">
        <f t="shared" si="580"/>
        <v>3.0019269055978888</v>
      </c>
      <c r="FD193" s="5">
        <f t="shared" si="581"/>
        <v>19.919999999999998</v>
      </c>
      <c r="FE193" s="173">
        <f t="shared" si="582"/>
        <v>0.86903688690915548</v>
      </c>
      <c r="FF193" s="5">
        <f t="shared" si="583"/>
        <v>86.903688690915544</v>
      </c>
      <c r="FI193" s="562">
        <f t="shared" si="584"/>
        <v>-50</v>
      </c>
      <c r="FJ193">
        <f t="shared" si="585"/>
        <v>-50</v>
      </c>
      <c r="FL193">
        <f t="shared" si="586"/>
        <v>0.35514866917901466</v>
      </c>
    </row>
    <row r="194" spans="5:168">
      <c r="E194" s="170">
        <v>84</v>
      </c>
      <c r="F194" s="217">
        <f t="shared" si="587"/>
        <v>0.84</v>
      </c>
      <c r="G194" s="217"/>
      <c r="H194" s="217">
        <f t="shared" si="495"/>
        <v>20.16</v>
      </c>
      <c r="I194" s="541">
        <f t="shared" si="496"/>
        <v>8.7488233274885676</v>
      </c>
      <c r="J194" s="172">
        <f t="shared" si="497"/>
        <v>16.389391030852973</v>
      </c>
      <c r="K194" s="172">
        <f t="shared" si="498"/>
        <v>25.138214358341543</v>
      </c>
      <c r="L194" s="443"/>
      <c r="M194" s="217">
        <f t="shared" si="499"/>
        <v>0.65196337206689625</v>
      </c>
      <c r="N194" s="172">
        <f t="shared" si="500"/>
        <v>31.765404806874518</v>
      </c>
      <c r="O194" s="172">
        <f t="shared" si="438"/>
        <v>20.16</v>
      </c>
      <c r="P194" s="217">
        <f t="shared" si="501"/>
        <v>1.3235585336197715</v>
      </c>
      <c r="Q194" s="217">
        <f t="shared" si="502"/>
        <v>24</v>
      </c>
      <c r="R194" s="217"/>
      <c r="S194" s="172">
        <f t="shared" si="503"/>
        <v>44.890398839275527</v>
      </c>
      <c r="T194" s="536">
        <f t="shared" si="504"/>
        <v>24</v>
      </c>
      <c r="U194" s="217">
        <f t="shared" si="505"/>
        <v>7.2369987166100413</v>
      </c>
      <c r="V194" s="217">
        <f t="shared" si="506"/>
        <v>8.2719680644042572</v>
      </c>
      <c r="W194" s="217">
        <f t="shared" si="507"/>
        <v>4.4156605349072553</v>
      </c>
      <c r="X194" s="197">
        <f t="shared" si="508"/>
        <v>256.67912620418593</v>
      </c>
      <c r="Y194" s="443">
        <f t="shared" si="509"/>
        <v>77.593794102153325</v>
      </c>
      <c r="AA194" s="217">
        <f t="shared" si="510"/>
        <v>2.2222222222222219</v>
      </c>
      <c r="AB194" s="173">
        <f t="shared" si="511"/>
        <v>1.3558906600244611</v>
      </c>
      <c r="AC194" s="173">
        <f t="shared" si="512"/>
        <v>0.25792803278401283</v>
      </c>
      <c r="AD194" s="173"/>
      <c r="AE194" s="173">
        <f t="shared" si="513"/>
        <v>1.3558906600244616</v>
      </c>
      <c r="AF194" s="545">
        <f t="shared" si="514"/>
        <v>835.93265797543927</v>
      </c>
      <c r="AG194" s="528">
        <f t="shared" si="515"/>
        <v>0.25792803278401294</v>
      </c>
      <c r="AI194" s="173">
        <f t="shared" si="516"/>
        <v>3.434306962119011</v>
      </c>
      <c r="AJ194" s="173">
        <f t="shared" si="517"/>
        <v>7.2369987166100413</v>
      </c>
      <c r="AK194" s="173">
        <f t="shared" si="518"/>
        <v>4.9146492551020877</v>
      </c>
      <c r="AM194" s="545">
        <f t="shared" si="519"/>
        <v>840</v>
      </c>
      <c r="AN194" s="460">
        <f t="shared" si="520"/>
        <v>77.593794102153325</v>
      </c>
      <c r="AP194">
        <f t="shared" si="521"/>
        <v>840</v>
      </c>
      <c r="AQ194">
        <f t="shared" si="522"/>
        <v>77.593794102153325</v>
      </c>
      <c r="AS194" s="5">
        <f t="shared" si="439"/>
        <v>12.88762859931151</v>
      </c>
      <c r="AT194" s="5">
        <f t="shared" si="523"/>
        <v>8.2719680644042572</v>
      </c>
      <c r="AU194" s="5">
        <f t="shared" si="478"/>
        <v>4.6156605349072528</v>
      </c>
      <c r="AV194" s="5"/>
      <c r="AW194" s="173">
        <f t="shared" si="479"/>
        <v>0.64185338680897175</v>
      </c>
      <c r="AX194" s="173">
        <f t="shared" si="435"/>
        <v>20.319545221458874</v>
      </c>
      <c r="AY194" s="173">
        <f t="shared" si="436"/>
        <v>0.86440084443723841</v>
      </c>
      <c r="AZ194" s="173">
        <f t="shared" si="440"/>
        <v>23.507086269319601</v>
      </c>
      <c r="BA194" s="460">
        <f t="shared" si="594"/>
        <v>28.951888225414898</v>
      </c>
      <c r="BB194" s="5">
        <f t="shared" si="595"/>
        <v>8.8632601303998797</v>
      </c>
      <c r="BD194" s="173">
        <f t="shared" si="441"/>
        <v>3.3474630110490735</v>
      </c>
      <c r="BE194" s="173">
        <f t="shared" si="437"/>
        <v>1.667839005783611</v>
      </c>
      <c r="BG194" s="528">
        <f t="shared" si="480"/>
        <v>0.4482203444136692</v>
      </c>
      <c r="BH194" s="528">
        <f t="shared" si="524"/>
        <v>0.31761604022522472</v>
      </c>
      <c r="BI194" s="528">
        <f t="shared" si="525"/>
        <v>2.7154175836370555E-2</v>
      </c>
      <c r="BJ194" s="528">
        <f t="shared" si="481"/>
        <v>8.5809206748047838E-3</v>
      </c>
      <c r="BK194">
        <f t="shared" si="482"/>
        <v>3.9369704973698551E-3</v>
      </c>
      <c r="BL194" s="460">
        <f t="shared" si="588"/>
        <v>31.091146333740411</v>
      </c>
      <c r="BM194" s="528">
        <f t="shared" si="526"/>
        <v>1.0021644610829981</v>
      </c>
      <c r="BN194" s="460">
        <f t="shared" si="527"/>
        <v>1002.1644610829981</v>
      </c>
      <c r="BO194" s="528">
        <f t="shared" si="483"/>
        <v>0.58799999999999997</v>
      </c>
      <c r="BR194" s="460">
        <f t="shared" si="484"/>
        <v>588</v>
      </c>
      <c r="BS194" s="528">
        <f t="shared" si="485"/>
        <v>0.33616525831025185</v>
      </c>
      <c r="BT194" s="528">
        <f t="shared" si="486"/>
        <v>8.3450608476397917E-2</v>
      </c>
      <c r="BU194" s="528">
        <f t="shared" si="487"/>
        <v>0.3736230948642385</v>
      </c>
      <c r="BV194" s="528"/>
      <c r="BW194" s="528">
        <f t="shared" si="488"/>
        <v>0.81278180885835505</v>
      </c>
      <c r="BX194" s="460">
        <f t="shared" si="489"/>
        <v>1606.0207705092432</v>
      </c>
      <c r="BY194" s="173">
        <f t="shared" si="490"/>
        <v>2.9995292221566827</v>
      </c>
      <c r="BZ194" s="5">
        <f t="shared" si="491"/>
        <v>20.16</v>
      </c>
      <c r="CA194" s="173">
        <f t="shared" si="492"/>
        <v>0.8704840157421232</v>
      </c>
      <c r="CB194" s="5">
        <f t="shared" si="493"/>
        <v>87.04840157421232</v>
      </c>
      <c r="CE194" s="562">
        <f t="shared" si="528"/>
        <v>-50</v>
      </c>
      <c r="CF194">
        <f t="shared" si="529"/>
        <v>-50</v>
      </c>
      <c r="CG194" s="173">
        <f t="shared" si="530"/>
        <v>0.35097177280652109</v>
      </c>
      <c r="CI194" s="170">
        <v>84</v>
      </c>
      <c r="CJ194" s="217">
        <f t="shared" si="589"/>
        <v>0.84</v>
      </c>
      <c r="CK194" s="217"/>
      <c r="CL194" s="217">
        <f t="shared" si="531"/>
        <v>20.16</v>
      </c>
      <c r="CM194" s="541">
        <f t="shared" si="532"/>
        <v>9</v>
      </c>
      <c r="CN194" s="443">
        <f t="shared" si="533"/>
        <v>16.3415</v>
      </c>
      <c r="CO194" s="443">
        <f t="shared" si="534"/>
        <v>25.3415</v>
      </c>
      <c r="CP194" s="443"/>
      <c r="CQ194" s="217">
        <f t="shared" si="535"/>
        <v>0.64485133082098534</v>
      </c>
      <c r="CR194" s="172">
        <f t="shared" si="590"/>
        <v>32.320915977744015</v>
      </c>
      <c r="CS194" s="172">
        <f t="shared" si="536"/>
        <v>20.16</v>
      </c>
      <c r="CT194" s="217">
        <f t="shared" si="537"/>
        <v>1.3467048324060007</v>
      </c>
      <c r="CU194" s="217">
        <f t="shared" si="538"/>
        <v>24</v>
      </c>
      <c r="CV194" s="217"/>
      <c r="CW194" s="172">
        <f t="shared" si="539"/>
        <v>46.175100599250193</v>
      </c>
      <c r="CX194" s="536">
        <f t="shared" si="540"/>
        <v>24</v>
      </c>
      <c r="CY194" s="217">
        <f t="shared" si="541"/>
        <v>6.9473377596915826</v>
      </c>
      <c r="CZ194" s="217">
        <f t="shared" si="542"/>
        <v>7.7192641774350923</v>
      </c>
      <c r="DA194" s="217">
        <f t="shared" si="543"/>
        <v>4.2513464245580783</v>
      </c>
      <c r="DB194" s="197">
        <f t="shared" si="544"/>
        <v>261.16478898249903</v>
      </c>
      <c r="DC194" s="443">
        <f t="shared" si="545"/>
        <v>83.537927449874161</v>
      </c>
      <c r="DE194" s="217">
        <f t="shared" si="546"/>
        <v>2.2222222222222223</v>
      </c>
      <c r="DF194" s="173">
        <f t="shared" si="547"/>
        <v>1.3598642855443031</v>
      </c>
      <c r="DG194" s="173">
        <f t="shared" si="548"/>
        <v>0.26320462482489204</v>
      </c>
      <c r="DH194" s="173"/>
      <c r="DI194" s="173">
        <f t="shared" si="549"/>
        <v>1.3598642855443031</v>
      </c>
      <c r="DJ194" s="545">
        <f t="shared" si="550"/>
        <v>833.48999999999978</v>
      </c>
      <c r="DK194" s="528">
        <f t="shared" si="551"/>
        <v>0.26320462482489204</v>
      </c>
      <c r="DM194" s="173">
        <f t="shared" si="552"/>
        <v>3.4292856398964489</v>
      </c>
      <c r="DN194" s="173">
        <f t="shared" si="553"/>
        <v>6.9473377596915826</v>
      </c>
      <c r="DO194" s="173">
        <f t="shared" si="554"/>
        <v>4.7000855833106376</v>
      </c>
      <c r="DQ194" s="545">
        <f t="shared" si="555"/>
        <v>840</v>
      </c>
      <c r="DR194" s="460">
        <f t="shared" si="556"/>
        <v>83.537927449874161</v>
      </c>
      <c r="DT194">
        <f t="shared" si="591"/>
        <v>840</v>
      </c>
      <c r="DU194">
        <f t="shared" si="592"/>
        <v>83.537927449874161</v>
      </c>
      <c r="DW194" s="5">
        <f t="shared" si="557"/>
        <v>11.970610601993172</v>
      </c>
      <c r="DX194" s="5">
        <f t="shared" si="558"/>
        <v>7.7192641774350923</v>
      </c>
      <c r="DY194" s="5">
        <f t="shared" si="559"/>
        <v>4.2513464245580801</v>
      </c>
      <c r="DZ194" s="5"/>
      <c r="EA194" s="173">
        <f t="shared" si="560"/>
        <v>0.64485133082098522</v>
      </c>
      <c r="EB194" s="173">
        <f t="shared" si="561"/>
        <v>20.159999999999997</v>
      </c>
      <c r="EC194" s="173">
        <f t="shared" si="562"/>
        <v>0.82285714285714306</v>
      </c>
      <c r="ED194" s="173">
        <f t="shared" si="563"/>
        <v>24.499999999999989</v>
      </c>
      <c r="EE194" s="460">
        <f t="shared" si="564"/>
        <v>27.017424621022823</v>
      </c>
      <c r="EF194" s="5">
        <f t="shared" si="565"/>
        <v>7.9358466591750823</v>
      </c>
      <c r="EH194" s="173">
        <f t="shared" si="566"/>
        <v>3.2209767236775804</v>
      </c>
      <c r="EI194" s="173">
        <f t="shared" si="567"/>
        <v>1.5943685385552158</v>
      </c>
      <c r="EK194" s="528">
        <f t="shared" si="568"/>
        <v>0.41498764217891038</v>
      </c>
      <c r="EL194" s="528">
        <f t="shared" si="569"/>
        <v>0.40445212499999994</v>
      </c>
      <c r="EM194" s="528">
        <f t="shared" si="570"/>
        <v>1.6707585489974832E-2</v>
      </c>
      <c r="EN194" s="528">
        <f t="shared" si="571"/>
        <v>9.388287500976561E-3</v>
      </c>
      <c r="EO194">
        <f t="shared" si="572"/>
        <v>4.0499999999999998E-3</v>
      </c>
      <c r="EP194" s="460">
        <f t="shared" si="573"/>
        <v>20.757585489974833</v>
      </c>
      <c r="EQ194" s="460"/>
      <c r="ER194" s="460">
        <f t="shared" si="593"/>
        <v>849.58564016986168</v>
      </c>
      <c r="ES194" s="528">
        <f t="shared" si="574"/>
        <v>0.58799999999999997</v>
      </c>
      <c r="EV194" s="460">
        <f t="shared" si="494"/>
        <v>588</v>
      </c>
      <c r="EW194" s="528">
        <f t="shared" si="575"/>
        <v>0.31124073163418275</v>
      </c>
      <c r="EX194" s="528">
        <f t="shared" si="576"/>
        <v>7.6260331102040835E-2</v>
      </c>
      <c r="EY194" s="528">
        <f t="shared" si="577"/>
        <v>0.40571893711760948</v>
      </c>
      <c r="EZ194" s="528"/>
      <c r="FA194" s="528">
        <f t="shared" si="578"/>
        <v>0.80640000000000001</v>
      </c>
      <c r="FB194" s="460">
        <f t="shared" si="579"/>
        <v>1599.6199998538332</v>
      </c>
      <c r="FC194" s="173">
        <f t="shared" si="580"/>
        <v>3.0372056400236946</v>
      </c>
      <c r="FD194" s="5">
        <f t="shared" si="581"/>
        <v>20.16</v>
      </c>
      <c r="FE194" s="173">
        <f t="shared" si="582"/>
        <v>0.86907019374853489</v>
      </c>
      <c r="FF194" s="5">
        <f t="shared" si="583"/>
        <v>86.90701937485349</v>
      </c>
      <c r="FI194" s="562">
        <f t="shared" si="584"/>
        <v>-50</v>
      </c>
      <c r="FJ194">
        <f t="shared" si="585"/>
        <v>-50</v>
      </c>
      <c r="FL194">
        <f t="shared" si="586"/>
        <v>0.35514866917901478</v>
      </c>
    </row>
    <row r="195" spans="5:168">
      <c r="E195" s="170">
        <v>85</v>
      </c>
      <c r="F195" s="217">
        <f t="shared" si="587"/>
        <v>0.85</v>
      </c>
      <c r="G195" s="217"/>
      <c r="H195" s="217">
        <f t="shared" si="495"/>
        <v>20.399999999999999</v>
      </c>
      <c r="I195" s="541">
        <f t="shared" si="496"/>
        <v>8.7458687102173762</v>
      </c>
      <c r="J195" s="172">
        <f t="shared" si="497"/>
        <v>16.389954378020047</v>
      </c>
      <c r="K195" s="172">
        <f t="shared" si="498"/>
        <v>25.135823088237423</v>
      </c>
      <c r="L195" s="443"/>
      <c r="M195" s="217">
        <f t="shared" si="499"/>
        <v>0.65204781102383735</v>
      </c>
      <c r="N195" s="172">
        <f t="shared" si="500"/>
        <v>31.758789825837496</v>
      </c>
      <c r="O195" s="172">
        <f t="shared" si="438"/>
        <v>20.399999999999999</v>
      </c>
      <c r="P195" s="217">
        <f t="shared" si="501"/>
        <v>1.3232829094098957</v>
      </c>
      <c r="Q195" s="217">
        <f t="shared" si="502"/>
        <v>24</v>
      </c>
      <c r="R195" s="217"/>
      <c r="S195" s="172">
        <f t="shared" si="503"/>
        <v>44.19697300950029</v>
      </c>
      <c r="T195" s="536">
        <f t="shared" si="504"/>
        <v>24</v>
      </c>
      <c r="U195" s="217">
        <f t="shared" si="505"/>
        <v>7.3249306023363348</v>
      </c>
      <c r="V195" s="217">
        <f t="shared" si="506"/>
        <v>8.3753036376809238</v>
      </c>
      <c r="W195" s="217">
        <f t="shared" si="507"/>
        <v>4.4691586281408595</v>
      </c>
      <c r="X195" s="197">
        <f t="shared" si="508"/>
        <v>256.62567282574054</v>
      </c>
      <c r="Y195" s="443">
        <f t="shared" si="509"/>
        <v>76.660883340521622</v>
      </c>
      <c r="AA195" s="217">
        <f t="shared" si="510"/>
        <v>2.2222222222222223</v>
      </c>
      <c r="AB195" s="173">
        <f t="shared" si="511"/>
        <v>1.3558440560410354</v>
      </c>
      <c r="AC195" s="173">
        <f t="shared" si="512"/>
        <v>0.25786545579620446</v>
      </c>
      <c r="AD195" s="173"/>
      <c r="AE195" s="173">
        <f t="shared" si="513"/>
        <v>1.3558440560410354</v>
      </c>
      <c r="AF195" s="545">
        <f t="shared" si="514"/>
        <v>845.91331253874046</v>
      </c>
      <c r="AG195" s="528">
        <f t="shared" si="515"/>
        <v>0.25786545579620446</v>
      </c>
      <c r="AI195" s="173">
        <f t="shared" si="516"/>
        <v>3.4547481576806875</v>
      </c>
      <c r="AJ195" s="173">
        <f t="shared" si="517"/>
        <v>7.3249306023363348</v>
      </c>
      <c r="AK195" s="173">
        <f t="shared" si="518"/>
        <v>4.9797839852697123</v>
      </c>
      <c r="AM195" s="545">
        <f t="shared" si="519"/>
        <v>850</v>
      </c>
      <c r="AN195" s="460">
        <f t="shared" si="520"/>
        <v>76.660883340521622</v>
      </c>
      <c r="AP195">
        <f t="shared" si="521"/>
        <v>850</v>
      </c>
      <c r="AQ195">
        <f t="shared" si="522"/>
        <v>76.660883340521622</v>
      </c>
      <c r="AS195" s="5">
        <f t="shared" si="439"/>
        <v>13.044462265821783</v>
      </c>
      <c r="AT195" s="5">
        <f t="shared" si="523"/>
        <v>8.3753036376809238</v>
      </c>
      <c r="AU195" s="5">
        <f t="shared" si="478"/>
        <v>4.6691586281408597</v>
      </c>
      <c r="AV195" s="5"/>
      <c r="AW195" s="173">
        <f t="shared" si="479"/>
        <v>0.64205817510970364</v>
      </c>
      <c r="AX195" s="173">
        <f t="shared" si="435"/>
        <v>20.566048348970856</v>
      </c>
      <c r="AY195" s="173">
        <f t="shared" si="436"/>
        <v>0.87440332550284761</v>
      </c>
      <c r="AZ195" s="173">
        <f t="shared" si="440"/>
        <v>23.520093930502647</v>
      </c>
      <c r="BA195" s="460">
        <f t="shared" si="594"/>
        <v>29.662533716786605</v>
      </c>
      <c r="BB195" s="5">
        <f t="shared" si="595"/>
        <v>9.0757933040618131</v>
      </c>
      <c r="BD195" s="173">
        <f t="shared" si="441"/>
        <v>3.3886762366235521</v>
      </c>
      <c r="BE195" s="173">
        <f t="shared" si="437"/>
        <v>1.6876210935448419</v>
      </c>
      <c r="BG195" s="528">
        <f t="shared" si="480"/>
        <v>0.45932506546628638</v>
      </c>
      <c r="BH195" s="528">
        <f t="shared" si="524"/>
        <v>0.31757986722979148</v>
      </c>
      <c r="BI195" s="528">
        <f t="shared" si="525"/>
        <v>2.6818640836219706E-2</v>
      </c>
      <c r="BJ195" s="528">
        <f t="shared" si="481"/>
        <v>8.4761393879956258E-3</v>
      </c>
      <c r="BK195">
        <f t="shared" si="482"/>
        <v>3.9356409195978196E-3</v>
      </c>
      <c r="BL195" s="460">
        <f t="shared" si="588"/>
        <v>30.754281755817523</v>
      </c>
      <c r="BM195" s="528">
        <f t="shared" si="526"/>
        <v>1.0208050473837316</v>
      </c>
      <c r="BN195" s="460">
        <f t="shared" si="527"/>
        <v>1020.8050473837316</v>
      </c>
      <c r="BO195" s="528">
        <f t="shared" si="483"/>
        <v>0.59499999999999997</v>
      </c>
      <c r="BR195" s="460">
        <f t="shared" si="484"/>
        <v>595</v>
      </c>
      <c r="BS195" s="528">
        <f t="shared" si="485"/>
        <v>0.34449379909971478</v>
      </c>
      <c r="BT195" s="528">
        <f t="shared" si="486"/>
        <v>8.5441948661324638E-2</v>
      </c>
      <c r="BU195" s="528">
        <f t="shared" si="487"/>
        <v>0.37360556662454064</v>
      </c>
      <c r="BV195" s="528"/>
      <c r="BW195" s="528">
        <f t="shared" si="488"/>
        <v>0.82264193395883434</v>
      </c>
      <c r="BX195" s="460">
        <f t="shared" si="489"/>
        <v>1626.1832483444146</v>
      </c>
      <c r="BY195" s="173">
        <f t="shared" si="490"/>
        <v>3.0373186021843055</v>
      </c>
      <c r="BZ195" s="5">
        <f t="shared" si="491"/>
        <v>20.399999999999999</v>
      </c>
      <c r="CA195" s="173">
        <f t="shared" si="492"/>
        <v>0.87040673663491375</v>
      </c>
      <c r="CB195" s="5">
        <f t="shared" si="493"/>
        <v>87.040673663491376</v>
      </c>
      <c r="CE195" s="562">
        <f t="shared" si="528"/>
        <v>-50</v>
      </c>
      <c r="CF195">
        <f t="shared" si="529"/>
        <v>-50</v>
      </c>
      <c r="CG195" s="173">
        <f t="shared" si="530"/>
        <v>0.35102091276384439</v>
      </c>
      <c r="CI195" s="170">
        <v>85</v>
      </c>
      <c r="CJ195" s="217">
        <f t="shared" si="589"/>
        <v>0.85</v>
      </c>
      <c r="CK195" s="217"/>
      <c r="CL195" s="217">
        <f t="shared" si="531"/>
        <v>20.399999999999999</v>
      </c>
      <c r="CM195" s="541">
        <f t="shared" si="532"/>
        <v>9</v>
      </c>
      <c r="CN195" s="443">
        <f t="shared" si="533"/>
        <v>16.3415</v>
      </c>
      <c r="CO195" s="443">
        <f t="shared" si="534"/>
        <v>25.3415</v>
      </c>
      <c r="CP195" s="443"/>
      <c r="CQ195" s="217">
        <f t="shared" si="535"/>
        <v>0.64485133082098534</v>
      </c>
      <c r="CR195" s="172">
        <f t="shared" si="590"/>
        <v>32.320915977744015</v>
      </c>
      <c r="CS195" s="172">
        <f t="shared" si="536"/>
        <v>20.399999999999999</v>
      </c>
      <c r="CT195" s="217">
        <f t="shared" si="537"/>
        <v>1.3467048324060007</v>
      </c>
      <c r="CU195" s="217">
        <f t="shared" si="538"/>
        <v>24</v>
      </c>
      <c r="CV195" s="217"/>
      <c r="CW195" s="172">
        <f t="shared" si="539"/>
        <v>45.477015157195581</v>
      </c>
      <c r="CX195" s="536">
        <f t="shared" si="540"/>
        <v>24</v>
      </c>
      <c r="CY195" s="217">
        <f t="shared" si="541"/>
        <v>7.0300441615926719</v>
      </c>
      <c r="CZ195" s="217">
        <f t="shared" si="542"/>
        <v>7.8111601795474153</v>
      </c>
      <c r="DA195" s="217">
        <f t="shared" si="543"/>
        <v>4.3019576915171021</v>
      </c>
      <c r="DB195" s="197">
        <f t="shared" si="544"/>
        <v>261.16478898249903</v>
      </c>
      <c r="DC195" s="443">
        <f t="shared" si="545"/>
        <v>82.555128303405056</v>
      </c>
      <c r="DE195" s="217">
        <f t="shared" si="546"/>
        <v>2.2222222222222223</v>
      </c>
      <c r="DF195" s="173">
        <f t="shared" si="547"/>
        <v>1.3598642855443031</v>
      </c>
      <c r="DG195" s="173">
        <f t="shared" si="548"/>
        <v>0.26320462482489204</v>
      </c>
      <c r="DH195" s="173"/>
      <c r="DI195" s="173">
        <f t="shared" si="549"/>
        <v>1.3598642855443031</v>
      </c>
      <c r="DJ195" s="545">
        <f t="shared" si="550"/>
        <v>843.4124999999998</v>
      </c>
      <c r="DK195" s="528">
        <f t="shared" si="551"/>
        <v>0.26320462482489204</v>
      </c>
      <c r="DM195" s="173">
        <f t="shared" si="552"/>
        <v>3.4496376621320679</v>
      </c>
      <c r="DN195" s="173">
        <f t="shared" si="553"/>
        <v>7.0300441615926719</v>
      </c>
      <c r="DO195" s="173">
        <f t="shared" si="554"/>
        <v>4.7613495847188512</v>
      </c>
      <c r="DQ195" s="545">
        <f t="shared" si="555"/>
        <v>850</v>
      </c>
      <c r="DR195" s="460">
        <f t="shared" si="556"/>
        <v>82.555128303405056</v>
      </c>
      <c r="DT195">
        <f t="shared" si="591"/>
        <v>850</v>
      </c>
      <c r="DU195">
        <f t="shared" si="592"/>
        <v>82.555128303405056</v>
      </c>
      <c r="DW195" s="5">
        <f t="shared" si="557"/>
        <v>12.113117871064519</v>
      </c>
      <c r="DX195" s="5">
        <f t="shared" si="558"/>
        <v>7.8111601795474153</v>
      </c>
      <c r="DY195" s="5">
        <f t="shared" si="559"/>
        <v>4.3019576915171038</v>
      </c>
      <c r="DZ195" s="5"/>
      <c r="EA195" s="173">
        <f t="shared" si="560"/>
        <v>0.64485133082098534</v>
      </c>
      <c r="EB195" s="173">
        <f t="shared" si="561"/>
        <v>20.399999999999991</v>
      </c>
      <c r="EC195" s="173">
        <f t="shared" si="562"/>
        <v>0.83265306122448979</v>
      </c>
      <c r="ED195" s="173">
        <f t="shared" si="563"/>
        <v>24.499999999999989</v>
      </c>
      <c r="EE195" s="460">
        <f t="shared" si="564"/>
        <v>27.664525635897093</v>
      </c>
      <c r="EF195" s="5">
        <f t="shared" si="565"/>
        <v>8.1259200839767498</v>
      </c>
      <c r="EH195" s="173">
        <f t="shared" si="566"/>
        <v>3.2593216846737421</v>
      </c>
      <c r="EI195" s="173">
        <f t="shared" si="567"/>
        <v>1.6133491163951583</v>
      </c>
      <c r="EK195" s="528">
        <f t="shared" si="568"/>
        <v>0.42492711376737924</v>
      </c>
      <c r="EL195" s="528">
        <f t="shared" si="569"/>
        <v>0.40445212499999994</v>
      </c>
      <c r="EM195" s="528">
        <f t="shared" si="570"/>
        <v>1.6511025660681009E-2</v>
      </c>
      <c r="EN195" s="528">
        <f t="shared" si="571"/>
        <v>9.2778370597886017E-3</v>
      </c>
      <c r="EO195">
        <f t="shared" si="572"/>
        <v>4.0499999999999998E-3</v>
      </c>
      <c r="EP195" s="460">
        <f t="shared" si="573"/>
        <v>20.561025660681008</v>
      </c>
      <c r="EQ195" s="460"/>
      <c r="ER195" s="460">
        <f t="shared" si="593"/>
        <v>859.21810148784868</v>
      </c>
      <c r="ES195" s="528">
        <f t="shared" si="574"/>
        <v>0.59499999999999997</v>
      </c>
      <c r="EV195" s="460">
        <f t="shared" si="494"/>
        <v>595</v>
      </c>
      <c r="EW195" s="528">
        <f t="shared" si="575"/>
        <v>0.3186953353255344</v>
      </c>
      <c r="EX195" s="528">
        <f t="shared" si="576"/>
        <v>7.808686114119115E-2</v>
      </c>
      <c r="EY195" s="528">
        <f t="shared" si="577"/>
        <v>0.40571893711761015</v>
      </c>
      <c r="EZ195" s="528"/>
      <c r="FA195" s="528">
        <f t="shared" si="578"/>
        <v>0.81599999999999961</v>
      </c>
      <c r="FB195" s="460">
        <f t="shared" si="579"/>
        <v>1618.5011335843353</v>
      </c>
      <c r="FC195" s="173">
        <f t="shared" si="580"/>
        <v>3.0727192350721841</v>
      </c>
      <c r="FD195" s="5">
        <f t="shared" si="581"/>
        <v>20.399999999999999</v>
      </c>
      <c r="FE195" s="173">
        <f t="shared" si="582"/>
        <v>0.869094023393718</v>
      </c>
      <c r="FF195" s="5">
        <f t="shared" si="583"/>
        <v>86.909402339371795</v>
      </c>
      <c r="FI195" s="562">
        <f t="shared" si="584"/>
        <v>-50</v>
      </c>
      <c r="FJ195">
        <f t="shared" si="585"/>
        <v>-50</v>
      </c>
      <c r="FL195">
        <f t="shared" si="586"/>
        <v>0.35514866917901466</v>
      </c>
    </row>
    <row r="196" spans="5:168">
      <c r="E196" s="170">
        <v>86</v>
      </c>
      <c r="F196" s="217">
        <f t="shared" si="587"/>
        <v>0.86</v>
      </c>
      <c r="G196" s="217"/>
      <c r="H196" s="217">
        <f t="shared" si="495"/>
        <v>20.64</v>
      </c>
      <c r="I196" s="541">
        <f t="shared" si="496"/>
        <v>8.7429140832170589</v>
      </c>
      <c r="J196" s="172">
        <f t="shared" si="497"/>
        <v>16.390517727042134</v>
      </c>
      <c r="K196" s="172">
        <f t="shared" si="498"/>
        <v>25.133431810259193</v>
      </c>
      <c r="L196" s="443"/>
      <c r="M196" s="217">
        <f t="shared" si="499"/>
        <v>0.65213226630060528</v>
      </c>
      <c r="N196" s="172">
        <f t="shared" si="500"/>
        <v>31.752172825285875</v>
      </c>
      <c r="O196" s="172">
        <f t="shared" si="438"/>
        <v>20.64</v>
      </c>
      <c r="P196" s="217">
        <f t="shared" si="501"/>
        <v>1.3230072010535781</v>
      </c>
      <c r="Q196" s="217">
        <f t="shared" si="502"/>
        <v>24</v>
      </c>
      <c r="R196" s="217"/>
      <c r="S196" s="172">
        <f t="shared" si="503"/>
        <v>43.519841261527979</v>
      </c>
      <c r="T196" s="536">
        <f t="shared" si="504"/>
        <v>24</v>
      </c>
      <c r="U196" s="217">
        <f t="shared" si="505"/>
        <v>7.4129055237586909</v>
      </c>
      <c r="V196" s="217">
        <f t="shared" si="506"/>
        <v>8.478758287226615</v>
      </c>
      <c r="W196" s="217">
        <f t="shared" si="507"/>
        <v>4.5226792998298047</v>
      </c>
      <c r="X196" s="197">
        <f t="shared" si="508"/>
        <v>256.57220313947232</v>
      </c>
      <c r="Y196" s="443">
        <f t="shared" si="509"/>
        <v>75.749326041617437</v>
      </c>
      <c r="AA196" s="217">
        <f t="shared" si="510"/>
        <v>2.2222222222222228</v>
      </c>
      <c r="AB196" s="173">
        <f t="shared" si="511"/>
        <v>1.3557974551077525</v>
      </c>
      <c r="AC196" s="173">
        <f t="shared" si="512"/>
        <v>0.25780286669475549</v>
      </c>
      <c r="AD196" s="173"/>
      <c r="AE196" s="173">
        <f t="shared" si="513"/>
        <v>1.3557974551077523</v>
      </c>
      <c r="AF196" s="545">
        <f t="shared" si="514"/>
        <v>855.8946513236541</v>
      </c>
      <c r="AG196" s="528">
        <f t="shared" si="515"/>
        <v>0.25780286669475549</v>
      </c>
      <c r="AI196" s="173">
        <f t="shared" si="516"/>
        <v>3.4750705043002452</v>
      </c>
      <c r="AJ196" s="173">
        <f t="shared" si="517"/>
        <v>7.4129055237586909</v>
      </c>
      <c r="AK196" s="173">
        <f t="shared" si="518"/>
        <v>5.0449505937307171</v>
      </c>
      <c r="AM196" s="545">
        <f t="shared" si="519"/>
        <v>860</v>
      </c>
      <c r="AN196" s="460">
        <f t="shared" si="520"/>
        <v>75.749326041617437</v>
      </c>
      <c r="AP196">
        <f t="shared" si="521"/>
        <v>860</v>
      </c>
      <c r="AQ196">
        <f t="shared" si="522"/>
        <v>75.749326041617437</v>
      </c>
      <c r="AS196" s="5">
        <f t="shared" si="439"/>
        <v>13.20143758705642</v>
      </c>
      <c r="AT196" s="5">
        <f t="shared" si="523"/>
        <v>8.478758287226615</v>
      </c>
      <c r="AU196" s="5">
        <f t="shared" si="478"/>
        <v>4.7226792998298048</v>
      </c>
      <c r="AV196" s="5"/>
      <c r="AW196" s="173">
        <f t="shared" si="479"/>
        <v>0.64226022592719456</v>
      </c>
      <c r="AX196" s="173">
        <f t="shared" si="435"/>
        <v>20.81256982120264</v>
      </c>
      <c r="AY196" s="173">
        <f t="shared" si="436"/>
        <v>0.88440569762204402</v>
      </c>
      <c r="AZ196" s="173">
        <f t="shared" si="440"/>
        <v>23.532831004099901</v>
      </c>
      <c r="BA196" s="460">
        <f t="shared" si="594"/>
        <v>30.382217195895368</v>
      </c>
      <c r="BB196" s="5">
        <f t="shared" si="595"/>
        <v>9.2909621647777954</v>
      </c>
      <c r="BD196" s="173">
        <f t="shared" si="441"/>
        <v>3.4299149537561848</v>
      </c>
      <c r="BE196" s="173">
        <f t="shared" si="437"/>
        <v>1.7074078975110107</v>
      </c>
      <c r="BG196" s="528">
        <f t="shared" si="480"/>
        <v>0.47057266360001165</v>
      </c>
      <c r="BH196" s="528">
        <f t="shared" si="524"/>
        <v>0.31754227303237009</v>
      </c>
      <c r="BI196" s="528">
        <f t="shared" si="525"/>
        <v>2.6490793977738313E-2</v>
      </c>
      <c r="BJ196" s="528">
        <f t="shared" si="481"/>
        <v>8.3737580334851142E-3</v>
      </c>
      <c r="BK196">
        <f t="shared" si="482"/>
        <v>3.9343113374476768E-3</v>
      </c>
      <c r="BL196" s="460">
        <f t="shared" si="588"/>
        <v>30.425105315185988</v>
      </c>
      <c r="BM196" s="528">
        <f t="shared" si="526"/>
        <v>1.0398015083351471</v>
      </c>
      <c r="BN196" s="460">
        <f t="shared" si="527"/>
        <v>1039.801508335147</v>
      </c>
      <c r="BO196" s="528">
        <f t="shared" si="483"/>
        <v>0.60199999999999998</v>
      </c>
      <c r="BR196" s="460">
        <f t="shared" si="484"/>
        <v>602</v>
      </c>
      <c r="BS196" s="528">
        <f t="shared" si="485"/>
        <v>0.3529294977000087</v>
      </c>
      <c r="BT196" s="528">
        <f t="shared" si="486"/>
        <v>8.7457251854489104E-2</v>
      </c>
      <c r="BU196" s="528">
        <f t="shared" si="487"/>
        <v>0.37358385576302267</v>
      </c>
      <c r="BV196" s="528"/>
      <c r="BW196" s="528">
        <f t="shared" si="488"/>
        <v>0.83250279284810547</v>
      </c>
      <c r="BX196" s="460">
        <f t="shared" si="489"/>
        <v>1646.4733981656259</v>
      </c>
      <c r="BY196" s="173">
        <f t="shared" si="490"/>
        <v>3.0753871981466787</v>
      </c>
      <c r="BZ196" s="5">
        <f t="shared" si="491"/>
        <v>20.64</v>
      </c>
      <c r="CA196" s="173">
        <f t="shared" si="492"/>
        <v>0.87032102101259323</v>
      </c>
      <c r="CB196" s="5">
        <f t="shared" si="493"/>
        <v>87.032102101259326</v>
      </c>
      <c r="CE196" s="562">
        <f t="shared" si="528"/>
        <v>-50</v>
      </c>
      <c r="CF196">
        <f t="shared" si="529"/>
        <v>-50</v>
      </c>
      <c r="CG196" s="173">
        <f t="shared" si="530"/>
        <v>0.35106890993146278</v>
      </c>
      <c r="CI196" s="170">
        <v>86</v>
      </c>
      <c r="CJ196" s="217">
        <f t="shared" si="589"/>
        <v>0.86</v>
      </c>
      <c r="CK196" s="217"/>
      <c r="CL196" s="217">
        <f t="shared" si="531"/>
        <v>20.64</v>
      </c>
      <c r="CM196" s="541">
        <f t="shared" si="532"/>
        <v>9</v>
      </c>
      <c r="CN196" s="443">
        <f t="shared" si="533"/>
        <v>16.3415</v>
      </c>
      <c r="CO196" s="443">
        <f t="shared" si="534"/>
        <v>25.3415</v>
      </c>
      <c r="CP196" s="443"/>
      <c r="CQ196" s="217">
        <f t="shared" si="535"/>
        <v>0.64485133082098534</v>
      </c>
      <c r="CR196" s="172">
        <f t="shared" si="590"/>
        <v>32.320915977744015</v>
      </c>
      <c r="CS196" s="172">
        <f t="shared" si="536"/>
        <v>20.64</v>
      </c>
      <c r="CT196" s="217">
        <f t="shared" si="537"/>
        <v>1.3467048324060007</v>
      </c>
      <c r="CU196" s="217">
        <f t="shared" si="538"/>
        <v>24</v>
      </c>
      <c r="CV196" s="217"/>
      <c r="CW196" s="172">
        <f t="shared" si="539"/>
        <v>44.795229352885549</v>
      </c>
      <c r="CX196" s="536">
        <f t="shared" si="540"/>
        <v>24</v>
      </c>
      <c r="CY196" s="217">
        <f t="shared" si="541"/>
        <v>7.1127505634937629</v>
      </c>
      <c r="CZ196" s="217">
        <f t="shared" si="542"/>
        <v>7.9030561816597364</v>
      </c>
      <c r="DA196" s="217">
        <f t="shared" si="543"/>
        <v>4.3525689584761276</v>
      </c>
      <c r="DB196" s="197">
        <f t="shared" si="544"/>
        <v>261.16478898249903</v>
      </c>
      <c r="DC196" s="443">
        <f t="shared" si="545"/>
        <v>81.595184951039883</v>
      </c>
      <c r="DE196" s="217">
        <f t="shared" si="546"/>
        <v>2.2222222222222223</v>
      </c>
      <c r="DF196" s="173">
        <f t="shared" si="547"/>
        <v>1.3598642855443031</v>
      </c>
      <c r="DG196" s="173">
        <f t="shared" si="548"/>
        <v>0.26320462482489204</v>
      </c>
      <c r="DH196" s="173"/>
      <c r="DI196" s="173">
        <f t="shared" si="549"/>
        <v>1.3598642855443031</v>
      </c>
      <c r="DJ196" s="545">
        <f t="shared" si="550"/>
        <v>853.33499999999981</v>
      </c>
      <c r="DK196" s="528">
        <f t="shared" si="551"/>
        <v>0.26320462482489204</v>
      </c>
      <c r="DM196" s="173">
        <f t="shared" si="552"/>
        <v>3.4698703145794942</v>
      </c>
      <c r="DN196" s="173">
        <f t="shared" si="553"/>
        <v>7.1127505634937629</v>
      </c>
      <c r="DO196" s="173">
        <f t="shared" si="554"/>
        <v>4.8226135861270674</v>
      </c>
      <c r="DQ196" s="545">
        <f t="shared" si="555"/>
        <v>860</v>
      </c>
      <c r="DR196" s="460">
        <f t="shared" si="556"/>
        <v>81.595184951039883</v>
      </c>
      <c r="DT196">
        <f t="shared" si="591"/>
        <v>860</v>
      </c>
      <c r="DU196">
        <f t="shared" si="592"/>
        <v>81.595184951039883</v>
      </c>
      <c r="DW196" s="5">
        <f t="shared" si="557"/>
        <v>12.255625140135866</v>
      </c>
      <c r="DX196" s="5">
        <f t="shared" si="558"/>
        <v>7.9030561816597364</v>
      </c>
      <c r="DY196" s="5">
        <f t="shared" si="559"/>
        <v>4.3525689584761293</v>
      </c>
      <c r="DZ196" s="5"/>
      <c r="EA196" s="173">
        <f t="shared" si="560"/>
        <v>0.64485133082098522</v>
      </c>
      <c r="EB196" s="173">
        <f t="shared" si="561"/>
        <v>20.639999999999993</v>
      </c>
      <c r="EC196" s="173">
        <f t="shared" si="562"/>
        <v>0.84244897959183707</v>
      </c>
      <c r="ED196" s="173">
        <f t="shared" si="563"/>
        <v>24.499999999999982</v>
      </c>
      <c r="EE196" s="460">
        <f t="shared" si="564"/>
        <v>28.319284650947388</v>
      </c>
      <c r="EF196" s="5">
        <f t="shared" si="565"/>
        <v>8.3182428984210475</v>
      </c>
      <c r="EH196" s="173">
        <f t="shared" si="566"/>
        <v>3.2976666456699038</v>
      </c>
      <c r="EI196" s="173">
        <f t="shared" si="567"/>
        <v>1.632329694235102</v>
      </c>
      <c r="EK196" s="528">
        <f t="shared" si="568"/>
        <v>0.43498421223855177</v>
      </c>
      <c r="EL196" s="528">
        <f t="shared" si="569"/>
        <v>0.404452125</v>
      </c>
      <c r="EM196" s="528">
        <f t="shared" si="570"/>
        <v>1.6319036990207977E-2</v>
      </c>
      <c r="EN196" s="528">
        <f t="shared" si="571"/>
        <v>9.1699552335119897E-3</v>
      </c>
      <c r="EO196">
        <f t="shared" si="572"/>
        <v>4.0499999999999998E-3</v>
      </c>
      <c r="EP196" s="460">
        <f t="shared" si="573"/>
        <v>20.369036990207977</v>
      </c>
      <c r="EQ196" s="460"/>
      <c r="ER196" s="460">
        <f t="shared" si="593"/>
        <v>868.9753294622717</v>
      </c>
      <c r="ES196" s="528">
        <f t="shared" si="574"/>
        <v>0.60199999999999998</v>
      </c>
      <c r="EV196" s="460">
        <f t="shared" si="494"/>
        <v>602</v>
      </c>
      <c r="EW196" s="528">
        <f t="shared" si="575"/>
        <v>0.3262381591789138</v>
      </c>
      <c r="EX196" s="528">
        <f t="shared" si="576"/>
        <v>7.9935006920449844E-2</v>
      </c>
      <c r="EY196" s="528">
        <f t="shared" si="577"/>
        <v>0.40571893711760909</v>
      </c>
      <c r="EZ196" s="528"/>
      <c r="FA196" s="528">
        <f t="shared" si="578"/>
        <v>0.82559999999999989</v>
      </c>
      <c r="FB196" s="460">
        <f t="shared" si="579"/>
        <v>1637.4921032169727</v>
      </c>
      <c r="FC196" s="173">
        <f t="shared" si="580"/>
        <v>3.1084674326792445</v>
      </c>
      <c r="FD196" s="5">
        <f t="shared" si="581"/>
        <v>20.64</v>
      </c>
      <c r="FE196" s="173">
        <f t="shared" si="582"/>
        <v>0.86910871442584892</v>
      </c>
      <c r="FF196" s="5">
        <f t="shared" si="583"/>
        <v>86.910871442584892</v>
      </c>
      <c r="FI196" s="562">
        <f t="shared" si="584"/>
        <v>-50</v>
      </c>
      <c r="FJ196">
        <f t="shared" si="585"/>
        <v>-50</v>
      </c>
      <c r="FL196">
        <f t="shared" si="586"/>
        <v>0.35514866917901478</v>
      </c>
    </row>
    <row r="197" spans="5:168">
      <c r="E197" s="170">
        <v>87</v>
      </c>
      <c r="F197" s="217">
        <f t="shared" si="587"/>
        <v>0.87</v>
      </c>
      <c r="G197" s="217"/>
      <c r="H197" s="217">
        <f t="shared" si="495"/>
        <v>20.88</v>
      </c>
      <c r="I197" s="541">
        <f t="shared" si="496"/>
        <v>8.7399594468269513</v>
      </c>
      <c r="J197" s="172">
        <f t="shared" si="497"/>
        <v>16.391081077854547</v>
      </c>
      <c r="K197" s="172">
        <f t="shared" si="498"/>
        <v>25.131040524681499</v>
      </c>
      <c r="L197" s="443"/>
      <c r="M197" s="217">
        <f t="shared" si="499"/>
        <v>0.65221673789314993</v>
      </c>
      <c r="N197" s="172">
        <f t="shared" si="500"/>
        <v>31.74555380543573</v>
      </c>
      <c r="O197" s="172">
        <f t="shared" si="438"/>
        <v>20.88</v>
      </c>
      <c r="P197" s="217">
        <f t="shared" si="501"/>
        <v>1.3227314085598221</v>
      </c>
      <c r="Q197" s="217">
        <f t="shared" si="502"/>
        <v>24</v>
      </c>
      <c r="R197" s="217"/>
      <c r="S197" s="172">
        <f t="shared" si="503"/>
        <v>42.858442336594656</v>
      </c>
      <c r="T197" s="536">
        <f t="shared" si="504"/>
        <v>24</v>
      </c>
      <c r="U197" s="217">
        <f t="shared" si="505"/>
        <v>7.5009235245267165</v>
      </c>
      <c r="V197" s="217">
        <f t="shared" si="506"/>
        <v>8.5823321837607978</v>
      </c>
      <c r="W197" s="217">
        <f t="shared" si="507"/>
        <v>4.5762225742760609</v>
      </c>
      <c r="X197" s="197">
        <f t="shared" si="508"/>
        <v>256.51871714676093</v>
      </c>
      <c r="Y197" s="443">
        <f t="shared" si="509"/>
        <v>74.858397342599773</v>
      </c>
      <c r="AA197" s="217">
        <f t="shared" si="510"/>
        <v>2.2222222222222223</v>
      </c>
      <c r="AB197" s="173">
        <f t="shared" si="511"/>
        <v>1.3557508572296639</v>
      </c>
      <c r="AC197" s="173">
        <f t="shared" si="512"/>
        <v>0.25774026548333961</v>
      </c>
      <c r="AD197" s="173"/>
      <c r="AE197" s="173">
        <f t="shared" si="513"/>
        <v>1.3557508572296639</v>
      </c>
      <c r="AF197" s="545">
        <f t="shared" si="514"/>
        <v>865.87667433014201</v>
      </c>
      <c r="AG197" s="528">
        <f t="shared" si="515"/>
        <v>0.25774026548333961</v>
      </c>
      <c r="AI197" s="173">
        <f t="shared" si="516"/>
        <v>3.4952760750242504</v>
      </c>
      <c r="AJ197" s="173">
        <f t="shared" si="517"/>
        <v>7.5009235245267165</v>
      </c>
      <c r="AK197" s="173">
        <f t="shared" si="518"/>
        <v>5.110149112818144</v>
      </c>
      <c r="AM197" s="545">
        <f t="shared" si="519"/>
        <v>870</v>
      </c>
      <c r="AN197" s="460">
        <f t="shared" si="520"/>
        <v>74.858397342599773</v>
      </c>
      <c r="AP197">
        <f t="shared" si="521"/>
        <v>870</v>
      </c>
      <c r="AQ197">
        <f t="shared" si="522"/>
        <v>74.858397342599773</v>
      </c>
      <c r="AS197" s="5">
        <f t="shared" si="439"/>
        <v>13.35855475803686</v>
      </c>
      <c r="AT197" s="5">
        <f t="shared" si="523"/>
        <v>8.5823321837607978</v>
      </c>
      <c r="AU197" s="5">
        <f t="shared" si="478"/>
        <v>4.776222574276062</v>
      </c>
      <c r="AV197" s="5"/>
      <c r="AW197" s="173">
        <f t="shared" si="479"/>
        <v>0.64245963273814777</v>
      </c>
      <c r="AX197" s="173">
        <f t="shared" ref="AX197:AX210" si="596">0.5*L*AJ197^2*AN197*1000</f>
        <v>21.05910958928715</v>
      </c>
      <c r="AY197" s="173">
        <f t="shared" ref="AY197:AY210" si="597">AJ197*Nps/2*(1-AW197)</f>
        <v>0.89440796441274351</v>
      </c>
      <c r="AZ197" s="173">
        <f t="shared" si="440"/>
        <v>23.545306423019483</v>
      </c>
      <c r="BA197" s="460">
        <f t="shared" si="594"/>
        <v>31.110954166132892</v>
      </c>
      <c r="BB197" s="5">
        <f t="shared" si="595"/>
        <v>9.5087709843522514</v>
      </c>
      <c r="BD197" s="173">
        <f t="shared" si="441"/>
        <v>3.4711791847486517</v>
      </c>
      <c r="BE197" s="173">
        <f t="shared" ref="BE197:BE210" si="598">AJ197*Nps*SQRT((1-AW197)/3)</f>
        <v>1.7271994266452135</v>
      </c>
      <c r="BG197" s="528">
        <f t="shared" si="480"/>
        <v>0.48196339730529264</v>
      </c>
      <c r="BH197" s="528">
        <f t="shared" si="524"/>
        <v>0.31750330562257628</v>
      </c>
      <c r="BI197" s="528">
        <f t="shared" si="525"/>
        <v>2.6170374281151217E-2</v>
      </c>
      <c r="BJ197" s="528">
        <f t="shared" si="481"/>
        <v>8.2736951433921117E-3</v>
      </c>
      <c r="BK197">
        <f t="shared" si="482"/>
        <v>3.9329817510721276E-3</v>
      </c>
      <c r="BL197" s="460">
        <f t="shared" si="588"/>
        <v>30.103356032223342</v>
      </c>
      <c r="BM197" s="528">
        <f t="shared" si="526"/>
        <v>1.0591596573097164</v>
      </c>
      <c r="BN197" s="460">
        <f t="shared" si="527"/>
        <v>1059.1596573097163</v>
      </c>
      <c r="BO197" s="528">
        <f t="shared" si="483"/>
        <v>0.60899999999999999</v>
      </c>
      <c r="BR197" s="460">
        <f t="shared" si="484"/>
        <v>609</v>
      </c>
      <c r="BS197" s="528">
        <f t="shared" si="485"/>
        <v>0.36147254797896944</v>
      </c>
      <c r="BT197" s="528">
        <f t="shared" si="486"/>
        <v>8.9496535782106632E-2</v>
      </c>
      <c r="BU197" s="528">
        <f t="shared" si="487"/>
        <v>0.37355810266826661</v>
      </c>
      <c r="BV197" s="528"/>
      <c r="BW197" s="528">
        <f t="shared" si="488"/>
        <v>0.84236438357148613</v>
      </c>
      <c r="BX197" s="460">
        <f t="shared" si="489"/>
        <v>1666.8915700008288</v>
      </c>
      <c r="BY197" s="173">
        <f t="shared" si="490"/>
        <v>3.1137353241043129</v>
      </c>
      <c r="BZ197" s="5">
        <f t="shared" si="491"/>
        <v>20.88</v>
      </c>
      <c r="CA197" s="173">
        <f t="shared" si="492"/>
        <v>0.87022715379475635</v>
      </c>
      <c r="CB197" s="5">
        <f t="shared" si="493"/>
        <v>87.022715379475642</v>
      </c>
      <c r="CE197" s="562">
        <f t="shared" si="528"/>
        <v>-50</v>
      </c>
      <c r="CF197">
        <f t="shared" si="529"/>
        <v>-50</v>
      </c>
      <c r="CG197" s="173">
        <f t="shared" si="530"/>
        <v>0.35111580371591716</v>
      </c>
      <c r="CI197" s="170">
        <v>87</v>
      </c>
      <c r="CJ197" s="217">
        <f t="shared" si="589"/>
        <v>0.87</v>
      </c>
      <c r="CK197" s="217"/>
      <c r="CL197" s="217">
        <f t="shared" si="531"/>
        <v>20.88</v>
      </c>
      <c r="CM197" s="541">
        <f t="shared" si="532"/>
        <v>9</v>
      </c>
      <c r="CN197" s="443">
        <f t="shared" si="533"/>
        <v>16.3415</v>
      </c>
      <c r="CO197" s="443">
        <f t="shared" si="534"/>
        <v>25.3415</v>
      </c>
      <c r="CP197" s="443"/>
      <c r="CQ197" s="217">
        <f t="shared" si="535"/>
        <v>0.64485133082098534</v>
      </c>
      <c r="CR197" s="172">
        <f t="shared" si="590"/>
        <v>32.320915977744015</v>
      </c>
      <c r="CS197" s="172">
        <f t="shared" si="536"/>
        <v>20.88</v>
      </c>
      <c r="CT197" s="217">
        <f t="shared" si="537"/>
        <v>1.3467048324060007</v>
      </c>
      <c r="CU197" s="217">
        <f t="shared" si="538"/>
        <v>24</v>
      </c>
      <c r="CV197" s="217"/>
      <c r="CW197" s="172">
        <f t="shared" si="539"/>
        <v>44.129181740269949</v>
      </c>
      <c r="CX197" s="536">
        <f t="shared" si="540"/>
        <v>24</v>
      </c>
      <c r="CY197" s="217">
        <f t="shared" si="541"/>
        <v>7.195456965394853</v>
      </c>
      <c r="CZ197" s="217">
        <f t="shared" si="542"/>
        <v>7.9949521837720594</v>
      </c>
      <c r="DA197" s="217">
        <f t="shared" si="543"/>
        <v>4.4031802254351513</v>
      </c>
      <c r="DB197" s="197">
        <f t="shared" si="544"/>
        <v>261.16478898249903</v>
      </c>
      <c r="DC197" s="443">
        <f t="shared" si="545"/>
        <v>80.657309261947489</v>
      </c>
      <c r="DE197" s="217">
        <f t="shared" si="546"/>
        <v>2.2222222222222223</v>
      </c>
      <c r="DF197" s="173">
        <f t="shared" si="547"/>
        <v>1.3598642855443031</v>
      </c>
      <c r="DG197" s="173">
        <f t="shared" si="548"/>
        <v>0.26320462482489204</v>
      </c>
      <c r="DH197" s="173"/>
      <c r="DI197" s="173">
        <f t="shared" si="549"/>
        <v>1.3598642855443031</v>
      </c>
      <c r="DJ197" s="545">
        <f t="shared" si="550"/>
        <v>863.25749999999982</v>
      </c>
      <c r="DK197" s="528">
        <f t="shared" si="551"/>
        <v>0.26320462482489204</v>
      </c>
      <c r="DM197" s="173">
        <f t="shared" si="552"/>
        <v>3.4899856733230292</v>
      </c>
      <c r="DN197" s="173">
        <f t="shared" si="553"/>
        <v>7.195456965394853</v>
      </c>
      <c r="DO197" s="173">
        <f t="shared" si="554"/>
        <v>4.8838775875352818</v>
      </c>
      <c r="DQ197" s="545">
        <f t="shared" si="555"/>
        <v>870</v>
      </c>
      <c r="DR197" s="460">
        <f t="shared" si="556"/>
        <v>80.657309261947489</v>
      </c>
      <c r="DT197">
        <f t="shared" si="591"/>
        <v>870</v>
      </c>
      <c r="DU197">
        <f t="shared" si="592"/>
        <v>80.657309261947489</v>
      </c>
      <c r="DW197" s="5">
        <f t="shared" si="557"/>
        <v>12.398132409207209</v>
      </c>
      <c r="DX197" s="5">
        <f t="shared" si="558"/>
        <v>7.9949521837720594</v>
      </c>
      <c r="DY197" s="5">
        <f t="shared" si="559"/>
        <v>4.4031802254351495</v>
      </c>
      <c r="DZ197" s="5"/>
      <c r="EA197" s="173">
        <f t="shared" si="560"/>
        <v>0.64485133082098545</v>
      </c>
      <c r="EB197" s="173">
        <f t="shared" si="561"/>
        <v>20.880000000000003</v>
      </c>
      <c r="EC197" s="173">
        <f t="shared" si="562"/>
        <v>0.85224489795918335</v>
      </c>
      <c r="ED197" s="173">
        <f t="shared" si="563"/>
        <v>24.500000000000014</v>
      </c>
      <c r="EE197" s="460">
        <f t="shared" si="564"/>
        <v>28.981701666173716</v>
      </c>
      <c r="EF197" s="5">
        <f t="shared" si="565"/>
        <v>8.5128151025079539</v>
      </c>
      <c r="EH197" s="173">
        <f t="shared" si="566"/>
        <v>3.3360116066660659</v>
      </c>
      <c r="EI197" s="173">
        <f t="shared" si="567"/>
        <v>1.6513102720750443</v>
      </c>
      <c r="EK197" s="528">
        <f t="shared" si="568"/>
        <v>0.44515893759242825</v>
      </c>
      <c r="EL197" s="528">
        <f t="shared" si="569"/>
        <v>0.40445212500000005</v>
      </c>
      <c r="EM197" s="528">
        <f t="shared" si="570"/>
        <v>1.6131461852389499E-2</v>
      </c>
      <c r="EN197" s="528">
        <f t="shared" si="571"/>
        <v>9.0645534492187502E-3</v>
      </c>
      <c r="EO197">
        <f t="shared" si="572"/>
        <v>4.0499999999999998E-3</v>
      </c>
      <c r="EP197" s="460">
        <f t="shared" si="573"/>
        <v>20.181461852389496</v>
      </c>
      <c r="EQ197" s="460"/>
      <c r="ER197" s="460">
        <f t="shared" si="593"/>
        <v>878.85707789403648</v>
      </c>
      <c r="ES197" s="528">
        <f t="shared" si="574"/>
        <v>0.60899999999999999</v>
      </c>
      <c r="EV197" s="460">
        <f t="shared" si="494"/>
        <v>609</v>
      </c>
      <c r="EW197" s="528">
        <f t="shared" si="575"/>
        <v>0.33386920319432117</v>
      </c>
      <c r="EX197" s="528">
        <f t="shared" si="576"/>
        <v>8.1804768439816711E-2</v>
      </c>
      <c r="EY197" s="528">
        <f t="shared" si="577"/>
        <v>0.4057189371176102</v>
      </c>
      <c r="EZ197" s="528"/>
      <c r="FA197" s="528">
        <f t="shared" si="578"/>
        <v>0.83520000000000005</v>
      </c>
      <c r="FB197" s="460">
        <f t="shared" si="579"/>
        <v>1656.5929087517482</v>
      </c>
      <c r="FC197" s="173">
        <f t="shared" si="580"/>
        <v>3.1444499866457845</v>
      </c>
      <c r="FD197" s="5">
        <f t="shared" si="581"/>
        <v>20.88</v>
      </c>
      <c r="FE197" s="173">
        <f t="shared" si="582"/>
        <v>0.86911458999504021</v>
      </c>
      <c r="FF197" s="5">
        <f t="shared" si="583"/>
        <v>86.911458999504021</v>
      </c>
      <c r="FI197" s="562">
        <f t="shared" si="584"/>
        <v>-50</v>
      </c>
      <c r="FJ197">
        <f t="shared" si="585"/>
        <v>-50</v>
      </c>
      <c r="FL197">
        <f t="shared" si="586"/>
        <v>0.35514866917901455</v>
      </c>
    </row>
    <row r="198" spans="5:168">
      <c r="E198" s="170">
        <v>88</v>
      </c>
      <c r="F198" s="217">
        <f t="shared" si="587"/>
        <v>0.88</v>
      </c>
      <c r="G198" s="217"/>
      <c r="H198" s="217">
        <f t="shared" si="495"/>
        <v>21.12</v>
      </c>
      <c r="I198" s="541">
        <f t="shared" si="496"/>
        <v>8.7370048013707962</v>
      </c>
      <c r="J198" s="172">
        <f t="shared" si="497"/>
        <v>16.391644430395552</v>
      </c>
      <c r="K198" s="172">
        <f t="shared" si="498"/>
        <v>25.128649231766346</v>
      </c>
      <c r="L198" s="443"/>
      <c r="M198" s="217">
        <f t="shared" si="499"/>
        <v>0.65230122579781968</v>
      </c>
      <c r="N198" s="172">
        <f t="shared" si="500"/>
        <v>31.738932766466796</v>
      </c>
      <c r="O198" s="172">
        <f t="shared" ref="O198:O261" si="599">T198*F198</f>
        <v>21.12</v>
      </c>
      <c r="P198" s="217">
        <f t="shared" si="501"/>
        <v>1.3224555319361164</v>
      </c>
      <c r="Q198" s="217">
        <f t="shared" si="502"/>
        <v>24</v>
      </c>
      <c r="R198" s="217"/>
      <c r="S198" s="172">
        <f t="shared" si="503"/>
        <v>42.212240494474621</v>
      </c>
      <c r="T198" s="536">
        <f t="shared" si="504"/>
        <v>24</v>
      </c>
      <c r="U198" s="217">
        <f t="shared" si="505"/>
        <v>7.5889846483491548</v>
      </c>
      <c r="V198" s="217">
        <f t="shared" si="506"/>
        <v>8.6860254983017509</v>
      </c>
      <c r="W198" s="217">
        <f t="shared" si="507"/>
        <v>4.6297884758143351</v>
      </c>
      <c r="X198" s="197">
        <f t="shared" si="508"/>
        <v>256.46521484870868</v>
      </c>
      <c r="Y198" s="443">
        <f t="shared" si="509"/>
        <v>73.987404821868935</v>
      </c>
      <c r="AA198" s="217">
        <f t="shared" si="510"/>
        <v>2.2222222222222223</v>
      </c>
      <c r="AB198" s="173">
        <f t="shared" si="511"/>
        <v>1.3557042624115765</v>
      </c>
      <c r="AC198" s="173">
        <f t="shared" si="512"/>
        <v>0.25767765216530403</v>
      </c>
      <c r="AD198" s="173"/>
      <c r="AE198" s="173">
        <f t="shared" si="513"/>
        <v>1.3557042624115765</v>
      </c>
      <c r="AF198" s="545">
        <f t="shared" si="514"/>
        <v>875.85938155816689</v>
      </c>
      <c r="AG198" s="528">
        <f t="shared" si="515"/>
        <v>0.25767765216530408</v>
      </c>
      <c r="AI198" s="173">
        <f t="shared" si="516"/>
        <v>3.5153668834611969</v>
      </c>
      <c r="AJ198" s="173">
        <f t="shared" si="517"/>
        <v>7.5889846483491548</v>
      </c>
      <c r="AK198" s="173">
        <f t="shared" si="518"/>
        <v>5.1753795749088383</v>
      </c>
      <c r="AM198" s="545">
        <f t="shared" si="519"/>
        <v>880</v>
      </c>
      <c r="AN198" s="460">
        <f t="shared" si="520"/>
        <v>73.987404821868935</v>
      </c>
      <c r="AP198">
        <f t="shared" si="521"/>
        <v>880</v>
      </c>
      <c r="AQ198">
        <f t="shared" si="522"/>
        <v>73.987404821868935</v>
      </c>
      <c r="AS198" s="5">
        <f t="shared" ref="AS198:AS262" si="600">1/AN198*1000</f>
        <v>13.515813974116087</v>
      </c>
      <c r="AT198" s="5">
        <f t="shared" si="523"/>
        <v>8.6860254983017509</v>
      </c>
      <c r="AU198" s="5">
        <f t="shared" si="478"/>
        <v>4.8297884758143361</v>
      </c>
      <c r="AV198" s="5"/>
      <c r="AW198" s="173">
        <f t="shared" si="479"/>
        <v>0.64265648483592741</v>
      </c>
      <c r="AX198" s="173">
        <f t="shared" si="596"/>
        <v>21.305667606543697</v>
      </c>
      <c r="AY198" s="173">
        <f t="shared" si="597"/>
        <v>0.9044101293308846</v>
      </c>
      <c r="AZ198" s="173">
        <f t="shared" ref="AZ198:AZ210" si="601">AX198/AY198</f>
        <v>23.557528731247629</v>
      </c>
      <c r="BA198" s="460">
        <f t="shared" si="594"/>
        <v>31.848760160439756</v>
      </c>
      <c r="BB198" s="5">
        <f t="shared" si="595"/>
        <v>9.7292240426599648</v>
      </c>
      <c r="BD198" s="173">
        <f t="shared" ref="BD198:BD210" si="602">AJ198*SQRT(AW198/3)</f>
        <v>3.5124689520694714</v>
      </c>
      <c r="BE198" s="173">
        <f t="shared" si="598"/>
        <v>1.7469956896973104</v>
      </c>
      <c r="BG198" s="528">
        <f t="shared" si="480"/>
        <v>0.49349752557008048</v>
      </c>
      <c r="BH198" s="528">
        <f t="shared" si="524"/>
        <v>0.3174630108422446</v>
      </c>
      <c r="BI198" s="528">
        <f t="shared" si="525"/>
        <v>2.585713244678535E-2</v>
      </c>
      <c r="BJ198" s="528">
        <f t="shared" si="481"/>
        <v>8.1758728959221445E-3</v>
      </c>
      <c r="BK198">
        <f t="shared" si="482"/>
        <v>3.9316521606168582E-3</v>
      </c>
      <c r="BL198" s="460">
        <f t="shared" si="588"/>
        <v>29.788784607402206</v>
      </c>
      <c r="BM198" s="528">
        <f t="shared" si="526"/>
        <v>1.0788854700283748</v>
      </c>
      <c r="BN198" s="460">
        <f t="shared" si="527"/>
        <v>1078.8854700283748</v>
      </c>
      <c r="BO198" s="528">
        <f t="shared" si="483"/>
        <v>0.61599999999999999</v>
      </c>
      <c r="BR198" s="460">
        <f t="shared" si="484"/>
        <v>616</v>
      </c>
      <c r="BS198" s="528">
        <f t="shared" si="485"/>
        <v>0.37012314417756031</v>
      </c>
      <c r="BT198" s="528">
        <f t="shared" si="486"/>
        <v>9.1559818194629439E-2</v>
      </c>
      <c r="BU198" s="528">
        <f t="shared" si="487"/>
        <v>0.3735284415223038</v>
      </c>
      <c r="BV198" s="528"/>
      <c r="BW198" s="528">
        <f t="shared" si="488"/>
        <v>0.85222670426174796</v>
      </c>
      <c r="BX198" s="460">
        <f t="shared" si="489"/>
        <v>1687.4381081562415</v>
      </c>
      <c r="BY198" s="173">
        <f t="shared" si="490"/>
        <v>3.1523633020718909</v>
      </c>
      <c r="BZ198" s="5">
        <f t="shared" si="491"/>
        <v>21.12</v>
      </c>
      <c r="CA198" s="173">
        <f t="shared" si="492"/>
        <v>0.87012540712083009</v>
      </c>
      <c r="CB198" s="5">
        <f t="shared" si="493"/>
        <v>87.012540712083009</v>
      </c>
      <c r="CE198" s="562">
        <f t="shared" si="528"/>
        <v>-50</v>
      </c>
      <c r="CF198">
        <f t="shared" si="529"/>
        <v>-50</v>
      </c>
      <c r="CG198" s="173">
        <f t="shared" si="530"/>
        <v>0.3511616317325435</v>
      </c>
      <c r="CI198" s="170">
        <v>88</v>
      </c>
      <c r="CJ198" s="217">
        <f t="shared" si="589"/>
        <v>0.88</v>
      </c>
      <c r="CK198" s="217"/>
      <c r="CL198" s="217">
        <f t="shared" si="531"/>
        <v>21.12</v>
      </c>
      <c r="CM198" s="541">
        <f t="shared" si="532"/>
        <v>9</v>
      </c>
      <c r="CN198" s="443">
        <f t="shared" si="533"/>
        <v>16.3415</v>
      </c>
      <c r="CO198" s="443">
        <f t="shared" si="534"/>
        <v>25.3415</v>
      </c>
      <c r="CP198" s="443"/>
      <c r="CQ198" s="217">
        <f t="shared" si="535"/>
        <v>0.64485133082098534</v>
      </c>
      <c r="CR198" s="172">
        <f t="shared" si="590"/>
        <v>32.320915977744015</v>
      </c>
      <c r="CS198" s="172">
        <f t="shared" si="536"/>
        <v>21.12</v>
      </c>
      <c r="CT198" s="217">
        <f t="shared" si="537"/>
        <v>1.3467048324060007</v>
      </c>
      <c r="CU198" s="217">
        <f t="shared" si="538"/>
        <v>24</v>
      </c>
      <c r="CV198" s="217"/>
      <c r="CW198" s="172">
        <f t="shared" si="539"/>
        <v>43.478336400667246</v>
      </c>
      <c r="CX198" s="536">
        <f t="shared" si="540"/>
        <v>24</v>
      </c>
      <c r="CY198" s="217">
        <f t="shared" si="541"/>
        <v>7.278163367295944</v>
      </c>
      <c r="CZ198" s="217">
        <f t="shared" si="542"/>
        <v>8.0868481858843833</v>
      </c>
      <c r="DA198" s="217">
        <f t="shared" si="543"/>
        <v>4.4537914923941777</v>
      </c>
      <c r="DB198" s="197">
        <f t="shared" si="544"/>
        <v>261.16478898249903</v>
      </c>
      <c r="DC198" s="443">
        <f t="shared" si="545"/>
        <v>79.740748929425322</v>
      </c>
      <c r="DE198" s="217">
        <f t="shared" si="546"/>
        <v>2.2222222222222223</v>
      </c>
      <c r="DF198" s="173">
        <f t="shared" si="547"/>
        <v>1.3598642855443031</v>
      </c>
      <c r="DG198" s="173">
        <f t="shared" si="548"/>
        <v>0.26320462482489204</v>
      </c>
      <c r="DH198" s="173"/>
      <c r="DI198" s="173">
        <f t="shared" si="549"/>
        <v>1.3598642855443031</v>
      </c>
      <c r="DJ198" s="545">
        <f t="shared" si="550"/>
        <v>873.17999999999972</v>
      </c>
      <c r="DK198" s="528">
        <f t="shared" si="551"/>
        <v>0.26320462482489204</v>
      </c>
      <c r="DM198" s="173">
        <f t="shared" si="552"/>
        <v>3.5099857549568485</v>
      </c>
      <c r="DN198" s="173">
        <f t="shared" si="553"/>
        <v>7.278163367295944</v>
      </c>
      <c r="DO198" s="173">
        <f t="shared" si="554"/>
        <v>4.945141588943498</v>
      </c>
      <c r="DQ198" s="545">
        <f t="shared" si="555"/>
        <v>880</v>
      </c>
      <c r="DR198" s="460">
        <f t="shared" si="556"/>
        <v>79.740748929425322</v>
      </c>
      <c r="DT198">
        <f t="shared" si="591"/>
        <v>880</v>
      </c>
      <c r="DU198">
        <f t="shared" si="592"/>
        <v>79.740748929425322</v>
      </c>
      <c r="DW198" s="5">
        <f t="shared" si="557"/>
        <v>12.540639678278563</v>
      </c>
      <c r="DX198" s="5">
        <f t="shared" si="558"/>
        <v>8.0868481858843833</v>
      </c>
      <c r="DY198" s="5">
        <f t="shared" si="559"/>
        <v>4.4537914923941795</v>
      </c>
      <c r="DZ198" s="5"/>
      <c r="EA198" s="173">
        <f t="shared" si="560"/>
        <v>0.64485133082098522</v>
      </c>
      <c r="EB198" s="173">
        <f t="shared" si="561"/>
        <v>21.119999999999997</v>
      </c>
      <c r="EC198" s="173">
        <f t="shared" si="562"/>
        <v>0.86204081632653096</v>
      </c>
      <c r="ED198" s="173">
        <f t="shared" si="563"/>
        <v>24.499999999999986</v>
      </c>
      <c r="EE198" s="460">
        <f t="shared" si="564"/>
        <v>29.651776681576074</v>
      </c>
      <c r="EF198" s="5">
        <f t="shared" si="565"/>
        <v>8.7096366962375047</v>
      </c>
      <c r="EH198" s="173">
        <f t="shared" si="566"/>
        <v>3.3743565676622276</v>
      </c>
      <c r="EI198" s="173">
        <f t="shared" si="567"/>
        <v>1.670290849914988</v>
      </c>
      <c r="EK198" s="528">
        <f t="shared" si="568"/>
        <v>0.45545128982900834</v>
      </c>
      <c r="EL198" s="528">
        <f t="shared" si="569"/>
        <v>0.40445212499999994</v>
      </c>
      <c r="EM198" s="528">
        <f t="shared" si="570"/>
        <v>1.5948149785885064E-2</v>
      </c>
      <c r="EN198" s="528">
        <f t="shared" si="571"/>
        <v>8.9615471600230801E-3</v>
      </c>
      <c r="EO198">
        <f t="shared" si="572"/>
        <v>4.0499999999999998E-3</v>
      </c>
      <c r="EP198" s="460">
        <f t="shared" si="573"/>
        <v>19.998149785885065</v>
      </c>
      <c r="EQ198" s="460"/>
      <c r="ER198" s="460">
        <f t="shared" si="593"/>
        <v>888.86311177491655</v>
      </c>
      <c r="ES198" s="528">
        <f t="shared" si="574"/>
        <v>0.61599999999999999</v>
      </c>
      <c r="EV198" s="460">
        <f t="shared" si="494"/>
        <v>616</v>
      </c>
      <c r="EW198" s="528">
        <f t="shared" si="575"/>
        <v>0.34158846737175624</v>
      </c>
      <c r="EX198" s="528">
        <f t="shared" si="576"/>
        <v>8.3696145699291985E-2</v>
      </c>
      <c r="EY198" s="528">
        <f t="shared" si="577"/>
        <v>0.40571893711760948</v>
      </c>
      <c r="EZ198" s="528"/>
      <c r="FA198" s="528">
        <f t="shared" si="578"/>
        <v>0.84479999999999977</v>
      </c>
      <c r="FB198" s="460">
        <f t="shared" si="579"/>
        <v>1675.8035501886575</v>
      </c>
      <c r="FC198" s="173">
        <f t="shared" si="580"/>
        <v>3.1806666619635737</v>
      </c>
      <c r="FD198" s="5">
        <f t="shared" si="581"/>
        <v>21.12</v>
      </c>
      <c r="FE198" s="173">
        <f t="shared" si="582"/>
        <v>0.8691119586878624</v>
      </c>
      <c r="FF198" s="5">
        <f t="shared" si="583"/>
        <v>86.911195868786237</v>
      </c>
      <c r="FI198" s="562">
        <f t="shared" si="584"/>
        <v>-50</v>
      </c>
      <c r="FJ198">
        <f t="shared" si="585"/>
        <v>-50</v>
      </c>
      <c r="FL198">
        <f t="shared" si="586"/>
        <v>0.35514866917901478</v>
      </c>
    </row>
    <row r="199" spans="5:168">
      <c r="E199" s="170">
        <v>89</v>
      </c>
      <c r="F199" s="217">
        <f t="shared" si="587"/>
        <v>0.89</v>
      </c>
      <c r="G199" s="217"/>
      <c r="H199" s="217">
        <f t="shared" si="495"/>
        <v>21.36</v>
      </c>
      <c r="I199" s="541">
        <f t="shared" si="496"/>
        <v>8.7340501471576211</v>
      </c>
      <c r="J199" s="172">
        <f t="shared" si="497"/>
        <v>16.392207784606228</v>
      </c>
      <c r="K199" s="172">
        <f t="shared" si="498"/>
        <v>25.126257931763849</v>
      </c>
      <c r="L199" s="443"/>
      <c r="M199" s="217">
        <f t="shared" si="499"/>
        <v>0.6523857300113397</v>
      </c>
      <c r="N199" s="172">
        <f t="shared" si="500"/>
        <v>31.732309708524507</v>
      </c>
      <c r="O199" s="172">
        <f t="shared" si="599"/>
        <v>21.36</v>
      </c>
      <c r="P199" s="217">
        <f t="shared" si="501"/>
        <v>1.3221795711885211</v>
      </c>
      <c r="Q199" s="217">
        <f t="shared" si="502"/>
        <v>24</v>
      </c>
      <c r="R199" s="217"/>
      <c r="S199" s="172">
        <f t="shared" si="503"/>
        <v>41.580724079947259</v>
      </c>
      <c r="T199" s="536">
        <f t="shared" si="504"/>
        <v>24</v>
      </c>
      <c r="U199" s="217">
        <f t="shared" si="505"/>
        <v>7.6770889389939967</v>
      </c>
      <c r="V199" s="217">
        <f t="shared" si="506"/>
        <v>8.7898384021671809</v>
      </c>
      <c r="W199" s="217">
        <f t="shared" si="507"/>
        <v>4.6833770288121173</v>
      </c>
      <c r="X199" s="197">
        <f t="shared" si="508"/>
        <v>256.41169624615696</v>
      </c>
      <c r="Y199" s="443">
        <f t="shared" si="509"/>
        <v>73.135686704263279</v>
      </c>
      <c r="AA199" s="217">
        <f t="shared" si="510"/>
        <v>2.2222222222222223</v>
      </c>
      <c r="AB199" s="173">
        <f t="shared" si="511"/>
        <v>1.3556576706580619</v>
      </c>
      <c r="AC199" s="173">
        <f t="shared" si="512"/>
        <v>0.25761502674368814</v>
      </c>
      <c r="AD199" s="173"/>
      <c r="AE199" s="173">
        <f t="shared" si="513"/>
        <v>1.3556576706580619</v>
      </c>
      <c r="AF199" s="545">
        <f t="shared" si="514"/>
        <v>885.84277300769327</v>
      </c>
      <c r="AG199" s="528">
        <f t="shared" si="515"/>
        <v>0.25761502674368802</v>
      </c>
      <c r="AI199" s="173">
        <f t="shared" si="516"/>
        <v>3.5353448861395891</v>
      </c>
      <c r="AJ199" s="173">
        <f t="shared" si="517"/>
        <v>7.6770889389939967</v>
      </c>
      <c r="AK199" s="173">
        <f t="shared" si="518"/>
        <v>5.2406420124235362</v>
      </c>
      <c r="AM199" s="545">
        <f t="shared" si="519"/>
        <v>890</v>
      </c>
      <c r="AN199" s="460">
        <f t="shared" si="520"/>
        <v>73.135686704263279</v>
      </c>
      <c r="AP199">
        <f t="shared" si="521"/>
        <v>890</v>
      </c>
      <c r="AQ199">
        <f t="shared" si="522"/>
        <v>73.135686704263279</v>
      </c>
      <c r="AS199" s="5">
        <f t="shared" si="600"/>
        <v>13.673215430979296</v>
      </c>
      <c r="AT199" s="5">
        <f t="shared" si="523"/>
        <v>8.7898384021671809</v>
      </c>
      <c r="AU199" s="5">
        <f t="shared" si="478"/>
        <v>4.8833770288121148</v>
      </c>
      <c r="AV199" s="5"/>
      <c r="AW199" s="173">
        <f t="shared" si="479"/>
        <v>0.64285086756200105</v>
      </c>
      <c r="AX199" s="173">
        <f t="shared" si="596"/>
        <v>21.552243828357049</v>
      </c>
      <c r="AY199" s="173">
        <f t="shared" si="597"/>
        <v>0.91441219567938981</v>
      </c>
      <c r="AZ199" s="173">
        <f t="shared" si="601"/>
        <v>23.569506104786985</v>
      </c>
      <c r="BA199" s="460">
        <f t="shared" si="594"/>
        <v>32.595650741369965</v>
      </c>
      <c r="BB199" s="5">
        <f t="shared" si="595"/>
        <v>9.9523256276635781</v>
      </c>
      <c r="BD199" s="173">
        <f t="shared" si="602"/>
        <v>3.5537842783467068</v>
      </c>
      <c r="BE199" s="173">
        <f t="shared" si="598"/>
        <v>1.7667966952158893</v>
      </c>
      <c r="BG199" s="528">
        <f t="shared" si="480"/>
        <v>0.50517530788096898</v>
      </c>
      <c r="BH199" s="528">
        <f t="shared" si="524"/>
        <v>0.31742143250425442</v>
      </c>
      <c r="BI199" s="528">
        <f t="shared" si="525"/>
        <v>2.5550830208873776E-2</v>
      </c>
      <c r="BJ199" s="528">
        <f t="shared" si="481"/>
        <v>8.0802169136491176E-3</v>
      </c>
      <c r="BK199">
        <f t="shared" si="482"/>
        <v>3.9303225662209295E-3</v>
      </c>
      <c r="BL199" s="460">
        <f t="shared" si="588"/>
        <v>29.481152775094706</v>
      </c>
      <c r="BM199" s="528">
        <f t="shared" si="526"/>
        <v>1.0989850895445565</v>
      </c>
      <c r="BN199" s="460">
        <f t="shared" si="527"/>
        <v>1098.9850895445566</v>
      </c>
      <c r="BO199" s="528">
        <f t="shared" si="483"/>
        <v>0.623</v>
      </c>
      <c r="BR199" s="460">
        <f t="shared" si="484"/>
        <v>623</v>
      </c>
      <c r="BS199" s="528">
        <f t="shared" si="485"/>
        <v>0.37888148091072671</v>
      </c>
      <c r="BT199" s="528">
        <f t="shared" si="486"/>
        <v>9.3647116866773641E-2</v>
      </c>
      <c r="BU199" s="528">
        <f t="shared" si="487"/>
        <v>0.37349500063990587</v>
      </c>
      <c r="BV199" s="528"/>
      <c r="BW199" s="528">
        <f t="shared" si="488"/>
        <v>0.86208975313428193</v>
      </c>
      <c r="BX199" s="460">
        <f t="shared" si="489"/>
        <v>1708.1133515516881</v>
      </c>
      <c r="BY199" s="173">
        <f t="shared" si="490"/>
        <v>3.1912714616256554</v>
      </c>
      <c r="BZ199" s="5">
        <f t="shared" si="491"/>
        <v>21.36</v>
      </c>
      <c r="CA199" s="173">
        <f t="shared" si="492"/>
        <v>0.87001604105865948</v>
      </c>
      <c r="CB199" s="5">
        <f t="shared" si="493"/>
        <v>87.001604105865951</v>
      </c>
      <c r="CE199" s="562">
        <f t="shared" si="528"/>
        <v>-50</v>
      </c>
      <c r="CF199">
        <f t="shared" si="529"/>
        <v>-50</v>
      </c>
      <c r="CG199" s="173">
        <f t="shared" si="530"/>
        <v>0.35120642990609924</v>
      </c>
      <c r="CI199" s="170">
        <v>89</v>
      </c>
      <c r="CJ199" s="217">
        <f t="shared" si="589"/>
        <v>0.89</v>
      </c>
      <c r="CK199" s="217"/>
      <c r="CL199" s="217">
        <f t="shared" si="531"/>
        <v>21.36</v>
      </c>
      <c r="CM199" s="541">
        <f t="shared" si="532"/>
        <v>9</v>
      </c>
      <c r="CN199" s="443">
        <f t="shared" si="533"/>
        <v>16.3415</v>
      </c>
      <c r="CO199" s="443">
        <f t="shared" si="534"/>
        <v>25.3415</v>
      </c>
      <c r="CP199" s="443"/>
      <c r="CQ199" s="217">
        <f t="shared" si="535"/>
        <v>0.64485133082098534</v>
      </c>
      <c r="CR199" s="172">
        <f t="shared" si="590"/>
        <v>32.320915977744015</v>
      </c>
      <c r="CS199" s="172">
        <f t="shared" si="536"/>
        <v>21.36</v>
      </c>
      <c r="CT199" s="217">
        <f t="shared" si="537"/>
        <v>1.3467048324060007</v>
      </c>
      <c r="CU199" s="217">
        <f t="shared" si="538"/>
        <v>24</v>
      </c>
      <c r="CV199" s="217"/>
      <c r="CW199" s="172">
        <f t="shared" si="539"/>
        <v>42.842181508736367</v>
      </c>
      <c r="CX199" s="536">
        <f t="shared" si="540"/>
        <v>24</v>
      </c>
      <c r="CY199" s="217">
        <f t="shared" si="541"/>
        <v>7.3608697691970333</v>
      </c>
      <c r="CZ199" s="217">
        <f t="shared" si="542"/>
        <v>8.1787441879967027</v>
      </c>
      <c r="DA199" s="217">
        <f t="shared" si="543"/>
        <v>4.5044027593532006</v>
      </c>
      <c r="DB199" s="197">
        <f t="shared" si="544"/>
        <v>261.16478898249903</v>
      </c>
      <c r="DC199" s="443">
        <f t="shared" si="545"/>
        <v>78.844785458308223</v>
      </c>
      <c r="DE199" s="217">
        <f t="shared" si="546"/>
        <v>2.2222222222222223</v>
      </c>
      <c r="DF199" s="173">
        <f t="shared" si="547"/>
        <v>1.3598642855443031</v>
      </c>
      <c r="DG199" s="173">
        <f t="shared" si="548"/>
        <v>0.26320462482489204</v>
      </c>
      <c r="DH199" s="173"/>
      <c r="DI199" s="173">
        <f t="shared" si="549"/>
        <v>1.3598642855443031</v>
      </c>
      <c r="DJ199" s="545">
        <f t="shared" si="550"/>
        <v>883.10249999999974</v>
      </c>
      <c r="DK199" s="528">
        <f t="shared" si="551"/>
        <v>0.26320462482489204</v>
      </c>
      <c r="DM199" s="173">
        <f t="shared" si="552"/>
        <v>3.5298725189445581</v>
      </c>
      <c r="DN199" s="173">
        <f t="shared" si="553"/>
        <v>7.3608697691970333</v>
      </c>
      <c r="DO199" s="173">
        <f t="shared" si="554"/>
        <v>5.0064055903517115</v>
      </c>
      <c r="DQ199" s="545">
        <f t="shared" si="555"/>
        <v>890</v>
      </c>
      <c r="DR199" s="460">
        <f t="shared" si="556"/>
        <v>78.844785458308223</v>
      </c>
      <c r="DT199">
        <f t="shared" si="591"/>
        <v>890</v>
      </c>
      <c r="DU199">
        <f t="shared" si="592"/>
        <v>78.844785458308223</v>
      </c>
      <c r="DW199" s="5">
        <f t="shared" si="557"/>
        <v>12.683146947349902</v>
      </c>
      <c r="DX199" s="5">
        <f t="shared" si="558"/>
        <v>8.1787441879967027</v>
      </c>
      <c r="DY199" s="5">
        <f t="shared" si="559"/>
        <v>4.5044027593531997</v>
      </c>
      <c r="DZ199" s="5"/>
      <c r="EA199" s="173">
        <f t="shared" si="560"/>
        <v>0.64485133082098534</v>
      </c>
      <c r="EB199" s="173">
        <f t="shared" si="561"/>
        <v>21.36</v>
      </c>
      <c r="EC199" s="173">
        <f t="shared" si="562"/>
        <v>0.87183673469387757</v>
      </c>
      <c r="ED199" s="173">
        <f t="shared" si="563"/>
        <v>24.5</v>
      </c>
      <c r="EE199" s="460">
        <f t="shared" si="564"/>
        <v>30.329509697154439</v>
      </c>
      <c r="EF199" s="5">
        <f t="shared" si="565"/>
        <v>8.9087076796096607</v>
      </c>
      <c r="EH199" s="173">
        <f t="shared" si="566"/>
        <v>3.4127015286583888</v>
      </c>
      <c r="EI199" s="173">
        <f t="shared" si="567"/>
        <v>1.6892714277549308</v>
      </c>
      <c r="EK199" s="528">
        <f t="shared" si="568"/>
        <v>0.46586126894829216</v>
      </c>
      <c r="EL199" s="528">
        <f t="shared" si="569"/>
        <v>0.404452125</v>
      </c>
      <c r="EM199" s="528">
        <f t="shared" si="570"/>
        <v>1.5768957091661644E-2</v>
      </c>
      <c r="EN199" s="528">
        <f t="shared" si="571"/>
        <v>8.8608556188992296E-3</v>
      </c>
      <c r="EO199">
        <f t="shared" si="572"/>
        <v>4.0499999999999998E-3</v>
      </c>
      <c r="EP199" s="460">
        <f t="shared" si="573"/>
        <v>19.818957091661641</v>
      </c>
      <c r="EQ199" s="460"/>
      <c r="ER199" s="460">
        <f t="shared" si="593"/>
        <v>898.99320665885296</v>
      </c>
      <c r="ES199" s="528">
        <f t="shared" si="574"/>
        <v>0.623</v>
      </c>
      <c r="EV199" s="460">
        <f t="shared" si="494"/>
        <v>623</v>
      </c>
      <c r="EW199" s="528">
        <f t="shared" si="575"/>
        <v>0.34939595171121907</v>
      </c>
      <c r="EX199" s="528">
        <f t="shared" si="576"/>
        <v>8.5609138698875473E-2</v>
      </c>
      <c r="EY199" s="528">
        <f t="shared" si="577"/>
        <v>0.40571893711760987</v>
      </c>
      <c r="EZ199" s="528"/>
      <c r="FA199" s="528">
        <f t="shared" si="578"/>
        <v>0.85440000000000005</v>
      </c>
      <c r="FB199" s="460">
        <f t="shared" si="579"/>
        <v>1695.1240275277044</v>
      </c>
      <c r="FC199" s="173">
        <f t="shared" si="580"/>
        <v>3.2171172341865573</v>
      </c>
      <c r="FD199" s="5">
        <f t="shared" si="581"/>
        <v>21.36</v>
      </c>
      <c r="FE199" s="173">
        <f t="shared" si="582"/>
        <v>0.86910111533701051</v>
      </c>
      <c r="FF199" s="5">
        <f t="shared" si="583"/>
        <v>86.910111533701055</v>
      </c>
      <c r="FI199" s="562">
        <f t="shared" si="584"/>
        <v>-50</v>
      </c>
      <c r="FJ199">
        <f t="shared" si="585"/>
        <v>-50</v>
      </c>
      <c r="FL199">
        <f t="shared" si="586"/>
        <v>0.35514866917901466</v>
      </c>
    </row>
    <row r="200" spans="5:168">
      <c r="E200" s="170">
        <v>90</v>
      </c>
      <c r="F200" s="217">
        <f t="shared" si="587"/>
        <v>0.9</v>
      </c>
      <c r="G200" s="217"/>
      <c r="H200" s="217">
        <f t="shared" si="495"/>
        <v>21.6</v>
      </c>
      <c r="I200" s="541">
        <f t="shared" si="496"/>
        <v>8.7310954844825659</v>
      </c>
      <c r="J200" s="172">
        <f t="shared" si="497"/>
        <v>16.392771140430302</v>
      </c>
      <c r="K200" s="172">
        <f t="shared" si="498"/>
        <v>25.123866624912868</v>
      </c>
      <c r="L200" s="443"/>
      <c r="M200" s="217">
        <f t="shared" si="499"/>
        <v>0.65247025053079</v>
      </c>
      <c r="N200" s="172">
        <f t="shared" si="500"/>
        <v>31.725684631721879</v>
      </c>
      <c r="O200" s="172">
        <f t="shared" si="599"/>
        <v>21.6</v>
      </c>
      <c r="P200" s="217">
        <f t="shared" si="501"/>
        <v>1.3219035263217449</v>
      </c>
      <c r="Q200" s="217">
        <f t="shared" si="502"/>
        <v>24</v>
      </c>
      <c r="R200" s="217"/>
      <c r="S200" s="172">
        <f t="shared" si="503"/>
        <v>40.96340418483355</v>
      </c>
      <c r="T200" s="536">
        <f t="shared" si="504"/>
        <v>24</v>
      </c>
      <c r="U200" s="217">
        <f t="shared" si="505"/>
        <v>7.7652364402885752</v>
      </c>
      <c r="V200" s="217">
        <f t="shared" si="506"/>
        <v>8.8937710669748444</v>
      </c>
      <c r="W200" s="217">
        <f t="shared" si="507"/>
        <v>4.7369882576697417</v>
      </c>
      <c r="X200" s="197">
        <f t="shared" si="508"/>
        <v>256.35816133970008</v>
      </c>
      <c r="Y200" s="443">
        <f t="shared" si="509"/>
        <v>72.302610184108417</v>
      </c>
      <c r="AA200" s="217">
        <f t="shared" si="510"/>
        <v>2.2222222222222228</v>
      </c>
      <c r="AB200" s="173">
        <f t="shared" si="511"/>
        <v>1.3556110819734721</v>
      </c>
      <c r="AC200" s="173">
        <f t="shared" si="512"/>
        <v>0.25755238922124007</v>
      </c>
      <c r="AD200" s="173"/>
      <c r="AE200" s="173">
        <f t="shared" si="513"/>
        <v>1.3556110819734719</v>
      </c>
      <c r="AF200" s="545">
        <f t="shared" si="514"/>
        <v>895.82684867868716</v>
      </c>
      <c r="AG200" s="528">
        <f t="shared" si="515"/>
        <v>0.25755238922123996</v>
      </c>
      <c r="AI200" s="173">
        <f t="shared" si="516"/>
        <v>3.5552119847471007</v>
      </c>
      <c r="AJ200" s="173">
        <f t="shared" si="517"/>
        <v>7.7652364402885752</v>
      </c>
      <c r="AK200" s="173">
        <f t="shared" si="518"/>
        <v>5.3059364578269275</v>
      </c>
      <c r="AM200" s="545">
        <f t="shared" si="519"/>
        <v>900</v>
      </c>
      <c r="AN200" s="460">
        <f t="shared" si="520"/>
        <v>72.302610184108417</v>
      </c>
      <c r="AP200">
        <f t="shared" si="521"/>
        <v>900</v>
      </c>
      <c r="AQ200">
        <f t="shared" si="522"/>
        <v>72.302610184108417</v>
      </c>
      <c r="AS200" s="5">
        <f t="shared" si="600"/>
        <v>13.830759324644585</v>
      </c>
      <c r="AT200" s="5">
        <f t="shared" si="523"/>
        <v>8.8937710669748444</v>
      </c>
      <c r="AU200" s="5">
        <f t="shared" si="478"/>
        <v>4.936988257669741</v>
      </c>
      <c r="AV200" s="5"/>
      <c r="AW200" s="173">
        <f t="shared" si="479"/>
        <v>0.64304286252218412</v>
      </c>
      <c r="AX200" s="173">
        <f t="shared" si="596"/>
        <v>21.798838212064368</v>
      </c>
      <c r="AY200" s="173">
        <f t="shared" si="597"/>
        <v>0.92441416661653886</v>
      </c>
      <c r="AZ200" s="173">
        <f t="shared" si="601"/>
        <v>23.581246371256508</v>
      </c>
      <c r="BA200" s="460">
        <f t="shared" si="594"/>
        <v>33.351641501155669</v>
      </c>
      <c r="BB200" s="5">
        <f t="shared" si="595"/>
        <v>10.178080035431179</v>
      </c>
      <c r="BD200" s="173">
        <f t="shared" si="602"/>
        <v>3.5951251863611433</v>
      </c>
      <c r="BE200" s="173">
        <f t="shared" si="598"/>
        <v>1.7866024515594467</v>
      </c>
      <c r="BG200" s="528">
        <f t="shared" si="480"/>
        <v>0.51699700422432981</v>
      </c>
      <c r="BH200" s="528">
        <f t="shared" si="524"/>
        <v>0.31737861250355293</v>
      </c>
      <c r="BI200" s="528">
        <f t="shared" si="525"/>
        <v>2.5251239731790887E-2</v>
      </c>
      <c r="BJ200" s="528">
        <f t="shared" si="481"/>
        <v>7.9866560750423907E-3</v>
      </c>
      <c r="BK200">
        <f t="shared" si="482"/>
        <v>3.9289929680171544E-3</v>
      </c>
      <c r="BL200" s="460">
        <f t="shared" si="588"/>
        <v>29.180232699808041</v>
      </c>
      <c r="BM200" s="528">
        <f t="shared" si="526"/>
        <v>1.1194648314340656</v>
      </c>
      <c r="BN200" s="460">
        <f t="shared" si="527"/>
        <v>1119.4648314340657</v>
      </c>
      <c r="BO200" s="528">
        <f t="shared" si="483"/>
        <v>0.63</v>
      </c>
      <c r="BR200" s="460">
        <f t="shared" si="484"/>
        <v>630</v>
      </c>
      <c r="BS200" s="528">
        <f t="shared" si="485"/>
        <v>0.38774775316824733</v>
      </c>
      <c r="BT200" s="528">
        <f t="shared" si="486"/>
        <v>9.5758449597546758E-2</v>
      </c>
      <c r="BU200" s="528">
        <f t="shared" si="487"/>
        <v>0.37345790278584817</v>
      </c>
      <c r="BV200" s="528"/>
      <c r="BW200" s="528">
        <f t="shared" si="488"/>
        <v>0.87195352848257468</v>
      </c>
      <c r="BX200" s="460">
        <f t="shared" si="489"/>
        <v>1728.9176340342169</v>
      </c>
      <c r="BY200" s="173">
        <f t="shared" si="490"/>
        <v>3.2304601395369499</v>
      </c>
      <c r="BZ200" s="5">
        <f t="shared" si="491"/>
        <v>21.6</v>
      </c>
      <c r="CA200" s="173">
        <f t="shared" si="492"/>
        <v>0.86989930426648976</v>
      </c>
      <c r="CB200" s="5">
        <f t="shared" si="493"/>
        <v>86.989930426648982</v>
      </c>
      <c r="CE200" s="562">
        <f t="shared" si="528"/>
        <v>-50</v>
      </c>
      <c r="CF200">
        <f t="shared" si="529"/>
        <v>-50</v>
      </c>
      <c r="CG200" s="173">
        <f t="shared" si="530"/>
        <v>0.35125023256468729</v>
      </c>
      <c r="CI200" s="170">
        <v>90</v>
      </c>
      <c r="CJ200" s="217">
        <f t="shared" si="589"/>
        <v>0.9</v>
      </c>
      <c r="CK200" s="217"/>
      <c r="CL200" s="217">
        <f t="shared" si="531"/>
        <v>21.6</v>
      </c>
      <c r="CM200" s="541">
        <f t="shared" si="532"/>
        <v>9</v>
      </c>
      <c r="CN200" s="443">
        <f t="shared" si="533"/>
        <v>16.3415</v>
      </c>
      <c r="CO200" s="443">
        <f t="shared" si="534"/>
        <v>25.3415</v>
      </c>
      <c r="CP200" s="443"/>
      <c r="CQ200" s="217">
        <f t="shared" si="535"/>
        <v>0.64485133082098534</v>
      </c>
      <c r="CR200" s="172">
        <f t="shared" si="590"/>
        <v>32.320915977744015</v>
      </c>
      <c r="CS200" s="172">
        <f t="shared" si="536"/>
        <v>21.6</v>
      </c>
      <c r="CT200" s="217">
        <f t="shared" si="537"/>
        <v>1.3467048324060007</v>
      </c>
      <c r="CU200" s="217">
        <f t="shared" si="538"/>
        <v>24</v>
      </c>
      <c r="CV200" s="217"/>
      <c r="CW200" s="172">
        <f t="shared" si="539"/>
        <v>42.220227994051932</v>
      </c>
      <c r="CX200" s="536">
        <f t="shared" si="540"/>
        <v>24</v>
      </c>
      <c r="CY200" s="217">
        <f t="shared" si="541"/>
        <v>7.4435761710981243</v>
      </c>
      <c r="CZ200" s="217">
        <f t="shared" si="542"/>
        <v>8.2706401901090274</v>
      </c>
      <c r="DA200" s="217">
        <f t="shared" si="543"/>
        <v>4.555014026312227</v>
      </c>
      <c r="DB200" s="197">
        <f t="shared" si="544"/>
        <v>261.16478898249903</v>
      </c>
      <c r="DC200" s="443">
        <f t="shared" si="545"/>
        <v>77.968732286549212</v>
      </c>
      <c r="DE200" s="217">
        <f t="shared" si="546"/>
        <v>2.2222222222222223</v>
      </c>
      <c r="DF200" s="173">
        <f t="shared" si="547"/>
        <v>1.3598642855443031</v>
      </c>
      <c r="DG200" s="173">
        <f t="shared" si="548"/>
        <v>0.26320462482489204</v>
      </c>
      <c r="DH200" s="173"/>
      <c r="DI200" s="173">
        <f t="shared" si="549"/>
        <v>1.3598642855443031</v>
      </c>
      <c r="DJ200" s="545">
        <f t="shared" si="550"/>
        <v>893.02499999999975</v>
      </c>
      <c r="DK200" s="528">
        <f t="shared" si="551"/>
        <v>0.26320462482489204</v>
      </c>
      <c r="DM200" s="173">
        <f t="shared" si="552"/>
        <v>3.5496478698597693</v>
      </c>
      <c r="DN200" s="173">
        <f t="shared" si="553"/>
        <v>7.4435761710981243</v>
      </c>
      <c r="DO200" s="173">
        <f t="shared" si="554"/>
        <v>5.0676695917599268</v>
      </c>
      <c r="DQ200" s="545">
        <f t="shared" si="555"/>
        <v>900</v>
      </c>
      <c r="DR200" s="460">
        <f t="shared" si="556"/>
        <v>77.968732286549212</v>
      </c>
      <c r="DT200">
        <f t="shared" si="591"/>
        <v>900</v>
      </c>
      <c r="DU200">
        <f t="shared" si="592"/>
        <v>77.968732286549212</v>
      </c>
      <c r="DW200" s="5">
        <f t="shared" si="557"/>
        <v>12.825654216421256</v>
      </c>
      <c r="DX200" s="5">
        <f t="shared" si="558"/>
        <v>8.2706401901090274</v>
      </c>
      <c r="DY200" s="5">
        <f t="shared" si="559"/>
        <v>4.5550140263122287</v>
      </c>
      <c r="DZ200" s="5"/>
      <c r="EA200" s="173">
        <f t="shared" si="560"/>
        <v>0.64485133082098522</v>
      </c>
      <c r="EB200" s="173">
        <f t="shared" si="561"/>
        <v>21.599999999999994</v>
      </c>
      <c r="EC200" s="173">
        <f t="shared" si="562"/>
        <v>0.88163265306122474</v>
      </c>
      <c r="ED200" s="173">
        <f t="shared" si="563"/>
        <v>24.499999999999986</v>
      </c>
      <c r="EE200" s="460">
        <f t="shared" si="564"/>
        <v>31.014900712908855</v>
      </c>
      <c r="EF200" s="5">
        <f t="shared" si="565"/>
        <v>9.1100280526244575</v>
      </c>
      <c r="EH200" s="173">
        <f t="shared" si="566"/>
        <v>3.4510464896545505</v>
      </c>
      <c r="EI200" s="173">
        <f t="shared" si="567"/>
        <v>1.708252005594874</v>
      </c>
      <c r="EK200" s="528">
        <f t="shared" si="568"/>
        <v>0.47638887495027982</v>
      </c>
      <c r="EL200" s="528">
        <f t="shared" si="569"/>
        <v>0.404452125</v>
      </c>
      <c r="EM200" s="528">
        <f t="shared" si="570"/>
        <v>1.5593746457309841E-2</v>
      </c>
      <c r="EN200" s="528">
        <f t="shared" si="571"/>
        <v>8.7624016675781225E-3</v>
      </c>
      <c r="EO200">
        <f t="shared" si="572"/>
        <v>4.0499999999999998E-3</v>
      </c>
      <c r="EP200" s="460">
        <f t="shared" si="573"/>
        <v>19.643746457309838</v>
      </c>
      <c r="EQ200" s="460"/>
      <c r="ER200" s="460">
        <f t="shared" si="593"/>
        <v>909.24714807516773</v>
      </c>
      <c r="ES200" s="528">
        <f t="shared" si="574"/>
        <v>0.63</v>
      </c>
      <c r="EV200" s="460">
        <f t="shared" si="494"/>
        <v>630</v>
      </c>
      <c r="EW200" s="528">
        <f t="shared" si="575"/>
        <v>0.35729165621270986</v>
      </c>
      <c r="EX200" s="528">
        <f t="shared" si="576"/>
        <v>8.7543747438567271E-2</v>
      </c>
      <c r="EY200" s="528">
        <f t="shared" si="577"/>
        <v>0.40571893711760953</v>
      </c>
      <c r="EZ200" s="528"/>
      <c r="FA200" s="528">
        <f t="shared" si="578"/>
        <v>0.86399999999999988</v>
      </c>
      <c r="FB200" s="460">
        <f t="shared" si="579"/>
        <v>1714.5543407688865</v>
      </c>
      <c r="FC200" s="173">
        <f t="shared" si="580"/>
        <v>3.2538014888440543</v>
      </c>
      <c r="FD200" s="5">
        <f t="shared" si="581"/>
        <v>21.6</v>
      </c>
      <c r="FE200" s="173">
        <f t="shared" si="582"/>
        <v>0.86908234177759225</v>
      </c>
      <c r="FF200" s="5">
        <f t="shared" si="583"/>
        <v>86.908234177759226</v>
      </c>
      <c r="FI200" s="562">
        <f t="shared" si="584"/>
        <v>-50</v>
      </c>
      <c r="FJ200">
        <f t="shared" si="585"/>
        <v>-50</v>
      </c>
      <c r="FL200">
        <f t="shared" si="586"/>
        <v>0.35514866917901478</v>
      </c>
    </row>
    <row r="201" spans="5:168">
      <c r="E201" s="170">
        <v>91</v>
      </c>
      <c r="F201" s="217">
        <f t="shared" si="587"/>
        <v>0.91</v>
      </c>
      <c r="G201" s="217"/>
      <c r="H201" s="217">
        <f t="shared" si="495"/>
        <v>21.84</v>
      </c>
      <c r="I201" s="541">
        <f t="shared" si="496"/>
        <v>8.7281408136276557</v>
      </c>
      <c r="J201" s="172">
        <f t="shared" si="497"/>
        <v>16.393334497814003</v>
      </c>
      <c r="K201" s="172">
        <f t="shared" si="498"/>
        <v>25.121475311441657</v>
      </c>
      <c r="L201" s="443"/>
      <c r="M201" s="217">
        <f t="shared" si="499"/>
        <v>0.65255478735358641</v>
      </c>
      <c r="N201" s="172">
        <f t="shared" si="500"/>
        <v>31.719057536141342</v>
      </c>
      <c r="O201" s="172">
        <f t="shared" si="599"/>
        <v>21.84</v>
      </c>
      <c r="P201" s="217">
        <f t="shared" si="501"/>
        <v>1.3216273973392225</v>
      </c>
      <c r="Q201" s="217">
        <f t="shared" si="502"/>
        <v>24</v>
      </c>
      <c r="R201" s="217"/>
      <c r="S201" s="172">
        <f t="shared" si="503"/>
        <v>40.35981339825063</v>
      </c>
      <c r="T201" s="536">
        <f t="shared" si="504"/>
        <v>24</v>
      </c>
      <c r="U201" s="217">
        <f t="shared" si="505"/>
        <v>7.853427196119652</v>
      </c>
      <c r="V201" s="217">
        <f t="shared" si="506"/>
        <v>8.9978236646431373</v>
      </c>
      <c r="W201" s="217">
        <f t="shared" si="507"/>
        <v>4.7906221868204311</v>
      </c>
      <c r="X201" s="197">
        <f t="shared" si="508"/>
        <v>256.3046101296996</v>
      </c>
      <c r="Y201" s="443">
        <f t="shared" si="509"/>
        <v>71.487569857188475</v>
      </c>
      <c r="AA201" s="217">
        <f t="shared" si="510"/>
        <v>2.2222222222222223</v>
      </c>
      <c r="AB201" s="173">
        <f t="shared" si="511"/>
        <v>1.3555644963619504</v>
      </c>
      <c r="AC201" s="173">
        <f t="shared" si="512"/>
        <v>0.25748973960043342</v>
      </c>
      <c r="AD201" s="173"/>
      <c r="AE201" s="173">
        <f t="shared" si="513"/>
        <v>1.3555644963619504</v>
      </c>
      <c r="AF201" s="545">
        <f t="shared" si="514"/>
        <v>905.81160857111672</v>
      </c>
      <c r="AG201" s="528">
        <f t="shared" si="515"/>
        <v>0.25748973960043348</v>
      </c>
      <c r="AI201" s="173">
        <f t="shared" si="516"/>
        <v>3.5749700282580621</v>
      </c>
      <c r="AJ201" s="173">
        <f t="shared" si="517"/>
        <v>7.853427196119652</v>
      </c>
      <c r="AK201" s="173">
        <f t="shared" si="518"/>
        <v>5.3712629436277259</v>
      </c>
      <c r="AM201" s="545">
        <f t="shared" si="519"/>
        <v>910</v>
      </c>
      <c r="AN201" s="460">
        <f t="shared" si="520"/>
        <v>71.487569857188475</v>
      </c>
      <c r="AP201">
        <f t="shared" si="521"/>
        <v>910</v>
      </c>
      <c r="AQ201">
        <f t="shared" si="522"/>
        <v>71.487569857188475</v>
      </c>
      <c r="AS201" s="5">
        <f t="shared" si="600"/>
        <v>13.988445851463567</v>
      </c>
      <c r="AT201" s="5">
        <f t="shared" si="523"/>
        <v>8.9978236646431373</v>
      </c>
      <c r="AU201" s="5">
        <f t="shared" si="478"/>
        <v>4.9906221868204295</v>
      </c>
      <c r="AV201" s="5"/>
      <c r="AW201" s="173">
        <f t="shared" si="479"/>
        <v>0.64323254778883987</v>
      </c>
      <c r="AX201" s="173">
        <f t="shared" si="596"/>
        <v>22.045450716849572</v>
      </c>
      <c r="AY201" s="173">
        <f t="shared" si="597"/>
        <v>0.93441604516379539</v>
      </c>
      <c r="AZ201" s="173">
        <f t="shared" si="601"/>
        <v>23.592757028251999</v>
      </c>
      <c r="BA201" s="460">
        <f t="shared" si="594"/>
        <v>34.116748061771894</v>
      </c>
      <c r="BB201" s="5">
        <f t="shared" si="595"/>
        <v>10.406491570153831</v>
      </c>
      <c r="BD201" s="173">
        <f t="shared" si="602"/>
        <v>3.6364916990399148</v>
      </c>
      <c r="BE201" s="173">
        <f t="shared" si="598"/>
        <v>1.8064129669068492</v>
      </c>
      <c r="BG201" s="528">
        <f t="shared" si="480"/>
        <v>0.52896287508744833</v>
      </c>
      <c r="BH201" s="528">
        <f t="shared" si="524"/>
        <v>0.31733459092096761</v>
      </c>
      <c r="BI201" s="528">
        <f t="shared" si="525"/>
        <v>2.4958143045503398E-2</v>
      </c>
      <c r="BJ201" s="528">
        <f t="shared" si="481"/>
        <v>7.89512233823568E-3</v>
      </c>
      <c r="BK201">
        <f t="shared" si="482"/>
        <v>3.9276633661324452E-3</v>
      </c>
      <c r="BL201" s="460">
        <f t="shared" si="588"/>
        <v>28.885806411635844</v>
      </c>
      <c r="BM201" s="528">
        <f t="shared" si="526"/>
        <v>1.1403311891995347</v>
      </c>
      <c r="BN201" s="460">
        <f t="shared" si="527"/>
        <v>1140.3311891995347</v>
      </c>
      <c r="BO201" s="528">
        <f t="shared" si="483"/>
        <v>0.63700000000000001</v>
      </c>
      <c r="BR201" s="460">
        <f t="shared" si="484"/>
        <v>637</v>
      </c>
      <c r="BS201" s="528">
        <f t="shared" si="485"/>
        <v>0.39672215631558616</v>
      </c>
      <c r="BT201" s="528">
        <f t="shared" si="486"/>
        <v>9.7893834210276157E-2</v>
      </c>
      <c r="BU201" s="528">
        <f t="shared" si="487"/>
        <v>0.37341726547181353</v>
      </c>
      <c r="BV201" s="528"/>
      <c r="BW201" s="528">
        <f t="shared" si="488"/>
        <v>0.88181802867398296</v>
      </c>
      <c r="BX201" s="460">
        <f t="shared" si="489"/>
        <v>1749.8512846716587</v>
      </c>
      <c r="BY201" s="173">
        <f t="shared" si="490"/>
        <v>3.2699296794299464</v>
      </c>
      <c r="BZ201" s="5">
        <f t="shared" si="491"/>
        <v>21.84</v>
      </c>
      <c r="CA201" s="173">
        <f t="shared" si="492"/>
        <v>0.86977543461188289</v>
      </c>
      <c r="CB201" s="5">
        <f t="shared" si="493"/>
        <v>86.97754346118829</v>
      </c>
      <c r="CE201" s="562">
        <f t="shared" si="528"/>
        <v>-50</v>
      </c>
      <c r="CF201">
        <f t="shared" si="529"/>
        <v>-50</v>
      </c>
      <c r="CG201" s="173">
        <f t="shared" si="530"/>
        <v>0.35129307252748176</v>
      </c>
      <c r="CI201" s="170">
        <v>91</v>
      </c>
      <c r="CJ201" s="217">
        <f t="shared" si="589"/>
        <v>0.91</v>
      </c>
      <c r="CK201" s="217"/>
      <c r="CL201" s="217">
        <f t="shared" si="531"/>
        <v>21.84</v>
      </c>
      <c r="CM201" s="541">
        <f t="shared" si="532"/>
        <v>9</v>
      </c>
      <c r="CN201" s="443">
        <f t="shared" si="533"/>
        <v>16.3415</v>
      </c>
      <c r="CO201" s="443">
        <f t="shared" si="534"/>
        <v>25.3415</v>
      </c>
      <c r="CP201" s="443"/>
      <c r="CQ201" s="217">
        <f t="shared" si="535"/>
        <v>0.64485133082098534</v>
      </c>
      <c r="CR201" s="172">
        <f t="shared" si="590"/>
        <v>32.320915977744015</v>
      </c>
      <c r="CS201" s="172">
        <f t="shared" si="536"/>
        <v>21.84</v>
      </c>
      <c r="CT201" s="217">
        <f t="shared" si="537"/>
        <v>1.3467048324060007</v>
      </c>
      <c r="CU201" s="217">
        <f t="shared" si="538"/>
        <v>24</v>
      </c>
      <c r="CV201" s="217"/>
      <c r="CW201" s="172">
        <f t="shared" si="539"/>
        <v>41.612008290928401</v>
      </c>
      <c r="CX201" s="536">
        <f t="shared" si="540"/>
        <v>24</v>
      </c>
      <c r="CY201" s="217">
        <f t="shared" si="541"/>
        <v>7.5262825729992144</v>
      </c>
      <c r="CZ201" s="217">
        <f t="shared" si="542"/>
        <v>8.3625361922213504</v>
      </c>
      <c r="DA201" s="217">
        <f t="shared" si="543"/>
        <v>4.6056252932712507</v>
      </c>
      <c r="DB201" s="197">
        <f t="shared" si="544"/>
        <v>261.16478898249903</v>
      </c>
      <c r="DC201" s="443">
        <f t="shared" si="545"/>
        <v>77.111933030653091</v>
      </c>
      <c r="DE201" s="217">
        <f t="shared" si="546"/>
        <v>2.2222222222222223</v>
      </c>
      <c r="DF201" s="173">
        <f t="shared" si="547"/>
        <v>1.3598642855443031</v>
      </c>
      <c r="DG201" s="173">
        <f t="shared" si="548"/>
        <v>0.26320462482489204</v>
      </c>
      <c r="DH201" s="173"/>
      <c r="DI201" s="173">
        <f t="shared" si="549"/>
        <v>1.3598642855443031</v>
      </c>
      <c r="DJ201" s="545">
        <f t="shared" si="550"/>
        <v>902.94749999999976</v>
      </c>
      <c r="DK201" s="528">
        <f t="shared" si="551"/>
        <v>0.26320462482489204</v>
      </c>
      <c r="DM201" s="173">
        <f t="shared" si="552"/>
        <v>3.5693136595149491</v>
      </c>
      <c r="DN201" s="173">
        <f t="shared" si="553"/>
        <v>7.5262825729992144</v>
      </c>
      <c r="DO201" s="173">
        <f t="shared" si="554"/>
        <v>5.1289335931681421</v>
      </c>
      <c r="DQ201" s="545">
        <f t="shared" si="555"/>
        <v>910</v>
      </c>
      <c r="DR201" s="460">
        <f t="shared" si="556"/>
        <v>77.111933030653091</v>
      </c>
      <c r="DT201">
        <f t="shared" si="591"/>
        <v>910</v>
      </c>
      <c r="DU201">
        <f t="shared" si="592"/>
        <v>77.111933030653091</v>
      </c>
      <c r="DW201" s="5">
        <f t="shared" si="557"/>
        <v>12.968161485492598</v>
      </c>
      <c r="DX201" s="5">
        <f t="shared" si="558"/>
        <v>8.3625361922213504</v>
      </c>
      <c r="DY201" s="5">
        <f t="shared" si="559"/>
        <v>4.6056252932712471</v>
      </c>
      <c r="DZ201" s="5"/>
      <c r="EA201" s="173">
        <f t="shared" si="560"/>
        <v>0.64485133082098556</v>
      </c>
      <c r="EB201" s="173">
        <f t="shared" si="561"/>
        <v>21.840000000000003</v>
      </c>
      <c r="EC201" s="173">
        <f t="shared" si="562"/>
        <v>0.8914285714285709</v>
      </c>
      <c r="ED201" s="173">
        <f t="shared" si="563"/>
        <v>24.500000000000018</v>
      </c>
      <c r="EE201" s="460">
        <f t="shared" si="564"/>
        <v>31.707949728839285</v>
      </c>
      <c r="EF201" s="5">
        <f t="shared" si="565"/>
        <v>9.3135978152818542</v>
      </c>
      <c r="EH201" s="173">
        <f t="shared" si="566"/>
        <v>3.4893914506507131</v>
      </c>
      <c r="EI201" s="173">
        <f t="shared" si="567"/>
        <v>1.7272325834348163</v>
      </c>
      <c r="EK201" s="528">
        <f t="shared" si="568"/>
        <v>0.48703410783497159</v>
      </c>
      <c r="EL201" s="528">
        <f t="shared" si="569"/>
        <v>0.404452125</v>
      </c>
      <c r="EM201" s="528">
        <f t="shared" si="570"/>
        <v>1.5422386606130619E-2</v>
      </c>
      <c r="EN201" s="528">
        <f t="shared" si="571"/>
        <v>8.6661115393629803E-3</v>
      </c>
      <c r="EO201">
        <f t="shared" si="572"/>
        <v>4.0499999999999998E-3</v>
      </c>
      <c r="EP201" s="460">
        <f t="shared" si="573"/>
        <v>19.47238660613062</v>
      </c>
      <c r="EQ201" s="460"/>
      <c r="ER201" s="460">
        <f t="shared" si="593"/>
        <v>919.62473098046519</v>
      </c>
      <c r="ES201" s="528">
        <f t="shared" si="574"/>
        <v>0.63700000000000001</v>
      </c>
      <c r="EV201" s="460">
        <f t="shared" si="494"/>
        <v>637</v>
      </c>
      <c r="EW201" s="528">
        <f t="shared" si="575"/>
        <v>0.36527558087622863</v>
      </c>
      <c r="EX201" s="528">
        <f t="shared" si="576"/>
        <v>8.9499971918367283E-2</v>
      </c>
      <c r="EY201" s="528">
        <f t="shared" si="577"/>
        <v>0.40571893711760915</v>
      </c>
      <c r="EZ201" s="528"/>
      <c r="FA201" s="528">
        <f t="shared" si="578"/>
        <v>0.87360000000000004</v>
      </c>
      <c r="FB201" s="460">
        <f t="shared" si="579"/>
        <v>1734.0944899122053</v>
      </c>
      <c r="FC201" s="173">
        <f t="shared" si="580"/>
        <v>3.2907192208926705</v>
      </c>
      <c r="FD201" s="5">
        <f t="shared" si="581"/>
        <v>21.84</v>
      </c>
      <c r="FE201" s="173">
        <f t="shared" si="582"/>
        <v>0.86905590755409423</v>
      </c>
      <c r="FF201" s="5">
        <f t="shared" si="583"/>
        <v>86.90559075540942</v>
      </c>
      <c r="FI201" s="562">
        <f t="shared" si="584"/>
        <v>-50</v>
      </c>
      <c r="FJ201">
        <f t="shared" si="585"/>
        <v>-50</v>
      </c>
      <c r="FL201">
        <f t="shared" si="586"/>
        <v>0.35514866917901444</v>
      </c>
    </row>
    <row r="202" spans="5:168">
      <c r="E202" s="170">
        <v>92</v>
      </c>
      <c r="F202" s="217">
        <f t="shared" si="587"/>
        <v>0.92</v>
      </c>
      <c r="G202" s="217"/>
      <c r="H202" s="217">
        <f t="shared" si="495"/>
        <v>22.080000000000002</v>
      </c>
      <c r="I202" s="541">
        <f t="shared" si="496"/>
        <v>8.7251861348625201</v>
      </c>
      <c r="J202" s="172">
        <f t="shared" si="497"/>
        <v>16.393897856705923</v>
      </c>
      <c r="K202" s="172">
        <f t="shared" si="498"/>
        <v>25.119083991568445</v>
      </c>
      <c r="L202" s="443"/>
      <c r="M202" s="217">
        <f t="shared" si="499"/>
        <v>0.65263934047746208</v>
      </c>
      <c r="N202" s="172">
        <f t="shared" si="500"/>
        <v>31.712428421836382</v>
      </c>
      <c r="O202" s="172">
        <f t="shared" si="599"/>
        <v>22.080000000000002</v>
      </c>
      <c r="P202" s="217">
        <f t="shared" si="501"/>
        <v>1.3213511842431827</v>
      </c>
      <c r="Q202" s="217">
        <f t="shared" si="502"/>
        <v>24</v>
      </c>
      <c r="R202" s="217"/>
      <c r="S202" s="172">
        <f t="shared" si="503"/>
        <v>39.769504638372339</v>
      </c>
      <c r="T202" s="536">
        <f t="shared" si="504"/>
        <v>24</v>
      </c>
      <c r="U202" s="217">
        <f t="shared" si="505"/>
        <v>7.9416612504335227</v>
      </c>
      <c r="V202" s="217">
        <f t="shared" si="506"/>
        <v>9.101996367391715</v>
      </c>
      <c r="W202" s="217">
        <f t="shared" si="507"/>
        <v>4.8442788407303556</v>
      </c>
      <c r="X202" s="197">
        <f t="shared" si="508"/>
        <v>256.25104261629622</v>
      </c>
      <c r="Y202" s="443">
        <f t="shared" si="509"/>
        <v>70.68998625347335</v>
      </c>
      <c r="AA202" s="217">
        <f t="shared" si="510"/>
        <v>2.2222222222222228</v>
      </c>
      <c r="AB202" s="173">
        <f t="shared" si="511"/>
        <v>1.3555179138274447</v>
      </c>
      <c r="AC202" s="173">
        <f t="shared" si="512"/>
        <v>0.2574270778834824</v>
      </c>
      <c r="AD202" s="173"/>
      <c r="AE202" s="173">
        <f t="shared" si="513"/>
        <v>1.3555179138274445</v>
      </c>
      <c r="AF202" s="545">
        <f t="shared" si="514"/>
        <v>915.79705268495138</v>
      </c>
      <c r="AG202" s="528">
        <f t="shared" si="515"/>
        <v>0.25742707788348235</v>
      </c>
      <c r="AI202" s="173">
        <f t="shared" si="516"/>
        <v>3.5946208149560106</v>
      </c>
      <c r="AJ202" s="173">
        <f t="shared" si="517"/>
        <v>7.9416612504335227</v>
      </c>
      <c r="AK202" s="173">
        <f t="shared" si="518"/>
        <v>5.436621502378741</v>
      </c>
      <c r="AM202" s="545">
        <f t="shared" si="519"/>
        <v>920</v>
      </c>
      <c r="AN202" s="460">
        <f t="shared" si="520"/>
        <v>70.68998625347335</v>
      </c>
      <c r="AP202">
        <f t="shared" si="521"/>
        <v>920</v>
      </c>
      <c r="AQ202">
        <f t="shared" si="522"/>
        <v>70.68998625347335</v>
      </c>
      <c r="AS202" s="5">
        <f t="shared" si="600"/>
        <v>14.14627520812207</v>
      </c>
      <c r="AT202" s="5">
        <f t="shared" si="523"/>
        <v>9.101996367391715</v>
      </c>
      <c r="AU202" s="5">
        <f t="shared" si="478"/>
        <v>5.0442788407303549</v>
      </c>
      <c r="AV202" s="5"/>
      <c r="AW202" s="173">
        <f t="shared" si="479"/>
        <v>0.64341999809008477</v>
      </c>
      <c r="AX202" s="173">
        <f t="shared" si="596"/>
        <v>22.29208130364443</v>
      </c>
      <c r="AY202" s="173">
        <f t="shared" si="597"/>
        <v>0.94441783421313652</v>
      </c>
      <c r="AZ202" s="173">
        <f t="shared" si="601"/>
        <v>23.60404526055736</v>
      </c>
      <c r="BA202" s="460">
        <f t="shared" si="594"/>
        <v>34.890986075001578</v>
      </c>
      <c r="BB202" s="5">
        <f t="shared" si="595"/>
        <v>10.637564544163272</v>
      </c>
      <c r="BD202" s="173">
        <f t="shared" si="602"/>
        <v>3.677883839450546</v>
      </c>
      <c r="BE202" s="173">
        <f t="shared" si="598"/>
        <v>1.8262282492671322</v>
      </c>
      <c r="BG202" s="528">
        <f t="shared" si="480"/>
        <v>0.54107318145965955</v>
      </c>
      <c r="BH202" s="528">
        <f t="shared" si="524"/>
        <v>0.31728940612034717</v>
      </c>
      <c r="BI202" s="528">
        <f t="shared" si="525"/>
        <v>2.4671331517297113E-2</v>
      </c>
      <c r="BJ202" s="528">
        <f t="shared" si="481"/>
        <v>7.8055505761198572E-3</v>
      </c>
      <c r="BK202">
        <f t="shared" si="482"/>
        <v>3.9263337606881337E-3</v>
      </c>
      <c r="BL202" s="460">
        <f t="shared" si="588"/>
        <v>28.597665277985246</v>
      </c>
      <c r="BM202" s="528">
        <f t="shared" si="526"/>
        <v>1.161590839898736</v>
      </c>
      <c r="BN202" s="460">
        <f t="shared" si="527"/>
        <v>1161.590839898736</v>
      </c>
      <c r="BO202" s="528">
        <f t="shared" si="483"/>
        <v>0.64400000000000002</v>
      </c>
      <c r="BR202" s="460">
        <f t="shared" si="484"/>
        <v>644</v>
      </c>
      <c r="BS202" s="528">
        <f t="shared" si="485"/>
        <v>0.40580488609474463</v>
      </c>
      <c r="BT202" s="528">
        <f t="shared" si="486"/>
        <v>0.10005328855263884</v>
      </c>
      <c r="BU202" s="528">
        <f t="shared" si="487"/>
        <v>0.37337320123444567</v>
      </c>
      <c r="BV202" s="528"/>
      <c r="BW202" s="528">
        <f t="shared" si="488"/>
        <v>0.89168325214577726</v>
      </c>
      <c r="BX202" s="460">
        <f t="shared" si="489"/>
        <v>1770.9146280276063</v>
      </c>
      <c r="BY202" s="173">
        <f t="shared" si="490"/>
        <v>3.3096804314617181</v>
      </c>
      <c r="BZ202" s="5">
        <f t="shared" si="491"/>
        <v>22.080000000000002</v>
      </c>
      <c r="CA202" s="173">
        <f t="shared" si="492"/>
        <v>0.86964465975079719</v>
      </c>
      <c r="CB202" s="5">
        <f t="shared" si="493"/>
        <v>86.964465975079719</v>
      </c>
      <c r="CE202" s="562">
        <f t="shared" si="528"/>
        <v>-50</v>
      </c>
      <c r="CF202">
        <f t="shared" si="529"/>
        <v>-50</v>
      </c>
      <c r="CG202" s="173">
        <f t="shared" si="530"/>
        <v>0.35133498118673778</v>
      </c>
      <c r="CI202" s="170">
        <v>92</v>
      </c>
      <c r="CJ202" s="217">
        <f t="shared" si="589"/>
        <v>0.92</v>
      </c>
      <c r="CK202" s="217"/>
      <c r="CL202" s="217">
        <f t="shared" si="531"/>
        <v>22.080000000000002</v>
      </c>
      <c r="CM202" s="541">
        <f t="shared" si="532"/>
        <v>9</v>
      </c>
      <c r="CN202" s="443">
        <f t="shared" si="533"/>
        <v>16.3415</v>
      </c>
      <c r="CO202" s="443">
        <f t="shared" si="534"/>
        <v>25.3415</v>
      </c>
      <c r="CP202" s="443"/>
      <c r="CQ202" s="217">
        <f t="shared" si="535"/>
        <v>0.64485133082098534</v>
      </c>
      <c r="CR202" s="172">
        <f t="shared" si="590"/>
        <v>32.320915977744015</v>
      </c>
      <c r="CS202" s="172">
        <f t="shared" si="536"/>
        <v>22.080000000000002</v>
      </c>
      <c r="CT202" s="217">
        <f t="shared" si="537"/>
        <v>1.3467048324060007</v>
      </c>
      <c r="CU202" s="217">
        <f t="shared" si="538"/>
        <v>24</v>
      </c>
      <c r="CV202" s="217"/>
      <c r="CW202" s="172">
        <f t="shared" si="539"/>
        <v>41.017075169778806</v>
      </c>
      <c r="CX202" s="536">
        <f t="shared" si="540"/>
        <v>24</v>
      </c>
      <c r="CY202" s="217">
        <f t="shared" si="541"/>
        <v>7.6089889749003055</v>
      </c>
      <c r="CZ202" s="217">
        <f t="shared" si="542"/>
        <v>8.4544321943336715</v>
      </c>
      <c r="DA202" s="217">
        <f t="shared" si="543"/>
        <v>4.6562365602302762</v>
      </c>
      <c r="DB202" s="197">
        <f t="shared" si="544"/>
        <v>261.16478898249903</v>
      </c>
      <c r="DC202" s="443">
        <f t="shared" si="545"/>
        <v>76.273759845537285</v>
      </c>
      <c r="DE202" s="217">
        <f t="shared" si="546"/>
        <v>2.2222222222222223</v>
      </c>
      <c r="DF202" s="173">
        <f t="shared" si="547"/>
        <v>1.3598642855443031</v>
      </c>
      <c r="DG202" s="173">
        <f t="shared" si="548"/>
        <v>0.26320462482489204</v>
      </c>
      <c r="DH202" s="173"/>
      <c r="DI202" s="173">
        <f t="shared" si="549"/>
        <v>1.3598642855443031</v>
      </c>
      <c r="DJ202" s="545">
        <f t="shared" si="550"/>
        <v>912.86999999999978</v>
      </c>
      <c r="DK202" s="528">
        <f t="shared" si="551"/>
        <v>0.26320462482489204</v>
      </c>
      <c r="DM202" s="173">
        <f t="shared" si="552"/>
        <v>3.5888716889852721</v>
      </c>
      <c r="DN202" s="173">
        <f t="shared" si="553"/>
        <v>7.6089889749003055</v>
      </c>
      <c r="DO202" s="173">
        <f t="shared" si="554"/>
        <v>5.1901975945763574</v>
      </c>
      <c r="DQ202" s="545">
        <f t="shared" si="555"/>
        <v>920</v>
      </c>
      <c r="DR202" s="460">
        <f t="shared" si="556"/>
        <v>76.273759845537285</v>
      </c>
      <c r="DT202">
        <f t="shared" si="591"/>
        <v>920</v>
      </c>
      <c r="DU202">
        <f t="shared" si="592"/>
        <v>76.273759845537285</v>
      </c>
      <c r="DW202" s="5">
        <f t="shared" si="557"/>
        <v>13.110668754563948</v>
      </c>
      <c r="DX202" s="5">
        <f t="shared" si="558"/>
        <v>8.4544321943336715</v>
      </c>
      <c r="DY202" s="5">
        <f t="shared" si="559"/>
        <v>4.6562365602302762</v>
      </c>
      <c r="DZ202" s="5"/>
      <c r="EA202" s="173">
        <f t="shared" si="560"/>
        <v>0.64485133082098534</v>
      </c>
      <c r="EB202" s="173">
        <f t="shared" si="561"/>
        <v>22.080000000000005</v>
      </c>
      <c r="EC202" s="173">
        <f t="shared" si="562"/>
        <v>0.90122448979591852</v>
      </c>
      <c r="ED202" s="173">
        <f t="shared" si="563"/>
        <v>24.500000000000004</v>
      </c>
      <c r="EE202" s="460">
        <f t="shared" si="564"/>
        <v>32.408656744945738</v>
      </c>
      <c r="EF202" s="5">
        <f t="shared" si="565"/>
        <v>9.5194169675818987</v>
      </c>
      <c r="EH202" s="173">
        <f t="shared" si="566"/>
        <v>3.5277364116468748</v>
      </c>
      <c r="EI202" s="173">
        <f t="shared" si="567"/>
        <v>1.7462131612747602</v>
      </c>
      <c r="EK202" s="528">
        <f t="shared" si="568"/>
        <v>0.49779696760236675</v>
      </c>
      <c r="EL202" s="528">
        <f t="shared" si="569"/>
        <v>0.404452125</v>
      </c>
      <c r="EM202" s="528">
        <f t="shared" si="570"/>
        <v>1.5254751969107456E-2</v>
      </c>
      <c r="EN202" s="528">
        <f t="shared" si="571"/>
        <v>8.5719146748046877E-3</v>
      </c>
      <c r="EO202">
        <f t="shared" si="572"/>
        <v>4.0499999999999998E-3</v>
      </c>
      <c r="EP202" s="460">
        <f t="shared" si="573"/>
        <v>19.304751969107457</v>
      </c>
      <c r="EQ202" s="460"/>
      <c r="ER202" s="460">
        <f t="shared" si="593"/>
        <v>930.12575924627879</v>
      </c>
      <c r="ES202" s="528">
        <f t="shared" si="574"/>
        <v>0.64400000000000002</v>
      </c>
      <c r="EV202" s="460">
        <f t="shared" si="494"/>
        <v>644</v>
      </c>
      <c r="EW202" s="528">
        <f t="shared" si="575"/>
        <v>0.37334772570177505</v>
      </c>
      <c r="EX202" s="528">
        <f t="shared" si="576"/>
        <v>9.1477812138275744E-2</v>
      </c>
      <c r="EY202" s="528">
        <f t="shared" si="577"/>
        <v>0.40571893711760948</v>
      </c>
      <c r="EZ202" s="528"/>
      <c r="FA202" s="528">
        <f t="shared" si="578"/>
        <v>0.88320000000000021</v>
      </c>
      <c r="FB202" s="460">
        <f t="shared" si="579"/>
        <v>1753.7444749576605</v>
      </c>
      <c r="FC202" s="173">
        <f t="shared" si="580"/>
        <v>3.3278702342039388</v>
      </c>
      <c r="FD202" s="5">
        <f t="shared" si="581"/>
        <v>22.080000000000002</v>
      </c>
      <c r="FE202" s="173">
        <f t="shared" si="582"/>
        <v>0.86902207058173742</v>
      </c>
      <c r="FF202" s="5">
        <f t="shared" si="583"/>
        <v>86.902207058173744</v>
      </c>
      <c r="FI202" s="562">
        <f t="shared" si="584"/>
        <v>-50</v>
      </c>
      <c r="FJ202">
        <f t="shared" si="585"/>
        <v>-50</v>
      </c>
      <c r="FL202">
        <f t="shared" si="586"/>
        <v>0.35514866917901466</v>
      </c>
    </row>
    <row r="203" spans="5:168">
      <c r="E203" s="170">
        <v>93</v>
      </c>
      <c r="F203" s="217">
        <f t="shared" si="587"/>
        <v>0.93</v>
      </c>
      <c r="G203" s="217"/>
      <c r="H203" s="217">
        <f t="shared" si="495"/>
        <v>22.32</v>
      </c>
      <c r="I203" s="541">
        <f t="shared" si="496"/>
        <v>8.7222314484450685</v>
      </c>
      <c r="J203" s="172">
        <f t="shared" si="497"/>
        <v>16.394461217056882</v>
      </c>
      <c r="K203" s="172">
        <f t="shared" si="498"/>
        <v>25.116692665501951</v>
      </c>
      <c r="L203" s="443"/>
      <c r="M203" s="217">
        <f t="shared" si="499"/>
        <v>0.65272390990045015</v>
      </c>
      <c r="N203" s="172">
        <f t="shared" si="500"/>
        <v>31.705797288833111</v>
      </c>
      <c r="O203" s="172">
        <f t="shared" si="599"/>
        <v>22.32</v>
      </c>
      <c r="P203" s="217">
        <f t="shared" si="501"/>
        <v>1.3210748870347129</v>
      </c>
      <c r="Q203" s="217">
        <f t="shared" si="502"/>
        <v>24</v>
      </c>
      <c r="R203" s="217"/>
      <c r="S203" s="172">
        <f t="shared" si="503"/>
        <v>39.192050059560799</v>
      </c>
      <c r="T203" s="536">
        <f t="shared" si="504"/>
        <v>24</v>
      </c>
      <c r="U203" s="217">
        <f t="shared" si="505"/>
        <v>8.0299386472361078</v>
      </c>
      <c r="V203" s="217">
        <f t="shared" si="506"/>
        <v>9.2062893477421106</v>
      </c>
      <c r="W203" s="217">
        <f t="shared" si="507"/>
        <v>4.8979582438986879</v>
      </c>
      <c r="X203" s="197">
        <f t="shared" si="508"/>
        <v>256.19745879942252</v>
      </c>
      <c r="Y203" s="443">
        <f t="shared" si="509"/>
        <v>69.90930446312926</v>
      </c>
      <c r="AA203" s="217">
        <f t="shared" si="510"/>
        <v>2.2222222222222223</v>
      </c>
      <c r="AB203" s="173">
        <f t="shared" si="511"/>
        <v>1.3554713343737159</v>
      </c>
      <c r="AC203" s="173">
        <f t="shared" si="512"/>
        <v>0.25736440407235506</v>
      </c>
      <c r="AD203" s="173"/>
      <c r="AE203" s="173">
        <f t="shared" si="513"/>
        <v>1.3554713343737159</v>
      </c>
      <c r="AF203" s="545">
        <f t="shared" si="514"/>
        <v>925.78318102016078</v>
      </c>
      <c r="AG203" s="528">
        <f t="shared" si="515"/>
        <v>0.25736440407235511</v>
      </c>
      <c r="AI203" s="173">
        <f t="shared" si="516"/>
        <v>3.6141660943575462</v>
      </c>
      <c r="AJ203" s="173">
        <f t="shared" si="517"/>
        <v>8.0299386472361078</v>
      </c>
      <c r="AK203" s="173">
        <f t="shared" si="518"/>
        <v>5.5020121666769519</v>
      </c>
      <c r="AM203" s="545">
        <f t="shared" si="519"/>
        <v>930</v>
      </c>
      <c r="AN203" s="460">
        <f t="shared" si="520"/>
        <v>69.90930446312926</v>
      </c>
      <c r="AP203">
        <f t="shared" si="521"/>
        <v>930</v>
      </c>
      <c r="AQ203">
        <f t="shared" si="522"/>
        <v>69.90930446312926</v>
      </c>
      <c r="AS203" s="5">
        <f t="shared" si="600"/>
        <v>14.304247591640799</v>
      </c>
      <c r="AT203" s="5">
        <f t="shared" si="523"/>
        <v>9.2062893477421106</v>
      </c>
      <c r="AU203" s="5">
        <f t="shared" si="478"/>
        <v>5.0979582438986881</v>
      </c>
      <c r="AV203" s="5"/>
      <c r="AW203" s="173">
        <f t="shared" si="479"/>
        <v>0.6436052849869669</v>
      </c>
      <c r="AX203" s="173">
        <f t="shared" si="596"/>
        <v>22.538729935035946</v>
      </c>
      <c r="AY203" s="173">
        <f t="shared" si="597"/>
        <v>0.95441953653390998</v>
      </c>
      <c r="AZ203" s="173">
        <f t="shared" si="601"/>
        <v>23.615117956290028</v>
      </c>
      <c r="BA203" s="460">
        <f t="shared" si="594"/>
        <v>35.674371222500682</v>
      </c>
      <c r="BB203" s="5">
        <f t="shared" si="595"/>
        <v>10.871303277949556</v>
      </c>
      <c r="BD203" s="173">
        <f t="shared" si="602"/>
        <v>3.7193016307953801</v>
      </c>
      <c r="BE203" s="173">
        <f t="shared" si="598"/>
        <v>1.8460483064886783</v>
      </c>
      <c r="BG203" s="528">
        <f t="shared" si="480"/>
        <v>0.553328184833487</v>
      </c>
      <c r="BH203" s="528">
        <f t="shared" si="524"/>
        <v>0.31724309483952728</v>
      </c>
      <c r="BI203" s="528">
        <f t="shared" si="525"/>
        <v>2.439060535708909E-2</v>
      </c>
      <c r="BJ203" s="528">
        <f t="shared" si="481"/>
        <v>7.7178784219198784E-3</v>
      </c>
      <c r="BK203">
        <f t="shared" si="482"/>
        <v>3.9250041518002808E-3</v>
      </c>
      <c r="BL203" s="460">
        <f t="shared" si="588"/>
        <v>28.31560950888937</v>
      </c>
      <c r="BM203" s="528">
        <f t="shared" si="526"/>
        <v>1.1832506500065674</v>
      </c>
      <c r="BN203" s="460">
        <f t="shared" si="527"/>
        <v>1183.2506500065674</v>
      </c>
      <c r="BO203" s="528">
        <f t="shared" si="483"/>
        <v>0.65100000000000002</v>
      </c>
      <c r="BR203" s="460">
        <f t="shared" si="484"/>
        <v>651</v>
      </c>
      <c r="BS203" s="528">
        <f t="shared" si="485"/>
        <v>0.4149961386251152</v>
      </c>
      <c r="BT203" s="528">
        <f t="shared" si="486"/>
        <v>0.10223683049669152</v>
      </c>
      <c r="BU203" s="528">
        <f t="shared" si="487"/>
        <v>0.37332581789591623</v>
      </c>
      <c r="BV203" s="528"/>
      <c r="BW203" s="528">
        <f t="shared" si="488"/>
        <v>0.90154919740143769</v>
      </c>
      <c r="BX203" s="460">
        <f t="shared" si="489"/>
        <v>1792.1079844191606</v>
      </c>
      <c r="BY203" s="173">
        <f t="shared" si="490"/>
        <v>3.3497127520229841</v>
      </c>
      <c r="BZ203" s="5">
        <f t="shared" si="491"/>
        <v>22.32</v>
      </c>
      <c r="CA203" s="173">
        <f t="shared" si="492"/>
        <v>0.8695071976697909</v>
      </c>
      <c r="CB203" s="5">
        <f t="shared" si="493"/>
        <v>86.950719766979091</v>
      </c>
      <c r="CE203" s="562">
        <f t="shared" si="528"/>
        <v>-50</v>
      </c>
      <c r="CF203">
        <f t="shared" si="529"/>
        <v>-50</v>
      </c>
      <c r="CG203" s="173">
        <f t="shared" si="530"/>
        <v>0.3513759885845042</v>
      </c>
      <c r="CI203" s="170">
        <v>93</v>
      </c>
      <c r="CJ203" s="217">
        <f t="shared" si="589"/>
        <v>0.93</v>
      </c>
      <c r="CK203" s="217"/>
      <c r="CL203" s="217">
        <f t="shared" si="531"/>
        <v>22.32</v>
      </c>
      <c r="CM203" s="541">
        <f t="shared" si="532"/>
        <v>9</v>
      </c>
      <c r="CN203" s="443">
        <f t="shared" si="533"/>
        <v>16.3415</v>
      </c>
      <c r="CO203" s="443">
        <f t="shared" si="534"/>
        <v>25.3415</v>
      </c>
      <c r="CP203" s="443"/>
      <c r="CQ203" s="217">
        <f t="shared" si="535"/>
        <v>0.64485133082098534</v>
      </c>
      <c r="CR203" s="172">
        <f t="shared" si="590"/>
        <v>32.320915977744015</v>
      </c>
      <c r="CS203" s="172">
        <f t="shared" si="536"/>
        <v>22.32</v>
      </c>
      <c r="CT203" s="217">
        <f t="shared" si="537"/>
        <v>1.3467048324060007</v>
      </c>
      <c r="CU203" s="217">
        <f t="shared" si="538"/>
        <v>24</v>
      </c>
      <c r="CV203" s="217"/>
      <c r="CW203" s="172">
        <f t="shared" si="539"/>
        <v>40.435000643871007</v>
      </c>
      <c r="CX203" s="536">
        <f t="shared" si="540"/>
        <v>24</v>
      </c>
      <c r="CY203" s="217">
        <f t="shared" si="541"/>
        <v>7.6916953768013947</v>
      </c>
      <c r="CZ203" s="217">
        <f t="shared" si="542"/>
        <v>8.5463281964459945</v>
      </c>
      <c r="DA203" s="217">
        <f t="shared" si="543"/>
        <v>4.7068478271892999</v>
      </c>
      <c r="DB203" s="197">
        <f t="shared" si="544"/>
        <v>261.16478898249903</v>
      </c>
      <c r="DC203" s="443">
        <f t="shared" si="545"/>
        <v>75.453611890208933</v>
      </c>
      <c r="DE203" s="217">
        <f t="shared" si="546"/>
        <v>2.2222222222222223</v>
      </c>
      <c r="DF203" s="173">
        <f t="shared" si="547"/>
        <v>1.3598642855443031</v>
      </c>
      <c r="DG203" s="173">
        <f t="shared" si="548"/>
        <v>0.26320462482489204</v>
      </c>
      <c r="DH203" s="173"/>
      <c r="DI203" s="173">
        <f t="shared" si="549"/>
        <v>1.3598642855443031</v>
      </c>
      <c r="DJ203" s="545">
        <f t="shared" si="550"/>
        <v>922.79249999999979</v>
      </c>
      <c r="DK203" s="528">
        <f t="shared" si="551"/>
        <v>0.26320462482489204</v>
      </c>
      <c r="DM203" s="173">
        <f t="shared" si="552"/>
        <v>3.6083237105337429</v>
      </c>
      <c r="DN203" s="173">
        <f t="shared" si="553"/>
        <v>7.6916953768013947</v>
      </c>
      <c r="DO203" s="173">
        <f t="shared" si="554"/>
        <v>5.2514615959845727</v>
      </c>
      <c r="DQ203" s="545">
        <f t="shared" si="555"/>
        <v>930</v>
      </c>
      <c r="DR203" s="460">
        <f t="shared" si="556"/>
        <v>75.453611890208933</v>
      </c>
      <c r="DT203">
        <f t="shared" si="591"/>
        <v>930</v>
      </c>
      <c r="DU203">
        <f t="shared" si="592"/>
        <v>75.453611890208933</v>
      </c>
      <c r="DW203" s="5">
        <f t="shared" si="557"/>
        <v>13.253176023635294</v>
      </c>
      <c r="DX203" s="5">
        <f t="shared" si="558"/>
        <v>8.5463281964459945</v>
      </c>
      <c r="DY203" s="5">
        <f t="shared" si="559"/>
        <v>4.7068478271892999</v>
      </c>
      <c r="DZ203" s="5"/>
      <c r="EA203" s="173">
        <f t="shared" si="560"/>
        <v>0.64485133082098534</v>
      </c>
      <c r="EB203" s="173">
        <f t="shared" si="561"/>
        <v>22.32</v>
      </c>
      <c r="EC203" s="173">
        <f t="shared" si="562"/>
        <v>0.91102040816326524</v>
      </c>
      <c r="ED203" s="173">
        <f t="shared" si="563"/>
        <v>24.500000000000004</v>
      </c>
      <c r="EE203" s="460">
        <f t="shared" si="564"/>
        <v>33.11702176122823</v>
      </c>
      <c r="EF203" s="5">
        <f t="shared" si="565"/>
        <v>9.727485509524552</v>
      </c>
      <c r="EH203" s="173">
        <f t="shared" si="566"/>
        <v>3.566081372643036</v>
      </c>
      <c r="EI203" s="173">
        <f t="shared" si="567"/>
        <v>1.7651937391147028</v>
      </c>
      <c r="EK203" s="528">
        <f t="shared" si="568"/>
        <v>0.50867745425246558</v>
      </c>
      <c r="EL203" s="528">
        <f t="shared" si="569"/>
        <v>0.404452125</v>
      </c>
      <c r="EM203" s="528">
        <f t="shared" si="570"/>
        <v>1.5090722378041786E-2</v>
      </c>
      <c r="EN203" s="528">
        <f t="shared" si="571"/>
        <v>8.4797435492691541E-3</v>
      </c>
      <c r="EO203">
        <f t="shared" si="572"/>
        <v>4.0499999999999998E-3</v>
      </c>
      <c r="EP203" s="460">
        <f t="shared" si="573"/>
        <v>19.140722378041783</v>
      </c>
      <c r="EQ203" s="460"/>
      <c r="ER203" s="460">
        <f t="shared" si="593"/>
        <v>940.75004517977652</v>
      </c>
      <c r="ES203" s="528">
        <f t="shared" si="574"/>
        <v>0.65100000000000002</v>
      </c>
      <c r="EV203" s="460">
        <f t="shared" si="494"/>
        <v>651</v>
      </c>
      <c r="EW203" s="528">
        <f t="shared" si="575"/>
        <v>0.38150809068934921</v>
      </c>
      <c r="EX203" s="528">
        <f t="shared" si="576"/>
        <v>9.3477268098292363E-2</v>
      </c>
      <c r="EY203" s="528">
        <f t="shared" si="577"/>
        <v>0.40571893711760948</v>
      </c>
      <c r="EZ203" s="528"/>
      <c r="FA203" s="528">
        <f t="shared" si="578"/>
        <v>0.89280000000000004</v>
      </c>
      <c r="FB203" s="460">
        <f t="shared" si="579"/>
        <v>1773.5042959052512</v>
      </c>
      <c r="FC203" s="173">
        <f t="shared" si="580"/>
        <v>3.365254341085028</v>
      </c>
      <c r="FD203" s="5">
        <f t="shared" si="581"/>
        <v>22.32</v>
      </c>
      <c r="FE203" s="173">
        <f t="shared" si="582"/>
        <v>0.86898107776561473</v>
      </c>
      <c r="FF203" s="5">
        <f t="shared" si="583"/>
        <v>86.898107776561474</v>
      </c>
      <c r="FI203" s="562">
        <f t="shared" si="584"/>
        <v>-50</v>
      </c>
      <c r="FJ203">
        <f t="shared" si="585"/>
        <v>-50</v>
      </c>
      <c r="FL203">
        <f t="shared" si="586"/>
        <v>0.35514866917901466</v>
      </c>
    </row>
    <row r="204" spans="5:168">
      <c r="E204" s="170">
        <v>94</v>
      </c>
      <c r="F204" s="217">
        <f t="shared" si="587"/>
        <v>0.94</v>
      </c>
      <c r="G204" s="217"/>
      <c r="H204" s="217">
        <f t="shared" si="495"/>
        <v>22.56</v>
      </c>
      <c r="I204" s="541">
        <f>VIN_min-F204*(Rdcr_pri+RON/1000)/CG204/Nps</f>
        <v>8.7192767546221166</v>
      </c>
      <c r="J204" s="172">
        <f t="shared" si="497"/>
        <v>16.395024578819825</v>
      </c>
      <c r="K204" s="172">
        <f t="shared" si="498"/>
        <v>25.114301333441944</v>
      </c>
      <c r="L204" s="443"/>
      <c r="M204" s="217">
        <f t="shared" si="499"/>
        <v>0.65280849562086829</v>
      </c>
      <c r="N204" s="172">
        <f t="shared" si="500"/>
        <v>31.699164137131728</v>
      </c>
      <c r="O204" s="172">
        <f t="shared" si="599"/>
        <v>22.56</v>
      </c>
      <c r="P204" s="217">
        <f t="shared" si="501"/>
        <v>1.3207985057138221</v>
      </c>
      <c r="Q204" s="217">
        <f t="shared" si="502"/>
        <v>24</v>
      </c>
      <c r="R204" s="217"/>
      <c r="S204" s="172">
        <f>(SQRT(Isw_max^2*Nps^2*I204^2+4*Isw_max*F204/Efficiency*(Nps^2*Vfwd1*I204-Nps*I204^2)+4*(F204/Efficiency)^2*Nps^2*Vfwd1^2+8*(F204/Efficiency)^2*Nps*Vfwd1*I204+4*(F204/Efficiency)^2*I204^2)-2*0*F204/Efficiency*I204-2*F204/Efficiency*Nps*Vfwd1+Isw_max*Nps*I204)/(4*F204/Efficiency*Nps)</f>
        <v>45.163229500487461</v>
      </c>
      <c r="T204" s="536">
        <f t="shared" si="504"/>
        <v>24</v>
      </c>
      <c r="U204" s="217">
        <f t="shared" si="505"/>
        <v>8.1182594305930511</v>
      </c>
      <c r="V204" s="217">
        <f t="shared" si="506"/>
        <v>9.3107027785183405</v>
      </c>
      <c r="W204" s="217">
        <f t="shared" si="507"/>
        <v>4.9516604208576513</v>
      </c>
      <c r="X204" s="197">
        <f t="shared" si="508"/>
        <v>256.14385867881333</v>
      </c>
      <c r="Y204" s="443">
        <f t="shared" si="509"/>
        <v>69.14499284896587</v>
      </c>
      <c r="AA204" s="217">
        <f t="shared" si="510"/>
        <v>2.2222222222222228</v>
      </c>
      <c r="AB204" s="173">
        <f t="shared" si="511"/>
        <v>1.3554247580043499</v>
      </c>
      <c r="AC204" s="173">
        <f t="shared" si="512"/>
        <v>0.2573017181687875</v>
      </c>
      <c r="AD204" s="173"/>
      <c r="AE204" s="173">
        <f t="shared" si="513"/>
        <v>1.3554247580043497</v>
      </c>
      <c r="AF204" s="545">
        <f t="shared" si="514"/>
        <v>935.76999357671741</v>
      </c>
      <c r="AG204" s="528">
        <f t="shared" si="515"/>
        <v>0.25730171816878739</v>
      </c>
      <c r="AI204" s="173">
        <f t="shared" si="516"/>
        <v>3.6336075690433418</v>
      </c>
      <c r="AJ204" s="173">
        <f t="shared" si="517"/>
        <v>8.1182594305930511</v>
      </c>
      <c r="AK204" s="173">
        <f t="shared" si="518"/>
        <v>5.5674349691635774</v>
      </c>
      <c r="AM204" s="545">
        <f t="shared" si="519"/>
        <v>940</v>
      </c>
      <c r="AN204" s="460">
        <f t="shared" si="520"/>
        <v>69.14499284896587</v>
      </c>
      <c r="AP204">
        <f t="shared" si="521"/>
        <v>940</v>
      </c>
      <c r="AQ204">
        <f t="shared" si="522"/>
        <v>69.14499284896587</v>
      </c>
      <c r="AS204" s="5">
        <f t="shared" si="600"/>
        <v>14.462363199375991</v>
      </c>
      <c r="AT204" s="5">
        <f t="shared" si="523"/>
        <v>9.3107027785183405</v>
      </c>
      <c r="AU204" s="5">
        <f t="shared" si="478"/>
        <v>5.1516604208576506</v>
      </c>
      <c r="AV204" s="5"/>
      <c r="AW204" s="173">
        <f t="shared" si="479"/>
        <v>0.64378847703949726</v>
      </c>
      <c r="AX204" s="173">
        <f t="shared" si="596"/>
        <v>22.78539657517959</v>
      </c>
      <c r="AY204" s="173">
        <f t="shared" si="597"/>
        <v>0.96442115477926482</v>
      </c>
      <c r="AZ204" s="173">
        <f t="shared" si="601"/>
        <v>23.625981722056558</v>
      </c>
      <c r="BA204" s="460">
        <f t="shared" si="594"/>
        <v>36.466919215863498</v>
      </c>
      <c r="BB204" s="5">
        <f t="shared" si="595"/>
        <v>11.107712100178798</v>
      </c>
      <c r="BD204" s="173">
        <f t="shared" si="602"/>
        <v>3.7607450964063571</v>
      </c>
      <c r="BE204" s="173">
        <f t="shared" si="598"/>
        <v>1.8658731462678249</v>
      </c>
      <c r="BG204" s="528">
        <f t="shared" si="480"/>
        <v>0.56572814720577835</v>
      </c>
      <c r="BH204" s="528">
        <f t="shared" si="524"/>
        <v>0.31719569227557315</v>
      </c>
      <c r="BI204" s="528">
        <f t="shared" si="525"/>
        <v>2.4115773153860025E-2</v>
      </c>
      <c r="BJ204" s="528">
        <f t="shared" si="481"/>
        <v>7.632046124486357E-3</v>
      </c>
      <c r="BK204">
        <f t="shared" si="482"/>
        <v>3.9236745395799522E-3</v>
      </c>
      <c r="BL204" s="460">
        <f t="shared" si="588"/>
        <v>28.039447693439978</v>
      </c>
      <c r="BM204" s="528">
        <f t="shared" si="526"/>
        <v>1.2053176815210791</v>
      </c>
      <c r="BN204" s="460">
        <f t="shared" si="527"/>
        <v>1205.3176815210791</v>
      </c>
      <c r="BO204" s="528">
        <f t="shared" si="483"/>
        <v>0.65799999999999992</v>
      </c>
      <c r="BR204" s="460">
        <f t="shared" si="484"/>
        <v>657.99999999999989</v>
      </c>
      <c r="BS204" s="528">
        <f t="shared" si="485"/>
        <v>0.42429611040433379</v>
      </c>
      <c r="BT204" s="528">
        <f t="shared" si="486"/>
        <v>0.10444447793890176</v>
      </c>
      <c r="BU204" s="528">
        <f t="shared" si="487"/>
        <v>0.37327521880829584</v>
      </c>
      <c r="BV204" s="528"/>
      <c r="BW204" s="528">
        <f t="shared" si="488"/>
        <v>0.91141586300718369</v>
      </c>
      <c r="BX204" s="460">
        <f t="shared" si="489"/>
        <v>1813.4316701587152</v>
      </c>
      <c r="BY204" s="173">
        <f t="shared" si="490"/>
        <v>3.3900270034579929</v>
      </c>
      <c r="BZ204" s="5">
        <f t="shared" si="491"/>
        <v>22.56</v>
      </c>
      <c r="CA204" s="173">
        <f t="shared" si="492"/>
        <v>0.86936325719405805</v>
      </c>
      <c r="CB204" s="5">
        <f t="shared" si="493"/>
        <v>86.936325719405801</v>
      </c>
      <c r="CE204" s="562">
        <f t="shared" si="528"/>
        <v>-50</v>
      </c>
      <c r="CF204">
        <f t="shared" si="529"/>
        <v>-50</v>
      </c>
      <c r="CG204" s="173">
        <f t="shared" si="530"/>
        <v>0.35141612348444584</v>
      </c>
      <c r="CI204" s="170">
        <v>94</v>
      </c>
      <c r="CJ204" s="217">
        <f t="shared" si="589"/>
        <v>0.94</v>
      </c>
      <c r="CK204" s="217"/>
      <c r="CL204" s="217">
        <f t="shared" si="531"/>
        <v>22.56</v>
      </c>
      <c r="CM204" s="541">
        <f t="shared" si="532"/>
        <v>9</v>
      </c>
      <c r="CN204" s="443">
        <f t="shared" si="533"/>
        <v>16.3415</v>
      </c>
      <c r="CO204" s="443">
        <f t="shared" si="534"/>
        <v>25.3415</v>
      </c>
      <c r="CP204" s="443"/>
      <c r="CQ204" s="217">
        <f t="shared" si="535"/>
        <v>0.64485133082098534</v>
      </c>
      <c r="CR204" s="172">
        <f t="shared" si="590"/>
        <v>32.320915977744015</v>
      </c>
      <c r="CS204" s="172">
        <f t="shared" si="536"/>
        <v>22.56</v>
      </c>
      <c r="CT204" s="217">
        <f t="shared" si="537"/>
        <v>1.3467048324060007</v>
      </c>
      <c r="CU204" s="217">
        <f t="shared" si="538"/>
        <v>24</v>
      </c>
      <c r="CV204" s="217"/>
      <c r="CW204" s="172">
        <f t="shared" si="539"/>
        <v>39.865374945866691</v>
      </c>
      <c r="CX204" s="536">
        <f t="shared" si="540"/>
        <v>24</v>
      </c>
      <c r="CY204" s="217">
        <f t="shared" si="541"/>
        <v>7.7744017787024848</v>
      </c>
      <c r="CZ204" s="217">
        <f t="shared" si="542"/>
        <v>8.6382241985583175</v>
      </c>
      <c r="DA204" s="217">
        <f t="shared" si="543"/>
        <v>4.7574590941483255</v>
      </c>
      <c r="DB204" s="197">
        <f t="shared" si="544"/>
        <v>261.16478898249903</v>
      </c>
      <c r="DC204" s="443">
        <f t="shared" si="545"/>
        <v>74.650913891376916</v>
      </c>
      <c r="DE204" s="217">
        <f t="shared" si="546"/>
        <v>2.2222222222222223</v>
      </c>
      <c r="DF204" s="173">
        <f t="shared" si="547"/>
        <v>1.3598642855443031</v>
      </c>
      <c r="DG204" s="173">
        <f t="shared" si="548"/>
        <v>0.26320462482489204</v>
      </c>
      <c r="DH204" s="173"/>
      <c r="DI204" s="173">
        <f t="shared" si="549"/>
        <v>1.3598642855443031</v>
      </c>
      <c r="DJ204" s="545">
        <f t="shared" si="550"/>
        <v>932.71499999999969</v>
      </c>
      <c r="DK204" s="528">
        <f t="shared" si="551"/>
        <v>0.26320462482489204</v>
      </c>
      <c r="DM204" s="173">
        <f t="shared" si="552"/>
        <v>3.6276714294434105</v>
      </c>
      <c r="DN204" s="173">
        <f t="shared" si="553"/>
        <v>7.7744017787024848</v>
      </c>
      <c r="DO204" s="173">
        <f t="shared" si="554"/>
        <v>5.3127255973927872</v>
      </c>
      <c r="DQ204" s="545">
        <f t="shared" si="555"/>
        <v>940</v>
      </c>
      <c r="DR204" s="460">
        <f t="shared" si="556"/>
        <v>74.650913891376916</v>
      </c>
      <c r="DT204">
        <f t="shared" si="591"/>
        <v>940</v>
      </c>
      <c r="DU204">
        <f t="shared" si="592"/>
        <v>74.650913891376916</v>
      </c>
      <c r="DW204" s="5">
        <f t="shared" si="557"/>
        <v>13.395683292706643</v>
      </c>
      <c r="DX204" s="5">
        <f t="shared" si="558"/>
        <v>8.6382241985583175</v>
      </c>
      <c r="DY204" s="5">
        <f t="shared" si="559"/>
        <v>4.7574590941483255</v>
      </c>
      <c r="DZ204" s="5"/>
      <c r="EA204" s="173">
        <f t="shared" si="560"/>
        <v>0.64485133082098534</v>
      </c>
      <c r="EB204" s="173">
        <f t="shared" si="561"/>
        <v>22.559999999999995</v>
      </c>
      <c r="EC204" s="173">
        <f t="shared" si="562"/>
        <v>0.92081632653061218</v>
      </c>
      <c r="ED204" s="173">
        <f t="shared" si="563"/>
        <v>24.499999999999996</v>
      </c>
      <c r="EE204" s="460">
        <f t="shared" si="564"/>
        <v>33.833044777686744</v>
      </c>
      <c r="EF204" s="5">
        <f t="shared" si="565"/>
        <v>9.9378034411098319</v>
      </c>
      <c r="EH204" s="173">
        <f t="shared" si="566"/>
        <v>3.6044263336391977</v>
      </c>
      <c r="EI204" s="173">
        <f t="shared" si="567"/>
        <v>1.7841743169546458</v>
      </c>
      <c r="EK204" s="528">
        <f t="shared" si="568"/>
        <v>0.51967556778526836</v>
      </c>
      <c r="EL204" s="528">
        <f t="shared" si="569"/>
        <v>0.40445212499999994</v>
      </c>
      <c r="EM204" s="528">
        <f t="shared" si="570"/>
        <v>1.4930182778275382E-2</v>
      </c>
      <c r="EN204" s="528">
        <f t="shared" si="571"/>
        <v>8.3895335115109701E-3</v>
      </c>
      <c r="EO204">
        <f t="shared" si="572"/>
        <v>4.0499999999999998E-3</v>
      </c>
      <c r="EP204" s="460">
        <f t="shared" si="573"/>
        <v>18.980182778275381</v>
      </c>
      <c r="EQ204" s="460"/>
      <c r="ER204" s="460">
        <f t="shared" si="593"/>
        <v>951.49740907505463</v>
      </c>
      <c r="ES204" s="528">
        <f t="shared" si="574"/>
        <v>0.65799999999999992</v>
      </c>
      <c r="EV204" s="460">
        <f t="shared" si="494"/>
        <v>657.99999999999989</v>
      </c>
      <c r="EW204" s="528">
        <f t="shared" si="575"/>
        <v>0.38975667583895124</v>
      </c>
      <c r="EX204" s="528">
        <f t="shared" si="576"/>
        <v>9.5498339798417306E-2</v>
      </c>
      <c r="EY204" s="528">
        <f t="shared" si="577"/>
        <v>0.4057189371176102</v>
      </c>
      <c r="EZ204" s="528"/>
      <c r="FA204" s="528">
        <f t="shared" si="578"/>
        <v>0.90239999999999987</v>
      </c>
      <c r="FB204" s="460">
        <f t="shared" si="579"/>
        <v>1793.3739527549785</v>
      </c>
      <c r="FC204" s="173">
        <f t="shared" si="580"/>
        <v>3.4028713618300337</v>
      </c>
      <c r="FD204" s="5">
        <f t="shared" si="581"/>
        <v>22.56</v>
      </c>
      <c r="FE204" s="173">
        <f t="shared" si="582"/>
        <v>0.86893316558072042</v>
      </c>
      <c r="FF204" s="5">
        <f t="shared" si="583"/>
        <v>86.893316558072044</v>
      </c>
      <c r="FI204" s="562">
        <f t="shared" si="584"/>
        <v>-50</v>
      </c>
      <c r="FJ204">
        <f t="shared" si="585"/>
        <v>-50</v>
      </c>
      <c r="FL204">
        <f t="shared" si="586"/>
        <v>0.35514866917901466</v>
      </c>
    </row>
    <row r="205" spans="5:168">
      <c r="E205" s="170">
        <v>95</v>
      </c>
      <c r="F205" s="217">
        <f t="shared" si="587"/>
        <v>0.95</v>
      </c>
      <c r="G205" s="217"/>
      <c r="H205" s="217">
        <f t="shared" si="495"/>
        <v>22.799999999999997</v>
      </c>
      <c r="I205" s="541">
        <f t="shared" si="496"/>
        <v>8.7163220536299804</v>
      </c>
      <c r="J205" s="172">
        <f t="shared" si="497"/>
        <v>16.395587941949692</v>
      </c>
      <c r="K205" s="172">
        <f t="shared" si="498"/>
        <v>25.111909995579673</v>
      </c>
      <c r="L205" s="443"/>
      <c r="M205" s="217">
        <f t="shared" si="499"/>
        <v>0.65289309763730263</v>
      </c>
      <c r="N205" s="172">
        <f t="shared" si="500"/>
        <v>31.692528966707876</v>
      </c>
      <c r="O205" s="172">
        <f t="shared" si="599"/>
        <v>22.799999999999997</v>
      </c>
      <c r="P205" s="217">
        <f t="shared" si="501"/>
        <v>1.3205220402794948</v>
      </c>
      <c r="Q205" s="217">
        <f t="shared" si="502"/>
        <v>24</v>
      </c>
      <c r="R205" s="217"/>
      <c r="S205" s="172">
        <f t="shared" si="503"/>
        <v>38.074082169486509</v>
      </c>
      <c r="T205" s="536">
        <f t="shared" si="504"/>
        <v>24</v>
      </c>
      <c r="U205" s="217">
        <f t="shared" si="505"/>
        <v>8.2066236446298237</v>
      </c>
      <c r="V205" s="217">
        <f t="shared" si="506"/>
        <v>9.4152368328475333</v>
      </c>
      <c r="W205" s="217">
        <f t="shared" si="507"/>
        <v>5.0053853961725805</v>
      </c>
      <c r="X205" s="197">
        <f t="shared" si="508"/>
        <v>256.0902422540168</v>
      </c>
      <c r="Y205" s="443">
        <f t="shared" si="509"/>
        <v>68.396541839041888</v>
      </c>
      <c r="AA205" s="217">
        <f t="shared" si="510"/>
        <v>2.2222222222222223</v>
      </c>
      <c r="AB205" s="173">
        <f t="shared" si="511"/>
        <v>1.3553781847227648</v>
      </c>
      <c r="AC205" s="173">
        <f t="shared" si="512"/>
        <v>0.2572390201742949</v>
      </c>
      <c r="AD205" s="173"/>
      <c r="AE205" s="173">
        <f t="shared" si="513"/>
        <v>1.3553781847227648</v>
      </c>
      <c r="AF205" s="545">
        <f t="shared" si="514"/>
        <v>945.75749035459421</v>
      </c>
      <c r="AG205" s="528">
        <f t="shared" si="515"/>
        <v>0.2572390201742949</v>
      </c>
      <c r="AI205" s="173">
        <f t="shared" si="516"/>
        <v>3.652946896401696</v>
      </c>
      <c r="AJ205" s="173">
        <f t="shared" si="517"/>
        <v>8.2066236446298237</v>
      </c>
      <c r="AK205" s="173">
        <f t="shared" si="518"/>
        <v>5.632889942524149</v>
      </c>
      <c r="AM205" s="545">
        <f t="shared" si="519"/>
        <v>950</v>
      </c>
      <c r="AN205" s="460">
        <f t="shared" si="520"/>
        <v>68.396541839041888</v>
      </c>
      <c r="AP205">
        <f t="shared" si="521"/>
        <v>950</v>
      </c>
      <c r="AQ205">
        <f t="shared" si="522"/>
        <v>68.396541839041888</v>
      </c>
      <c r="AS205" s="5">
        <f t="shared" si="600"/>
        <v>14.620622229020114</v>
      </c>
      <c r="AT205" s="5">
        <f t="shared" si="523"/>
        <v>9.4152368328475333</v>
      </c>
      <c r="AU205" s="5">
        <f t="shared" si="478"/>
        <v>5.2053853961725807</v>
      </c>
      <c r="AV205" s="5"/>
      <c r="AW205" s="173">
        <f t="shared" si="479"/>
        <v>0.64396963996234446</v>
      </c>
      <c r="AX205" s="173">
        <f t="shared" si="596"/>
        <v>23.032081189717964</v>
      </c>
      <c r="AY205" s="173">
        <f t="shared" si="597"/>
        <v>0.97442269149217964</v>
      </c>
      <c r="AZ205" s="173">
        <f t="shared" si="601"/>
        <v>23.636642897188537</v>
      </c>
      <c r="BA205" s="460">
        <f t="shared" si="594"/>
        <v>37.268645796688155</v>
      </c>
      <c r="BB205" s="5">
        <f t="shared" si="595"/>
        <v>11.346795347710948</v>
      </c>
      <c r="BD205" s="173">
        <f t="shared" si="602"/>
        <v>3.8022142597401265</v>
      </c>
      <c r="BE205" s="173">
        <f t="shared" si="598"/>
        <v>1.8857027761569407</v>
      </c>
      <c r="BG205" s="528">
        <f t="shared" si="480"/>
        <v>0.57827333107884638</v>
      </c>
      <c r="BH205" s="528">
        <f t="shared" si="524"/>
        <v>0.3171472321647163</v>
      </c>
      <c r="BI205" s="528">
        <f t="shared" si="525"/>
        <v>2.3846651440946654E-2</v>
      </c>
      <c r="BJ205" s="528">
        <f t="shared" si="481"/>
        <v>7.5479964125960914E-3</v>
      </c>
      <c r="BK205">
        <f t="shared" si="482"/>
        <v>3.9223449241334914E-3</v>
      </c>
      <c r="BL205" s="460">
        <f t="shared" si="588"/>
        <v>27.768996365080145</v>
      </c>
      <c r="BM205" s="528">
        <f t="shared" si="526"/>
        <v>1.22779919832456</v>
      </c>
      <c r="BN205" s="460">
        <f t="shared" si="527"/>
        <v>1227.7991983245599</v>
      </c>
      <c r="BO205" s="528">
        <f t="shared" si="483"/>
        <v>0.66499999999999992</v>
      </c>
      <c r="BR205" s="460">
        <f t="shared" si="484"/>
        <v>664.99999999999989</v>
      </c>
      <c r="BS205" s="528">
        <f t="shared" si="485"/>
        <v>0.43370499830913473</v>
      </c>
      <c r="BT205" s="528">
        <f t="shared" si="486"/>
        <v>0.10667624880017978</v>
      </c>
      <c r="BU205" s="528">
        <f t="shared" si="487"/>
        <v>0.37322150308288449</v>
      </c>
      <c r="BV205" s="528"/>
      <c r="BW205" s="528">
        <f t="shared" si="488"/>
        <v>0.9212832475887186</v>
      </c>
      <c r="BX205" s="460">
        <f t="shared" si="489"/>
        <v>1834.8859977809177</v>
      </c>
      <c r="BY205" s="173">
        <f t="shared" si="490"/>
        <v>3.4306235538021563</v>
      </c>
      <c r="BZ205" s="5">
        <f t="shared" si="491"/>
        <v>22.799999999999997</v>
      </c>
      <c r="CA205" s="173">
        <f t="shared" si="492"/>
        <v>0.86921303846378117</v>
      </c>
      <c r="CB205" s="5">
        <f t="shared" si="493"/>
        <v>86.921303846378123</v>
      </c>
      <c r="CE205" s="562">
        <f t="shared" si="528"/>
        <v>-50</v>
      </c>
      <c r="CF205">
        <f t="shared" si="529"/>
        <v>-50</v>
      </c>
      <c r="CG205" s="173">
        <f t="shared" si="530"/>
        <v>0.35145541343912551</v>
      </c>
      <c r="CI205" s="170">
        <v>95</v>
      </c>
      <c r="CJ205" s="217">
        <f t="shared" si="589"/>
        <v>0.95</v>
      </c>
      <c r="CK205" s="217"/>
      <c r="CL205" s="217">
        <f t="shared" si="531"/>
        <v>22.799999999999997</v>
      </c>
      <c r="CM205" s="541">
        <f t="shared" si="532"/>
        <v>9</v>
      </c>
      <c r="CN205" s="443">
        <f t="shared" si="533"/>
        <v>16.3415</v>
      </c>
      <c r="CO205" s="443">
        <f t="shared" si="534"/>
        <v>25.3415</v>
      </c>
      <c r="CP205" s="443"/>
      <c r="CQ205" s="217">
        <f t="shared" si="535"/>
        <v>0.64485133082098534</v>
      </c>
      <c r="CR205" s="172">
        <f t="shared" si="590"/>
        <v>32.320915977744015</v>
      </c>
      <c r="CS205" s="172">
        <f t="shared" si="536"/>
        <v>22.799999999999997</v>
      </c>
      <c r="CT205" s="217">
        <f t="shared" si="537"/>
        <v>1.3467048324060007</v>
      </c>
      <c r="CU205" s="217">
        <f t="shared" si="538"/>
        <v>24</v>
      </c>
      <c r="CV205" s="217"/>
      <c r="CW205" s="172">
        <f t="shared" si="539"/>
        <v>39.307805569001353</v>
      </c>
      <c r="CX205" s="536">
        <f t="shared" si="540"/>
        <v>24</v>
      </c>
      <c r="CY205" s="217">
        <f t="shared" si="541"/>
        <v>7.8571081806035741</v>
      </c>
      <c r="CZ205" s="217">
        <f t="shared" si="542"/>
        <v>8.7301202006706369</v>
      </c>
      <c r="DA205" s="217">
        <f t="shared" si="543"/>
        <v>4.8080703611073492</v>
      </c>
      <c r="DB205" s="197">
        <f t="shared" si="544"/>
        <v>261.16478898249903</v>
      </c>
      <c r="DC205" s="443">
        <f t="shared" si="545"/>
        <v>73.865114797783505</v>
      </c>
      <c r="DE205" s="217">
        <f t="shared" si="546"/>
        <v>2.2222222222222223</v>
      </c>
      <c r="DF205" s="173">
        <f t="shared" si="547"/>
        <v>1.3598642855443031</v>
      </c>
      <c r="DG205" s="173">
        <f t="shared" si="548"/>
        <v>0.26320462482489204</v>
      </c>
      <c r="DH205" s="173"/>
      <c r="DI205" s="173">
        <f t="shared" si="549"/>
        <v>1.3598642855443031</v>
      </c>
      <c r="DJ205" s="545">
        <f t="shared" si="550"/>
        <v>942.6374999999997</v>
      </c>
      <c r="DK205" s="528">
        <f t="shared" si="551"/>
        <v>0.26320462482489204</v>
      </c>
      <c r="DM205" s="173">
        <f t="shared" si="552"/>
        <v>3.6469165057620936</v>
      </c>
      <c r="DN205" s="173">
        <f t="shared" si="553"/>
        <v>7.8571081806035741</v>
      </c>
      <c r="DO205" s="173">
        <f t="shared" si="554"/>
        <v>5.3739895988010016</v>
      </c>
      <c r="DQ205" s="545">
        <f t="shared" si="555"/>
        <v>950</v>
      </c>
      <c r="DR205" s="460">
        <f t="shared" si="556"/>
        <v>73.865114797783505</v>
      </c>
      <c r="DT205">
        <f t="shared" si="591"/>
        <v>950</v>
      </c>
      <c r="DU205">
        <f t="shared" si="592"/>
        <v>73.865114797783505</v>
      </c>
      <c r="DW205" s="5">
        <f t="shared" si="557"/>
        <v>13.538190561777984</v>
      </c>
      <c r="DX205" s="5">
        <f t="shared" si="558"/>
        <v>8.7301202006706369</v>
      </c>
      <c r="DY205" s="5">
        <f t="shared" si="559"/>
        <v>4.8080703611073474</v>
      </c>
      <c r="DZ205" s="5"/>
      <c r="EA205" s="173">
        <f t="shared" si="560"/>
        <v>0.64485133082098534</v>
      </c>
      <c r="EB205" s="173">
        <f t="shared" si="561"/>
        <v>22.799999999999997</v>
      </c>
      <c r="EC205" s="173">
        <f t="shared" si="562"/>
        <v>0.93061224489795902</v>
      </c>
      <c r="ED205" s="173">
        <f t="shared" si="563"/>
        <v>24.5</v>
      </c>
      <c r="EE205" s="460">
        <f t="shared" si="564"/>
        <v>34.556725794321267</v>
      </c>
      <c r="EF205" s="5">
        <f t="shared" si="565"/>
        <v>10.150370762337731</v>
      </c>
      <c r="EH205" s="173">
        <f t="shared" si="566"/>
        <v>3.6427712946353585</v>
      </c>
      <c r="EI205" s="173">
        <f t="shared" si="567"/>
        <v>1.8031548947945886</v>
      </c>
      <c r="EK205" s="528">
        <f t="shared" si="568"/>
        <v>0.53079130820077469</v>
      </c>
      <c r="EL205" s="528">
        <f t="shared" si="569"/>
        <v>0.40445212500000005</v>
      </c>
      <c r="EM205" s="528">
        <f t="shared" si="570"/>
        <v>1.4773022959556702E-2</v>
      </c>
      <c r="EN205" s="528">
        <f t="shared" si="571"/>
        <v>8.3012226324424374E-3</v>
      </c>
      <c r="EO205">
        <f t="shared" si="572"/>
        <v>4.0499999999999998E-3</v>
      </c>
      <c r="EP205" s="460">
        <f t="shared" si="573"/>
        <v>18.823022959556699</v>
      </c>
      <c r="EQ205" s="460"/>
      <c r="ER205" s="460">
        <f t="shared" si="593"/>
        <v>962.36767879277397</v>
      </c>
      <c r="ES205" s="528">
        <f t="shared" si="574"/>
        <v>0.66499999999999992</v>
      </c>
      <c r="EV205" s="460">
        <f t="shared" si="494"/>
        <v>664.99999999999989</v>
      </c>
      <c r="EW205" s="528">
        <f t="shared" si="575"/>
        <v>0.39809348115058096</v>
      </c>
      <c r="EX205" s="528">
        <f t="shared" si="576"/>
        <v>9.7541027238650505E-2</v>
      </c>
      <c r="EY205" s="528">
        <f t="shared" si="577"/>
        <v>0.40571893711760948</v>
      </c>
      <c r="EZ205" s="528"/>
      <c r="FA205" s="528">
        <f t="shared" si="578"/>
        <v>0.91199999999999992</v>
      </c>
      <c r="FB205" s="460">
        <f t="shared" si="579"/>
        <v>1813.3534455068409</v>
      </c>
      <c r="FC205" s="173">
        <f t="shared" si="580"/>
        <v>3.440721124299615</v>
      </c>
      <c r="FD205" s="5">
        <f t="shared" si="581"/>
        <v>22.799999999999997</v>
      </c>
      <c r="FE205" s="173">
        <f t="shared" si="582"/>
        <v>0.86887856061572122</v>
      </c>
      <c r="FF205" s="5">
        <f t="shared" si="583"/>
        <v>86.887856061572123</v>
      </c>
      <c r="FI205" s="562">
        <f t="shared" si="584"/>
        <v>-50</v>
      </c>
      <c r="FJ205">
        <f t="shared" si="585"/>
        <v>-50</v>
      </c>
      <c r="FL205">
        <f t="shared" si="586"/>
        <v>0.35514866917901466</v>
      </c>
    </row>
    <row r="206" spans="5:168">
      <c r="E206" s="170">
        <v>96</v>
      </c>
      <c r="F206" s="217">
        <f t="shared" si="587"/>
        <v>0.96</v>
      </c>
      <c r="G206" s="217"/>
      <c r="H206" s="217">
        <f>F206*Vout</f>
        <v>23.04</v>
      </c>
      <c r="I206" s="541">
        <f t="shared" si="496"/>
        <v>8.7133673456950245</v>
      </c>
      <c r="J206" s="172">
        <f t="shared" si="497"/>
        <v>16.396151306403322</v>
      </c>
      <c r="K206" s="172">
        <f t="shared" si="498"/>
        <v>25.109518652098345</v>
      </c>
      <c r="L206" s="443"/>
      <c r="M206" s="217">
        <f t="shared" si="499"/>
        <v>0.65297771594859499</v>
      </c>
      <c r="N206" s="172">
        <f>M206*I206*(Isw_max+VIN_min/Lmag*ILIM_delay)*0.5*Efficiency</f>
        <v>31.685891777513934</v>
      </c>
      <c r="O206" s="172">
        <f t="shared" si="599"/>
        <v>23.04</v>
      </c>
      <c r="P206" s="217">
        <f>N206/Vout</f>
        <v>1.3202454907297472</v>
      </c>
      <c r="Q206" s="217">
        <f t="shared" si="502"/>
        <v>24</v>
      </c>
      <c r="R206" s="217"/>
      <c r="S206" s="172">
        <f t="shared" si="503"/>
        <v>37.532800458279553</v>
      </c>
      <c r="T206" s="536">
        <f>MIN(Vout, S206)</f>
        <v>24</v>
      </c>
      <c r="U206" s="217">
        <f t="shared" si="505"/>
        <v>8.2950313335318082</v>
      </c>
      <c r="V206" s="217">
        <f>L*U206/I206*1000000</f>
        <v>9.5198916841605428</v>
      </c>
      <c r="W206" s="217">
        <f t="shared" si="507"/>
        <v>5.0591331944419675</v>
      </c>
      <c r="X206" s="197">
        <f t="shared" si="508"/>
        <v>256.03660952440339</v>
      </c>
      <c r="Y206" s="443">
        <f t="shared" si="509"/>
        <v>67.663462793667009</v>
      </c>
      <c r="AA206" s="217">
        <f t="shared" si="510"/>
        <v>2.2222222222222223</v>
      </c>
      <c r="AB206" s="173">
        <f>L*AA206/J206*1000000</f>
        <v>1.3553316145322227</v>
      </c>
      <c r="AC206" s="173">
        <f>0.5*AB206*AA206*Nps*X206/1000</f>
        <v>0.25717631009018449</v>
      </c>
      <c r="AD206" s="173"/>
      <c r="AE206" s="173">
        <f t="shared" si="513"/>
        <v>1.3553316145322227</v>
      </c>
      <c r="AF206" s="545">
        <f>MAX(12000,F206/(0.5*AE206/1000000*Isw_min*Nps))/1000</f>
        <v>955.74567135376458</v>
      </c>
      <c r="AG206" s="528">
        <f t="shared" si="515"/>
        <v>0.25717631009018443</v>
      </c>
      <c r="AI206" s="173">
        <f t="shared" si="516"/>
        <v>3.6721856902897025</v>
      </c>
      <c r="AJ206" s="173">
        <f>MAX(IF(F206&gt;AC206,U206,AI206),Isw_min)</f>
        <v>8.2950313335318082</v>
      </c>
      <c r="AK206" s="173">
        <f>IF(F206&gt;AG206, (AJ206-Isw_min)/1.08*0.8+1.2, AF206*0.2/350+1)</f>
        <v>5.6983771194885824</v>
      </c>
      <c r="AM206" s="545">
        <f t="shared" si="519"/>
        <v>960</v>
      </c>
      <c r="AN206" s="460">
        <f t="shared" si="520"/>
        <v>67.663462793667009</v>
      </c>
      <c r="AP206">
        <f t="shared" si="521"/>
        <v>960</v>
      </c>
      <c r="AQ206">
        <f t="shared" si="522"/>
        <v>67.663462793667009</v>
      </c>
      <c r="AS206" s="5">
        <f t="shared" si="600"/>
        <v>14.77902487860251</v>
      </c>
      <c r="AT206" s="5">
        <f t="shared" si="523"/>
        <v>9.5198916841605428</v>
      </c>
      <c r="AU206" s="5">
        <f t="shared" si="478"/>
        <v>5.2591331944419668</v>
      </c>
      <c r="AV206" s="5"/>
      <c r="AW206" s="173">
        <f t="shared" si="479"/>
        <v>0.64414883677093682</v>
      </c>
      <c r="AX206" s="173">
        <f t="shared" si="596"/>
        <v>23.278783745704359</v>
      </c>
      <c r="AY206" s="173">
        <f t="shared" si="597"/>
        <v>0.98442414911111698</v>
      </c>
      <c r="AZ206" s="173">
        <f t="shared" si="601"/>
        <v>23.64710756712325</v>
      </c>
      <c r="BA206" s="460">
        <f t="shared" si="594"/>
        <v>38.079566736642164</v>
      </c>
      <c r="BB206" s="5">
        <f t="shared" si="595"/>
        <v>11.588557365617577</v>
      </c>
      <c r="BD206" s="173">
        <f t="shared" si="602"/>
        <v>3.8437091443734617</v>
      </c>
      <c r="BE206" s="173">
        <f t="shared" si="598"/>
        <v>1.9055372035720046</v>
      </c>
      <c r="BG206" s="528">
        <f t="shared" si="480"/>
        <v>0.59096399946160671</v>
      </c>
      <c r="BH206" s="528">
        <f t="shared" si="524"/>
        <v>0.31709774685736414</v>
      </c>
      <c r="BI206" s="528">
        <f t="shared" si="525"/>
        <v>2.3583064288119533E-2</v>
      </c>
      <c r="BJ206" s="528">
        <f t="shared" si="481"/>
        <v>7.4656743676140462E-3</v>
      </c>
      <c r="BK206">
        <f t="shared" si="482"/>
        <v>3.9210153055627608E-3</v>
      </c>
      <c r="BL206" s="460">
        <f t="shared" si="588"/>
        <v>27.504079593682292</v>
      </c>
      <c r="BM206" s="528">
        <f t="shared" si="526"/>
        <v>1.2507026728112802</v>
      </c>
      <c r="BN206" s="460">
        <f t="shared" si="527"/>
        <v>1250.7026728112803</v>
      </c>
      <c r="BO206" s="528">
        <f t="shared" si="483"/>
        <v>0.67199999999999993</v>
      </c>
      <c r="BR206" s="460">
        <f t="shared" si="484"/>
        <v>671.99999999999989</v>
      </c>
      <c r="BS206" s="528">
        <f t="shared" si="485"/>
        <v>0.44322299959620504</v>
      </c>
      <c r="BT206" s="528">
        <f t="shared" si="486"/>
        <v>0.10893216102591047</v>
      </c>
      <c r="BU206" s="528">
        <f t="shared" si="487"/>
        <v>0.37316476580555713</v>
      </c>
      <c r="BV206" s="528"/>
      <c r="BW206" s="528">
        <f t="shared" si="488"/>
        <v>0.93115134982817438</v>
      </c>
      <c r="BX206" s="460">
        <f t="shared" si="489"/>
        <v>1856.471276255847</v>
      </c>
      <c r="BY206" s="173">
        <f t="shared" si="490"/>
        <v>3.4715027765361142</v>
      </c>
      <c r="BZ206" s="5">
        <f t="shared" si="491"/>
        <v>23.04</v>
      </c>
      <c r="CA206" s="173">
        <f t="shared" si="492"/>
        <v>0.86905673338108347</v>
      </c>
      <c r="CB206" s="5">
        <f t="shared" si="493"/>
        <v>86.905673338108343</v>
      </c>
      <c r="CE206" s="562">
        <f t="shared" si="528"/>
        <v>-50</v>
      </c>
      <c r="CF206">
        <f t="shared" si="529"/>
        <v>-50</v>
      </c>
      <c r="CG206" s="173">
        <f t="shared" si="530"/>
        <v>0.35149388485308269</v>
      </c>
      <c r="CI206" s="170">
        <v>96</v>
      </c>
      <c r="CJ206" s="217">
        <f t="shared" si="589"/>
        <v>0.96</v>
      </c>
      <c r="CK206" s="217"/>
      <c r="CL206" s="217">
        <f t="shared" si="531"/>
        <v>23.04</v>
      </c>
      <c r="CM206" s="541">
        <f t="shared" si="532"/>
        <v>9</v>
      </c>
      <c r="CN206" s="443">
        <f t="shared" si="533"/>
        <v>16.3415</v>
      </c>
      <c r="CO206" s="443">
        <f t="shared" si="534"/>
        <v>25.3415</v>
      </c>
      <c r="CP206" s="443"/>
      <c r="CQ206" s="217">
        <f t="shared" si="535"/>
        <v>0.64485133082098534</v>
      </c>
      <c r="CR206" s="172">
        <f t="shared" si="590"/>
        <v>32.320915977744015</v>
      </c>
      <c r="CS206" s="172">
        <f t="shared" si="536"/>
        <v>23.04</v>
      </c>
      <c r="CT206" s="217">
        <f t="shared" si="537"/>
        <v>1.3467048324060007</v>
      </c>
      <c r="CU206" s="217">
        <f t="shared" si="538"/>
        <v>24</v>
      </c>
      <c r="CV206" s="217"/>
      <c r="CW206" s="172">
        <f t="shared" si="539"/>
        <v>38.761916368191919</v>
      </c>
      <c r="CX206" s="536">
        <f t="shared" si="540"/>
        <v>24</v>
      </c>
      <c r="CY206" s="217">
        <f t="shared" si="541"/>
        <v>7.9398145825046651</v>
      </c>
      <c r="CZ206" s="217">
        <f t="shared" si="542"/>
        <v>8.8220162027829616</v>
      </c>
      <c r="DA206" s="217">
        <f t="shared" si="543"/>
        <v>4.8586816280663747</v>
      </c>
      <c r="DB206" s="197">
        <f t="shared" si="544"/>
        <v>261.16478898249903</v>
      </c>
      <c r="DC206" s="443">
        <f t="shared" si="545"/>
        <v>73.095686518639909</v>
      </c>
      <c r="DE206" s="217">
        <f t="shared" si="546"/>
        <v>2.2222222222222223</v>
      </c>
      <c r="DF206" s="173">
        <f t="shared" si="547"/>
        <v>1.3598642855443031</v>
      </c>
      <c r="DG206" s="173">
        <f t="shared" si="548"/>
        <v>0.26320462482489204</v>
      </c>
      <c r="DH206" s="173"/>
      <c r="DI206" s="173">
        <f t="shared" si="549"/>
        <v>1.3598642855443031</v>
      </c>
      <c r="DJ206" s="545">
        <f t="shared" si="550"/>
        <v>952.5599999999996</v>
      </c>
      <c r="DK206" s="528">
        <f t="shared" si="551"/>
        <v>0.26320462482489204</v>
      </c>
      <c r="DM206" s="173">
        <f t="shared" si="552"/>
        <v>3.6660605559646715</v>
      </c>
      <c r="DN206" s="173">
        <f t="shared" si="553"/>
        <v>7.9398145825046651</v>
      </c>
      <c r="DO206" s="173">
        <f t="shared" si="554"/>
        <v>5.4352536002092169</v>
      </c>
      <c r="DQ206" s="545">
        <f t="shared" si="555"/>
        <v>960</v>
      </c>
      <c r="DR206" s="460">
        <f t="shared" si="556"/>
        <v>73.095686518639909</v>
      </c>
      <c r="DT206">
        <f t="shared" si="591"/>
        <v>960</v>
      </c>
      <c r="DU206">
        <f t="shared" si="592"/>
        <v>73.095686518639909</v>
      </c>
      <c r="DW206" s="5">
        <f t="shared" si="557"/>
        <v>13.680697830849336</v>
      </c>
      <c r="DX206" s="5">
        <f t="shared" si="558"/>
        <v>8.8220162027829616</v>
      </c>
      <c r="DY206" s="5">
        <f t="shared" si="559"/>
        <v>4.8586816280663747</v>
      </c>
      <c r="DZ206" s="5"/>
      <c r="EA206" s="173">
        <f t="shared" si="560"/>
        <v>0.64485133082098534</v>
      </c>
      <c r="EB206" s="173">
        <f t="shared" si="561"/>
        <v>23.04</v>
      </c>
      <c r="EC206" s="173">
        <f t="shared" si="562"/>
        <v>0.94040816326530607</v>
      </c>
      <c r="ED206" s="173">
        <f t="shared" si="563"/>
        <v>24.5</v>
      </c>
      <c r="EE206" s="460">
        <f t="shared" si="564"/>
        <v>35.288064811131854</v>
      </c>
      <c r="EF206" s="5">
        <f t="shared" si="565"/>
        <v>10.365187473208264</v>
      </c>
      <c r="EH206" s="173">
        <f t="shared" si="566"/>
        <v>3.6811162556315207</v>
      </c>
      <c r="EI206" s="173">
        <f t="shared" si="567"/>
        <v>1.822135472634532</v>
      </c>
      <c r="EK206" s="528">
        <f t="shared" si="568"/>
        <v>0.54202467549898514</v>
      </c>
      <c r="EL206" s="528">
        <f t="shared" si="569"/>
        <v>0.404452125</v>
      </c>
      <c r="EM206" s="528">
        <f t="shared" si="570"/>
        <v>1.4619137303727981E-2</v>
      </c>
      <c r="EN206" s="528">
        <f t="shared" si="571"/>
        <v>8.2147515633544943E-3</v>
      </c>
      <c r="EO206">
        <f t="shared" si="572"/>
        <v>4.0499999999999998E-3</v>
      </c>
      <c r="EP206" s="460">
        <f t="shared" si="573"/>
        <v>18.669137303727982</v>
      </c>
      <c r="EQ206" s="460"/>
      <c r="ER206" s="460">
        <f t="shared" si="593"/>
        <v>973.36068936606773</v>
      </c>
      <c r="ES206" s="528">
        <f t="shared" si="574"/>
        <v>0.67199999999999993</v>
      </c>
      <c r="EV206" s="460">
        <f t="shared" si="494"/>
        <v>671.99999999999989</v>
      </c>
      <c r="EW206" s="528">
        <f t="shared" si="575"/>
        <v>0.40651850662423877</v>
      </c>
      <c r="EX206" s="528">
        <f t="shared" si="576"/>
        <v>9.9605330418992069E-2</v>
      </c>
      <c r="EY206" s="528">
        <f t="shared" si="577"/>
        <v>0.4057189371176102</v>
      </c>
      <c r="EZ206" s="528"/>
      <c r="FA206" s="528">
        <f t="shared" si="578"/>
        <v>0.92159999999999997</v>
      </c>
      <c r="FB206" s="460">
        <f t="shared" si="579"/>
        <v>1833.4427741608411</v>
      </c>
      <c r="FC206" s="173">
        <f t="shared" si="580"/>
        <v>3.4788034635269085</v>
      </c>
      <c r="FD206" s="5">
        <f t="shared" si="581"/>
        <v>23.04</v>
      </c>
      <c r="FE206" s="173">
        <f t="shared" si="582"/>
        <v>0.86881748008308368</v>
      </c>
      <c r="FF206" s="5">
        <f t="shared" si="583"/>
        <v>86.881748008308364</v>
      </c>
      <c r="FI206" s="562">
        <f t="shared" si="584"/>
        <v>-50</v>
      </c>
      <c r="FJ206">
        <f t="shared" si="585"/>
        <v>-50</v>
      </c>
      <c r="FL206">
        <f t="shared" si="586"/>
        <v>0.35514866917901466</v>
      </c>
    </row>
    <row r="207" spans="5:168">
      <c r="E207" s="170">
        <v>97</v>
      </c>
      <c r="F207" s="217">
        <f>IF(PLOT_TYPE=1, E207/100*Iout_max, min_I*EXP(N207*rr/100))</f>
        <v>0.97</v>
      </c>
      <c r="G207" s="217"/>
      <c r="H207" s="217">
        <f>F207*Vout</f>
        <v>23.28</v>
      </c>
      <c r="I207" s="541">
        <f t="shared" si="496"/>
        <v>8.7104126310341883</v>
      </c>
      <c r="J207" s="172">
        <f t="shared" si="497"/>
        <v>16.396714672139357</v>
      </c>
      <c r="K207" s="172">
        <f t="shared" si="498"/>
        <v>25.107127303173545</v>
      </c>
      <c r="L207" s="443"/>
      <c r="M207" s="217">
        <f t="shared" si="499"/>
        <v>0.65306235055382866</v>
      </c>
      <c r="N207" s="172">
        <f>M207*I207*(Isw_max+VIN_min/Lmag*ILIM_delay)*0.5*Efficiency</f>
        <v>31.679252569480219</v>
      </c>
      <c r="O207" s="172">
        <f t="shared" si="599"/>
        <v>23.28</v>
      </c>
      <c r="P207" s="217">
        <f>N207/Vout</f>
        <v>1.3199688570616759</v>
      </c>
      <c r="Q207" s="217">
        <f t="shared" si="502"/>
        <v>24</v>
      </c>
      <c r="R207" s="217"/>
      <c r="S207" s="172">
        <f t="shared" si="503"/>
        <v>37.002834386664269</v>
      </c>
      <c r="T207" s="536">
        <f>MIN(Vout, S207)</f>
        <v>24</v>
      </c>
      <c r="U207" s="217">
        <f t="shared" si="505"/>
        <v>8.3834825415444101</v>
      </c>
      <c r="V207" s="217">
        <f>L*U207/I207*1000000</f>
        <v>9.6246675061925728</v>
      </c>
      <c r="W207" s="217">
        <f t="shared" si="507"/>
        <v>5.112903840297526</v>
      </c>
      <c r="X207" s="197">
        <f t="shared" si="508"/>
        <v>255.98296048917584</v>
      </c>
      <c r="Y207" s="443">
        <f t="shared" si="509"/>
        <v>66.94528694150614</v>
      </c>
      <c r="AA207" s="217">
        <f t="shared" si="510"/>
        <v>2.2222222222222223</v>
      </c>
      <c r="AB207" s="173">
        <f>L*AA207/J207*1000000</f>
        <v>1.3552850474358342</v>
      </c>
      <c r="AC207" s="173">
        <f>0.5*AB207*AA207*Nps*X207/1000</f>
        <v>0.25711358791756495</v>
      </c>
      <c r="AD207" s="173"/>
      <c r="AE207" s="173">
        <f t="shared" si="513"/>
        <v>1.3552850474358342</v>
      </c>
      <c r="AF207" s="545">
        <f>MAX(12000,F207/(0.5*AE207/1000000*Isw_min*Nps))/1000</f>
        <v>965.73453657420453</v>
      </c>
      <c r="AG207" s="528">
        <f t="shared" si="515"/>
        <v>0.25711358791756489</v>
      </c>
      <c r="AI207" s="173">
        <f t="shared" si="516"/>
        <v>3.6913255226167414</v>
      </c>
      <c r="AJ207" s="173">
        <f>MAX(IF(F207&gt;AC207,U207,AI207),Isw_min)</f>
        <v>8.3834825415444101</v>
      </c>
      <c r="AK207" s="173">
        <f>IF(F207&gt;AG207, (AJ207-Isw_min)/1.08*0.8+1.2, AF207*0.2/350+1)</f>
        <v>5.7638965328312501</v>
      </c>
      <c r="AM207" s="545">
        <f t="shared" si="519"/>
        <v>970</v>
      </c>
      <c r="AN207" s="460">
        <f t="shared" si="520"/>
        <v>66.94528694150614</v>
      </c>
      <c r="AP207">
        <f t="shared" si="521"/>
        <v>970</v>
      </c>
      <c r="AQ207">
        <f t="shared" si="522"/>
        <v>66.94528694150614</v>
      </c>
      <c r="AS207" s="5">
        <f t="shared" si="600"/>
        <v>14.937571346490101</v>
      </c>
      <c r="AT207" s="5">
        <f t="shared" si="523"/>
        <v>9.6246675061925728</v>
      </c>
      <c r="AU207" s="5">
        <f t="shared" si="478"/>
        <v>5.3129038402975279</v>
      </c>
      <c r="AV207" s="5"/>
      <c r="AW207" s="173">
        <f t="shared" si="479"/>
        <v>0.64432612791865207</v>
      </c>
      <c r="AX207" s="173">
        <f t="shared" si="596"/>
        <v>23.525504211531132</v>
      </c>
      <c r="AY207" s="173">
        <f t="shared" si="597"/>
        <v>0.99442552997533962</v>
      </c>
      <c r="AZ207" s="173">
        <f t="shared" si="601"/>
        <v>23.657381575988431</v>
      </c>
      <c r="BA207" s="460">
        <f t="shared" si="594"/>
        <v>38.899697837528315</v>
      </c>
      <c r="BB207" s="5">
        <f t="shared" si="595"/>
        <v>11.833002507199764</v>
      </c>
      <c r="BD207" s="173">
        <f t="shared" si="602"/>
        <v>3.8852297739989603</v>
      </c>
      <c r="BE207" s="173">
        <f t="shared" si="598"/>
        <v>1.9253764357997361</v>
      </c>
      <c r="BG207" s="528">
        <f t="shared" si="480"/>
        <v>0.60380041587072053</v>
      </c>
      <c r="BH207" s="528">
        <f t="shared" si="524"/>
        <v>0.31704726738853656</v>
      </c>
      <c r="BI207" s="528">
        <f t="shared" si="525"/>
        <v>2.3324842918540128E-2</v>
      </c>
      <c r="BJ207" s="528">
        <f t="shared" si="481"/>
        <v>7.3850273039217417E-3</v>
      </c>
      <c r="BK207">
        <f t="shared" si="482"/>
        <v>3.9196856839653843E-3</v>
      </c>
      <c r="BL207" s="460">
        <f t="shared" si="588"/>
        <v>27.244528602505511</v>
      </c>
      <c r="BM207" s="528">
        <f t="shared" si="526"/>
        <v>1.274035792794217</v>
      </c>
      <c r="BN207" s="460">
        <f t="shared" si="527"/>
        <v>1274.0357927942171</v>
      </c>
      <c r="BO207" s="528">
        <f t="shared" si="483"/>
        <v>0.67899999999999994</v>
      </c>
      <c r="BR207" s="460">
        <f t="shared" si="484"/>
        <v>678.99999999999989</v>
      </c>
      <c r="BS207" s="528">
        <f t="shared" si="485"/>
        <v>0.45285031190304037</v>
      </c>
      <c r="BT207" s="528">
        <f t="shared" si="486"/>
        <v>0.11121223258598685</v>
      </c>
      <c r="BU207" s="528">
        <f t="shared" si="487"/>
        <v>0.37310509823912857</v>
      </c>
      <c r="BV207" s="528"/>
      <c r="BW207" s="528">
        <f t="shared" si="488"/>
        <v>0.94102016846124537</v>
      </c>
      <c r="BX207" s="460">
        <f t="shared" si="489"/>
        <v>1878.1878111894011</v>
      </c>
      <c r="BY207" s="173">
        <f t="shared" si="490"/>
        <v>3.5126650503550856</v>
      </c>
      <c r="BZ207" s="5">
        <f t="shared" si="491"/>
        <v>23.28</v>
      </c>
      <c r="CA207" s="173">
        <f t="shared" si="492"/>
        <v>0.86889452602967054</v>
      </c>
      <c r="CB207" s="5">
        <f t="shared" si="493"/>
        <v>86.889452602967054</v>
      </c>
      <c r="CE207" s="562">
        <f t="shared" si="528"/>
        <v>-50</v>
      </c>
      <c r="CF207">
        <f t="shared" si="529"/>
        <v>-50</v>
      </c>
      <c r="CG207" s="173">
        <f t="shared" si="530"/>
        <v>0.35153156304200983</v>
      </c>
      <c r="CI207" s="170">
        <v>97</v>
      </c>
      <c r="CJ207" s="217">
        <f t="shared" si="589"/>
        <v>0.97</v>
      </c>
      <c r="CK207" s="217"/>
      <c r="CL207" s="217">
        <f t="shared" si="531"/>
        <v>23.28</v>
      </c>
      <c r="CM207" s="541">
        <f t="shared" si="532"/>
        <v>9</v>
      </c>
      <c r="CN207" s="443">
        <f t="shared" si="533"/>
        <v>16.3415</v>
      </c>
      <c r="CO207" s="443">
        <f t="shared" si="534"/>
        <v>25.3415</v>
      </c>
      <c r="CP207" s="443"/>
      <c r="CQ207" s="217">
        <f t="shared" si="535"/>
        <v>0.64485133082098534</v>
      </c>
      <c r="CR207" s="172">
        <f t="shared" si="590"/>
        <v>32.320915977744015</v>
      </c>
      <c r="CS207" s="172">
        <f t="shared" si="536"/>
        <v>23.28</v>
      </c>
      <c r="CT207" s="217">
        <f t="shared" si="537"/>
        <v>1.3467048324060007</v>
      </c>
      <c r="CU207" s="217">
        <f t="shared" si="538"/>
        <v>24</v>
      </c>
      <c r="CV207" s="217"/>
      <c r="CW207" s="172">
        <f t="shared" si="539"/>
        <v>38.227346716747086</v>
      </c>
      <c r="CX207" s="536">
        <f t="shared" si="540"/>
        <v>24</v>
      </c>
      <c r="CY207" s="217">
        <f t="shared" si="541"/>
        <v>8.022520984405757</v>
      </c>
      <c r="CZ207" s="217">
        <f t="shared" si="542"/>
        <v>8.9139122048952864</v>
      </c>
      <c r="DA207" s="217">
        <f t="shared" si="543"/>
        <v>4.9092928950254002</v>
      </c>
      <c r="DB207" s="197">
        <f t="shared" si="544"/>
        <v>261.16478898249903</v>
      </c>
      <c r="DC207" s="443">
        <f t="shared" si="545"/>
        <v>72.34212274009721</v>
      </c>
      <c r="DE207" s="217">
        <f t="shared" si="546"/>
        <v>2.2222222222222223</v>
      </c>
      <c r="DF207" s="173">
        <f t="shared" si="547"/>
        <v>1.3598642855443031</v>
      </c>
      <c r="DG207" s="173">
        <f t="shared" si="548"/>
        <v>0.26320462482489204</v>
      </c>
      <c r="DH207" s="173"/>
      <c r="DI207" s="173">
        <f t="shared" si="549"/>
        <v>1.3598642855443031</v>
      </c>
      <c r="DJ207" s="545">
        <f t="shared" si="550"/>
        <v>962.48249999999962</v>
      </c>
      <c r="DK207" s="528">
        <f t="shared" si="551"/>
        <v>0.26320462482489204</v>
      </c>
      <c r="DM207" s="173">
        <f t="shared" si="552"/>
        <v>3.6851051545376556</v>
      </c>
      <c r="DN207" s="173">
        <f t="shared" si="553"/>
        <v>8.022520984405757</v>
      </c>
      <c r="DO207" s="173">
        <f t="shared" si="554"/>
        <v>5.4965176016174331</v>
      </c>
      <c r="DQ207" s="545">
        <f t="shared" si="555"/>
        <v>970</v>
      </c>
      <c r="DR207" s="460">
        <f t="shared" si="556"/>
        <v>72.34212274009721</v>
      </c>
      <c r="DT207">
        <f t="shared" si="591"/>
        <v>970</v>
      </c>
      <c r="DU207">
        <f t="shared" si="592"/>
        <v>72.34212274009721</v>
      </c>
      <c r="DW207" s="5">
        <f t="shared" si="557"/>
        <v>13.823205099920687</v>
      </c>
      <c r="DX207" s="5">
        <f t="shared" si="558"/>
        <v>8.9139122048952864</v>
      </c>
      <c r="DY207" s="5">
        <f t="shared" si="559"/>
        <v>4.9092928950254002</v>
      </c>
      <c r="DZ207" s="5"/>
      <c r="EA207" s="173">
        <f t="shared" si="560"/>
        <v>0.64485133082098534</v>
      </c>
      <c r="EB207" s="173">
        <f t="shared" si="561"/>
        <v>23.28</v>
      </c>
      <c r="EC207" s="173">
        <f t="shared" si="562"/>
        <v>0.95020408163265313</v>
      </c>
      <c r="ED207" s="173">
        <f t="shared" si="563"/>
        <v>24.5</v>
      </c>
      <c r="EE207" s="460">
        <f t="shared" si="564"/>
        <v>36.027061828118448</v>
      </c>
      <c r="EF207" s="5">
        <f t="shared" si="565"/>
        <v>10.582253573721417</v>
      </c>
      <c r="EH207" s="173">
        <f t="shared" si="566"/>
        <v>3.7194612166276833</v>
      </c>
      <c r="EI207" s="173">
        <f t="shared" si="567"/>
        <v>1.8411160504744752</v>
      </c>
      <c r="EK207" s="528">
        <f t="shared" si="568"/>
        <v>0.55337566967989948</v>
      </c>
      <c r="EL207" s="528">
        <f t="shared" si="569"/>
        <v>0.404452125</v>
      </c>
      <c r="EM207" s="528">
        <f t="shared" si="570"/>
        <v>1.4468424548019441E-2</v>
      </c>
      <c r="EN207" s="528">
        <f t="shared" si="571"/>
        <v>8.1300634029075371E-3</v>
      </c>
      <c r="EO207">
        <f t="shared" si="572"/>
        <v>4.0499999999999998E-3</v>
      </c>
      <c r="EP207" s="460">
        <f t="shared" si="573"/>
        <v>18.518424548019439</v>
      </c>
      <c r="EQ207" s="460"/>
      <c r="ER207" s="460">
        <f t="shared" si="593"/>
        <v>984.4762826308264</v>
      </c>
      <c r="ES207" s="528">
        <f t="shared" si="574"/>
        <v>0.67899999999999994</v>
      </c>
      <c r="EV207" s="460">
        <f t="shared" si="494"/>
        <v>678.99999999999989</v>
      </c>
      <c r="EW207" s="528">
        <f t="shared" si="575"/>
        <v>0.41503175225992456</v>
      </c>
      <c r="EX207" s="528">
        <f t="shared" si="576"/>
        <v>0.10169124933944192</v>
      </c>
      <c r="EY207" s="528">
        <f t="shared" si="577"/>
        <v>0.40571893711760948</v>
      </c>
      <c r="EZ207" s="528"/>
      <c r="FA207" s="528">
        <f t="shared" si="578"/>
        <v>0.93120000000000003</v>
      </c>
      <c r="FB207" s="460">
        <f t="shared" si="579"/>
        <v>1853.641938716976</v>
      </c>
      <c r="FC207" s="173">
        <f t="shared" si="580"/>
        <v>3.5171182213478023</v>
      </c>
      <c r="FD207" s="5">
        <f t="shared" si="581"/>
        <v>23.28</v>
      </c>
      <c r="FE207" s="173">
        <f t="shared" si="582"/>
        <v>0.86875013229796094</v>
      </c>
      <c r="FF207" s="5">
        <f t="shared" si="583"/>
        <v>86.875013229796096</v>
      </c>
      <c r="FI207" s="562">
        <f t="shared" si="584"/>
        <v>-50</v>
      </c>
      <c r="FJ207">
        <f t="shared" si="585"/>
        <v>-50</v>
      </c>
      <c r="FL207">
        <f t="shared" si="586"/>
        <v>0.35514866917901466</v>
      </c>
    </row>
    <row r="208" spans="5:168">
      <c r="E208" s="170">
        <v>98</v>
      </c>
      <c r="F208" s="217">
        <f>IF(PLOT_TYPE=1, E208/100*Iout_max, min_I*EXP(N208*rr/100))</f>
        <v>0.98</v>
      </c>
      <c r="G208" s="217"/>
      <c r="H208" s="217">
        <f>F208*Vout</f>
        <v>23.52</v>
      </c>
      <c r="I208" s="541">
        <f t="shared" si="496"/>
        <v>8.7074579098554601</v>
      </c>
      <c r="J208" s="172">
        <f t="shared" si="497"/>
        <v>16.397278039118135</v>
      </c>
      <c r="K208" s="172">
        <f t="shared" si="498"/>
        <v>25.104735948973595</v>
      </c>
      <c r="L208" s="443"/>
      <c r="M208" s="217">
        <f t="shared" si="499"/>
        <v>0.65314700145231652</v>
      </c>
      <c r="N208" s="172">
        <f>M208*I208*(Isw_max+VIN_min/Lmag*ILIM_delay)*0.5*Efficiency</f>
        <v>31.672611342516099</v>
      </c>
      <c r="O208" s="172">
        <f t="shared" si="599"/>
        <v>23.52</v>
      </c>
      <c r="P208" s="217">
        <f>N208/Vout</f>
        <v>1.3196921392715042</v>
      </c>
      <c r="Q208" s="217">
        <f t="shared" si="502"/>
        <v>24</v>
      </c>
      <c r="R208" s="217"/>
      <c r="S208" s="172">
        <f t="shared" si="503"/>
        <v>36.483838167280915</v>
      </c>
      <c r="T208" s="536">
        <f>MIN(Vout, S208)</f>
        <v>24</v>
      </c>
      <c r="U208" s="217">
        <f t="shared" si="505"/>
        <v>8.4719773129731504</v>
      </c>
      <c r="V208" s="217">
        <f>L*U208/I208*1000000</f>
        <v>9.7295644729838067</v>
      </c>
      <c r="W208" s="217">
        <f t="shared" si="507"/>
        <v>5.1666973584042397</v>
      </c>
      <c r="X208" s="197">
        <f t="shared" si="508"/>
        <v>255.92929514737699</v>
      </c>
      <c r="Y208" s="443">
        <f t="shared" si="509"/>
        <v>66.241564379918671</v>
      </c>
      <c r="AA208" s="217">
        <f t="shared" si="510"/>
        <v>2.2222222222222223</v>
      </c>
      <c r="AB208" s="173">
        <f>L*AA208/J208*1000000</f>
        <v>1.3552384834365696</v>
      </c>
      <c r="AC208" s="173">
        <f>0.5*AB208*AA208*Nps*X208/1000</f>
        <v>0.25705085365735753</v>
      </c>
      <c r="AD208" s="173"/>
      <c r="AE208" s="173">
        <f t="shared" si="513"/>
        <v>1.3552384834365696</v>
      </c>
      <c r="AF208" s="545">
        <f>MAX(12000,F208/(0.5*AE208/1000000*Isw_min*Nps))/1000</f>
        <v>975.72408601588972</v>
      </c>
      <c r="AG208" s="528">
        <f t="shared" si="515"/>
        <v>0.25705085365735758</v>
      </c>
      <c r="AI208" s="173">
        <f t="shared" si="516"/>
        <v>3.7103679248546682</v>
      </c>
      <c r="AJ208" s="173">
        <f>MAX(IF(F208&gt;AC208,U208,AI208),Isw_min)</f>
        <v>8.4719773129731504</v>
      </c>
      <c r="AK208" s="173">
        <f>IF(F208&gt;AG208, (AJ208-Isw_min)/1.08*0.8+1.2, AF208*0.2/350+1)</f>
        <v>5.8294482153710581</v>
      </c>
      <c r="AM208" s="545">
        <f t="shared" si="519"/>
        <v>980</v>
      </c>
      <c r="AN208" s="460">
        <f t="shared" si="520"/>
        <v>66.241564379918671</v>
      </c>
      <c r="AP208">
        <f t="shared" si="521"/>
        <v>980</v>
      </c>
      <c r="AQ208">
        <f t="shared" si="522"/>
        <v>66.241564379918671</v>
      </c>
      <c r="AS208" s="5">
        <f t="shared" si="600"/>
        <v>15.096261831388043</v>
      </c>
      <c r="AT208" s="5">
        <f t="shared" si="523"/>
        <v>9.7295644729838067</v>
      </c>
      <c r="AU208" s="5">
        <f t="shared" si="478"/>
        <v>5.3666973584042363</v>
      </c>
      <c r="AV208" s="5"/>
      <c r="AW208" s="173">
        <f t="shared" si="479"/>
        <v>0.64450157142572628</v>
      </c>
      <c r="AX208" s="173">
        <f t="shared" si="596"/>
        <v>23.772242556862299</v>
      </c>
      <c r="AY208" s="173">
        <f t="shared" si="597"/>
        <v>1.0044268363298974</v>
      </c>
      <c r="AZ208" s="173">
        <f t="shared" si="601"/>
        <v>23.667470538445929</v>
      </c>
      <c r="BA208" s="460">
        <f t="shared" si="594"/>
        <v>39.729054931350547</v>
      </c>
      <c r="BB208" s="5">
        <f t="shared" si="595"/>
        <v>12.080135134005957</v>
      </c>
      <c r="BD208" s="173">
        <f t="shared" si="602"/>
        <v>3.9267761724210115</v>
      </c>
      <c r="BE208" s="173">
        <f t="shared" si="598"/>
        <v>1.9452204800042876</v>
      </c>
      <c r="BG208" s="528">
        <f t="shared" si="480"/>
        <v>0.61678284433173636</v>
      </c>
      <c r="BH208" s="528">
        <f t="shared" si="524"/>
        <v>0.31699582354404787</v>
      </c>
      <c r="BI208" s="528">
        <f t="shared" si="525"/>
        <v>2.3071825348844902E-2</v>
      </c>
      <c r="BJ208" s="528">
        <f t="shared" si="481"/>
        <v>7.3060046565649817E-3</v>
      </c>
      <c r="BK208">
        <f t="shared" si="482"/>
        <v>3.9183560594349565E-3</v>
      </c>
      <c r="BL208" s="460">
        <f t="shared" si="588"/>
        <v>26.990181408279856</v>
      </c>
      <c r="BM208" s="528">
        <f t="shared" si="526"/>
        <v>1.2978064687037498</v>
      </c>
      <c r="BN208" s="460">
        <f t="shared" si="527"/>
        <v>1297.8064687037497</v>
      </c>
      <c r="BO208" s="528">
        <f t="shared" si="483"/>
        <v>0.68599999999999994</v>
      </c>
      <c r="BR208" s="460">
        <f t="shared" si="484"/>
        <v>686</v>
      </c>
      <c r="BS208" s="528">
        <f t="shared" si="485"/>
        <v>0.46258713324880224</v>
      </c>
      <c r="BT208" s="528">
        <f t="shared" si="486"/>
        <v>0.11351648147484333</v>
      </c>
      <c r="BU208" s="528">
        <f t="shared" si="487"/>
        <v>0.37304258801363821</v>
      </c>
      <c r="BV208" s="528"/>
      <c r="BW208" s="528">
        <f t="shared" si="488"/>
        <v>0.95088970227449199</v>
      </c>
      <c r="BX208" s="460">
        <f t="shared" si="489"/>
        <v>1900.0359050117756</v>
      </c>
      <c r="BY208" s="173">
        <f t="shared" si="490"/>
        <v>3.5541107589524046</v>
      </c>
      <c r="BZ208" s="5">
        <f t="shared" si="491"/>
        <v>23.52</v>
      </c>
      <c r="CA208" s="173">
        <f t="shared" si="492"/>
        <v>0.86872659306909306</v>
      </c>
      <c r="CB208" s="5">
        <f t="shared" si="493"/>
        <v>86.872659306909298</v>
      </c>
      <c r="CE208" s="562">
        <f t="shared" si="528"/>
        <v>-50</v>
      </c>
      <c r="CF208">
        <f t="shared" si="529"/>
        <v>-50</v>
      </c>
      <c r="CG208" s="173">
        <f t="shared" si="530"/>
        <v>0.35156847228830579</v>
      </c>
      <c r="CI208" s="170">
        <v>98</v>
      </c>
      <c r="CJ208" s="217">
        <f t="shared" si="589"/>
        <v>0.98</v>
      </c>
      <c r="CK208" s="217"/>
      <c r="CL208" s="217">
        <f t="shared" si="531"/>
        <v>23.52</v>
      </c>
      <c r="CM208" s="541">
        <f t="shared" si="532"/>
        <v>9</v>
      </c>
      <c r="CN208" s="443">
        <f t="shared" si="533"/>
        <v>16.3415</v>
      </c>
      <c r="CO208" s="443">
        <f t="shared" si="534"/>
        <v>25.3415</v>
      </c>
      <c r="CP208" s="443"/>
      <c r="CQ208" s="217">
        <f t="shared" si="535"/>
        <v>0.64485133082098534</v>
      </c>
      <c r="CR208" s="172">
        <f t="shared" si="590"/>
        <v>32.320915977744015</v>
      </c>
      <c r="CS208" s="172">
        <f t="shared" si="536"/>
        <v>23.52</v>
      </c>
      <c r="CT208" s="217">
        <f t="shared" si="537"/>
        <v>1.3467048324060007</v>
      </c>
      <c r="CU208" s="217">
        <f t="shared" si="538"/>
        <v>24</v>
      </c>
      <c r="CV208" s="217"/>
      <c r="CW208" s="172">
        <f t="shared" si="539"/>
        <v>37.703750714709138</v>
      </c>
      <c r="CX208" s="536">
        <f t="shared" si="540"/>
        <v>24</v>
      </c>
      <c r="CY208" s="217">
        <f t="shared" si="541"/>
        <v>8.1052273863068454</v>
      </c>
      <c r="CZ208" s="217">
        <f t="shared" si="542"/>
        <v>9.0058082070076058</v>
      </c>
      <c r="DA208" s="217">
        <f t="shared" si="543"/>
        <v>4.959904161984424</v>
      </c>
      <c r="DB208" s="197">
        <f t="shared" si="544"/>
        <v>261.16478898249903</v>
      </c>
      <c r="DC208" s="443">
        <f t="shared" si="545"/>
        <v>71.603937814177868</v>
      </c>
      <c r="DE208" s="217">
        <f t="shared" si="546"/>
        <v>2.2222222222222223</v>
      </c>
      <c r="DF208" s="173">
        <f t="shared" si="547"/>
        <v>1.3598642855443031</v>
      </c>
      <c r="DG208" s="173">
        <f t="shared" si="548"/>
        <v>0.26320462482489204</v>
      </c>
      <c r="DH208" s="173"/>
      <c r="DI208" s="173">
        <f t="shared" si="549"/>
        <v>1.3598642855443031</v>
      </c>
      <c r="DJ208" s="545">
        <f t="shared" si="550"/>
        <v>972.40499999999963</v>
      </c>
      <c r="DK208" s="528">
        <f t="shared" si="551"/>
        <v>0.26320462482489204</v>
      </c>
      <c r="DM208" s="173">
        <f t="shared" si="552"/>
        <v>3.7040518354904264</v>
      </c>
      <c r="DN208" s="173">
        <f t="shared" si="553"/>
        <v>8.1052273863068454</v>
      </c>
      <c r="DO208" s="173">
        <f t="shared" si="554"/>
        <v>5.5577816030256466</v>
      </c>
      <c r="DQ208" s="545">
        <f t="shared" si="555"/>
        <v>980</v>
      </c>
      <c r="DR208" s="460">
        <f t="shared" si="556"/>
        <v>71.603937814177868</v>
      </c>
      <c r="DT208">
        <f t="shared" si="591"/>
        <v>980</v>
      </c>
      <c r="DU208">
        <f t="shared" si="592"/>
        <v>71.603937814177868</v>
      </c>
      <c r="DW208" s="5">
        <f t="shared" si="557"/>
        <v>13.96571236899203</v>
      </c>
      <c r="DX208" s="5">
        <f t="shared" si="558"/>
        <v>9.0058082070076058</v>
      </c>
      <c r="DY208" s="5">
        <f t="shared" si="559"/>
        <v>4.959904161984424</v>
      </c>
      <c r="DZ208" s="5"/>
      <c r="EA208" s="173">
        <f t="shared" si="560"/>
        <v>0.64485133082098534</v>
      </c>
      <c r="EB208" s="173">
        <f t="shared" si="561"/>
        <v>23.520000000000003</v>
      </c>
      <c r="EC208" s="173">
        <f t="shared" si="562"/>
        <v>0.95999999999999985</v>
      </c>
      <c r="ED208" s="173">
        <f t="shared" si="563"/>
        <v>24.500000000000007</v>
      </c>
      <c r="EE208" s="460">
        <f t="shared" si="564"/>
        <v>36.773716845281058</v>
      </c>
      <c r="EF208" s="5">
        <f t="shared" si="565"/>
        <v>10.801569063877187</v>
      </c>
      <c r="EH208" s="173">
        <f t="shared" si="566"/>
        <v>3.7578061776238441</v>
      </c>
      <c r="EI208" s="173">
        <f t="shared" si="567"/>
        <v>1.8600966283144178</v>
      </c>
      <c r="EK208" s="528">
        <f t="shared" si="568"/>
        <v>0.56484429074351705</v>
      </c>
      <c r="EL208" s="528">
        <f t="shared" si="569"/>
        <v>0.404452125</v>
      </c>
      <c r="EM208" s="528">
        <f t="shared" si="570"/>
        <v>1.4320787562835573E-2</v>
      </c>
      <c r="EN208" s="528">
        <f t="shared" si="571"/>
        <v>8.0471035722656271E-3</v>
      </c>
      <c r="EO208">
        <f t="shared" si="572"/>
        <v>4.0499999999999998E-3</v>
      </c>
      <c r="EP208" s="460">
        <f t="shared" si="573"/>
        <v>18.370787562835574</v>
      </c>
      <c r="EQ208" s="460"/>
      <c r="ER208" s="460">
        <f t="shared" si="593"/>
        <v>995.71430687861834</v>
      </c>
      <c r="ES208" s="528">
        <f t="shared" si="574"/>
        <v>0.68599999999999994</v>
      </c>
      <c r="EV208" s="460">
        <f t="shared" si="494"/>
        <v>686</v>
      </c>
      <c r="EW208" s="528">
        <f t="shared" si="575"/>
        <v>0.42363321805763776</v>
      </c>
      <c r="EX208" s="528">
        <f t="shared" si="576"/>
        <v>0.10379878399999995</v>
      </c>
      <c r="EY208" s="528">
        <f t="shared" si="577"/>
        <v>0.40571893711760948</v>
      </c>
      <c r="EZ208" s="528"/>
      <c r="FA208" s="528">
        <f t="shared" si="578"/>
        <v>0.94079999999999997</v>
      </c>
      <c r="FB208" s="460">
        <f t="shared" si="579"/>
        <v>1873.9509391752472</v>
      </c>
      <c r="FC208" s="173">
        <f t="shared" si="580"/>
        <v>3.5556652460538656</v>
      </c>
      <c r="FD208" s="5">
        <f t="shared" si="581"/>
        <v>23.52</v>
      </c>
      <c r="FE208" s="173">
        <f t="shared" si="582"/>
        <v>0.86867671712804595</v>
      </c>
      <c r="FF208" s="5">
        <f t="shared" si="583"/>
        <v>86.867671712804594</v>
      </c>
      <c r="FI208" s="562">
        <f t="shared" si="584"/>
        <v>-50</v>
      </c>
      <c r="FJ208">
        <f t="shared" si="585"/>
        <v>-50</v>
      </c>
      <c r="FL208">
        <f t="shared" si="586"/>
        <v>0.35514866917901466</v>
      </c>
    </row>
    <row r="209" spans="5:168">
      <c r="E209" s="170">
        <v>99</v>
      </c>
      <c r="F209" s="217">
        <f>IF(PLOT_TYPE=1, E209/100*Iout_max, min_I*EXP(N209*rr/100))</f>
        <v>0.99</v>
      </c>
      <c r="G209" s="217"/>
      <c r="H209" s="217">
        <f>F209*Vout</f>
        <v>23.759999999999998</v>
      </c>
      <c r="I209" s="541">
        <f t="shared" si="496"/>
        <v>8.7045031823583425</v>
      </c>
      <c r="J209" s="172">
        <f t="shared" si="497"/>
        <v>16.397841407301623</v>
      </c>
      <c r="K209" s="172">
        <f t="shared" si="498"/>
        <v>25.102344589659964</v>
      </c>
      <c r="L209" s="443"/>
      <c r="M209" s="217">
        <f t="shared" si="499"/>
        <v>0.65323166864358917</v>
      </c>
      <c r="N209" s="172">
        <f>M209*I209*(Isw_max+VIN_min/Lmag*ILIM_delay)*0.5*Efficiency</f>
        <v>31.665968096511047</v>
      </c>
      <c r="O209" s="172">
        <f t="shared" si="599"/>
        <v>23.759999999999998</v>
      </c>
      <c r="P209" s="217">
        <f>N209/Vout</f>
        <v>1.3194153373546269</v>
      </c>
      <c r="Q209" s="217">
        <f t="shared" si="502"/>
        <v>24</v>
      </c>
      <c r="R209" s="217"/>
      <c r="S209" s="172">
        <f t="shared" si="503"/>
        <v>35.975479990956813</v>
      </c>
      <c r="T209" s="536">
        <f>MIN(Vout, S209)</f>
        <v>24</v>
      </c>
      <c r="U209" s="217">
        <f t="shared" si="505"/>
        <v>8.5605156921837704</v>
      </c>
      <c r="V209" s="217">
        <f>L*U209/I209*1000000</f>
        <v>9.8345827588800319</v>
      </c>
      <c r="W209" s="217">
        <f t="shared" si="507"/>
        <v>5.2205137734604197</v>
      </c>
      <c r="X209" s="197">
        <f t="shared" si="508"/>
        <v>255.87561349789843</v>
      </c>
      <c r="Y209" s="443">
        <f t="shared" si="509"/>
        <v>65.551863135052812</v>
      </c>
      <c r="AA209" s="217">
        <f t="shared" si="510"/>
        <v>2.2222222222222232</v>
      </c>
      <c r="AB209" s="173">
        <f>L*AA209/J209*1000000</f>
        <v>1.3551919225372635</v>
      </c>
      <c r="AC209" s="173">
        <f>0.5*AB209*AA209*Nps*X209/1000</f>
        <v>0.25698810731030536</v>
      </c>
      <c r="AD209" s="173"/>
      <c r="AE209" s="173">
        <f t="shared" si="513"/>
        <v>1.3551919225372631</v>
      </c>
      <c r="AF209" s="545">
        <f>MAX(12000,F209/(0.5*AE209/1000000*Isw_min*Nps))/1000</f>
        <v>985.71431967879823</v>
      </c>
      <c r="AG209" s="528">
        <f t="shared" si="515"/>
        <v>0.25698810731030514</v>
      </c>
      <c r="AI209" s="173">
        <f t="shared" si="516"/>
        <v>3.7293143894788323</v>
      </c>
      <c r="AJ209" s="173">
        <f>MAX(IF(F209&gt;AC209,U209,AI209),Isw_min)</f>
        <v>8.5605156921837704</v>
      </c>
      <c r="AK209" s="173">
        <f>IF(F209&gt;AG209, (AJ209-Isw_min)/1.08*0.8+1.2, AF209*0.2/350+1)</f>
        <v>5.8950321999715172</v>
      </c>
      <c r="AM209" s="545">
        <f t="shared" si="519"/>
        <v>990</v>
      </c>
      <c r="AN209" s="460">
        <f t="shared" si="520"/>
        <v>65.551863135052812</v>
      </c>
      <c r="AP209">
        <f t="shared" si="521"/>
        <v>990</v>
      </c>
      <c r="AQ209">
        <f t="shared" si="522"/>
        <v>65.551863135052812</v>
      </c>
      <c r="AS209" s="5">
        <f t="shared" si="600"/>
        <v>15.255096532340451</v>
      </c>
      <c r="AT209" s="5">
        <f t="shared" si="523"/>
        <v>9.8345827588800319</v>
      </c>
      <c r="AU209" s="5">
        <f t="shared" si="478"/>
        <v>5.420513773460419</v>
      </c>
      <c r="AV209" s="5"/>
      <c r="AW209" s="173">
        <f t="shared" si="479"/>
        <v>0.64467522300045399</v>
      </c>
      <c r="AX209" s="173">
        <f t="shared" si="596"/>
        <v>24.018998752570177</v>
      </c>
      <c r="AY209" s="173">
        <f t="shared" si="597"/>
        <v>1.0144280703303254</v>
      </c>
      <c r="AZ209" s="173">
        <f t="shared" si="601"/>
        <v>23.677379850844364</v>
      </c>
      <c r="BA209" s="460">
        <f t="shared" si="594"/>
        <v>40.567653880380128</v>
      </c>
      <c r="BB209" s="5">
        <f t="shared" si="595"/>
        <v>12.329959615850012</v>
      </c>
      <c r="BD209" s="173">
        <f t="shared" si="602"/>
        <v>3.9683483635520007</v>
      </c>
      <c r="BE209" s="173">
        <f t="shared" si="598"/>
        <v>1.9650693432335526</v>
      </c>
      <c r="BG209" s="528">
        <f t="shared" si="480"/>
        <v>0.62991154938023375</v>
      </c>
      <c r="BH209" s="528">
        <f t="shared" si="524"/>
        <v>0.31694344392273405</v>
      </c>
      <c r="BI209" s="528">
        <f t="shared" si="525"/>
        <v>2.282385605074343E-2</v>
      </c>
      <c r="BJ209" s="528">
        <f t="shared" si="481"/>
        <v>7.2285578756175395E-3</v>
      </c>
      <c r="BK209">
        <f t="shared" si="482"/>
        <v>3.9170264320612536E-3</v>
      </c>
      <c r="BL209" s="460">
        <f t="shared" si="588"/>
        <v>26.740882482804686</v>
      </c>
      <c r="BM209" s="528">
        <f t="shared" si="526"/>
        <v>1.3220228410921049</v>
      </c>
      <c r="BN209" s="460">
        <f t="shared" si="527"/>
        <v>1322.022841092105</v>
      </c>
      <c r="BO209" s="528">
        <f t="shared" si="483"/>
        <v>0.69299999999999995</v>
      </c>
      <c r="BR209" s="460">
        <f t="shared" si="484"/>
        <v>693</v>
      </c>
      <c r="BS209" s="528">
        <f t="shared" si="485"/>
        <v>0.47243366203517528</v>
      </c>
      <c r="BT209" s="528">
        <f t="shared" si="486"/>
        <v>0.11584492571149037</v>
      </c>
      <c r="BU209" s="528">
        <f t="shared" si="487"/>
        <v>0.3729773193053641</v>
      </c>
      <c r="BV209" s="528"/>
      <c r="BW209" s="528">
        <f t="shared" si="488"/>
        <v>0.9607599501028069</v>
      </c>
      <c r="BX209" s="460">
        <f t="shared" si="489"/>
        <v>1922.0158571548366</v>
      </c>
      <c r="BY209" s="173">
        <f t="shared" si="490"/>
        <v>3.5958402908162266</v>
      </c>
      <c r="BZ209" s="5">
        <f t="shared" si="491"/>
        <v>23.759999999999998</v>
      </c>
      <c r="CA209" s="173">
        <f t="shared" si="492"/>
        <v>0.86855310410539988</v>
      </c>
      <c r="CB209" s="5">
        <f t="shared" si="493"/>
        <v>86.855310410539985</v>
      </c>
      <c r="CE209" s="562">
        <f t="shared" si="528"/>
        <v>-50</v>
      </c>
      <c r="CF209">
        <f t="shared" si="529"/>
        <v>-50</v>
      </c>
      <c r="CG209" s="173">
        <f t="shared" si="530"/>
        <v>0.35160463589326241</v>
      </c>
      <c r="CI209" s="170">
        <v>99</v>
      </c>
      <c r="CJ209" s="217">
        <f t="shared" si="589"/>
        <v>0.99</v>
      </c>
      <c r="CK209" s="217"/>
      <c r="CL209" s="217">
        <f t="shared" si="531"/>
        <v>23.759999999999998</v>
      </c>
      <c r="CM209" s="541">
        <f t="shared" si="532"/>
        <v>9</v>
      </c>
      <c r="CN209" s="443">
        <f t="shared" si="533"/>
        <v>16.3415</v>
      </c>
      <c r="CO209" s="443">
        <f t="shared" si="534"/>
        <v>25.3415</v>
      </c>
      <c r="CP209" s="443"/>
      <c r="CQ209" s="217">
        <f t="shared" si="535"/>
        <v>0.64485133082098534</v>
      </c>
      <c r="CR209" s="172">
        <f t="shared" si="590"/>
        <v>32.320915977744015</v>
      </c>
      <c r="CS209" s="172">
        <f t="shared" si="536"/>
        <v>23.759999999999998</v>
      </c>
      <c r="CT209" s="217">
        <f t="shared" si="537"/>
        <v>1.3467048324060007</v>
      </c>
      <c r="CU209" s="217">
        <f t="shared" si="538"/>
        <v>24</v>
      </c>
      <c r="CV209" s="217"/>
      <c r="CW209" s="172">
        <f t="shared" si="539"/>
        <v>37.19079644517619</v>
      </c>
      <c r="CX209" s="536">
        <f t="shared" si="540"/>
        <v>24</v>
      </c>
      <c r="CY209" s="217">
        <f t="shared" si="541"/>
        <v>8.1879337882079355</v>
      </c>
      <c r="CZ209" s="217">
        <f t="shared" si="542"/>
        <v>9.0977042091199287</v>
      </c>
      <c r="DA209" s="217">
        <f t="shared" si="543"/>
        <v>5.0105154289434486</v>
      </c>
      <c r="DB209" s="197">
        <f t="shared" si="544"/>
        <v>261.16478898249903</v>
      </c>
      <c r="DC209" s="443">
        <f t="shared" si="545"/>
        <v>70.880665715044756</v>
      </c>
      <c r="DE209" s="217">
        <f t="shared" si="546"/>
        <v>2.2222222222222223</v>
      </c>
      <c r="DF209" s="173">
        <f t="shared" si="547"/>
        <v>1.3598642855443031</v>
      </c>
      <c r="DG209" s="173">
        <f t="shared" si="548"/>
        <v>0.26320462482489204</v>
      </c>
      <c r="DH209" s="173"/>
      <c r="DI209" s="173">
        <f t="shared" si="549"/>
        <v>1.3598642855443031</v>
      </c>
      <c r="DJ209" s="545">
        <f t="shared" si="550"/>
        <v>982.32749999999965</v>
      </c>
      <c r="DK209" s="528">
        <f t="shared" si="551"/>
        <v>0.26320462482489204</v>
      </c>
      <c r="DM209" s="173">
        <f t="shared" si="552"/>
        <v>3.7229020937972566</v>
      </c>
      <c r="DN209" s="173">
        <f t="shared" si="553"/>
        <v>8.1879337882079355</v>
      </c>
      <c r="DO209" s="173">
        <f t="shared" si="554"/>
        <v>5.619045604433861</v>
      </c>
      <c r="DQ209" s="545">
        <f t="shared" si="555"/>
        <v>990</v>
      </c>
      <c r="DR209" s="460">
        <f t="shared" si="556"/>
        <v>70.880665715044756</v>
      </c>
      <c r="DT209">
        <f t="shared" si="591"/>
        <v>990</v>
      </c>
      <c r="DU209">
        <f t="shared" si="592"/>
        <v>70.880665715044756</v>
      </c>
      <c r="DW209" s="5">
        <f t="shared" si="557"/>
        <v>14.108219638063378</v>
      </c>
      <c r="DX209" s="5">
        <f t="shared" si="558"/>
        <v>9.0977042091199287</v>
      </c>
      <c r="DY209" s="5">
        <f t="shared" si="559"/>
        <v>5.0105154289434495</v>
      </c>
      <c r="DZ209" s="5"/>
      <c r="EA209" s="173">
        <f t="shared" si="560"/>
        <v>0.64485133082098534</v>
      </c>
      <c r="EB209" s="173">
        <f t="shared" si="561"/>
        <v>23.759999999999998</v>
      </c>
      <c r="EC209" s="173">
        <f t="shared" si="562"/>
        <v>0.96979591836734691</v>
      </c>
      <c r="ED209" s="173">
        <f t="shared" si="563"/>
        <v>24.5</v>
      </c>
      <c r="EE209" s="460">
        <f t="shared" si="564"/>
        <v>37.528029862619711</v>
      </c>
      <c r="EF209" s="5">
        <f t="shared" si="565"/>
        <v>11.023133943675585</v>
      </c>
      <c r="EH209" s="173">
        <f t="shared" si="566"/>
        <v>3.7961511386200057</v>
      </c>
      <c r="EI209" s="173">
        <f t="shared" si="567"/>
        <v>1.879077206154361</v>
      </c>
      <c r="EK209" s="528">
        <f t="shared" si="568"/>
        <v>0.57643053868983862</v>
      </c>
      <c r="EL209" s="528">
        <f t="shared" si="569"/>
        <v>0.404452125</v>
      </c>
      <c r="EM209" s="528">
        <f t="shared" si="570"/>
        <v>1.4176133143008951E-2</v>
      </c>
      <c r="EN209" s="528">
        <f t="shared" si="571"/>
        <v>7.9658196977982956E-3</v>
      </c>
      <c r="EO209">
        <f t="shared" si="572"/>
        <v>4.0499999999999998E-3</v>
      </c>
      <c r="EP209" s="460">
        <f t="shared" si="573"/>
        <v>18.226133143008951</v>
      </c>
      <c r="EQ209" s="460"/>
      <c r="ER209" s="460">
        <f t="shared" si="593"/>
        <v>1007.0746165306459</v>
      </c>
      <c r="ES209" s="528">
        <f t="shared" si="574"/>
        <v>0.69299999999999995</v>
      </c>
      <c r="EV209" s="460">
        <f t="shared" si="494"/>
        <v>693</v>
      </c>
      <c r="EW209" s="528">
        <f t="shared" si="575"/>
        <v>0.43232290401737894</v>
      </c>
      <c r="EX209" s="528">
        <f t="shared" si="576"/>
        <v>0.10592793440066636</v>
      </c>
      <c r="EY209" s="528">
        <f t="shared" si="577"/>
        <v>0.40571893711760981</v>
      </c>
      <c r="EZ209" s="528"/>
      <c r="FA209" s="528">
        <f t="shared" si="578"/>
        <v>0.95039999999999991</v>
      </c>
      <c r="FB209" s="460">
        <f t="shared" si="579"/>
        <v>1894.369775535655</v>
      </c>
      <c r="FC209" s="173">
        <f t="shared" si="580"/>
        <v>3.5944443920663014</v>
      </c>
      <c r="FD209" s="5">
        <f t="shared" si="581"/>
        <v>23.759999999999998</v>
      </c>
      <c r="FE209" s="173">
        <f t="shared" si="582"/>
        <v>0.86859742641642501</v>
      </c>
      <c r="FF209" s="5">
        <f t="shared" si="583"/>
        <v>86.859742641642498</v>
      </c>
      <c r="FI209" s="562">
        <f t="shared" si="584"/>
        <v>-50</v>
      </c>
      <c r="FJ209">
        <f t="shared" si="585"/>
        <v>-50</v>
      </c>
      <c r="FL209">
        <f t="shared" si="586"/>
        <v>0.35514866917901466</v>
      </c>
    </row>
    <row r="210" spans="5:168">
      <c r="E210" s="170">
        <v>100</v>
      </c>
      <c r="F210" s="217">
        <f>IF(PLOT_TYPE=1, E210/100*Iout_max, min_I*EXP(N210*rr/100))</f>
        <v>1</v>
      </c>
      <c r="G210" s="217"/>
      <c r="H210" s="217">
        <f>F210*Vout</f>
        <v>24</v>
      </c>
      <c r="I210" s="541">
        <f t="shared" si="496"/>
        <v>8.7015484487342789</v>
      </c>
      <c r="J210" s="172">
        <f t="shared" si="497"/>
        <v>16.398404776653308</v>
      </c>
      <c r="K210" s="172">
        <f t="shared" si="498"/>
        <v>25.099953225387587</v>
      </c>
      <c r="L210" s="443"/>
      <c r="M210" s="217">
        <f>(Vout+Vfwd1+F210/FL210*Rdcr_sec)*Nps/((Vout+Vfwd1+F210/FL210*Rdcr_sec)*Nps+I210)</f>
        <v>0.65331635212738448</v>
      </c>
      <c r="N210" s="172">
        <f>M210*I210*(Isw_max+VIN_min/Lmag*ILIM_delay)*0.5*Efficiency</f>
        <v>31.659322831335665</v>
      </c>
      <c r="O210" s="172">
        <f t="shared" si="599"/>
        <v>24</v>
      </c>
      <c r="P210" s="217">
        <f>N210/Vout</f>
        <v>1.3191384513056528</v>
      </c>
      <c r="Q210" s="217">
        <f t="shared" si="502"/>
        <v>24</v>
      </c>
      <c r="R210" s="217"/>
      <c r="S210" s="172">
        <f t="shared" si="503"/>
        <v>35.477441327888229</v>
      </c>
      <c r="T210" s="536">
        <f>MIN(Vout, S210)</f>
        <v>24</v>
      </c>
      <c r="U210" s="217">
        <f>MIN(2*(Vout+Vfwd1+F210/FL210*Rdcr_sec)*F210/(I210*M210), Isw_max)</f>
        <v>8.6490977236023205</v>
      </c>
      <c r="V210" s="217">
        <f>L*U210/I210*1000000</f>
        <v>9.9397225385332568</v>
      </c>
      <c r="W210" s="217">
        <f t="shared" si="507"/>
        <v>5.2743531101977617</v>
      </c>
      <c r="X210" s="197">
        <f t="shared" si="508"/>
        <v>255.82191553948772</v>
      </c>
      <c r="Y210" s="443">
        <f>MIN(1/(V210+W210+0.2)*1000, 350)</f>
        <v>64.875768277569478</v>
      </c>
      <c r="AA210" s="217">
        <f t="shared" si="510"/>
        <v>2.2222222222222223</v>
      </c>
      <c r="AB210" s="173">
        <f>L*AA210/J210*1000000</f>
        <v>1.3551453647406233</v>
      </c>
      <c r="AC210" s="173">
        <f>0.5*AB210*AA210*Nps*X210/1000</f>
        <v>0.25692534887698165</v>
      </c>
      <c r="AD210" s="173"/>
      <c r="AE210" s="173">
        <f t="shared" si="513"/>
        <v>1.3551453647406233</v>
      </c>
      <c r="AF210" s="545">
        <f>MAX(12000,F210/(0.5*AE210/1000000*Isw_min*Nps))/1000</f>
        <v>995.70523756290663</v>
      </c>
      <c r="AG210" s="528">
        <f t="shared" si="515"/>
        <v>0.25692534887698171</v>
      </c>
      <c r="AI210" s="173">
        <f t="shared" si="516"/>
        <v>3.7481663713437339</v>
      </c>
      <c r="AJ210" s="173">
        <f>MAX(IF(F210&gt;AC210,U210,AI210),Isw_min)</f>
        <v>8.6490977236023205</v>
      </c>
      <c r="AK210" s="173">
        <f>IF(F210&gt;AG210, (AJ210-Isw_min)/1.08*0.8+1.2, AF210*0.2/350+1)</f>
        <v>5.9606485195408139</v>
      </c>
      <c r="AM210" s="545">
        <f t="shared" si="519"/>
        <v>1000</v>
      </c>
      <c r="AN210" s="460">
        <f t="shared" si="520"/>
        <v>64.875768277569478</v>
      </c>
      <c r="AP210">
        <f t="shared" si="521"/>
        <v>1000</v>
      </c>
      <c r="AQ210">
        <f t="shared" si="522"/>
        <v>64.875768277569478</v>
      </c>
      <c r="AS210" s="5">
        <f t="shared" si="600"/>
        <v>15.41407564873102</v>
      </c>
      <c r="AT210" s="5">
        <f t="shared" si="523"/>
        <v>9.9397225385332568</v>
      </c>
      <c r="AU210" s="5">
        <f t="shared" si="478"/>
        <v>5.4743531101977627</v>
      </c>
      <c r="AV210" s="5"/>
      <c r="AW210" s="173">
        <f t="shared" si="479"/>
        <v>0.6448471361532182</v>
      </c>
      <c r="AX210" s="173">
        <f t="shared" si="596"/>
        <v>24.26577277067581</v>
      </c>
      <c r="AY210" s="173">
        <f t="shared" si="597"/>
        <v>1.0244292340470531</v>
      </c>
      <c r="AZ210" s="173">
        <f t="shared" si="601"/>
        <v>23.687114701727907</v>
      </c>
      <c r="BA210" s="460">
        <f t="shared" si="594"/>
        <v>41.415510577221902</v>
      </c>
      <c r="BB210" s="5">
        <f t="shared" si="595"/>
        <v>12.582480330829066</v>
      </c>
      <c r="BD210" s="173">
        <f t="shared" si="602"/>
        <v>4.0099463714087493</v>
      </c>
      <c r="BE210" s="173">
        <f t="shared" si="598"/>
        <v>1.9849230324250895</v>
      </c>
      <c r="BG210" s="528">
        <f t="shared" si="480"/>
        <v>0.6431867960629678</v>
      </c>
      <c r="BH210" s="528">
        <f t="shared" si="524"/>
        <v>0.31689015599499659</v>
      </c>
      <c r="BI210" s="528">
        <f t="shared" si="525"/>
        <v>2.2580785632645168E-2</v>
      </c>
      <c r="BJ210" s="528">
        <f t="shared" si="481"/>
        <v>7.152640326796981E-3</v>
      </c>
      <c r="BK210">
        <f t="shared" si="482"/>
        <v>3.9156968019304255E-3</v>
      </c>
      <c r="BL210" s="460">
        <f t="shared" si="588"/>
        <v>26.496482434575594</v>
      </c>
      <c r="BM210" s="528">
        <f t="shared" si="526"/>
        <v>1.3466932884580907</v>
      </c>
      <c r="BN210" s="460">
        <f t="shared" si="527"/>
        <v>1346.6932884580906</v>
      </c>
      <c r="BO210" s="528">
        <f t="shared" si="483"/>
        <v>0.7</v>
      </c>
      <c r="BR210" s="460">
        <f t="shared" si="484"/>
        <v>700</v>
      </c>
      <c r="BS210" s="528">
        <f t="shared" si="485"/>
        <v>0.48239009704722585</v>
      </c>
      <c r="BT210" s="528">
        <f t="shared" si="486"/>
        <v>0.11819758333954838</v>
      </c>
      <c r="BU210" s="528">
        <f t="shared" si="487"/>
        <v>0.37290937300538007</v>
      </c>
      <c r="BV210" s="528"/>
      <c r="BW210" s="528">
        <f t="shared" si="488"/>
        <v>0.97063091082703234</v>
      </c>
      <c r="BX210" s="460">
        <f t="shared" si="489"/>
        <v>1944.1279642191867</v>
      </c>
      <c r="BY210" s="173">
        <f t="shared" si="490"/>
        <v>3.6378540390385234</v>
      </c>
      <c r="BZ210" s="5">
        <f t="shared" si="491"/>
        <v>24</v>
      </c>
      <c r="CA210" s="173">
        <f t="shared" si="492"/>
        <v>0.86837422203981374</v>
      </c>
      <c r="CB210" s="5">
        <f t="shared" si="493"/>
        <v>86.837422203981376</v>
      </c>
      <c r="CE210" s="562">
        <f t="shared" si="528"/>
        <v>-50</v>
      </c>
      <c r="CF210">
        <f t="shared" si="529"/>
        <v>-50</v>
      </c>
      <c r="CG210" s="173">
        <f t="shared" si="530"/>
        <v>0.35164007622611981</v>
      </c>
      <c r="CI210" s="170">
        <v>100</v>
      </c>
      <c r="CJ210" s="217">
        <f t="shared" si="589"/>
        <v>1</v>
      </c>
      <c r="CK210" s="217"/>
      <c r="CL210" s="217">
        <f t="shared" si="531"/>
        <v>24</v>
      </c>
      <c r="CM210" s="541">
        <f t="shared" si="532"/>
        <v>9</v>
      </c>
      <c r="CN210" s="443">
        <f t="shared" si="533"/>
        <v>16.3415</v>
      </c>
      <c r="CO210" s="443">
        <f t="shared" si="534"/>
        <v>25.3415</v>
      </c>
      <c r="CP210" s="443"/>
      <c r="CQ210" s="217">
        <f t="shared" si="535"/>
        <v>0.64485133082098534</v>
      </c>
      <c r="CR210" s="172">
        <f t="shared" si="590"/>
        <v>32.320915977744015</v>
      </c>
      <c r="CS210" s="172">
        <f t="shared" si="536"/>
        <v>24</v>
      </c>
      <c r="CT210" s="217">
        <f t="shared" si="537"/>
        <v>1.3467048324060007</v>
      </c>
      <c r="CU210" s="217">
        <f t="shared" si="538"/>
        <v>24</v>
      </c>
      <c r="CV210" s="217"/>
      <c r="CW210" s="172">
        <f t="shared" si="539"/>
        <v>36.68816527524654</v>
      </c>
      <c r="CX210" s="536">
        <f t="shared" si="540"/>
        <v>24</v>
      </c>
      <c r="CY210" s="217">
        <f t="shared" si="541"/>
        <v>8.2706401901090274</v>
      </c>
      <c r="CZ210" s="217">
        <f t="shared" si="542"/>
        <v>9.1896002112322535</v>
      </c>
      <c r="DA210" s="217">
        <f t="shared" si="543"/>
        <v>5.0611266959024741</v>
      </c>
      <c r="DB210" s="197">
        <f t="shared" si="544"/>
        <v>261.16478898249903</v>
      </c>
      <c r="DC210" s="443">
        <f t="shared" si="545"/>
        <v>70.171859057894309</v>
      </c>
      <c r="DE210" s="217">
        <f t="shared" si="546"/>
        <v>2.2222222222222223</v>
      </c>
      <c r="DF210" s="173">
        <f t="shared" si="547"/>
        <v>1.3598642855443031</v>
      </c>
      <c r="DG210" s="173">
        <f t="shared" si="548"/>
        <v>0.26320462482489204</v>
      </c>
      <c r="DH210" s="173"/>
      <c r="DI210" s="173">
        <f t="shared" si="549"/>
        <v>1.3598642855443031</v>
      </c>
      <c r="DJ210" s="545">
        <f t="shared" si="550"/>
        <v>992.24999999999966</v>
      </c>
      <c r="DK210" s="528">
        <f t="shared" si="551"/>
        <v>0.26320462482489204</v>
      </c>
      <c r="DM210" s="173">
        <f t="shared" si="552"/>
        <v>3.7416573867739413</v>
      </c>
      <c r="DN210" s="173">
        <f t="shared" si="553"/>
        <v>8.2706401901090274</v>
      </c>
      <c r="DO210" s="173">
        <f t="shared" si="554"/>
        <v>5.6803096058420781</v>
      </c>
      <c r="DQ210" s="545">
        <f t="shared" si="555"/>
        <v>1000</v>
      </c>
      <c r="DR210" s="460">
        <f t="shared" si="556"/>
        <v>70.171859057894309</v>
      </c>
      <c r="DT210">
        <f>IF(CL210&gt;CR210, " ",DQ210)</f>
        <v>1000</v>
      </c>
      <c r="DU210">
        <f>IF(CL210&gt;CR210, " ",DR210)</f>
        <v>70.171859057894309</v>
      </c>
      <c r="DW210" s="5">
        <f t="shared" si="557"/>
        <v>14.250726907134725</v>
      </c>
      <c r="DX210" s="5">
        <f t="shared" si="558"/>
        <v>9.1896002112322535</v>
      </c>
      <c r="DY210" s="5">
        <f t="shared" si="559"/>
        <v>5.0611266959024714</v>
      </c>
      <c r="DZ210" s="5"/>
      <c r="EA210" s="173">
        <f t="shared" si="560"/>
        <v>0.64485133082098545</v>
      </c>
      <c r="EB210" s="173">
        <f t="shared" si="561"/>
        <v>24.000000000000004</v>
      </c>
      <c r="EC210" s="173">
        <f t="shared" si="562"/>
        <v>0.97959183673469363</v>
      </c>
      <c r="ED210" s="173">
        <f t="shared" si="563"/>
        <v>24.500000000000011</v>
      </c>
      <c r="EE210" s="460">
        <f t="shared" si="564"/>
        <v>38.290000880134386</v>
      </c>
      <c r="EF210" s="5">
        <f t="shared" si="565"/>
        <v>11.246948213116601</v>
      </c>
      <c r="EH210" s="173">
        <f t="shared" si="566"/>
        <v>3.8344960996161679</v>
      </c>
      <c r="EI210" s="173">
        <f t="shared" si="567"/>
        <v>1.898057783994304</v>
      </c>
      <c r="EK210" s="528">
        <f t="shared" si="568"/>
        <v>0.5881344135188642</v>
      </c>
      <c r="EL210" s="528">
        <f t="shared" si="569"/>
        <v>0.40445212500000005</v>
      </c>
      <c r="EM210" s="528">
        <f t="shared" si="570"/>
        <v>1.4034371811578862E-2</v>
      </c>
      <c r="EN210" s="528">
        <f t="shared" si="571"/>
        <v>7.8861615008203132E-3</v>
      </c>
      <c r="EO210">
        <f t="shared" si="572"/>
        <v>4.0499999999999998E-3</v>
      </c>
      <c r="EP210" s="460">
        <f t="shared" si="573"/>
        <v>18.084371811578862</v>
      </c>
      <c r="EQ210" s="460"/>
      <c r="ER210" s="460">
        <f t="shared" si="593"/>
        <v>1018.5570718312636</v>
      </c>
      <c r="ES210" s="528">
        <f t="shared" si="574"/>
        <v>0.7</v>
      </c>
      <c r="EV210" s="460">
        <f t="shared" si="494"/>
        <v>700</v>
      </c>
      <c r="EW210" s="528">
        <f t="shared" si="575"/>
        <v>0.44110081013914809</v>
      </c>
      <c r="EX210" s="528">
        <f t="shared" si="576"/>
        <v>0.10807870054144103</v>
      </c>
      <c r="EY210" s="528">
        <f t="shared" si="577"/>
        <v>0.40571893711760948</v>
      </c>
      <c r="EZ210" s="528"/>
      <c r="FA210" s="528">
        <f t="shared" si="578"/>
        <v>0.96000000000000019</v>
      </c>
      <c r="FB210" s="460">
        <f t="shared" si="579"/>
        <v>1914.8984477981987</v>
      </c>
      <c r="FC210" s="173">
        <f t="shared" si="580"/>
        <v>3.6334555196294627</v>
      </c>
      <c r="FD210" s="5">
        <f t="shared" si="581"/>
        <v>24</v>
      </c>
      <c r="FE210" s="173">
        <f t="shared" si="582"/>
        <v>0.86851244437929831</v>
      </c>
      <c r="FF210" s="5">
        <f t="shared" si="583"/>
        <v>86.851244437929836</v>
      </c>
      <c r="FI210" s="562">
        <f t="shared" si="584"/>
        <v>-50</v>
      </c>
      <c r="FJ210">
        <f t="shared" si="585"/>
        <v>-50</v>
      </c>
      <c r="FL210">
        <f t="shared" si="586"/>
        <v>0.35514866917901455</v>
      </c>
    </row>
    <row r="211" spans="5:168" ht="13">
      <c r="E211" s="170"/>
      <c r="F211" s="217"/>
      <c r="G211" s="217"/>
      <c r="H211" s="217"/>
      <c r="I211" s="541"/>
      <c r="J211" s="443"/>
      <c r="K211" s="443"/>
      <c r="L211" s="443"/>
      <c r="M211" s="217"/>
      <c r="N211" s="172"/>
      <c r="O211" s="172"/>
      <c r="P211" s="217"/>
      <c r="Q211" s="217"/>
      <c r="R211" s="217"/>
      <c r="S211" s="172"/>
      <c r="T211" s="536"/>
      <c r="U211" s="217"/>
      <c r="V211" s="217"/>
      <c r="W211" s="217"/>
      <c r="X211" s="197"/>
      <c r="Y211" s="443"/>
      <c r="AA211" s="217"/>
      <c r="AB211" s="173"/>
      <c r="AC211" s="173"/>
      <c r="AD211" s="173"/>
      <c r="AE211" s="173"/>
      <c r="AF211" s="545"/>
      <c r="AG211" s="528"/>
      <c r="AI211" s="173"/>
      <c r="AJ211" s="173"/>
      <c r="AK211" s="173"/>
      <c r="AM211" s="545"/>
      <c r="AN211" s="460"/>
      <c r="AS211" s="5"/>
      <c r="AT211" s="5"/>
      <c r="AU211" s="5"/>
      <c r="AV211" s="5"/>
      <c r="AW211" s="173"/>
      <c r="AX211" s="173"/>
      <c r="BA211" s="460"/>
      <c r="BB211" s="5"/>
      <c r="CE211" s="562"/>
      <c r="CF211" s="530">
        <f>MAX(CF110:CF210)</f>
        <v>-50</v>
      </c>
      <c r="CH211" s="76"/>
      <c r="CI211" s="170"/>
      <c r="CJ211" s="217"/>
      <c r="CK211" s="217"/>
      <c r="CL211" s="217"/>
      <c r="CM211" s="541"/>
      <c r="CN211" s="443"/>
      <c r="CO211" s="443"/>
      <c r="CP211" s="443"/>
      <c r="CQ211" s="217"/>
      <c r="CR211" s="172"/>
      <c r="CS211" s="172"/>
      <c r="CT211" s="217"/>
      <c r="CU211" s="217"/>
      <c r="CV211" s="217"/>
      <c r="CW211" s="172"/>
      <c r="CX211" s="536"/>
      <c r="CY211" s="217"/>
      <c r="CZ211" s="217"/>
      <c r="DA211" s="217"/>
      <c r="DB211" s="197"/>
      <c r="DC211" s="443"/>
      <c r="DE211" s="217"/>
      <c r="DF211" s="173"/>
      <c r="DG211" s="173"/>
      <c r="DH211" s="173"/>
      <c r="DI211" s="173"/>
      <c r="DJ211" s="545"/>
      <c r="DK211" s="528"/>
      <c r="DM211" s="173"/>
      <c r="DN211" s="173"/>
      <c r="DO211" s="173"/>
      <c r="DQ211" s="545"/>
      <c r="DR211" s="460"/>
      <c r="DW211" s="5"/>
      <c r="DX211" s="5"/>
      <c r="DY211" s="5"/>
      <c r="DZ211" s="5"/>
      <c r="EA211" s="173"/>
      <c r="EB211" s="173"/>
      <c r="EE211" s="460"/>
      <c r="EF211" s="5"/>
      <c r="FI211" s="562"/>
    </row>
    <row r="212" spans="5:168">
      <c r="E212" s="170">
        <v>110</v>
      </c>
      <c r="F212" s="217">
        <f>Ioutmax_Vinmin</f>
        <v>1.3467028212786933</v>
      </c>
      <c r="G212" s="217"/>
      <c r="H212" s="217">
        <f>F212*Vout</f>
        <v>32.320867710688638</v>
      </c>
      <c r="I212" s="541">
        <f>VIN_min-F212*(Rdcr_pri+RON/1000)/CG212/Nps</f>
        <v>8.5980744538954514</v>
      </c>
      <c r="J212" s="172">
        <f>(T212+Vfwd1+F212/CG212*Rdcr_sec)*Nps</f>
        <v>15.654391049898239</v>
      </c>
      <c r="K212" s="172">
        <f>(Vout+Vfwd1+F212/CG212*Rdcr_sec)*Nps++I212</f>
        <v>25.016208277158697</v>
      </c>
      <c r="L212" s="443"/>
      <c r="M212" s="217">
        <f>(Vout+Vfwd1+F212/FL212*Rdcr_sec)*Nps/((Vout+Vfwd1+F212/FL212*Rdcr_sec)*Nps+I212)</f>
        <v>0.65628945138596473</v>
      </c>
      <c r="N212" s="172">
        <f>M212*I212*(Isw_max+VIN_min/Lmag*ILIM_delay)*0.5*Efficiency</f>
        <v>31.425209069160488</v>
      </c>
      <c r="O212" s="172">
        <f>T212*F212</f>
        <v>30.778836904658849</v>
      </c>
      <c r="P212" s="217">
        <f>N212/Vout</f>
        <v>1.3093837112150204</v>
      </c>
      <c r="Q212" s="217">
        <f>MIN(Vout,N212/F212)</f>
        <v>23.33492480495606</v>
      </c>
      <c r="R212" s="217"/>
      <c r="S212" s="172">
        <f>(SQRT(Isw_max^2*Nps^2*I212^2+4*Isw_max*F212/Efficiency*(Nps^2*Vfwd1*I212-Nps*I212^2)+4*(F212/Efficiency)^2*Nps^2*Vfwd1^2+8*(F212/Efficiency)^2*Nps*Vfwd1*I212+4*(F212/Efficiency)^2*I212^2)-2*F212/Efficiency*I212-2*F212/Efficiency*Nps*Vfwd1+Isw_max*Nps*I212)/(4*F212/Efficiency*Nps)</f>
        <v>22.854958360772102</v>
      </c>
      <c r="T212" s="536">
        <f>MIN(Vout, S212)</f>
        <v>22.854958360772102</v>
      </c>
      <c r="U212" s="217">
        <f>MIN(2*(Vout+Vfwd1+F212/FL212*Rdcr_sec)*F212/(I212*M212), Isw_max)</f>
        <v>11.111111111111111</v>
      </c>
      <c r="V212" s="217">
        <f>L*U212/I212*1000000</f>
        <v>12.922790062694911</v>
      </c>
      <c r="W212" s="217">
        <f>L*U212/J212*1000000</f>
        <v>7.0977600314790514</v>
      </c>
      <c r="X212" s="197">
        <f>IF(1/((350000*L)*(1/I212+1/J212))&gt;Isw_min, 350, 0.001/((Isw_min*L)*(1/I212+1/J212)))</f>
        <v>249.74338749338429</v>
      </c>
      <c r="Y212" s="443">
        <f>MIN(1/(V212+W212+0.2)*1000, 350)</f>
        <v>49.454638738444835</v>
      </c>
      <c r="AA212" s="217">
        <f>1/((X212*1000*L)*(1/I212+1/J212))</f>
        <v>2.2222222222222223</v>
      </c>
      <c r="AB212" s="173">
        <f>L*AA212/J212*1000000</f>
        <v>1.4195520062958107</v>
      </c>
      <c r="AC212" s="173">
        <f>0.5*AB212*AA212*Nps*X212/1000</f>
        <v>0.26274147306572848</v>
      </c>
      <c r="AD212" s="173"/>
      <c r="AE212" s="173">
        <f>L*Isw_min/J212*1000000</f>
        <v>1.4195520062958107</v>
      </c>
      <c r="AF212" s="545">
        <f>MAX(12000,F212/(0.5*AE212/1000000*Isw_min*Nps))/1000</f>
        <v>1280.0800749446237</v>
      </c>
      <c r="AG212" s="528">
        <f>0.5*AE212/1000000*Isw_min*Nps*X212*1000</f>
        <v>0.26274147306572848</v>
      </c>
      <c r="AI212" s="173">
        <f>SQRT(F212/(0.5*L/J212*Fsw_DCM*Nps))</f>
        <v>4.2498346475888384</v>
      </c>
      <c r="AJ212" s="173">
        <f>MAX(IF(F212&gt;AC212,U212,AI212),Isw_min)</f>
        <v>11.111111111111111</v>
      </c>
      <c r="AK212" s="173">
        <f>IF(F212&gt;AG212, (AJ212-Isw_min)/1.08*0.8+1.2, AF212*0.2/350+1)</f>
        <v>7.7843621399176959</v>
      </c>
      <c r="AM212" s="545">
        <f>F212*1000</f>
        <v>1346.7028212786934</v>
      </c>
      <c r="AN212" s="460">
        <f>IF(F212&gt;AG212, Y212, AF212)</f>
        <v>49.454638738444835</v>
      </c>
      <c r="AP212" t="str">
        <f>IF(H212&gt;N212, "",AM212)</f>
        <v/>
      </c>
      <c r="AQ212" t="str">
        <f>IF(H212&gt;N212, "",AN212)</f>
        <v/>
      </c>
      <c r="AS212" s="5">
        <f>1/AN212*1000</f>
        <v>20.220550094173966</v>
      </c>
      <c r="AT212" s="5">
        <f>L*AJ212/I212*1000000</f>
        <v>12.922790062694911</v>
      </c>
      <c r="AU212" s="5">
        <f>AS212-AT212</f>
        <v>7.2977600314790543</v>
      </c>
      <c r="AV212" s="5"/>
      <c r="AW212" s="173">
        <f>AT212/AS212</f>
        <v>0.63909191404334165</v>
      </c>
      <c r="AX212" s="173">
        <f>0.5*L*AJ212^2*AN212*1000</f>
        <v>30.527554776817798</v>
      </c>
      <c r="AY212" s="173">
        <f>AJ212*Nps/2*(1-AW212)</f>
        <v>1.3373649629616173</v>
      </c>
      <c r="AZ212" s="173">
        <f>AX212/AY212</f>
        <v>22.826644649949564</v>
      </c>
      <c r="BA212" s="460">
        <f>F212*AT212/Vout_ripple*1000</f>
        <v>72.513157650931248</v>
      </c>
      <c r="BB212" s="5">
        <f>H212/Efficiency/I212*AU212/Vinripple1</f>
        <v>22.8607325421684</v>
      </c>
      <c r="BD212" s="173">
        <f>AJ212*SQRT(AW212/3)</f>
        <v>5.1283602415602303</v>
      </c>
      <c r="BE212" s="173">
        <f>AJ212*Nps*SQRT((1-AW212)/3)</f>
        <v>2.5705200947947664</v>
      </c>
      <c r="BG212" s="528">
        <f>Rdson*BD212^2</f>
        <v>1.0520031506886283</v>
      </c>
      <c r="BH212" s="528">
        <f>0.5*K212*AJ212*AN212*1000*Tfall</f>
        <v>0.3092918857381442</v>
      </c>
      <c r="BI212" s="528">
        <f>Qg*Vdd*AN212*1000*0+Qg*I212*AN212*1000</f>
        <v>1.7008586638546038E-2</v>
      </c>
      <c r="BJ212" s="528">
        <f>0.5*(Coss+Csw)*K212^2*AN212*1000</f>
        <v>5.4161171624424083E-3</v>
      </c>
      <c r="BK212">
        <f>I212*IQ</f>
        <v>3.8691335042529531E-3</v>
      </c>
      <c r="BL212" s="460">
        <f>(BK212+BI212)*1000</f>
        <v>20.877720142798989</v>
      </c>
      <c r="BM212" s="528">
        <f>(BH212+BI212*0+BJ212+BK212*0+BG212*(1+RdsonTC*(Ta-25)))/(1-BG212*RdsonTC*ThetaJA)</f>
        <v>2.2008734036379392</v>
      </c>
      <c r="BN212" s="460">
        <f>BM212*1000</f>
        <v>2200.8734036379392</v>
      </c>
      <c r="BO212" s="528">
        <f>Vfwd2*F212</f>
        <v>0.94269197489508527</v>
      </c>
      <c r="BR212" s="460">
        <f>SUM(BO212:BQ212)*1000</f>
        <v>942.69197489508531</v>
      </c>
      <c r="BS212" s="528">
        <f>Rdcr_pri*BD212^2</f>
        <v>0.78900236301647109</v>
      </c>
      <c r="BT212" s="528">
        <f>Rdcr_sec*BE212^2</f>
        <v>0.19822720673231084</v>
      </c>
      <c r="BU212" s="528">
        <f>AJ212^2.5*AN212^2.5*k_core</f>
        <v>0.35390061313932814</v>
      </c>
      <c r="BV212" s="528"/>
      <c r="BW212" s="528">
        <f>0.5*Lleak*0.000000001*AJ212^2*AN212*1000</f>
        <v>1.221102191072712</v>
      </c>
      <c r="BX212" s="460">
        <f>SUM(BS212:BW212)*1000</f>
        <v>2562.2323739608223</v>
      </c>
      <c r="BY212" s="173">
        <f>SUM(BG212:BK212,BO212:BQ212,BS212:BW212)</f>
        <v>4.8925132225879215</v>
      </c>
      <c r="BZ212" s="5">
        <f>MIN(H212,O212)</f>
        <v>30.778836904658849</v>
      </c>
      <c r="CA212" s="173">
        <f>BZ212/(BZ212+BY212)</f>
        <v>0.86284474220528928</v>
      </c>
      <c r="CB212" s="5">
        <f>CA212*100</f>
        <v>86.284474220528935</v>
      </c>
      <c r="CE212" s="562">
        <f>IF(ABS(F212-Ioutmax_Vinmin)&lt;Iout/200, AN212, -50)</f>
        <v>49.454638738444835</v>
      </c>
      <c r="CF212">
        <f>IF(ABS(F212-Ioutmax_Vinmin)&lt;Iout/200, N212*CA212, -50)</f>
        <v>27.115076418027101</v>
      </c>
      <c r="CG212" s="173">
        <f>MIN(SQRT(2*DU212*1000*Ls1_*CL212)/CU212,1-EA212-0.00000005*DU212*1000)</f>
        <v>0.35164007622611981</v>
      </c>
      <c r="CI212" s="170">
        <v>100</v>
      </c>
      <c r="CJ212" s="217">
        <f>IF(PLOT_TYPE=1, CI212/100*Iout_max, min_I*EXP(CR212*rr/100))</f>
        <v>1</v>
      </c>
      <c r="CK212" s="217"/>
      <c r="CL212" s="217">
        <f>CJ212*Vout</f>
        <v>24</v>
      </c>
      <c r="CM212" s="541">
        <f t="shared" si="532"/>
        <v>9</v>
      </c>
      <c r="CN212" s="443">
        <f>(CX212+Vfwd1)*Nps</f>
        <v>16.3415</v>
      </c>
      <c r="CO212" s="443">
        <f>(Vout+Vfwd1)*Nps+CM212</f>
        <v>25.3415</v>
      </c>
      <c r="CP212" s="443"/>
      <c r="CQ212" s="217">
        <f>(Vout+Vfwd1)*Nps/((Vout+Vfwd1)*Nps+CM212)</f>
        <v>0.64485133082098534</v>
      </c>
      <c r="CR212" s="172">
        <f>CQ212*CM212*(Isw_max+VIN_min/Lmag*ILIM_delay)*0.5*Efficiency</f>
        <v>32.320915977744015</v>
      </c>
      <c r="CS212" s="172">
        <f>CX212*CJ212</f>
        <v>24</v>
      </c>
      <c r="CT212" s="217">
        <f>CR212/Vout</f>
        <v>1.3467048324060007</v>
      </c>
      <c r="CU212" s="217">
        <f>MIN(Vout,CR212/CJ212)</f>
        <v>24</v>
      </c>
      <c r="CV212" s="217"/>
      <c r="CW212" s="172">
        <f>(SQRT(Isw_max^2*Nps^2*CM212^2+4*Isw_max*CJ212/Efficiency*(Nps^2*Vfwd1*CM212-Nps*CM212^2)+4*(CJ212/Efficiency)^2*Nps^2*Vfwd1^2+8*(CJ212/Efficiency)^2*Nps*Vfwd1*CM212+4*(CJ212/Efficiency)^2*CM212^2)-2*CJ212/Efficiency*CM212-2*CJ212/Efficiency*Nps*Vfwd1+Isw_max*Nps*CM212)/(4*CJ212/Efficiency*Nps)</f>
        <v>36.68816527524654</v>
      </c>
      <c r="CX212" s="536">
        <f>MIN(Vout, CW212)</f>
        <v>24</v>
      </c>
      <c r="CY212" s="217">
        <f>MIN(2*Vout*CJ212/(Efficiency*CM212*CQ212), Isw_max)</f>
        <v>8.2706401901090274</v>
      </c>
      <c r="CZ212" s="217">
        <f>L*CY212/CM212*1000000</f>
        <v>9.1896002112322535</v>
      </c>
      <c r="DA212" s="217">
        <f>L*CY212/CN212*1000000</f>
        <v>5.0611266959024741</v>
      </c>
      <c r="DB212" s="197">
        <f>IF(1/((350000*L)*(1/CM212+1/CN212))&gt;Isw_min, 350, 0.001/((Isw_min*L)*(1/CM212+1/CN212)))</f>
        <v>261.16478898249903</v>
      </c>
      <c r="DC212" s="443">
        <f>MIN(1/(CZ212+DA212)*1000, 350)</f>
        <v>70.171859057894309</v>
      </c>
      <c r="DE212" s="217">
        <f>1/((DB212*1000*L)*(1/CM212+1/CN212))</f>
        <v>2.2222222222222223</v>
      </c>
      <c r="DF212" s="173">
        <f>L*DE212/CN212*1000000</f>
        <v>1.3598642855443031</v>
      </c>
      <c r="DG212" s="173">
        <f>0.5*DF212*DE212*Nps*DB212/1000</f>
        <v>0.26320462482489204</v>
      </c>
      <c r="DH212" s="173"/>
      <c r="DI212" s="173">
        <f>L*Isw_min/CN212*1000000</f>
        <v>1.3598642855443031</v>
      </c>
      <c r="DJ212" s="545">
        <f>MAX(12000,CJ212/(0.5*DI212/1000000*Isw_min*Nps))/1000</f>
        <v>992.24999999999966</v>
      </c>
      <c r="DK212" s="528">
        <f>0.5*DI212/1000000*Isw_min*Nps*DB212*1000</f>
        <v>0.26320462482489204</v>
      </c>
      <c r="DM212" s="173">
        <f>SQRT(CJ212/(0.5*L/CN212*Fsw_DCM*Nps))</f>
        <v>3.7416573867739413</v>
      </c>
      <c r="DN212" s="173">
        <f>MAX(IF(CJ212&gt;DG212,CY212,DM212),Isw_min)</f>
        <v>8.2706401901090274</v>
      </c>
      <c r="DO212" s="173">
        <f>IF(CJ212&gt;DK212, (DN212-Isw_min)/1.08*0.8+1.2, DJ212*0.2/350+1)</f>
        <v>5.6803096058420781</v>
      </c>
      <c r="DQ212" s="545">
        <f>CJ212*1000</f>
        <v>1000</v>
      </c>
      <c r="DR212" s="460">
        <f>IF(CJ212&gt;DK212, DC212, DJ212)</f>
        <v>70.171859057894309</v>
      </c>
      <c r="DT212">
        <f>IF(CL212&gt;CR212, " ",DQ212)</f>
        <v>1000</v>
      </c>
      <c r="DU212">
        <f>IF(CL212&gt;CR212, " ",DR212)</f>
        <v>70.171859057894309</v>
      </c>
      <c r="DW212" s="5">
        <f>1/DR212*1000</f>
        <v>14.250726907134725</v>
      </c>
      <c r="DX212" s="5">
        <f>L*DN212/CM212*1000000</f>
        <v>9.1896002112322535</v>
      </c>
      <c r="DY212" s="5">
        <f>DW212-DX212</f>
        <v>5.0611266959024714</v>
      </c>
      <c r="DZ212" s="5"/>
      <c r="EA212" s="173">
        <f>DX212/DW212</f>
        <v>0.64485133082098545</v>
      </c>
      <c r="EB212" s="173">
        <f>0.5*L*DN212^2*DR212*1000</f>
        <v>24.000000000000004</v>
      </c>
      <c r="EC212" s="173">
        <f>DN212*Nps/2*(1-EA212)</f>
        <v>0.97959183673469363</v>
      </c>
      <c r="ED212" s="173">
        <f>EB212/EC212</f>
        <v>24.500000000000011</v>
      </c>
      <c r="EE212" s="460">
        <f>CJ212*DX212/Vout_ripple*1000</f>
        <v>38.290000880134386</v>
      </c>
      <c r="EF212" s="5">
        <f>CL212/Efficiency/CM212*DY212/Vinripple1</f>
        <v>11.246948213116601</v>
      </c>
      <c r="EH212" s="173">
        <f>DN212*SQRT(EA212/3)</f>
        <v>3.8344960996161679</v>
      </c>
      <c r="EI212" s="173">
        <f>DN212*Nps*SQRT((1-EA212)/3)</f>
        <v>1.898057783994304</v>
      </c>
      <c r="EK212" s="528">
        <f>Rdson*EH212^2</f>
        <v>0.5881344135188642</v>
      </c>
      <c r="EL212" s="528">
        <f>0.5*CO212*DN212*DR212*1000*Trise</f>
        <v>0.40445212500000005</v>
      </c>
      <c r="EM212" s="528">
        <f>Qg*Vdd*DR212*1000</f>
        <v>1.4034371811578862E-2</v>
      </c>
      <c r="EN212" s="528">
        <f>0.5*(Coss+Csw)*CO212^2*DR212*1000</f>
        <v>7.8861615008203132E-3</v>
      </c>
      <c r="EO212">
        <f>CM212*IQ</f>
        <v>4.0499999999999998E-3</v>
      </c>
      <c r="EP212" s="460">
        <f>(EO212+EM212)*1000</f>
        <v>18.084371811578862</v>
      </c>
      <c r="EQ212" s="460"/>
      <c r="ER212" s="460">
        <f>SUM(EK212:EO212)*1000</f>
        <v>1018.5570718312636</v>
      </c>
      <c r="ES212" s="528">
        <f>Vfwd2*CJ212</f>
        <v>0.7</v>
      </c>
      <c r="EV212" s="460">
        <f>SUM(ES212:EU212)*1000</f>
        <v>700</v>
      </c>
      <c r="EW212" s="528">
        <f>Rdcr_pri*EH212^2</f>
        <v>0.44110081013914809</v>
      </c>
      <c r="EX212" s="528">
        <f>Rdcr_sec*EI212^2</f>
        <v>0.10807870054144103</v>
      </c>
      <c r="EY212" s="528">
        <f>DN212^2.5*DR212^2.5*k_core</f>
        <v>0.40571893711760948</v>
      </c>
      <c r="EZ212" s="528"/>
      <c r="FA212" s="528">
        <f>0.5*Lleak*0.000000001*DN212^2*DR212*1000</f>
        <v>0.96000000000000019</v>
      </c>
      <c r="FB212" s="460">
        <f>SUM(EW212:FA212)*1000</f>
        <v>1914.8984477981987</v>
      </c>
      <c r="FC212" s="173">
        <f>SUM(EK212:EO212,ES212:EU212,EW212:FA212)</f>
        <v>3.6334555196294627</v>
      </c>
      <c r="FD212" s="5">
        <f>MIN(CL212,CS212)</f>
        <v>24</v>
      </c>
      <c r="FE212" s="173">
        <f>FD212/(FD212+FC212)</f>
        <v>0.86851244437929831</v>
      </c>
      <c r="FF212" s="5">
        <f>FE212*100</f>
        <v>86.851244437929836</v>
      </c>
      <c r="FI212" s="562">
        <f>IF(ABS(CJ212-Ioutmax_Vinmin)&lt;Iout/200, DR212, -50)</f>
        <v>-50</v>
      </c>
      <c r="FJ212">
        <f>IF(ABS(CJ212-Ioutmax_Vinmin)&lt;Iout/200, CR212*FE212, -50)</f>
        <v>-50</v>
      </c>
      <c r="FL212">
        <f>MIN(SQRT(2*L*DR212*1000*CJ212*(CX212+Vfwd1))/(Nps*(CX212+Vfwd1)), 1-EA212)</f>
        <v>0.35514866917901455</v>
      </c>
    </row>
    <row r="213" spans="5:168">
      <c r="H213" s="217"/>
      <c r="I213" s="541"/>
      <c r="J213" s="443"/>
      <c r="K213" s="443"/>
      <c r="L213" s="443"/>
      <c r="M213" s="217"/>
      <c r="N213" s="172"/>
      <c r="O213" s="172"/>
      <c r="P213" s="217"/>
      <c r="Q213" s="217"/>
      <c r="R213" s="217"/>
      <c r="S213" s="172"/>
      <c r="T213" s="172"/>
      <c r="U213" s="217"/>
      <c r="V213" s="217"/>
      <c r="W213" s="217"/>
      <c r="X213" s="197"/>
      <c r="Y213" s="443"/>
      <c r="AA213" s="217"/>
      <c r="AB213" s="173"/>
      <c r="AC213" s="173"/>
      <c r="AD213" s="173"/>
      <c r="AE213" s="173"/>
      <c r="AF213" s="545"/>
      <c r="AI213" s="173"/>
      <c r="AJ213" s="173"/>
      <c r="AK213" s="173"/>
      <c r="AM213" s="545"/>
      <c r="AN213" s="460"/>
      <c r="AS213" s="5"/>
      <c r="AT213" s="5"/>
      <c r="AU213" s="5"/>
      <c r="AV213" s="5"/>
      <c r="AW213" s="173"/>
      <c r="AX213" s="173"/>
      <c r="BA213" s="460"/>
      <c r="BB213" s="5"/>
      <c r="CE213" s="562"/>
      <c r="CL213" s="217"/>
      <c r="CM213" s="541"/>
      <c r="CN213" s="443"/>
      <c r="CO213" s="443"/>
      <c r="CP213" s="443"/>
      <c r="CQ213" s="217"/>
      <c r="CR213" s="172"/>
      <c r="CS213" s="172"/>
      <c r="CT213" s="217"/>
      <c r="CU213" s="217"/>
      <c r="CV213" s="217"/>
      <c r="CW213" s="172"/>
      <c r="CX213" s="172"/>
      <c r="CY213" s="217"/>
      <c r="CZ213" s="217"/>
      <c r="DA213" s="217"/>
      <c r="DB213" s="197"/>
      <c r="DC213" s="443"/>
      <c r="DE213" s="217"/>
      <c r="DF213" s="173"/>
      <c r="DG213" s="173"/>
      <c r="DH213" s="173"/>
      <c r="DI213" s="173"/>
      <c r="DJ213" s="545"/>
      <c r="DM213" s="173"/>
      <c r="DN213" s="173"/>
      <c r="DO213" s="173"/>
      <c r="DQ213" s="545"/>
      <c r="DR213" s="460"/>
      <c r="DW213" s="5"/>
      <c r="DX213" s="5"/>
      <c r="DY213" s="5"/>
      <c r="DZ213" s="5"/>
      <c r="EA213" s="173"/>
      <c r="EB213" s="173"/>
      <c r="EE213" s="460"/>
      <c r="EF213" s="5"/>
      <c r="FI213" s="562"/>
    </row>
    <row r="214" spans="5:168" ht="13">
      <c r="E214" s="445" t="s">
        <v>435</v>
      </c>
      <c r="H214" s="217"/>
      <c r="I214" s="541"/>
      <c r="J214" s="443"/>
      <c r="K214" s="443"/>
      <c r="L214" s="443"/>
      <c r="M214" s="217"/>
      <c r="N214" s="172"/>
      <c r="O214" s="172"/>
      <c r="P214" s="217"/>
      <c r="Q214" s="217"/>
      <c r="R214" s="217"/>
      <c r="S214" s="172"/>
      <c r="T214" s="172"/>
      <c r="U214" s="217"/>
      <c r="V214" s="217"/>
      <c r="W214" s="217"/>
      <c r="X214" s="197"/>
      <c r="Y214" s="443"/>
      <c r="AA214" s="217"/>
      <c r="AB214" s="173"/>
      <c r="AC214" s="173"/>
      <c r="AD214" s="173"/>
      <c r="AE214" s="173"/>
      <c r="AF214" s="545"/>
      <c r="AI214" s="173"/>
      <c r="AJ214" s="173"/>
      <c r="AK214" s="173"/>
      <c r="AM214" s="545"/>
      <c r="AN214" s="460"/>
      <c r="AS214" s="5"/>
      <c r="AT214" s="5"/>
      <c r="AU214" s="5"/>
      <c r="AV214" s="5"/>
      <c r="AW214" s="173"/>
      <c r="AX214" s="173"/>
      <c r="BA214" s="460"/>
      <c r="BB214" s="5"/>
      <c r="CE214" s="562"/>
      <c r="CI214" s="445" t="s">
        <v>435</v>
      </c>
      <c r="CL214" s="217"/>
      <c r="CM214" s="541"/>
      <c r="CN214" s="443"/>
      <c r="CO214" s="443"/>
      <c r="CP214" s="443"/>
      <c r="CQ214" s="217"/>
      <c r="CR214" s="172"/>
      <c r="CS214" s="172"/>
      <c r="CT214" s="217"/>
      <c r="CU214" s="217"/>
      <c r="CV214" s="217"/>
      <c r="CW214" s="172"/>
      <c r="CX214" s="172"/>
      <c r="CY214" s="217"/>
      <c r="CZ214" s="217"/>
      <c r="DA214" s="217"/>
      <c r="DB214" s="197"/>
      <c r="DC214" s="443"/>
      <c r="DE214" s="217"/>
      <c r="DF214" s="173"/>
      <c r="DG214" s="173"/>
      <c r="DH214" s="173"/>
      <c r="DI214" s="173"/>
      <c r="DJ214" s="545"/>
      <c r="DM214" s="173"/>
      <c r="DN214" s="173"/>
      <c r="DO214" s="173"/>
      <c r="DQ214" s="545"/>
      <c r="DR214" s="460"/>
      <c r="DW214" s="5"/>
      <c r="DX214" s="5"/>
      <c r="DY214" s="5"/>
      <c r="DZ214" s="5"/>
      <c r="EA214" s="173"/>
      <c r="EB214" s="173"/>
      <c r="EE214" s="460"/>
      <c r="EF214" s="5"/>
      <c r="FI214" s="562"/>
    </row>
    <row r="215" spans="5:168" ht="45" customHeight="1" thickBot="1">
      <c r="E215" s="241" t="s">
        <v>25</v>
      </c>
      <c r="F215" s="444" t="s">
        <v>194</v>
      </c>
      <c r="G215" s="260"/>
      <c r="H215" s="527" t="s">
        <v>223</v>
      </c>
      <c r="I215" s="242" t="s">
        <v>412</v>
      </c>
      <c r="J215" s="243" t="s">
        <v>418</v>
      </c>
      <c r="K215" s="527" t="s">
        <v>413</v>
      </c>
      <c r="L215" s="527"/>
      <c r="M215" s="244" t="s">
        <v>48</v>
      </c>
      <c r="N215" s="527" t="s">
        <v>402</v>
      </c>
      <c r="O215" s="527" t="s">
        <v>656</v>
      </c>
      <c r="P215" s="527" t="s">
        <v>403</v>
      </c>
      <c r="Q215" s="527" t="s">
        <v>433</v>
      </c>
      <c r="R215" s="527" t="s">
        <v>654</v>
      </c>
      <c r="S215" s="527" t="s">
        <v>657</v>
      </c>
      <c r="T215" s="527" t="s">
        <v>655</v>
      </c>
      <c r="U215" s="527" t="s">
        <v>414</v>
      </c>
      <c r="V215" s="527" t="s">
        <v>466</v>
      </c>
      <c r="W215" s="527" t="s">
        <v>465</v>
      </c>
      <c r="X215" s="546" t="s">
        <v>420</v>
      </c>
      <c r="Y215" s="542" t="s">
        <v>425</v>
      </c>
      <c r="AA215" s="245" t="s">
        <v>417</v>
      </c>
      <c r="AB215" s="245" t="s">
        <v>464</v>
      </c>
      <c r="AC215" s="245" t="s">
        <v>423</v>
      </c>
      <c r="AD215" s="544"/>
      <c r="AE215" s="245" t="s">
        <v>463</v>
      </c>
      <c r="AF215" s="245" t="s">
        <v>681</v>
      </c>
      <c r="AG215" s="245" t="s">
        <v>427</v>
      </c>
      <c r="AH215" s="544"/>
      <c r="AI215" s="245" t="s">
        <v>429</v>
      </c>
      <c r="AJ215" s="547" t="s">
        <v>430</v>
      </c>
      <c r="AK215" s="547" t="s">
        <v>431</v>
      </c>
      <c r="AM215" s="543" t="s">
        <v>275</v>
      </c>
      <c r="AN215" s="543" t="s">
        <v>432</v>
      </c>
      <c r="AP215" s="245" t="s">
        <v>275</v>
      </c>
      <c r="AQ215" s="245" t="s">
        <v>432</v>
      </c>
      <c r="AR215" s="548"/>
      <c r="AS215" s="245" t="s">
        <v>467</v>
      </c>
      <c r="AT215" s="245" t="s">
        <v>461</v>
      </c>
      <c r="AU215" s="245" t="s">
        <v>462</v>
      </c>
      <c r="AV215" s="245" t="s">
        <v>653</v>
      </c>
      <c r="AW215" s="245" t="s">
        <v>48</v>
      </c>
      <c r="AX215" s="548" t="s">
        <v>651</v>
      </c>
      <c r="AY215" s="544" t="s">
        <v>650</v>
      </c>
      <c r="AZ215" s="544" t="s">
        <v>652</v>
      </c>
      <c r="BA215" s="245" t="s">
        <v>481</v>
      </c>
      <c r="BB215" s="245" t="s">
        <v>514</v>
      </c>
      <c r="BC215" s="544"/>
      <c r="BD215" s="557" t="s">
        <v>456</v>
      </c>
      <c r="BE215" s="245" t="s">
        <v>457</v>
      </c>
      <c r="BF215" s="544"/>
      <c r="BG215" s="557" t="s">
        <v>474</v>
      </c>
      <c r="BH215" s="245" t="s">
        <v>475</v>
      </c>
      <c r="BI215" s="245" t="s">
        <v>473</v>
      </c>
      <c r="BJ215" s="245" t="s">
        <v>469</v>
      </c>
      <c r="BK215" s="245" t="s">
        <v>478</v>
      </c>
      <c r="BL215" s="245" t="s">
        <v>777</v>
      </c>
      <c r="BM215" s="245" t="s">
        <v>776</v>
      </c>
      <c r="BN215" s="245" t="s">
        <v>491</v>
      </c>
      <c r="BO215" s="557" t="s">
        <v>476</v>
      </c>
      <c r="BP215" s="245" t="s">
        <v>477</v>
      </c>
      <c r="BQ215" s="245" t="s">
        <v>483</v>
      </c>
      <c r="BR215" s="245" t="s">
        <v>487</v>
      </c>
      <c r="BS215" s="557" t="s">
        <v>458</v>
      </c>
      <c r="BT215" s="245" t="s">
        <v>459</v>
      </c>
      <c r="BU215" s="245" t="s">
        <v>468</v>
      </c>
      <c r="BV215" s="245" t="s">
        <v>666</v>
      </c>
      <c r="BW215" s="245" t="s">
        <v>484</v>
      </c>
      <c r="BX215" s="245" t="s">
        <v>667</v>
      </c>
      <c r="BY215" s="557" t="s">
        <v>482</v>
      </c>
      <c r="BZ215" s="245" t="s">
        <v>223</v>
      </c>
      <c r="CA215" s="245" t="s">
        <v>47</v>
      </c>
      <c r="CB215" s="245" t="s">
        <v>485</v>
      </c>
      <c r="CC215" s="245"/>
      <c r="CE215" s="569" t="s">
        <v>664</v>
      </c>
      <c r="CF215" s="569" t="s">
        <v>665</v>
      </c>
      <c r="CG215" s="781" t="s">
        <v>828</v>
      </c>
      <c r="CI215" s="241" t="s">
        <v>25</v>
      </c>
      <c r="CJ215" s="444" t="s">
        <v>194</v>
      </c>
      <c r="CK215" s="260"/>
      <c r="CL215" s="527" t="s">
        <v>223</v>
      </c>
      <c r="CM215" s="242" t="s">
        <v>412</v>
      </c>
      <c r="CN215" s="243" t="s">
        <v>418</v>
      </c>
      <c r="CO215" s="527" t="s">
        <v>413</v>
      </c>
      <c r="CP215" s="527"/>
      <c r="CQ215" s="244" t="s">
        <v>48</v>
      </c>
      <c r="CR215" s="527" t="s">
        <v>402</v>
      </c>
      <c r="CS215" s="527" t="s">
        <v>656</v>
      </c>
      <c r="CT215" s="527" t="s">
        <v>403</v>
      </c>
      <c r="CU215" s="527" t="s">
        <v>433</v>
      </c>
      <c r="CV215" s="527" t="s">
        <v>654</v>
      </c>
      <c r="CW215" s="527" t="s">
        <v>657</v>
      </c>
      <c r="CX215" s="527" t="s">
        <v>655</v>
      </c>
      <c r="CY215" s="527" t="s">
        <v>414</v>
      </c>
      <c r="CZ215" s="527" t="s">
        <v>466</v>
      </c>
      <c r="DA215" s="527" t="s">
        <v>465</v>
      </c>
      <c r="DB215" s="546" t="s">
        <v>420</v>
      </c>
      <c r="DC215" s="542" t="s">
        <v>425</v>
      </c>
      <c r="DE215" s="245" t="s">
        <v>417</v>
      </c>
      <c r="DF215" s="245" t="s">
        <v>464</v>
      </c>
      <c r="DG215" s="245" t="s">
        <v>423</v>
      </c>
      <c r="DH215" s="544"/>
      <c r="DI215" s="245" t="s">
        <v>463</v>
      </c>
      <c r="DJ215" s="245" t="s">
        <v>681</v>
      </c>
      <c r="DK215" s="245" t="s">
        <v>427</v>
      </c>
      <c r="DL215" s="544"/>
      <c r="DM215" s="245" t="s">
        <v>429</v>
      </c>
      <c r="DN215" s="547" t="s">
        <v>430</v>
      </c>
      <c r="DO215" s="547" t="s">
        <v>431</v>
      </c>
      <c r="DQ215" s="543" t="s">
        <v>275</v>
      </c>
      <c r="DR215" s="543" t="s">
        <v>432</v>
      </c>
      <c r="DT215" s="245" t="s">
        <v>275</v>
      </c>
      <c r="DU215" s="245" t="s">
        <v>432</v>
      </c>
      <c r="DV215" s="548"/>
      <c r="DW215" s="245" t="s">
        <v>467</v>
      </c>
      <c r="DX215" s="245" t="s">
        <v>461</v>
      </c>
      <c r="DY215" s="245" t="s">
        <v>462</v>
      </c>
      <c r="DZ215" s="245" t="s">
        <v>653</v>
      </c>
      <c r="EA215" s="245" t="s">
        <v>48</v>
      </c>
      <c r="EB215" s="548" t="s">
        <v>651</v>
      </c>
      <c r="EC215" s="544" t="s">
        <v>650</v>
      </c>
      <c r="ED215" s="544" t="s">
        <v>652</v>
      </c>
      <c r="EE215" s="245" t="s">
        <v>481</v>
      </c>
      <c r="EF215" s="245" t="s">
        <v>514</v>
      </c>
      <c r="EG215" s="544"/>
      <c r="EH215" s="557" t="s">
        <v>456</v>
      </c>
      <c r="EI215" s="245" t="s">
        <v>457</v>
      </c>
      <c r="EJ215" s="544"/>
      <c r="EK215" s="557" t="s">
        <v>474</v>
      </c>
      <c r="EL215" s="245" t="s">
        <v>475</v>
      </c>
      <c r="EM215" s="245" t="s">
        <v>473</v>
      </c>
      <c r="EN215" s="245" t="s">
        <v>469</v>
      </c>
      <c r="EO215" s="245" t="s">
        <v>478</v>
      </c>
      <c r="EP215" s="245" t="s">
        <v>777</v>
      </c>
      <c r="EQ215" s="245" t="s">
        <v>776</v>
      </c>
      <c r="ER215" s="245" t="s">
        <v>491</v>
      </c>
      <c r="ES215" s="557" t="s">
        <v>476</v>
      </c>
      <c r="ET215" s="245" t="s">
        <v>477</v>
      </c>
      <c r="EU215" s="245" t="s">
        <v>483</v>
      </c>
      <c r="EV215" s="245" t="s">
        <v>487</v>
      </c>
      <c r="EW215" s="557" t="s">
        <v>458</v>
      </c>
      <c r="EX215" s="245" t="s">
        <v>459</v>
      </c>
      <c r="EY215" s="245" t="s">
        <v>468</v>
      </c>
      <c r="EZ215" s="245" t="s">
        <v>666</v>
      </c>
      <c r="FA215" s="245" t="s">
        <v>484</v>
      </c>
      <c r="FB215" s="245" t="s">
        <v>667</v>
      </c>
      <c r="FC215" s="557" t="s">
        <v>482</v>
      </c>
      <c r="FD215" s="245" t="s">
        <v>223</v>
      </c>
      <c r="FE215" s="245" t="s">
        <v>47</v>
      </c>
      <c r="FF215" s="245" t="s">
        <v>485</v>
      </c>
      <c r="FG215" s="245"/>
      <c r="FI215" s="569" t="s">
        <v>664</v>
      </c>
      <c r="FJ215" s="569" t="s">
        <v>665</v>
      </c>
      <c r="FL215" t="s">
        <v>825</v>
      </c>
    </row>
    <row r="216" spans="5:168">
      <c r="E216" s="170">
        <v>0.1</v>
      </c>
      <c r="F216" s="217">
        <v>1.0000000000000001E-9</v>
      </c>
      <c r="G216" s="217"/>
      <c r="H216" s="217">
        <f t="shared" ref="H216:H247" si="603">F216*Vout</f>
        <v>2.4000000000000003E-8</v>
      </c>
      <c r="I216" s="541">
        <f t="shared" ref="I216:I247" si="604">VIN_max-F216*(Rdcr_pri+RON/1000)/CG216/Nps</f>
        <v>35.999977864056376</v>
      </c>
      <c r="J216" s="172">
        <f t="shared" ref="J216:J247" si="605">(T216+Vfwd1+F216/CG216*Rdcr_sec)*Nps</f>
        <v>16.341504220587641</v>
      </c>
      <c r="K216" s="172">
        <f t="shared" ref="K216:K247" si="606">(Vout+Vfwd1+F216/CG216*Rdcr_sec)*Nps+I216</f>
        <v>52.341482084644014</v>
      </c>
      <c r="L216" s="443"/>
      <c r="M216" s="217">
        <f t="shared" ref="M216:M247" si="607">(Vout+Vfwd1+F216/FL216*Rdcr_sec)*Nps/((Vout+Vfwd1+F216/FL216*Rdcr_sec)*Nps+I216)</f>
        <v>0.31220942930586953</v>
      </c>
      <c r="N216" s="172">
        <f t="shared" ref="N216:N247" si="608">M216*I216*(Isw_max+VIN_max/Lmag*ILIM_delay)*0.5*Efficiency</f>
        <v>63.048782223823771</v>
      </c>
      <c r="O216" s="172">
        <f t="shared" si="599"/>
        <v>2.4000000000000003E-8</v>
      </c>
      <c r="P216" s="217">
        <f t="shared" ref="P216:P247" si="609">N216/Vout</f>
        <v>2.6270325926593237</v>
      </c>
      <c r="Q216" s="217">
        <f t="shared" ref="Q216:Q247" si="610">MIN(Vout,N216/F216)</f>
        <v>24</v>
      </c>
      <c r="R216" s="217"/>
      <c r="S216" s="172">
        <f t="shared" ref="S216:S247" si="611">(SQRT(Isw_max^2*Nps^2*I216^2+4*Isw_max*F216/Efficiency*(Nps^2*Vfwd1*I216-Nps*I216^2)+4*(F216/Efficiency)^2*Nps^2*Vfwd1^2+8*(F216/Efficiency)^2*Nps*Vfwd1*I216+4*(F216/Efficiency)^2*I216^2)-2*F216/Efficiency*I216-2*F216/Efficiency*Nps*Vfwd1+Isw_max*Nps*I216)/(4*F216/Efficiency*Nps)</f>
        <v>199999876968.56241</v>
      </c>
      <c r="T216" s="172">
        <f t="shared" ref="T216:T247" si="612">MIN(Vout, S216)</f>
        <v>24</v>
      </c>
      <c r="U216" s="217">
        <f t="shared" ref="U216:U247" si="613">MIN(2*(Vout+Vfwd1+F216/FL216*Rdcr_sec)*F216/(I216*M216), Isw_max)</f>
        <v>4.3596130528498636E-9</v>
      </c>
      <c r="V216" s="217">
        <f t="shared" ref="V216:V247" si="614">L*U216/I216*1000000</f>
        <v>1.2110043704228641E-9</v>
      </c>
      <c r="W216" s="217">
        <f t="shared" ref="W216:W247" si="615">L*U216/J216*1000000</f>
        <v>2.6678162511854078E-9</v>
      </c>
      <c r="X216" s="197">
        <f t="shared" ref="X216:X247" si="616">IF(1/((350000*L)*(1/I216+1/J216))&gt;Isw_min, 350, 0.001/((Isw_min*L)*(1/I216+1/J216)))</f>
        <v>350</v>
      </c>
      <c r="Y216" s="443">
        <f>MIN(1/(V216+W216+0.2)*1000, 350)</f>
        <v>350</v>
      </c>
      <c r="AA216" s="217">
        <f t="shared" ref="AA216:AA247" si="617">1/((X216*1000*L)*(1/I216+1/J216))</f>
        <v>3.2112950066487262</v>
      </c>
      <c r="AB216" s="173">
        <f t="shared" ref="AB216:AB247" si="618">L*AA216/J216*1000000</f>
        <v>1.9651159179110433</v>
      </c>
      <c r="AC216" s="173">
        <f t="shared" ref="AC216:AC247" si="619">0.5*AB216*AA216*Nps*X216/1000</f>
        <v>0.73660092544978317</v>
      </c>
      <c r="AD216" s="173"/>
      <c r="AE216" s="173">
        <f t="shared" ref="AE216:AE247" si="620">L*Isw_min/J216*1000000</f>
        <v>1.3598639343265497</v>
      </c>
      <c r="AF216" s="545">
        <f t="shared" ref="AF216:AF247" si="621">MAX(12000,F216/(0.5*AE216/1000000*Isw_min*Nps))/1000</f>
        <v>12</v>
      </c>
      <c r="AG216" s="528">
        <f t="shared" ref="AG216:AG247" si="622">0.5*AE216/1000000*Isw_min*Nps*X216*1000</f>
        <v>0.35273359496503681</v>
      </c>
      <c r="AI216" s="173">
        <f t="shared" ref="AI216:AI247" si="623">SQRT(F216/(0.5*L/J216*Fsw_DCM*Nps))</f>
        <v>1.1832161094169835E-4</v>
      </c>
      <c r="AJ216" s="173">
        <f t="shared" ref="AJ216:AJ247" si="624">MAX(IF(F216&gt;AC216,U216,AI216),Isw_min)</f>
        <v>2.2222222222222223</v>
      </c>
      <c r="AK216" s="173">
        <f t="shared" ref="AK216:AK247" si="625">IF(F216&gt;AG216, (AJ216-Isw_min)/1.08*0.8+1.2, AF216*0.2/350+1)</f>
        <v>1.0068571428571429</v>
      </c>
      <c r="AM216" s="545">
        <f t="shared" ref="AM216:AM247" si="626">F216*1000</f>
        <v>1.0000000000000002E-6</v>
      </c>
      <c r="AN216" s="460">
        <f t="shared" ref="AN216:AN247" si="627">IF(F216&gt;AG216, Y216, AF216)</f>
        <v>12</v>
      </c>
      <c r="AP216">
        <f t="shared" ref="AP216:AP247" si="628">IF(H216&gt;N216, "",AM216)</f>
        <v>1.0000000000000002E-6</v>
      </c>
      <c r="AQ216">
        <f t="shared" ref="AQ216:AQ247" si="629">IF(H216&gt;N216, "",AN216)</f>
        <v>12</v>
      </c>
      <c r="AS216" s="5">
        <f t="shared" si="600"/>
        <v>83.333333333333329</v>
      </c>
      <c r="AT216" s="5">
        <f t="shared" ref="AT216:AT247" si="630">L*AJ216/I216*1000000</f>
        <v>0.61728433017759332</v>
      </c>
      <c r="AU216" s="5">
        <f t="shared" si="478"/>
        <v>82.716049003155732</v>
      </c>
      <c r="AV216" s="5"/>
      <c r="AW216" s="173">
        <f t="shared" si="479"/>
        <v>7.4074119621311205E-3</v>
      </c>
      <c r="AX216" s="173">
        <f t="shared" ref="AX216:AX279" si="631">0.5*L*AJ216^2*AN216*1000</f>
        <v>0.29629629629629634</v>
      </c>
      <c r="AY216" s="173">
        <f t="shared" ref="AY216:AY279" si="632">AJ216*Nps/2*(1-AW216)</f>
        <v>0.7356213958013984</v>
      </c>
      <c r="AZ216" s="173">
        <f t="shared" ref="AZ216:AZ279" si="633">AX216/AY216</f>
        <v>0.40278368463373221</v>
      </c>
      <c r="BA216" s="460">
        <f t="shared" si="594"/>
        <v>2.5720180424066389E-9</v>
      </c>
      <c r="BB216" s="5">
        <f t="shared" si="595"/>
        <v>4.5953388813464965E-8</v>
      </c>
      <c r="BD216" s="173">
        <f>AJ216*SQRT(AW216/3)</f>
        <v>0.11042314394889054</v>
      </c>
      <c r="BE216" s="173">
        <f>AJ216*Nps*SQRT((1-AW216)/3)</f>
        <v>0.85258601912024568</v>
      </c>
      <c r="BG216" s="528">
        <f>Rdson*BD216^2</f>
        <v>4.8773082878229601E-4</v>
      </c>
      <c r="BH216" s="528">
        <f t="shared" ref="BH216:BH247" si="634">0.5*K216*AJ216*AN216*1000*Tfall</f>
        <v>3.1404889250786411E-2</v>
      </c>
      <c r="BI216" s="528">
        <f t="shared" ref="BI216:BI247" si="635">Qg*Vdd*AN216*1000*0+Qg*I216*AN216*1000</f>
        <v>1.7279989374747062E-2</v>
      </c>
      <c r="BJ216" s="528">
        <f>0.5*(Coss+Csw)*K216^2*AN216*1000</f>
        <v>5.753224568315932E-3</v>
      </c>
      <c r="BK216">
        <f>I216*IQ</f>
        <v>1.6199990038825367E-2</v>
      </c>
      <c r="BL216" s="460">
        <f>(BK216+BI216)*1000</f>
        <v>33.47997941357243</v>
      </c>
      <c r="BM216" s="528">
        <f t="shared" ref="BM216:BM247" si="636">(BH216+BI216*0+BJ216+BK216*0+BG216*(1+RdsonTC*(Ta-25)))/(1-BG216*RdsonTC*ThetaJA)</f>
        <v>3.7781910322474306E-2</v>
      </c>
      <c r="BN216" s="460">
        <f>BM216*1000</f>
        <v>37.781910322474303</v>
      </c>
      <c r="BO216" s="528">
        <f t="shared" ref="BO216:BO279" si="637">Vfwd2*F216</f>
        <v>6.9999999999999996E-10</v>
      </c>
      <c r="BR216" s="460">
        <f>SUM(BO216:BQ216)*1000</f>
        <v>6.9999999999999997E-7</v>
      </c>
      <c r="BS216" s="528">
        <f>Rdcr_pri*BD216^2</f>
        <v>3.65798121586722E-4</v>
      </c>
      <c r="BT216" s="528">
        <f>Rdcr_sec*BE216^2</f>
        <v>2.1807087599979236E-2</v>
      </c>
      <c r="BU216" s="528">
        <f>AJ216^2.5*AN216^2.5*k_core</f>
        <v>1.8360809937575901E-4</v>
      </c>
      <c r="BV216" s="528"/>
      <c r="BW216" s="528">
        <f>0.5*Lleak*0.000000001*AJ216^2*AN216*1000</f>
        <v>1.1851851851851855E-2</v>
      </c>
      <c r="BX216" s="460">
        <f>SUM(BS216:BW216)*1000</f>
        <v>34.20834567279357</v>
      </c>
      <c r="BY216" s="173">
        <f>SUM(BG216:BK216,BO216:BQ216,BS216:BW216)</f>
        <v>0.10533417043425064</v>
      </c>
      <c r="BZ216" s="5">
        <f>MIN(H216,O216)</f>
        <v>2.4000000000000003E-8</v>
      </c>
      <c r="CA216" s="173">
        <f>BZ216/(BZ216+BY216)</f>
        <v>2.2784623862083786E-7</v>
      </c>
      <c r="CB216" s="5">
        <f>CA216*100</f>
        <v>2.2784623862083786E-5</v>
      </c>
      <c r="CE216" s="562">
        <f t="shared" ref="CE216:CE247" si="638">IF(ABS(F216-Ioutmax_Vinmax)&lt;Iout/200, AN216, -50)</f>
        <v>-50</v>
      </c>
      <c r="CF216">
        <f t="shared" ref="CF216:CF247" si="639">IF(ABS(F216-Ioutmax_Vinmin)&lt;Iout/200, N216*CA216, -50)</f>
        <v>-50</v>
      </c>
      <c r="CG216" s="173">
        <f t="shared" ref="CG216:CG247" si="640">MIN(SQRT(2*DU216*1000*Ls1_*CL216)/CU216,1-EA216-0.00000005*DU216*1000)</f>
        <v>4.7410459672689351E-6</v>
      </c>
      <c r="CI216" s="170">
        <v>0.1</v>
      </c>
      <c r="CJ216" s="217">
        <v>1.0000000000000001E-9</v>
      </c>
      <c r="CK216" s="217"/>
      <c r="CL216" s="217">
        <f t="shared" ref="CL216:CL279" si="641">CJ216*Vout</f>
        <v>2.4000000000000003E-8</v>
      </c>
      <c r="CM216" s="541">
        <f t="shared" ref="CM216:CM279" si="642">VIN_max</f>
        <v>36</v>
      </c>
      <c r="CN216" s="443">
        <f t="shared" ref="CN216:CN279" si="643">(CX216+Vfwd1)*Nps</f>
        <v>16.3415</v>
      </c>
      <c r="CO216" s="443">
        <f t="shared" ref="CO216:CO279" si="644">(Vout+Vfwd1)*Nps+CM216</f>
        <v>52.341499999999996</v>
      </c>
      <c r="CP216" s="443"/>
      <c r="CQ216" s="217">
        <f t="shared" ref="CQ216:CQ279" si="645">(Vout+Vfwd1)*Nps/((Vout+Vfwd1)*Nps+CM216)</f>
        <v>0.31220924123305599</v>
      </c>
      <c r="CR216" s="172">
        <f t="shared" ref="CR216:CR279" si="646">CQ216*CM216*(Isw_max+VIN_max/Lmag*ILIM_delay)*0.5*Efficiency</f>
        <v>63.048783011568261</v>
      </c>
      <c r="CS216" s="172">
        <f t="shared" ref="CS216:CS279" si="647">CX216*CJ216</f>
        <v>2.4000000000000003E-8</v>
      </c>
      <c r="CT216" s="217">
        <f t="shared" ref="CT216:CT279" si="648">CR216/Vout</f>
        <v>2.6270326254820109</v>
      </c>
      <c r="CU216" s="217">
        <f t="shared" ref="CU216:CU279" si="649">MIN(Vout,CR216/CJ216)</f>
        <v>24</v>
      </c>
      <c r="CV216" s="217"/>
      <c r="CW216" s="172">
        <f t="shared" ref="CW216:CW279" si="650">(SQRT(Isw_max^2*Nps^2*CM216^2+4*Isw_max*CJ216/Efficiency*(Nps^2*Vfwd1*CM216-Nps*CM216^2)+4*(CJ216/Efficiency)^2*Nps^2*Vfwd1^2+8*(CJ216/Efficiency)^2*Nps*Vfwd1*CM216+4*(CJ216/Efficiency)^2*CM216^2)-2*CJ216/Efficiency*CM216-2*CJ216/Efficiency*Nps*Vfwd1+Isw_max*Nps*CM216)/(4*CJ216/Efficiency*Nps)</f>
        <v>199999999946.02698</v>
      </c>
      <c r="CX216" s="172">
        <f t="shared" ref="CX216:CX279" si="651">MIN(Vout, CW216)</f>
        <v>24</v>
      </c>
      <c r="CY216" s="217">
        <f t="shared" ref="CY216:CY279" si="652">MIN(2*Vout*CJ216/(Efficiency*CM216*CQ216), Isw_max)</f>
        <v>4.2706401901090276E-9</v>
      </c>
      <c r="CZ216" s="217">
        <f t="shared" ref="CZ216:CZ279" si="653">L*CY216/CM216*1000000</f>
        <v>1.1862889416969522E-9</v>
      </c>
      <c r="DA216" s="217">
        <f t="shared" ref="DA216:DA279" si="654">L*CY216/CN216*1000000</f>
        <v>2.6133709819227291E-9</v>
      </c>
      <c r="DB216" s="197">
        <f t="shared" ref="DB216:DB279" si="655">IF(1/((350000*L)*(1/CM216+1/CN216))&gt;Isw_min, 350, 0.001/((Isw_min*L)*(1/CM216+1/CN216)))</f>
        <v>350</v>
      </c>
      <c r="DC216" s="443">
        <f t="shared" ref="DC216:DC279" si="656">MIN(1/(CZ216+DA216)*1000, 350)</f>
        <v>350</v>
      </c>
      <c r="DE216" s="217">
        <f t="shared" ref="DE216:DE279" si="657">1/((DB216*1000*L)*(1/CM216+1/CN216))</f>
        <v>3.211295052682861</v>
      </c>
      <c r="DF216" s="173">
        <f t="shared" ref="DF216:DF279" si="658">L*DE216/CN216*1000000</f>
        <v>1.96511645361984</v>
      </c>
      <c r="DG216" s="173">
        <f t="shared" ref="DG216:DG279" si="659">0.5*DF216*DE216*Nps*DB216/1000</f>
        <v>0.73660113681324435</v>
      </c>
      <c r="DH216" s="173"/>
      <c r="DI216" s="173">
        <f t="shared" ref="DI216:DI279" si="660">L*Isw_min/CN216*1000000</f>
        <v>1.3598642855443031</v>
      </c>
      <c r="DJ216" s="545">
        <f t="shared" ref="DJ216:DJ279" si="661">MAX(12000,CJ216/(0.5*DI216/1000000*Isw_min*Nps))/1000</f>
        <v>12</v>
      </c>
      <c r="DK216" s="528">
        <f t="shared" ref="DK216:DK279" si="662">0.5*DI216/1000000*Isw_min*Nps*DB216*1000</f>
        <v>0.35273368606701955</v>
      </c>
      <c r="DM216" s="173">
        <f t="shared" ref="DM216:DM279" si="663">SQRT(CJ216/(0.5*L/CN216*Fsw_DCM*Nps))</f>
        <v>1.1832159566199231E-4</v>
      </c>
      <c r="DN216" s="173">
        <f t="shared" ref="DN216:DN279" si="664">MAX(IF(CJ216&gt;DG216,CY216,DM216),Isw_min)</f>
        <v>2.2222222222222223</v>
      </c>
      <c r="DO216" s="173">
        <f t="shared" ref="DO216:DO279" si="665">IF(CJ216&gt;DK216, (DN216-Isw_min)/1.08*0.8+1.2, DJ216*0.2/350+1)</f>
        <v>1.0068571428571429</v>
      </c>
      <c r="DQ216" s="545">
        <f t="shared" ref="DQ216:DQ279" si="666">CJ216*1000</f>
        <v>1.0000000000000002E-6</v>
      </c>
      <c r="DR216" s="460">
        <f t="shared" ref="DR216:DR279" si="667">IF(CJ216&gt;DK216, DC216, DJ216)</f>
        <v>12</v>
      </c>
      <c r="DT216">
        <f t="shared" ref="DT216:DT279" si="668">IF(CL216&gt;CR216, "",DQ216)</f>
        <v>1.0000000000000002E-6</v>
      </c>
      <c r="DU216">
        <f t="shared" ref="DU216:DU279" si="669">IF(CL216&gt;CR216, "",DR216)</f>
        <v>12</v>
      </c>
      <c r="DW216" s="5">
        <f t="shared" ref="DW216:DW280" si="670">1/DR216*1000</f>
        <v>83.333333333333329</v>
      </c>
      <c r="DX216" s="5">
        <f t="shared" ref="DX216:DX279" si="671">L*DN216/CM216*1000000</f>
        <v>0.61728395061728403</v>
      </c>
      <c r="DY216" s="5">
        <f t="shared" ref="DY216:DY279" si="672">DW216-DX216</f>
        <v>82.716049382716051</v>
      </c>
      <c r="DZ216" s="5"/>
      <c r="EA216" s="173">
        <f t="shared" ref="EA216:EA279" si="673">DX216/DW216</f>
        <v>7.4074074074074086E-3</v>
      </c>
      <c r="EB216" s="173">
        <f>0.5*L*DN216^2*DR216*1000</f>
        <v>0.29629629629629634</v>
      </c>
      <c r="EC216" s="173">
        <f>DN216*Nps/2*(1-EA216)</f>
        <v>0.73562139917695479</v>
      </c>
      <c r="ED216" s="173">
        <f>EB216/EC216</f>
        <v>0.40278368278547294</v>
      </c>
      <c r="EE216" s="460">
        <f t="shared" ref="EE216:EE279" si="674">CJ216*DX216/Vout_ripple*1000</f>
        <v>2.5720164609053503E-9</v>
      </c>
      <c r="EF216" s="5">
        <f t="shared" ref="EF216:EF279" si="675">CL216/Efficiency/CM216*DY216/Vinripple1</f>
        <v>4.595336076817558E-8</v>
      </c>
      <c r="EH216" s="173">
        <f>DN216*SQRT(EA216/3)</f>
        <v>0.11042310999998964</v>
      </c>
      <c r="EI216" s="173">
        <f>DN216*Nps*SQRT((1-EA216)/3)</f>
        <v>0.85258602107638237</v>
      </c>
      <c r="EK216" s="528">
        <f>Rdson*EH216^2</f>
        <v>4.8773052888279245E-4</v>
      </c>
      <c r="EL216" s="528">
        <f>0.5*CO216*DN216*DR216*1000*Trise</f>
        <v>3.8383766666666666E-2</v>
      </c>
      <c r="EM216" s="528">
        <f>Qg*Vdd*DR216*1000</f>
        <v>2.3999999999999998E-3</v>
      </c>
      <c r="EN216" s="528">
        <f>0.5*(Coss+Csw)*CO216^2*DR216*1000</f>
        <v>5.7532285067249996E-3</v>
      </c>
      <c r="EO216">
        <f>CM216*IQ</f>
        <v>1.6199999999999999E-2</v>
      </c>
      <c r="EP216" s="460">
        <f>(EO216+EM216)*1000</f>
        <v>18.599999999999998</v>
      </c>
      <c r="EQ216" s="460"/>
      <c r="ER216" s="460">
        <f>SUM(EK216:EO216)*1000</f>
        <v>63.224725702274455</v>
      </c>
      <c r="ES216" s="528">
        <f>Vfwd2*CJ216</f>
        <v>6.9999999999999996E-10</v>
      </c>
      <c r="EV216" s="460">
        <f>SUM(ES216:EU216)*1000</f>
        <v>6.9999999999999997E-7</v>
      </c>
      <c r="EW216" s="528">
        <f>Rdcr_pri*EH216^2</f>
        <v>3.6579789666209435E-4</v>
      </c>
      <c r="EX216" s="528">
        <f>Rdcr_sec*EI216^2</f>
        <v>2.1807087700045726E-2</v>
      </c>
      <c r="EY216" s="528">
        <f>DN216^2.5*DR216^2.5*k_core</f>
        <v>1.8360809937575901E-4</v>
      </c>
      <c r="EZ216" s="528"/>
      <c r="FA216" s="528">
        <f>0.5*Lleak*0.000000001*DN216^2*DR216*1000</f>
        <v>1.1851851851851855E-2</v>
      </c>
      <c r="FB216" s="460">
        <f>SUM(EW216:FA216)*1000</f>
        <v>34.208345547935437</v>
      </c>
      <c r="FC216" s="173">
        <f>SUM(EK216:EO216,ES216:EU216,EW216:FA216)</f>
        <v>9.7433071950209879E-2</v>
      </c>
      <c r="FD216" s="5">
        <f>MIN(CL216,CS216)</f>
        <v>2.4000000000000003E-8</v>
      </c>
      <c r="FE216" s="173">
        <f>FD216/(FD216+FC216)</f>
        <v>2.4632287177105042E-7</v>
      </c>
      <c r="FF216" s="5">
        <f>FE216*100</f>
        <v>2.4632287177105044E-5</v>
      </c>
      <c r="FI216" s="562">
        <f t="shared" ref="FI216:FI279" si="676">IF(ABS(CJ216-Ioutmax_Vinmax)&lt;Iout/200, DR216, -50)</f>
        <v>-50</v>
      </c>
      <c r="FJ216">
        <f t="shared" ref="FJ216:FJ279" si="677">IF(ABS(CJ216-Ioutmax_Vinmin)&lt;Iout/200, CR216*FE216, -50)</f>
        <v>-50</v>
      </c>
      <c r="FL216">
        <f t="shared" ref="FL216:FL247" si="678">MIN(SQRT(2*L*DR216*1000*CJ216*(CX216+Vfwd1))/(Nps*(CX216+Vfwd1)), 1-EA216)</f>
        <v>4.6924185693310443E-6</v>
      </c>
    </row>
    <row r="217" spans="5:168">
      <c r="E217" s="170">
        <v>1</v>
      </c>
      <c r="F217" s="217">
        <f t="shared" ref="F217:F248" si="679">IF(PLOT_TYPE=1, E217/100*Iout_max, min_I*EXP(N217*rr/100))</f>
        <v>0.01</v>
      </c>
      <c r="G217" s="217"/>
      <c r="H217" s="217">
        <f t="shared" si="603"/>
        <v>0.24</v>
      </c>
      <c r="I217" s="541">
        <f t="shared" si="604"/>
        <v>35.93</v>
      </c>
      <c r="J217" s="172">
        <f t="shared" si="605"/>
        <v>16.354846670000001</v>
      </c>
      <c r="K217" s="172">
        <f t="shared" si="606"/>
        <v>52.28484667</v>
      </c>
      <c r="L217" s="443"/>
      <c r="M217" s="217">
        <f t="shared" si="607"/>
        <v>0.31280462234138495</v>
      </c>
      <c r="N217" s="172">
        <f t="shared" si="608"/>
        <v>63.046188010614543</v>
      </c>
      <c r="O217" s="172">
        <f t="shared" si="599"/>
        <v>0.24</v>
      </c>
      <c r="P217" s="217">
        <f t="shared" si="609"/>
        <v>2.6269245004422728</v>
      </c>
      <c r="Q217" s="217">
        <f t="shared" si="610"/>
        <v>24</v>
      </c>
      <c r="R217" s="217"/>
      <c r="S217" s="172">
        <f t="shared" si="611"/>
        <v>19907.244398086568</v>
      </c>
      <c r="T217" s="172">
        <f t="shared" si="612"/>
        <v>24</v>
      </c>
      <c r="U217" s="217">
        <f t="shared" si="613"/>
        <v>4.3633889969422669E-2</v>
      </c>
      <c r="V217" s="217">
        <f t="shared" si="614"/>
        <v>1.2144138594328604E-2</v>
      </c>
      <c r="W217" s="217">
        <f t="shared" si="615"/>
        <v>2.6679485812276756E-2</v>
      </c>
      <c r="X217" s="197">
        <f t="shared" si="616"/>
        <v>350</v>
      </c>
      <c r="Y217" s="443">
        <f t="shared" ref="Y217:Y280" si="680">MIN(1/(V217+W217+0.2)*1000, 350)</f>
        <v>350</v>
      </c>
      <c r="AA217" s="217">
        <f t="shared" si="617"/>
        <v>3.2111442185259387</v>
      </c>
      <c r="AB217" s="173">
        <f t="shared" si="618"/>
        <v>1.9634205586385594</v>
      </c>
      <c r="AC217" s="173">
        <f t="shared" si="619"/>
        <v>0.73593088201440304</v>
      </c>
      <c r="AD217" s="173"/>
      <c r="AE217" s="173">
        <f t="shared" si="620"/>
        <v>1.358754543568107</v>
      </c>
      <c r="AF217" s="545">
        <f t="shared" si="621"/>
        <v>12</v>
      </c>
      <c r="AG217" s="528">
        <f t="shared" si="622"/>
        <v>0.3524458313288607</v>
      </c>
      <c r="AI217" s="173">
        <f t="shared" si="623"/>
        <v>0.37431850456148019</v>
      </c>
      <c r="AJ217" s="173">
        <f t="shared" si="624"/>
        <v>2.2222222222222223</v>
      </c>
      <c r="AK217" s="173">
        <f t="shared" si="625"/>
        <v>1.0068571428571429</v>
      </c>
      <c r="AM217" s="545">
        <f t="shared" si="626"/>
        <v>10</v>
      </c>
      <c r="AN217" s="460">
        <f t="shared" si="627"/>
        <v>12</v>
      </c>
      <c r="AP217">
        <f t="shared" si="628"/>
        <v>10</v>
      </c>
      <c r="AQ217">
        <f t="shared" si="629"/>
        <v>12</v>
      </c>
      <c r="AS217" s="5">
        <f t="shared" si="600"/>
        <v>83.333333333333329</v>
      </c>
      <c r="AT217" s="5">
        <f t="shared" si="630"/>
        <v>0.61848656337941066</v>
      </c>
      <c r="AU217" s="5">
        <f t="shared" si="478"/>
        <v>82.714846769953922</v>
      </c>
      <c r="AV217" s="5"/>
      <c r="AW217" s="173">
        <f t="shared" si="479"/>
        <v>7.421838760552928E-3</v>
      </c>
      <c r="AX217" s="173">
        <f t="shared" si="631"/>
        <v>0.29629629629629634</v>
      </c>
      <c r="AY217" s="173">
        <f t="shared" si="632"/>
        <v>0.73561070394079031</v>
      </c>
      <c r="AZ217" s="173">
        <f t="shared" si="633"/>
        <v>0.40278953896264319</v>
      </c>
      <c r="BA217" s="460">
        <f t="shared" si="594"/>
        <v>2.5770273474142111E-2</v>
      </c>
      <c r="BB217" s="5">
        <f t="shared" si="595"/>
        <v>0.46042219187283001</v>
      </c>
      <c r="BD217" s="173">
        <f t="shared" ref="BD217:BD280" si="681">AJ217*SQRT(AW217/3)</f>
        <v>0.11053062261604064</v>
      </c>
      <c r="BE217" s="173">
        <f t="shared" ref="BE217:BE280" si="682">AJ217*Nps*SQRT((1-AW217)/3)</f>
        <v>0.8525798231585402</v>
      </c>
      <c r="BG217" s="528">
        <f t="shared" ref="BG217:BG280" si="683">Rdson*BD217^2</f>
        <v>4.8868074143558384E-4</v>
      </c>
      <c r="BH217" s="528">
        <f t="shared" si="634"/>
        <v>3.1370908002E-2</v>
      </c>
      <c r="BI217" s="528">
        <f t="shared" si="635"/>
        <v>1.7246399999999999E-2</v>
      </c>
      <c r="BJ217" s="528">
        <f t="shared" ref="BJ217:BJ280" si="684">0.5*(Coss+Csw)*K217^2*AN217*1000</f>
        <v>5.7407809017413613E-3</v>
      </c>
      <c r="BK217">
        <f t="shared" ref="BK217:BK280" si="685">I217*IQ</f>
        <v>1.6168499999999999E-2</v>
      </c>
      <c r="BL217" s="460">
        <f t="shared" ref="BL217:BL280" si="686">(BK217+BI217)*1000</f>
        <v>33.414899999999996</v>
      </c>
      <c r="BM217" s="528">
        <f t="shared" si="636"/>
        <v>3.7736695073564537E-2</v>
      </c>
      <c r="BN217" s="460">
        <f t="shared" ref="BN217:BN280" si="687">BM217*1000</f>
        <v>37.73669507356454</v>
      </c>
      <c r="BO217" s="528">
        <f t="shared" si="637"/>
        <v>6.9999999999999993E-3</v>
      </c>
      <c r="BR217" s="460">
        <f t="shared" ref="BR217:BR280" si="688">SUM(BO217:BQ217)*1000</f>
        <v>6.9999999999999991</v>
      </c>
      <c r="BS217" s="528">
        <f t="shared" ref="BS217:BS280" si="689">Rdcr_pri*BD217^2</f>
        <v>3.6651055607668786E-4</v>
      </c>
      <c r="BT217" s="528">
        <f t="shared" ref="BT217:BT280" si="690">Rdcr_sec*BE217^2</f>
        <v>2.1806770645711428E-2</v>
      </c>
      <c r="BU217" s="528">
        <f t="shared" ref="BU217:BU280" si="691">AJ217^2.5*AN217^2.5*k_core</f>
        <v>1.8360809937575901E-4</v>
      </c>
      <c r="BV217" s="528"/>
      <c r="BW217" s="528">
        <f t="shared" ref="BW217:BW280" si="692">0.5*Lleak*0.000000001*AJ217^2*AN217*1000</f>
        <v>1.1851851851851855E-2</v>
      </c>
      <c r="BX217" s="460">
        <f t="shared" ref="BX217:BX280" si="693">SUM(BS217:BW217)*1000</f>
        <v>34.20874115301573</v>
      </c>
      <c r="BY217" s="173">
        <f t="shared" ref="BY217:BY280" si="694">SUM(BG217:BK217,BO217:BQ217,BS217:BW217)</f>
        <v>0.11222401079819266</v>
      </c>
      <c r="BZ217" s="5">
        <f t="shared" ref="BZ217:BZ280" si="695">MIN(H217,O217)</f>
        <v>0.24</v>
      </c>
      <c r="CA217" s="173">
        <f t="shared" ref="CA217:CA280" si="696">BZ217/(BZ217+BY217)</f>
        <v>0.68138455256393182</v>
      </c>
      <c r="CB217" s="5">
        <f t="shared" ref="CB217:CB280" si="697">CA217*100</f>
        <v>68.138455256393186</v>
      </c>
      <c r="CE217" s="562">
        <f t="shared" si="638"/>
        <v>-50</v>
      </c>
      <c r="CF217">
        <f t="shared" si="639"/>
        <v>-50</v>
      </c>
      <c r="CG217" s="173">
        <f t="shared" si="640"/>
        <v>1.4992503748125939E-2</v>
      </c>
      <c r="CI217" s="170">
        <v>1</v>
      </c>
      <c r="CJ217" s="217">
        <f t="shared" ref="CJ217:CJ280" si="698">IF(PLOT_TYPE=1, CI217/100*Iout_max, min_I*EXP(CR217*rr/100))</f>
        <v>0.01</v>
      </c>
      <c r="CK217" s="217"/>
      <c r="CL217" s="217">
        <f t="shared" si="641"/>
        <v>0.24</v>
      </c>
      <c r="CM217" s="541">
        <f t="shared" si="642"/>
        <v>36</v>
      </c>
      <c r="CN217" s="443">
        <f t="shared" si="643"/>
        <v>16.3415</v>
      </c>
      <c r="CO217" s="443">
        <f t="shared" si="644"/>
        <v>52.341499999999996</v>
      </c>
      <c r="CP217" s="443"/>
      <c r="CQ217" s="217">
        <f t="shared" si="645"/>
        <v>0.31220924123305599</v>
      </c>
      <c r="CR217" s="172">
        <f t="shared" si="646"/>
        <v>63.048783011568261</v>
      </c>
      <c r="CS217" s="172">
        <f t="shared" si="647"/>
        <v>0.24</v>
      </c>
      <c r="CT217" s="217">
        <f t="shared" si="648"/>
        <v>2.6270326254820109</v>
      </c>
      <c r="CU217" s="217">
        <f t="shared" si="649"/>
        <v>24</v>
      </c>
      <c r="CV217" s="217"/>
      <c r="CW217" s="172">
        <f t="shared" si="650"/>
        <v>19946.028339449287</v>
      </c>
      <c r="CX217" s="172">
        <f t="shared" si="651"/>
        <v>24</v>
      </c>
      <c r="CY217" s="217">
        <f t="shared" si="652"/>
        <v>4.270640190109027E-2</v>
      </c>
      <c r="CZ217" s="217">
        <f t="shared" si="653"/>
        <v>1.1862889416969521E-2</v>
      </c>
      <c r="DA217" s="217">
        <f t="shared" si="654"/>
        <v>2.6133709819227288E-2</v>
      </c>
      <c r="DB217" s="197">
        <f t="shared" si="655"/>
        <v>350</v>
      </c>
      <c r="DC217" s="443">
        <f t="shared" si="656"/>
        <v>350</v>
      </c>
      <c r="DE217" s="217">
        <f t="shared" si="657"/>
        <v>3.211295052682861</v>
      </c>
      <c r="DF217" s="173">
        <f t="shared" si="658"/>
        <v>1.96511645361984</v>
      </c>
      <c r="DG217" s="173">
        <f t="shared" si="659"/>
        <v>0.73660113681324435</v>
      </c>
      <c r="DH217" s="173"/>
      <c r="DI217" s="173">
        <f t="shared" si="660"/>
        <v>1.3598642855443031</v>
      </c>
      <c r="DJ217" s="545">
        <f t="shared" si="661"/>
        <v>12</v>
      </c>
      <c r="DK217" s="528">
        <f t="shared" si="662"/>
        <v>0.35273368606701955</v>
      </c>
      <c r="DM217" s="173">
        <f t="shared" si="663"/>
        <v>0.37416573867739411</v>
      </c>
      <c r="DN217" s="173">
        <f t="shared" si="664"/>
        <v>2.2222222222222223</v>
      </c>
      <c r="DO217" s="173">
        <f t="shared" si="665"/>
        <v>1.0068571428571429</v>
      </c>
      <c r="DQ217" s="545">
        <f t="shared" si="666"/>
        <v>10</v>
      </c>
      <c r="DR217" s="460">
        <f t="shared" si="667"/>
        <v>12</v>
      </c>
      <c r="DT217">
        <f t="shared" si="668"/>
        <v>10</v>
      </c>
      <c r="DU217">
        <f t="shared" si="669"/>
        <v>12</v>
      </c>
      <c r="DW217" s="5">
        <f t="shared" si="670"/>
        <v>83.333333333333329</v>
      </c>
      <c r="DX217" s="5">
        <f t="shared" si="671"/>
        <v>0.61728395061728403</v>
      </c>
      <c r="DY217" s="5">
        <f t="shared" si="672"/>
        <v>82.716049382716051</v>
      </c>
      <c r="DZ217" s="5"/>
      <c r="EA217" s="173">
        <f t="shared" si="673"/>
        <v>7.4074074074074086E-3</v>
      </c>
      <c r="EB217" s="173">
        <f t="shared" ref="EB217:EB280" si="699">0.5*L*DN217^2*DR217*1000</f>
        <v>0.29629629629629634</v>
      </c>
      <c r="EC217" s="173">
        <f t="shared" ref="EC217:EC280" si="700">DN217*Nps/2*(1-EA217)</f>
        <v>0.73562139917695479</v>
      </c>
      <c r="ED217" s="173">
        <f t="shared" ref="ED217:ED280" si="701">EB217/EC217</f>
        <v>0.40278368278547294</v>
      </c>
      <c r="EE217" s="460">
        <f t="shared" si="674"/>
        <v>2.5720164609053502E-2</v>
      </c>
      <c r="EF217" s="5">
        <f t="shared" si="675"/>
        <v>0.45953360768175572</v>
      </c>
      <c r="EH217" s="173">
        <f t="shared" ref="EH217:EH280" si="702">DN217*SQRT(EA217/3)</f>
        <v>0.11042310999998964</v>
      </c>
      <c r="EI217" s="173">
        <f t="shared" ref="EI217:EI280" si="703">DN217*Nps*SQRT((1-EA217)/3)</f>
        <v>0.85258602107638237</v>
      </c>
      <c r="EK217" s="528">
        <f t="shared" ref="EK217:EK280" si="704">Rdson*EH217^2</f>
        <v>4.8773052888279245E-4</v>
      </c>
      <c r="EL217" s="528">
        <f t="shared" ref="EL217:EL280" si="705">0.5*CO217*DN217*DR217*1000*Trise</f>
        <v>3.8383766666666666E-2</v>
      </c>
      <c r="EM217" s="528">
        <f t="shared" ref="EM217:EM280" si="706">Qg*Vdd*DR217*1000</f>
        <v>2.3999999999999998E-3</v>
      </c>
      <c r="EN217" s="528">
        <f t="shared" ref="EN217:EN280" si="707">0.5*(Coss+Csw)*CO217^2*DR217*1000</f>
        <v>5.7532285067249996E-3</v>
      </c>
      <c r="EO217">
        <f t="shared" ref="EO217:EO280" si="708">CM217*IQ</f>
        <v>1.6199999999999999E-2</v>
      </c>
      <c r="EP217" s="460">
        <f t="shared" ref="EP217:EP280" si="709">(EO217+EM217)*1000</f>
        <v>18.599999999999998</v>
      </c>
      <c r="EQ217" s="460"/>
      <c r="ER217" s="460">
        <f t="shared" ref="ER217:ER280" si="710">SUM(EK217:EO217)*1000</f>
        <v>63.224725702274455</v>
      </c>
      <c r="ES217" s="528">
        <f t="shared" ref="ES217:ES280" si="711">Vfwd2*CJ217</f>
        <v>6.9999999999999993E-3</v>
      </c>
      <c r="EV217" s="460">
        <f t="shared" ref="EV217:EV280" si="712">SUM(ES217:EU217)*1000</f>
        <v>6.9999999999999991</v>
      </c>
      <c r="EW217" s="528">
        <f t="shared" ref="EW217:EW280" si="713">Rdcr_pri*EH217^2</f>
        <v>3.6579789666209435E-4</v>
      </c>
      <c r="EX217" s="528">
        <f t="shared" ref="EX217:EX280" si="714">Rdcr_sec*EI217^2</f>
        <v>2.1807087700045726E-2</v>
      </c>
      <c r="EY217" s="528">
        <f t="shared" ref="EY217:EY280" si="715">DN217^2.5*DR217^2.5*k_core</f>
        <v>1.8360809937575901E-4</v>
      </c>
      <c r="EZ217" s="528"/>
      <c r="FA217" s="528">
        <f t="shared" ref="FA217:FA280" si="716">0.5*Lleak*0.000000001*DN217^2*DR217*1000</f>
        <v>1.1851851851851855E-2</v>
      </c>
      <c r="FB217" s="460">
        <f t="shared" ref="FB217:FB280" si="717">SUM(EW217:FA217)*1000</f>
        <v>34.208345547935437</v>
      </c>
      <c r="FC217" s="173">
        <f t="shared" ref="FC217:FC280" si="718">SUM(EK217:EO217,ES217:EU217,EW217:FA217)</f>
        <v>0.10443307125020988</v>
      </c>
      <c r="FD217" s="5">
        <f t="shared" ref="FD217:FD280" si="719">MIN(CL217,CS217)</f>
        <v>0.24</v>
      </c>
      <c r="FE217" s="173">
        <f t="shared" ref="FE217:FE280" si="720">FD217/(FD217+FC217)</f>
        <v>0.69679720106102827</v>
      </c>
      <c r="FF217" s="5">
        <f t="shared" ref="FF217:FF280" si="721">FE217*100</f>
        <v>69.67972010610282</v>
      </c>
      <c r="FI217" s="562">
        <f t="shared" si="676"/>
        <v>-50</v>
      </c>
      <c r="FJ217">
        <f t="shared" si="677"/>
        <v>-50</v>
      </c>
      <c r="FL217">
        <f t="shared" si="678"/>
        <v>1.483873041395483E-2</v>
      </c>
    </row>
    <row r="218" spans="5:168">
      <c r="E218" s="170">
        <v>2</v>
      </c>
      <c r="F218" s="217">
        <f t="shared" si="679"/>
        <v>0.02</v>
      </c>
      <c r="G218" s="217"/>
      <c r="H218" s="217">
        <f t="shared" si="603"/>
        <v>0.48</v>
      </c>
      <c r="I218" s="541">
        <f t="shared" si="604"/>
        <v>35.92301996410805</v>
      </c>
      <c r="J218" s="172">
        <f t="shared" si="605"/>
        <v>16.356177530509115</v>
      </c>
      <c r="K218" s="172">
        <f t="shared" si="606"/>
        <v>52.279197494617165</v>
      </c>
      <c r="L218" s="443"/>
      <c r="M218" s="217">
        <f t="shared" si="607"/>
        <v>0.3128640612264586</v>
      </c>
      <c r="N218" s="172">
        <f t="shared" si="608"/>
        <v>63.045917836266661</v>
      </c>
      <c r="O218" s="172">
        <f t="shared" si="599"/>
        <v>0.48</v>
      </c>
      <c r="P218" s="217">
        <f t="shared" si="609"/>
        <v>2.6269132431777775</v>
      </c>
      <c r="Q218" s="217">
        <f t="shared" si="610"/>
        <v>24</v>
      </c>
      <c r="R218" s="217"/>
      <c r="S218" s="172">
        <f t="shared" si="611"/>
        <v>9924.7617687088077</v>
      </c>
      <c r="T218" s="172">
        <f t="shared" si="612"/>
        <v>24</v>
      </c>
      <c r="U218" s="217">
        <f t="shared" si="613"/>
        <v>8.7275328808362598E-2</v>
      </c>
      <c r="V218" s="217">
        <f t="shared" si="614"/>
        <v>2.4295097933181131E-2</v>
      </c>
      <c r="W218" s="217">
        <f t="shared" si="615"/>
        <v>5.3359245242703114E-2</v>
      </c>
      <c r="X218" s="197">
        <f t="shared" si="616"/>
        <v>350</v>
      </c>
      <c r="Y218" s="443">
        <f t="shared" si="680"/>
        <v>350</v>
      </c>
      <c r="AA218" s="217">
        <f t="shared" si="617"/>
        <v>3.2111286003001851</v>
      </c>
      <c r="AB218" s="173">
        <f t="shared" si="618"/>
        <v>1.9632512512844025</v>
      </c>
      <c r="AC218" s="173">
        <f t="shared" si="619"/>
        <v>0.73586384301450503</v>
      </c>
      <c r="AD218" s="173"/>
      <c r="AE218" s="173">
        <f t="shared" si="620"/>
        <v>1.3586439851714256</v>
      </c>
      <c r="AF218" s="545">
        <f t="shared" si="621"/>
        <v>19.862824287424854</v>
      </c>
      <c r="AG218" s="528">
        <f t="shared" si="622"/>
        <v>0.35241715370918814</v>
      </c>
      <c r="AI218" s="173">
        <f t="shared" si="623"/>
        <v>0.52938784370647907</v>
      </c>
      <c r="AJ218" s="173">
        <f t="shared" si="624"/>
        <v>2.2222222222222223</v>
      </c>
      <c r="AK218" s="173">
        <f t="shared" si="625"/>
        <v>1.0113501853070999</v>
      </c>
      <c r="AM218" s="545">
        <f t="shared" si="626"/>
        <v>20</v>
      </c>
      <c r="AN218" s="460">
        <f t="shared" si="627"/>
        <v>19.862824287424854</v>
      </c>
      <c r="AP218">
        <f t="shared" si="628"/>
        <v>20</v>
      </c>
      <c r="AQ218">
        <f t="shared" si="629"/>
        <v>19.862824287424854</v>
      </c>
      <c r="AS218" s="5">
        <f t="shared" si="600"/>
        <v>50.345307672741157</v>
      </c>
      <c r="AT218" s="5">
        <f t="shared" si="630"/>
        <v>0.61860673864350013</v>
      </c>
      <c r="AU218" s="5">
        <f t="shared" si="478"/>
        <v>49.726700934097657</v>
      </c>
      <c r="AV218" s="5"/>
      <c r="AW218" s="173">
        <f t="shared" si="479"/>
        <v>1.2287276952692794E-2</v>
      </c>
      <c r="AX218" s="173">
        <f t="shared" si="631"/>
        <v>0.49044010586234221</v>
      </c>
      <c r="AY218" s="173">
        <f t="shared" si="632"/>
        <v>0.73200487363617106</v>
      </c>
      <c r="AZ218" s="173">
        <f t="shared" si="633"/>
        <v>0.66999568380757257</v>
      </c>
      <c r="BA218" s="460">
        <f t="shared" si="594"/>
        <v>5.1550561553625009E-2</v>
      </c>
      <c r="BB218" s="5">
        <f t="shared" si="595"/>
        <v>0.55370290119017096</v>
      </c>
      <c r="BD218" s="173">
        <f t="shared" si="681"/>
        <v>0.14221803785912118</v>
      </c>
      <c r="BE218" s="173">
        <f t="shared" si="682"/>
        <v>0.85048766029790324</v>
      </c>
      <c r="BG218" s="528">
        <f t="shared" si="683"/>
        <v>8.0903881169993707E-4</v>
      </c>
      <c r="BH218" s="528">
        <f t="shared" si="634"/>
        <v>5.1920625686158114E-2</v>
      </c>
      <c r="BI218" s="528">
        <f t="shared" si="635"/>
        <v>2.8541305336829331E-2</v>
      </c>
      <c r="BJ218" s="528">
        <f t="shared" si="684"/>
        <v>9.5002902550176353E-3</v>
      </c>
      <c r="BK218">
        <f t="shared" si="685"/>
        <v>1.6165358983848622E-2</v>
      </c>
      <c r="BL218" s="460">
        <f t="shared" si="686"/>
        <v>44.706664320677952</v>
      </c>
      <c r="BM218" s="528">
        <f t="shared" si="636"/>
        <v>6.2460401846529547E-2</v>
      </c>
      <c r="BN218" s="460">
        <f t="shared" si="687"/>
        <v>62.46040184652955</v>
      </c>
      <c r="BO218" s="528">
        <f t="shared" si="637"/>
        <v>1.3999999999999999E-2</v>
      </c>
      <c r="BR218" s="460">
        <f t="shared" si="688"/>
        <v>13.999999999999998</v>
      </c>
      <c r="BS218" s="528">
        <f t="shared" si="689"/>
        <v>6.067791087749528E-4</v>
      </c>
      <c r="BT218" s="528">
        <f t="shared" si="690"/>
        <v>2.1699877809570049E-2</v>
      </c>
      <c r="BU218" s="528">
        <f t="shared" si="691"/>
        <v>6.4720404314343692E-4</v>
      </c>
      <c r="BV218" s="528"/>
      <c r="BW218" s="528">
        <f t="shared" si="692"/>
        <v>1.9617604234493685E-2</v>
      </c>
      <c r="BX218" s="460">
        <f t="shared" si="693"/>
        <v>42.571465195982121</v>
      </c>
      <c r="BY218" s="173">
        <f t="shared" si="694"/>
        <v>0.16350808426953575</v>
      </c>
      <c r="BZ218" s="5">
        <f t="shared" si="695"/>
        <v>0.48</v>
      </c>
      <c r="CA218" s="173">
        <f t="shared" si="696"/>
        <v>0.74591137506044169</v>
      </c>
      <c r="CB218" s="5">
        <f t="shared" si="697"/>
        <v>74.591137506044163</v>
      </c>
      <c r="CE218" s="562">
        <f t="shared" si="638"/>
        <v>-50</v>
      </c>
      <c r="CF218">
        <f t="shared" si="639"/>
        <v>-50</v>
      </c>
      <c r="CG218" s="173">
        <f t="shared" si="640"/>
        <v>2.7266167135641992E-2</v>
      </c>
      <c r="CI218" s="170">
        <v>2</v>
      </c>
      <c r="CJ218" s="217">
        <f t="shared" si="698"/>
        <v>0.02</v>
      </c>
      <c r="CK218" s="217"/>
      <c r="CL218" s="217">
        <f t="shared" si="641"/>
        <v>0.48</v>
      </c>
      <c r="CM218" s="541">
        <f t="shared" si="642"/>
        <v>36</v>
      </c>
      <c r="CN218" s="443">
        <f t="shared" si="643"/>
        <v>16.3415</v>
      </c>
      <c r="CO218" s="443">
        <f t="shared" si="644"/>
        <v>52.341499999999996</v>
      </c>
      <c r="CP218" s="443"/>
      <c r="CQ218" s="217">
        <f t="shared" si="645"/>
        <v>0.31220924123305599</v>
      </c>
      <c r="CR218" s="172">
        <f t="shared" si="646"/>
        <v>63.048783011568261</v>
      </c>
      <c r="CS218" s="172">
        <f t="shared" si="647"/>
        <v>0.48</v>
      </c>
      <c r="CT218" s="217">
        <f t="shared" si="648"/>
        <v>2.6270326254820109</v>
      </c>
      <c r="CU218" s="217">
        <f t="shared" si="649"/>
        <v>24</v>
      </c>
      <c r="CV218" s="217"/>
      <c r="CW218" s="172">
        <f t="shared" si="650"/>
        <v>9946.0296996647576</v>
      </c>
      <c r="CX218" s="172">
        <f t="shared" si="651"/>
        <v>24</v>
      </c>
      <c r="CY218" s="217">
        <f t="shared" si="652"/>
        <v>8.541280380218054E-2</v>
      </c>
      <c r="CZ218" s="217">
        <f t="shared" si="653"/>
        <v>2.3725778833939042E-2</v>
      </c>
      <c r="DA218" s="217">
        <f t="shared" si="654"/>
        <v>5.2267419638454576E-2</v>
      </c>
      <c r="DB218" s="197">
        <f t="shared" si="655"/>
        <v>350</v>
      </c>
      <c r="DC218" s="443">
        <f t="shared" si="656"/>
        <v>350</v>
      </c>
      <c r="DE218" s="217">
        <f t="shared" si="657"/>
        <v>3.211295052682861</v>
      </c>
      <c r="DF218" s="173">
        <f t="shared" si="658"/>
        <v>1.96511645361984</v>
      </c>
      <c r="DG218" s="173">
        <f t="shared" si="659"/>
        <v>0.73660113681324435</v>
      </c>
      <c r="DH218" s="173"/>
      <c r="DI218" s="173">
        <f t="shared" si="660"/>
        <v>1.3598642855443031</v>
      </c>
      <c r="DJ218" s="545">
        <f t="shared" si="661"/>
        <v>19.844999999999992</v>
      </c>
      <c r="DK218" s="528">
        <f t="shared" si="662"/>
        <v>0.35273368606701955</v>
      </c>
      <c r="DM218" s="173">
        <f t="shared" si="663"/>
        <v>0.52915026221291805</v>
      </c>
      <c r="DN218" s="173">
        <f t="shared" si="664"/>
        <v>2.2222222222222223</v>
      </c>
      <c r="DO218" s="173">
        <f t="shared" si="665"/>
        <v>1.0113399999999999</v>
      </c>
      <c r="DQ218" s="545">
        <f t="shared" si="666"/>
        <v>20</v>
      </c>
      <c r="DR218" s="460">
        <f t="shared" si="667"/>
        <v>19.844999999999992</v>
      </c>
      <c r="DT218">
        <f t="shared" si="668"/>
        <v>20</v>
      </c>
      <c r="DU218">
        <f t="shared" si="669"/>
        <v>19.844999999999992</v>
      </c>
      <c r="DW218" s="5">
        <f t="shared" si="670"/>
        <v>50.390526581002796</v>
      </c>
      <c r="DX218" s="5">
        <f t="shared" si="671"/>
        <v>0.61728395061728403</v>
      </c>
      <c r="DY218" s="5">
        <f t="shared" si="672"/>
        <v>49.773242630385511</v>
      </c>
      <c r="DZ218" s="5"/>
      <c r="EA218" s="173">
        <f t="shared" si="673"/>
        <v>1.2249999999999995E-2</v>
      </c>
      <c r="EB218" s="173">
        <f t="shared" si="699"/>
        <v>0.48999999999999988</v>
      </c>
      <c r="EC218" s="173">
        <f t="shared" si="700"/>
        <v>0.73203250000000009</v>
      </c>
      <c r="ED218" s="173">
        <f t="shared" si="701"/>
        <v>0.66936918784343569</v>
      </c>
      <c r="EE218" s="460">
        <f t="shared" si="674"/>
        <v>5.1440329218107005E-2</v>
      </c>
      <c r="EF218" s="5">
        <f t="shared" si="675"/>
        <v>0.55303602922650552</v>
      </c>
      <c r="EH218" s="173">
        <f t="shared" si="702"/>
        <v>0.1420021445383764</v>
      </c>
      <c r="EI218" s="173">
        <f t="shared" si="703"/>
        <v>0.85050370913903683</v>
      </c>
      <c r="EK218" s="528">
        <f t="shared" si="704"/>
        <v>8.0658436213991772E-4</v>
      </c>
      <c r="EL218" s="528">
        <f t="shared" si="705"/>
        <v>6.3477154124999977E-2</v>
      </c>
      <c r="EM218" s="528">
        <f t="shared" si="706"/>
        <v>3.9689999999999977E-3</v>
      </c>
      <c r="EN218" s="528">
        <f t="shared" si="707"/>
        <v>9.5144016429964638E-3</v>
      </c>
      <c r="EO218">
        <f t="shared" si="708"/>
        <v>1.6199999999999999E-2</v>
      </c>
      <c r="EP218" s="460">
        <f t="shared" si="709"/>
        <v>20.168999999999997</v>
      </c>
      <c r="EQ218" s="460"/>
      <c r="ER218" s="460">
        <f t="shared" si="710"/>
        <v>93.967140130136357</v>
      </c>
      <c r="ES218" s="528">
        <f t="shared" si="711"/>
        <v>1.3999999999999999E-2</v>
      </c>
      <c r="EV218" s="460">
        <f t="shared" si="712"/>
        <v>13.999999999999998</v>
      </c>
      <c r="EW218" s="528">
        <f t="shared" si="713"/>
        <v>6.0493827160493826E-4</v>
      </c>
      <c r="EX218" s="528">
        <f t="shared" si="714"/>
        <v>2.1700696777777778E-2</v>
      </c>
      <c r="EY218" s="528">
        <f t="shared" si="715"/>
        <v>6.4575306770856618E-4</v>
      </c>
      <c r="EZ218" s="528"/>
      <c r="FA218" s="528">
        <f t="shared" si="716"/>
        <v>1.9599999999999999E-2</v>
      </c>
      <c r="FB218" s="460">
        <f t="shared" si="717"/>
        <v>42.551388117091285</v>
      </c>
      <c r="FC218" s="173">
        <f t="shared" si="718"/>
        <v>0.15051852824722764</v>
      </c>
      <c r="FD218" s="5">
        <f t="shared" si="719"/>
        <v>0.48</v>
      </c>
      <c r="FE218" s="173">
        <f t="shared" si="720"/>
        <v>0.76127818374243073</v>
      </c>
      <c r="FF218" s="5">
        <f t="shared" si="721"/>
        <v>76.127818374243077</v>
      </c>
      <c r="FI218" s="562">
        <f t="shared" si="676"/>
        <v>-50</v>
      </c>
      <c r="FJ218">
        <f t="shared" si="677"/>
        <v>-50</v>
      </c>
      <c r="FL218">
        <f t="shared" si="678"/>
        <v>2.6986506746626684E-2</v>
      </c>
    </row>
    <row r="219" spans="5:168">
      <c r="E219" s="170">
        <v>3</v>
      </c>
      <c r="F219" s="217">
        <f t="shared" si="679"/>
        <v>0.03</v>
      </c>
      <c r="G219" s="217"/>
      <c r="H219" s="217">
        <f t="shared" si="603"/>
        <v>0.72</v>
      </c>
      <c r="I219" s="541">
        <f t="shared" si="604"/>
        <v>35.92301996410805</v>
      </c>
      <c r="J219" s="172">
        <f t="shared" si="605"/>
        <v>16.356177530509115</v>
      </c>
      <c r="K219" s="172">
        <f t="shared" si="606"/>
        <v>52.279197494617165</v>
      </c>
      <c r="L219" s="443"/>
      <c r="M219" s="217">
        <f t="shared" si="607"/>
        <v>0.3128640612264586</v>
      </c>
      <c r="N219" s="172">
        <f t="shared" si="608"/>
        <v>63.045917836266661</v>
      </c>
      <c r="O219" s="172">
        <f t="shared" si="599"/>
        <v>0.72</v>
      </c>
      <c r="P219" s="217">
        <f t="shared" si="609"/>
        <v>2.6269132431777775</v>
      </c>
      <c r="Q219" s="217">
        <f t="shared" si="610"/>
        <v>24</v>
      </c>
      <c r="R219" s="217"/>
      <c r="S219" s="172">
        <f t="shared" si="611"/>
        <v>6598.5575840228475</v>
      </c>
      <c r="T219" s="172">
        <f t="shared" si="612"/>
        <v>24</v>
      </c>
      <c r="U219" s="217">
        <f t="shared" si="613"/>
        <v>0.1309129932125439</v>
      </c>
      <c r="V219" s="217">
        <f t="shared" si="614"/>
        <v>3.6442646899771697E-2</v>
      </c>
      <c r="W219" s="217">
        <f t="shared" si="615"/>
        <v>8.0038867864054675E-2</v>
      </c>
      <c r="X219" s="197">
        <f t="shared" si="616"/>
        <v>350</v>
      </c>
      <c r="Y219" s="443">
        <f t="shared" si="680"/>
        <v>350</v>
      </c>
      <c r="AA219" s="217">
        <f t="shared" si="617"/>
        <v>3.2111286003001851</v>
      </c>
      <c r="AB219" s="173">
        <f t="shared" si="618"/>
        <v>1.9632512512844025</v>
      </c>
      <c r="AC219" s="173">
        <f t="shared" si="619"/>
        <v>0.73586384301450503</v>
      </c>
      <c r="AD219" s="173"/>
      <c r="AE219" s="173">
        <f t="shared" si="620"/>
        <v>1.3586439851714256</v>
      </c>
      <c r="AF219" s="545">
        <f t="shared" si="621"/>
        <v>29.794236431137282</v>
      </c>
      <c r="AG219" s="528">
        <f t="shared" si="622"/>
        <v>0.35241715370918814</v>
      </c>
      <c r="AI219" s="173">
        <f t="shared" si="623"/>
        <v>0.64836504655656235</v>
      </c>
      <c r="AJ219" s="173">
        <f t="shared" si="624"/>
        <v>2.2222222222222223</v>
      </c>
      <c r="AK219" s="173">
        <f t="shared" si="625"/>
        <v>1.0170252779606499</v>
      </c>
      <c r="AM219" s="545">
        <f t="shared" si="626"/>
        <v>30</v>
      </c>
      <c r="AN219" s="460">
        <f t="shared" si="627"/>
        <v>29.794236431137282</v>
      </c>
      <c r="AP219">
        <f t="shared" si="628"/>
        <v>30</v>
      </c>
      <c r="AQ219">
        <f t="shared" si="629"/>
        <v>29.794236431137282</v>
      </c>
      <c r="AS219" s="5">
        <f t="shared" si="600"/>
        <v>33.563538448494107</v>
      </c>
      <c r="AT219" s="5">
        <f t="shared" si="630"/>
        <v>0.61860673864350013</v>
      </c>
      <c r="AU219" s="5">
        <f t="shared" si="478"/>
        <v>32.944931709850607</v>
      </c>
      <c r="AV219" s="5"/>
      <c r="AW219" s="173">
        <f t="shared" si="479"/>
        <v>1.8430915429039192E-2</v>
      </c>
      <c r="AX219" s="173">
        <f t="shared" si="631"/>
        <v>0.73566015879351332</v>
      </c>
      <c r="AY219" s="173">
        <f t="shared" si="632"/>
        <v>0.72745175489870106</v>
      </c>
      <c r="AZ219" s="173">
        <f t="shared" si="633"/>
        <v>1.0112837777069563</v>
      </c>
      <c r="BA219" s="460">
        <f t="shared" si="594"/>
        <v>7.7325842330437503E-2</v>
      </c>
      <c r="BB219" s="5">
        <f t="shared" si="595"/>
        <v>0.55025883251631469</v>
      </c>
      <c r="BD219" s="173">
        <f t="shared" si="681"/>
        <v>0.17418081248733353</v>
      </c>
      <c r="BE219" s="173">
        <f t="shared" si="682"/>
        <v>0.84783848961360087</v>
      </c>
      <c r="BG219" s="528">
        <f t="shared" si="683"/>
        <v>1.2135582175499058E-3</v>
      </c>
      <c r="BH219" s="528">
        <f t="shared" si="634"/>
        <v>7.7880938529237193E-2</v>
      </c>
      <c r="BI219" s="528">
        <f t="shared" si="635"/>
        <v>4.2811958005243997E-2</v>
      </c>
      <c r="BJ219" s="528">
        <f t="shared" si="684"/>
        <v>1.4250435382526454E-2</v>
      </c>
      <c r="BK219">
        <f t="shared" si="685"/>
        <v>1.6165358983848622E-2</v>
      </c>
      <c r="BL219" s="460">
        <f t="shared" si="686"/>
        <v>58.977316989092614</v>
      </c>
      <c r="BM219" s="528">
        <f t="shared" si="636"/>
        <v>9.3699610327917723E-2</v>
      </c>
      <c r="BN219" s="460">
        <f t="shared" si="687"/>
        <v>93.699610327917725</v>
      </c>
      <c r="BO219" s="528">
        <f t="shared" si="637"/>
        <v>2.0999999999999998E-2</v>
      </c>
      <c r="BR219" s="460">
        <f t="shared" si="688"/>
        <v>20.999999999999996</v>
      </c>
      <c r="BS219" s="528">
        <f t="shared" si="689"/>
        <v>9.1016866316242931E-4</v>
      </c>
      <c r="BT219" s="528">
        <f t="shared" si="690"/>
        <v>2.1564903134108158E-2</v>
      </c>
      <c r="BU219" s="528">
        <f t="shared" si="691"/>
        <v>1.7834846233136068E-3</v>
      </c>
      <c r="BV219" s="528"/>
      <c r="BW219" s="528">
        <f t="shared" si="692"/>
        <v>2.9426406351740535E-2</v>
      </c>
      <c r="BX219" s="460">
        <f t="shared" si="693"/>
        <v>53.684962772324738</v>
      </c>
      <c r="BY219" s="173">
        <f t="shared" si="694"/>
        <v>0.22700721189073092</v>
      </c>
      <c r="BZ219" s="5">
        <f t="shared" si="695"/>
        <v>0.72</v>
      </c>
      <c r="CA219" s="173">
        <f t="shared" si="696"/>
        <v>0.760289880541138</v>
      </c>
      <c r="CB219" s="5">
        <f t="shared" si="697"/>
        <v>76.028988054113796</v>
      </c>
      <c r="CE219" s="562">
        <f t="shared" si="638"/>
        <v>-50</v>
      </c>
      <c r="CF219">
        <f t="shared" si="639"/>
        <v>-50</v>
      </c>
      <c r="CG219" s="173">
        <f t="shared" si="640"/>
        <v>4.0899250703462987E-2</v>
      </c>
      <c r="CI219" s="170">
        <v>3</v>
      </c>
      <c r="CJ219" s="217">
        <f t="shared" si="698"/>
        <v>0.03</v>
      </c>
      <c r="CK219" s="217"/>
      <c r="CL219" s="217">
        <f t="shared" si="641"/>
        <v>0.72</v>
      </c>
      <c r="CM219" s="541">
        <f t="shared" si="642"/>
        <v>36</v>
      </c>
      <c r="CN219" s="443">
        <f t="shared" si="643"/>
        <v>16.3415</v>
      </c>
      <c r="CO219" s="443">
        <f t="shared" si="644"/>
        <v>52.341499999999996</v>
      </c>
      <c r="CP219" s="443"/>
      <c r="CQ219" s="217">
        <f t="shared" si="645"/>
        <v>0.31220924123305599</v>
      </c>
      <c r="CR219" s="172">
        <f t="shared" si="646"/>
        <v>63.048783011568261</v>
      </c>
      <c r="CS219" s="172">
        <f t="shared" si="647"/>
        <v>0.72</v>
      </c>
      <c r="CT219" s="217">
        <f t="shared" si="648"/>
        <v>2.6270326254820109</v>
      </c>
      <c r="CU219" s="217">
        <f t="shared" si="649"/>
        <v>24</v>
      </c>
      <c r="CV219" s="217"/>
      <c r="CW219" s="172">
        <f t="shared" si="650"/>
        <v>6612.6977338780625</v>
      </c>
      <c r="CX219" s="172">
        <f t="shared" si="651"/>
        <v>24</v>
      </c>
      <c r="CY219" s="217">
        <f t="shared" si="652"/>
        <v>0.12811920570327082</v>
      </c>
      <c r="CZ219" s="217">
        <f t="shared" si="653"/>
        <v>3.5588668250908555E-2</v>
      </c>
      <c r="DA219" s="217">
        <f t="shared" si="654"/>
        <v>7.8401129457681865E-2</v>
      </c>
      <c r="DB219" s="197">
        <f t="shared" si="655"/>
        <v>350</v>
      </c>
      <c r="DC219" s="443">
        <f t="shared" si="656"/>
        <v>350</v>
      </c>
      <c r="DE219" s="217">
        <f t="shared" si="657"/>
        <v>3.211295052682861</v>
      </c>
      <c r="DF219" s="173">
        <f t="shared" si="658"/>
        <v>1.96511645361984</v>
      </c>
      <c r="DG219" s="173">
        <f t="shared" si="659"/>
        <v>0.73660113681324435</v>
      </c>
      <c r="DH219" s="173"/>
      <c r="DI219" s="173">
        <f t="shared" si="660"/>
        <v>1.3598642855443031</v>
      </c>
      <c r="DJ219" s="545">
        <f t="shared" si="661"/>
        <v>29.767499999999988</v>
      </c>
      <c r="DK219" s="528">
        <f t="shared" si="662"/>
        <v>0.35273368606701955</v>
      </c>
      <c r="DM219" s="173">
        <f t="shared" si="663"/>
        <v>0.64807406984078597</v>
      </c>
      <c r="DN219" s="173">
        <f t="shared" si="664"/>
        <v>2.2222222222222223</v>
      </c>
      <c r="DO219" s="173">
        <f t="shared" si="665"/>
        <v>1.01701</v>
      </c>
      <c r="DQ219" s="545">
        <f t="shared" si="666"/>
        <v>30</v>
      </c>
      <c r="DR219" s="460">
        <f t="shared" si="667"/>
        <v>29.767499999999988</v>
      </c>
      <c r="DT219">
        <f t="shared" si="668"/>
        <v>30</v>
      </c>
      <c r="DU219">
        <f t="shared" si="669"/>
        <v>29.767499999999988</v>
      </c>
      <c r="DW219" s="5">
        <f t="shared" si="670"/>
        <v>33.593684387335195</v>
      </c>
      <c r="DX219" s="5">
        <f t="shared" si="671"/>
        <v>0.61728395061728403</v>
      </c>
      <c r="DY219" s="5">
        <f t="shared" si="672"/>
        <v>32.97640043671791</v>
      </c>
      <c r="DZ219" s="5"/>
      <c r="EA219" s="173">
        <f t="shared" si="673"/>
        <v>1.8374999999999996E-2</v>
      </c>
      <c r="EB219" s="173">
        <f t="shared" si="699"/>
        <v>0.73499999999999988</v>
      </c>
      <c r="EC219" s="173">
        <f t="shared" si="700"/>
        <v>0.72749319444444449</v>
      </c>
      <c r="ED219" s="173">
        <f t="shared" si="701"/>
        <v>1.0103187295948357</v>
      </c>
      <c r="EE219" s="460">
        <f t="shared" si="674"/>
        <v>7.7160493827160503E-2</v>
      </c>
      <c r="EF219" s="5">
        <f t="shared" si="675"/>
        <v>0.5496066739452985</v>
      </c>
      <c r="EH219" s="173">
        <f t="shared" si="702"/>
        <v>0.17391639824998362</v>
      </c>
      <c r="EI219" s="173">
        <f t="shared" si="703"/>
        <v>0.84786263797897032</v>
      </c>
      <c r="EK219" s="528">
        <f t="shared" si="704"/>
        <v>1.2098765432098761E-3</v>
      </c>
      <c r="EL219" s="528">
        <f t="shared" si="705"/>
        <v>9.5215731187499972E-2</v>
      </c>
      <c r="EM219" s="528">
        <f t="shared" si="706"/>
        <v>5.953499999999997E-3</v>
      </c>
      <c r="EN219" s="528">
        <f t="shared" si="707"/>
        <v>1.4271602464494696E-2</v>
      </c>
      <c r="EO219">
        <f t="shared" si="708"/>
        <v>1.6199999999999999E-2</v>
      </c>
      <c r="EP219" s="460">
        <f t="shared" si="709"/>
        <v>22.153499999999998</v>
      </c>
      <c r="EQ219" s="460"/>
      <c r="ER219" s="460">
        <f t="shared" si="710"/>
        <v>132.85071019520456</v>
      </c>
      <c r="ES219" s="528">
        <f t="shared" si="711"/>
        <v>2.0999999999999998E-2</v>
      </c>
      <c r="EV219" s="460">
        <f t="shared" si="712"/>
        <v>20.999999999999996</v>
      </c>
      <c r="EW219" s="528">
        <f t="shared" si="713"/>
        <v>9.0740740740740701E-4</v>
      </c>
      <c r="EX219" s="528">
        <f t="shared" si="714"/>
        <v>2.1566131586419752E-2</v>
      </c>
      <c r="EY219" s="528">
        <f t="shared" si="715"/>
        <v>1.7794862051882675E-3</v>
      </c>
      <c r="EZ219" s="528"/>
      <c r="FA219" s="528">
        <f t="shared" si="716"/>
        <v>2.9399999999999996E-2</v>
      </c>
      <c r="FB219" s="460">
        <f t="shared" si="717"/>
        <v>53.653025199015424</v>
      </c>
      <c r="FC219" s="173">
        <f t="shared" si="718"/>
        <v>0.20750373539422001</v>
      </c>
      <c r="FD219" s="5">
        <f t="shared" si="719"/>
        <v>0.72</v>
      </c>
      <c r="FE219" s="173">
        <f t="shared" si="720"/>
        <v>0.77627719708748777</v>
      </c>
      <c r="FF219" s="5">
        <f t="shared" si="721"/>
        <v>77.627719708748771</v>
      </c>
      <c r="FI219" s="562">
        <f t="shared" si="676"/>
        <v>-50</v>
      </c>
      <c r="FJ219">
        <f t="shared" si="677"/>
        <v>-50</v>
      </c>
      <c r="FL219">
        <f t="shared" si="678"/>
        <v>4.047976011994002E-2</v>
      </c>
    </row>
    <row r="220" spans="5:168">
      <c r="E220" s="170">
        <v>4</v>
      </c>
      <c r="F220" s="217">
        <f t="shared" si="679"/>
        <v>0.04</v>
      </c>
      <c r="G220" s="217"/>
      <c r="H220" s="217">
        <f t="shared" si="603"/>
        <v>0.96</v>
      </c>
      <c r="I220" s="541">
        <f t="shared" si="604"/>
        <v>35.92301996410805</v>
      </c>
      <c r="J220" s="172">
        <f t="shared" si="605"/>
        <v>16.356177530509115</v>
      </c>
      <c r="K220" s="172">
        <f t="shared" si="606"/>
        <v>52.279197494617165</v>
      </c>
      <c r="L220" s="443"/>
      <c r="M220" s="217">
        <f t="shared" si="607"/>
        <v>0.3128640612264586</v>
      </c>
      <c r="N220" s="172">
        <f t="shared" si="608"/>
        <v>63.045917836266661</v>
      </c>
      <c r="O220" s="172">
        <f t="shared" si="599"/>
        <v>0.96</v>
      </c>
      <c r="P220" s="217">
        <f t="shared" si="609"/>
        <v>2.6269132431777775</v>
      </c>
      <c r="Q220" s="217">
        <f t="shared" si="610"/>
        <v>24</v>
      </c>
      <c r="R220" s="217"/>
      <c r="S220" s="172">
        <f t="shared" si="611"/>
        <v>4935.4561828428677</v>
      </c>
      <c r="T220" s="172">
        <f t="shared" si="612"/>
        <v>24</v>
      </c>
      <c r="U220" s="217">
        <f t="shared" si="613"/>
        <v>0.1745506576167252</v>
      </c>
      <c r="V220" s="217">
        <f t="shared" si="614"/>
        <v>4.8590195866362262E-2</v>
      </c>
      <c r="W220" s="217">
        <f t="shared" si="615"/>
        <v>0.10671849048540623</v>
      </c>
      <c r="X220" s="197">
        <f t="shared" si="616"/>
        <v>350</v>
      </c>
      <c r="Y220" s="443">
        <f t="shared" si="680"/>
        <v>350</v>
      </c>
      <c r="AA220" s="217">
        <f t="shared" si="617"/>
        <v>3.2111286003001851</v>
      </c>
      <c r="AB220" s="173">
        <f t="shared" si="618"/>
        <v>1.9632512512844025</v>
      </c>
      <c r="AC220" s="173">
        <f t="shared" si="619"/>
        <v>0.73586384301450503</v>
      </c>
      <c r="AD220" s="173"/>
      <c r="AE220" s="173">
        <f t="shared" si="620"/>
        <v>1.3586439851714256</v>
      </c>
      <c r="AF220" s="545">
        <f t="shared" si="621"/>
        <v>39.725648574849707</v>
      </c>
      <c r="AG220" s="528">
        <f t="shared" si="622"/>
        <v>0.35241715370918814</v>
      </c>
      <c r="AI220" s="173">
        <f t="shared" si="623"/>
        <v>0.74866746832515108</v>
      </c>
      <c r="AJ220" s="173">
        <f t="shared" si="624"/>
        <v>2.2222222222222223</v>
      </c>
      <c r="AK220" s="173">
        <f t="shared" si="625"/>
        <v>1.0227003706141999</v>
      </c>
      <c r="AM220" s="545">
        <f t="shared" si="626"/>
        <v>40</v>
      </c>
      <c r="AN220" s="460">
        <f t="shared" si="627"/>
        <v>39.725648574849707</v>
      </c>
      <c r="AP220">
        <f t="shared" si="628"/>
        <v>40</v>
      </c>
      <c r="AQ220">
        <f t="shared" si="629"/>
        <v>39.725648574849707</v>
      </c>
      <c r="AS220" s="5">
        <f t="shared" si="600"/>
        <v>25.172653836370579</v>
      </c>
      <c r="AT220" s="5">
        <f t="shared" si="630"/>
        <v>0.61860673864350013</v>
      </c>
      <c r="AU220" s="5">
        <f t="shared" si="478"/>
        <v>24.554047097727079</v>
      </c>
      <c r="AV220" s="5"/>
      <c r="AW220" s="173">
        <f t="shared" si="479"/>
        <v>2.4574553905385588E-2</v>
      </c>
      <c r="AX220" s="173">
        <f t="shared" si="631"/>
        <v>0.98088021172468443</v>
      </c>
      <c r="AY220" s="173">
        <f t="shared" si="632"/>
        <v>0.72289863616123096</v>
      </c>
      <c r="AZ220" s="173">
        <f t="shared" si="633"/>
        <v>1.3568710226559548</v>
      </c>
      <c r="BA220" s="460">
        <f t="shared" si="594"/>
        <v>0.10310112310725002</v>
      </c>
      <c r="BB220" s="5">
        <f t="shared" si="595"/>
        <v>0.54681476384245842</v>
      </c>
      <c r="BD220" s="173">
        <f t="shared" si="681"/>
        <v>0.20112667795445949</v>
      </c>
      <c r="BE220" s="173">
        <f t="shared" si="682"/>
        <v>0.84518101529881895</v>
      </c>
      <c r="BG220" s="528">
        <f t="shared" si="683"/>
        <v>1.6180776233998746E-3</v>
      </c>
      <c r="BH220" s="528">
        <f t="shared" si="634"/>
        <v>0.10384125137231623</v>
      </c>
      <c r="BI220" s="528">
        <f t="shared" si="635"/>
        <v>5.7082610673658662E-2</v>
      </c>
      <c r="BJ220" s="528">
        <f t="shared" si="684"/>
        <v>1.9000580510035271E-2</v>
      </c>
      <c r="BK220">
        <f t="shared" si="685"/>
        <v>1.6165358983848622E-2</v>
      </c>
      <c r="BL220" s="460">
        <f t="shared" si="686"/>
        <v>73.247969657507284</v>
      </c>
      <c r="BM220" s="528">
        <f t="shared" si="636"/>
        <v>0.12494482615761131</v>
      </c>
      <c r="BN220" s="460">
        <f t="shared" si="687"/>
        <v>124.9448261576113</v>
      </c>
      <c r="BO220" s="528">
        <f t="shared" si="637"/>
        <v>2.7999999999999997E-2</v>
      </c>
      <c r="BR220" s="460">
        <f t="shared" si="688"/>
        <v>27.999999999999996</v>
      </c>
      <c r="BS220" s="528">
        <f t="shared" si="689"/>
        <v>1.2135582175499058E-3</v>
      </c>
      <c r="BT220" s="528">
        <f t="shared" si="690"/>
        <v>2.1429928458646271E-2</v>
      </c>
      <c r="BU220" s="528">
        <f t="shared" si="691"/>
        <v>3.661138941744605E-3</v>
      </c>
      <c r="BV220" s="528"/>
      <c r="BW220" s="528">
        <f t="shared" si="692"/>
        <v>3.923520846898737E-2</v>
      </c>
      <c r="BX220" s="460">
        <f t="shared" si="693"/>
        <v>65.539834086928153</v>
      </c>
      <c r="BY220" s="173">
        <f t="shared" si="694"/>
        <v>0.29124771325018678</v>
      </c>
      <c r="BZ220" s="5">
        <f t="shared" si="695"/>
        <v>0.96</v>
      </c>
      <c r="CA220" s="173">
        <f t="shared" si="696"/>
        <v>0.76723416940866629</v>
      </c>
      <c r="CB220" s="5">
        <f t="shared" si="697"/>
        <v>76.723416940866628</v>
      </c>
      <c r="CE220" s="562">
        <f t="shared" si="638"/>
        <v>-50</v>
      </c>
      <c r="CF220">
        <f t="shared" si="639"/>
        <v>-50</v>
      </c>
      <c r="CG220" s="173">
        <f t="shared" si="640"/>
        <v>5.4532334271283983E-2</v>
      </c>
      <c r="CI220" s="170">
        <v>4</v>
      </c>
      <c r="CJ220" s="217">
        <f t="shared" si="698"/>
        <v>0.04</v>
      </c>
      <c r="CK220" s="217"/>
      <c r="CL220" s="217">
        <f t="shared" si="641"/>
        <v>0.96</v>
      </c>
      <c r="CM220" s="541">
        <f t="shared" si="642"/>
        <v>36</v>
      </c>
      <c r="CN220" s="443">
        <f t="shared" si="643"/>
        <v>16.3415</v>
      </c>
      <c r="CO220" s="443">
        <f t="shared" si="644"/>
        <v>52.341499999999996</v>
      </c>
      <c r="CP220" s="443"/>
      <c r="CQ220" s="217">
        <f t="shared" si="645"/>
        <v>0.31220924123305599</v>
      </c>
      <c r="CR220" s="172">
        <f t="shared" si="646"/>
        <v>63.048783011568261</v>
      </c>
      <c r="CS220" s="172">
        <f t="shared" si="647"/>
        <v>0.96</v>
      </c>
      <c r="CT220" s="217">
        <f t="shared" si="648"/>
        <v>2.6270326254820109</v>
      </c>
      <c r="CU220" s="217">
        <f t="shared" si="649"/>
        <v>24</v>
      </c>
      <c r="CV220" s="217"/>
      <c r="CW220" s="172">
        <f t="shared" si="650"/>
        <v>4946.0324421480582</v>
      </c>
      <c r="CX220" s="172">
        <f t="shared" si="651"/>
        <v>24</v>
      </c>
      <c r="CY220" s="217">
        <f t="shared" si="652"/>
        <v>0.17082560760436108</v>
      </c>
      <c r="CZ220" s="217">
        <f t="shared" si="653"/>
        <v>4.7451557667878085E-2</v>
      </c>
      <c r="DA220" s="217">
        <f t="shared" si="654"/>
        <v>0.10453483927690915</v>
      </c>
      <c r="DB220" s="197">
        <f t="shared" si="655"/>
        <v>350</v>
      </c>
      <c r="DC220" s="443">
        <f t="shared" si="656"/>
        <v>350</v>
      </c>
      <c r="DE220" s="217">
        <f t="shared" si="657"/>
        <v>3.211295052682861</v>
      </c>
      <c r="DF220" s="173">
        <f t="shared" si="658"/>
        <v>1.96511645361984</v>
      </c>
      <c r="DG220" s="173">
        <f t="shared" si="659"/>
        <v>0.73660113681324435</v>
      </c>
      <c r="DH220" s="173"/>
      <c r="DI220" s="173">
        <f t="shared" si="660"/>
        <v>1.3598642855443031</v>
      </c>
      <c r="DJ220" s="545">
        <f t="shared" si="661"/>
        <v>39.689999999999984</v>
      </c>
      <c r="DK220" s="528">
        <f t="shared" si="662"/>
        <v>0.35273368606701955</v>
      </c>
      <c r="DM220" s="173">
        <f t="shared" si="663"/>
        <v>0.74833147735478822</v>
      </c>
      <c r="DN220" s="173">
        <f t="shared" si="664"/>
        <v>2.2222222222222223</v>
      </c>
      <c r="DO220" s="173">
        <f t="shared" si="665"/>
        <v>1.02268</v>
      </c>
      <c r="DQ220" s="545">
        <f t="shared" si="666"/>
        <v>40</v>
      </c>
      <c r="DR220" s="460">
        <f t="shared" si="667"/>
        <v>39.689999999999984</v>
      </c>
      <c r="DT220">
        <f t="shared" si="668"/>
        <v>40</v>
      </c>
      <c r="DU220">
        <f t="shared" si="669"/>
        <v>39.689999999999984</v>
      </c>
      <c r="DW220" s="5">
        <f t="shared" si="670"/>
        <v>25.195263290501398</v>
      </c>
      <c r="DX220" s="5">
        <f t="shared" si="671"/>
        <v>0.61728395061728403</v>
      </c>
      <c r="DY220" s="5">
        <f t="shared" si="672"/>
        <v>24.577979339884113</v>
      </c>
      <c r="DZ220" s="5"/>
      <c r="EA220" s="173">
        <f t="shared" si="673"/>
        <v>2.4499999999999991E-2</v>
      </c>
      <c r="EB220" s="173">
        <f t="shared" si="699"/>
        <v>0.97999999999999976</v>
      </c>
      <c r="EC220" s="173">
        <f t="shared" si="700"/>
        <v>0.72295388888888901</v>
      </c>
      <c r="ED220" s="173">
        <f t="shared" si="701"/>
        <v>1.3555498007019038</v>
      </c>
      <c r="EE220" s="460">
        <f t="shared" si="674"/>
        <v>0.10288065843621401</v>
      </c>
      <c r="EF220" s="5">
        <f t="shared" si="675"/>
        <v>0.54617731866409125</v>
      </c>
      <c r="EH220" s="173">
        <f t="shared" si="702"/>
        <v>0.20082135869223638</v>
      </c>
      <c r="EI220" s="173">
        <f t="shared" si="703"/>
        <v>0.8452133142006566</v>
      </c>
      <c r="EK220" s="528">
        <f t="shared" si="704"/>
        <v>1.6131687242798346E-3</v>
      </c>
      <c r="EL220" s="528">
        <f t="shared" si="705"/>
        <v>0.12695430824999995</v>
      </c>
      <c r="EM220" s="528">
        <f t="shared" si="706"/>
        <v>7.9379999999999954E-3</v>
      </c>
      <c r="EN220" s="528">
        <f t="shared" si="707"/>
        <v>1.9028803285992928E-2</v>
      </c>
      <c r="EO220">
        <f t="shared" si="708"/>
        <v>1.6199999999999999E-2</v>
      </c>
      <c r="EP220" s="460">
        <f t="shared" si="709"/>
        <v>24.137999999999991</v>
      </c>
      <c r="EQ220" s="460"/>
      <c r="ER220" s="460">
        <f t="shared" si="710"/>
        <v>171.7342802602727</v>
      </c>
      <c r="ES220" s="528">
        <f t="shared" si="711"/>
        <v>2.7999999999999997E-2</v>
      </c>
      <c r="EV220" s="460">
        <f t="shared" si="712"/>
        <v>27.999999999999996</v>
      </c>
      <c r="EW220" s="528">
        <f t="shared" si="713"/>
        <v>1.2098765432098759E-3</v>
      </c>
      <c r="EX220" s="528">
        <f t="shared" si="714"/>
        <v>2.1431566395061736E-2</v>
      </c>
      <c r="EY220" s="528">
        <f t="shared" si="715"/>
        <v>3.6529309851899478E-3</v>
      </c>
      <c r="EZ220" s="528"/>
      <c r="FA220" s="528">
        <f t="shared" si="716"/>
        <v>3.9199999999999999E-2</v>
      </c>
      <c r="FB220" s="460">
        <f t="shared" si="717"/>
        <v>65.494373923461552</v>
      </c>
      <c r="FC220" s="173">
        <f t="shared" si="718"/>
        <v>0.26522865418373426</v>
      </c>
      <c r="FD220" s="5">
        <f t="shared" si="719"/>
        <v>0.96</v>
      </c>
      <c r="FE220" s="173">
        <f t="shared" si="720"/>
        <v>0.78352721895780864</v>
      </c>
      <c r="FF220" s="5">
        <f t="shared" si="721"/>
        <v>78.35272189578086</v>
      </c>
      <c r="FI220" s="562">
        <f t="shared" si="676"/>
        <v>-50</v>
      </c>
      <c r="FJ220">
        <f t="shared" si="677"/>
        <v>-50</v>
      </c>
      <c r="FL220">
        <f t="shared" si="678"/>
        <v>5.3973013493253369E-2</v>
      </c>
    </row>
    <row r="221" spans="5:168">
      <c r="E221" s="170">
        <v>5</v>
      </c>
      <c r="F221" s="217">
        <f t="shared" si="679"/>
        <v>0.05</v>
      </c>
      <c r="G221" s="217"/>
      <c r="H221" s="217">
        <f t="shared" si="603"/>
        <v>1.2000000000000002</v>
      </c>
      <c r="I221" s="541">
        <f t="shared" si="604"/>
        <v>35.92301996410805</v>
      </c>
      <c r="J221" s="172">
        <f t="shared" si="605"/>
        <v>16.356177530509115</v>
      </c>
      <c r="K221" s="172">
        <f t="shared" si="606"/>
        <v>52.279197494617165</v>
      </c>
      <c r="L221" s="443"/>
      <c r="M221" s="217">
        <f t="shared" si="607"/>
        <v>0.3128640612264586</v>
      </c>
      <c r="N221" s="172">
        <f t="shared" si="608"/>
        <v>63.045917836266661</v>
      </c>
      <c r="O221" s="172">
        <f t="shared" si="599"/>
        <v>1.2000000000000002</v>
      </c>
      <c r="P221" s="217">
        <f t="shared" si="609"/>
        <v>2.6269132431777775</v>
      </c>
      <c r="Q221" s="217">
        <f t="shared" si="610"/>
        <v>24</v>
      </c>
      <c r="R221" s="217"/>
      <c r="S221" s="172">
        <f t="shared" si="611"/>
        <v>3937.5958995586811</v>
      </c>
      <c r="T221" s="172">
        <f t="shared" si="612"/>
        <v>24</v>
      </c>
      <c r="U221" s="217">
        <f t="shared" si="613"/>
        <v>0.21818832202090652</v>
      </c>
      <c r="V221" s="217">
        <f t="shared" si="614"/>
        <v>6.0737744832952849E-2</v>
      </c>
      <c r="W221" s="217">
        <f t="shared" si="615"/>
        <v>0.13339811310675781</v>
      </c>
      <c r="X221" s="197">
        <f t="shared" si="616"/>
        <v>350</v>
      </c>
      <c r="Y221" s="443">
        <f t="shared" si="680"/>
        <v>350</v>
      </c>
      <c r="AA221" s="217">
        <f t="shared" si="617"/>
        <v>3.2111286003001851</v>
      </c>
      <c r="AB221" s="173">
        <f t="shared" si="618"/>
        <v>1.9632512512844025</v>
      </c>
      <c r="AC221" s="173">
        <f t="shared" si="619"/>
        <v>0.73586384301450503</v>
      </c>
      <c r="AD221" s="173"/>
      <c r="AE221" s="173">
        <f t="shared" si="620"/>
        <v>1.3586439851714256</v>
      </c>
      <c r="AF221" s="545">
        <f t="shared" si="621"/>
        <v>49.657060718562136</v>
      </c>
      <c r="AG221" s="528">
        <f t="shared" si="622"/>
        <v>0.35241715370918814</v>
      </c>
      <c r="AI221" s="173">
        <f t="shared" si="623"/>
        <v>0.8370356758588543</v>
      </c>
      <c r="AJ221" s="173">
        <f t="shared" si="624"/>
        <v>2.2222222222222223</v>
      </c>
      <c r="AK221" s="173">
        <f t="shared" si="625"/>
        <v>1.0283754632677498</v>
      </c>
      <c r="AM221" s="545">
        <f t="shared" si="626"/>
        <v>50</v>
      </c>
      <c r="AN221" s="460">
        <f t="shared" si="627"/>
        <v>49.657060718562136</v>
      </c>
      <c r="AP221">
        <f t="shared" si="628"/>
        <v>50</v>
      </c>
      <c r="AQ221">
        <f t="shared" si="629"/>
        <v>49.657060718562136</v>
      </c>
      <c r="AS221" s="5">
        <f t="shared" si="600"/>
        <v>20.138123069096466</v>
      </c>
      <c r="AT221" s="5">
        <f t="shared" si="630"/>
        <v>0.61860673864350013</v>
      </c>
      <c r="AU221" s="5">
        <f t="shared" si="478"/>
        <v>19.519516330452966</v>
      </c>
      <c r="AV221" s="5"/>
      <c r="AW221" s="173">
        <f t="shared" si="479"/>
        <v>3.0718192381731981E-2</v>
      </c>
      <c r="AX221" s="173">
        <f t="shared" si="631"/>
        <v>1.2261002646558556</v>
      </c>
      <c r="AY221" s="173">
        <f t="shared" si="632"/>
        <v>0.71834551742376085</v>
      </c>
      <c r="AZ221" s="173">
        <f t="shared" si="633"/>
        <v>1.7068391671087215</v>
      </c>
      <c r="BA221" s="460">
        <f t="shared" si="594"/>
        <v>0.12887640388406252</v>
      </c>
      <c r="BB221" s="5">
        <f t="shared" si="595"/>
        <v>0.54337069516860215</v>
      </c>
      <c r="BD221" s="173">
        <f t="shared" si="681"/>
        <v>0.22486646199743987</v>
      </c>
      <c r="BE221" s="173">
        <f t="shared" si="682"/>
        <v>0.84251515877924277</v>
      </c>
      <c r="BG221" s="528">
        <f t="shared" si="683"/>
        <v>2.0225970292498427E-3</v>
      </c>
      <c r="BH221" s="528">
        <f t="shared" si="634"/>
        <v>0.12980156421539532</v>
      </c>
      <c r="BI221" s="528">
        <f t="shared" si="635"/>
        <v>7.1353263342073328E-2</v>
      </c>
      <c r="BJ221" s="528">
        <f t="shared" si="684"/>
        <v>2.3750725637544091E-2</v>
      </c>
      <c r="BK221">
        <f t="shared" si="685"/>
        <v>1.6165358983848622E-2</v>
      </c>
      <c r="BL221" s="460">
        <f t="shared" si="686"/>
        <v>87.518622325921953</v>
      </c>
      <c r="BM221" s="528">
        <f t="shared" si="636"/>
        <v>0.1561960510686107</v>
      </c>
      <c r="BN221" s="460">
        <f t="shared" si="687"/>
        <v>156.1960510686107</v>
      </c>
      <c r="BO221" s="528">
        <f t="shared" si="637"/>
        <v>3.4999999999999996E-2</v>
      </c>
      <c r="BR221" s="460">
        <f t="shared" si="688"/>
        <v>34.999999999999993</v>
      </c>
      <c r="BS221" s="528">
        <f t="shared" si="689"/>
        <v>1.5169477719373819E-3</v>
      </c>
      <c r="BT221" s="528">
        <f t="shared" si="690"/>
        <v>2.1294953783184377E-2</v>
      </c>
      <c r="BU221" s="528">
        <f t="shared" si="691"/>
        <v>6.3957465225098244E-3</v>
      </c>
      <c r="BV221" s="528"/>
      <c r="BW221" s="528">
        <f t="shared" si="692"/>
        <v>4.904401058623422E-2</v>
      </c>
      <c r="BX221" s="460">
        <f t="shared" si="693"/>
        <v>78.251658663865797</v>
      </c>
      <c r="BY221" s="173">
        <f t="shared" si="694"/>
        <v>0.35634516787197701</v>
      </c>
      <c r="BZ221" s="5">
        <f t="shared" si="695"/>
        <v>1.2000000000000002</v>
      </c>
      <c r="CA221" s="173">
        <f t="shared" si="696"/>
        <v>0.77103718684768685</v>
      </c>
      <c r="CB221" s="5">
        <f t="shared" si="697"/>
        <v>77.10371868476868</v>
      </c>
      <c r="CE221" s="562">
        <f t="shared" si="638"/>
        <v>-50</v>
      </c>
      <c r="CF221">
        <f t="shared" si="639"/>
        <v>-50</v>
      </c>
      <c r="CG221" s="173">
        <f t="shared" si="640"/>
        <v>6.8165417839104986E-2</v>
      </c>
      <c r="CI221" s="170">
        <v>5</v>
      </c>
      <c r="CJ221" s="217">
        <f t="shared" si="698"/>
        <v>0.05</v>
      </c>
      <c r="CK221" s="217"/>
      <c r="CL221" s="217">
        <f t="shared" si="641"/>
        <v>1.2000000000000002</v>
      </c>
      <c r="CM221" s="541">
        <f t="shared" si="642"/>
        <v>36</v>
      </c>
      <c r="CN221" s="443">
        <f t="shared" si="643"/>
        <v>16.3415</v>
      </c>
      <c r="CO221" s="443">
        <f t="shared" si="644"/>
        <v>52.341499999999996</v>
      </c>
      <c r="CP221" s="443"/>
      <c r="CQ221" s="217">
        <f t="shared" si="645"/>
        <v>0.31220924123305599</v>
      </c>
      <c r="CR221" s="172">
        <f t="shared" si="646"/>
        <v>63.048783011568261</v>
      </c>
      <c r="CS221" s="172">
        <f t="shared" si="647"/>
        <v>1.2000000000000002</v>
      </c>
      <c r="CT221" s="217">
        <f t="shared" si="648"/>
        <v>2.6270326254820109</v>
      </c>
      <c r="CU221" s="217">
        <f t="shared" si="649"/>
        <v>24</v>
      </c>
      <c r="CV221" s="217"/>
      <c r="CW221" s="172">
        <f t="shared" si="650"/>
        <v>3946.0338245342268</v>
      </c>
      <c r="CX221" s="172">
        <f t="shared" si="651"/>
        <v>24</v>
      </c>
      <c r="CY221" s="217">
        <f t="shared" si="652"/>
        <v>0.2135320095054514</v>
      </c>
      <c r="CZ221" s="217">
        <f t="shared" si="653"/>
        <v>5.9314447084847614E-2</v>
      </c>
      <c r="DA221" s="217">
        <f t="shared" si="654"/>
        <v>0.13066854909613645</v>
      </c>
      <c r="DB221" s="197">
        <f t="shared" si="655"/>
        <v>350</v>
      </c>
      <c r="DC221" s="443">
        <f t="shared" si="656"/>
        <v>350</v>
      </c>
      <c r="DE221" s="217">
        <f t="shared" si="657"/>
        <v>3.211295052682861</v>
      </c>
      <c r="DF221" s="173">
        <f t="shared" si="658"/>
        <v>1.96511645361984</v>
      </c>
      <c r="DG221" s="173">
        <f t="shared" si="659"/>
        <v>0.73660113681324435</v>
      </c>
      <c r="DH221" s="173"/>
      <c r="DI221" s="173">
        <f t="shared" si="660"/>
        <v>1.3598642855443031</v>
      </c>
      <c r="DJ221" s="545">
        <f t="shared" si="661"/>
        <v>49.612499999999983</v>
      </c>
      <c r="DK221" s="528">
        <f t="shared" si="662"/>
        <v>0.35273368606701955</v>
      </c>
      <c r="DM221" s="173">
        <f t="shared" si="663"/>
        <v>0.83666002653407556</v>
      </c>
      <c r="DN221" s="173">
        <f t="shared" si="664"/>
        <v>2.2222222222222223</v>
      </c>
      <c r="DO221" s="173">
        <f t="shared" si="665"/>
        <v>1.0283500000000001</v>
      </c>
      <c r="DQ221" s="545">
        <f t="shared" si="666"/>
        <v>50</v>
      </c>
      <c r="DR221" s="460">
        <f t="shared" si="667"/>
        <v>49.612499999999983</v>
      </c>
      <c r="DT221">
        <f t="shared" si="668"/>
        <v>50</v>
      </c>
      <c r="DU221">
        <f t="shared" si="669"/>
        <v>49.612499999999983</v>
      </c>
      <c r="DW221" s="5">
        <f t="shared" si="670"/>
        <v>20.156210632401116</v>
      </c>
      <c r="DX221" s="5">
        <f t="shared" si="671"/>
        <v>0.61728395061728403</v>
      </c>
      <c r="DY221" s="5">
        <f t="shared" si="672"/>
        <v>19.538926681783831</v>
      </c>
      <c r="DZ221" s="5"/>
      <c r="EA221" s="173">
        <f t="shared" si="673"/>
        <v>3.0624999999999993E-2</v>
      </c>
      <c r="EB221" s="173">
        <f t="shared" si="699"/>
        <v>1.2249999999999996</v>
      </c>
      <c r="EC221" s="173">
        <f t="shared" si="700"/>
        <v>0.71841458333333341</v>
      </c>
      <c r="ED221" s="173">
        <f t="shared" si="701"/>
        <v>1.7051435597481717</v>
      </c>
      <c r="EE221" s="460">
        <f t="shared" si="674"/>
        <v>0.12860082304526749</v>
      </c>
      <c r="EF221" s="5">
        <f t="shared" si="675"/>
        <v>0.54274796338288422</v>
      </c>
      <c r="EH221" s="173">
        <f t="shared" si="702"/>
        <v>0.22452510468485445</v>
      </c>
      <c r="EI221" s="173">
        <f t="shared" si="703"/>
        <v>0.84255565995574244</v>
      </c>
      <c r="EK221" s="528">
        <f t="shared" si="704"/>
        <v>2.0164609053497941E-3</v>
      </c>
      <c r="EL221" s="528">
        <f t="shared" si="705"/>
        <v>0.15869288531249995</v>
      </c>
      <c r="EM221" s="528">
        <f t="shared" si="706"/>
        <v>9.9224999999999973E-3</v>
      </c>
      <c r="EN221" s="528">
        <f t="shared" si="707"/>
        <v>2.3786004107491161E-2</v>
      </c>
      <c r="EO221">
        <f t="shared" si="708"/>
        <v>1.6199999999999999E-2</v>
      </c>
      <c r="EP221" s="460">
        <f t="shared" si="709"/>
        <v>26.122499999999995</v>
      </c>
      <c r="EQ221" s="460"/>
      <c r="ER221" s="460">
        <f t="shared" si="710"/>
        <v>210.6178503253409</v>
      </c>
      <c r="ES221" s="528">
        <f t="shared" si="711"/>
        <v>3.4999999999999996E-2</v>
      </c>
      <c r="EV221" s="460">
        <f t="shared" si="712"/>
        <v>34.999999999999993</v>
      </c>
      <c r="EW221" s="528">
        <f t="shared" si="713"/>
        <v>1.5123456790123455E-3</v>
      </c>
      <c r="EX221" s="528">
        <f t="shared" si="714"/>
        <v>2.1297001203703699E-2</v>
      </c>
      <c r="EY221" s="528">
        <f t="shared" si="715"/>
        <v>6.3814078124999974E-3</v>
      </c>
      <c r="EZ221" s="528"/>
      <c r="FA221" s="528">
        <f t="shared" si="716"/>
        <v>4.9000000000000002E-2</v>
      </c>
      <c r="FB221" s="460">
        <f t="shared" si="717"/>
        <v>78.190754695216043</v>
      </c>
      <c r="FC221" s="173">
        <f t="shared" si="718"/>
        <v>0.32380860502055692</v>
      </c>
      <c r="FD221" s="5">
        <f t="shared" si="719"/>
        <v>1.2000000000000002</v>
      </c>
      <c r="FE221" s="173">
        <f t="shared" si="720"/>
        <v>0.78750047482755325</v>
      </c>
      <c r="FF221" s="5">
        <f t="shared" si="721"/>
        <v>78.750047482755321</v>
      </c>
      <c r="FI221" s="562">
        <f t="shared" si="676"/>
        <v>-50</v>
      </c>
      <c r="FJ221">
        <f t="shared" si="677"/>
        <v>-50</v>
      </c>
      <c r="FL221">
        <f t="shared" si="678"/>
        <v>6.7466266866566704E-2</v>
      </c>
    </row>
    <row r="222" spans="5:168">
      <c r="E222" s="170">
        <v>6</v>
      </c>
      <c r="F222" s="217">
        <f t="shared" si="679"/>
        <v>0.06</v>
      </c>
      <c r="G222" s="217"/>
      <c r="H222" s="217">
        <f t="shared" si="603"/>
        <v>1.44</v>
      </c>
      <c r="I222" s="541">
        <f t="shared" si="604"/>
        <v>35.92301996410805</v>
      </c>
      <c r="J222" s="172">
        <f t="shared" si="605"/>
        <v>16.356177530509115</v>
      </c>
      <c r="K222" s="172">
        <f t="shared" si="606"/>
        <v>52.279197494617165</v>
      </c>
      <c r="L222" s="443"/>
      <c r="M222" s="217">
        <f t="shared" si="607"/>
        <v>0.3128640612264586</v>
      </c>
      <c r="N222" s="172">
        <f t="shared" si="608"/>
        <v>63.045917836266661</v>
      </c>
      <c r="O222" s="172">
        <f t="shared" si="599"/>
        <v>1.44</v>
      </c>
      <c r="P222" s="217">
        <f t="shared" si="609"/>
        <v>2.6269132431777775</v>
      </c>
      <c r="Q222" s="217">
        <f t="shared" si="610"/>
        <v>24</v>
      </c>
      <c r="R222" s="217"/>
      <c r="S222" s="172">
        <f t="shared" si="611"/>
        <v>3272.3561790071753</v>
      </c>
      <c r="T222" s="172">
        <f t="shared" si="612"/>
        <v>24</v>
      </c>
      <c r="U222" s="217">
        <f t="shared" si="613"/>
        <v>0.26182598642508781</v>
      </c>
      <c r="V222" s="217">
        <f t="shared" si="614"/>
        <v>7.2885293799543394E-2</v>
      </c>
      <c r="W222" s="217">
        <f t="shared" si="615"/>
        <v>0.16007773572810935</v>
      </c>
      <c r="X222" s="197">
        <f t="shared" si="616"/>
        <v>350</v>
      </c>
      <c r="Y222" s="443">
        <f t="shared" si="680"/>
        <v>350</v>
      </c>
      <c r="AA222" s="217">
        <f t="shared" si="617"/>
        <v>3.2111286003001851</v>
      </c>
      <c r="AB222" s="173">
        <f t="shared" si="618"/>
        <v>1.9632512512844025</v>
      </c>
      <c r="AC222" s="173">
        <f t="shared" si="619"/>
        <v>0.73586384301450503</v>
      </c>
      <c r="AD222" s="173"/>
      <c r="AE222" s="173">
        <f t="shared" si="620"/>
        <v>1.3586439851714256</v>
      </c>
      <c r="AF222" s="545">
        <f t="shared" si="621"/>
        <v>59.588472862274564</v>
      </c>
      <c r="AG222" s="528">
        <f t="shared" si="622"/>
        <v>0.35241715370918814</v>
      </c>
      <c r="AI222" s="173">
        <f t="shared" si="623"/>
        <v>0.9169266422089537</v>
      </c>
      <c r="AJ222" s="173">
        <f t="shared" si="624"/>
        <v>2.2222222222222223</v>
      </c>
      <c r="AK222" s="173">
        <f t="shared" si="625"/>
        <v>1.0340505559212998</v>
      </c>
      <c r="AM222" s="545">
        <f t="shared" si="626"/>
        <v>60</v>
      </c>
      <c r="AN222" s="460">
        <f>IF(F222&gt;AG222, Y222, AF222)</f>
        <v>59.588472862274564</v>
      </c>
      <c r="AP222">
        <f t="shared" si="628"/>
        <v>60</v>
      </c>
      <c r="AQ222">
        <f t="shared" si="629"/>
        <v>59.588472862274564</v>
      </c>
      <c r="AS222" s="5">
        <f t="shared" si="600"/>
        <v>16.781769224247054</v>
      </c>
      <c r="AT222" s="5">
        <f t="shared" si="630"/>
        <v>0.61860673864350013</v>
      </c>
      <c r="AU222" s="5">
        <f t="shared" si="478"/>
        <v>16.163162485603554</v>
      </c>
      <c r="AV222" s="5"/>
      <c r="AW222" s="173">
        <f t="shared" si="479"/>
        <v>3.6861830858078384E-2</v>
      </c>
      <c r="AX222" s="173">
        <f t="shared" si="631"/>
        <v>1.4713203175870266</v>
      </c>
      <c r="AY222" s="173">
        <f t="shared" si="632"/>
        <v>0.71379239868629085</v>
      </c>
      <c r="AZ222" s="173">
        <f t="shared" si="633"/>
        <v>2.0612720453383067</v>
      </c>
      <c r="BA222" s="460">
        <f t="shared" si="594"/>
        <v>0.15465168466087501</v>
      </c>
      <c r="BB222" s="5">
        <f t="shared" si="595"/>
        <v>0.53992662649474565</v>
      </c>
      <c r="BD222" s="173">
        <f t="shared" si="681"/>
        <v>0.24632886732475204</v>
      </c>
      <c r="BE222" s="173">
        <f t="shared" si="682"/>
        <v>0.83984084023348315</v>
      </c>
      <c r="BG222" s="528">
        <f t="shared" si="683"/>
        <v>2.4271164350998116E-3</v>
      </c>
      <c r="BH222" s="528">
        <f t="shared" si="634"/>
        <v>0.15576187705847439</v>
      </c>
      <c r="BI222" s="528">
        <f t="shared" si="635"/>
        <v>8.5623916010487994E-2</v>
      </c>
      <c r="BJ222" s="528">
        <f t="shared" si="684"/>
        <v>2.8500870765052908E-2</v>
      </c>
      <c r="BK222">
        <f t="shared" si="685"/>
        <v>1.6165358983848622E-2</v>
      </c>
      <c r="BL222" s="460">
        <f t="shared" si="686"/>
        <v>101.78927499433661</v>
      </c>
      <c r="BM222" s="528">
        <f t="shared" si="636"/>
        <v>0.18745328679458262</v>
      </c>
      <c r="BN222" s="460">
        <f t="shared" si="687"/>
        <v>187.45328679458262</v>
      </c>
      <c r="BO222" s="528">
        <f t="shared" si="637"/>
        <v>4.1999999999999996E-2</v>
      </c>
      <c r="BR222" s="460">
        <f t="shared" si="688"/>
        <v>41.999999999999993</v>
      </c>
      <c r="BS222" s="528">
        <f t="shared" si="689"/>
        <v>1.8203373263248586E-3</v>
      </c>
      <c r="BT222" s="528">
        <f t="shared" si="690"/>
        <v>2.115997910772249E-2</v>
      </c>
      <c r="BU222" s="528">
        <f t="shared" si="691"/>
        <v>1.0088912570295903E-2</v>
      </c>
      <c r="BV222" s="528"/>
      <c r="BW222" s="528">
        <f t="shared" si="692"/>
        <v>5.8852812703481069E-2</v>
      </c>
      <c r="BX222" s="460">
        <f t="shared" si="693"/>
        <v>91.92204170782432</v>
      </c>
      <c r="BY222" s="173">
        <f t="shared" si="694"/>
        <v>0.4224011809607881</v>
      </c>
      <c r="BZ222" s="5">
        <f t="shared" si="695"/>
        <v>1.44</v>
      </c>
      <c r="CA222" s="173">
        <f t="shared" si="696"/>
        <v>0.77319538600008997</v>
      </c>
      <c r="CB222" s="5">
        <f t="shared" si="697"/>
        <v>77.319538600008997</v>
      </c>
      <c r="CE222" s="562">
        <f t="shared" si="638"/>
        <v>-50</v>
      </c>
      <c r="CF222">
        <f t="shared" si="639"/>
        <v>-50</v>
      </c>
      <c r="CG222" s="173">
        <f t="shared" si="640"/>
        <v>8.1798501406925975E-2</v>
      </c>
      <c r="CI222" s="170">
        <v>6</v>
      </c>
      <c r="CJ222" s="217">
        <f t="shared" si="698"/>
        <v>0.06</v>
      </c>
      <c r="CK222" s="217"/>
      <c r="CL222" s="217">
        <f t="shared" si="641"/>
        <v>1.44</v>
      </c>
      <c r="CM222" s="541">
        <f t="shared" si="642"/>
        <v>36</v>
      </c>
      <c r="CN222" s="443">
        <f t="shared" si="643"/>
        <v>16.3415</v>
      </c>
      <c r="CO222" s="443">
        <f t="shared" si="644"/>
        <v>52.341499999999996</v>
      </c>
      <c r="CP222" s="443"/>
      <c r="CQ222" s="217">
        <f t="shared" si="645"/>
        <v>0.31220924123305599</v>
      </c>
      <c r="CR222" s="172">
        <f t="shared" si="646"/>
        <v>63.048783011568261</v>
      </c>
      <c r="CS222" s="172">
        <f t="shared" si="647"/>
        <v>1.44</v>
      </c>
      <c r="CT222" s="217">
        <f t="shared" si="648"/>
        <v>2.6270326254820109</v>
      </c>
      <c r="CU222" s="217">
        <f t="shared" si="649"/>
        <v>24</v>
      </c>
      <c r="CV222" s="217"/>
      <c r="CW222" s="172">
        <f t="shared" si="650"/>
        <v>3279.3685477633499</v>
      </c>
      <c r="CX222" s="172">
        <f t="shared" si="651"/>
        <v>24</v>
      </c>
      <c r="CY222" s="217">
        <f t="shared" si="652"/>
        <v>0.25623841140654163</v>
      </c>
      <c r="CZ222" s="217">
        <f t="shared" si="653"/>
        <v>7.1177336501817109E-2</v>
      </c>
      <c r="DA222" s="217">
        <f t="shared" si="654"/>
        <v>0.15680225891536373</v>
      </c>
      <c r="DB222" s="197">
        <f t="shared" si="655"/>
        <v>350</v>
      </c>
      <c r="DC222" s="443">
        <f t="shared" si="656"/>
        <v>350</v>
      </c>
      <c r="DE222" s="217">
        <f t="shared" si="657"/>
        <v>3.211295052682861</v>
      </c>
      <c r="DF222" s="173">
        <f t="shared" si="658"/>
        <v>1.96511645361984</v>
      </c>
      <c r="DG222" s="173">
        <f t="shared" si="659"/>
        <v>0.73660113681324435</v>
      </c>
      <c r="DH222" s="173"/>
      <c r="DI222" s="173">
        <f t="shared" si="660"/>
        <v>1.3598642855443031</v>
      </c>
      <c r="DJ222" s="545">
        <f t="shared" si="661"/>
        <v>59.534999999999975</v>
      </c>
      <c r="DK222" s="528">
        <f t="shared" si="662"/>
        <v>0.35273368606701955</v>
      </c>
      <c r="DM222" s="173">
        <f t="shared" si="663"/>
        <v>0.91651513899116788</v>
      </c>
      <c r="DN222" s="173">
        <f t="shared" si="664"/>
        <v>2.2222222222222223</v>
      </c>
      <c r="DO222" s="173">
        <f t="shared" si="665"/>
        <v>1.0340199999999999</v>
      </c>
      <c r="DQ222" s="545">
        <f t="shared" si="666"/>
        <v>60</v>
      </c>
      <c r="DR222" s="460">
        <f t="shared" si="667"/>
        <v>59.534999999999975</v>
      </c>
      <c r="DT222">
        <f t="shared" si="668"/>
        <v>60</v>
      </c>
      <c r="DU222">
        <f t="shared" si="669"/>
        <v>59.534999999999975</v>
      </c>
      <c r="DW222" s="5">
        <f t="shared" si="670"/>
        <v>16.796842193667597</v>
      </c>
      <c r="DX222" s="5">
        <f t="shared" si="671"/>
        <v>0.61728395061728403</v>
      </c>
      <c r="DY222" s="5">
        <f t="shared" si="672"/>
        <v>16.179558243050312</v>
      </c>
      <c r="DZ222" s="5"/>
      <c r="EA222" s="173">
        <f t="shared" si="673"/>
        <v>3.6749999999999991E-2</v>
      </c>
      <c r="EB222" s="173">
        <f t="shared" si="699"/>
        <v>1.4699999999999998</v>
      </c>
      <c r="EC222" s="173">
        <f t="shared" si="700"/>
        <v>0.71387527777777782</v>
      </c>
      <c r="ED222" s="173">
        <f t="shared" si="701"/>
        <v>2.0591832295635202</v>
      </c>
      <c r="EE222" s="460">
        <f t="shared" si="674"/>
        <v>0.15432098765432101</v>
      </c>
      <c r="EF222" s="5">
        <f t="shared" si="675"/>
        <v>0.53931860810167698</v>
      </c>
      <c r="EH222" s="173">
        <f t="shared" si="702"/>
        <v>0.24595492912420727</v>
      </c>
      <c r="EI222" s="173">
        <f t="shared" si="703"/>
        <v>0.83988959616419601</v>
      </c>
      <c r="EK222" s="528">
        <f t="shared" si="704"/>
        <v>2.419753086419753E-3</v>
      </c>
      <c r="EL222" s="528">
        <f t="shared" si="705"/>
        <v>0.19043146237499994</v>
      </c>
      <c r="EM222" s="528">
        <f t="shared" si="706"/>
        <v>1.1906999999999994E-2</v>
      </c>
      <c r="EN222" s="528">
        <f t="shared" si="707"/>
        <v>2.8543204928989391E-2</v>
      </c>
      <c r="EO222">
        <f t="shared" si="708"/>
        <v>1.6199999999999999E-2</v>
      </c>
      <c r="EP222" s="460">
        <f t="shared" si="709"/>
        <v>28.106999999999992</v>
      </c>
      <c r="EQ222" s="460"/>
      <c r="ER222" s="460">
        <f t="shared" si="710"/>
        <v>249.50142039040909</v>
      </c>
      <c r="ES222" s="528">
        <f t="shared" si="711"/>
        <v>4.1999999999999996E-2</v>
      </c>
      <c r="EV222" s="460">
        <f t="shared" si="712"/>
        <v>41.999999999999993</v>
      </c>
      <c r="EW222" s="528">
        <f t="shared" si="713"/>
        <v>1.8148148148148145E-3</v>
      </c>
      <c r="EX222" s="528">
        <f t="shared" si="714"/>
        <v>2.1162436012345687E-2</v>
      </c>
      <c r="EY222" s="528">
        <f t="shared" si="715"/>
        <v>1.0066294101732313E-2</v>
      </c>
      <c r="EZ222" s="528"/>
      <c r="FA222" s="528">
        <f t="shared" si="716"/>
        <v>5.8799999999999991E-2</v>
      </c>
      <c r="FB222" s="460">
        <f t="shared" si="717"/>
        <v>91.843544928892811</v>
      </c>
      <c r="FC222" s="173">
        <f t="shared" si="718"/>
        <v>0.38334496531930196</v>
      </c>
      <c r="FD222" s="5">
        <f t="shared" si="719"/>
        <v>1.44</v>
      </c>
      <c r="FE222" s="173">
        <f t="shared" si="720"/>
        <v>0.78975730176644277</v>
      </c>
      <c r="FF222" s="5">
        <f t="shared" si="721"/>
        <v>78.975730176644277</v>
      </c>
      <c r="FI222" s="562">
        <f t="shared" si="676"/>
        <v>-50</v>
      </c>
      <c r="FJ222">
        <f t="shared" si="677"/>
        <v>-50</v>
      </c>
      <c r="FL222">
        <f t="shared" si="678"/>
        <v>8.095952023988004E-2</v>
      </c>
    </row>
    <row r="223" spans="5:168">
      <c r="E223" s="170">
        <v>7</v>
      </c>
      <c r="F223" s="217">
        <f t="shared" si="679"/>
        <v>7.0000000000000007E-2</v>
      </c>
      <c r="G223" s="217"/>
      <c r="H223" s="217">
        <f t="shared" si="603"/>
        <v>1.6800000000000002</v>
      </c>
      <c r="I223" s="541">
        <f t="shared" si="604"/>
        <v>35.92301996410805</v>
      </c>
      <c r="J223" s="172">
        <f t="shared" si="605"/>
        <v>16.356177530509115</v>
      </c>
      <c r="K223" s="172">
        <f t="shared" si="606"/>
        <v>52.279197494617165</v>
      </c>
      <c r="L223" s="443"/>
      <c r="M223" s="217">
        <f t="shared" si="607"/>
        <v>0.3128640612264586</v>
      </c>
      <c r="N223" s="172">
        <f t="shared" si="608"/>
        <v>63.045917836266661</v>
      </c>
      <c r="O223" s="172">
        <f t="shared" si="599"/>
        <v>1.6800000000000002</v>
      </c>
      <c r="P223" s="217">
        <f t="shared" si="609"/>
        <v>2.6269132431777775</v>
      </c>
      <c r="Q223" s="217">
        <f t="shared" si="610"/>
        <v>24</v>
      </c>
      <c r="R223" s="217"/>
      <c r="S223" s="172">
        <f t="shared" si="611"/>
        <v>2797.1853547248638</v>
      </c>
      <c r="T223" s="172">
        <f t="shared" si="612"/>
        <v>24</v>
      </c>
      <c r="U223" s="217">
        <f t="shared" si="613"/>
        <v>0.30546365082926913</v>
      </c>
      <c r="V223" s="217">
        <f t="shared" si="614"/>
        <v>8.5032842766133987E-2</v>
      </c>
      <c r="W223" s="217">
        <f t="shared" si="615"/>
        <v>0.18675735834946092</v>
      </c>
      <c r="X223" s="197">
        <f t="shared" si="616"/>
        <v>350</v>
      </c>
      <c r="Y223" s="443">
        <f t="shared" si="680"/>
        <v>350</v>
      </c>
      <c r="AA223" s="217">
        <f t="shared" si="617"/>
        <v>3.2111286003001851</v>
      </c>
      <c r="AB223" s="173">
        <f t="shared" si="618"/>
        <v>1.9632512512844025</v>
      </c>
      <c r="AC223" s="173">
        <f t="shared" si="619"/>
        <v>0.73586384301450503</v>
      </c>
      <c r="AD223" s="173"/>
      <c r="AE223" s="173">
        <f t="shared" si="620"/>
        <v>1.3586439851714256</v>
      </c>
      <c r="AF223" s="545">
        <f t="shared" si="621"/>
        <v>69.519885005986993</v>
      </c>
      <c r="AG223" s="528">
        <f t="shared" si="622"/>
        <v>0.35241715370918814</v>
      </c>
      <c r="AI223" s="173">
        <f t="shared" si="623"/>
        <v>0.99039396793633827</v>
      </c>
      <c r="AJ223" s="173">
        <f t="shared" si="624"/>
        <v>2.2222222222222223</v>
      </c>
      <c r="AK223" s="173">
        <f t="shared" si="625"/>
        <v>1.0397256485748496</v>
      </c>
      <c r="AM223" s="545">
        <f t="shared" si="626"/>
        <v>70</v>
      </c>
      <c r="AN223" s="460">
        <f t="shared" si="627"/>
        <v>69.519885005986993</v>
      </c>
      <c r="AP223">
        <f t="shared" si="628"/>
        <v>70</v>
      </c>
      <c r="AQ223">
        <f t="shared" si="629"/>
        <v>69.519885005986993</v>
      </c>
      <c r="AS223" s="5">
        <f t="shared" si="600"/>
        <v>14.384373620783188</v>
      </c>
      <c r="AT223" s="5">
        <f t="shared" si="630"/>
        <v>0.61860673864350013</v>
      </c>
      <c r="AU223" s="5">
        <f t="shared" si="478"/>
        <v>13.765766882139689</v>
      </c>
      <c r="AV223" s="5"/>
      <c r="AW223" s="173">
        <f t="shared" si="479"/>
        <v>4.3005469334424777E-2</v>
      </c>
      <c r="AX223" s="173">
        <f t="shared" si="631"/>
        <v>1.7165403705181976</v>
      </c>
      <c r="AY223" s="173">
        <f t="shared" si="632"/>
        <v>0.70923927994882086</v>
      </c>
      <c r="AZ223" s="173">
        <f t="shared" si="633"/>
        <v>2.4202556443885404</v>
      </c>
      <c r="BA223" s="460">
        <f t="shared" si="594"/>
        <v>0.18042696543768755</v>
      </c>
      <c r="BB223" s="5">
        <f t="shared" si="595"/>
        <v>0.53648255782088938</v>
      </c>
      <c r="BD223" s="173">
        <f t="shared" si="681"/>
        <v>0.2660655859440384</v>
      </c>
      <c r="BE223" s="173">
        <f t="shared" si="682"/>
        <v>0.83715797856518903</v>
      </c>
      <c r="BG223" s="528">
        <f t="shared" si="683"/>
        <v>2.8316358409497793E-3</v>
      </c>
      <c r="BH223" s="528">
        <f t="shared" si="634"/>
        <v>0.18172218990155345</v>
      </c>
      <c r="BI223" s="528">
        <f t="shared" si="635"/>
        <v>9.9894568678902659E-2</v>
      </c>
      <c r="BJ223" s="528">
        <f t="shared" si="684"/>
        <v>3.3251015892561728E-2</v>
      </c>
      <c r="BK223">
        <f t="shared" si="685"/>
        <v>1.6165358983848622E-2</v>
      </c>
      <c r="BL223" s="460">
        <f t="shared" si="686"/>
        <v>116.05992766275128</v>
      </c>
      <c r="BM223" s="528">
        <f t="shared" si="636"/>
        <v>0.218716535069861</v>
      </c>
      <c r="BN223" s="460">
        <f t="shared" si="687"/>
        <v>218.71653506986098</v>
      </c>
      <c r="BO223" s="528">
        <f t="shared" si="637"/>
        <v>4.9000000000000002E-2</v>
      </c>
      <c r="BR223" s="460">
        <f t="shared" si="688"/>
        <v>49</v>
      </c>
      <c r="BS223" s="528">
        <f t="shared" si="689"/>
        <v>2.1237268807123345E-3</v>
      </c>
      <c r="BT223" s="528">
        <f t="shared" si="690"/>
        <v>2.1025004432260602E-2</v>
      </c>
      <c r="BU223" s="528">
        <f t="shared" si="691"/>
        <v>1.483239670626281E-2</v>
      </c>
      <c r="BV223" s="528"/>
      <c r="BW223" s="528">
        <f t="shared" si="692"/>
        <v>6.8661614820727912E-2</v>
      </c>
      <c r="BX223" s="460">
        <f t="shared" si="693"/>
        <v>106.64274283996366</v>
      </c>
      <c r="BY223" s="173">
        <f t="shared" si="694"/>
        <v>0.48950751213777993</v>
      </c>
      <c r="BZ223" s="5">
        <f t="shared" si="695"/>
        <v>1.6800000000000002</v>
      </c>
      <c r="CA223" s="173">
        <f t="shared" si="696"/>
        <v>0.7743692937686899</v>
      </c>
      <c r="CB223" s="5">
        <f t="shared" si="697"/>
        <v>77.436929376868989</v>
      </c>
      <c r="CE223" s="562">
        <f t="shared" si="638"/>
        <v>-50</v>
      </c>
      <c r="CF223">
        <f t="shared" si="639"/>
        <v>-50</v>
      </c>
      <c r="CG223" s="173">
        <f t="shared" si="640"/>
        <v>9.5431584974746977E-2</v>
      </c>
      <c r="CI223" s="170">
        <v>7</v>
      </c>
      <c r="CJ223" s="217">
        <f t="shared" si="698"/>
        <v>7.0000000000000007E-2</v>
      </c>
      <c r="CK223" s="217"/>
      <c r="CL223" s="217">
        <f t="shared" si="641"/>
        <v>1.6800000000000002</v>
      </c>
      <c r="CM223" s="541">
        <f t="shared" si="642"/>
        <v>36</v>
      </c>
      <c r="CN223" s="443">
        <f t="shared" si="643"/>
        <v>16.3415</v>
      </c>
      <c r="CO223" s="443">
        <f t="shared" si="644"/>
        <v>52.341499999999996</v>
      </c>
      <c r="CP223" s="443"/>
      <c r="CQ223" s="217">
        <f t="shared" si="645"/>
        <v>0.31220924123305599</v>
      </c>
      <c r="CR223" s="172">
        <f t="shared" si="646"/>
        <v>63.048783011568261</v>
      </c>
      <c r="CS223" s="172">
        <f t="shared" si="647"/>
        <v>1.6800000000000002</v>
      </c>
      <c r="CT223" s="217">
        <f t="shared" si="648"/>
        <v>2.6270326254820109</v>
      </c>
      <c r="CU223" s="217">
        <f t="shared" si="649"/>
        <v>24</v>
      </c>
      <c r="CV223" s="217"/>
      <c r="CW223" s="172">
        <f t="shared" si="650"/>
        <v>2803.1794690390407</v>
      </c>
      <c r="CX223" s="172">
        <f t="shared" si="651"/>
        <v>24</v>
      </c>
      <c r="CY223" s="217">
        <f t="shared" si="652"/>
        <v>0.29894481330763195</v>
      </c>
      <c r="CZ223" s="217">
        <f t="shared" si="653"/>
        <v>8.3040225918786653E-2</v>
      </c>
      <c r="DA223" s="217">
        <f t="shared" si="654"/>
        <v>0.18293596873459109</v>
      </c>
      <c r="DB223" s="197">
        <f t="shared" si="655"/>
        <v>350</v>
      </c>
      <c r="DC223" s="443">
        <f t="shared" si="656"/>
        <v>350</v>
      </c>
      <c r="DE223" s="217">
        <f t="shared" si="657"/>
        <v>3.211295052682861</v>
      </c>
      <c r="DF223" s="173">
        <f t="shared" si="658"/>
        <v>1.96511645361984</v>
      </c>
      <c r="DG223" s="173">
        <f t="shared" si="659"/>
        <v>0.73660113681324435</v>
      </c>
      <c r="DH223" s="173"/>
      <c r="DI223" s="173">
        <f t="shared" si="660"/>
        <v>1.3598642855443031</v>
      </c>
      <c r="DJ223" s="545">
        <f t="shared" si="661"/>
        <v>69.457499999999982</v>
      </c>
      <c r="DK223" s="528">
        <f t="shared" si="662"/>
        <v>0.35273368606701955</v>
      </c>
      <c r="DM223" s="173">
        <f t="shared" si="663"/>
        <v>0.98994949366116658</v>
      </c>
      <c r="DN223" s="173">
        <f t="shared" si="664"/>
        <v>2.2222222222222223</v>
      </c>
      <c r="DO223" s="173">
        <f t="shared" si="665"/>
        <v>1.03969</v>
      </c>
      <c r="DQ223" s="545">
        <f t="shared" si="666"/>
        <v>70</v>
      </c>
      <c r="DR223" s="460">
        <f t="shared" si="667"/>
        <v>69.457499999999982</v>
      </c>
      <c r="DT223">
        <f t="shared" si="668"/>
        <v>70</v>
      </c>
      <c r="DU223">
        <f t="shared" si="669"/>
        <v>69.457499999999982</v>
      </c>
      <c r="DW223" s="5">
        <f t="shared" si="670"/>
        <v>14.397293308857938</v>
      </c>
      <c r="DX223" s="5">
        <f t="shared" si="671"/>
        <v>0.61728395061728403</v>
      </c>
      <c r="DY223" s="5">
        <f t="shared" si="672"/>
        <v>13.780009358240655</v>
      </c>
      <c r="DZ223" s="5"/>
      <c r="EA223" s="173">
        <f t="shared" si="673"/>
        <v>4.2874999999999996E-2</v>
      </c>
      <c r="EB223" s="173">
        <f t="shared" si="699"/>
        <v>1.7149999999999999</v>
      </c>
      <c r="EC223" s="173">
        <f t="shared" si="700"/>
        <v>0.70933597222222222</v>
      </c>
      <c r="ED223" s="173">
        <f t="shared" si="701"/>
        <v>2.4177541632735937</v>
      </c>
      <c r="EE223" s="460">
        <f t="shared" si="674"/>
        <v>0.18004115226337453</v>
      </c>
      <c r="EF223" s="5">
        <f t="shared" si="675"/>
        <v>0.53588925282046984</v>
      </c>
      <c r="EH223" s="173">
        <f t="shared" si="702"/>
        <v>0.26566168652487848</v>
      </c>
      <c r="EI223" s="173">
        <f t="shared" si="703"/>
        <v>0.83721504248684842</v>
      </c>
      <c r="EK223" s="528">
        <f t="shared" si="704"/>
        <v>2.8230452674897124E-3</v>
      </c>
      <c r="EL223" s="528">
        <f t="shared" si="705"/>
        <v>0.22217003943749997</v>
      </c>
      <c r="EM223" s="528">
        <f t="shared" si="706"/>
        <v>1.3891499999999996E-2</v>
      </c>
      <c r="EN223" s="528">
        <f t="shared" si="707"/>
        <v>3.3300405750487629E-2</v>
      </c>
      <c r="EO223">
        <f t="shared" si="708"/>
        <v>1.6199999999999999E-2</v>
      </c>
      <c r="EP223" s="460">
        <f t="shared" si="709"/>
        <v>30.091499999999993</v>
      </c>
      <c r="EQ223" s="460"/>
      <c r="ER223" s="460">
        <f t="shared" si="710"/>
        <v>288.38499045547735</v>
      </c>
      <c r="ES223" s="528">
        <f t="shared" si="711"/>
        <v>4.9000000000000002E-2</v>
      </c>
      <c r="EV223" s="460">
        <f t="shared" si="712"/>
        <v>49</v>
      </c>
      <c r="EW223" s="528">
        <f t="shared" si="713"/>
        <v>2.1172839506172839E-3</v>
      </c>
      <c r="EX223" s="528">
        <f t="shared" si="714"/>
        <v>2.102787082098766E-2</v>
      </c>
      <c r="EY223" s="528">
        <f t="shared" si="715"/>
        <v>1.4799143756920078E-2</v>
      </c>
      <c r="EZ223" s="528"/>
      <c r="FA223" s="528">
        <f t="shared" si="716"/>
        <v>6.8599999999999994E-2</v>
      </c>
      <c r="FB223" s="460">
        <f t="shared" si="717"/>
        <v>106.544298528525</v>
      </c>
      <c r="FC223" s="173">
        <f t="shared" si="718"/>
        <v>0.44392928898400236</v>
      </c>
      <c r="FD223" s="5">
        <f t="shared" si="719"/>
        <v>1.6800000000000002</v>
      </c>
      <c r="FE223" s="173">
        <f t="shared" si="720"/>
        <v>0.79098678506554276</v>
      </c>
      <c r="FF223" s="5">
        <f t="shared" si="721"/>
        <v>79.098678506554279</v>
      </c>
      <c r="FI223" s="562">
        <f t="shared" si="676"/>
        <v>-50</v>
      </c>
      <c r="FJ223">
        <f t="shared" si="677"/>
        <v>-50</v>
      </c>
      <c r="FL223">
        <f t="shared" si="678"/>
        <v>9.4452773613193416E-2</v>
      </c>
    </row>
    <row r="224" spans="5:168">
      <c r="E224" s="170">
        <v>8</v>
      </c>
      <c r="F224" s="217">
        <f t="shared" si="679"/>
        <v>0.08</v>
      </c>
      <c r="G224" s="217"/>
      <c r="H224" s="217">
        <f t="shared" si="603"/>
        <v>1.92</v>
      </c>
      <c r="I224" s="541">
        <f t="shared" si="604"/>
        <v>35.92301996410805</v>
      </c>
      <c r="J224" s="172">
        <f t="shared" si="605"/>
        <v>16.356177530509115</v>
      </c>
      <c r="K224" s="172">
        <f t="shared" si="606"/>
        <v>52.279197494617165</v>
      </c>
      <c r="L224" s="443"/>
      <c r="M224" s="217">
        <f t="shared" si="607"/>
        <v>0.3128640612264586</v>
      </c>
      <c r="N224" s="172">
        <f t="shared" si="608"/>
        <v>63.045917836266661</v>
      </c>
      <c r="O224" s="172">
        <f t="shared" si="599"/>
        <v>1.92</v>
      </c>
      <c r="P224" s="217">
        <f t="shared" si="609"/>
        <v>2.6269132431777775</v>
      </c>
      <c r="Q224" s="217">
        <f t="shared" si="610"/>
        <v>24</v>
      </c>
      <c r="R224" s="217"/>
      <c r="S224" s="172">
        <f t="shared" si="611"/>
        <v>2440.8075935110332</v>
      </c>
      <c r="T224" s="172">
        <f t="shared" si="612"/>
        <v>24</v>
      </c>
      <c r="U224" s="217">
        <f t="shared" si="613"/>
        <v>0.34910131523345039</v>
      </c>
      <c r="V224" s="217">
        <f t="shared" si="614"/>
        <v>9.7180391732724525E-2</v>
      </c>
      <c r="W224" s="217">
        <f t="shared" si="615"/>
        <v>0.21343698097081246</v>
      </c>
      <c r="X224" s="197">
        <f t="shared" si="616"/>
        <v>350</v>
      </c>
      <c r="Y224" s="443">
        <f t="shared" si="680"/>
        <v>350</v>
      </c>
      <c r="AA224" s="217">
        <f t="shared" si="617"/>
        <v>3.2111286003001851</v>
      </c>
      <c r="AB224" s="173">
        <f t="shared" si="618"/>
        <v>1.9632512512844025</v>
      </c>
      <c r="AC224" s="173">
        <f t="shared" si="619"/>
        <v>0.73586384301450503</v>
      </c>
      <c r="AD224" s="173"/>
      <c r="AE224" s="173">
        <f t="shared" si="620"/>
        <v>1.3586439851714256</v>
      </c>
      <c r="AF224" s="545">
        <f t="shared" si="621"/>
        <v>79.451297149699414</v>
      </c>
      <c r="AG224" s="528">
        <f t="shared" si="622"/>
        <v>0.35241715370918814</v>
      </c>
      <c r="AI224" s="173">
        <f t="shared" si="623"/>
        <v>1.0587756874129581</v>
      </c>
      <c r="AJ224" s="173">
        <f t="shared" si="624"/>
        <v>2.2222222222222223</v>
      </c>
      <c r="AK224" s="173">
        <f t="shared" si="625"/>
        <v>1.0454007412283997</v>
      </c>
      <c r="AM224" s="545">
        <f t="shared" si="626"/>
        <v>80</v>
      </c>
      <c r="AN224" s="460">
        <f t="shared" si="627"/>
        <v>79.451297149699414</v>
      </c>
      <c r="AP224">
        <f t="shared" si="628"/>
        <v>80</v>
      </c>
      <c r="AQ224">
        <f t="shared" si="629"/>
        <v>79.451297149699414</v>
      </c>
      <c r="AS224" s="5">
        <f t="shared" si="600"/>
        <v>12.586326918185289</v>
      </c>
      <c r="AT224" s="5">
        <f t="shared" si="630"/>
        <v>0.61860673864350013</v>
      </c>
      <c r="AU224" s="5">
        <f t="shared" si="478"/>
        <v>11.967720179541789</v>
      </c>
      <c r="AV224" s="5"/>
      <c r="AW224" s="173">
        <f t="shared" si="479"/>
        <v>4.9149107810771177E-2</v>
      </c>
      <c r="AX224" s="173">
        <f t="shared" si="631"/>
        <v>1.9617604234493689</v>
      </c>
      <c r="AY224" s="173">
        <f t="shared" si="632"/>
        <v>0.70468616121135075</v>
      </c>
      <c r="AZ224" s="173">
        <f t="shared" si="633"/>
        <v>2.7838781736214542</v>
      </c>
      <c r="BA224" s="460">
        <f t="shared" si="594"/>
        <v>0.20620224621450003</v>
      </c>
      <c r="BB224" s="5">
        <f t="shared" si="595"/>
        <v>0.533038489147033</v>
      </c>
      <c r="BD224" s="173">
        <f t="shared" si="681"/>
        <v>0.28443607571824236</v>
      </c>
      <c r="BE224" s="173">
        <f t="shared" si="682"/>
        <v>0.83446649137435336</v>
      </c>
      <c r="BG224" s="528">
        <f t="shared" si="683"/>
        <v>3.2361552467997483E-3</v>
      </c>
      <c r="BH224" s="528">
        <f t="shared" si="634"/>
        <v>0.20768250274463246</v>
      </c>
      <c r="BI224" s="528">
        <f t="shared" si="635"/>
        <v>0.11416522134731732</v>
      </c>
      <c r="BJ224" s="528">
        <f t="shared" si="684"/>
        <v>3.8001161020070541E-2</v>
      </c>
      <c r="BK224">
        <f t="shared" si="685"/>
        <v>1.6165358983848622E-2</v>
      </c>
      <c r="BL224" s="460">
        <f t="shared" si="686"/>
        <v>130.33058033116595</v>
      </c>
      <c r="BM224" s="528">
        <f t="shared" si="636"/>
        <v>0.24998579762944692</v>
      </c>
      <c r="BN224" s="460">
        <f t="shared" si="687"/>
        <v>249.98579762944692</v>
      </c>
      <c r="BO224" s="528">
        <f t="shared" si="637"/>
        <v>5.5999999999999994E-2</v>
      </c>
      <c r="BR224" s="460">
        <f t="shared" si="688"/>
        <v>55.999999999999993</v>
      </c>
      <c r="BS224" s="528">
        <f t="shared" si="689"/>
        <v>2.4271164350998112E-3</v>
      </c>
      <c r="BT224" s="528">
        <f t="shared" si="690"/>
        <v>2.0890029756798711E-2</v>
      </c>
      <c r="BU224" s="528">
        <f t="shared" si="691"/>
        <v>2.0710529380589992E-2</v>
      </c>
      <c r="BV224" s="528"/>
      <c r="BW224" s="528">
        <f t="shared" si="692"/>
        <v>7.8470416937974741E-2</v>
      </c>
      <c r="BX224" s="460">
        <f t="shared" si="693"/>
        <v>122.49809251046325</v>
      </c>
      <c r="BY224" s="173">
        <f t="shared" si="694"/>
        <v>0.55774849185313191</v>
      </c>
      <c r="BZ224" s="5">
        <f t="shared" si="695"/>
        <v>1.92</v>
      </c>
      <c r="CA224" s="173">
        <f t="shared" si="696"/>
        <v>0.77489705121927599</v>
      </c>
      <c r="CB224" s="5">
        <f t="shared" si="697"/>
        <v>77.489705121927599</v>
      </c>
      <c r="CE224" s="562">
        <f t="shared" si="638"/>
        <v>-50</v>
      </c>
      <c r="CF224">
        <f t="shared" si="639"/>
        <v>-50</v>
      </c>
      <c r="CG224" s="173">
        <f t="shared" si="640"/>
        <v>0.10906466854256797</v>
      </c>
      <c r="CI224" s="170">
        <v>8</v>
      </c>
      <c r="CJ224" s="217">
        <f t="shared" si="698"/>
        <v>0.08</v>
      </c>
      <c r="CK224" s="217"/>
      <c r="CL224" s="217">
        <f t="shared" si="641"/>
        <v>1.92</v>
      </c>
      <c r="CM224" s="541">
        <f t="shared" si="642"/>
        <v>36</v>
      </c>
      <c r="CN224" s="443">
        <f t="shared" si="643"/>
        <v>16.3415</v>
      </c>
      <c r="CO224" s="443">
        <f t="shared" si="644"/>
        <v>52.341499999999996</v>
      </c>
      <c r="CP224" s="443"/>
      <c r="CQ224" s="217">
        <f t="shared" si="645"/>
        <v>0.31220924123305599</v>
      </c>
      <c r="CR224" s="172">
        <f t="shared" si="646"/>
        <v>63.048783011568261</v>
      </c>
      <c r="CS224" s="172">
        <f t="shared" si="647"/>
        <v>1.92</v>
      </c>
      <c r="CT224" s="217">
        <f t="shared" si="648"/>
        <v>2.6270326254820109</v>
      </c>
      <c r="CU224" s="217">
        <f t="shared" si="649"/>
        <v>24</v>
      </c>
      <c r="CV224" s="217"/>
      <c r="CW224" s="172">
        <f t="shared" si="650"/>
        <v>2446.0380169941368</v>
      </c>
      <c r="CX224" s="172">
        <f t="shared" si="651"/>
        <v>24</v>
      </c>
      <c r="CY224" s="217">
        <f t="shared" si="652"/>
        <v>0.34165121520872216</v>
      </c>
      <c r="CZ224" s="217">
        <f t="shared" si="653"/>
        <v>9.4903115335756169E-2</v>
      </c>
      <c r="DA224" s="217">
        <f t="shared" si="654"/>
        <v>0.20906967855381831</v>
      </c>
      <c r="DB224" s="197">
        <f t="shared" si="655"/>
        <v>350</v>
      </c>
      <c r="DC224" s="443">
        <f t="shared" si="656"/>
        <v>350</v>
      </c>
      <c r="DE224" s="217">
        <f t="shared" si="657"/>
        <v>3.211295052682861</v>
      </c>
      <c r="DF224" s="173">
        <f t="shared" si="658"/>
        <v>1.96511645361984</v>
      </c>
      <c r="DG224" s="173">
        <f t="shared" si="659"/>
        <v>0.73660113681324435</v>
      </c>
      <c r="DH224" s="173"/>
      <c r="DI224" s="173">
        <f t="shared" si="660"/>
        <v>1.3598642855443031</v>
      </c>
      <c r="DJ224" s="545">
        <f t="shared" si="661"/>
        <v>79.379999999999967</v>
      </c>
      <c r="DK224" s="528">
        <f t="shared" si="662"/>
        <v>0.35273368606701955</v>
      </c>
      <c r="DM224" s="173">
        <f t="shared" si="663"/>
        <v>1.0583005244258361</v>
      </c>
      <c r="DN224" s="173">
        <f t="shared" si="664"/>
        <v>2.2222222222222223</v>
      </c>
      <c r="DO224" s="173">
        <f t="shared" si="665"/>
        <v>1.0453600000000001</v>
      </c>
      <c r="DQ224" s="545">
        <f t="shared" si="666"/>
        <v>80</v>
      </c>
      <c r="DR224" s="460">
        <f t="shared" si="667"/>
        <v>79.379999999999967</v>
      </c>
      <c r="DT224">
        <f t="shared" si="668"/>
        <v>80</v>
      </c>
      <c r="DU224">
        <f t="shared" si="669"/>
        <v>79.379999999999967</v>
      </c>
      <c r="DW224" s="5">
        <f t="shared" si="670"/>
        <v>12.597631645250699</v>
      </c>
      <c r="DX224" s="5">
        <f t="shared" si="671"/>
        <v>0.61728395061728403</v>
      </c>
      <c r="DY224" s="5">
        <f t="shared" si="672"/>
        <v>11.980347694633416</v>
      </c>
      <c r="DZ224" s="5"/>
      <c r="EA224" s="173">
        <f t="shared" si="673"/>
        <v>4.8999999999999981E-2</v>
      </c>
      <c r="EB224" s="173">
        <f t="shared" si="699"/>
        <v>1.9599999999999995</v>
      </c>
      <c r="EC224" s="173">
        <f t="shared" si="700"/>
        <v>0.70479666666666674</v>
      </c>
      <c r="ED224" s="173">
        <f t="shared" si="701"/>
        <v>2.7809439129015923</v>
      </c>
      <c r="EE224" s="460">
        <f t="shared" si="674"/>
        <v>0.20576131687242802</v>
      </c>
      <c r="EF224" s="5">
        <f t="shared" si="675"/>
        <v>0.53245989753926282</v>
      </c>
      <c r="EH224" s="173">
        <f t="shared" si="702"/>
        <v>0.28400428907675279</v>
      </c>
      <c r="EI224" s="173">
        <f t="shared" si="703"/>
        <v>0.83453191729714837</v>
      </c>
      <c r="EK224" s="528">
        <f t="shared" si="704"/>
        <v>3.2263374485596709E-3</v>
      </c>
      <c r="EL224" s="528">
        <f t="shared" si="705"/>
        <v>0.25390861649999991</v>
      </c>
      <c r="EM224" s="528">
        <f t="shared" si="706"/>
        <v>1.5875999999999991E-2</v>
      </c>
      <c r="EN224" s="528">
        <f t="shared" si="707"/>
        <v>3.8057606571985855E-2</v>
      </c>
      <c r="EO224">
        <f t="shared" si="708"/>
        <v>1.6199999999999999E-2</v>
      </c>
      <c r="EP224" s="460">
        <f t="shared" si="709"/>
        <v>32.075999999999993</v>
      </c>
      <c r="EQ224" s="460"/>
      <c r="ER224" s="460">
        <f t="shared" si="710"/>
        <v>327.26856052054541</v>
      </c>
      <c r="ES224" s="528">
        <f t="shared" si="711"/>
        <v>5.5999999999999994E-2</v>
      </c>
      <c r="EV224" s="460">
        <f t="shared" si="712"/>
        <v>55.999999999999993</v>
      </c>
      <c r="EW224" s="528">
        <f t="shared" si="713"/>
        <v>2.419753086419753E-3</v>
      </c>
      <c r="EX224" s="528">
        <f t="shared" si="714"/>
        <v>2.0893305629629634E-2</v>
      </c>
      <c r="EY224" s="528">
        <f t="shared" si="715"/>
        <v>2.0664098166674132E-2</v>
      </c>
      <c r="EZ224" s="528"/>
      <c r="FA224" s="528">
        <f t="shared" si="716"/>
        <v>7.8399999999999997E-2</v>
      </c>
      <c r="FB224" s="460">
        <f t="shared" si="717"/>
        <v>122.37715688272353</v>
      </c>
      <c r="FC224" s="173">
        <f t="shared" si="718"/>
        <v>0.50564571740326891</v>
      </c>
      <c r="FD224" s="5">
        <f t="shared" si="719"/>
        <v>1.92</v>
      </c>
      <c r="FE224" s="173">
        <f t="shared" si="720"/>
        <v>0.7915418093518708</v>
      </c>
      <c r="FF224" s="5">
        <f t="shared" si="721"/>
        <v>79.154180935187085</v>
      </c>
      <c r="FI224" s="562">
        <f t="shared" si="676"/>
        <v>-50</v>
      </c>
      <c r="FJ224">
        <f t="shared" si="677"/>
        <v>-50</v>
      </c>
      <c r="FL224">
        <f t="shared" si="678"/>
        <v>0.10794602698650674</v>
      </c>
    </row>
    <row r="225" spans="5:168">
      <c r="E225" s="170">
        <v>9</v>
      </c>
      <c r="F225" s="217">
        <f t="shared" si="679"/>
        <v>0.09</v>
      </c>
      <c r="G225" s="217"/>
      <c r="H225" s="217">
        <f t="shared" si="603"/>
        <v>2.16</v>
      </c>
      <c r="I225" s="541">
        <f t="shared" si="604"/>
        <v>35.92301996410805</v>
      </c>
      <c r="J225" s="172">
        <f t="shared" si="605"/>
        <v>16.356177530509115</v>
      </c>
      <c r="K225" s="172">
        <f t="shared" si="606"/>
        <v>52.279197494617165</v>
      </c>
      <c r="L225" s="443"/>
      <c r="M225" s="217">
        <f t="shared" si="607"/>
        <v>0.3128640612264586</v>
      </c>
      <c r="N225" s="172">
        <f t="shared" si="608"/>
        <v>63.045917836266661</v>
      </c>
      <c r="O225" s="172">
        <f t="shared" si="599"/>
        <v>2.16</v>
      </c>
      <c r="P225" s="217">
        <f t="shared" si="609"/>
        <v>2.6269132431777775</v>
      </c>
      <c r="Q225" s="217">
        <f t="shared" si="610"/>
        <v>24</v>
      </c>
      <c r="R225" s="217"/>
      <c r="S225" s="172">
        <f t="shared" si="611"/>
        <v>2163.625210282125</v>
      </c>
      <c r="T225" s="172">
        <f t="shared" si="612"/>
        <v>24</v>
      </c>
      <c r="U225" s="217">
        <f t="shared" si="613"/>
        <v>0.39273897963763171</v>
      </c>
      <c r="V225" s="217">
        <f t="shared" si="614"/>
        <v>0.10932794069931512</v>
      </c>
      <c r="W225" s="217">
        <f t="shared" si="615"/>
        <v>0.24011660359216402</v>
      </c>
      <c r="X225" s="197">
        <f t="shared" si="616"/>
        <v>350</v>
      </c>
      <c r="Y225" s="443">
        <f t="shared" si="680"/>
        <v>350</v>
      </c>
      <c r="AA225" s="217">
        <f t="shared" si="617"/>
        <v>3.2111286003001851</v>
      </c>
      <c r="AB225" s="173">
        <f t="shared" si="618"/>
        <v>1.9632512512844025</v>
      </c>
      <c r="AC225" s="173">
        <f t="shared" si="619"/>
        <v>0.73586384301450503</v>
      </c>
      <c r="AD225" s="173"/>
      <c r="AE225" s="173">
        <f t="shared" si="620"/>
        <v>1.3586439851714256</v>
      </c>
      <c r="AF225" s="545">
        <f t="shared" si="621"/>
        <v>89.382709293411835</v>
      </c>
      <c r="AG225" s="528">
        <f t="shared" si="622"/>
        <v>0.35241715370918814</v>
      </c>
      <c r="AI225" s="173">
        <f t="shared" si="623"/>
        <v>1.1230012024877265</v>
      </c>
      <c r="AJ225" s="173">
        <f t="shared" si="624"/>
        <v>2.2222222222222223</v>
      </c>
      <c r="AK225" s="173">
        <f t="shared" si="625"/>
        <v>1.0510758338819497</v>
      </c>
      <c r="AM225" s="545">
        <f t="shared" si="626"/>
        <v>90</v>
      </c>
      <c r="AN225" s="460">
        <f t="shared" si="627"/>
        <v>89.382709293411835</v>
      </c>
      <c r="AP225">
        <f t="shared" si="628"/>
        <v>90</v>
      </c>
      <c r="AQ225">
        <f t="shared" si="629"/>
        <v>89.382709293411835</v>
      </c>
      <c r="AS225" s="5">
        <f t="shared" si="600"/>
        <v>11.187846149498037</v>
      </c>
      <c r="AT225" s="5">
        <f t="shared" si="630"/>
        <v>0.61860673864350013</v>
      </c>
      <c r="AU225" s="5">
        <f t="shared" si="478"/>
        <v>10.569239410854538</v>
      </c>
      <c r="AV225" s="5"/>
      <c r="AW225" s="173">
        <f t="shared" si="479"/>
        <v>5.5292746287117563E-2</v>
      </c>
      <c r="AX225" s="173">
        <f t="shared" si="631"/>
        <v>2.2069804763805396</v>
      </c>
      <c r="AY225" s="173">
        <f t="shared" si="632"/>
        <v>0.70013304247388075</v>
      </c>
      <c r="AZ225" s="173">
        <f t="shared" si="633"/>
        <v>3.152230136978392</v>
      </c>
      <c r="BA225" s="460">
        <f t="shared" si="594"/>
        <v>0.23197752699131252</v>
      </c>
      <c r="BB225" s="5">
        <f t="shared" si="595"/>
        <v>0.52959442047317684</v>
      </c>
      <c r="BD225" s="173">
        <f t="shared" si="681"/>
        <v>0.30169001693168923</v>
      </c>
      <c r="BE225" s="173">
        <f t="shared" si="682"/>
        <v>0.83176629492778431</v>
      </c>
      <c r="BG225" s="528">
        <f t="shared" si="683"/>
        <v>3.6406746526497177E-3</v>
      </c>
      <c r="BH225" s="528">
        <f t="shared" si="634"/>
        <v>0.23364281558771152</v>
      </c>
      <c r="BI225" s="528">
        <f t="shared" si="635"/>
        <v>0.12843587401573198</v>
      </c>
      <c r="BJ225" s="528">
        <f t="shared" si="684"/>
        <v>4.2751306147579361E-2</v>
      </c>
      <c r="BK225">
        <f t="shared" si="685"/>
        <v>1.6165358983848622E-2</v>
      </c>
      <c r="BL225" s="460">
        <f t="shared" si="686"/>
        <v>144.60123299958062</v>
      </c>
      <c r="BM225" s="528">
        <f t="shared" si="636"/>
        <v>0.28126107620900925</v>
      </c>
      <c r="BN225" s="460">
        <f t="shared" si="687"/>
        <v>281.26107620900927</v>
      </c>
      <c r="BO225" s="528">
        <f t="shared" si="637"/>
        <v>6.3E-2</v>
      </c>
      <c r="BR225" s="460">
        <f t="shared" si="688"/>
        <v>63</v>
      </c>
      <c r="BS225" s="528">
        <f t="shared" si="689"/>
        <v>2.7305059894872879E-3</v>
      </c>
      <c r="BT225" s="528">
        <f t="shared" si="690"/>
        <v>2.0755055081336817E-2</v>
      </c>
      <c r="BU225" s="528">
        <f t="shared" si="691"/>
        <v>2.7801773838873056E-2</v>
      </c>
      <c r="BV225" s="528"/>
      <c r="BW225" s="528">
        <f t="shared" si="692"/>
        <v>8.8279219055221597E-2</v>
      </c>
      <c r="BX225" s="460">
        <f t="shared" si="693"/>
        <v>139.56655396491877</v>
      </c>
      <c r="BY225" s="173">
        <f t="shared" si="694"/>
        <v>0.62720258335243995</v>
      </c>
      <c r="BZ225" s="5">
        <f t="shared" si="695"/>
        <v>2.16</v>
      </c>
      <c r="CA225" s="173">
        <f t="shared" si="696"/>
        <v>0.77497057906783295</v>
      </c>
      <c r="CB225" s="5">
        <f t="shared" si="697"/>
        <v>77.497057906783297</v>
      </c>
      <c r="CE225" s="562">
        <f t="shared" si="638"/>
        <v>-50</v>
      </c>
      <c r="CF225">
        <f t="shared" si="639"/>
        <v>-50</v>
      </c>
      <c r="CG225" s="173">
        <f t="shared" si="640"/>
        <v>0.12269775211038897</v>
      </c>
      <c r="CI225" s="170">
        <v>9</v>
      </c>
      <c r="CJ225" s="217">
        <f t="shared" si="698"/>
        <v>0.09</v>
      </c>
      <c r="CK225" s="217"/>
      <c r="CL225" s="217">
        <f t="shared" si="641"/>
        <v>2.16</v>
      </c>
      <c r="CM225" s="541">
        <f t="shared" si="642"/>
        <v>36</v>
      </c>
      <c r="CN225" s="443">
        <f t="shared" si="643"/>
        <v>16.3415</v>
      </c>
      <c r="CO225" s="443">
        <f t="shared" si="644"/>
        <v>52.341499999999996</v>
      </c>
      <c r="CP225" s="443"/>
      <c r="CQ225" s="217">
        <f t="shared" si="645"/>
        <v>0.31220924123305599</v>
      </c>
      <c r="CR225" s="172">
        <f t="shared" si="646"/>
        <v>63.048783011568261</v>
      </c>
      <c r="CS225" s="172">
        <f t="shared" si="647"/>
        <v>2.16</v>
      </c>
      <c r="CT225" s="217">
        <f t="shared" si="648"/>
        <v>2.6270326254820109</v>
      </c>
      <c r="CU225" s="217">
        <f t="shared" si="649"/>
        <v>24</v>
      </c>
      <c r="CV225" s="217"/>
      <c r="CW225" s="172">
        <f t="shared" si="650"/>
        <v>2168.2616520081656</v>
      </c>
      <c r="CX225" s="172">
        <f t="shared" si="651"/>
        <v>24</v>
      </c>
      <c r="CY225" s="217">
        <f t="shared" si="652"/>
        <v>0.38435761710981248</v>
      </c>
      <c r="CZ225" s="217">
        <f t="shared" si="653"/>
        <v>0.10676600475272571</v>
      </c>
      <c r="DA225" s="217">
        <f t="shared" si="654"/>
        <v>0.23520338837304564</v>
      </c>
      <c r="DB225" s="197">
        <f t="shared" si="655"/>
        <v>350</v>
      </c>
      <c r="DC225" s="443">
        <f t="shared" si="656"/>
        <v>350</v>
      </c>
      <c r="DE225" s="217">
        <f t="shared" si="657"/>
        <v>3.211295052682861</v>
      </c>
      <c r="DF225" s="173">
        <f t="shared" si="658"/>
        <v>1.96511645361984</v>
      </c>
      <c r="DG225" s="173">
        <f t="shared" si="659"/>
        <v>0.73660113681324435</v>
      </c>
      <c r="DH225" s="173"/>
      <c r="DI225" s="173">
        <f t="shared" si="660"/>
        <v>1.3598642855443031</v>
      </c>
      <c r="DJ225" s="545">
        <f t="shared" si="661"/>
        <v>89.302499999999966</v>
      </c>
      <c r="DK225" s="528">
        <f t="shared" si="662"/>
        <v>0.35273368606701955</v>
      </c>
      <c r="DM225" s="173">
        <f t="shared" si="663"/>
        <v>1.1224972160321822</v>
      </c>
      <c r="DN225" s="173">
        <f t="shared" si="664"/>
        <v>2.2222222222222223</v>
      </c>
      <c r="DO225" s="173">
        <f t="shared" si="665"/>
        <v>1.0510299999999999</v>
      </c>
      <c r="DQ225" s="545">
        <f t="shared" si="666"/>
        <v>90</v>
      </c>
      <c r="DR225" s="460">
        <f t="shared" si="667"/>
        <v>89.302499999999966</v>
      </c>
      <c r="DT225">
        <f t="shared" si="668"/>
        <v>90</v>
      </c>
      <c r="DU225">
        <f t="shared" si="669"/>
        <v>89.302499999999966</v>
      </c>
      <c r="DW225" s="5">
        <f t="shared" si="670"/>
        <v>11.197894795778398</v>
      </c>
      <c r="DX225" s="5">
        <f t="shared" si="671"/>
        <v>0.61728395061728403</v>
      </c>
      <c r="DY225" s="5">
        <f t="shared" si="672"/>
        <v>10.580610845161114</v>
      </c>
      <c r="DZ225" s="5"/>
      <c r="EA225" s="173">
        <f t="shared" si="673"/>
        <v>5.5124999999999987E-2</v>
      </c>
      <c r="EB225" s="173">
        <f t="shared" si="699"/>
        <v>2.2049999999999996</v>
      </c>
      <c r="EC225" s="173">
        <f t="shared" si="700"/>
        <v>0.70025736111111114</v>
      </c>
      <c r="ED225" s="173">
        <f t="shared" si="701"/>
        <v>3.1488423006382766</v>
      </c>
      <c r="EE225" s="460">
        <f t="shared" si="674"/>
        <v>0.23148148148148148</v>
      </c>
      <c r="EF225" s="5">
        <f t="shared" si="675"/>
        <v>0.52903054225805568</v>
      </c>
      <c r="EH225" s="173">
        <f t="shared" si="702"/>
        <v>0.30123203803835463</v>
      </c>
      <c r="EI225" s="173">
        <f t="shared" si="703"/>
        <v>0.83184013765209341</v>
      </c>
      <c r="EK225" s="528">
        <f t="shared" si="704"/>
        <v>3.6296296296296294E-3</v>
      </c>
      <c r="EL225" s="528">
        <f t="shared" si="705"/>
        <v>0.2856471935624999</v>
      </c>
      <c r="EM225" s="528">
        <f t="shared" si="706"/>
        <v>1.7860499999999994E-2</v>
      </c>
      <c r="EN225" s="528">
        <f t="shared" si="707"/>
        <v>4.2814807393484089E-2</v>
      </c>
      <c r="EO225">
        <f t="shared" si="708"/>
        <v>1.6199999999999999E-2</v>
      </c>
      <c r="EP225" s="460">
        <f t="shared" si="709"/>
        <v>34.06049999999999</v>
      </c>
      <c r="EQ225" s="460"/>
      <c r="ER225" s="460">
        <f t="shared" si="710"/>
        <v>366.15213058561363</v>
      </c>
      <c r="ES225" s="528">
        <f t="shared" si="711"/>
        <v>6.3E-2</v>
      </c>
      <c r="EV225" s="460">
        <f t="shared" si="712"/>
        <v>63</v>
      </c>
      <c r="EW225" s="528">
        <f t="shared" si="713"/>
        <v>2.7222222222222218E-3</v>
      </c>
      <c r="EX225" s="528">
        <f t="shared" si="714"/>
        <v>2.0758740438271611E-2</v>
      </c>
      <c r="EY225" s="528">
        <f t="shared" si="715"/>
        <v>2.7739444668786122E-2</v>
      </c>
      <c r="EZ225" s="528"/>
      <c r="FA225" s="528">
        <f t="shared" si="716"/>
        <v>8.8199999999999987E-2</v>
      </c>
      <c r="FB225" s="460">
        <f t="shared" si="717"/>
        <v>139.42040732927995</v>
      </c>
      <c r="FC225" s="173">
        <f t="shared" si="718"/>
        <v>0.56857253791489359</v>
      </c>
      <c r="FD225" s="5">
        <f t="shared" si="719"/>
        <v>2.16</v>
      </c>
      <c r="FE225" s="173">
        <f t="shared" si="720"/>
        <v>0.79162271480259694</v>
      </c>
      <c r="FF225" s="5">
        <f t="shared" si="721"/>
        <v>79.16227148025969</v>
      </c>
      <c r="FI225" s="562">
        <f t="shared" si="676"/>
        <v>-50</v>
      </c>
      <c r="FJ225">
        <f t="shared" si="677"/>
        <v>-50</v>
      </c>
      <c r="FL225">
        <f t="shared" si="678"/>
        <v>0.12143928035982007</v>
      </c>
    </row>
    <row r="226" spans="5:168">
      <c r="E226" s="170">
        <v>10</v>
      </c>
      <c r="F226" s="217">
        <f t="shared" si="679"/>
        <v>0.1</v>
      </c>
      <c r="G226" s="217"/>
      <c r="H226" s="217">
        <f t="shared" si="603"/>
        <v>2.4000000000000004</v>
      </c>
      <c r="I226" s="541">
        <f t="shared" si="604"/>
        <v>35.92301996410805</v>
      </c>
      <c r="J226" s="172">
        <f t="shared" si="605"/>
        <v>16.356177530509115</v>
      </c>
      <c r="K226" s="172">
        <f t="shared" si="606"/>
        <v>52.279197494617165</v>
      </c>
      <c r="L226" s="443"/>
      <c r="M226" s="217">
        <f t="shared" si="607"/>
        <v>0.3128640612264586</v>
      </c>
      <c r="N226" s="172">
        <f t="shared" si="608"/>
        <v>63.045917836266661</v>
      </c>
      <c r="O226" s="172">
        <f t="shared" si="599"/>
        <v>2.4000000000000004</v>
      </c>
      <c r="P226" s="217">
        <f t="shared" si="609"/>
        <v>2.6269132431777775</v>
      </c>
      <c r="Q226" s="217">
        <f t="shared" si="610"/>
        <v>24</v>
      </c>
      <c r="R226" s="217"/>
      <c r="S226" s="172">
        <f t="shared" si="611"/>
        <v>1941.8795940134942</v>
      </c>
      <c r="T226" s="172">
        <f t="shared" si="612"/>
        <v>24</v>
      </c>
      <c r="U226" s="217">
        <f t="shared" si="613"/>
        <v>0.43637664404181303</v>
      </c>
      <c r="V226" s="217">
        <f t="shared" si="614"/>
        <v>0.1214754896659057</v>
      </c>
      <c r="W226" s="217">
        <f t="shared" si="615"/>
        <v>0.26679622621351562</v>
      </c>
      <c r="X226" s="197">
        <f t="shared" si="616"/>
        <v>350</v>
      </c>
      <c r="Y226" s="443">
        <f t="shared" si="680"/>
        <v>350</v>
      </c>
      <c r="AA226" s="217">
        <f t="shared" si="617"/>
        <v>3.2111286003001851</v>
      </c>
      <c r="AB226" s="173">
        <f t="shared" si="618"/>
        <v>1.9632512512844025</v>
      </c>
      <c r="AC226" s="173">
        <f t="shared" si="619"/>
        <v>0.73586384301450503</v>
      </c>
      <c r="AD226" s="173"/>
      <c r="AE226" s="173">
        <f t="shared" si="620"/>
        <v>1.3586439851714256</v>
      </c>
      <c r="AF226" s="545">
        <f t="shared" si="621"/>
        <v>99.314121437124271</v>
      </c>
      <c r="AG226" s="528">
        <f t="shared" si="622"/>
        <v>0.35241715370918814</v>
      </c>
      <c r="AI226" s="173">
        <f t="shared" si="623"/>
        <v>1.1837472049897215</v>
      </c>
      <c r="AJ226" s="173">
        <f t="shared" si="624"/>
        <v>2.2222222222222223</v>
      </c>
      <c r="AK226" s="173">
        <f t="shared" si="625"/>
        <v>1.0567509265354995</v>
      </c>
      <c r="AM226" s="545">
        <f t="shared" si="626"/>
        <v>100</v>
      </c>
      <c r="AN226" s="460">
        <f t="shared" si="627"/>
        <v>99.314121437124271</v>
      </c>
      <c r="AP226">
        <f t="shared" si="628"/>
        <v>100</v>
      </c>
      <c r="AQ226">
        <f t="shared" si="629"/>
        <v>99.314121437124271</v>
      </c>
      <c r="AS226" s="5">
        <f t="shared" si="600"/>
        <v>10.069061534548233</v>
      </c>
      <c r="AT226" s="5">
        <f t="shared" si="630"/>
        <v>0.61860673864350013</v>
      </c>
      <c r="AU226" s="5">
        <f t="shared" si="478"/>
        <v>9.4504547959047329</v>
      </c>
      <c r="AV226" s="5"/>
      <c r="AW226" s="173">
        <f t="shared" si="479"/>
        <v>6.1436384763463962E-2</v>
      </c>
      <c r="AX226" s="173">
        <f t="shared" si="631"/>
        <v>2.4522005293117113</v>
      </c>
      <c r="AY226" s="173">
        <f t="shared" si="632"/>
        <v>0.69557992373641064</v>
      </c>
      <c r="AZ226" s="173">
        <f t="shared" si="633"/>
        <v>3.5254044080791647</v>
      </c>
      <c r="BA226" s="460">
        <f t="shared" si="594"/>
        <v>0.25775280776812504</v>
      </c>
      <c r="BB226" s="5">
        <f t="shared" si="595"/>
        <v>0.52615035179932046</v>
      </c>
      <c r="BD226" s="173">
        <f t="shared" si="681"/>
        <v>0.31800920027963359</v>
      </c>
      <c r="BE226" s="173">
        <f t="shared" si="682"/>
        <v>0.82905730412871004</v>
      </c>
      <c r="BG226" s="528">
        <f t="shared" si="683"/>
        <v>4.0451940584996845E-3</v>
      </c>
      <c r="BH226" s="528">
        <f t="shared" si="634"/>
        <v>0.25960312843079064</v>
      </c>
      <c r="BI226" s="528">
        <f t="shared" si="635"/>
        <v>0.14270652668414666</v>
      </c>
      <c r="BJ226" s="528">
        <f t="shared" si="684"/>
        <v>4.7501451275088181E-2</v>
      </c>
      <c r="BK226">
        <f t="shared" si="685"/>
        <v>1.6165358983848622E-2</v>
      </c>
      <c r="BL226" s="460">
        <f t="shared" si="686"/>
        <v>158.87188566799529</v>
      </c>
      <c r="BM226" s="528">
        <f t="shared" si="636"/>
        <v>0.31254237254488471</v>
      </c>
      <c r="BN226" s="460">
        <f t="shared" si="687"/>
        <v>312.5423725448847</v>
      </c>
      <c r="BO226" s="528">
        <f t="shared" si="637"/>
        <v>6.9999999999999993E-2</v>
      </c>
      <c r="BR226" s="460">
        <f t="shared" si="688"/>
        <v>69.999999999999986</v>
      </c>
      <c r="BS226" s="528">
        <f t="shared" si="689"/>
        <v>3.0338955438747629E-3</v>
      </c>
      <c r="BT226" s="528">
        <f t="shared" si="690"/>
        <v>2.062008040587493E-2</v>
      </c>
      <c r="BU226" s="528">
        <f t="shared" si="691"/>
        <v>3.6179805894535781E-2</v>
      </c>
      <c r="BV226" s="528"/>
      <c r="BW226" s="528">
        <f t="shared" si="692"/>
        <v>9.808802117246844E-2</v>
      </c>
      <c r="BX226" s="460">
        <f t="shared" si="693"/>
        <v>157.9218030167539</v>
      </c>
      <c r="BY226" s="173">
        <f t="shared" si="694"/>
        <v>0.69794346244912764</v>
      </c>
      <c r="BZ226" s="5">
        <f t="shared" si="695"/>
        <v>2.4000000000000004</v>
      </c>
      <c r="CA226" s="173">
        <f t="shared" si="696"/>
        <v>0.77470748872306494</v>
      </c>
      <c r="CB226" s="5">
        <f t="shared" si="697"/>
        <v>77.470748872306501</v>
      </c>
      <c r="CE226" s="562">
        <f t="shared" si="638"/>
        <v>-50</v>
      </c>
      <c r="CF226">
        <f t="shared" si="639"/>
        <v>-50</v>
      </c>
      <c r="CG226" s="173">
        <f t="shared" si="640"/>
        <v>0.13633083567820997</v>
      </c>
      <c r="CI226" s="170">
        <v>10</v>
      </c>
      <c r="CJ226" s="217">
        <f t="shared" si="698"/>
        <v>0.1</v>
      </c>
      <c r="CK226" s="217"/>
      <c r="CL226" s="217">
        <f t="shared" si="641"/>
        <v>2.4000000000000004</v>
      </c>
      <c r="CM226" s="541">
        <f t="shared" si="642"/>
        <v>36</v>
      </c>
      <c r="CN226" s="443">
        <f t="shared" si="643"/>
        <v>16.3415</v>
      </c>
      <c r="CO226" s="443">
        <f t="shared" si="644"/>
        <v>52.341499999999996</v>
      </c>
      <c r="CP226" s="443"/>
      <c r="CQ226" s="217">
        <f t="shared" si="645"/>
        <v>0.31220924123305599</v>
      </c>
      <c r="CR226" s="172">
        <f t="shared" si="646"/>
        <v>63.048783011568261</v>
      </c>
      <c r="CS226" s="172">
        <f t="shared" si="647"/>
        <v>2.4000000000000004</v>
      </c>
      <c r="CT226" s="217">
        <f t="shared" si="648"/>
        <v>2.6270326254820109</v>
      </c>
      <c r="CU226" s="217">
        <f t="shared" si="649"/>
        <v>24</v>
      </c>
      <c r="CV226" s="217"/>
      <c r="CW226" s="172">
        <f t="shared" si="650"/>
        <v>1946.0408503343369</v>
      </c>
      <c r="CX226" s="172">
        <f t="shared" si="651"/>
        <v>24</v>
      </c>
      <c r="CY226" s="217">
        <f t="shared" si="652"/>
        <v>0.4270640190109028</v>
      </c>
      <c r="CZ226" s="217">
        <f t="shared" si="653"/>
        <v>0.11862889416969523</v>
      </c>
      <c r="DA226" s="217">
        <f t="shared" si="654"/>
        <v>0.26133709819227291</v>
      </c>
      <c r="DB226" s="197">
        <f t="shared" si="655"/>
        <v>350</v>
      </c>
      <c r="DC226" s="443">
        <f t="shared" si="656"/>
        <v>350</v>
      </c>
      <c r="DE226" s="217">
        <f t="shared" si="657"/>
        <v>3.211295052682861</v>
      </c>
      <c r="DF226" s="173">
        <f t="shared" si="658"/>
        <v>1.96511645361984</v>
      </c>
      <c r="DG226" s="173">
        <f t="shared" si="659"/>
        <v>0.73660113681324435</v>
      </c>
      <c r="DH226" s="173"/>
      <c r="DI226" s="173">
        <f t="shared" si="660"/>
        <v>1.3598642855443031</v>
      </c>
      <c r="DJ226" s="545">
        <f t="shared" si="661"/>
        <v>99.224999999999966</v>
      </c>
      <c r="DK226" s="528">
        <f t="shared" si="662"/>
        <v>0.35273368606701955</v>
      </c>
      <c r="DM226" s="173">
        <f t="shared" si="663"/>
        <v>1.1832159566199232</v>
      </c>
      <c r="DN226" s="173">
        <f t="shared" si="664"/>
        <v>2.2222222222222223</v>
      </c>
      <c r="DO226" s="173">
        <f t="shared" si="665"/>
        <v>1.0567</v>
      </c>
      <c r="DQ226" s="545">
        <f t="shared" si="666"/>
        <v>100</v>
      </c>
      <c r="DR226" s="460">
        <f t="shared" si="667"/>
        <v>99.224999999999966</v>
      </c>
      <c r="DT226">
        <f t="shared" si="668"/>
        <v>100</v>
      </c>
      <c r="DU226">
        <f t="shared" si="669"/>
        <v>99.224999999999966</v>
      </c>
      <c r="DW226" s="5">
        <f t="shared" si="670"/>
        <v>10.078105316200558</v>
      </c>
      <c r="DX226" s="5">
        <f t="shared" si="671"/>
        <v>0.61728395061728403</v>
      </c>
      <c r="DY226" s="5">
        <f t="shared" si="672"/>
        <v>9.4608213655832749</v>
      </c>
      <c r="DZ226" s="5"/>
      <c r="EA226" s="173">
        <f t="shared" si="673"/>
        <v>6.1249999999999985E-2</v>
      </c>
      <c r="EB226" s="173">
        <f t="shared" si="699"/>
        <v>2.4499999999999993</v>
      </c>
      <c r="EC226" s="173">
        <f t="shared" si="700"/>
        <v>0.69571805555555555</v>
      </c>
      <c r="ED226" s="173">
        <f t="shared" si="701"/>
        <v>3.5215414929020166</v>
      </c>
      <c r="EE226" s="460">
        <f t="shared" si="674"/>
        <v>0.25720164609053497</v>
      </c>
      <c r="EF226" s="5">
        <f t="shared" si="675"/>
        <v>0.52560118697684866</v>
      </c>
      <c r="EH226" s="173">
        <f t="shared" si="702"/>
        <v>0.31752644813856012</v>
      </c>
      <c r="EI226" s="173">
        <f t="shared" si="703"/>
        <v>0.82913961926231272</v>
      </c>
      <c r="EK226" s="528">
        <f t="shared" si="704"/>
        <v>4.0329218106995883E-3</v>
      </c>
      <c r="EL226" s="528">
        <f t="shared" si="705"/>
        <v>0.3173857706249999</v>
      </c>
      <c r="EM226" s="528">
        <f t="shared" si="706"/>
        <v>1.9844999999999995E-2</v>
      </c>
      <c r="EN226" s="528">
        <f t="shared" si="707"/>
        <v>4.7572008214982323E-2</v>
      </c>
      <c r="EO226">
        <f t="shared" si="708"/>
        <v>1.6199999999999999E-2</v>
      </c>
      <c r="EP226" s="460">
        <f t="shared" si="709"/>
        <v>36.044999999999995</v>
      </c>
      <c r="EQ226" s="460"/>
      <c r="ER226" s="460">
        <f t="shared" si="710"/>
        <v>405.0357006506818</v>
      </c>
      <c r="ES226" s="528">
        <f t="shared" si="711"/>
        <v>6.9999999999999993E-2</v>
      </c>
      <c r="EV226" s="460">
        <f t="shared" si="712"/>
        <v>69.999999999999986</v>
      </c>
      <c r="EW226" s="528">
        <f t="shared" si="713"/>
        <v>3.0246913580246914E-3</v>
      </c>
      <c r="EX226" s="528">
        <f t="shared" si="714"/>
        <v>2.0624175246913588E-2</v>
      </c>
      <c r="EY226" s="528">
        <f t="shared" si="715"/>
        <v>3.6098693901884464E-2</v>
      </c>
      <c r="EZ226" s="528"/>
      <c r="FA226" s="528">
        <f t="shared" si="716"/>
        <v>9.8000000000000004E-2</v>
      </c>
      <c r="FB226" s="460">
        <f t="shared" si="717"/>
        <v>157.74756050682277</v>
      </c>
      <c r="FC226" s="173">
        <f t="shared" si="718"/>
        <v>0.6327832611575045</v>
      </c>
      <c r="FD226" s="5">
        <f t="shared" si="719"/>
        <v>2.4000000000000004</v>
      </c>
      <c r="FE226" s="173">
        <f t="shared" si="720"/>
        <v>0.79135229699335863</v>
      </c>
      <c r="FF226" s="5">
        <f t="shared" si="721"/>
        <v>79.135229699335866</v>
      </c>
      <c r="FI226" s="562">
        <f t="shared" si="676"/>
        <v>-50</v>
      </c>
      <c r="FJ226">
        <f t="shared" si="677"/>
        <v>-50</v>
      </c>
      <c r="FL226">
        <f t="shared" si="678"/>
        <v>0.13493253373313341</v>
      </c>
    </row>
    <row r="227" spans="5:168">
      <c r="E227" s="170">
        <v>11</v>
      </c>
      <c r="F227" s="217">
        <f t="shared" si="679"/>
        <v>0.11</v>
      </c>
      <c r="G227" s="217"/>
      <c r="H227" s="217">
        <f t="shared" si="603"/>
        <v>2.64</v>
      </c>
      <c r="I227" s="541">
        <f t="shared" si="604"/>
        <v>35.92301996410805</v>
      </c>
      <c r="J227" s="172">
        <f t="shared" si="605"/>
        <v>16.356177530509115</v>
      </c>
      <c r="K227" s="172">
        <f t="shared" si="606"/>
        <v>52.279197494617165</v>
      </c>
      <c r="L227" s="443"/>
      <c r="M227" s="217">
        <f t="shared" si="607"/>
        <v>0.3128640612264586</v>
      </c>
      <c r="N227" s="172">
        <f t="shared" si="608"/>
        <v>63.045917836266661</v>
      </c>
      <c r="O227" s="172">
        <f t="shared" si="599"/>
        <v>2.64</v>
      </c>
      <c r="P227" s="217">
        <f t="shared" si="609"/>
        <v>2.6269132431777775</v>
      </c>
      <c r="Q227" s="217">
        <f t="shared" si="610"/>
        <v>24</v>
      </c>
      <c r="R227" s="217"/>
      <c r="S227" s="172">
        <f t="shared" si="611"/>
        <v>1760.4516286220403</v>
      </c>
      <c r="T227" s="172">
        <f t="shared" si="612"/>
        <v>24</v>
      </c>
      <c r="U227" s="217">
        <f t="shared" si="613"/>
        <v>0.48001430844599424</v>
      </c>
      <c r="V227" s="217">
        <f t="shared" si="614"/>
        <v>0.13362303863249622</v>
      </c>
      <c r="W227" s="217">
        <f t="shared" si="615"/>
        <v>0.2934758488348671</v>
      </c>
      <c r="X227" s="197">
        <f t="shared" si="616"/>
        <v>350</v>
      </c>
      <c r="Y227" s="443">
        <f t="shared" si="680"/>
        <v>350</v>
      </c>
      <c r="AA227" s="217">
        <f t="shared" si="617"/>
        <v>3.2111286003001851</v>
      </c>
      <c r="AB227" s="173">
        <f t="shared" si="618"/>
        <v>1.9632512512844025</v>
      </c>
      <c r="AC227" s="173">
        <f t="shared" si="619"/>
        <v>0.73586384301450503</v>
      </c>
      <c r="AD227" s="173"/>
      <c r="AE227" s="173">
        <f t="shared" si="620"/>
        <v>1.3586439851714256</v>
      </c>
      <c r="AF227" s="545">
        <f t="shared" si="621"/>
        <v>109.24553358083669</v>
      </c>
      <c r="AG227" s="528">
        <f t="shared" si="622"/>
        <v>0.35241715370918814</v>
      </c>
      <c r="AI227" s="173">
        <f t="shared" si="623"/>
        <v>1.241524542589906</v>
      </c>
      <c r="AJ227" s="173">
        <f t="shared" si="624"/>
        <v>2.2222222222222223</v>
      </c>
      <c r="AK227" s="173">
        <f t="shared" si="625"/>
        <v>1.0624260191890496</v>
      </c>
      <c r="AM227" s="545">
        <f t="shared" si="626"/>
        <v>110</v>
      </c>
      <c r="AN227" s="460">
        <f t="shared" si="627"/>
        <v>109.24553358083669</v>
      </c>
      <c r="AP227">
        <f t="shared" si="628"/>
        <v>110</v>
      </c>
      <c r="AQ227">
        <f t="shared" si="629"/>
        <v>109.24553358083669</v>
      </c>
      <c r="AS227" s="5">
        <f t="shared" si="600"/>
        <v>9.1536923041347578</v>
      </c>
      <c r="AT227" s="5">
        <f t="shared" si="630"/>
        <v>0.61860673864350013</v>
      </c>
      <c r="AU227" s="5">
        <f t="shared" si="478"/>
        <v>8.5350855654912579</v>
      </c>
      <c r="AV227" s="5"/>
      <c r="AW227" s="173">
        <f t="shared" si="479"/>
        <v>6.7580023239810355E-2</v>
      </c>
      <c r="AX227" s="173">
        <f t="shared" si="631"/>
        <v>2.6974205822428816</v>
      </c>
      <c r="AY227" s="173">
        <f t="shared" si="632"/>
        <v>0.69102680499894054</v>
      </c>
      <c r="AZ227" s="173">
        <f t="shared" si="633"/>
        <v>3.9034963082901211</v>
      </c>
      <c r="BA227" s="460">
        <f t="shared" si="594"/>
        <v>0.28352808854493755</v>
      </c>
      <c r="BB227" s="5">
        <f t="shared" si="595"/>
        <v>0.52270628312546419</v>
      </c>
      <c r="BD227" s="173">
        <f t="shared" si="681"/>
        <v>0.33353086305279361</v>
      </c>
      <c r="BE227" s="173">
        <f t="shared" si="682"/>
        <v>0.8263394324854858</v>
      </c>
      <c r="BG227" s="528">
        <f t="shared" si="683"/>
        <v>4.4497134643496552E-3</v>
      </c>
      <c r="BH227" s="528">
        <f t="shared" si="634"/>
        <v>0.28556344127386962</v>
      </c>
      <c r="BI227" s="528">
        <f t="shared" si="635"/>
        <v>0.15697717935256131</v>
      </c>
      <c r="BJ227" s="528">
        <f t="shared" si="684"/>
        <v>5.2251596402596988E-2</v>
      </c>
      <c r="BK227">
        <f t="shared" si="685"/>
        <v>1.6165358983848622E-2</v>
      </c>
      <c r="BL227" s="460">
        <f t="shared" si="686"/>
        <v>173.14253833640993</v>
      </c>
      <c r="BM227" s="528">
        <f t="shared" si="636"/>
        <v>0.34382968837407785</v>
      </c>
      <c r="BN227" s="460">
        <f t="shared" si="687"/>
        <v>343.82968837407782</v>
      </c>
      <c r="BO227" s="528">
        <f t="shared" si="637"/>
        <v>7.6999999999999999E-2</v>
      </c>
      <c r="BR227" s="460">
        <f t="shared" si="688"/>
        <v>77</v>
      </c>
      <c r="BS227" s="528">
        <f t="shared" si="689"/>
        <v>3.337285098262241E-3</v>
      </c>
      <c r="BT227" s="528">
        <f t="shared" si="690"/>
        <v>2.0485105730413043E-2</v>
      </c>
      <c r="BU227" s="528">
        <f t="shared" si="691"/>
        <v>4.5914297662193973E-2</v>
      </c>
      <c r="BV227" s="528"/>
      <c r="BW227" s="528">
        <f t="shared" si="692"/>
        <v>0.10789682328971528</v>
      </c>
      <c r="BX227" s="460">
        <f t="shared" si="693"/>
        <v>177.63351178058454</v>
      </c>
      <c r="BY227" s="173">
        <f t="shared" si="694"/>
        <v>0.77004080125781071</v>
      </c>
      <c r="BZ227" s="5">
        <f t="shared" si="695"/>
        <v>2.64</v>
      </c>
      <c r="CA227" s="173">
        <f t="shared" si="696"/>
        <v>0.77418428513413173</v>
      </c>
      <c r="CB227" s="5">
        <f t="shared" si="697"/>
        <v>77.418428513413176</v>
      </c>
      <c r="CE227" s="562">
        <f t="shared" si="638"/>
        <v>-50</v>
      </c>
      <c r="CF227">
        <f t="shared" si="639"/>
        <v>-50</v>
      </c>
      <c r="CG227" s="173">
        <f t="shared" si="640"/>
        <v>0.14996391924603095</v>
      </c>
      <c r="CI227" s="170">
        <v>11</v>
      </c>
      <c r="CJ227" s="217">
        <f t="shared" si="698"/>
        <v>0.11</v>
      </c>
      <c r="CK227" s="217"/>
      <c r="CL227" s="217">
        <f t="shared" si="641"/>
        <v>2.64</v>
      </c>
      <c r="CM227" s="541">
        <f t="shared" si="642"/>
        <v>36</v>
      </c>
      <c r="CN227" s="443">
        <f t="shared" si="643"/>
        <v>16.3415</v>
      </c>
      <c r="CO227" s="443">
        <f t="shared" si="644"/>
        <v>52.341499999999996</v>
      </c>
      <c r="CP227" s="443"/>
      <c r="CQ227" s="217">
        <f t="shared" si="645"/>
        <v>0.31220924123305599</v>
      </c>
      <c r="CR227" s="172">
        <f t="shared" si="646"/>
        <v>63.048783011568261</v>
      </c>
      <c r="CS227" s="172">
        <f t="shared" si="647"/>
        <v>2.64</v>
      </c>
      <c r="CT227" s="217">
        <f t="shared" si="648"/>
        <v>2.6270326254820109</v>
      </c>
      <c r="CU227" s="217">
        <f t="shared" si="649"/>
        <v>24</v>
      </c>
      <c r="CV227" s="217"/>
      <c r="CW227" s="172">
        <f t="shared" si="650"/>
        <v>1764.2240968845483</v>
      </c>
      <c r="CX227" s="172">
        <f t="shared" si="651"/>
        <v>24</v>
      </c>
      <c r="CY227" s="217">
        <f t="shared" si="652"/>
        <v>0.469770420911993</v>
      </c>
      <c r="CZ227" s="217">
        <f t="shared" si="653"/>
        <v>0.13049178358666474</v>
      </c>
      <c r="DA227" s="217">
        <f t="shared" si="654"/>
        <v>0.28747080801150021</v>
      </c>
      <c r="DB227" s="197">
        <f t="shared" si="655"/>
        <v>350</v>
      </c>
      <c r="DC227" s="443">
        <f t="shared" si="656"/>
        <v>350</v>
      </c>
      <c r="DE227" s="217">
        <f t="shared" si="657"/>
        <v>3.211295052682861</v>
      </c>
      <c r="DF227" s="173">
        <f t="shared" si="658"/>
        <v>1.96511645361984</v>
      </c>
      <c r="DG227" s="173">
        <f t="shared" si="659"/>
        <v>0.73660113681324435</v>
      </c>
      <c r="DH227" s="173"/>
      <c r="DI227" s="173">
        <f t="shared" si="660"/>
        <v>1.3598642855443031</v>
      </c>
      <c r="DJ227" s="545">
        <f t="shared" si="661"/>
        <v>109.14749999999997</v>
      </c>
      <c r="DK227" s="528">
        <f t="shared" si="662"/>
        <v>0.35273368606701955</v>
      </c>
      <c r="DM227" s="173">
        <f t="shared" si="663"/>
        <v>1.2409673645990855</v>
      </c>
      <c r="DN227" s="173">
        <f t="shared" si="664"/>
        <v>2.2222222222222223</v>
      </c>
      <c r="DO227" s="173">
        <f t="shared" si="665"/>
        <v>1.06237</v>
      </c>
      <c r="DQ227" s="545">
        <f t="shared" si="666"/>
        <v>110</v>
      </c>
      <c r="DR227" s="460">
        <f t="shared" si="667"/>
        <v>109.14749999999997</v>
      </c>
      <c r="DT227">
        <f t="shared" si="668"/>
        <v>110</v>
      </c>
      <c r="DU227">
        <f t="shared" si="669"/>
        <v>109.14749999999997</v>
      </c>
      <c r="DW227" s="5">
        <f t="shared" si="670"/>
        <v>9.1619139238186893</v>
      </c>
      <c r="DX227" s="5">
        <f t="shared" si="671"/>
        <v>0.61728395061728403</v>
      </c>
      <c r="DY227" s="5">
        <f t="shared" si="672"/>
        <v>8.5446299732014062</v>
      </c>
      <c r="DZ227" s="5"/>
      <c r="EA227" s="173">
        <f t="shared" si="673"/>
        <v>6.7374999999999977E-2</v>
      </c>
      <c r="EB227" s="173">
        <f t="shared" si="699"/>
        <v>2.6949999999999998</v>
      </c>
      <c r="EC227" s="173">
        <f t="shared" si="700"/>
        <v>0.69117875000000006</v>
      </c>
      <c r="ED227" s="173">
        <f t="shared" si="701"/>
        <v>3.8991360773171913</v>
      </c>
      <c r="EE227" s="460">
        <f t="shared" si="674"/>
        <v>0.28292181069958849</v>
      </c>
      <c r="EF227" s="5">
        <f t="shared" si="675"/>
        <v>0.52217183169564141</v>
      </c>
      <c r="EH227" s="173">
        <f t="shared" si="702"/>
        <v>0.33302454833576256</v>
      </c>
      <c r="EI227" s="173">
        <f t="shared" si="703"/>
        <v>0.82643027646127054</v>
      </c>
      <c r="EK227" s="528">
        <f t="shared" si="704"/>
        <v>4.4362139917695463E-3</v>
      </c>
      <c r="EL227" s="528">
        <f t="shared" si="705"/>
        <v>0.34912434768749989</v>
      </c>
      <c r="EM227" s="528">
        <f t="shared" si="706"/>
        <v>2.1829499999999991E-2</v>
      </c>
      <c r="EN227" s="528">
        <f t="shared" si="707"/>
        <v>5.2329209036480556E-2</v>
      </c>
      <c r="EO227">
        <f t="shared" si="708"/>
        <v>1.6199999999999999E-2</v>
      </c>
      <c r="EP227" s="460">
        <f t="shared" si="709"/>
        <v>38.029499999999992</v>
      </c>
      <c r="EQ227" s="460"/>
      <c r="ER227" s="460">
        <f t="shared" si="710"/>
        <v>443.91927071574997</v>
      </c>
      <c r="ES227" s="528">
        <f t="shared" si="711"/>
        <v>7.6999999999999999E-2</v>
      </c>
      <c r="EV227" s="460">
        <f t="shared" si="712"/>
        <v>77</v>
      </c>
      <c r="EW227" s="528">
        <f t="shared" si="713"/>
        <v>3.3271604938271593E-3</v>
      </c>
      <c r="EX227" s="528">
        <f t="shared" si="714"/>
        <v>2.0489610055555559E-2</v>
      </c>
      <c r="EY227" s="528">
        <f t="shared" si="715"/>
        <v>4.5811361781735532E-2</v>
      </c>
      <c r="EZ227" s="528"/>
      <c r="FA227" s="528">
        <f t="shared" si="716"/>
        <v>0.10779999999999999</v>
      </c>
      <c r="FB227" s="460">
        <f t="shared" si="717"/>
        <v>177.42813233111826</v>
      </c>
      <c r="FC227" s="173">
        <f t="shared" si="718"/>
        <v>0.69834740304686826</v>
      </c>
      <c r="FD227" s="5">
        <f t="shared" si="719"/>
        <v>2.64</v>
      </c>
      <c r="FE227" s="173">
        <f t="shared" si="720"/>
        <v>0.79081044638748643</v>
      </c>
      <c r="FF227" s="5">
        <f t="shared" si="721"/>
        <v>79.081044638748637</v>
      </c>
      <c r="FI227" s="562">
        <f t="shared" si="676"/>
        <v>-50</v>
      </c>
      <c r="FJ227">
        <f t="shared" si="677"/>
        <v>-50</v>
      </c>
      <c r="FL227">
        <f t="shared" si="678"/>
        <v>0.14842578710644674</v>
      </c>
    </row>
    <row r="228" spans="5:168">
      <c r="E228" s="170">
        <v>12</v>
      </c>
      <c r="F228" s="217">
        <f t="shared" si="679"/>
        <v>0.12</v>
      </c>
      <c r="G228" s="217"/>
      <c r="H228" s="217">
        <f t="shared" si="603"/>
        <v>2.88</v>
      </c>
      <c r="I228" s="541">
        <f t="shared" si="604"/>
        <v>35.92301996410805</v>
      </c>
      <c r="J228" s="172">
        <f t="shared" si="605"/>
        <v>16.356177530509115</v>
      </c>
      <c r="K228" s="172">
        <f t="shared" si="606"/>
        <v>52.279197494617165</v>
      </c>
      <c r="L228" s="443"/>
      <c r="M228" s="217">
        <f t="shared" si="607"/>
        <v>0.3128640612264586</v>
      </c>
      <c r="N228" s="172">
        <f t="shared" si="608"/>
        <v>63.045917836266661</v>
      </c>
      <c r="O228" s="172">
        <f t="shared" si="599"/>
        <v>2.88</v>
      </c>
      <c r="P228" s="217">
        <f t="shared" si="609"/>
        <v>2.6269132431777775</v>
      </c>
      <c r="Q228" s="217">
        <f t="shared" si="610"/>
        <v>24</v>
      </c>
      <c r="R228" s="217"/>
      <c r="S228" s="172">
        <f t="shared" si="611"/>
        <v>1609.261903407516</v>
      </c>
      <c r="T228" s="172">
        <f t="shared" si="612"/>
        <v>24</v>
      </c>
      <c r="U228" s="217">
        <f t="shared" si="613"/>
        <v>0.52365197285017562</v>
      </c>
      <c r="V228" s="217">
        <f t="shared" si="614"/>
        <v>0.14577058759908679</v>
      </c>
      <c r="W228" s="217">
        <f t="shared" si="615"/>
        <v>0.3201554714562187</v>
      </c>
      <c r="X228" s="197">
        <f t="shared" si="616"/>
        <v>350</v>
      </c>
      <c r="Y228" s="443">
        <f t="shared" si="680"/>
        <v>350</v>
      </c>
      <c r="AA228" s="217">
        <f t="shared" si="617"/>
        <v>3.2111286003001851</v>
      </c>
      <c r="AB228" s="173">
        <f t="shared" si="618"/>
        <v>1.9632512512844025</v>
      </c>
      <c r="AC228" s="173">
        <f t="shared" si="619"/>
        <v>0.73586384301450503</v>
      </c>
      <c r="AD228" s="173"/>
      <c r="AE228" s="173">
        <f t="shared" si="620"/>
        <v>1.3586439851714256</v>
      </c>
      <c r="AF228" s="545">
        <f t="shared" si="621"/>
        <v>119.17694572454913</v>
      </c>
      <c r="AG228" s="528">
        <f t="shared" si="622"/>
        <v>0.35241715370918814</v>
      </c>
      <c r="AI228" s="173">
        <f t="shared" si="623"/>
        <v>1.2967300931131247</v>
      </c>
      <c r="AJ228" s="173">
        <f t="shared" si="624"/>
        <v>2.2222222222222223</v>
      </c>
      <c r="AK228" s="173">
        <f t="shared" si="625"/>
        <v>1.0681011118425996</v>
      </c>
      <c r="AM228" s="545">
        <f t="shared" si="626"/>
        <v>120</v>
      </c>
      <c r="AN228" s="460">
        <f t="shared" si="627"/>
        <v>119.17694572454913</v>
      </c>
      <c r="AP228">
        <f t="shared" si="628"/>
        <v>120</v>
      </c>
      <c r="AQ228">
        <f t="shared" si="629"/>
        <v>119.17694572454913</v>
      </c>
      <c r="AS228" s="5">
        <f t="shared" si="600"/>
        <v>8.3908846121235268</v>
      </c>
      <c r="AT228" s="5">
        <f t="shared" si="630"/>
        <v>0.61860673864350013</v>
      </c>
      <c r="AU228" s="5">
        <f t="shared" si="478"/>
        <v>7.7722778734800269</v>
      </c>
      <c r="AV228" s="5"/>
      <c r="AW228" s="173">
        <f t="shared" si="479"/>
        <v>7.3723661716156769E-2</v>
      </c>
      <c r="AX228" s="173">
        <f t="shared" si="631"/>
        <v>2.9426406351740533</v>
      </c>
      <c r="AY228" s="173">
        <f t="shared" si="632"/>
        <v>0.68647368626147054</v>
      </c>
      <c r="AZ228" s="173">
        <f t="shared" si="633"/>
        <v>4.2866036878990181</v>
      </c>
      <c r="BA228" s="460">
        <f t="shared" si="594"/>
        <v>0.30930336932175001</v>
      </c>
      <c r="BB228" s="5">
        <f t="shared" si="595"/>
        <v>0.5192622144516077</v>
      </c>
      <c r="BD228" s="173">
        <f t="shared" si="681"/>
        <v>0.34836162497466705</v>
      </c>
      <c r="BE228" s="173">
        <f t="shared" si="682"/>
        <v>0.82361259207937387</v>
      </c>
      <c r="BG228" s="528">
        <f t="shared" si="683"/>
        <v>4.8542328701996233E-3</v>
      </c>
      <c r="BH228" s="528">
        <f t="shared" si="634"/>
        <v>0.31152375411694877</v>
      </c>
      <c r="BI228" s="528">
        <f t="shared" si="635"/>
        <v>0.17124783202097599</v>
      </c>
      <c r="BJ228" s="528">
        <f t="shared" si="684"/>
        <v>5.7001741530105815E-2</v>
      </c>
      <c r="BK228">
        <f t="shared" si="685"/>
        <v>1.6165358983848622E-2</v>
      </c>
      <c r="BL228" s="460">
        <f t="shared" si="686"/>
        <v>187.41319100482463</v>
      </c>
      <c r="BM228" s="528">
        <f t="shared" si="636"/>
        <v>0.37512302543426268</v>
      </c>
      <c r="BN228" s="460">
        <f t="shared" si="687"/>
        <v>375.12302543426267</v>
      </c>
      <c r="BO228" s="528">
        <f t="shared" si="637"/>
        <v>8.3999999999999991E-2</v>
      </c>
      <c r="BR228" s="460">
        <f t="shared" si="688"/>
        <v>83.999999999999986</v>
      </c>
      <c r="BS228" s="528">
        <f t="shared" si="689"/>
        <v>3.6406746526497172E-3</v>
      </c>
      <c r="BT228" s="528">
        <f t="shared" si="690"/>
        <v>2.0350131054951152E-2</v>
      </c>
      <c r="BU228" s="528">
        <f t="shared" si="691"/>
        <v>5.7071507946035542E-2</v>
      </c>
      <c r="BV228" s="528"/>
      <c r="BW228" s="528">
        <f t="shared" si="692"/>
        <v>0.11770562540696214</v>
      </c>
      <c r="BX228" s="460">
        <f t="shared" si="693"/>
        <v>198.76793906059856</v>
      </c>
      <c r="BY228" s="173">
        <f t="shared" si="694"/>
        <v>0.84356085858267749</v>
      </c>
      <c r="BZ228" s="5">
        <f t="shared" si="695"/>
        <v>2.88</v>
      </c>
      <c r="CA228" s="173">
        <f t="shared" si="696"/>
        <v>0.77345318349281189</v>
      </c>
      <c r="CB228" s="5">
        <f t="shared" si="697"/>
        <v>77.345318349281186</v>
      </c>
      <c r="CE228" s="562">
        <f t="shared" si="638"/>
        <v>-50</v>
      </c>
      <c r="CF228">
        <f t="shared" si="639"/>
        <v>-50</v>
      </c>
      <c r="CG228" s="173">
        <f t="shared" si="640"/>
        <v>0.16359700281385195</v>
      </c>
      <c r="CI228" s="170">
        <v>12</v>
      </c>
      <c r="CJ228" s="217">
        <f t="shared" si="698"/>
        <v>0.12</v>
      </c>
      <c r="CK228" s="217"/>
      <c r="CL228" s="217">
        <f t="shared" si="641"/>
        <v>2.88</v>
      </c>
      <c r="CM228" s="541">
        <f t="shared" si="642"/>
        <v>36</v>
      </c>
      <c r="CN228" s="443">
        <f t="shared" si="643"/>
        <v>16.3415</v>
      </c>
      <c r="CO228" s="443">
        <f t="shared" si="644"/>
        <v>52.341499999999996</v>
      </c>
      <c r="CP228" s="443"/>
      <c r="CQ228" s="217">
        <f t="shared" si="645"/>
        <v>0.31220924123305599</v>
      </c>
      <c r="CR228" s="172">
        <f t="shared" si="646"/>
        <v>63.048783011568261</v>
      </c>
      <c r="CS228" s="172">
        <f t="shared" si="647"/>
        <v>2.88</v>
      </c>
      <c r="CT228" s="217">
        <f t="shared" si="648"/>
        <v>2.6270326254820109</v>
      </c>
      <c r="CU228" s="217">
        <f t="shared" si="649"/>
        <v>24</v>
      </c>
      <c r="CV228" s="217"/>
      <c r="CW228" s="172">
        <f t="shared" si="650"/>
        <v>1612.7103816218876</v>
      </c>
      <c r="CX228" s="172">
        <f t="shared" si="651"/>
        <v>24</v>
      </c>
      <c r="CY228" s="217">
        <f t="shared" si="652"/>
        <v>0.51247682281308327</v>
      </c>
      <c r="CZ228" s="217">
        <f t="shared" si="653"/>
        <v>0.14235467300363422</v>
      </c>
      <c r="DA228" s="217">
        <f t="shared" si="654"/>
        <v>0.31360451783072746</v>
      </c>
      <c r="DB228" s="197">
        <f t="shared" si="655"/>
        <v>350</v>
      </c>
      <c r="DC228" s="443">
        <f t="shared" si="656"/>
        <v>350</v>
      </c>
      <c r="DE228" s="217">
        <f t="shared" si="657"/>
        <v>3.211295052682861</v>
      </c>
      <c r="DF228" s="173">
        <f t="shared" si="658"/>
        <v>1.96511645361984</v>
      </c>
      <c r="DG228" s="173">
        <f t="shared" si="659"/>
        <v>0.73660113681324435</v>
      </c>
      <c r="DH228" s="173"/>
      <c r="DI228" s="173">
        <f t="shared" si="660"/>
        <v>1.3598642855443031</v>
      </c>
      <c r="DJ228" s="545">
        <f t="shared" si="661"/>
        <v>119.06999999999995</v>
      </c>
      <c r="DK228" s="528">
        <f t="shared" si="662"/>
        <v>0.35273368606701955</v>
      </c>
      <c r="DM228" s="173">
        <f t="shared" si="663"/>
        <v>1.2961481396815719</v>
      </c>
      <c r="DN228" s="173">
        <f t="shared" si="664"/>
        <v>2.2222222222222223</v>
      </c>
      <c r="DO228" s="173">
        <f t="shared" si="665"/>
        <v>1.0680399999999999</v>
      </c>
      <c r="DQ228" s="545">
        <f t="shared" si="666"/>
        <v>120</v>
      </c>
      <c r="DR228" s="460">
        <f t="shared" si="667"/>
        <v>119.06999999999995</v>
      </c>
      <c r="DT228">
        <f t="shared" si="668"/>
        <v>120</v>
      </c>
      <c r="DU228">
        <f t="shared" si="669"/>
        <v>119.06999999999995</v>
      </c>
      <c r="DW228" s="5">
        <f t="shared" si="670"/>
        <v>8.3984210968337987</v>
      </c>
      <c r="DX228" s="5">
        <f t="shared" si="671"/>
        <v>0.61728395061728403</v>
      </c>
      <c r="DY228" s="5">
        <f t="shared" si="672"/>
        <v>7.7811371462165146</v>
      </c>
      <c r="DZ228" s="5"/>
      <c r="EA228" s="173">
        <f t="shared" si="673"/>
        <v>7.3499999999999982E-2</v>
      </c>
      <c r="EB228" s="173">
        <f t="shared" si="699"/>
        <v>2.9399999999999995</v>
      </c>
      <c r="EC228" s="173">
        <f t="shared" si="700"/>
        <v>0.68663944444444447</v>
      </c>
      <c r="ED228" s="173">
        <f t="shared" si="701"/>
        <v>4.2817231427459497</v>
      </c>
      <c r="EE228" s="460">
        <f t="shared" si="674"/>
        <v>0.30864197530864201</v>
      </c>
      <c r="EF228" s="5">
        <f t="shared" si="675"/>
        <v>0.51874247641443416</v>
      </c>
      <c r="EH228" s="173">
        <f t="shared" si="702"/>
        <v>0.34783279649996723</v>
      </c>
      <c r="EI228" s="173">
        <f t="shared" si="703"/>
        <v>0.82371202217355743</v>
      </c>
      <c r="EK228" s="528">
        <f t="shared" si="704"/>
        <v>4.8395061728395044E-3</v>
      </c>
      <c r="EL228" s="528">
        <f t="shared" si="705"/>
        <v>0.38086292474999989</v>
      </c>
      <c r="EM228" s="528">
        <f t="shared" si="706"/>
        <v>2.3813999999999988E-2</v>
      </c>
      <c r="EN228" s="528">
        <f t="shared" si="707"/>
        <v>5.7086409857978783E-2</v>
      </c>
      <c r="EO228">
        <f t="shared" si="708"/>
        <v>1.6199999999999999E-2</v>
      </c>
      <c r="EP228" s="460">
        <f t="shared" si="709"/>
        <v>40.013999999999989</v>
      </c>
      <c r="EQ228" s="460"/>
      <c r="ER228" s="460">
        <f t="shared" si="710"/>
        <v>482.8028407808182</v>
      </c>
      <c r="ES228" s="528">
        <f t="shared" si="711"/>
        <v>8.3999999999999991E-2</v>
      </c>
      <c r="EV228" s="460">
        <f t="shared" si="712"/>
        <v>83.999999999999986</v>
      </c>
      <c r="EW228" s="528">
        <f t="shared" si="713"/>
        <v>3.6296296296296281E-3</v>
      </c>
      <c r="EX228" s="528">
        <f t="shared" si="714"/>
        <v>2.0355044864197536E-2</v>
      </c>
      <c r="EY228" s="528">
        <f t="shared" si="715"/>
        <v>5.694355856602458E-2</v>
      </c>
      <c r="EZ228" s="528"/>
      <c r="FA228" s="528">
        <f t="shared" si="716"/>
        <v>0.11759999999999998</v>
      </c>
      <c r="FB228" s="460">
        <f t="shared" si="717"/>
        <v>198.52823305985174</v>
      </c>
      <c r="FC228" s="173">
        <f t="shared" si="718"/>
        <v>0.76533107384067001</v>
      </c>
      <c r="FD228" s="5">
        <f t="shared" si="719"/>
        <v>2.88</v>
      </c>
      <c r="FE228" s="173">
        <f t="shared" si="720"/>
        <v>0.79005169672165665</v>
      </c>
      <c r="FF228" s="5">
        <f t="shared" si="721"/>
        <v>79.005169672165664</v>
      </c>
      <c r="FI228" s="562">
        <f t="shared" si="676"/>
        <v>-50</v>
      </c>
      <c r="FJ228">
        <f t="shared" si="677"/>
        <v>-50</v>
      </c>
      <c r="FL228">
        <f t="shared" si="678"/>
        <v>0.16191904047976008</v>
      </c>
    </row>
    <row r="229" spans="5:168">
      <c r="E229" s="170">
        <v>13</v>
      </c>
      <c r="F229" s="217">
        <f t="shared" si="679"/>
        <v>0.13</v>
      </c>
      <c r="G229" s="217"/>
      <c r="H229" s="217">
        <f t="shared" si="603"/>
        <v>3.12</v>
      </c>
      <c r="I229" s="541">
        <f t="shared" si="604"/>
        <v>35.92301996410805</v>
      </c>
      <c r="J229" s="172">
        <f t="shared" si="605"/>
        <v>16.356177530509115</v>
      </c>
      <c r="K229" s="172">
        <f t="shared" si="606"/>
        <v>52.279197494617165</v>
      </c>
      <c r="L229" s="443"/>
      <c r="M229" s="217">
        <f t="shared" si="607"/>
        <v>0.3128640612264586</v>
      </c>
      <c r="N229" s="172">
        <f t="shared" si="608"/>
        <v>63.045917836266661</v>
      </c>
      <c r="O229" s="172">
        <f t="shared" si="599"/>
        <v>3.12</v>
      </c>
      <c r="P229" s="217">
        <f t="shared" si="609"/>
        <v>2.6269132431777775</v>
      </c>
      <c r="Q229" s="217">
        <f t="shared" si="610"/>
        <v>24</v>
      </c>
      <c r="R229" s="217"/>
      <c r="S229" s="172">
        <f t="shared" si="611"/>
        <v>1481.3323648286269</v>
      </c>
      <c r="T229" s="172">
        <f t="shared" si="612"/>
        <v>24</v>
      </c>
      <c r="U229" s="217">
        <f t="shared" si="613"/>
        <v>0.56728963725435688</v>
      </c>
      <c r="V229" s="217">
        <f t="shared" si="614"/>
        <v>0.15791813656567735</v>
      </c>
      <c r="W229" s="217">
        <f t="shared" si="615"/>
        <v>0.34683509407757024</v>
      </c>
      <c r="X229" s="197">
        <f t="shared" si="616"/>
        <v>350</v>
      </c>
      <c r="Y229" s="443">
        <f t="shared" si="680"/>
        <v>350</v>
      </c>
      <c r="AA229" s="217">
        <f t="shared" si="617"/>
        <v>3.2111286003001851</v>
      </c>
      <c r="AB229" s="173">
        <f t="shared" si="618"/>
        <v>1.9632512512844025</v>
      </c>
      <c r="AC229" s="173">
        <f t="shared" si="619"/>
        <v>0.73586384301450503</v>
      </c>
      <c r="AD229" s="173"/>
      <c r="AE229" s="173">
        <f t="shared" si="620"/>
        <v>1.3586439851714256</v>
      </c>
      <c r="AF229" s="545">
        <f t="shared" si="621"/>
        <v>129.10835786826155</v>
      </c>
      <c r="AG229" s="528">
        <f t="shared" si="622"/>
        <v>0.35241715370918814</v>
      </c>
      <c r="AI229" s="173">
        <f t="shared" si="623"/>
        <v>1.3496794726590722</v>
      </c>
      <c r="AJ229" s="173">
        <f t="shared" si="624"/>
        <v>2.2222222222222223</v>
      </c>
      <c r="AK229" s="173">
        <f t="shared" si="625"/>
        <v>1.0737762044961494</v>
      </c>
      <c r="AM229" s="545">
        <f t="shared" si="626"/>
        <v>130</v>
      </c>
      <c r="AN229" s="460">
        <f t="shared" si="627"/>
        <v>129.10835786826155</v>
      </c>
      <c r="AP229">
        <f t="shared" si="628"/>
        <v>130</v>
      </c>
      <c r="AQ229">
        <f t="shared" si="629"/>
        <v>129.10835786826155</v>
      </c>
      <c r="AS229" s="5">
        <f t="shared" si="600"/>
        <v>7.7454319496524864</v>
      </c>
      <c r="AT229" s="5">
        <f t="shared" si="630"/>
        <v>0.61860673864350013</v>
      </c>
      <c r="AU229" s="5">
        <f t="shared" si="478"/>
        <v>7.1268252110089865</v>
      </c>
      <c r="AV229" s="5"/>
      <c r="AW229" s="173">
        <f t="shared" si="479"/>
        <v>7.9867300192503154E-2</v>
      </c>
      <c r="AX229" s="173">
        <f t="shared" si="631"/>
        <v>3.187860688105224</v>
      </c>
      <c r="AY229" s="173">
        <f t="shared" si="632"/>
        <v>0.68192056752400043</v>
      </c>
      <c r="AZ229" s="173">
        <f t="shared" si="633"/>
        <v>4.6748270105418488</v>
      </c>
      <c r="BA229" s="460">
        <f t="shared" si="594"/>
        <v>0.33507865009856258</v>
      </c>
      <c r="BB229" s="5">
        <f t="shared" si="595"/>
        <v>0.51581814577775142</v>
      </c>
      <c r="BD229" s="173">
        <f t="shared" si="681"/>
        <v>0.36258627511426816</v>
      </c>
      <c r="BE229" s="173">
        <f t="shared" si="682"/>
        <v>0.82087669353135817</v>
      </c>
      <c r="BG229" s="528">
        <f t="shared" si="683"/>
        <v>5.2587522760495905E-3</v>
      </c>
      <c r="BH229" s="528">
        <f t="shared" si="634"/>
        <v>0.33748406696002781</v>
      </c>
      <c r="BI229" s="528">
        <f t="shared" si="635"/>
        <v>0.18551848468939064</v>
      </c>
      <c r="BJ229" s="528">
        <f t="shared" si="684"/>
        <v>6.1751886657614621E-2</v>
      </c>
      <c r="BK229">
        <f t="shared" si="685"/>
        <v>1.6165358983848622E-2</v>
      </c>
      <c r="BL229" s="460">
        <f t="shared" si="686"/>
        <v>201.68384367323927</v>
      </c>
      <c r="BM229" s="528">
        <f t="shared" si="636"/>
        <v>0.40642238546378118</v>
      </c>
      <c r="BN229" s="460">
        <f t="shared" si="687"/>
        <v>406.42238546378115</v>
      </c>
      <c r="BO229" s="528">
        <f t="shared" si="637"/>
        <v>9.0999999999999998E-2</v>
      </c>
      <c r="BR229" s="460">
        <f t="shared" si="688"/>
        <v>91</v>
      </c>
      <c r="BS229" s="528">
        <f t="shared" si="689"/>
        <v>3.9440642070371927E-3</v>
      </c>
      <c r="BT229" s="528">
        <f t="shared" si="690"/>
        <v>2.0215156379489257E-2</v>
      </c>
      <c r="BU229" s="528">
        <f t="shared" si="691"/>
        <v>6.9714740206213321E-2</v>
      </c>
      <c r="BV229" s="528"/>
      <c r="BW229" s="528">
        <f t="shared" si="692"/>
        <v>0.12751442752420897</v>
      </c>
      <c r="BX229" s="460">
        <f t="shared" si="693"/>
        <v>221.38838831694875</v>
      </c>
      <c r="BY229" s="173">
        <f t="shared" si="694"/>
        <v>0.91856693788388</v>
      </c>
      <c r="BZ229" s="5">
        <f t="shared" si="695"/>
        <v>3.12</v>
      </c>
      <c r="CA229" s="173">
        <f t="shared" si="696"/>
        <v>0.77255126582965861</v>
      </c>
      <c r="CB229" s="5">
        <f t="shared" si="697"/>
        <v>77.255126582965858</v>
      </c>
      <c r="CE229" s="562">
        <f t="shared" si="638"/>
        <v>-50</v>
      </c>
      <c r="CF229">
        <f t="shared" si="639"/>
        <v>-50</v>
      </c>
      <c r="CG229" s="173">
        <f t="shared" si="640"/>
        <v>0.17723008638167295</v>
      </c>
      <c r="CI229" s="170">
        <v>13</v>
      </c>
      <c r="CJ229" s="217">
        <f t="shared" si="698"/>
        <v>0.13</v>
      </c>
      <c r="CK229" s="217"/>
      <c r="CL229" s="217">
        <f t="shared" si="641"/>
        <v>3.12</v>
      </c>
      <c r="CM229" s="541">
        <f t="shared" si="642"/>
        <v>36</v>
      </c>
      <c r="CN229" s="443">
        <f t="shared" si="643"/>
        <v>16.3415</v>
      </c>
      <c r="CO229" s="443">
        <f t="shared" si="644"/>
        <v>52.341499999999996</v>
      </c>
      <c r="CP229" s="443"/>
      <c r="CQ229" s="217">
        <f t="shared" si="645"/>
        <v>0.31220924123305599</v>
      </c>
      <c r="CR229" s="172">
        <f t="shared" si="646"/>
        <v>63.048783011568261</v>
      </c>
      <c r="CS229" s="172">
        <f t="shared" si="647"/>
        <v>3.12</v>
      </c>
      <c r="CT229" s="217">
        <f t="shared" si="648"/>
        <v>2.6270326254820109</v>
      </c>
      <c r="CU229" s="217">
        <f t="shared" si="649"/>
        <v>24</v>
      </c>
      <c r="CV229" s="217"/>
      <c r="CW229" s="172">
        <f t="shared" si="650"/>
        <v>1484.506697618139</v>
      </c>
      <c r="CX229" s="172">
        <f t="shared" si="651"/>
        <v>24</v>
      </c>
      <c r="CY229" s="217">
        <f t="shared" si="652"/>
        <v>0.55518322471417358</v>
      </c>
      <c r="CZ229" s="217">
        <f t="shared" si="653"/>
        <v>0.15421756242060378</v>
      </c>
      <c r="DA229" s="217">
        <f t="shared" si="654"/>
        <v>0.33973822764995482</v>
      </c>
      <c r="DB229" s="197">
        <f t="shared" si="655"/>
        <v>350</v>
      </c>
      <c r="DC229" s="443">
        <f t="shared" si="656"/>
        <v>350</v>
      </c>
      <c r="DE229" s="217">
        <f t="shared" si="657"/>
        <v>3.211295052682861</v>
      </c>
      <c r="DF229" s="173">
        <f t="shared" si="658"/>
        <v>1.96511645361984</v>
      </c>
      <c r="DG229" s="173">
        <f t="shared" si="659"/>
        <v>0.73660113681324435</v>
      </c>
      <c r="DH229" s="173"/>
      <c r="DI229" s="173">
        <f t="shared" si="660"/>
        <v>1.3598642855443031</v>
      </c>
      <c r="DJ229" s="545">
        <f t="shared" si="661"/>
        <v>128.99249999999998</v>
      </c>
      <c r="DK229" s="528">
        <f t="shared" si="662"/>
        <v>0.35273368606701955</v>
      </c>
      <c r="DM229" s="173">
        <f t="shared" si="663"/>
        <v>1.349073756323204</v>
      </c>
      <c r="DN229" s="173">
        <f t="shared" si="664"/>
        <v>2.2222222222222223</v>
      </c>
      <c r="DO229" s="173">
        <f t="shared" si="665"/>
        <v>1.0737099999999999</v>
      </c>
      <c r="DQ229" s="545">
        <f t="shared" si="666"/>
        <v>130</v>
      </c>
      <c r="DR229" s="460">
        <f t="shared" si="667"/>
        <v>128.99249999999998</v>
      </c>
      <c r="DT229">
        <f t="shared" si="668"/>
        <v>130</v>
      </c>
      <c r="DU229">
        <f t="shared" si="669"/>
        <v>128.99249999999998</v>
      </c>
      <c r="DW229" s="5">
        <f t="shared" si="670"/>
        <v>7.7523887047696585</v>
      </c>
      <c r="DX229" s="5">
        <f t="shared" si="671"/>
        <v>0.61728395061728403</v>
      </c>
      <c r="DY229" s="5">
        <f t="shared" si="672"/>
        <v>7.1351047541523744</v>
      </c>
      <c r="DZ229" s="5"/>
      <c r="EA229" s="173">
        <f t="shared" si="673"/>
        <v>7.9625000000000001E-2</v>
      </c>
      <c r="EB229" s="173">
        <f t="shared" si="699"/>
        <v>3.1850000000000005</v>
      </c>
      <c r="EC229" s="173">
        <f t="shared" si="700"/>
        <v>0.68210013888888887</v>
      </c>
      <c r="ED229" s="173">
        <f t="shared" si="701"/>
        <v>4.6694023625156058</v>
      </c>
      <c r="EE229" s="460">
        <f t="shared" si="674"/>
        <v>0.33436213991769553</v>
      </c>
      <c r="EF229" s="5">
        <f t="shared" si="675"/>
        <v>0.51531312113322703</v>
      </c>
      <c r="EH229" s="173">
        <f t="shared" si="702"/>
        <v>0.36203585298660224</v>
      </c>
      <c r="EI229" s="173">
        <f t="shared" si="703"/>
        <v>0.82098476788223684</v>
      </c>
      <c r="EK229" s="528">
        <f t="shared" si="704"/>
        <v>5.2427983539094667E-3</v>
      </c>
      <c r="EL229" s="528">
        <f t="shared" si="705"/>
        <v>0.41260150181249994</v>
      </c>
      <c r="EM229" s="528">
        <f t="shared" si="706"/>
        <v>2.5798499999999995E-2</v>
      </c>
      <c r="EN229" s="528">
        <f t="shared" si="707"/>
        <v>6.1843610679477024E-2</v>
      </c>
      <c r="EO229">
        <f t="shared" si="708"/>
        <v>1.6199999999999999E-2</v>
      </c>
      <c r="EP229" s="460">
        <f t="shared" si="709"/>
        <v>41.998499999999993</v>
      </c>
      <c r="EQ229" s="460"/>
      <c r="ER229" s="460">
        <f t="shared" si="710"/>
        <v>521.68641084588637</v>
      </c>
      <c r="ES229" s="528">
        <f t="shared" si="711"/>
        <v>9.0999999999999998E-2</v>
      </c>
      <c r="EV229" s="460">
        <f t="shared" si="712"/>
        <v>91</v>
      </c>
      <c r="EW229" s="528">
        <f t="shared" si="713"/>
        <v>3.9320987654320998E-3</v>
      </c>
      <c r="EX229" s="528">
        <f t="shared" si="714"/>
        <v>2.0220479672839509E-2</v>
      </c>
      <c r="EY229" s="528">
        <f t="shared" si="715"/>
        <v>6.9558445794027049E-2</v>
      </c>
      <c r="EZ229" s="528"/>
      <c r="FA229" s="528">
        <f t="shared" si="716"/>
        <v>0.12740000000000001</v>
      </c>
      <c r="FB229" s="460">
        <f t="shared" si="717"/>
        <v>221.11102423229866</v>
      </c>
      <c r="FC229" s="173">
        <f t="shared" si="718"/>
        <v>0.83379743507818493</v>
      </c>
      <c r="FD229" s="5">
        <f t="shared" si="719"/>
        <v>3.12</v>
      </c>
      <c r="FE229" s="173">
        <f t="shared" si="720"/>
        <v>0.78911478173345095</v>
      </c>
      <c r="FF229" s="5">
        <f t="shared" si="721"/>
        <v>78.911478173345103</v>
      </c>
      <c r="FI229" s="562">
        <f t="shared" si="676"/>
        <v>-50</v>
      </c>
      <c r="FJ229">
        <f t="shared" si="677"/>
        <v>-50</v>
      </c>
      <c r="FL229">
        <f t="shared" si="678"/>
        <v>0.17541229385307344</v>
      </c>
    </row>
    <row r="230" spans="5:168">
      <c r="E230" s="170">
        <v>14</v>
      </c>
      <c r="F230" s="217">
        <f t="shared" si="679"/>
        <v>0.14000000000000001</v>
      </c>
      <c r="G230" s="217"/>
      <c r="H230" s="217">
        <f t="shared" si="603"/>
        <v>3.3600000000000003</v>
      </c>
      <c r="I230" s="541">
        <f t="shared" si="604"/>
        <v>35.92301996410805</v>
      </c>
      <c r="J230" s="172">
        <f t="shared" si="605"/>
        <v>16.356177530509115</v>
      </c>
      <c r="K230" s="172">
        <f t="shared" si="606"/>
        <v>52.279197494617165</v>
      </c>
      <c r="L230" s="443"/>
      <c r="M230" s="217">
        <f t="shared" si="607"/>
        <v>0.3128640612264586</v>
      </c>
      <c r="N230" s="172">
        <f t="shared" si="608"/>
        <v>63.045917836266661</v>
      </c>
      <c r="O230" s="172">
        <f t="shared" si="599"/>
        <v>3.3600000000000003</v>
      </c>
      <c r="P230" s="217">
        <f t="shared" si="609"/>
        <v>2.6269132431777775</v>
      </c>
      <c r="Q230" s="217">
        <f t="shared" si="610"/>
        <v>24</v>
      </c>
      <c r="R230" s="217"/>
      <c r="S230" s="172">
        <f t="shared" si="611"/>
        <v>1371.6786889465229</v>
      </c>
      <c r="T230" s="172">
        <f t="shared" si="612"/>
        <v>24</v>
      </c>
      <c r="U230" s="217">
        <f t="shared" si="613"/>
        <v>0.61092730165853826</v>
      </c>
      <c r="V230" s="217">
        <f t="shared" si="614"/>
        <v>0.17006568553226797</v>
      </c>
      <c r="W230" s="217">
        <f t="shared" si="615"/>
        <v>0.37351471669892183</v>
      </c>
      <c r="X230" s="197">
        <f t="shared" si="616"/>
        <v>350</v>
      </c>
      <c r="Y230" s="443">
        <f t="shared" si="680"/>
        <v>350</v>
      </c>
      <c r="AA230" s="217">
        <f t="shared" si="617"/>
        <v>3.2111286003001851</v>
      </c>
      <c r="AB230" s="173">
        <f t="shared" si="618"/>
        <v>1.9632512512844025</v>
      </c>
      <c r="AC230" s="173">
        <f t="shared" si="619"/>
        <v>0.73586384301450503</v>
      </c>
      <c r="AD230" s="173"/>
      <c r="AE230" s="173">
        <f t="shared" si="620"/>
        <v>1.3586439851714256</v>
      </c>
      <c r="AF230" s="545">
        <f t="shared" si="621"/>
        <v>139.03977001197399</v>
      </c>
      <c r="AG230" s="528">
        <f t="shared" si="622"/>
        <v>0.35241715370918814</v>
      </c>
      <c r="AI230" s="173">
        <f t="shared" si="623"/>
        <v>1.4006285815480737</v>
      </c>
      <c r="AJ230" s="173">
        <f t="shared" si="624"/>
        <v>2.2222222222222223</v>
      </c>
      <c r="AK230" s="173">
        <f t="shared" si="625"/>
        <v>1.0794512971496995</v>
      </c>
      <c r="AM230" s="545">
        <f t="shared" si="626"/>
        <v>140</v>
      </c>
      <c r="AN230" s="460">
        <f t="shared" si="627"/>
        <v>139.03977001197399</v>
      </c>
      <c r="AP230">
        <f t="shared" si="628"/>
        <v>140</v>
      </c>
      <c r="AQ230">
        <f t="shared" si="629"/>
        <v>139.03977001197399</v>
      </c>
      <c r="AS230" s="5">
        <f t="shared" si="600"/>
        <v>7.1921868103915942</v>
      </c>
      <c r="AT230" s="5">
        <f t="shared" si="630"/>
        <v>0.61860673864350013</v>
      </c>
      <c r="AU230" s="5">
        <f t="shared" si="478"/>
        <v>6.5735800717480943</v>
      </c>
      <c r="AV230" s="5"/>
      <c r="AW230" s="173">
        <f t="shared" si="479"/>
        <v>8.6010938668849554E-2</v>
      </c>
      <c r="AX230" s="173">
        <f t="shared" si="631"/>
        <v>3.4330807410363953</v>
      </c>
      <c r="AY230" s="173">
        <f t="shared" si="632"/>
        <v>0.67736744878653044</v>
      </c>
      <c r="AZ230" s="173">
        <f t="shared" si="633"/>
        <v>5.0682694410346789</v>
      </c>
      <c r="BA230" s="460">
        <f t="shared" si="594"/>
        <v>0.3608539308753751</v>
      </c>
      <c r="BB230" s="5">
        <f t="shared" si="595"/>
        <v>0.51237407710389515</v>
      </c>
      <c r="BD230" s="173">
        <f t="shared" si="681"/>
        <v>0.37627356012280344</v>
      </c>
      <c r="BE230" s="173">
        <f t="shared" si="682"/>
        <v>0.8181316459679614</v>
      </c>
      <c r="BG230" s="528">
        <f t="shared" si="683"/>
        <v>5.6632716818995586E-3</v>
      </c>
      <c r="BH230" s="528">
        <f t="shared" si="634"/>
        <v>0.3634443798031069</v>
      </c>
      <c r="BI230" s="528">
        <f t="shared" si="635"/>
        <v>0.19978913735780532</v>
      </c>
      <c r="BJ230" s="528">
        <f t="shared" si="684"/>
        <v>6.6502031785123455E-2</v>
      </c>
      <c r="BK230">
        <f t="shared" si="685"/>
        <v>1.6165358983848622E-2</v>
      </c>
      <c r="BL230" s="460">
        <f t="shared" si="686"/>
        <v>215.95449634165396</v>
      </c>
      <c r="BM230" s="528">
        <f t="shared" si="636"/>
        <v>0.43772777020164527</v>
      </c>
      <c r="BN230" s="460">
        <f t="shared" si="687"/>
        <v>437.72777020164528</v>
      </c>
      <c r="BO230" s="528">
        <f t="shared" si="637"/>
        <v>9.8000000000000004E-2</v>
      </c>
      <c r="BR230" s="460">
        <f t="shared" si="688"/>
        <v>98</v>
      </c>
      <c r="BS230" s="528">
        <f t="shared" si="689"/>
        <v>4.247453761424669E-3</v>
      </c>
      <c r="BT230" s="528">
        <f t="shared" si="690"/>
        <v>2.008018170402737E-2</v>
      </c>
      <c r="BU230" s="528">
        <f t="shared" si="691"/>
        <v>8.3904706337979654E-2</v>
      </c>
      <c r="BV230" s="528"/>
      <c r="BW230" s="528">
        <f t="shared" si="692"/>
        <v>0.13732322964145582</v>
      </c>
      <c r="BX230" s="460">
        <f t="shared" si="693"/>
        <v>245.55557144488751</v>
      </c>
      <c r="BY230" s="173">
        <f t="shared" si="694"/>
        <v>0.99511975105667139</v>
      </c>
      <c r="BZ230" s="5">
        <f t="shared" si="695"/>
        <v>3.3600000000000003</v>
      </c>
      <c r="CA230" s="173">
        <f t="shared" si="696"/>
        <v>0.77150576610086841</v>
      </c>
      <c r="CB230" s="5">
        <f t="shared" si="697"/>
        <v>77.150576610086844</v>
      </c>
      <c r="CE230" s="562">
        <f t="shared" si="638"/>
        <v>-50</v>
      </c>
      <c r="CF230">
        <f t="shared" si="639"/>
        <v>-50</v>
      </c>
      <c r="CG230" s="173">
        <f t="shared" si="640"/>
        <v>0.19086316994949395</v>
      </c>
      <c r="CI230" s="170">
        <v>14</v>
      </c>
      <c r="CJ230" s="217">
        <f t="shared" si="698"/>
        <v>0.14000000000000001</v>
      </c>
      <c r="CK230" s="217"/>
      <c r="CL230" s="217">
        <f t="shared" si="641"/>
        <v>3.3600000000000003</v>
      </c>
      <c r="CM230" s="541">
        <f t="shared" si="642"/>
        <v>36</v>
      </c>
      <c r="CN230" s="443">
        <f t="shared" si="643"/>
        <v>16.3415</v>
      </c>
      <c r="CO230" s="443">
        <f t="shared" si="644"/>
        <v>52.341499999999996</v>
      </c>
      <c r="CP230" s="443"/>
      <c r="CQ230" s="217">
        <f t="shared" si="645"/>
        <v>0.31220924123305599</v>
      </c>
      <c r="CR230" s="172">
        <f t="shared" si="646"/>
        <v>63.048783011568261</v>
      </c>
      <c r="CS230" s="172">
        <f t="shared" si="647"/>
        <v>3.3600000000000003</v>
      </c>
      <c r="CT230" s="217">
        <f t="shared" si="648"/>
        <v>2.6270326254820109</v>
      </c>
      <c r="CU230" s="217">
        <f t="shared" si="649"/>
        <v>24</v>
      </c>
      <c r="CV230" s="217"/>
      <c r="CW230" s="172">
        <f t="shared" si="650"/>
        <v>1374.6180399437958</v>
      </c>
      <c r="CX230" s="172">
        <f t="shared" si="651"/>
        <v>24</v>
      </c>
      <c r="CY230" s="217">
        <f t="shared" si="652"/>
        <v>0.5978896266152639</v>
      </c>
      <c r="CZ230" s="217">
        <f t="shared" si="653"/>
        <v>0.16608045183757331</v>
      </c>
      <c r="DA230" s="217">
        <f t="shared" si="654"/>
        <v>0.36587193746918217</v>
      </c>
      <c r="DB230" s="197">
        <f t="shared" si="655"/>
        <v>350</v>
      </c>
      <c r="DC230" s="443">
        <f t="shared" si="656"/>
        <v>350</v>
      </c>
      <c r="DE230" s="217">
        <f t="shared" si="657"/>
        <v>3.211295052682861</v>
      </c>
      <c r="DF230" s="173">
        <f t="shared" si="658"/>
        <v>1.96511645361984</v>
      </c>
      <c r="DG230" s="173">
        <f t="shared" si="659"/>
        <v>0.73660113681324435</v>
      </c>
      <c r="DH230" s="173"/>
      <c r="DI230" s="173">
        <f t="shared" si="660"/>
        <v>1.3598642855443031</v>
      </c>
      <c r="DJ230" s="545">
        <f t="shared" si="661"/>
        <v>138.91499999999996</v>
      </c>
      <c r="DK230" s="528">
        <f t="shared" si="662"/>
        <v>0.35273368606701955</v>
      </c>
      <c r="DM230" s="173">
        <f t="shared" si="663"/>
        <v>1.4</v>
      </c>
      <c r="DN230" s="173">
        <f t="shared" si="664"/>
        <v>2.2222222222222223</v>
      </c>
      <c r="DO230" s="173">
        <f t="shared" si="665"/>
        <v>1.07938</v>
      </c>
      <c r="DQ230" s="545">
        <f t="shared" si="666"/>
        <v>140</v>
      </c>
      <c r="DR230" s="460">
        <f t="shared" si="667"/>
        <v>138.91499999999996</v>
      </c>
      <c r="DT230">
        <f t="shared" si="668"/>
        <v>140</v>
      </c>
      <c r="DU230">
        <f t="shared" si="669"/>
        <v>138.91499999999996</v>
      </c>
      <c r="DW230" s="5">
        <f t="shared" si="670"/>
        <v>7.1986466544289689</v>
      </c>
      <c r="DX230" s="5">
        <f t="shared" si="671"/>
        <v>0.61728395061728403</v>
      </c>
      <c r="DY230" s="5">
        <f t="shared" si="672"/>
        <v>6.5813627038116849</v>
      </c>
      <c r="DZ230" s="5"/>
      <c r="EA230" s="173">
        <f t="shared" si="673"/>
        <v>8.5749999999999993E-2</v>
      </c>
      <c r="EB230" s="173">
        <f t="shared" si="699"/>
        <v>3.4299999999999997</v>
      </c>
      <c r="EC230" s="173">
        <f t="shared" si="700"/>
        <v>0.67756083333333339</v>
      </c>
      <c r="ED230" s="173">
        <f t="shared" si="701"/>
        <v>5.0622760809914968</v>
      </c>
      <c r="EE230" s="460">
        <f t="shared" si="674"/>
        <v>0.36008230452674905</v>
      </c>
      <c r="EF230" s="5">
        <f t="shared" si="675"/>
        <v>0.51188376585201989</v>
      </c>
      <c r="EH230" s="173">
        <f t="shared" si="702"/>
        <v>0.37570236008639285</v>
      </c>
      <c r="EI230" s="173">
        <f t="shared" si="703"/>
        <v>0.81824842359521199</v>
      </c>
      <c r="EK230" s="528">
        <f t="shared" si="704"/>
        <v>5.6460905349794248E-3</v>
      </c>
      <c r="EL230" s="528">
        <f t="shared" si="705"/>
        <v>0.44434007887499993</v>
      </c>
      <c r="EM230" s="528">
        <f t="shared" si="706"/>
        <v>2.7782999999999992E-2</v>
      </c>
      <c r="EN230" s="528">
        <f t="shared" si="707"/>
        <v>6.6600811500975257E-2</v>
      </c>
      <c r="EO230">
        <f t="shared" si="708"/>
        <v>1.6199999999999999E-2</v>
      </c>
      <c r="EP230" s="460">
        <f t="shared" si="709"/>
        <v>43.982999999999997</v>
      </c>
      <c r="EQ230" s="460"/>
      <c r="ER230" s="460">
        <f t="shared" si="710"/>
        <v>560.56998091095465</v>
      </c>
      <c r="ES230" s="528">
        <f t="shared" si="711"/>
        <v>9.8000000000000004E-2</v>
      </c>
      <c r="EV230" s="460">
        <f t="shared" si="712"/>
        <v>98</v>
      </c>
      <c r="EW230" s="528">
        <f t="shared" si="713"/>
        <v>4.2345679012345677E-3</v>
      </c>
      <c r="EX230" s="528">
        <f t="shared" si="714"/>
        <v>2.0085914481481483E-2</v>
      </c>
      <c r="EY230" s="528">
        <f t="shared" si="715"/>
        <v>8.3716599250182058E-2</v>
      </c>
      <c r="EZ230" s="528"/>
      <c r="FA230" s="528">
        <f t="shared" si="716"/>
        <v>0.13719999999999999</v>
      </c>
      <c r="FB230" s="460">
        <f t="shared" si="717"/>
        <v>245.23708163289808</v>
      </c>
      <c r="FC230" s="173">
        <f t="shared" si="718"/>
        <v>0.90380706254385268</v>
      </c>
      <c r="FD230" s="5">
        <f t="shared" si="719"/>
        <v>3.3600000000000003</v>
      </c>
      <c r="FE230" s="173">
        <f t="shared" si="720"/>
        <v>0.78802815200446075</v>
      </c>
      <c r="FF230" s="5">
        <f t="shared" si="721"/>
        <v>78.802815200446076</v>
      </c>
      <c r="FI230" s="562">
        <f t="shared" si="676"/>
        <v>-50</v>
      </c>
      <c r="FJ230">
        <f t="shared" si="677"/>
        <v>-50</v>
      </c>
      <c r="FL230">
        <f t="shared" si="678"/>
        <v>0.18890554722638683</v>
      </c>
    </row>
    <row r="231" spans="5:168">
      <c r="E231" s="170">
        <v>15</v>
      </c>
      <c r="F231" s="217">
        <f t="shared" si="679"/>
        <v>0.15</v>
      </c>
      <c r="G231" s="217"/>
      <c r="H231" s="217">
        <f t="shared" si="603"/>
        <v>3.5999999999999996</v>
      </c>
      <c r="I231" s="541">
        <f t="shared" si="604"/>
        <v>35.92301996410805</v>
      </c>
      <c r="J231" s="172">
        <f t="shared" si="605"/>
        <v>16.356177530509115</v>
      </c>
      <c r="K231" s="172">
        <f t="shared" si="606"/>
        <v>52.279197494617165</v>
      </c>
      <c r="L231" s="443"/>
      <c r="M231" s="217">
        <f t="shared" si="607"/>
        <v>0.3128640612264586</v>
      </c>
      <c r="N231" s="172">
        <f t="shared" si="608"/>
        <v>63.045917836266661</v>
      </c>
      <c r="O231" s="172">
        <f t="shared" si="599"/>
        <v>3.5999999999999996</v>
      </c>
      <c r="P231" s="217">
        <f t="shared" si="609"/>
        <v>2.6269132431777775</v>
      </c>
      <c r="Q231" s="217">
        <f t="shared" si="610"/>
        <v>24</v>
      </c>
      <c r="R231" s="217"/>
      <c r="S231" s="172">
        <f t="shared" si="611"/>
        <v>1276.6457048908912</v>
      </c>
      <c r="T231" s="172">
        <f t="shared" si="612"/>
        <v>24</v>
      </c>
      <c r="U231" s="217">
        <f t="shared" si="613"/>
        <v>0.65456496606271941</v>
      </c>
      <c r="V231" s="217">
        <f t="shared" si="614"/>
        <v>0.18221323449885846</v>
      </c>
      <c r="W231" s="217">
        <f t="shared" si="615"/>
        <v>0.40019433932027332</v>
      </c>
      <c r="X231" s="197">
        <f t="shared" si="616"/>
        <v>350</v>
      </c>
      <c r="Y231" s="443">
        <f t="shared" si="680"/>
        <v>350</v>
      </c>
      <c r="AA231" s="217">
        <f t="shared" si="617"/>
        <v>3.2111286003001851</v>
      </c>
      <c r="AB231" s="173">
        <f t="shared" si="618"/>
        <v>1.9632512512844025</v>
      </c>
      <c r="AC231" s="173">
        <f t="shared" si="619"/>
        <v>0.73586384301450503</v>
      </c>
      <c r="AD231" s="173"/>
      <c r="AE231" s="173">
        <f t="shared" si="620"/>
        <v>1.3586439851714256</v>
      </c>
      <c r="AF231" s="545">
        <f t="shared" si="621"/>
        <v>148.97118215568639</v>
      </c>
      <c r="AG231" s="528">
        <f t="shared" si="622"/>
        <v>0.35241715370918814</v>
      </c>
      <c r="AI231" s="173">
        <f t="shared" si="623"/>
        <v>1.4497883183352893</v>
      </c>
      <c r="AJ231" s="173">
        <f t="shared" si="624"/>
        <v>2.2222222222222223</v>
      </c>
      <c r="AK231" s="173">
        <f t="shared" si="625"/>
        <v>1.0851263898032493</v>
      </c>
      <c r="AM231" s="545">
        <f t="shared" si="626"/>
        <v>150</v>
      </c>
      <c r="AN231" s="460">
        <f t="shared" si="627"/>
        <v>148.97118215568639</v>
      </c>
      <c r="AP231">
        <f t="shared" si="628"/>
        <v>150</v>
      </c>
      <c r="AQ231">
        <f t="shared" si="629"/>
        <v>148.97118215568639</v>
      </c>
      <c r="AS231" s="5">
        <f t="shared" si="600"/>
        <v>6.7127076896988225</v>
      </c>
      <c r="AT231" s="5">
        <f t="shared" si="630"/>
        <v>0.61860673864350013</v>
      </c>
      <c r="AU231" s="5">
        <f t="shared" si="478"/>
        <v>6.0941009510553226</v>
      </c>
      <c r="AV231" s="5"/>
      <c r="AW231" s="173">
        <f t="shared" si="479"/>
        <v>9.215457714519594E-2</v>
      </c>
      <c r="AX231" s="173">
        <f t="shared" si="631"/>
        <v>3.678300793967566</v>
      </c>
      <c r="AY231" s="173">
        <f t="shared" si="632"/>
        <v>0.67281433004906044</v>
      </c>
      <c r="AZ231" s="173">
        <f t="shared" si="633"/>
        <v>5.4670369367717697</v>
      </c>
      <c r="BA231" s="460">
        <f t="shared" si="594"/>
        <v>0.38662921165218755</v>
      </c>
      <c r="BB231" s="5">
        <f t="shared" si="595"/>
        <v>0.50893000843003888</v>
      </c>
      <c r="BD231" s="173">
        <f t="shared" si="681"/>
        <v>0.38948013709782198</v>
      </c>
      <c r="BE231" s="173">
        <f t="shared" si="682"/>
        <v>0.8153773569860252</v>
      </c>
      <c r="BG231" s="528">
        <f t="shared" si="683"/>
        <v>6.0677910877495276E-3</v>
      </c>
      <c r="BH231" s="528">
        <f t="shared" si="634"/>
        <v>0.38940469264618593</v>
      </c>
      <c r="BI231" s="528">
        <f t="shared" si="635"/>
        <v>0.21405979002621997</v>
      </c>
      <c r="BJ231" s="528">
        <f t="shared" si="684"/>
        <v>7.1252176912632262E-2</v>
      </c>
      <c r="BK231">
        <f t="shared" si="685"/>
        <v>1.6165358983848622E-2</v>
      </c>
      <c r="BL231" s="460">
        <f t="shared" si="686"/>
        <v>230.22514901006861</v>
      </c>
      <c r="BM231" s="528">
        <f t="shared" si="636"/>
        <v>0.46903918138753586</v>
      </c>
      <c r="BN231" s="460">
        <f t="shared" si="687"/>
        <v>469.03918138753585</v>
      </c>
      <c r="BO231" s="528">
        <f t="shared" si="637"/>
        <v>0.105</v>
      </c>
      <c r="BR231" s="460">
        <f t="shared" si="688"/>
        <v>105</v>
      </c>
      <c r="BS231" s="528">
        <f t="shared" si="689"/>
        <v>4.5508433158121453E-3</v>
      </c>
      <c r="BT231" s="528">
        <f t="shared" si="690"/>
        <v>1.9945207028565479E-2</v>
      </c>
      <c r="BU231" s="528">
        <f t="shared" si="691"/>
        <v>9.9699821363870941E-2</v>
      </c>
      <c r="BV231" s="528"/>
      <c r="BW231" s="528">
        <f t="shared" si="692"/>
        <v>0.14713203175870265</v>
      </c>
      <c r="BX231" s="460">
        <f t="shared" si="693"/>
        <v>271.32790346695123</v>
      </c>
      <c r="BY231" s="173">
        <f t="shared" si="694"/>
        <v>1.0732777131235876</v>
      </c>
      <c r="BZ231" s="5">
        <f t="shared" si="695"/>
        <v>3.5999999999999996</v>
      </c>
      <c r="CA231" s="173">
        <f t="shared" si="696"/>
        <v>0.77033727096731508</v>
      </c>
      <c r="CB231" s="5">
        <f t="shared" si="697"/>
        <v>77.033727096731511</v>
      </c>
      <c r="CE231" s="562">
        <f t="shared" si="638"/>
        <v>-50</v>
      </c>
      <c r="CF231">
        <f t="shared" si="639"/>
        <v>-50</v>
      </c>
      <c r="CG231" s="173">
        <f t="shared" si="640"/>
        <v>0.20449625351731493</v>
      </c>
      <c r="CI231" s="170">
        <v>15</v>
      </c>
      <c r="CJ231" s="217">
        <f t="shared" si="698"/>
        <v>0.15</v>
      </c>
      <c r="CK231" s="217"/>
      <c r="CL231" s="217">
        <f t="shared" si="641"/>
        <v>3.5999999999999996</v>
      </c>
      <c r="CM231" s="541">
        <f t="shared" si="642"/>
        <v>36</v>
      </c>
      <c r="CN231" s="443">
        <f t="shared" si="643"/>
        <v>16.3415</v>
      </c>
      <c r="CO231" s="443">
        <f t="shared" si="644"/>
        <v>52.341499999999996</v>
      </c>
      <c r="CP231" s="443"/>
      <c r="CQ231" s="217">
        <f t="shared" si="645"/>
        <v>0.31220924123305599</v>
      </c>
      <c r="CR231" s="172">
        <f t="shared" si="646"/>
        <v>63.048783011568261</v>
      </c>
      <c r="CS231" s="172">
        <f t="shared" si="647"/>
        <v>3.5999999999999996</v>
      </c>
      <c r="CT231" s="217">
        <f t="shared" si="648"/>
        <v>2.6270326254820109</v>
      </c>
      <c r="CU231" s="217">
        <f t="shared" si="649"/>
        <v>24</v>
      </c>
      <c r="CV231" s="217"/>
      <c r="CW231" s="172">
        <f t="shared" si="650"/>
        <v>1279.3814050020653</v>
      </c>
      <c r="CX231" s="172">
        <f t="shared" si="651"/>
        <v>24</v>
      </c>
      <c r="CY231" s="217">
        <f t="shared" si="652"/>
        <v>0.640596028516354</v>
      </c>
      <c r="CZ231" s="217">
        <f t="shared" si="653"/>
        <v>0.17794334125454281</v>
      </c>
      <c r="DA231" s="217">
        <f t="shared" si="654"/>
        <v>0.39200564728840931</v>
      </c>
      <c r="DB231" s="197">
        <f t="shared" si="655"/>
        <v>350</v>
      </c>
      <c r="DC231" s="443">
        <f t="shared" si="656"/>
        <v>350</v>
      </c>
      <c r="DE231" s="217">
        <f t="shared" si="657"/>
        <v>3.211295052682861</v>
      </c>
      <c r="DF231" s="173">
        <f t="shared" si="658"/>
        <v>1.96511645361984</v>
      </c>
      <c r="DG231" s="173">
        <f t="shared" si="659"/>
        <v>0.73660113681324435</v>
      </c>
      <c r="DH231" s="173"/>
      <c r="DI231" s="173">
        <f t="shared" si="660"/>
        <v>1.3598642855443031</v>
      </c>
      <c r="DJ231" s="545">
        <f t="shared" si="661"/>
        <v>148.83749999999995</v>
      </c>
      <c r="DK231" s="528">
        <f t="shared" si="662"/>
        <v>0.35273368606701955</v>
      </c>
      <c r="DM231" s="173">
        <f t="shared" si="663"/>
        <v>1.4491376746189437</v>
      </c>
      <c r="DN231" s="173">
        <f t="shared" si="664"/>
        <v>2.2222222222222223</v>
      </c>
      <c r="DO231" s="173">
        <f t="shared" si="665"/>
        <v>1.0850500000000001</v>
      </c>
      <c r="DQ231" s="545">
        <f t="shared" si="666"/>
        <v>150</v>
      </c>
      <c r="DR231" s="460">
        <f t="shared" si="667"/>
        <v>148.83749999999995</v>
      </c>
      <c r="DT231">
        <f t="shared" si="668"/>
        <v>150</v>
      </c>
      <c r="DU231">
        <f t="shared" si="669"/>
        <v>148.83749999999995</v>
      </c>
      <c r="DW231" s="5">
        <f t="shared" si="670"/>
        <v>6.7187368774670384</v>
      </c>
      <c r="DX231" s="5">
        <f t="shared" si="671"/>
        <v>0.61728395061728403</v>
      </c>
      <c r="DY231" s="5">
        <f t="shared" si="672"/>
        <v>6.1014529268497544</v>
      </c>
      <c r="DZ231" s="5"/>
      <c r="EA231" s="173">
        <f t="shared" si="673"/>
        <v>9.1874999999999984E-2</v>
      </c>
      <c r="EB231" s="173">
        <f t="shared" si="699"/>
        <v>3.6749999999999994</v>
      </c>
      <c r="EC231" s="173">
        <f t="shared" si="700"/>
        <v>0.67302152777777791</v>
      </c>
      <c r="ED231" s="173">
        <f t="shared" si="701"/>
        <v>5.4604494036532989</v>
      </c>
      <c r="EE231" s="460">
        <f t="shared" si="674"/>
        <v>0.38580246913580252</v>
      </c>
      <c r="EF231" s="5">
        <f t="shared" si="675"/>
        <v>0.50845441057081275</v>
      </c>
      <c r="EH231" s="173">
        <f t="shared" si="702"/>
        <v>0.3888888888888889</v>
      </c>
      <c r="EI231" s="173">
        <f t="shared" si="703"/>
        <v>0.81550289781057717</v>
      </c>
      <c r="EK231" s="528">
        <f t="shared" si="704"/>
        <v>6.0493827160493828E-3</v>
      </c>
      <c r="EL231" s="528">
        <f t="shared" si="705"/>
        <v>0.47607865593749993</v>
      </c>
      <c r="EM231" s="528">
        <f t="shared" si="706"/>
        <v>2.9767499999999988E-2</v>
      </c>
      <c r="EN231" s="528">
        <f t="shared" si="707"/>
        <v>7.1358012322473477E-2</v>
      </c>
      <c r="EO231">
        <f t="shared" si="708"/>
        <v>1.6199999999999999E-2</v>
      </c>
      <c r="EP231" s="460">
        <f t="shared" si="709"/>
        <v>45.967499999999987</v>
      </c>
      <c r="EQ231" s="460"/>
      <c r="ER231" s="460">
        <f t="shared" si="710"/>
        <v>599.45355097602283</v>
      </c>
      <c r="ES231" s="528">
        <f t="shared" si="711"/>
        <v>0.105</v>
      </c>
      <c r="EV231" s="460">
        <f t="shared" si="712"/>
        <v>105</v>
      </c>
      <c r="EW231" s="528">
        <f t="shared" si="713"/>
        <v>4.5370370370370373E-3</v>
      </c>
      <c r="EX231" s="528">
        <f t="shared" si="714"/>
        <v>1.9951349290123457E-2</v>
      </c>
      <c r="EY231" s="528">
        <f t="shared" si="715"/>
        <v>9.9476302995602617E-2</v>
      </c>
      <c r="EZ231" s="528"/>
      <c r="FA231" s="528">
        <f t="shared" si="716"/>
        <v>0.14699999999999999</v>
      </c>
      <c r="FB231" s="460">
        <f t="shared" si="717"/>
        <v>270.96468932276309</v>
      </c>
      <c r="FC231" s="173">
        <f t="shared" si="718"/>
        <v>0.97541824029878588</v>
      </c>
      <c r="FD231" s="5">
        <f t="shared" si="719"/>
        <v>3.5999999999999996</v>
      </c>
      <c r="FE231" s="173">
        <f t="shared" si="720"/>
        <v>0.78681331649473674</v>
      </c>
      <c r="FF231" s="5">
        <f t="shared" si="721"/>
        <v>78.681331649473677</v>
      </c>
      <c r="FI231" s="562">
        <f t="shared" si="676"/>
        <v>-50</v>
      </c>
      <c r="FJ231">
        <f t="shared" si="677"/>
        <v>-50</v>
      </c>
      <c r="FL231">
        <f t="shared" si="678"/>
        <v>0.20239880059970014</v>
      </c>
    </row>
    <row r="232" spans="5:168">
      <c r="E232" s="170">
        <v>16</v>
      </c>
      <c r="F232" s="217">
        <f t="shared" si="679"/>
        <v>0.16</v>
      </c>
      <c r="G232" s="217"/>
      <c r="H232" s="217">
        <f t="shared" si="603"/>
        <v>3.84</v>
      </c>
      <c r="I232" s="541">
        <f t="shared" si="604"/>
        <v>35.92301996410805</v>
      </c>
      <c r="J232" s="172">
        <f t="shared" si="605"/>
        <v>16.356177530509115</v>
      </c>
      <c r="K232" s="172">
        <f t="shared" si="606"/>
        <v>52.279197494617165</v>
      </c>
      <c r="L232" s="443"/>
      <c r="M232" s="217">
        <f t="shared" si="607"/>
        <v>0.3128640612264586</v>
      </c>
      <c r="N232" s="172">
        <f t="shared" si="608"/>
        <v>63.045917836266661</v>
      </c>
      <c r="O232" s="172">
        <f t="shared" si="599"/>
        <v>3.84</v>
      </c>
      <c r="P232" s="217">
        <f t="shared" si="609"/>
        <v>2.6269132431777775</v>
      </c>
      <c r="Q232" s="217">
        <f t="shared" si="610"/>
        <v>24</v>
      </c>
      <c r="R232" s="217"/>
      <c r="S232" s="172">
        <f t="shared" si="611"/>
        <v>1193.4920345262717</v>
      </c>
      <c r="T232" s="172">
        <f t="shared" si="612"/>
        <v>24</v>
      </c>
      <c r="U232" s="217">
        <f t="shared" si="613"/>
        <v>0.69820263046690079</v>
      </c>
      <c r="V232" s="217">
        <f t="shared" si="614"/>
        <v>0.19436078346544905</v>
      </c>
      <c r="W232" s="217">
        <f t="shared" si="615"/>
        <v>0.42687396194162491</v>
      </c>
      <c r="X232" s="197">
        <f t="shared" si="616"/>
        <v>350</v>
      </c>
      <c r="Y232" s="443">
        <f t="shared" si="680"/>
        <v>350</v>
      </c>
      <c r="AA232" s="217">
        <f t="shared" si="617"/>
        <v>3.2111286003001851</v>
      </c>
      <c r="AB232" s="173">
        <f t="shared" si="618"/>
        <v>1.9632512512844025</v>
      </c>
      <c r="AC232" s="173">
        <f t="shared" si="619"/>
        <v>0.73586384301450503</v>
      </c>
      <c r="AD232" s="173"/>
      <c r="AE232" s="173">
        <f t="shared" si="620"/>
        <v>1.3586439851714256</v>
      </c>
      <c r="AF232" s="545">
        <f t="shared" si="621"/>
        <v>158.90259429939883</v>
      </c>
      <c r="AG232" s="528">
        <f t="shared" si="622"/>
        <v>0.35241715370918814</v>
      </c>
      <c r="AI232" s="173">
        <f t="shared" si="623"/>
        <v>1.4973349366503022</v>
      </c>
      <c r="AJ232" s="173">
        <f t="shared" si="624"/>
        <v>2.2222222222222223</v>
      </c>
      <c r="AK232" s="173">
        <f t="shared" si="625"/>
        <v>1.0908014824567993</v>
      </c>
      <c r="AM232" s="545">
        <f t="shared" si="626"/>
        <v>160</v>
      </c>
      <c r="AN232" s="460">
        <f t="shared" si="627"/>
        <v>158.90259429939883</v>
      </c>
      <c r="AP232">
        <f t="shared" si="628"/>
        <v>160</v>
      </c>
      <c r="AQ232">
        <f t="shared" si="629"/>
        <v>158.90259429939883</v>
      </c>
      <c r="AS232" s="5">
        <f t="shared" si="600"/>
        <v>6.2931634590926446</v>
      </c>
      <c r="AT232" s="5">
        <f t="shared" si="630"/>
        <v>0.61860673864350013</v>
      </c>
      <c r="AU232" s="5">
        <f t="shared" si="478"/>
        <v>5.6745567204491447</v>
      </c>
      <c r="AV232" s="5"/>
      <c r="AW232" s="173">
        <f t="shared" si="479"/>
        <v>9.8298215621542354E-2</v>
      </c>
      <c r="AX232" s="173">
        <f t="shared" si="631"/>
        <v>3.9235208468987377</v>
      </c>
      <c r="AY232" s="173">
        <f t="shared" si="632"/>
        <v>0.66826121131159033</v>
      </c>
      <c r="AZ232" s="173">
        <f t="shared" si="633"/>
        <v>5.8712383428600896</v>
      </c>
      <c r="BA232" s="460">
        <f t="shared" si="594"/>
        <v>0.41240449242900007</v>
      </c>
      <c r="BB232" s="5">
        <f t="shared" si="595"/>
        <v>0.5054859397561825</v>
      </c>
      <c r="BD232" s="173">
        <f t="shared" si="681"/>
        <v>0.40225335590891897</v>
      </c>
      <c r="BE232" s="173">
        <f t="shared" si="682"/>
        <v>0.81261373261641734</v>
      </c>
      <c r="BG232" s="528">
        <f t="shared" si="683"/>
        <v>6.4723104935994983E-3</v>
      </c>
      <c r="BH232" s="528">
        <f t="shared" si="634"/>
        <v>0.41536500548926492</v>
      </c>
      <c r="BI232" s="528">
        <f t="shared" si="635"/>
        <v>0.22833044269463465</v>
      </c>
      <c r="BJ232" s="528">
        <f t="shared" si="684"/>
        <v>7.6002322040141082E-2</v>
      </c>
      <c r="BK232">
        <f t="shared" si="685"/>
        <v>1.6165358983848622E-2</v>
      </c>
      <c r="BL232" s="460">
        <f t="shared" si="686"/>
        <v>244.49580167848328</v>
      </c>
      <c r="BM232" s="528">
        <f t="shared" si="636"/>
        <v>0.50035662076180398</v>
      </c>
      <c r="BN232" s="460">
        <f t="shared" si="687"/>
        <v>500.35662076180398</v>
      </c>
      <c r="BO232" s="528">
        <f t="shared" si="637"/>
        <v>0.11199999999999999</v>
      </c>
      <c r="BR232" s="460">
        <f t="shared" si="688"/>
        <v>111.99999999999999</v>
      </c>
      <c r="BS232" s="528">
        <f t="shared" si="689"/>
        <v>4.8542328701996233E-3</v>
      </c>
      <c r="BT232" s="528">
        <f t="shared" si="690"/>
        <v>1.9810232353103585E-2</v>
      </c>
      <c r="BU232" s="528">
        <f t="shared" si="691"/>
        <v>0.1171564461358274</v>
      </c>
      <c r="BV232" s="528"/>
      <c r="BW232" s="528">
        <f t="shared" si="692"/>
        <v>0.15694083387594948</v>
      </c>
      <c r="BX232" s="460">
        <f t="shared" si="693"/>
        <v>298.76174523508007</v>
      </c>
      <c r="BY232" s="173">
        <f t="shared" si="694"/>
        <v>1.1530971849365688</v>
      </c>
      <c r="BZ232" s="5">
        <f t="shared" si="695"/>
        <v>3.84</v>
      </c>
      <c r="CA232" s="173">
        <f t="shared" si="696"/>
        <v>0.76906173819021761</v>
      </c>
      <c r="CB232" s="5">
        <f t="shared" si="697"/>
        <v>76.90617381902176</v>
      </c>
      <c r="CE232" s="562">
        <f t="shared" si="638"/>
        <v>-50</v>
      </c>
      <c r="CF232">
        <f t="shared" si="639"/>
        <v>-50</v>
      </c>
      <c r="CG232" s="173">
        <f t="shared" si="640"/>
        <v>0.21812933708513593</v>
      </c>
      <c r="CI232" s="170">
        <v>16</v>
      </c>
      <c r="CJ232" s="217">
        <f t="shared" si="698"/>
        <v>0.16</v>
      </c>
      <c r="CK232" s="217"/>
      <c r="CL232" s="217">
        <f t="shared" si="641"/>
        <v>3.84</v>
      </c>
      <c r="CM232" s="541">
        <f t="shared" si="642"/>
        <v>36</v>
      </c>
      <c r="CN232" s="443">
        <f t="shared" si="643"/>
        <v>16.3415</v>
      </c>
      <c r="CO232" s="443">
        <f t="shared" si="644"/>
        <v>52.341499999999996</v>
      </c>
      <c r="CP232" s="443"/>
      <c r="CQ232" s="217">
        <f t="shared" si="645"/>
        <v>0.31220924123305599</v>
      </c>
      <c r="CR232" s="172">
        <f t="shared" si="646"/>
        <v>63.048783011568261</v>
      </c>
      <c r="CS232" s="172">
        <f t="shared" si="647"/>
        <v>3.84</v>
      </c>
      <c r="CT232" s="217">
        <f t="shared" si="648"/>
        <v>2.6270326254820109</v>
      </c>
      <c r="CU232" s="217">
        <f t="shared" si="649"/>
        <v>24</v>
      </c>
      <c r="CV232" s="217"/>
      <c r="CW232" s="172">
        <f t="shared" si="650"/>
        <v>1196.0495401126291</v>
      </c>
      <c r="CX232" s="172">
        <f t="shared" si="651"/>
        <v>24</v>
      </c>
      <c r="CY232" s="217">
        <f t="shared" si="652"/>
        <v>0.68330243041744432</v>
      </c>
      <c r="CZ232" s="217">
        <f t="shared" si="653"/>
        <v>0.18980623067151234</v>
      </c>
      <c r="DA232" s="217">
        <f t="shared" si="654"/>
        <v>0.41813935710763661</v>
      </c>
      <c r="DB232" s="197">
        <f t="shared" si="655"/>
        <v>350</v>
      </c>
      <c r="DC232" s="443">
        <f t="shared" si="656"/>
        <v>350</v>
      </c>
      <c r="DE232" s="217">
        <f t="shared" si="657"/>
        <v>3.211295052682861</v>
      </c>
      <c r="DF232" s="173">
        <f t="shared" si="658"/>
        <v>1.96511645361984</v>
      </c>
      <c r="DG232" s="173">
        <f t="shared" si="659"/>
        <v>0.73660113681324435</v>
      </c>
      <c r="DH232" s="173"/>
      <c r="DI232" s="173">
        <f t="shared" si="660"/>
        <v>1.3598642855443031</v>
      </c>
      <c r="DJ232" s="545">
        <f t="shared" si="661"/>
        <v>158.75999999999993</v>
      </c>
      <c r="DK232" s="528">
        <f t="shared" si="662"/>
        <v>0.35273368606701955</v>
      </c>
      <c r="DM232" s="173">
        <f t="shared" si="663"/>
        <v>1.4966629547095764</v>
      </c>
      <c r="DN232" s="173">
        <f t="shared" si="664"/>
        <v>2.2222222222222223</v>
      </c>
      <c r="DO232" s="173">
        <f t="shared" si="665"/>
        <v>1.0907199999999999</v>
      </c>
      <c r="DQ232" s="545">
        <f t="shared" si="666"/>
        <v>160</v>
      </c>
      <c r="DR232" s="460">
        <f t="shared" si="667"/>
        <v>158.75999999999993</v>
      </c>
      <c r="DT232">
        <f t="shared" si="668"/>
        <v>160</v>
      </c>
      <c r="DU232">
        <f t="shared" si="669"/>
        <v>158.75999999999993</v>
      </c>
      <c r="DW232" s="5">
        <f t="shared" si="670"/>
        <v>6.2988158226253494</v>
      </c>
      <c r="DX232" s="5">
        <f t="shared" si="671"/>
        <v>0.61728395061728403</v>
      </c>
      <c r="DY232" s="5">
        <f t="shared" si="672"/>
        <v>5.6815318720080654</v>
      </c>
      <c r="DZ232" s="5"/>
      <c r="EA232" s="173">
        <f t="shared" si="673"/>
        <v>9.7999999999999962E-2</v>
      </c>
      <c r="EB232" s="173">
        <f t="shared" si="699"/>
        <v>3.919999999999999</v>
      </c>
      <c r="EC232" s="173">
        <f t="shared" si="700"/>
        <v>0.66848222222222231</v>
      </c>
      <c r="ED232" s="173">
        <f t="shared" si="701"/>
        <v>5.8640302908412734</v>
      </c>
      <c r="EE232" s="460">
        <f t="shared" si="674"/>
        <v>0.41152263374485604</v>
      </c>
      <c r="EF232" s="5">
        <f t="shared" si="675"/>
        <v>0.50502505528960573</v>
      </c>
      <c r="EH232" s="173">
        <f t="shared" si="702"/>
        <v>0.40164271738447277</v>
      </c>
      <c r="EI232" s="173">
        <f t="shared" si="703"/>
        <v>0.81274809748091559</v>
      </c>
      <c r="EK232" s="528">
        <f t="shared" si="704"/>
        <v>6.4526748971193383E-3</v>
      </c>
      <c r="EL232" s="528">
        <f t="shared" si="705"/>
        <v>0.50781723299999981</v>
      </c>
      <c r="EM232" s="528">
        <f t="shared" si="706"/>
        <v>3.1751999999999982E-2</v>
      </c>
      <c r="EN232" s="528">
        <f t="shared" si="707"/>
        <v>7.6115213143971711E-2</v>
      </c>
      <c r="EO232">
        <f t="shared" si="708"/>
        <v>1.6199999999999999E-2</v>
      </c>
      <c r="EP232" s="460">
        <f t="shared" si="709"/>
        <v>47.951999999999984</v>
      </c>
      <c r="EQ232" s="460"/>
      <c r="ER232" s="460">
        <f t="shared" si="710"/>
        <v>638.33712104109088</v>
      </c>
      <c r="ES232" s="528">
        <f t="shared" si="711"/>
        <v>0.11199999999999999</v>
      </c>
      <c r="EV232" s="460">
        <f t="shared" si="712"/>
        <v>111.99999999999999</v>
      </c>
      <c r="EW232" s="528">
        <f t="shared" si="713"/>
        <v>4.8395061728395035E-3</v>
      </c>
      <c r="EX232" s="528">
        <f t="shared" si="714"/>
        <v>1.9816784098765434E-2</v>
      </c>
      <c r="EY232" s="528">
        <f t="shared" si="715"/>
        <v>0.11689379152607818</v>
      </c>
      <c r="EZ232" s="528"/>
      <c r="FA232" s="528">
        <f t="shared" si="716"/>
        <v>0.15679999999999999</v>
      </c>
      <c r="FB232" s="460">
        <f t="shared" si="717"/>
        <v>298.35008179768306</v>
      </c>
      <c r="FC232" s="173">
        <f t="shared" si="718"/>
        <v>1.0486872028387739</v>
      </c>
      <c r="FD232" s="5">
        <f t="shared" si="719"/>
        <v>3.84</v>
      </c>
      <c r="FE232" s="173">
        <f t="shared" si="720"/>
        <v>0.7854869499055247</v>
      </c>
      <c r="FF232" s="5">
        <f t="shared" si="721"/>
        <v>78.548694990552477</v>
      </c>
      <c r="FI232" s="562">
        <f t="shared" si="676"/>
        <v>-50</v>
      </c>
      <c r="FJ232">
        <f t="shared" si="677"/>
        <v>-50</v>
      </c>
      <c r="FL232">
        <f t="shared" si="678"/>
        <v>0.21589205397301348</v>
      </c>
    </row>
    <row r="233" spans="5:168">
      <c r="E233" s="170">
        <v>17</v>
      </c>
      <c r="F233" s="217">
        <f t="shared" si="679"/>
        <v>0.17</v>
      </c>
      <c r="G233" s="217"/>
      <c r="H233" s="217">
        <f t="shared" si="603"/>
        <v>4.08</v>
      </c>
      <c r="I233" s="541">
        <f t="shared" si="604"/>
        <v>35.92301996410805</v>
      </c>
      <c r="J233" s="172">
        <f t="shared" si="605"/>
        <v>16.356177530509115</v>
      </c>
      <c r="K233" s="172">
        <f t="shared" si="606"/>
        <v>52.279197494617165</v>
      </c>
      <c r="L233" s="443"/>
      <c r="M233" s="217">
        <f t="shared" si="607"/>
        <v>0.3128640612264586</v>
      </c>
      <c r="N233" s="172">
        <f t="shared" si="608"/>
        <v>63.045917836266661</v>
      </c>
      <c r="O233" s="172">
        <f t="shared" si="599"/>
        <v>4.08</v>
      </c>
      <c r="P233" s="217">
        <f t="shared" si="609"/>
        <v>2.6269132431777775</v>
      </c>
      <c r="Q233" s="217">
        <f t="shared" si="610"/>
        <v>24</v>
      </c>
      <c r="R233" s="217"/>
      <c r="S233" s="172">
        <f t="shared" si="611"/>
        <v>1120.1213298832072</v>
      </c>
      <c r="T233" s="172">
        <f t="shared" si="612"/>
        <v>24</v>
      </c>
      <c r="U233" s="217">
        <f t="shared" si="613"/>
        <v>0.74184029487108205</v>
      </c>
      <c r="V233" s="217">
        <f t="shared" si="614"/>
        <v>0.20650833243203962</v>
      </c>
      <c r="W233" s="217">
        <f t="shared" si="615"/>
        <v>0.45355358456297645</v>
      </c>
      <c r="X233" s="197">
        <f t="shared" si="616"/>
        <v>350</v>
      </c>
      <c r="Y233" s="443">
        <f t="shared" si="680"/>
        <v>350</v>
      </c>
      <c r="AA233" s="217">
        <f t="shared" si="617"/>
        <v>3.2111286003001851</v>
      </c>
      <c r="AB233" s="173">
        <f t="shared" si="618"/>
        <v>1.9632512512844025</v>
      </c>
      <c r="AC233" s="173">
        <f t="shared" si="619"/>
        <v>0.73586384301450503</v>
      </c>
      <c r="AD233" s="173"/>
      <c r="AE233" s="173">
        <f t="shared" si="620"/>
        <v>1.3586439851714256</v>
      </c>
      <c r="AF233" s="545">
        <f t="shared" si="621"/>
        <v>168.83400644311126</v>
      </c>
      <c r="AG233" s="528">
        <f t="shared" si="622"/>
        <v>0.35241715370918814</v>
      </c>
      <c r="AI233" s="173">
        <f t="shared" si="623"/>
        <v>1.5434175251841811</v>
      </c>
      <c r="AJ233" s="173">
        <f t="shared" si="624"/>
        <v>2.2222222222222223</v>
      </c>
      <c r="AK233" s="173">
        <f t="shared" si="625"/>
        <v>1.0964765751103493</v>
      </c>
      <c r="AM233" s="545">
        <f t="shared" si="626"/>
        <v>170</v>
      </c>
      <c r="AN233" s="460">
        <f t="shared" si="627"/>
        <v>168.83400644311126</v>
      </c>
      <c r="AP233">
        <f t="shared" si="628"/>
        <v>170</v>
      </c>
      <c r="AQ233">
        <f t="shared" si="629"/>
        <v>168.83400644311126</v>
      </c>
      <c r="AS233" s="5">
        <f t="shared" si="600"/>
        <v>5.9229773732636657</v>
      </c>
      <c r="AT233" s="5">
        <f t="shared" si="630"/>
        <v>0.61860673864350013</v>
      </c>
      <c r="AU233" s="5">
        <f t="shared" si="478"/>
        <v>5.3043706346201658</v>
      </c>
      <c r="AV233" s="5"/>
      <c r="AW233" s="173">
        <f t="shared" si="479"/>
        <v>0.10444185409788875</v>
      </c>
      <c r="AX233" s="173">
        <f t="shared" si="631"/>
        <v>4.168740899829908</v>
      </c>
      <c r="AY233" s="173">
        <f t="shared" si="632"/>
        <v>0.66370809257412022</v>
      </c>
      <c r="AZ233" s="173">
        <f t="shared" si="633"/>
        <v>6.2809854911696137</v>
      </c>
      <c r="BA233" s="460">
        <f t="shared" si="594"/>
        <v>0.43817977320581258</v>
      </c>
      <c r="BB233" s="5">
        <f t="shared" si="595"/>
        <v>0.50204187108232612</v>
      </c>
      <c r="BD233" s="173">
        <f t="shared" si="681"/>
        <v>0.41463326866791167</v>
      </c>
      <c r="BE233" s="173">
        <f t="shared" si="682"/>
        <v>0.80984067728662323</v>
      </c>
      <c r="BG233" s="528">
        <f t="shared" si="683"/>
        <v>6.8768298994494647E-3</v>
      </c>
      <c r="BH233" s="528">
        <f t="shared" si="634"/>
        <v>0.44132531833234401</v>
      </c>
      <c r="BI233" s="528">
        <f t="shared" si="635"/>
        <v>0.2426010953630493</v>
      </c>
      <c r="BJ233" s="528">
        <f t="shared" si="684"/>
        <v>8.0752467167649902E-2</v>
      </c>
      <c r="BK233">
        <f t="shared" si="685"/>
        <v>1.6165358983848622E-2</v>
      </c>
      <c r="BL233" s="460">
        <f t="shared" si="686"/>
        <v>258.76645434689794</v>
      </c>
      <c r="BM233" s="528">
        <f t="shared" si="636"/>
        <v>0.53168009006547101</v>
      </c>
      <c r="BN233" s="460">
        <f t="shared" si="687"/>
        <v>531.68009006547106</v>
      </c>
      <c r="BO233" s="528">
        <f t="shared" si="637"/>
        <v>0.11899999999999999</v>
      </c>
      <c r="BR233" s="460">
        <f t="shared" si="688"/>
        <v>119</v>
      </c>
      <c r="BS233" s="528">
        <f t="shared" si="689"/>
        <v>5.1576224245870987E-3</v>
      </c>
      <c r="BT233" s="528">
        <f t="shared" si="690"/>
        <v>1.9675257677641698E-2</v>
      </c>
      <c r="BU233" s="528">
        <f t="shared" si="691"/>
        <v>0.13632909005709037</v>
      </c>
      <c r="BV233" s="528"/>
      <c r="BW233" s="528">
        <f t="shared" si="692"/>
        <v>0.16674963599319637</v>
      </c>
      <c r="BX233" s="460">
        <f t="shared" si="693"/>
        <v>327.9116061525155</v>
      </c>
      <c r="BY233" s="173">
        <f t="shared" si="694"/>
        <v>1.2346326758988568</v>
      </c>
      <c r="BZ233" s="5">
        <f t="shared" si="695"/>
        <v>4.08</v>
      </c>
      <c r="CA233" s="173">
        <f t="shared" si="696"/>
        <v>0.76769181405560738</v>
      </c>
      <c r="CB233" s="5">
        <f t="shared" si="697"/>
        <v>76.769181405560744</v>
      </c>
      <c r="CE233" s="562">
        <f t="shared" si="638"/>
        <v>-50</v>
      </c>
      <c r="CF233">
        <f t="shared" si="639"/>
        <v>-50</v>
      </c>
      <c r="CG233" s="173">
        <f t="shared" si="640"/>
        <v>0.23176242065295694</v>
      </c>
      <c r="CI233" s="170">
        <v>17</v>
      </c>
      <c r="CJ233" s="217">
        <f t="shared" si="698"/>
        <v>0.17</v>
      </c>
      <c r="CK233" s="217"/>
      <c r="CL233" s="217">
        <f t="shared" si="641"/>
        <v>4.08</v>
      </c>
      <c r="CM233" s="541">
        <f t="shared" si="642"/>
        <v>36</v>
      </c>
      <c r="CN233" s="443">
        <f t="shared" si="643"/>
        <v>16.3415</v>
      </c>
      <c r="CO233" s="443">
        <f t="shared" si="644"/>
        <v>52.341499999999996</v>
      </c>
      <c r="CP233" s="443"/>
      <c r="CQ233" s="217">
        <f t="shared" si="645"/>
        <v>0.31220924123305599</v>
      </c>
      <c r="CR233" s="172">
        <f t="shared" si="646"/>
        <v>63.048783011568261</v>
      </c>
      <c r="CS233" s="172">
        <f t="shared" si="647"/>
        <v>4.08</v>
      </c>
      <c r="CT233" s="217">
        <f t="shared" si="648"/>
        <v>2.6270326254820109</v>
      </c>
      <c r="CU233" s="217">
        <f t="shared" si="649"/>
        <v>24</v>
      </c>
      <c r="CV233" s="217"/>
      <c r="CW233" s="172">
        <f t="shared" si="650"/>
        <v>1122.5216050070205</v>
      </c>
      <c r="CX233" s="172">
        <f t="shared" si="651"/>
        <v>24</v>
      </c>
      <c r="CY233" s="217">
        <f t="shared" si="652"/>
        <v>0.72600883231853464</v>
      </c>
      <c r="CZ233" s="217">
        <f t="shared" si="653"/>
        <v>0.20166912008848187</v>
      </c>
      <c r="DA233" s="217">
        <f t="shared" si="654"/>
        <v>0.44427306692686397</v>
      </c>
      <c r="DB233" s="197">
        <f t="shared" si="655"/>
        <v>350</v>
      </c>
      <c r="DC233" s="443">
        <f t="shared" si="656"/>
        <v>350</v>
      </c>
      <c r="DE233" s="217">
        <f t="shared" si="657"/>
        <v>3.211295052682861</v>
      </c>
      <c r="DF233" s="173">
        <f t="shared" si="658"/>
        <v>1.96511645361984</v>
      </c>
      <c r="DG233" s="173">
        <f t="shared" si="659"/>
        <v>0.73660113681324435</v>
      </c>
      <c r="DH233" s="173"/>
      <c r="DI233" s="173">
        <f t="shared" si="660"/>
        <v>1.3598642855443031</v>
      </c>
      <c r="DJ233" s="545">
        <f t="shared" si="661"/>
        <v>168.68249999999998</v>
      </c>
      <c r="DK233" s="528">
        <f t="shared" si="662"/>
        <v>0.35273368606701955</v>
      </c>
      <c r="DM233" s="173">
        <f t="shared" si="663"/>
        <v>1.5427248620541512</v>
      </c>
      <c r="DN233" s="173">
        <f t="shared" si="664"/>
        <v>2.2222222222222223</v>
      </c>
      <c r="DO233" s="173">
        <f t="shared" si="665"/>
        <v>1.09639</v>
      </c>
      <c r="DQ233" s="545">
        <f t="shared" si="666"/>
        <v>170</v>
      </c>
      <c r="DR233" s="460">
        <f t="shared" si="667"/>
        <v>168.68249999999998</v>
      </c>
      <c r="DT233">
        <f t="shared" si="668"/>
        <v>170</v>
      </c>
      <c r="DU233">
        <f t="shared" si="669"/>
        <v>168.68249999999998</v>
      </c>
      <c r="DW233" s="5">
        <f t="shared" si="670"/>
        <v>5.928297244823856</v>
      </c>
      <c r="DX233" s="5">
        <f t="shared" si="671"/>
        <v>0.61728395061728403</v>
      </c>
      <c r="DY233" s="5">
        <f t="shared" si="672"/>
        <v>5.311013294206572</v>
      </c>
      <c r="DZ233" s="5"/>
      <c r="EA233" s="173">
        <f t="shared" si="673"/>
        <v>0.10412500000000001</v>
      </c>
      <c r="EB233" s="173">
        <f t="shared" si="699"/>
        <v>4.165</v>
      </c>
      <c r="EC233" s="173">
        <f t="shared" si="700"/>
        <v>0.66394291666666672</v>
      </c>
      <c r="ED233" s="173">
        <f t="shared" si="701"/>
        <v>6.2731296553481313</v>
      </c>
      <c r="EE233" s="460">
        <f t="shared" si="674"/>
        <v>0.43724279835390956</v>
      </c>
      <c r="EF233" s="5">
        <f t="shared" si="675"/>
        <v>0.50159570000839848</v>
      </c>
      <c r="EH233" s="173">
        <f t="shared" si="702"/>
        <v>0.41400383688407111</v>
      </c>
      <c r="EI233" s="173">
        <f t="shared" si="703"/>
        <v>0.8099839279765042</v>
      </c>
      <c r="EK233" s="528">
        <f t="shared" si="704"/>
        <v>6.8559670781893024E-3</v>
      </c>
      <c r="EL233" s="528">
        <f t="shared" si="705"/>
        <v>0.53955581006249997</v>
      </c>
      <c r="EM233" s="528">
        <f t="shared" si="706"/>
        <v>3.3736499999999989E-2</v>
      </c>
      <c r="EN233" s="528">
        <f t="shared" si="707"/>
        <v>8.0872413965469958E-2</v>
      </c>
      <c r="EO233">
        <f t="shared" si="708"/>
        <v>1.6199999999999999E-2</v>
      </c>
      <c r="EP233" s="460">
        <f t="shared" si="709"/>
        <v>49.936499999999988</v>
      </c>
      <c r="EQ233" s="460"/>
      <c r="ER233" s="460">
        <f t="shared" si="710"/>
        <v>677.22069110615917</v>
      </c>
      <c r="ES233" s="528">
        <f t="shared" si="711"/>
        <v>0.11899999999999999</v>
      </c>
      <c r="EV233" s="460">
        <f t="shared" si="712"/>
        <v>119</v>
      </c>
      <c r="EW233" s="528">
        <f t="shared" si="713"/>
        <v>5.1419753086419766E-3</v>
      </c>
      <c r="EX233" s="528">
        <f t="shared" si="714"/>
        <v>1.9682218907407401E-2</v>
      </c>
      <c r="EY233" s="528">
        <f t="shared" si="715"/>
        <v>0.13602345203948724</v>
      </c>
      <c r="EZ233" s="528"/>
      <c r="FA233" s="528">
        <f t="shared" si="716"/>
        <v>0.1666</v>
      </c>
      <c r="FB233" s="460">
        <f t="shared" si="717"/>
        <v>327.4476462555366</v>
      </c>
      <c r="FC233" s="173">
        <f t="shared" si="718"/>
        <v>1.1236683373616958</v>
      </c>
      <c r="FD233" s="5">
        <f t="shared" si="719"/>
        <v>4.08</v>
      </c>
      <c r="FE233" s="173">
        <f t="shared" si="720"/>
        <v>0.78406226828602887</v>
      </c>
      <c r="FF233" s="5">
        <f t="shared" si="721"/>
        <v>78.406226828602883</v>
      </c>
      <c r="FI233" s="562">
        <f t="shared" si="676"/>
        <v>-50</v>
      </c>
      <c r="FJ233">
        <f t="shared" si="677"/>
        <v>-50</v>
      </c>
      <c r="FL233">
        <f t="shared" si="678"/>
        <v>0.22938530734632684</v>
      </c>
    </row>
    <row r="234" spans="5:168">
      <c r="E234" s="170">
        <v>18</v>
      </c>
      <c r="F234" s="217">
        <f t="shared" si="679"/>
        <v>0.18</v>
      </c>
      <c r="G234" s="217"/>
      <c r="H234" s="217">
        <f t="shared" si="603"/>
        <v>4.32</v>
      </c>
      <c r="I234" s="541">
        <f t="shared" si="604"/>
        <v>35.92301996410805</v>
      </c>
      <c r="J234" s="172">
        <f t="shared" si="605"/>
        <v>16.356177530509115</v>
      </c>
      <c r="K234" s="172">
        <f t="shared" si="606"/>
        <v>52.279197494617165</v>
      </c>
      <c r="L234" s="443"/>
      <c r="M234" s="217">
        <f t="shared" si="607"/>
        <v>0.3128640612264586</v>
      </c>
      <c r="N234" s="172">
        <f t="shared" si="608"/>
        <v>63.045917836266661</v>
      </c>
      <c r="O234" s="172">
        <f t="shared" si="599"/>
        <v>4.32</v>
      </c>
      <c r="P234" s="217">
        <f t="shared" si="609"/>
        <v>2.6269132431777775</v>
      </c>
      <c r="Q234" s="217">
        <f t="shared" si="610"/>
        <v>24</v>
      </c>
      <c r="R234" s="217"/>
      <c r="S234" s="172">
        <f t="shared" si="611"/>
        <v>1054.9030981123426</v>
      </c>
      <c r="T234" s="172">
        <f t="shared" si="612"/>
        <v>24</v>
      </c>
      <c r="U234" s="217">
        <f t="shared" si="613"/>
        <v>0.78547795927526343</v>
      </c>
      <c r="V234" s="217">
        <f t="shared" si="614"/>
        <v>0.21865588139863024</v>
      </c>
      <c r="W234" s="217">
        <f t="shared" si="615"/>
        <v>0.48023320718432805</v>
      </c>
      <c r="X234" s="197">
        <f t="shared" si="616"/>
        <v>350</v>
      </c>
      <c r="Y234" s="443">
        <f t="shared" si="680"/>
        <v>350</v>
      </c>
      <c r="AA234" s="217">
        <f t="shared" si="617"/>
        <v>3.2111286003001851</v>
      </c>
      <c r="AB234" s="173">
        <f t="shared" si="618"/>
        <v>1.9632512512844025</v>
      </c>
      <c r="AC234" s="173">
        <f t="shared" si="619"/>
        <v>0.73586384301450503</v>
      </c>
      <c r="AD234" s="173"/>
      <c r="AE234" s="173">
        <f t="shared" si="620"/>
        <v>1.3586439851714256</v>
      </c>
      <c r="AF234" s="545">
        <f t="shared" si="621"/>
        <v>178.76541858682367</v>
      </c>
      <c r="AG234" s="528">
        <f t="shared" si="622"/>
        <v>0.35241715370918814</v>
      </c>
      <c r="AI234" s="173">
        <f t="shared" si="623"/>
        <v>1.5881635311194373</v>
      </c>
      <c r="AJ234" s="173">
        <f t="shared" si="624"/>
        <v>2.2222222222222223</v>
      </c>
      <c r="AK234" s="173">
        <f t="shared" si="625"/>
        <v>1.1021516677638992</v>
      </c>
      <c r="AM234" s="545">
        <f t="shared" si="626"/>
        <v>180</v>
      </c>
      <c r="AN234" s="460">
        <f t="shared" si="627"/>
        <v>178.76541858682367</v>
      </c>
      <c r="AP234">
        <f t="shared" si="628"/>
        <v>180</v>
      </c>
      <c r="AQ234">
        <f t="shared" si="629"/>
        <v>178.76541858682367</v>
      </c>
      <c r="AS234" s="5">
        <f t="shared" si="600"/>
        <v>5.5939230747490187</v>
      </c>
      <c r="AT234" s="5">
        <f t="shared" si="630"/>
        <v>0.61860673864350013</v>
      </c>
      <c r="AU234" s="5">
        <f t="shared" ref="AU234:AU297" si="722">AS234-AT234</f>
        <v>4.9753163361055188</v>
      </c>
      <c r="AV234" s="5"/>
      <c r="AW234" s="173">
        <f t="shared" ref="AW234:AW297" si="723">AT234/AS234</f>
        <v>0.11058549257423513</v>
      </c>
      <c r="AX234" s="173">
        <f t="shared" si="631"/>
        <v>4.4139609527610792</v>
      </c>
      <c r="AY234" s="173">
        <f t="shared" si="632"/>
        <v>0.65915497383665023</v>
      </c>
      <c r="AZ234" s="173">
        <f t="shared" si="633"/>
        <v>6.696393303488799</v>
      </c>
      <c r="BA234" s="460">
        <f t="shared" si="594"/>
        <v>0.46395505398262504</v>
      </c>
      <c r="BB234" s="5">
        <f t="shared" si="595"/>
        <v>0.49859780240846996</v>
      </c>
      <c r="BD234" s="173">
        <f t="shared" si="681"/>
        <v>0.42665411357736355</v>
      </c>
      <c r="BE234" s="173">
        <f t="shared" si="682"/>
        <v>0.80705809378218052</v>
      </c>
      <c r="BG234" s="528">
        <f t="shared" si="683"/>
        <v>7.2813493052994336E-3</v>
      </c>
      <c r="BH234" s="528">
        <f t="shared" si="634"/>
        <v>0.46728563117542304</v>
      </c>
      <c r="BI234" s="528">
        <f t="shared" si="635"/>
        <v>0.25687174803146395</v>
      </c>
      <c r="BJ234" s="528">
        <f t="shared" si="684"/>
        <v>8.5502612295158723E-2</v>
      </c>
      <c r="BK234">
        <f t="shared" si="685"/>
        <v>1.6165358983848622E-2</v>
      </c>
      <c r="BL234" s="460">
        <f t="shared" si="686"/>
        <v>273.03710701531259</v>
      </c>
      <c r="BM234" s="528">
        <f t="shared" si="636"/>
        <v>0.56300959104022841</v>
      </c>
      <c r="BN234" s="460">
        <f t="shared" si="687"/>
        <v>563.00959104022843</v>
      </c>
      <c r="BO234" s="528">
        <f t="shared" si="637"/>
        <v>0.126</v>
      </c>
      <c r="BR234" s="460">
        <f t="shared" si="688"/>
        <v>126</v>
      </c>
      <c r="BS234" s="528">
        <f t="shared" si="689"/>
        <v>5.461011978974575E-3</v>
      </c>
      <c r="BT234" s="528">
        <f t="shared" si="690"/>
        <v>1.9540283002179807E-2</v>
      </c>
      <c r="BU234" s="528">
        <f t="shared" si="691"/>
        <v>0.15727058248385498</v>
      </c>
      <c r="BV234" s="528"/>
      <c r="BW234" s="528">
        <f t="shared" si="692"/>
        <v>0.17655843811044319</v>
      </c>
      <c r="BX234" s="460">
        <f t="shared" si="693"/>
        <v>358.83031557545252</v>
      </c>
      <c r="BY234" s="173">
        <f t="shared" si="694"/>
        <v>1.3179370153666463</v>
      </c>
      <c r="BZ234" s="5">
        <f t="shared" si="695"/>
        <v>4.32</v>
      </c>
      <c r="CA234" s="173">
        <f t="shared" si="696"/>
        <v>0.76623771926247064</v>
      </c>
      <c r="CB234" s="5">
        <f t="shared" si="697"/>
        <v>76.623771926247059</v>
      </c>
      <c r="CE234" s="562">
        <f t="shared" si="638"/>
        <v>-50</v>
      </c>
      <c r="CF234">
        <f t="shared" si="639"/>
        <v>-50</v>
      </c>
      <c r="CG234" s="173">
        <f t="shared" si="640"/>
        <v>0.24539550422077794</v>
      </c>
      <c r="CI234" s="170">
        <v>18</v>
      </c>
      <c r="CJ234" s="217">
        <f t="shared" si="698"/>
        <v>0.18</v>
      </c>
      <c r="CK234" s="217"/>
      <c r="CL234" s="217">
        <f t="shared" si="641"/>
        <v>4.32</v>
      </c>
      <c r="CM234" s="541">
        <f t="shared" si="642"/>
        <v>36</v>
      </c>
      <c r="CN234" s="443">
        <f t="shared" si="643"/>
        <v>16.3415</v>
      </c>
      <c r="CO234" s="443">
        <f t="shared" si="644"/>
        <v>52.341499999999996</v>
      </c>
      <c r="CP234" s="443"/>
      <c r="CQ234" s="217">
        <f t="shared" si="645"/>
        <v>0.31220924123305599</v>
      </c>
      <c r="CR234" s="172">
        <f t="shared" si="646"/>
        <v>63.048783011568261</v>
      </c>
      <c r="CS234" s="172">
        <f t="shared" si="647"/>
        <v>4.32</v>
      </c>
      <c r="CT234" s="217">
        <f t="shared" si="648"/>
        <v>2.6270326254820109</v>
      </c>
      <c r="CU234" s="217">
        <f t="shared" si="649"/>
        <v>24</v>
      </c>
      <c r="CV234" s="217"/>
      <c r="CW234" s="172">
        <f t="shared" si="650"/>
        <v>1057.163612825547</v>
      </c>
      <c r="CX234" s="172">
        <f t="shared" si="651"/>
        <v>24</v>
      </c>
      <c r="CY234" s="217">
        <f t="shared" si="652"/>
        <v>0.76871523421962495</v>
      </c>
      <c r="CZ234" s="217">
        <f t="shared" si="653"/>
        <v>0.21353200950545143</v>
      </c>
      <c r="DA234" s="217">
        <f t="shared" si="654"/>
        <v>0.47040677674609127</v>
      </c>
      <c r="DB234" s="197">
        <f t="shared" si="655"/>
        <v>350</v>
      </c>
      <c r="DC234" s="443">
        <f t="shared" si="656"/>
        <v>350</v>
      </c>
      <c r="DE234" s="217">
        <f t="shared" si="657"/>
        <v>3.211295052682861</v>
      </c>
      <c r="DF234" s="173">
        <f t="shared" si="658"/>
        <v>1.96511645361984</v>
      </c>
      <c r="DG234" s="173">
        <f t="shared" si="659"/>
        <v>0.73660113681324435</v>
      </c>
      <c r="DH234" s="173"/>
      <c r="DI234" s="173">
        <f t="shared" si="660"/>
        <v>1.3598642855443031</v>
      </c>
      <c r="DJ234" s="545">
        <f t="shared" si="661"/>
        <v>178.60499999999993</v>
      </c>
      <c r="DK234" s="528">
        <f t="shared" si="662"/>
        <v>0.35273368606701955</v>
      </c>
      <c r="DM234" s="173">
        <f t="shared" si="663"/>
        <v>1.5874507866387542</v>
      </c>
      <c r="DN234" s="173">
        <f t="shared" si="664"/>
        <v>2.2222222222222223</v>
      </c>
      <c r="DO234" s="173">
        <f t="shared" si="665"/>
        <v>1.10206</v>
      </c>
      <c r="DQ234" s="545">
        <f t="shared" si="666"/>
        <v>180</v>
      </c>
      <c r="DR234" s="460">
        <f t="shared" si="667"/>
        <v>178.60499999999993</v>
      </c>
      <c r="DT234">
        <f t="shared" si="668"/>
        <v>180</v>
      </c>
      <c r="DU234">
        <f t="shared" si="669"/>
        <v>178.60499999999993</v>
      </c>
      <c r="DW234" s="5">
        <f t="shared" si="670"/>
        <v>5.5989473978891988</v>
      </c>
      <c r="DX234" s="5">
        <f t="shared" si="671"/>
        <v>0.61728395061728403</v>
      </c>
      <c r="DY234" s="5">
        <f t="shared" si="672"/>
        <v>4.9816634472719148</v>
      </c>
      <c r="DZ234" s="5"/>
      <c r="EA234" s="173">
        <f t="shared" si="673"/>
        <v>0.11024999999999997</v>
      </c>
      <c r="EB234" s="173">
        <f t="shared" si="699"/>
        <v>4.4099999999999993</v>
      </c>
      <c r="EC234" s="173">
        <f t="shared" si="700"/>
        <v>0.65940361111111123</v>
      </c>
      <c r="ED234" s="173">
        <f t="shared" si="701"/>
        <v>6.6878614640417897</v>
      </c>
      <c r="EE234" s="460">
        <f t="shared" si="674"/>
        <v>0.46296296296296297</v>
      </c>
      <c r="EF234" s="5">
        <f t="shared" si="675"/>
        <v>0.4981663447271914</v>
      </c>
      <c r="EH234" s="173">
        <f t="shared" si="702"/>
        <v>0.42600643361512913</v>
      </c>
      <c r="EI234" s="173">
        <f t="shared" si="703"/>
        <v>0.80721029304738556</v>
      </c>
      <c r="EK234" s="528">
        <f t="shared" si="704"/>
        <v>7.259259259259257E-3</v>
      </c>
      <c r="EL234" s="528">
        <f t="shared" si="705"/>
        <v>0.5712943871249998</v>
      </c>
      <c r="EM234" s="528">
        <f t="shared" si="706"/>
        <v>3.5720999999999989E-2</v>
      </c>
      <c r="EN234" s="528">
        <f t="shared" si="707"/>
        <v>8.5629614786968178E-2</v>
      </c>
      <c r="EO234">
        <f t="shared" si="708"/>
        <v>1.6199999999999999E-2</v>
      </c>
      <c r="EP234" s="460">
        <f t="shared" si="709"/>
        <v>51.920999999999985</v>
      </c>
      <c r="EQ234" s="460"/>
      <c r="ER234" s="460">
        <f t="shared" si="710"/>
        <v>716.10426117122722</v>
      </c>
      <c r="ES234" s="528">
        <f t="shared" si="711"/>
        <v>0.126</v>
      </c>
      <c r="EV234" s="460">
        <f t="shared" si="712"/>
        <v>126</v>
      </c>
      <c r="EW234" s="528">
        <f t="shared" si="713"/>
        <v>5.4444444444444419E-3</v>
      </c>
      <c r="EX234" s="528">
        <f t="shared" si="714"/>
        <v>1.9547653716049381E-2</v>
      </c>
      <c r="EY234" s="528">
        <f t="shared" si="715"/>
        <v>0.15691799545318169</v>
      </c>
      <c r="EZ234" s="528"/>
      <c r="FA234" s="528">
        <f t="shared" si="716"/>
        <v>0.17639999999999997</v>
      </c>
      <c r="FB234" s="460">
        <f t="shared" si="717"/>
        <v>358.31009361367552</v>
      </c>
      <c r="FC234" s="173">
        <f t="shared" si="718"/>
        <v>1.2004143547849027</v>
      </c>
      <c r="FD234" s="5">
        <f t="shared" si="719"/>
        <v>4.32</v>
      </c>
      <c r="FE234" s="173">
        <f t="shared" si="720"/>
        <v>0.78254995410907424</v>
      </c>
      <c r="FF234" s="5">
        <f t="shared" si="721"/>
        <v>78.254995410907426</v>
      </c>
      <c r="FI234" s="562">
        <f t="shared" si="676"/>
        <v>-50</v>
      </c>
      <c r="FJ234">
        <f t="shared" si="677"/>
        <v>-50</v>
      </c>
      <c r="FL234">
        <f t="shared" si="678"/>
        <v>0.24287856071964015</v>
      </c>
    </row>
    <row r="235" spans="5:168">
      <c r="E235" s="170">
        <v>19</v>
      </c>
      <c r="F235" s="217">
        <f t="shared" si="679"/>
        <v>0.19</v>
      </c>
      <c r="G235" s="217"/>
      <c r="H235" s="217">
        <f t="shared" si="603"/>
        <v>4.5600000000000005</v>
      </c>
      <c r="I235" s="541">
        <f t="shared" si="604"/>
        <v>35.92301996410805</v>
      </c>
      <c r="J235" s="172">
        <f t="shared" si="605"/>
        <v>16.356177530509115</v>
      </c>
      <c r="K235" s="172">
        <f t="shared" si="606"/>
        <v>52.279197494617165</v>
      </c>
      <c r="L235" s="443"/>
      <c r="M235" s="217">
        <f t="shared" si="607"/>
        <v>0.3128640612264586</v>
      </c>
      <c r="N235" s="172">
        <f t="shared" si="608"/>
        <v>63.045917836266661</v>
      </c>
      <c r="O235" s="172">
        <f t="shared" si="599"/>
        <v>4.5600000000000005</v>
      </c>
      <c r="P235" s="217">
        <f t="shared" si="609"/>
        <v>2.6269132431777775</v>
      </c>
      <c r="Q235" s="217">
        <f t="shared" si="610"/>
        <v>24</v>
      </c>
      <c r="R235" s="217"/>
      <c r="S235" s="172">
        <f t="shared" si="611"/>
        <v>996.55010803197365</v>
      </c>
      <c r="T235" s="172">
        <f t="shared" si="612"/>
        <v>24</v>
      </c>
      <c r="U235" s="217">
        <f t="shared" si="613"/>
        <v>0.82911562367944469</v>
      </c>
      <c r="V235" s="217">
        <f t="shared" si="614"/>
        <v>0.23080343036522075</v>
      </c>
      <c r="W235" s="217">
        <f t="shared" si="615"/>
        <v>0.50691282980567964</v>
      </c>
      <c r="X235" s="197">
        <f t="shared" si="616"/>
        <v>350</v>
      </c>
      <c r="Y235" s="443">
        <f t="shared" si="680"/>
        <v>350</v>
      </c>
      <c r="AA235" s="217">
        <f t="shared" si="617"/>
        <v>3.2111286003001851</v>
      </c>
      <c r="AB235" s="173">
        <f t="shared" si="618"/>
        <v>1.9632512512844025</v>
      </c>
      <c r="AC235" s="173">
        <f t="shared" si="619"/>
        <v>0.73586384301450503</v>
      </c>
      <c r="AD235" s="173"/>
      <c r="AE235" s="173">
        <f t="shared" si="620"/>
        <v>1.3586439851714256</v>
      </c>
      <c r="AF235" s="545">
        <f t="shared" si="621"/>
        <v>188.69683073053611</v>
      </c>
      <c r="AG235" s="528">
        <f t="shared" si="622"/>
        <v>0.35241715370918814</v>
      </c>
      <c r="AI235" s="173">
        <f t="shared" si="623"/>
        <v>1.6316829183728858</v>
      </c>
      <c r="AJ235" s="173">
        <f t="shared" si="624"/>
        <v>2.2222222222222223</v>
      </c>
      <c r="AK235" s="173">
        <f t="shared" si="625"/>
        <v>1.1078267604174492</v>
      </c>
      <c r="AM235" s="545">
        <f t="shared" si="626"/>
        <v>190</v>
      </c>
      <c r="AN235" s="460">
        <f t="shared" si="627"/>
        <v>188.69683073053611</v>
      </c>
      <c r="AP235">
        <f t="shared" si="628"/>
        <v>190</v>
      </c>
      <c r="AQ235">
        <f t="shared" si="629"/>
        <v>188.69683073053611</v>
      </c>
      <c r="AS235" s="5">
        <f t="shared" si="600"/>
        <v>5.2995060708148589</v>
      </c>
      <c r="AT235" s="5">
        <f t="shared" si="630"/>
        <v>0.61860673864350013</v>
      </c>
      <c r="AU235" s="5">
        <f t="shared" si="722"/>
        <v>4.680899332171359</v>
      </c>
      <c r="AV235" s="5"/>
      <c r="AW235" s="173">
        <f t="shared" si="723"/>
        <v>0.11672913105058154</v>
      </c>
      <c r="AX235" s="173">
        <f t="shared" si="631"/>
        <v>4.6591810056922505</v>
      </c>
      <c r="AY235" s="173">
        <f t="shared" si="632"/>
        <v>0.65460185509918012</v>
      </c>
      <c r="AZ235" s="173">
        <f t="shared" si="633"/>
        <v>7.1175798989850527</v>
      </c>
      <c r="BA235" s="460">
        <f t="shared" si="594"/>
        <v>0.48973033475943756</v>
      </c>
      <c r="BB235" s="5">
        <f t="shared" si="595"/>
        <v>0.49515373373461347</v>
      </c>
      <c r="BD235" s="173">
        <f t="shared" si="681"/>
        <v>0.43834543202676934</v>
      </c>
      <c r="BE235" s="173">
        <f t="shared" si="682"/>
        <v>0.80426588320691383</v>
      </c>
      <c r="BG235" s="528">
        <f t="shared" si="683"/>
        <v>7.6858687111494026E-3</v>
      </c>
      <c r="BH235" s="528">
        <f t="shared" si="634"/>
        <v>0.49324594401850219</v>
      </c>
      <c r="BI235" s="528">
        <f t="shared" si="635"/>
        <v>0.27114240069987866</v>
      </c>
      <c r="BJ235" s="528">
        <f t="shared" si="684"/>
        <v>9.0252757422667529E-2</v>
      </c>
      <c r="BK235">
        <f t="shared" si="685"/>
        <v>1.6165358983848622E-2</v>
      </c>
      <c r="BL235" s="460">
        <f t="shared" si="686"/>
        <v>287.30775968372728</v>
      </c>
      <c r="BM235" s="528">
        <f t="shared" si="636"/>
        <v>0.59434512542843898</v>
      </c>
      <c r="BN235" s="460">
        <f t="shared" si="687"/>
        <v>594.34512542843902</v>
      </c>
      <c r="BO235" s="528">
        <f t="shared" si="637"/>
        <v>0.13299999999999998</v>
      </c>
      <c r="BR235" s="460">
        <f t="shared" si="688"/>
        <v>132.99999999999997</v>
      </c>
      <c r="BS235" s="528">
        <f t="shared" si="689"/>
        <v>5.7644015333620522E-3</v>
      </c>
      <c r="BT235" s="528">
        <f t="shared" si="690"/>
        <v>1.9405308326717913E-2</v>
      </c>
      <c r="BU235" s="528">
        <f t="shared" si="691"/>
        <v>0.18003221919321061</v>
      </c>
      <c r="BV235" s="528"/>
      <c r="BW235" s="528">
        <f t="shared" si="692"/>
        <v>0.18636724022769002</v>
      </c>
      <c r="BX235" s="460">
        <f t="shared" si="693"/>
        <v>391.56916928098065</v>
      </c>
      <c r="BY235" s="173">
        <f t="shared" si="694"/>
        <v>1.4030614991170269</v>
      </c>
      <c r="BZ235" s="5">
        <f t="shared" si="695"/>
        <v>4.5600000000000005</v>
      </c>
      <c r="CA235" s="173">
        <f t="shared" si="696"/>
        <v>0.76470786032899651</v>
      </c>
      <c r="CB235" s="5">
        <f t="shared" si="697"/>
        <v>76.470786032899653</v>
      </c>
      <c r="CE235" s="562">
        <f t="shared" si="638"/>
        <v>-50</v>
      </c>
      <c r="CF235">
        <f t="shared" si="639"/>
        <v>-50</v>
      </c>
      <c r="CG235" s="173">
        <f t="shared" si="640"/>
        <v>0.25902858778859889</v>
      </c>
      <c r="CI235" s="170">
        <v>19</v>
      </c>
      <c r="CJ235" s="217">
        <f t="shared" si="698"/>
        <v>0.19</v>
      </c>
      <c r="CK235" s="217"/>
      <c r="CL235" s="217">
        <f t="shared" si="641"/>
        <v>4.5600000000000005</v>
      </c>
      <c r="CM235" s="541">
        <f t="shared" si="642"/>
        <v>36</v>
      </c>
      <c r="CN235" s="443">
        <f t="shared" si="643"/>
        <v>16.3415</v>
      </c>
      <c r="CO235" s="443">
        <f t="shared" si="644"/>
        <v>52.341499999999996</v>
      </c>
      <c r="CP235" s="443"/>
      <c r="CQ235" s="217">
        <f t="shared" si="645"/>
        <v>0.31220924123305599</v>
      </c>
      <c r="CR235" s="172">
        <f t="shared" si="646"/>
        <v>63.048783011568261</v>
      </c>
      <c r="CS235" s="172">
        <f t="shared" si="647"/>
        <v>4.5600000000000005</v>
      </c>
      <c r="CT235" s="217">
        <f t="shared" si="648"/>
        <v>2.6270326254820109</v>
      </c>
      <c r="CU235" s="217">
        <f t="shared" si="649"/>
        <v>24</v>
      </c>
      <c r="CV235" s="217"/>
      <c r="CW235" s="172">
        <f t="shared" si="650"/>
        <v>998.68557395728999</v>
      </c>
      <c r="CX235" s="172">
        <f t="shared" si="651"/>
        <v>24</v>
      </c>
      <c r="CY235" s="217">
        <f t="shared" si="652"/>
        <v>0.81142163612071527</v>
      </c>
      <c r="CZ235" s="217">
        <f t="shared" si="653"/>
        <v>0.2253948989224209</v>
      </c>
      <c r="DA235" s="217">
        <f t="shared" si="654"/>
        <v>0.49654048656531852</v>
      </c>
      <c r="DB235" s="197">
        <f t="shared" si="655"/>
        <v>350</v>
      </c>
      <c r="DC235" s="443">
        <f t="shared" si="656"/>
        <v>350</v>
      </c>
      <c r="DE235" s="217">
        <f t="shared" si="657"/>
        <v>3.211295052682861</v>
      </c>
      <c r="DF235" s="173">
        <f t="shared" si="658"/>
        <v>1.96511645361984</v>
      </c>
      <c r="DG235" s="173">
        <f t="shared" si="659"/>
        <v>0.73660113681324435</v>
      </c>
      <c r="DH235" s="173"/>
      <c r="DI235" s="173">
        <f t="shared" si="660"/>
        <v>1.3598642855443031</v>
      </c>
      <c r="DJ235" s="545">
        <f t="shared" si="661"/>
        <v>188.52749999999995</v>
      </c>
      <c r="DK235" s="528">
        <f t="shared" si="662"/>
        <v>0.35273368606701955</v>
      </c>
      <c r="DM235" s="173">
        <f t="shared" si="663"/>
        <v>1.6309506430300089</v>
      </c>
      <c r="DN235" s="173">
        <f t="shared" si="664"/>
        <v>2.2222222222222223</v>
      </c>
      <c r="DO235" s="173">
        <f t="shared" si="665"/>
        <v>1.1077299999999999</v>
      </c>
      <c r="DQ235" s="545">
        <f t="shared" si="666"/>
        <v>190</v>
      </c>
      <c r="DR235" s="460">
        <f t="shared" si="667"/>
        <v>188.52749999999995</v>
      </c>
      <c r="DT235">
        <f t="shared" si="668"/>
        <v>190</v>
      </c>
      <c r="DU235">
        <f t="shared" si="669"/>
        <v>188.52749999999995</v>
      </c>
      <c r="DW235" s="5">
        <f t="shared" si="670"/>
        <v>5.3042659558950307</v>
      </c>
      <c r="DX235" s="5">
        <f t="shared" si="671"/>
        <v>0.61728395061728403</v>
      </c>
      <c r="DY235" s="5">
        <f t="shared" si="672"/>
        <v>4.6869820052777467</v>
      </c>
      <c r="DZ235" s="5"/>
      <c r="EA235" s="173">
        <f t="shared" si="673"/>
        <v>0.11637499999999996</v>
      </c>
      <c r="EB235" s="173">
        <f t="shared" si="699"/>
        <v>4.6549999999999994</v>
      </c>
      <c r="EC235" s="173">
        <f t="shared" si="700"/>
        <v>0.65486430555555564</v>
      </c>
      <c r="ED235" s="173">
        <f t="shared" si="701"/>
        <v>7.1083428437146523</v>
      </c>
      <c r="EE235" s="460">
        <f t="shared" si="674"/>
        <v>0.4886831275720166</v>
      </c>
      <c r="EF235" s="5">
        <f t="shared" si="675"/>
        <v>0.49473698944598432</v>
      </c>
      <c r="EH235" s="173">
        <f t="shared" si="702"/>
        <v>0.43768000412199598</v>
      </c>
      <c r="EI235" s="173">
        <f t="shared" si="703"/>
        <v>0.80442709478426033</v>
      </c>
      <c r="EK235" s="528">
        <f t="shared" si="704"/>
        <v>7.6625514403292176E-3</v>
      </c>
      <c r="EL235" s="528">
        <f t="shared" si="705"/>
        <v>0.60303296418749996</v>
      </c>
      <c r="EM235" s="528">
        <f t="shared" si="706"/>
        <v>3.7705499999999989E-2</v>
      </c>
      <c r="EN235" s="528">
        <f t="shared" si="707"/>
        <v>9.0386815608466411E-2</v>
      </c>
      <c r="EO235">
        <f t="shared" si="708"/>
        <v>1.6199999999999999E-2</v>
      </c>
      <c r="EP235" s="460">
        <f t="shared" si="709"/>
        <v>53.905499999999989</v>
      </c>
      <c r="EQ235" s="460"/>
      <c r="ER235" s="460">
        <f t="shared" si="710"/>
        <v>754.98783123629551</v>
      </c>
      <c r="ES235" s="528">
        <f t="shared" si="711"/>
        <v>0.13299999999999998</v>
      </c>
      <c r="EV235" s="460">
        <f t="shared" si="712"/>
        <v>132.99999999999997</v>
      </c>
      <c r="EW235" s="528">
        <f t="shared" si="713"/>
        <v>5.7469135802469123E-3</v>
      </c>
      <c r="EX235" s="528">
        <f t="shared" si="714"/>
        <v>1.9413088524691362E-2</v>
      </c>
      <c r="EY235" s="528">
        <f t="shared" si="715"/>
        <v>0.17962860254355925</v>
      </c>
      <c r="EZ235" s="528"/>
      <c r="FA235" s="528">
        <f t="shared" si="716"/>
        <v>0.1862</v>
      </c>
      <c r="FB235" s="460">
        <f t="shared" si="717"/>
        <v>390.98860464849747</v>
      </c>
      <c r="FC235" s="173">
        <f t="shared" si="718"/>
        <v>1.278976435884793</v>
      </c>
      <c r="FD235" s="5">
        <f t="shared" si="719"/>
        <v>4.5600000000000005</v>
      </c>
      <c r="FE235" s="173">
        <f t="shared" si="720"/>
        <v>0.78095879475989238</v>
      </c>
      <c r="FF235" s="5">
        <f t="shared" si="721"/>
        <v>78.095879475989236</v>
      </c>
      <c r="FI235" s="562">
        <f t="shared" si="676"/>
        <v>-50</v>
      </c>
      <c r="FJ235">
        <f t="shared" si="677"/>
        <v>-50</v>
      </c>
      <c r="FL235">
        <f t="shared" si="678"/>
        <v>0.25637181409295351</v>
      </c>
    </row>
    <row r="236" spans="5:168">
      <c r="E236" s="170">
        <v>20</v>
      </c>
      <c r="F236" s="217">
        <f t="shared" si="679"/>
        <v>0.2</v>
      </c>
      <c r="G236" s="217"/>
      <c r="H236" s="217">
        <f t="shared" si="603"/>
        <v>4.8000000000000007</v>
      </c>
      <c r="I236" s="541">
        <f t="shared" si="604"/>
        <v>35.92301996410805</v>
      </c>
      <c r="J236" s="172">
        <f t="shared" si="605"/>
        <v>16.356177530509115</v>
      </c>
      <c r="K236" s="172">
        <f t="shared" si="606"/>
        <v>52.279197494617165</v>
      </c>
      <c r="L236" s="443"/>
      <c r="M236" s="217">
        <f t="shared" si="607"/>
        <v>0.3128640612264586</v>
      </c>
      <c r="N236" s="172">
        <f t="shared" si="608"/>
        <v>63.045917836266661</v>
      </c>
      <c r="O236" s="172">
        <f t="shared" si="599"/>
        <v>4.8000000000000007</v>
      </c>
      <c r="P236" s="217">
        <f t="shared" si="609"/>
        <v>2.6269132431777775</v>
      </c>
      <c r="Q236" s="217">
        <f t="shared" si="610"/>
        <v>24</v>
      </c>
      <c r="R236" s="217"/>
      <c r="S236" s="172">
        <f t="shared" si="611"/>
        <v>944.03257471133293</v>
      </c>
      <c r="T236" s="172">
        <f t="shared" si="612"/>
        <v>24</v>
      </c>
      <c r="U236" s="217">
        <f t="shared" si="613"/>
        <v>0.87275328808362607</v>
      </c>
      <c r="V236" s="217">
        <f t="shared" si="614"/>
        <v>0.2429509793318114</v>
      </c>
      <c r="W236" s="217">
        <f t="shared" si="615"/>
        <v>0.53359245242703124</v>
      </c>
      <c r="X236" s="197">
        <f t="shared" si="616"/>
        <v>350</v>
      </c>
      <c r="Y236" s="443">
        <f t="shared" si="680"/>
        <v>350</v>
      </c>
      <c r="AA236" s="217">
        <f t="shared" si="617"/>
        <v>3.2111286003001851</v>
      </c>
      <c r="AB236" s="173">
        <f t="shared" si="618"/>
        <v>1.9632512512844025</v>
      </c>
      <c r="AC236" s="173">
        <f t="shared" si="619"/>
        <v>0.73586384301450503</v>
      </c>
      <c r="AD236" s="173"/>
      <c r="AE236" s="173">
        <f t="shared" si="620"/>
        <v>1.3586439851714256</v>
      </c>
      <c r="AF236" s="545">
        <f t="shared" si="621"/>
        <v>198.62824287424854</v>
      </c>
      <c r="AG236" s="528">
        <f t="shared" si="622"/>
        <v>0.35241715370918814</v>
      </c>
      <c r="AI236" s="173">
        <f t="shared" si="623"/>
        <v>1.6740713517177086</v>
      </c>
      <c r="AJ236" s="173">
        <f t="shared" si="624"/>
        <v>2.2222222222222223</v>
      </c>
      <c r="AK236" s="173">
        <f t="shared" si="625"/>
        <v>1.1135018530709992</v>
      </c>
      <c r="AM236" s="545">
        <f t="shared" si="626"/>
        <v>200</v>
      </c>
      <c r="AN236" s="460">
        <f t="shared" si="627"/>
        <v>198.62824287424854</v>
      </c>
      <c r="AP236">
        <f t="shared" si="628"/>
        <v>200</v>
      </c>
      <c r="AQ236">
        <f t="shared" si="629"/>
        <v>198.62824287424854</v>
      </c>
      <c r="AS236" s="5">
        <f t="shared" si="600"/>
        <v>5.0345307672741164</v>
      </c>
      <c r="AT236" s="5">
        <f t="shared" si="630"/>
        <v>0.61860673864350013</v>
      </c>
      <c r="AU236" s="5">
        <f t="shared" si="722"/>
        <v>4.4159240286306165</v>
      </c>
      <c r="AV236" s="5"/>
      <c r="AW236" s="173">
        <f t="shared" si="723"/>
        <v>0.12287276952692792</v>
      </c>
      <c r="AX236" s="173">
        <f t="shared" si="631"/>
        <v>4.9044010586234226</v>
      </c>
      <c r="AY236" s="173">
        <f t="shared" si="632"/>
        <v>0.65004873636171012</v>
      </c>
      <c r="AZ236" s="173">
        <f t="shared" si="633"/>
        <v>7.544666706181304</v>
      </c>
      <c r="BA236" s="460">
        <f t="shared" si="594"/>
        <v>0.51550561553625007</v>
      </c>
      <c r="BB236" s="5">
        <f t="shared" si="595"/>
        <v>0.4917096650607572</v>
      </c>
      <c r="BD236" s="173">
        <f t="shared" si="681"/>
        <v>0.44973292399487974</v>
      </c>
      <c r="BE236" s="173">
        <f t="shared" si="682"/>
        <v>0.80146394494192164</v>
      </c>
      <c r="BG236" s="528">
        <f t="shared" si="683"/>
        <v>8.0903881169993707E-3</v>
      </c>
      <c r="BH236" s="528">
        <f t="shared" si="634"/>
        <v>0.51920625686158128</v>
      </c>
      <c r="BI236" s="528">
        <f t="shared" si="635"/>
        <v>0.28541305336829331</v>
      </c>
      <c r="BJ236" s="528">
        <f t="shared" si="684"/>
        <v>9.5002902550176363E-2</v>
      </c>
      <c r="BK236">
        <f t="shared" si="685"/>
        <v>1.6165358983848622E-2</v>
      </c>
      <c r="BL236" s="460">
        <f t="shared" si="686"/>
        <v>301.57841235214192</v>
      </c>
      <c r="BM236" s="528">
        <f t="shared" si="636"/>
        <v>0.62568669497313623</v>
      </c>
      <c r="BN236" s="460">
        <f t="shared" si="687"/>
        <v>625.68669497313624</v>
      </c>
      <c r="BO236" s="528">
        <f t="shared" si="637"/>
        <v>0.13999999999999999</v>
      </c>
      <c r="BR236" s="460">
        <f t="shared" si="688"/>
        <v>139.99999999999997</v>
      </c>
      <c r="BS236" s="528">
        <f t="shared" si="689"/>
        <v>6.0677910877495276E-3</v>
      </c>
      <c r="BT236" s="528">
        <f t="shared" si="690"/>
        <v>1.9270333651256025E-2</v>
      </c>
      <c r="BU236" s="528">
        <f t="shared" si="691"/>
        <v>0.20466388872031446</v>
      </c>
      <c r="BV236" s="528"/>
      <c r="BW236" s="528">
        <f t="shared" si="692"/>
        <v>0.19617604234493688</v>
      </c>
      <c r="BX236" s="460">
        <f t="shared" si="693"/>
        <v>426.17805580425693</v>
      </c>
      <c r="BY236" s="173">
        <f t="shared" si="694"/>
        <v>1.4900560156851559</v>
      </c>
      <c r="BZ236" s="5">
        <f t="shared" si="695"/>
        <v>4.8000000000000007</v>
      </c>
      <c r="CA236" s="173">
        <f t="shared" si="696"/>
        <v>0.76310926135323953</v>
      </c>
      <c r="CB236" s="5">
        <f t="shared" si="697"/>
        <v>76.310926135323953</v>
      </c>
      <c r="CE236" s="562">
        <f t="shared" si="638"/>
        <v>-50</v>
      </c>
      <c r="CF236">
        <f t="shared" si="639"/>
        <v>-50</v>
      </c>
      <c r="CG236" s="173">
        <f t="shared" si="640"/>
        <v>0.27266167135641994</v>
      </c>
      <c r="CI236" s="170">
        <v>20</v>
      </c>
      <c r="CJ236" s="217">
        <f t="shared" si="698"/>
        <v>0.2</v>
      </c>
      <c r="CK236" s="217"/>
      <c r="CL236" s="217">
        <f t="shared" si="641"/>
        <v>4.8000000000000007</v>
      </c>
      <c r="CM236" s="541">
        <f t="shared" si="642"/>
        <v>36</v>
      </c>
      <c r="CN236" s="443">
        <f t="shared" si="643"/>
        <v>16.3415</v>
      </c>
      <c r="CO236" s="443">
        <f t="shared" si="644"/>
        <v>52.341499999999996</v>
      </c>
      <c r="CP236" s="443"/>
      <c r="CQ236" s="217">
        <f t="shared" si="645"/>
        <v>0.31220924123305599</v>
      </c>
      <c r="CR236" s="172">
        <f t="shared" si="646"/>
        <v>63.048783011568261</v>
      </c>
      <c r="CS236" s="172">
        <f t="shared" si="647"/>
        <v>4.8000000000000007</v>
      </c>
      <c r="CT236" s="217">
        <f t="shared" si="648"/>
        <v>2.6270326254820109</v>
      </c>
      <c r="CU236" s="217">
        <f t="shared" si="649"/>
        <v>24</v>
      </c>
      <c r="CV236" s="217"/>
      <c r="CW236" s="172">
        <f t="shared" si="650"/>
        <v>946.05549672811219</v>
      </c>
      <c r="CX236" s="172">
        <f t="shared" si="651"/>
        <v>24</v>
      </c>
      <c r="CY236" s="217">
        <f t="shared" si="652"/>
        <v>0.85412803802180559</v>
      </c>
      <c r="CZ236" s="217">
        <f t="shared" si="653"/>
        <v>0.23725778833939046</v>
      </c>
      <c r="DA236" s="217">
        <f t="shared" si="654"/>
        <v>0.52267419638454582</v>
      </c>
      <c r="DB236" s="197">
        <f t="shared" si="655"/>
        <v>350</v>
      </c>
      <c r="DC236" s="443">
        <f t="shared" si="656"/>
        <v>350</v>
      </c>
      <c r="DE236" s="217">
        <f t="shared" si="657"/>
        <v>3.211295052682861</v>
      </c>
      <c r="DF236" s="173">
        <f t="shared" si="658"/>
        <v>1.96511645361984</v>
      </c>
      <c r="DG236" s="173">
        <f t="shared" si="659"/>
        <v>0.73660113681324435</v>
      </c>
      <c r="DH236" s="173"/>
      <c r="DI236" s="173">
        <f t="shared" si="660"/>
        <v>1.3598642855443031</v>
      </c>
      <c r="DJ236" s="545">
        <f t="shared" si="661"/>
        <v>198.44999999999993</v>
      </c>
      <c r="DK236" s="528">
        <f t="shared" si="662"/>
        <v>0.35273368606701955</v>
      </c>
      <c r="DM236" s="173">
        <f t="shared" si="663"/>
        <v>1.6733200530681511</v>
      </c>
      <c r="DN236" s="173">
        <f t="shared" si="664"/>
        <v>2.2222222222222223</v>
      </c>
      <c r="DO236" s="173">
        <f t="shared" si="665"/>
        <v>1.1133999999999999</v>
      </c>
      <c r="DQ236" s="545">
        <f t="shared" si="666"/>
        <v>200</v>
      </c>
      <c r="DR236" s="460">
        <f t="shared" si="667"/>
        <v>198.44999999999993</v>
      </c>
      <c r="DT236">
        <f t="shared" si="668"/>
        <v>200</v>
      </c>
      <c r="DU236">
        <f t="shared" si="669"/>
        <v>198.44999999999993</v>
      </c>
      <c r="DW236" s="5">
        <f t="shared" si="670"/>
        <v>5.039052658100279</v>
      </c>
      <c r="DX236" s="5">
        <f t="shared" si="671"/>
        <v>0.61728395061728403</v>
      </c>
      <c r="DY236" s="5">
        <f t="shared" si="672"/>
        <v>4.421768707482995</v>
      </c>
      <c r="DZ236" s="5"/>
      <c r="EA236" s="173">
        <f t="shared" si="673"/>
        <v>0.12249999999999997</v>
      </c>
      <c r="EB236" s="173">
        <f t="shared" si="699"/>
        <v>4.8999999999999986</v>
      </c>
      <c r="EC236" s="173">
        <f t="shared" si="700"/>
        <v>0.65032500000000004</v>
      </c>
      <c r="ED236" s="173">
        <f t="shared" si="701"/>
        <v>7.5346941913658529</v>
      </c>
      <c r="EE236" s="460">
        <f t="shared" si="674"/>
        <v>0.51440329218106995</v>
      </c>
      <c r="EF236" s="5">
        <f t="shared" si="675"/>
        <v>0.4913076341647773</v>
      </c>
      <c r="EH236" s="173">
        <f t="shared" si="702"/>
        <v>0.44905020936970891</v>
      </c>
      <c r="EI236" s="173">
        <f t="shared" si="703"/>
        <v>0.80163423357816044</v>
      </c>
      <c r="EK236" s="528">
        <f t="shared" si="704"/>
        <v>8.0658436213991765E-3</v>
      </c>
      <c r="EL236" s="528">
        <f t="shared" si="705"/>
        <v>0.63477154124999979</v>
      </c>
      <c r="EM236" s="528">
        <f t="shared" si="706"/>
        <v>3.9689999999999989E-2</v>
      </c>
      <c r="EN236" s="528">
        <f t="shared" si="707"/>
        <v>9.5144016429964645E-2</v>
      </c>
      <c r="EO236">
        <f t="shared" si="708"/>
        <v>1.6199999999999999E-2</v>
      </c>
      <c r="EP236" s="460">
        <f t="shared" si="709"/>
        <v>55.889999999999986</v>
      </c>
      <c r="EQ236" s="460"/>
      <c r="ER236" s="460">
        <f t="shared" si="710"/>
        <v>793.87140130136356</v>
      </c>
      <c r="ES236" s="528">
        <f t="shared" si="711"/>
        <v>0.13999999999999999</v>
      </c>
      <c r="EV236" s="460">
        <f t="shared" si="712"/>
        <v>139.99999999999997</v>
      </c>
      <c r="EW236" s="528">
        <f t="shared" si="713"/>
        <v>6.049382716049382E-3</v>
      </c>
      <c r="EX236" s="528">
        <f t="shared" si="714"/>
        <v>1.9278523333333339E-2</v>
      </c>
      <c r="EY236" s="528">
        <f t="shared" si="715"/>
        <v>0.20420504999999961</v>
      </c>
      <c r="EZ236" s="528"/>
      <c r="FA236" s="528">
        <f t="shared" si="716"/>
        <v>0.19600000000000001</v>
      </c>
      <c r="FB236" s="460">
        <f t="shared" si="717"/>
        <v>425.53295604938234</v>
      </c>
      <c r="FC236" s="173">
        <f t="shared" si="718"/>
        <v>1.3594043573507459</v>
      </c>
      <c r="FD236" s="5">
        <f t="shared" si="719"/>
        <v>4.8000000000000007</v>
      </c>
      <c r="FE236" s="173">
        <f t="shared" si="720"/>
        <v>0.77929613344374649</v>
      </c>
      <c r="FF236" s="5">
        <f t="shared" si="721"/>
        <v>77.929613344374644</v>
      </c>
      <c r="FI236" s="562">
        <f t="shared" si="676"/>
        <v>-50</v>
      </c>
      <c r="FJ236">
        <f t="shared" si="677"/>
        <v>-50</v>
      </c>
      <c r="FL236">
        <f t="shared" si="678"/>
        <v>0.26986506746626682</v>
      </c>
    </row>
    <row r="237" spans="5:168">
      <c r="E237" s="170">
        <v>21</v>
      </c>
      <c r="F237" s="217">
        <f t="shared" si="679"/>
        <v>0.21</v>
      </c>
      <c r="G237" s="217"/>
      <c r="H237" s="217">
        <f t="shared" si="603"/>
        <v>5.04</v>
      </c>
      <c r="I237" s="541">
        <f t="shared" si="604"/>
        <v>35.92301996410805</v>
      </c>
      <c r="J237" s="172">
        <f t="shared" si="605"/>
        <v>16.356177530509115</v>
      </c>
      <c r="K237" s="172">
        <f t="shared" si="606"/>
        <v>52.279197494617165</v>
      </c>
      <c r="L237" s="443"/>
      <c r="M237" s="217">
        <f t="shared" si="607"/>
        <v>0.3128640612264586</v>
      </c>
      <c r="N237" s="172">
        <f t="shared" si="608"/>
        <v>63.045917836266661</v>
      </c>
      <c r="O237" s="172">
        <f t="shared" si="599"/>
        <v>5.04</v>
      </c>
      <c r="P237" s="217">
        <f t="shared" si="609"/>
        <v>2.6269132431777775</v>
      </c>
      <c r="Q237" s="217">
        <f t="shared" si="610"/>
        <v>24</v>
      </c>
      <c r="R237" s="217"/>
      <c r="S237" s="172">
        <f t="shared" si="611"/>
        <v>896.51686274436781</v>
      </c>
      <c r="T237" s="172">
        <f t="shared" si="612"/>
        <v>24</v>
      </c>
      <c r="U237" s="217">
        <f t="shared" si="613"/>
        <v>0.91639095248780722</v>
      </c>
      <c r="V237" s="217">
        <f t="shared" si="614"/>
        <v>0.25509852829840191</v>
      </c>
      <c r="W237" s="217">
        <f t="shared" si="615"/>
        <v>0.56027207504838261</v>
      </c>
      <c r="X237" s="197">
        <f t="shared" si="616"/>
        <v>350</v>
      </c>
      <c r="Y237" s="443">
        <f t="shared" si="680"/>
        <v>350</v>
      </c>
      <c r="AA237" s="217">
        <f t="shared" si="617"/>
        <v>3.2111286003001851</v>
      </c>
      <c r="AB237" s="173">
        <f t="shared" si="618"/>
        <v>1.9632512512844025</v>
      </c>
      <c r="AC237" s="173">
        <f t="shared" si="619"/>
        <v>0.73586384301450503</v>
      </c>
      <c r="AD237" s="173"/>
      <c r="AE237" s="173">
        <f t="shared" si="620"/>
        <v>1.3586439851714256</v>
      </c>
      <c r="AF237" s="545">
        <f t="shared" si="621"/>
        <v>208.55965501796095</v>
      </c>
      <c r="AG237" s="528">
        <f t="shared" si="622"/>
        <v>0.35241715370918814</v>
      </c>
      <c r="AI237" s="173">
        <f t="shared" si="623"/>
        <v>1.7154126719754792</v>
      </c>
      <c r="AJ237" s="173">
        <f t="shared" si="624"/>
        <v>2.2222222222222223</v>
      </c>
      <c r="AK237" s="173">
        <f t="shared" si="625"/>
        <v>1.1191769457245491</v>
      </c>
      <c r="AM237" s="545">
        <f t="shared" si="626"/>
        <v>210</v>
      </c>
      <c r="AN237" s="460">
        <f t="shared" si="627"/>
        <v>208.55965501796095</v>
      </c>
      <c r="AP237">
        <f t="shared" si="628"/>
        <v>210</v>
      </c>
      <c r="AQ237">
        <f t="shared" si="629"/>
        <v>208.55965501796095</v>
      </c>
      <c r="AS237" s="5">
        <f t="shared" si="600"/>
        <v>4.7947912069277301</v>
      </c>
      <c r="AT237" s="5">
        <f t="shared" si="630"/>
        <v>0.61860673864350013</v>
      </c>
      <c r="AU237" s="5">
        <f t="shared" si="722"/>
        <v>4.1761844682842302</v>
      </c>
      <c r="AV237" s="5"/>
      <c r="AW237" s="173">
        <f t="shared" si="723"/>
        <v>0.12901640800327432</v>
      </c>
      <c r="AX237" s="173">
        <f t="shared" si="631"/>
        <v>5.1496211115545929</v>
      </c>
      <c r="AY237" s="173">
        <f t="shared" si="632"/>
        <v>0.64549561762424013</v>
      </c>
      <c r="AZ237" s="173">
        <f t="shared" si="633"/>
        <v>7.9777785796716625</v>
      </c>
      <c r="BA237" s="460">
        <f t="shared" si="594"/>
        <v>0.54128089631306253</v>
      </c>
      <c r="BB237" s="5">
        <f t="shared" si="595"/>
        <v>0.48826559638690087</v>
      </c>
      <c r="BD237" s="173">
        <f t="shared" si="681"/>
        <v>0.46083911300065827</v>
      </c>
      <c r="BE237" s="173">
        <f t="shared" si="682"/>
        <v>0.79865217660326837</v>
      </c>
      <c r="BG237" s="528">
        <f t="shared" si="683"/>
        <v>8.4949075228493397E-3</v>
      </c>
      <c r="BH237" s="528">
        <f t="shared" si="634"/>
        <v>0.54516656970466026</v>
      </c>
      <c r="BI237" s="528">
        <f t="shared" si="635"/>
        <v>0.29968370603670796</v>
      </c>
      <c r="BJ237" s="528">
        <f t="shared" si="684"/>
        <v>9.9753047677685169E-2</v>
      </c>
      <c r="BK237">
        <f t="shared" si="685"/>
        <v>1.6165358983848622E-2</v>
      </c>
      <c r="BL237" s="460">
        <f t="shared" si="686"/>
        <v>315.84906502055662</v>
      </c>
      <c r="BM237" s="528">
        <f t="shared" si="636"/>
        <v>0.6570343014180251</v>
      </c>
      <c r="BN237" s="460">
        <f t="shared" si="687"/>
        <v>657.03430141802505</v>
      </c>
      <c r="BO237" s="528">
        <f t="shared" si="637"/>
        <v>0.14699999999999999</v>
      </c>
      <c r="BR237" s="460">
        <f t="shared" si="688"/>
        <v>147</v>
      </c>
      <c r="BS237" s="528">
        <f t="shared" si="689"/>
        <v>6.3711806421370048E-3</v>
      </c>
      <c r="BT237" s="528">
        <f t="shared" si="690"/>
        <v>1.9135358975794145E-2</v>
      </c>
      <c r="BU237" s="528">
        <f t="shared" si="691"/>
        <v>0.23121418223938037</v>
      </c>
      <c r="BV237" s="528"/>
      <c r="BW237" s="528">
        <f t="shared" si="692"/>
        <v>0.20598484446218371</v>
      </c>
      <c r="BX237" s="460">
        <f t="shared" si="693"/>
        <v>462.70556631949523</v>
      </c>
      <c r="BY237" s="173">
        <f t="shared" si="694"/>
        <v>1.5789691562452464</v>
      </c>
      <c r="BZ237" s="5">
        <f t="shared" si="695"/>
        <v>5.04</v>
      </c>
      <c r="CA237" s="173">
        <f t="shared" si="696"/>
        <v>0.76144787519436785</v>
      </c>
      <c r="CB237" s="5">
        <f t="shared" si="697"/>
        <v>76.14478751943679</v>
      </c>
      <c r="CE237" s="562">
        <f t="shared" si="638"/>
        <v>-50</v>
      </c>
      <c r="CF237">
        <f t="shared" si="639"/>
        <v>-50</v>
      </c>
      <c r="CG237" s="173">
        <f t="shared" si="640"/>
        <v>0.28629475492424089</v>
      </c>
      <c r="CI237" s="170">
        <v>21</v>
      </c>
      <c r="CJ237" s="217">
        <f t="shared" si="698"/>
        <v>0.21</v>
      </c>
      <c r="CK237" s="217"/>
      <c r="CL237" s="217">
        <f t="shared" si="641"/>
        <v>5.04</v>
      </c>
      <c r="CM237" s="541">
        <f t="shared" si="642"/>
        <v>36</v>
      </c>
      <c r="CN237" s="443">
        <f t="shared" si="643"/>
        <v>16.3415</v>
      </c>
      <c r="CO237" s="443">
        <f t="shared" si="644"/>
        <v>52.341499999999996</v>
      </c>
      <c r="CP237" s="443"/>
      <c r="CQ237" s="217">
        <f t="shared" si="645"/>
        <v>0.31220924123305599</v>
      </c>
      <c r="CR237" s="172">
        <f t="shared" si="646"/>
        <v>63.048783011568261</v>
      </c>
      <c r="CS237" s="172">
        <f t="shared" si="647"/>
        <v>5.04</v>
      </c>
      <c r="CT237" s="217">
        <f t="shared" si="648"/>
        <v>2.6270326254820109</v>
      </c>
      <c r="CU237" s="217">
        <f t="shared" si="649"/>
        <v>24</v>
      </c>
      <c r="CV237" s="217"/>
      <c r="CW237" s="172">
        <f t="shared" si="650"/>
        <v>898.43795932066303</v>
      </c>
      <c r="CX237" s="172">
        <f t="shared" si="651"/>
        <v>24</v>
      </c>
      <c r="CY237" s="217">
        <f t="shared" si="652"/>
        <v>0.89683443992289569</v>
      </c>
      <c r="CZ237" s="217">
        <f t="shared" si="653"/>
        <v>0.24912067775635993</v>
      </c>
      <c r="DA237" s="217">
        <f t="shared" si="654"/>
        <v>0.54880790620377307</v>
      </c>
      <c r="DB237" s="197">
        <f t="shared" si="655"/>
        <v>350</v>
      </c>
      <c r="DC237" s="443">
        <f t="shared" si="656"/>
        <v>350</v>
      </c>
      <c r="DE237" s="217">
        <f t="shared" si="657"/>
        <v>3.211295052682861</v>
      </c>
      <c r="DF237" s="173">
        <f t="shared" si="658"/>
        <v>1.96511645361984</v>
      </c>
      <c r="DG237" s="173">
        <f t="shared" si="659"/>
        <v>0.73660113681324435</v>
      </c>
      <c r="DH237" s="173"/>
      <c r="DI237" s="173">
        <f t="shared" si="660"/>
        <v>1.3598642855443031</v>
      </c>
      <c r="DJ237" s="545">
        <f t="shared" si="661"/>
        <v>208.37249999999995</v>
      </c>
      <c r="DK237" s="528">
        <f t="shared" si="662"/>
        <v>0.35273368606701955</v>
      </c>
      <c r="DM237" s="173">
        <f t="shared" si="663"/>
        <v>1.7146428199482244</v>
      </c>
      <c r="DN237" s="173">
        <f t="shared" si="664"/>
        <v>2.2222222222222223</v>
      </c>
      <c r="DO237" s="173">
        <f t="shared" si="665"/>
        <v>1.11907</v>
      </c>
      <c r="DQ237" s="545">
        <f t="shared" si="666"/>
        <v>210</v>
      </c>
      <c r="DR237" s="460">
        <f t="shared" si="667"/>
        <v>208.37249999999995</v>
      </c>
      <c r="DT237">
        <f t="shared" si="668"/>
        <v>210</v>
      </c>
      <c r="DU237">
        <f t="shared" si="669"/>
        <v>208.37249999999995</v>
      </c>
      <c r="DW237" s="5">
        <f t="shared" si="670"/>
        <v>4.7990977696193129</v>
      </c>
      <c r="DX237" s="5">
        <f t="shared" si="671"/>
        <v>0.61728395061728403</v>
      </c>
      <c r="DY237" s="5">
        <f t="shared" si="672"/>
        <v>4.1818138190020289</v>
      </c>
      <c r="DZ237" s="5"/>
      <c r="EA237" s="173">
        <f t="shared" si="673"/>
        <v>0.12862499999999999</v>
      </c>
      <c r="EB237" s="173">
        <f t="shared" si="699"/>
        <v>5.1449999999999996</v>
      </c>
      <c r="EC237" s="173">
        <f t="shared" si="700"/>
        <v>0.64578569444444445</v>
      </c>
      <c r="ED237" s="173">
        <f t="shared" si="701"/>
        <v>7.96703928913466</v>
      </c>
      <c r="EE237" s="460">
        <f t="shared" si="674"/>
        <v>0.54012345679012352</v>
      </c>
      <c r="EF237" s="5">
        <f t="shared" si="675"/>
        <v>0.48787827888356999</v>
      </c>
      <c r="EH237" s="173">
        <f t="shared" si="702"/>
        <v>0.46013953868552565</v>
      </c>
      <c r="EI237" s="173">
        <f t="shared" si="703"/>
        <v>0.79883160807885134</v>
      </c>
      <c r="EK237" s="528">
        <f t="shared" si="704"/>
        <v>8.4691358024691337E-3</v>
      </c>
      <c r="EL237" s="528">
        <f t="shared" si="705"/>
        <v>0.66651011831249996</v>
      </c>
      <c r="EM237" s="528">
        <f t="shared" si="706"/>
        <v>4.1674499999999989E-2</v>
      </c>
      <c r="EN237" s="528">
        <f t="shared" si="707"/>
        <v>9.9901217251462879E-2</v>
      </c>
      <c r="EO237">
        <f t="shared" si="708"/>
        <v>1.6199999999999999E-2</v>
      </c>
      <c r="EP237" s="460">
        <f t="shared" si="709"/>
        <v>57.874499999999991</v>
      </c>
      <c r="EQ237" s="460"/>
      <c r="ER237" s="460">
        <f t="shared" si="710"/>
        <v>832.75497136643185</v>
      </c>
      <c r="ES237" s="528">
        <f t="shared" si="711"/>
        <v>0.14699999999999999</v>
      </c>
      <c r="EV237" s="460">
        <f t="shared" si="712"/>
        <v>147</v>
      </c>
      <c r="EW237" s="528">
        <f t="shared" si="713"/>
        <v>6.3518518518518507E-3</v>
      </c>
      <c r="EX237" s="528">
        <f t="shared" si="714"/>
        <v>1.9143958141975306E-2</v>
      </c>
      <c r="EY237" s="528">
        <f t="shared" si="715"/>
        <v>0.23069582005951225</v>
      </c>
      <c r="EZ237" s="528"/>
      <c r="FA237" s="528">
        <f t="shared" si="716"/>
        <v>0.20579999999999998</v>
      </c>
      <c r="FB237" s="460">
        <f t="shared" si="717"/>
        <v>461.99163005333935</v>
      </c>
      <c r="FC237" s="173">
        <f t="shared" si="718"/>
        <v>1.4417466014197711</v>
      </c>
      <c r="FD237" s="5">
        <f t="shared" si="719"/>
        <v>5.04</v>
      </c>
      <c r="FE237" s="173">
        <f t="shared" si="720"/>
        <v>0.77756819418025869</v>
      </c>
      <c r="FF237" s="5">
        <f t="shared" si="721"/>
        <v>77.75681941802587</v>
      </c>
      <c r="FI237" s="562">
        <f t="shared" si="676"/>
        <v>-50</v>
      </c>
      <c r="FJ237">
        <f t="shared" si="677"/>
        <v>-50</v>
      </c>
      <c r="FL237">
        <f t="shared" si="678"/>
        <v>0.28335832083958018</v>
      </c>
    </row>
    <row r="238" spans="5:168">
      <c r="E238" s="170">
        <v>22</v>
      </c>
      <c r="F238" s="217">
        <f t="shared" si="679"/>
        <v>0.22</v>
      </c>
      <c r="G238" s="217"/>
      <c r="H238" s="217">
        <f t="shared" si="603"/>
        <v>5.28</v>
      </c>
      <c r="I238" s="541">
        <f t="shared" si="604"/>
        <v>35.92301996410805</v>
      </c>
      <c r="J238" s="172">
        <f t="shared" si="605"/>
        <v>16.356177530509115</v>
      </c>
      <c r="K238" s="172">
        <f t="shared" si="606"/>
        <v>52.279197494617165</v>
      </c>
      <c r="L238" s="443"/>
      <c r="M238" s="217">
        <f t="shared" si="607"/>
        <v>0.3128640612264586</v>
      </c>
      <c r="N238" s="172">
        <f t="shared" si="608"/>
        <v>63.045917836266661</v>
      </c>
      <c r="O238" s="172">
        <f t="shared" si="599"/>
        <v>5.28</v>
      </c>
      <c r="P238" s="217">
        <f t="shared" si="609"/>
        <v>2.6269132431777775</v>
      </c>
      <c r="Q238" s="217">
        <f t="shared" si="610"/>
        <v>24</v>
      </c>
      <c r="R238" s="217"/>
      <c r="S238" s="172">
        <f t="shared" si="611"/>
        <v>853.32090681249213</v>
      </c>
      <c r="T238" s="172">
        <f t="shared" si="612"/>
        <v>24</v>
      </c>
      <c r="U238" s="217">
        <f t="shared" si="613"/>
        <v>0.96002861689198848</v>
      </c>
      <c r="V238" s="217">
        <f t="shared" si="614"/>
        <v>0.26724607726499244</v>
      </c>
      <c r="W238" s="217">
        <f t="shared" si="615"/>
        <v>0.58695169766973421</v>
      </c>
      <c r="X238" s="197">
        <f t="shared" si="616"/>
        <v>350</v>
      </c>
      <c r="Y238" s="443">
        <f t="shared" si="680"/>
        <v>350</v>
      </c>
      <c r="AA238" s="217">
        <f t="shared" si="617"/>
        <v>3.2111286003001851</v>
      </c>
      <c r="AB238" s="173">
        <f t="shared" si="618"/>
        <v>1.9632512512844025</v>
      </c>
      <c r="AC238" s="173">
        <f t="shared" si="619"/>
        <v>0.73586384301450503</v>
      </c>
      <c r="AD238" s="173"/>
      <c r="AE238" s="173">
        <f t="shared" si="620"/>
        <v>1.3586439851714256</v>
      </c>
      <c r="AF238" s="545">
        <f t="shared" si="621"/>
        <v>218.49106716167339</v>
      </c>
      <c r="AG238" s="528">
        <f t="shared" si="622"/>
        <v>0.35241715370918814</v>
      </c>
      <c r="AI238" s="173">
        <f t="shared" si="623"/>
        <v>1.7557808461496984</v>
      </c>
      <c r="AJ238" s="173">
        <f t="shared" si="624"/>
        <v>2.2222222222222223</v>
      </c>
      <c r="AK238" s="173">
        <f t="shared" si="625"/>
        <v>1.1248520383780991</v>
      </c>
      <c r="AM238" s="545">
        <f t="shared" si="626"/>
        <v>220</v>
      </c>
      <c r="AN238" s="460">
        <f t="shared" si="627"/>
        <v>218.49106716167339</v>
      </c>
      <c r="AP238">
        <f t="shared" si="628"/>
        <v>220</v>
      </c>
      <c r="AQ238">
        <f t="shared" si="629"/>
        <v>218.49106716167339</v>
      </c>
      <c r="AS238" s="5">
        <f t="shared" si="600"/>
        <v>4.5768461520673789</v>
      </c>
      <c r="AT238" s="5">
        <f t="shared" si="630"/>
        <v>0.61860673864350013</v>
      </c>
      <c r="AU238" s="5">
        <f t="shared" si="722"/>
        <v>3.958239413423879</v>
      </c>
      <c r="AV238" s="5"/>
      <c r="AW238" s="173">
        <f t="shared" si="723"/>
        <v>0.13516004647962071</v>
      </c>
      <c r="AX238" s="173">
        <f t="shared" si="631"/>
        <v>5.3948411644857632</v>
      </c>
      <c r="AY238" s="173">
        <f t="shared" si="632"/>
        <v>0.64094249888677002</v>
      </c>
      <c r="AZ238" s="173">
        <f t="shared" si="633"/>
        <v>8.417043921811814</v>
      </c>
      <c r="BA238" s="460">
        <f t="shared" si="594"/>
        <v>0.5670561770898751</v>
      </c>
      <c r="BB238" s="5">
        <f t="shared" si="595"/>
        <v>0.4848215277130446</v>
      </c>
      <c r="BD238" s="173">
        <f t="shared" si="681"/>
        <v>0.47168386999926409</v>
      </c>
      <c r="BE238" s="173">
        <f t="shared" si="682"/>
        <v>0.79583047399833118</v>
      </c>
      <c r="BG238" s="528">
        <f t="shared" si="683"/>
        <v>8.8994269286993069E-3</v>
      </c>
      <c r="BH238" s="528">
        <f t="shared" si="634"/>
        <v>0.57112688254773925</v>
      </c>
      <c r="BI238" s="528">
        <f t="shared" si="635"/>
        <v>0.31395435870512262</v>
      </c>
      <c r="BJ238" s="528">
        <f t="shared" si="684"/>
        <v>0.10450319280519398</v>
      </c>
      <c r="BK238">
        <f t="shared" si="685"/>
        <v>1.6165358983848622E-2</v>
      </c>
      <c r="BL238" s="460">
        <f t="shared" si="686"/>
        <v>330.11971768897126</v>
      </c>
      <c r="BM238" s="528">
        <f t="shared" si="636"/>
        <v>0.68838794650748258</v>
      </c>
      <c r="BN238" s="460">
        <f t="shared" si="687"/>
        <v>688.38794650748264</v>
      </c>
      <c r="BO238" s="528">
        <f t="shared" si="637"/>
        <v>0.154</v>
      </c>
      <c r="BR238" s="460">
        <f t="shared" si="688"/>
        <v>154</v>
      </c>
      <c r="BS238" s="528">
        <f t="shared" si="689"/>
        <v>6.6745701965244793E-3</v>
      </c>
      <c r="BT238" s="528">
        <f t="shared" si="690"/>
        <v>1.9000384300332254E-2</v>
      </c>
      <c r="BU238" s="528">
        <f t="shared" si="691"/>
        <v>0.25973048984284031</v>
      </c>
      <c r="BV238" s="528"/>
      <c r="BW238" s="528">
        <f t="shared" si="692"/>
        <v>0.21579364657943056</v>
      </c>
      <c r="BX238" s="460">
        <f t="shared" si="693"/>
        <v>501.19909091912763</v>
      </c>
      <c r="BY238" s="173">
        <f t="shared" si="694"/>
        <v>1.6698483108897313</v>
      </c>
      <c r="BZ238" s="5">
        <f t="shared" si="695"/>
        <v>5.28</v>
      </c>
      <c r="CA238" s="173">
        <f t="shared" si="696"/>
        <v>0.75972881188309649</v>
      </c>
      <c r="CB238" s="5">
        <f t="shared" si="697"/>
        <v>75.972881188309643</v>
      </c>
      <c r="CE238" s="562">
        <f t="shared" si="638"/>
        <v>-50</v>
      </c>
      <c r="CF238">
        <f t="shared" si="639"/>
        <v>-50</v>
      </c>
      <c r="CG238" s="173">
        <f t="shared" si="640"/>
        <v>0.29992783849206189</v>
      </c>
      <c r="CI238" s="170">
        <v>22</v>
      </c>
      <c r="CJ238" s="217">
        <f t="shared" si="698"/>
        <v>0.22</v>
      </c>
      <c r="CK238" s="217"/>
      <c r="CL238" s="217">
        <f t="shared" si="641"/>
        <v>5.28</v>
      </c>
      <c r="CM238" s="541">
        <f t="shared" si="642"/>
        <v>36</v>
      </c>
      <c r="CN238" s="443">
        <f t="shared" si="643"/>
        <v>16.3415</v>
      </c>
      <c r="CO238" s="443">
        <f t="shared" si="644"/>
        <v>52.341499999999996</v>
      </c>
      <c r="CP238" s="443"/>
      <c r="CQ238" s="217">
        <f t="shared" si="645"/>
        <v>0.31220924123305599</v>
      </c>
      <c r="CR238" s="172">
        <f t="shared" si="646"/>
        <v>63.048783011568261</v>
      </c>
      <c r="CS238" s="172">
        <f t="shared" si="647"/>
        <v>5.28</v>
      </c>
      <c r="CT238" s="217">
        <f t="shared" si="648"/>
        <v>2.6270326254820109</v>
      </c>
      <c r="CU238" s="217">
        <f t="shared" si="649"/>
        <v>24</v>
      </c>
      <c r="CV238" s="217"/>
      <c r="CW238" s="172">
        <f t="shared" si="650"/>
        <v>855.14943480711327</v>
      </c>
      <c r="CX238" s="172">
        <f t="shared" si="651"/>
        <v>24</v>
      </c>
      <c r="CY238" s="217">
        <f t="shared" si="652"/>
        <v>0.93954084182398601</v>
      </c>
      <c r="CZ238" s="217">
        <f t="shared" si="653"/>
        <v>0.26098356717332949</v>
      </c>
      <c r="DA238" s="217">
        <f t="shared" si="654"/>
        <v>0.57494161602300042</v>
      </c>
      <c r="DB238" s="197">
        <f t="shared" si="655"/>
        <v>350</v>
      </c>
      <c r="DC238" s="443">
        <f t="shared" si="656"/>
        <v>350</v>
      </c>
      <c r="DE238" s="217">
        <f t="shared" si="657"/>
        <v>3.211295052682861</v>
      </c>
      <c r="DF238" s="173">
        <f t="shared" si="658"/>
        <v>1.96511645361984</v>
      </c>
      <c r="DG238" s="173">
        <f t="shared" si="659"/>
        <v>0.73660113681324435</v>
      </c>
      <c r="DH238" s="173"/>
      <c r="DI238" s="173">
        <f t="shared" si="660"/>
        <v>1.3598642855443031</v>
      </c>
      <c r="DJ238" s="545">
        <f t="shared" si="661"/>
        <v>218.29499999999993</v>
      </c>
      <c r="DK238" s="528">
        <f t="shared" si="662"/>
        <v>0.35273368606701955</v>
      </c>
      <c r="DM238" s="173">
        <f t="shared" si="663"/>
        <v>1.7549928774784243</v>
      </c>
      <c r="DN238" s="173">
        <f t="shared" si="664"/>
        <v>2.2222222222222223</v>
      </c>
      <c r="DO238" s="173">
        <f t="shared" si="665"/>
        <v>1.1247400000000001</v>
      </c>
      <c r="DQ238" s="545">
        <f t="shared" si="666"/>
        <v>220</v>
      </c>
      <c r="DR238" s="460">
        <f t="shared" si="667"/>
        <v>218.29499999999993</v>
      </c>
      <c r="DT238">
        <f t="shared" si="668"/>
        <v>220</v>
      </c>
      <c r="DU238">
        <f t="shared" si="669"/>
        <v>218.29499999999993</v>
      </c>
      <c r="DW238" s="5">
        <f t="shared" si="670"/>
        <v>4.5809569619093446</v>
      </c>
      <c r="DX238" s="5">
        <f t="shared" si="671"/>
        <v>0.61728395061728403</v>
      </c>
      <c r="DY238" s="5">
        <f t="shared" si="672"/>
        <v>3.9636730112920606</v>
      </c>
      <c r="DZ238" s="5"/>
      <c r="EA238" s="173">
        <f t="shared" si="673"/>
        <v>0.13474999999999995</v>
      </c>
      <c r="EB238" s="173">
        <f t="shared" si="699"/>
        <v>5.39</v>
      </c>
      <c r="EC238" s="173">
        <f t="shared" si="700"/>
        <v>0.64124638888888896</v>
      </c>
      <c r="ED238" s="173">
        <f t="shared" si="701"/>
        <v>8.4055054241154465</v>
      </c>
      <c r="EE238" s="460">
        <f t="shared" si="674"/>
        <v>0.56584362139917699</v>
      </c>
      <c r="EF238" s="5">
        <f t="shared" si="675"/>
        <v>0.48444892360236286</v>
      </c>
      <c r="EH238" s="173">
        <f t="shared" si="702"/>
        <v>0.4709678328596098</v>
      </c>
      <c r="EI238" s="173">
        <f t="shared" si="703"/>
        <v>0.79601911515191837</v>
      </c>
      <c r="EK238" s="528">
        <f t="shared" si="704"/>
        <v>8.8724279835390944E-3</v>
      </c>
      <c r="EL238" s="528">
        <f t="shared" si="705"/>
        <v>0.69824869537499978</v>
      </c>
      <c r="EM238" s="528">
        <f t="shared" si="706"/>
        <v>4.3658999999999983E-2</v>
      </c>
      <c r="EN238" s="528">
        <f t="shared" si="707"/>
        <v>0.10465841807296111</v>
      </c>
      <c r="EO238">
        <f t="shared" si="708"/>
        <v>1.6199999999999999E-2</v>
      </c>
      <c r="EP238" s="460">
        <f t="shared" si="709"/>
        <v>59.85899999999998</v>
      </c>
      <c r="EQ238" s="460"/>
      <c r="ER238" s="460">
        <f t="shared" si="710"/>
        <v>871.63854143150002</v>
      </c>
      <c r="ES238" s="528">
        <f t="shared" si="711"/>
        <v>0.154</v>
      </c>
      <c r="EV238" s="460">
        <f t="shared" si="712"/>
        <v>154</v>
      </c>
      <c r="EW238" s="528">
        <f t="shared" si="713"/>
        <v>6.6543209876543203E-3</v>
      </c>
      <c r="EX238" s="528">
        <f t="shared" si="714"/>
        <v>1.9009392950617293E-2</v>
      </c>
      <c r="EY238" s="528">
        <f t="shared" si="715"/>
        <v>0.25914819657004373</v>
      </c>
      <c r="EZ238" s="528"/>
      <c r="FA238" s="528">
        <f t="shared" si="716"/>
        <v>0.21559999999999999</v>
      </c>
      <c r="FB238" s="460">
        <f t="shared" si="717"/>
        <v>500.41191050831537</v>
      </c>
      <c r="FC238" s="173">
        <f t="shared" si="718"/>
        <v>1.5260504519398153</v>
      </c>
      <c r="FD238" s="5">
        <f t="shared" si="719"/>
        <v>5.28</v>
      </c>
      <c r="FE238" s="173">
        <f t="shared" si="720"/>
        <v>0.77578032036114719</v>
      </c>
      <c r="FF238" s="5">
        <f t="shared" si="721"/>
        <v>77.57803203611472</v>
      </c>
      <c r="FI238" s="562">
        <f t="shared" si="676"/>
        <v>-50</v>
      </c>
      <c r="FJ238">
        <f t="shared" si="677"/>
        <v>-50</v>
      </c>
      <c r="FL238">
        <f t="shared" si="678"/>
        <v>0.29685157421289349</v>
      </c>
    </row>
    <row r="239" spans="5:168">
      <c r="E239" s="170">
        <v>23</v>
      </c>
      <c r="F239" s="217">
        <f t="shared" si="679"/>
        <v>0.23</v>
      </c>
      <c r="G239" s="217"/>
      <c r="H239" s="217">
        <f t="shared" si="603"/>
        <v>5.5200000000000005</v>
      </c>
      <c r="I239" s="541">
        <f t="shared" si="604"/>
        <v>35.92301996410805</v>
      </c>
      <c r="J239" s="172">
        <f t="shared" si="605"/>
        <v>16.356177530509115</v>
      </c>
      <c r="K239" s="172">
        <f t="shared" si="606"/>
        <v>52.279197494617165</v>
      </c>
      <c r="L239" s="443"/>
      <c r="M239" s="217">
        <f t="shared" si="607"/>
        <v>0.3128640612264586</v>
      </c>
      <c r="N239" s="172">
        <f t="shared" si="608"/>
        <v>63.045917836266661</v>
      </c>
      <c r="O239" s="172">
        <f t="shared" si="599"/>
        <v>5.5200000000000005</v>
      </c>
      <c r="P239" s="217">
        <f t="shared" si="609"/>
        <v>2.6269132431777775</v>
      </c>
      <c r="Q239" s="217">
        <f t="shared" si="610"/>
        <v>24</v>
      </c>
      <c r="R239" s="217"/>
      <c r="S239" s="172">
        <f t="shared" si="611"/>
        <v>813.88126166575296</v>
      </c>
      <c r="T239" s="172">
        <f t="shared" si="612"/>
        <v>24</v>
      </c>
      <c r="U239" s="217">
        <f t="shared" si="613"/>
        <v>1.0036662812961701</v>
      </c>
      <c r="V239" s="217">
        <f t="shared" si="614"/>
        <v>0.27939362623158309</v>
      </c>
      <c r="W239" s="217">
        <f t="shared" si="615"/>
        <v>0.61363132029108602</v>
      </c>
      <c r="X239" s="197">
        <f t="shared" si="616"/>
        <v>350</v>
      </c>
      <c r="Y239" s="443">
        <f t="shared" si="680"/>
        <v>350</v>
      </c>
      <c r="AA239" s="217">
        <f t="shared" si="617"/>
        <v>3.2111286003001851</v>
      </c>
      <c r="AB239" s="173">
        <f t="shared" si="618"/>
        <v>1.9632512512844025</v>
      </c>
      <c r="AC239" s="173">
        <f t="shared" si="619"/>
        <v>0.73586384301450503</v>
      </c>
      <c r="AD239" s="173"/>
      <c r="AE239" s="173">
        <f t="shared" si="620"/>
        <v>1.3586439851714256</v>
      </c>
      <c r="AF239" s="545">
        <f t="shared" si="621"/>
        <v>228.42247930538582</v>
      </c>
      <c r="AG239" s="528">
        <f t="shared" si="622"/>
        <v>0.35241715370918814</v>
      </c>
      <c r="AI239" s="173">
        <f t="shared" si="623"/>
        <v>1.7952415225362433</v>
      </c>
      <c r="AJ239" s="173">
        <f t="shared" si="624"/>
        <v>2.2222222222222223</v>
      </c>
      <c r="AK239" s="173">
        <f t="shared" si="625"/>
        <v>1.1305271310316489</v>
      </c>
      <c r="AM239" s="545">
        <f t="shared" si="626"/>
        <v>230</v>
      </c>
      <c r="AN239" s="460">
        <f t="shared" si="627"/>
        <v>228.42247930538582</v>
      </c>
      <c r="AP239">
        <f t="shared" si="628"/>
        <v>230</v>
      </c>
      <c r="AQ239">
        <f t="shared" si="629"/>
        <v>228.42247930538582</v>
      </c>
      <c r="AS239" s="5">
        <f t="shared" si="600"/>
        <v>4.3778528411079272</v>
      </c>
      <c r="AT239" s="5">
        <f t="shared" si="630"/>
        <v>0.61860673864350013</v>
      </c>
      <c r="AU239" s="5">
        <f t="shared" si="722"/>
        <v>3.7592461024644273</v>
      </c>
      <c r="AV239" s="5"/>
      <c r="AW239" s="173">
        <f t="shared" si="723"/>
        <v>0.14130368495596712</v>
      </c>
      <c r="AX239" s="173">
        <f t="shared" si="631"/>
        <v>5.6400612174169353</v>
      </c>
      <c r="AY239" s="173">
        <f t="shared" si="632"/>
        <v>0.63638938014930002</v>
      </c>
      <c r="AZ239" s="173">
        <f t="shared" si="633"/>
        <v>8.8625948096332934</v>
      </c>
      <c r="BA239" s="460">
        <f t="shared" si="594"/>
        <v>0.59283145786668767</v>
      </c>
      <c r="BB239" s="5">
        <f t="shared" si="595"/>
        <v>0.48137745903918833</v>
      </c>
      <c r="BD239" s="173">
        <f t="shared" si="681"/>
        <v>0.48228483115658111</v>
      </c>
      <c r="BE239" s="173">
        <f t="shared" si="682"/>
        <v>0.79299873108074947</v>
      </c>
      <c r="BG239" s="528">
        <f t="shared" si="683"/>
        <v>9.3039463345492776E-3</v>
      </c>
      <c r="BH239" s="528">
        <f t="shared" si="634"/>
        <v>0.59708719539081845</v>
      </c>
      <c r="BI239" s="528">
        <f t="shared" si="635"/>
        <v>0.32822501137353727</v>
      </c>
      <c r="BJ239" s="528">
        <f t="shared" si="684"/>
        <v>0.10925333793270281</v>
      </c>
      <c r="BK239">
        <f t="shared" si="685"/>
        <v>1.6165358983848622E-2</v>
      </c>
      <c r="BL239" s="460">
        <f t="shared" si="686"/>
        <v>344.3903703573859</v>
      </c>
      <c r="BM239" s="528">
        <f t="shared" si="636"/>
        <v>0.71974763198655833</v>
      </c>
      <c r="BN239" s="460">
        <f t="shared" si="687"/>
        <v>719.7476319865583</v>
      </c>
      <c r="BO239" s="528">
        <f t="shared" si="637"/>
        <v>0.161</v>
      </c>
      <c r="BR239" s="460">
        <f t="shared" si="688"/>
        <v>161</v>
      </c>
      <c r="BS239" s="528">
        <f t="shared" si="689"/>
        <v>6.9779597509119582E-3</v>
      </c>
      <c r="BT239" s="528">
        <f t="shared" si="690"/>
        <v>1.8865409624870363E-2</v>
      </c>
      <c r="BU239" s="528">
        <f t="shared" si="691"/>
        <v>0.29025908546614437</v>
      </c>
      <c r="BV239" s="528"/>
      <c r="BW239" s="528">
        <f t="shared" si="692"/>
        <v>0.22560244869667739</v>
      </c>
      <c r="BX239" s="460">
        <f t="shared" si="693"/>
        <v>541.70490353860407</v>
      </c>
      <c r="BY239" s="173">
        <f t="shared" si="694"/>
        <v>1.7627397535540605</v>
      </c>
      <c r="BZ239" s="5">
        <f t="shared" si="695"/>
        <v>5.5200000000000005</v>
      </c>
      <c r="CA239" s="173">
        <f t="shared" si="696"/>
        <v>0.75795650906050527</v>
      </c>
      <c r="CB239" s="5">
        <f t="shared" si="697"/>
        <v>75.795650906050525</v>
      </c>
      <c r="CE239" s="562">
        <f t="shared" si="638"/>
        <v>-50</v>
      </c>
      <c r="CF239">
        <f t="shared" si="639"/>
        <v>-50</v>
      </c>
      <c r="CG239" s="173">
        <f t="shared" si="640"/>
        <v>0.3135609220598829</v>
      </c>
      <c r="CI239" s="170">
        <v>23</v>
      </c>
      <c r="CJ239" s="217">
        <f t="shared" si="698"/>
        <v>0.23</v>
      </c>
      <c r="CK239" s="217"/>
      <c r="CL239" s="217">
        <f t="shared" si="641"/>
        <v>5.5200000000000005</v>
      </c>
      <c r="CM239" s="541">
        <f t="shared" si="642"/>
        <v>36</v>
      </c>
      <c r="CN239" s="443">
        <f t="shared" si="643"/>
        <v>16.3415</v>
      </c>
      <c r="CO239" s="443">
        <f t="shared" si="644"/>
        <v>52.341499999999996</v>
      </c>
      <c r="CP239" s="443"/>
      <c r="CQ239" s="217">
        <f t="shared" si="645"/>
        <v>0.31220924123305599</v>
      </c>
      <c r="CR239" s="172">
        <f t="shared" si="646"/>
        <v>63.048783011568261</v>
      </c>
      <c r="CS239" s="172">
        <f t="shared" si="647"/>
        <v>5.5200000000000005</v>
      </c>
      <c r="CT239" s="217">
        <f t="shared" si="648"/>
        <v>2.6270326254820109</v>
      </c>
      <c r="CU239" s="217">
        <f t="shared" si="649"/>
        <v>24</v>
      </c>
      <c r="CV239" s="217"/>
      <c r="CW239" s="172">
        <f t="shared" si="650"/>
        <v>815.62527052118014</v>
      </c>
      <c r="CX239" s="172">
        <f t="shared" si="651"/>
        <v>24</v>
      </c>
      <c r="CY239" s="217">
        <f t="shared" si="652"/>
        <v>0.98224724372507632</v>
      </c>
      <c r="CZ239" s="217">
        <f t="shared" si="653"/>
        <v>0.27284645659029899</v>
      </c>
      <c r="DA239" s="217">
        <f t="shared" si="654"/>
        <v>0.60107532584222767</v>
      </c>
      <c r="DB239" s="197">
        <f t="shared" si="655"/>
        <v>350</v>
      </c>
      <c r="DC239" s="443">
        <f t="shared" si="656"/>
        <v>350</v>
      </c>
      <c r="DE239" s="217">
        <f t="shared" si="657"/>
        <v>3.211295052682861</v>
      </c>
      <c r="DF239" s="173">
        <f t="shared" si="658"/>
        <v>1.96511645361984</v>
      </c>
      <c r="DG239" s="173">
        <f t="shared" si="659"/>
        <v>0.73660113681324435</v>
      </c>
      <c r="DH239" s="173"/>
      <c r="DI239" s="173">
        <f t="shared" si="660"/>
        <v>1.3598642855443031</v>
      </c>
      <c r="DJ239" s="545">
        <f t="shared" si="661"/>
        <v>228.21749999999994</v>
      </c>
      <c r="DK239" s="528">
        <f t="shared" si="662"/>
        <v>0.35273368606701955</v>
      </c>
      <c r="DM239" s="173">
        <f t="shared" si="663"/>
        <v>1.794435844492636</v>
      </c>
      <c r="DN239" s="173">
        <f t="shared" si="664"/>
        <v>2.2222222222222223</v>
      </c>
      <c r="DO239" s="173">
        <f t="shared" si="665"/>
        <v>1.1304099999999999</v>
      </c>
      <c r="DQ239" s="545">
        <f t="shared" si="666"/>
        <v>230</v>
      </c>
      <c r="DR239" s="460">
        <f t="shared" si="667"/>
        <v>228.21749999999994</v>
      </c>
      <c r="DT239">
        <f t="shared" si="668"/>
        <v>230</v>
      </c>
      <c r="DU239">
        <f t="shared" si="669"/>
        <v>228.21749999999994</v>
      </c>
      <c r="DW239" s="5">
        <f t="shared" si="670"/>
        <v>4.381784920087199</v>
      </c>
      <c r="DX239" s="5">
        <f t="shared" si="671"/>
        <v>0.61728395061728403</v>
      </c>
      <c r="DY239" s="5">
        <f t="shared" si="672"/>
        <v>3.764500969469915</v>
      </c>
      <c r="DZ239" s="5"/>
      <c r="EA239" s="173">
        <f t="shared" si="673"/>
        <v>0.14087499999999997</v>
      </c>
      <c r="EB239" s="173">
        <f t="shared" si="699"/>
        <v>5.6350000000000007</v>
      </c>
      <c r="EC239" s="173">
        <f t="shared" si="700"/>
        <v>0.63670708333333337</v>
      </c>
      <c r="ED239" s="173">
        <f t="shared" si="701"/>
        <v>8.8502235132979123</v>
      </c>
      <c r="EE239" s="460">
        <f t="shared" si="674"/>
        <v>0.59156378600823056</v>
      </c>
      <c r="EF239" s="5">
        <f t="shared" si="675"/>
        <v>0.48101956832115572</v>
      </c>
      <c r="EH239" s="173">
        <f t="shared" si="702"/>
        <v>0.4815527012853591</v>
      </c>
      <c r="EI239" s="173">
        <f t="shared" si="703"/>
        <v>0.79319664983447957</v>
      </c>
      <c r="EK239" s="528">
        <f t="shared" si="704"/>
        <v>9.2757201646090515E-3</v>
      </c>
      <c r="EL239" s="528">
        <f t="shared" si="705"/>
        <v>0.72998727243749983</v>
      </c>
      <c r="EM239" s="528">
        <f t="shared" si="706"/>
        <v>4.5643499999999983E-2</v>
      </c>
      <c r="EN239" s="528">
        <f t="shared" si="707"/>
        <v>0.10941561889445935</v>
      </c>
      <c r="EO239">
        <f t="shared" si="708"/>
        <v>1.6199999999999999E-2</v>
      </c>
      <c r="EP239" s="460">
        <f t="shared" si="709"/>
        <v>61.843499999999985</v>
      </c>
      <c r="EQ239" s="460"/>
      <c r="ER239" s="460">
        <f t="shared" si="710"/>
        <v>910.5221114965683</v>
      </c>
      <c r="ES239" s="528">
        <f t="shared" si="711"/>
        <v>0.161</v>
      </c>
      <c r="EV239" s="460">
        <f t="shared" si="712"/>
        <v>161</v>
      </c>
      <c r="EW239" s="528">
        <f t="shared" si="713"/>
        <v>6.9567901234567882E-3</v>
      </c>
      <c r="EX239" s="528">
        <f t="shared" si="714"/>
        <v>1.887482775925926E-2</v>
      </c>
      <c r="EY239" s="528">
        <f t="shared" si="715"/>
        <v>0.28960834972488742</v>
      </c>
      <c r="EZ239" s="528"/>
      <c r="FA239" s="528">
        <f t="shared" si="716"/>
        <v>0.22540000000000002</v>
      </c>
      <c r="FB239" s="460">
        <f t="shared" si="717"/>
        <v>540.8399676076034</v>
      </c>
      <c r="FC239" s="173">
        <f t="shared" si="718"/>
        <v>1.6123620791041717</v>
      </c>
      <c r="FD239" s="5">
        <f t="shared" si="719"/>
        <v>5.5200000000000005</v>
      </c>
      <c r="FE239" s="173">
        <f t="shared" si="720"/>
        <v>0.77393715276627051</v>
      </c>
      <c r="FF239" s="5">
        <f t="shared" si="721"/>
        <v>77.393715276627049</v>
      </c>
      <c r="FI239" s="562">
        <f t="shared" si="676"/>
        <v>-50</v>
      </c>
      <c r="FJ239">
        <f t="shared" si="677"/>
        <v>-50</v>
      </c>
      <c r="FL239">
        <f t="shared" si="678"/>
        <v>0.31034482758620691</v>
      </c>
    </row>
    <row r="240" spans="5:168">
      <c r="E240" s="170">
        <v>24</v>
      </c>
      <c r="F240" s="217">
        <f t="shared" si="679"/>
        <v>0.24</v>
      </c>
      <c r="G240" s="217"/>
      <c r="H240" s="217">
        <f t="shared" si="603"/>
        <v>5.76</v>
      </c>
      <c r="I240" s="541">
        <f t="shared" si="604"/>
        <v>35.92301996410805</v>
      </c>
      <c r="J240" s="172">
        <f t="shared" si="605"/>
        <v>16.356177530509115</v>
      </c>
      <c r="K240" s="172">
        <f t="shared" si="606"/>
        <v>52.279197494617165</v>
      </c>
      <c r="L240" s="443"/>
      <c r="M240" s="217">
        <f t="shared" si="607"/>
        <v>0.3128640612264586</v>
      </c>
      <c r="N240" s="172">
        <f t="shared" si="608"/>
        <v>63.045917836266661</v>
      </c>
      <c r="O240" s="172">
        <f t="shared" si="599"/>
        <v>5.76</v>
      </c>
      <c r="P240" s="217">
        <f t="shared" si="609"/>
        <v>2.6269132431777775</v>
      </c>
      <c r="Q240" s="217">
        <f t="shared" si="610"/>
        <v>24</v>
      </c>
      <c r="R240" s="217"/>
      <c r="S240" s="172">
        <f t="shared" si="611"/>
        <v>777.72838960870979</v>
      </c>
      <c r="T240" s="172">
        <f t="shared" si="612"/>
        <v>24</v>
      </c>
      <c r="U240" s="217">
        <f t="shared" si="613"/>
        <v>1.0473039457003512</v>
      </c>
      <c r="V240" s="217">
        <f t="shared" si="614"/>
        <v>0.29154117519817357</v>
      </c>
      <c r="W240" s="217">
        <f t="shared" si="615"/>
        <v>0.6403109429124374</v>
      </c>
      <c r="X240" s="197">
        <f t="shared" si="616"/>
        <v>350</v>
      </c>
      <c r="Y240" s="443">
        <f t="shared" si="680"/>
        <v>350</v>
      </c>
      <c r="AA240" s="217">
        <f t="shared" si="617"/>
        <v>3.2111286003001851</v>
      </c>
      <c r="AB240" s="173">
        <f t="shared" si="618"/>
        <v>1.9632512512844025</v>
      </c>
      <c r="AC240" s="173">
        <f t="shared" si="619"/>
        <v>0.73586384301450503</v>
      </c>
      <c r="AD240" s="173"/>
      <c r="AE240" s="173">
        <f t="shared" si="620"/>
        <v>1.3586439851714256</v>
      </c>
      <c r="AF240" s="545">
        <f t="shared" si="621"/>
        <v>238.35389144909826</v>
      </c>
      <c r="AG240" s="528">
        <f t="shared" si="622"/>
        <v>0.35241715370918814</v>
      </c>
      <c r="AI240" s="173">
        <f t="shared" si="623"/>
        <v>1.8338532844179074</v>
      </c>
      <c r="AJ240" s="173">
        <f t="shared" si="624"/>
        <v>2.2222222222222223</v>
      </c>
      <c r="AK240" s="173">
        <f t="shared" si="625"/>
        <v>1.136202223685199</v>
      </c>
      <c r="AM240" s="545">
        <f t="shared" si="626"/>
        <v>240</v>
      </c>
      <c r="AN240" s="460">
        <f t="shared" si="627"/>
        <v>238.35389144909826</v>
      </c>
      <c r="AP240">
        <f t="shared" si="628"/>
        <v>240</v>
      </c>
      <c r="AQ240">
        <f t="shared" si="629"/>
        <v>238.35389144909826</v>
      </c>
      <c r="AS240" s="5">
        <f t="shared" si="600"/>
        <v>4.1954423060617634</v>
      </c>
      <c r="AT240" s="5">
        <f t="shared" si="630"/>
        <v>0.61860673864350013</v>
      </c>
      <c r="AU240" s="5">
        <f t="shared" si="722"/>
        <v>3.5768355674182635</v>
      </c>
      <c r="AV240" s="5"/>
      <c r="AW240" s="173">
        <f t="shared" si="723"/>
        <v>0.14744732343231354</v>
      </c>
      <c r="AX240" s="173">
        <f t="shared" si="631"/>
        <v>5.8852812703481066</v>
      </c>
      <c r="AY240" s="173">
        <f t="shared" si="632"/>
        <v>0.63183626141182991</v>
      </c>
      <c r="AZ240" s="173">
        <f t="shared" si="633"/>
        <v>9.3145671272451533</v>
      </c>
      <c r="BA240" s="460">
        <f t="shared" si="594"/>
        <v>0.61860673864350002</v>
      </c>
      <c r="BB240" s="5">
        <f t="shared" si="595"/>
        <v>0.47793339036533178</v>
      </c>
      <c r="BD240" s="173">
        <f t="shared" si="681"/>
        <v>0.49265773464950408</v>
      </c>
      <c r="BE240" s="173">
        <f t="shared" si="682"/>
        <v>0.79015683990392005</v>
      </c>
      <c r="BG240" s="528">
        <f t="shared" si="683"/>
        <v>9.7084657403992466E-3</v>
      </c>
      <c r="BH240" s="528">
        <f t="shared" si="634"/>
        <v>0.62304750823389754</v>
      </c>
      <c r="BI240" s="528">
        <f t="shared" si="635"/>
        <v>0.34249566404195197</v>
      </c>
      <c r="BJ240" s="528">
        <f t="shared" si="684"/>
        <v>0.11400348306021163</v>
      </c>
      <c r="BK240">
        <f t="shared" si="685"/>
        <v>1.6165358983848622E-2</v>
      </c>
      <c r="BL240" s="460">
        <f t="shared" si="686"/>
        <v>358.6610230258006</v>
      </c>
      <c r="BM240" s="528">
        <f t="shared" si="636"/>
        <v>0.75111335960097314</v>
      </c>
      <c r="BN240" s="460">
        <f t="shared" si="687"/>
        <v>751.11335960097313</v>
      </c>
      <c r="BO240" s="528">
        <f t="shared" si="637"/>
        <v>0.16799999999999998</v>
      </c>
      <c r="BR240" s="460">
        <f t="shared" si="688"/>
        <v>167.99999999999997</v>
      </c>
      <c r="BS240" s="528">
        <f t="shared" si="689"/>
        <v>7.2813493052994345E-3</v>
      </c>
      <c r="BT240" s="528">
        <f t="shared" si="690"/>
        <v>1.8730434949408476E-2</v>
      </c>
      <c r="BU240" s="528">
        <f t="shared" si="691"/>
        <v>0.32284520224946905</v>
      </c>
      <c r="BV240" s="528"/>
      <c r="BW240" s="528">
        <f t="shared" si="692"/>
        <v>0.23541125081392428</v>
      </c>
      <c r="BX240" s="460">
        <f t="shared" si="693"/>
        <v>584.26823731810123</v>
      </c>
      <c r="BY240" s="173">
        <f t="shared" si="694"/>
        <v>1.8576887173784102</v>
      </c>
      <c r="BZ240" s="5">
        <f t="shared" si="695"/>
        <v>5.76</v>
      </c>
      <c r="CA240" s="173">
        <f t="shared" si="696"/>
        <v>0.75613486107138739</v>
      </c>
      <c r="CB240" s="5">
        <f t="shared" si="697"/>
        <v>75.613486107138741</v>
      </c>
      <c r="CE240" s="562">
        <f t="shared" si="638"/>
        <v>-50</v>
      </c>
      <c r="CF240">
        <f t="shared" si="639"/>
        <v>-50</v>
      </c>
      <c r="CG240" s="173">
        <f t="shared" si="640"/>
        <v>0.3271940056277039</v>
      </c>
      <c r="CI240" s="170">
        <v>24</v>
      </c>
      <c r="CJ240" s="217">
        <f t="shared" si="698"/>
        <v>0.24</v>
      </c>
      <c r="CK240" s="217"/>
      <c r="CL240" s="217">
        <f t="shared" si="641"/>
        <v>5.76</v>
      </c>
      <c r="CM240" s="541">
        <f t="shared" si="642"/>
        <v>36</v>
      </c>
      <c r="CN240" s="443">
        <f t="shared" si="643"/>
        <v>16.3415</v>
      </c>
      <c r="CO240" s="443">
        <f t="shared" si="644"/>
        <v>52.341499999999996</v>
      </c>
      <c r="CP240" s="443"/>
      <c r="CQ240" s="217">
        <f t="shared" si="645"/>
        <v>0.31220924123305599</v>
      </c>
      <c r="CR240" s="172">
        <f t="shared" si="646"/>
        <v>63.048783011568261</v>
      </c>
      <c r="CS240" s="172">
        <f t="shared" si="647"/>
        <v>5.76</v>
      </c>
      <c r="CT240" s="217">
        <f t="shared" si="648"/>
        <v>2.6270326254820109</v>
      </c>
      <c r="CU240" s="217">
        <f t="shared" si="649"/>
        <v>24</v>
      </c>
      <c r="CV240" s="217"/>
      <c r="CW240" s="172">
        <f t="shared" si="650"/>
        <v>779.39492258714893</v>
      </c>
      <c r="CX240" s="172">
        <f t="shared" si="651"/>
        <v>24</v>
      </c>
      <c r="CY240" s="217">
        <f t="shared" si="652"/>
        <v>1.0249536456261665</v>
      </c>
      <c r="CZ240" s="217">
        <f t="shared" si="653"/>
        <v>0.28470934600726844</v>
      </c>
      <c r="DA240" s="217">
        <f t="shared" si="654"/>
        <v>0.62720903566145492</v>
      </c>
      <c r="DB240" s="197">
        <f t="shared" si="655"/>
        <v>350</v>
      </c>
      <c r="DC240" s="443">
        <f t="shared" si="656"/>
        <v>350</v>
      </c>
      <c r="DE240" s="217">
        <f t="shared" si="657"/>
        <v>3.211295052682861</v>
      </c>
      <c r="DF240" s="173">
        <f t="shared" si="658"/>
        <v>1.96511645361984</v>
      </c>
      <c r="DG240" s="173">
        <f t="shared" si="659"/>
        <v>0.73660113681324435</v>
      </c>
      <c r="DH240" s="173"/>
      <c r="DI240" s="173">
        <f t="shared" si="660"/>
        <v>1.3598642855443031</v>
      </c>
      <c r="DJ240" s="545">
        <f t="shared" si="661"/>
        <v>238.1399999999999</v>
      </c>
      <c r="DK240" s="528">
        <f t="shared" si="662"/>
        <v>0.35273368606701955</v>
      </c>
      <c r="DM240" s="173">
        <f t="shared" si="663"/>
        <v>1.8330302779823358</v>
      </c>
      <c r="DN240" s="173">
        <f t="shared" si="664"/>
        <v>2.2222222222222223</v>
      </c>
      <c r="DO240" s="173">
        <f t="shared" si="665"/>
        <v>1.13608</v>
      </c>
      <c r="DQ240" s="545">
        <f t="shared" si="666"/>
        <v>240</v>
      </c>
      <c r="DR240" s="460">
        <f t="shared" si="667"/>
        <v>238.1399999999999</v>
      </c>
      <c r="DT240">
        <f t="shared" si="668"/>
        <v>240</v>
      </c>
      <c r="DU240">
        <f t="shared" si="669"/>
        <v>238.1399999999999</v>
      </c>
      <c r="DW240" s="5">
        <f t="shared" si="670"/>
        <v>4.1992105484168993</v>
      </c>
      <c r="DX240" s="5">
        <f t="shared" si="671"/>
        <v>0.61728395061728403</v>
      </c>
      <c r="DY240" s="5">
        <f t="shared" si="672"/>
        <v>3.5819265977996153</v>
      </c>
      <c r="DZ240" s="5"/>
      <c r="EA240" s="173">
        <f t="shared" si="673"/>
        <v>0.14699999999999996</v>
      </c>
      <c r="EB240" s="173">
        <f t="shared" si="699"/>
        <v>5.879999999999999</v>
      </c>
      <c r="EC240" s="173">
        <f t="shared" si="700"/>
        <v>0.63216777777777777</v>
      </c>
      <c r="ED240" s="173">
        <f t="shared" si="701"/>
        <v>9.3013282338900876</v>
      </c>
      <c r="EE240" s="460">
        <f t="shared" si="674"/>
        <v>0.61728395061728403</v>
      </c>
      <c r="EF240" s="5">
        <f t="shared" si="675"/>
        <v>0.47759021303994864</v>
      </c>
      <c r="EH240" s="173">
        <f t="shared" si="702"/>
        <v>0.49190985824841454</v>
      </c>
      <c r="EI240" s="173">
        <f t="shared" si="703"/>
        <v>0.79036410528948065</v>
      </c>
      <c r="EK240" s="528">
        <f t="shared" si="704"/>
        <v>9.6790123456790122E-3</v>
      </c>
      <c r="EL240" s="528">
        <f t="shared" si="705"/>
        <v>0.76172584949999977</v>
      </c>
      <c r="EM240" s="528">
        <f t="shared" si="706"/>
        <v>4.7627999999999976E-2</v>
      </c>
      <c r="EN240" s="528">
        <f t="shared" si="707"/>
        <v>0.11417281971595757</v>
      </c>
      <c r="EO240">
        <f t="shared" si="708"/>
        <v>1.6199999999999999E-2</v>
      </c>
      <c r="EP240" s="460">
        <f t="shared" si="709"/>
        <v>63.827999999999967</v>
      </c>
      <c r="EQ240" s="460"/>
      <c r="ER240" s="460">
        <f t="shared" si="710"/>
        <v>949.40568156163636</v>
      </c>
      <c r="ES240" s="528">
        <f t="shared" si="711"/>
        <v>0.16799999999999998</v>
      </c>
      <c r="EV240" s="460">
        <f t="shared" si="712"/>
        <v>167.99999999999997</v>
      </c>
      <c r="EW240" s="528">
        <f t="shared" si="713"/>
        <v>7.2592592592592578E-3</v>
      </c>
      <c r="EX240" s="528">
        <f t="shared" si="714"/>
        <v>1.8740262567901234E-2</v>
      </c>
      <c r="EY240" s="528">
        <f t="shared" si="715"/>
        <v>0.3221214112554342</v>
      </c>
      <c r="EZ240" s="528"/>
      <c r="FA240" s="528">
        <f t="shared" si="716"/>
        <v>0.23519999999999996</v>
      </c>
      <c r="FB240" s="460">
        <f t="shared" si="717"/>
        <v>583.32093308259459</v>
      </c>
      <c r="FC240" s="173">
        <f t="shared" si="718"/>
        <v>1.700726614644231</v>
      </c>
      <c r="FD240" s="5">
        <f t="shared" si="719"/>
        <v>5.76</v>
      </c>
      <c r="FE240" s="173">
        <f t="shared" si="720"/>
        <v>0.77204276439965347</v>
      </c>
      <c r="FF240" s="5">
        <f t="shared" si="721"/>
        <v>77.204276439965341</v>
      </c>
      <c r="FI240" s="562">
        <f t="shared" si="676"/>
        <v>-50</v>
      </c>
      <c r="FJ240">
        <f t="shared" si="677"/>
        <v>-50</v>
      </c>
      <c r="FL240">
        <f t="shared" si="678"/>
        <v>0.32383808095952016</v>
      </c>
    </row>
    <row r="241" spans="5:168">
      <c r="E241" s="170">
        <v>25</v>
      </c>
      <c r="F241" s="217">
        <f t="shared" si="679"/>
        <v>0.25</v>
      </c>
      <c r="G241" s="217"/>
      <c r="H241" s="217">
        <f t="shared" si="603"/>
        <v>6</v>
      </c>
      <c r="I241" s="541">
        <f t="shared" si="604"/>
        <v>35.92301996410805</v>
      </c>
      <c r="J241" s="172">
        <f t="shared" si="605"/>
        <v>16.356177530509115</v>
      </c>
      <c r="K241" s="172">
        <f t="shared" si="606"/>
        <v>52.279197494617165</v>
      </c>
      <c r="L241" s="443"/>
      <c r="M241" s="217">
        <f t="shared" si="607"/>
        <v>0.3128640612264586</v>
      </c>
      <c r="N241" s="172">
        <f t="shared" si="608"/>
        <v>63.045917836266661</v>
      </c>
      <c r="O241" s="172">
        <f t="shared" si="599"/>
        <v>6</v>
      </c>
      <c r="P241" s="217">
        <f t="shared" si="609"/>
        <v>2.6269132431777775</v>
      </c>
      <c r="Q241" s="217">
        <f t="shared" si="610"/>
        <v>24</v>
      </c>
      <c r="R241" s="217"/>
      <c r="S241" s="172">
        <f t="shared" si="611"/>
        <v>744.4678789897024</v>
      </c>
      <c r="T241" s="172">
        <f t="shared" si="612"/>
        <v>24</v>
      </c>
      <c r="U241" s="217">
        <f t="shared" si="613"/>
        <v>1.0909416101045324</v>
      </c>
      <c r="V241" s="217">
        <f t="shared" si="614"/>
        <v>0.30368872416476411</v>
      </c>
      <c r="W241" s="217">
        <f t="shared" si="615"/>
        <v>0.66699056553378888</v>
      </c>
      <c r="X241" s="197">
        <f t="shared" si="616"/>
        <v>350</v>
      </c>
      <c r="Y241" s="443">
        <f t="shared" si="680"/>
        <v>350</v>
      </c>
      <c r="AA241" s="217">
        <f t="shared" si="617"/>
        <v>3.2111286003001851</v>
      </c>
      <c r="AB241" s="173">
        <f t="shared" si="618"/>
        <v>1.9632512512844025</v>
      </c>
      <c r="AC241" s="173">
        <f t="shared" si="619"/>
        <v>0.73586384301450503</v>
      </c>
      <c r="AD241" s="173"/>
      <c r="AE241" s="173">
        <f t="shared" si="620"/>
        <v>1.3586439851714256</v>
      </c>
      <c r="AF241" s="545">
        <f t="shared" si="621"/>
        <v>248.28530359281066</v>
      </c>
      <c r="AG241" s="528">
        <f t="shared" si="622"/>
        <v>0.35241715370918814</v>
      </c>
      <c r="AI241" s="173">
        <f t="shared" si="623"/>
        <v>1.8716686708128778</v>
      </c>
      <c r="AJ241" s="173">
        <f t="shared" si="624"/>
        <v>2.2222222222222223</v>
      </c>
      <c r="AK241" s="173">
        <f t="shared" si="625"/>
        <v>1.141877316338749</v>
      </c>
      <c r="AM241" s="545">
        <f t="shared" si="626"/>
        <v>250</v>
      </c>
      <c r="AN241" s="460">
        <f t="shared" si="627"/>
        <v>248.28530359281066</v>
      </c>
      <c r="AP241">
        <f t="shared" si="628"/>
        <v>250</v>
      </c>
      <c r="AQ241">
        <f t="shared" si="629"/>
        <v>248.28530359281066</v>
      </c>
      <c r="AS241" s="5">
        <f t="shared" si="600"/>
        <v>4.0276246138192926</v>
      </c>
      <c r="AT241" s="5">
        <f t="shared" si="630"/>
        <v>0.61860673864350013</v>
      </c>
      <c r="AU241" s="5">
        <f t="shared" si="722"/>
        <v>3.4090178751757927</v>
      </c>
      <c r="AV241" s="5"/>
      <c r="AW241" s="173">
        <f t="shared" si="723"/>
        <v>0.15359096190865992</v>
      </c>
      <c r="AX241" s="173">
        <f t="shared" si="631"/>
        <v>6.1305013232792769</v>
      </c>
      <c r="AY241" s="173">
        <f t="shared" si="632"/>
        <v>0.62728314267435981</v>
      </c>
      <c r="AZ241" s="173">
        <f t="shared" si="633"/>
        <v>9.7731007040018465</v>
      </c>
      <c r="BA241" s="460">
        <f t="shared" si="594"/>
        <v>0.6443820194203127</v>
      </c>
      <c r="BB241" s="5">
        <f t="shared" si="595"/>
        <v>0.47448932169147551</v>
      </c>
      <c r="BD241" s="173">
        <f t="shared" si="681"/>
        <v>0.50281669488614866</v>
      </c>
      <c r="BE241" s="173">
        <f t="shared" si="682"/>
        <v>0.78730469057298225</v>
      </c>
      <c r="BG241" s="528">
        <f t="shared" si="683"/>
        <v>1.0112985146249214E-2</v>
      </c>
      <c r="BH241" s="528">
        <f t="shared" si="634"/>
        <v>0.64900782107697652</v>
      </c>
      <c r="BI241" s="528">
        <f t="shared" si="635"/>
        <v>0.35676631671036657</v>
      </c>
      <c r="BJ241" s="528">
        <f t="shared" si="684"/>
        <v>0.11875362818772044</v>
      </c>
      <c r="BK241">
        <f t="shared" si="685"/>
        <v>1.6165358983848622E-2</v>
      </c>
      <c r="BL241" s="460">
        <f t="shared" si="686"/>
        <v>372.93167569421519</v>
      </c>
      <c r="BM241" s="528">
        <f t="shared" si="636"/>
        <v>0.78248513109712137</v>
      </c>
      <c r="BN241" s="460">
        <f t="shared" si="687"/>
        <v>782.48513109712133</v>
      </c>
      <c r="BO241" s="528">
        <f t="shared" si="637"/>
        <v>0.17499999999999999</v>
      </c>
      <c r="BR241" s="460">
        <f t="shared" si="688"/>
        <v>175</v>
      </c>
      <c r="BS241" s="528">
        <f t="shared" si="689"/>
        <v>7.5847388596869099E-3</v>
      </c>
      <c r="BT241" s="528">
        <f t="shared" si="690"/>
        <v>1.8595460273946578E-2</v>
      </c>
      <c r="BU241" s="528">
        <f t="shared" si="691"/>
        <v>0.35753309977974634</v>
      </c>
      <c r="BV241" s="528"/>
      <c r="BW241" s="528">
        <f t="shared" si="692"/>
        <v>0.24522005293117111</v>
      </c>
      <c r="BX241" s="460">
        <f t="shared" si="693"/>
        <v>628.933351844551</v>
      </c>
      <c r="BY241" s="173">
        <f t="shared" si="694"/>
        <v>1.9547394619497123</v>
      </c>
      <c r="BZ241" s="5">
        <f t="shared" si="695"/>
        <v>6</v>
      </c>
      <c r="CA241" s="173">
        <f t="shared" si="696"/>
        <v>0.75426731808126324</v>
      </c>
      <c r="CB241" s="5">
        <f t="shared" si="697"/>
        <v>75.42673180812632</v>
      </c>
      <c r="CE241" s="562">
        <f t="shared" si="638"/>
        <v>-50</v>
      </c>
      <c r="CF241">
        <f t="shared" si="639"/>
        <v>-50</v>
      </c>
      <c r="CG241" s="173">
        <f t="shared" si="640"/>
        <v>0.3408270891955249</v>
      </c>
      <c r="CI241" s="170">
        <v>25</v>
      </c>
      <c r="CJ241" s="217">
        <f t="shared" si="698"/>
        <v>0.25</v>
      </c>
      <c r="CK241" s="217"/>
      <c r="CL241" s="217">
        <f t="shared" si="641"/>
        <v>6</v>
      </c>
      <c r="CM241" s="541">
        <f t="shared" si="642"/>
        <v>36</v>
      </c>
      <c r="CN241" s="443">
        <f t="shared" si="643"/>
        <v>16.3415</v>
      </c>
      <c r="CO241" s="443">
        <f t="shared" si="644"/>
        <v>52.341499999999996</v>
      </c>
      <c r="CP241" s="443"/>
      <c r="CQ241" s="217">
        <f t="shared" si="645"/>
        <v>0.31220924123305599</v>
      </c>
      <c r="CR241" s="172">
        <f t="shared" si="646"/>
        <v>63.048783011568261</v>
      </c>
      <c r="CS241" s="172">
        <f t="shared" si="647"/>
        <v>6</v>
      </c>
      <c r="CT241" s="217">
        <f t="shared" si="648"/>
        <v>2.6270326254820109</v>
      </c>
      <c r="CU241" s="217">
        <f t="shared" si="649"/>
        <v>24</v>
      </c>
      <c r="CV241" s="217"/>
      <c r="CW241" s="172">
        <f t="shared" si="650"/>
        <v>746.06313416193041</v>
      </c>
      <c r="CX241" s="172">
        <f t="shared" si="651"/>
        <v>24</v>
      </c>
      <c r="CY241" s="217">
        <f t="shared" si="652"/>
        <v>1.0676600475272569</v>
      </c>
      <c r="CZ241" s="217">
        <f t="shared" si="653"/>
        <v>0.296572235424238</v>
      </c>
      <c r="DA241" s="217">
        <f t="shared" si="654"/>
        <v>0.65334274548068216</v>
      </c>
      <c r="DB241" s="197">
        <f t="shared" si="655"/>
        <v>350</v>
      </c>
      <c r="DC241" s="443">
        <f t="shared" si="656"/>
        <v>350</v>
      </c>
      <c r="DE241" s="217">
        <f t="shared" si="657"/>
        <v>3.211295052682861</v>
      </c>
      <c r="DF241" s="173">
        <f t="shared" si="658"/>
        <v>1.96511645361984</v>
      </c>
      <c r="DG241" s="173">
        <f t="shared" si="659"/>
        <v>0.73660113681324435</v>
      </c>
      <c r="DH241" s="173"/>
      <c r="DI241" s="173">
        <f t="shared" si="660"/>
        <v>1.3598642855443031</v>
      </c>
      <c r="DJ241" s="545">
        <f t="shared" si="661"/>
        <v>248.06249999999991</v>
      </c>
      <c r="DK241" s="528">
        <f t="shared" si="662"/>
        <v>0.35273368606701955</v>
      </c>
      <c r="DM241" s="173">
        <f t="shared" si="663"/>
        <v>1.8708286933869707</v>
      </c>
      <c r="DN241" s="173">
        <f t="shared" si="664"/>
        <v>2.2222222222222223</v>
      </c>
      <c r="DO241" s="173">
        <f t="shared" si="665"/>
        <v>1.14175</v>
      </c>
      <c r="DQ241" s="545">
        <f t="shared" si="666"/>
        <v>250</v>
      </c>
      <c r="DR241" s="460">
        <f t="shared" si="667"/>
        <v>248.06249999999991</v>
      </c>
      <c r="DT241">
        <f t="shared" si="668"/>
        <v>250</v>
      </c>
      <c r="DU241">
        <f t="shared" si="669"/>
        <v>248.06249999999991</v>
      </c>
      <c r="DW241" s="5">
        <f t="shared" si="670"/>
        <v>4.0312421264802234</v>
      </c>
      <c r="DX241" s="5">
        <f t="shared" si="671"/>
        <v>0.61728395061728403</v>
      </c>
      <c r="DY241" s="5">
        <f t="shared" si="672"/>
        <v>3.4139581758629394</v>
      </c>
      <c r="DZ241" s="5"/>
      <c r="EA241" s="173">
        <f t="shared" si="673"/>
        <v>0.15312499999999996</v>
      </c>
      <c r="EB241" s="173">
        <f t="shared" si="699"/>
        <v>6.1249999999999991</v>
      </c>
      <c r="EC241" s="173">
        <f t="shared" si="700"/>
        <v>0.62762847222222229</v>
      </c>
      <c r="ED241" s="173">
        <f t="shared" si="701"/>
        <v>9.7589581592967338</v>
      </c>
      <c r="EE241" s="460">
        <f t="shared" si="674"/>
        <v>0.6430041152263376</v>
      </c>
      <c r="EF241" s="5">
        <f t="shared" si="675"/>
        <v>0.47416085775874151</v>
      </c>
      <c r="EH241" s="173">
        <f t="shared" si="702"/>
        <v>0.50205339673059102</v>
      </c>
      <c r="EI241" s="173">
        <f t="shared" si="703"/>
        <v>0.78752137275850509</v>
      </c>
      <c r="EK241" s="528">
        <f t="shared" si="704"/>
        <v>1.0082304526748969E-2</v>
      </c>
      <c r="EL241" s="528">
        <f t="shared" si="705"/>
        <v>0.79346442656249982</v>
      </c>
      <c r="EM241" s="528">
        <f t="shared" si="706"/>
        <v>4.9612499999999976E-2</v>
      </c>
      <c r="EN241" s="528">
        <f t="shared" si="707"/>
        <v>0.1189300205374558</v>
      </c>
      <c r="EO241">
        <f t="shared" si="708"/>
        <v>1.6199999999999999E-2</v>
      </c>
      <c r="EP241" s="460">
        <f t="shared" si="709"/>
        <v>65.812499999999972</v>
      </c>
      <c r="EQ241" s="460"/>
      <c r="ER241" s="460">
        <f t="shared" si="710"/>
        <v>988.28925162670453</v>
      </c>
      <c r="ES241" s="528">
        <f t="shared" si="711"/>
        <v>0.17499999999999999</v>
      </c>
      <c r="EV241" s="460">
        <f t="shared" si="712"/>
        <v>175</v>
      </c>
      <c r="EW241" s="528">
        <f t="shared" si="713"/>
        <v>7.5617283950617266E-3</v>
      </c>
      <c r="EX241" s="528">
        <f t="shared" si="714"/>
        <v>1.8605697376543207E-2</v>
      </c>
      <c r="EY241" s="528">
        <f t="shared" si="715"/>
        <v>0.35673154152245556</v>
      </c>
      <c r="EZ241" s="528"/>
      <c r="FA241" s="528">
        <f t="shared" si="716"/>
        <v>0.245</v>
      </c>
      <c r="FB241" s="460">
        <f t="shared" si="717"/>
        <v>627.89896729406053</v>
      </c>
      <c r="FC241" s="173">
        <f t="shared" si="718"/>
        <v>1.7911882189207651</v>
      </c>
      <c r="FD241" s="5">
        <f t="shared" si="719"/>
        <v>6</v>
      </c>
      <c r="FE241" s="173">
        <f t="shared" si="720"/>
        <v>0.77010076401813843</v>
      </c>
      <c r="FF241" s="5">
        <f t="shared" si="721"/>
        <v>77.010076401813848</v>
      </c>
      <c r="FI241" s="562">
        <f t="shared" si="676"/>
        <v>-50</v>
      </c>
      <c r="FJ241">
        <f t="shared" si="677"/>
        <v>-50</v>
      </c>
      <c r="FL241">
        <f t="shared" si="678"/>
        <v>0.33733133433283352</v>
      </c>
    </row>
    <row r="242" spans="5:168">
      <c r="E242" s="170">
        <v>26</v>
      </c>
      <c r="F242" s="217">
        <f t="shared" si="679"/>
        <v>0.26</v>
      </c>
      <c r="G242" s="217"/>
      <c r="H242" s="217">
        <f t="shared" si="603"/>
        <v>6.24</v>
      </c>
      <c r="I242" s="541">
        <f t="shared" si="604"/>
        <v>35.92301996410805</v>
      </c>
      <c r="J242" s="172">
        <f t="shared" si="605"/>
        <v>16.356177530509115</v>
      </c>
      <c r="K242" s="172">
        <f t="shared" si="606"/>
        <v>52.279197494617165</v>
      </c>
      <c r="L242" s="443"/>
      <c r="M242" s="217">
        <f t="shared" si="607"/>
        <v>0.3128640612264586</v>
      </c>
      <c r="N242" s="172">
        <f t="shared" si="608"/>
        <v>63.045917836266661</v>
      </c>
      <c r="O242" s="172">
        <f t="shared" si="599"/>
        <v>6.24</v>
      </c>
      <c r="P242" s="217">
        <f t="shared" si="609"/>
        <v>2.6269132431777775</v>
      </c>
      <c r="Q242" s="217">
        <f t="shared" si="610"/>
        <v>24</v>
      </c>
      <c r="R242" s="217"/>
      <c r="S242" s="172">
        <f t="shared" si="611"/>
        <v>713.76599688491001</v>
      </c>
      <c r="T242" s="172">
        <f t="shared" si="612"/>
        <v>24</v>
      </c>
      <c r="U242" s="217">
        <f t="shared" si="613"/>
        <v>1.1345792745087138</v>
      </c>
      <c r="V242" s="217">
        <f t="shared" si="614"/>
        <v>0.31583627313135471</v>
      </c>
      <c r="W242" s="217">
        <f t="shared" si="615"/>
        <v>0.69367018815514048</v>
      </c>
      <c r="X242" s="197">
        <f t="shared" si="616"/>
        <v>350</v>
      </c>
      <c r="Y242" s="443">
        <f t="shared" si="680"/>
        <v>350</v>
      </c>
      <c r="AA242" s="217">
        <f t="shared" si="617"/>
        <v>3.2111286003001851</v>
      </c>
      <c r="AB242" s="173">
        <f t="shared" si="618"/>
        <v>1.9632512512844025</v>
      </c>
      <c r="AC242" s="173">
        <f t="shared" si="619"/>
        <v>0.73586384301450503</v>
      </c>
      <c r="AD242" s="173"/>
      <c r="AE242" s="173">
        <f t="shared" si="620"/>
        <v>1.3586439851714256</v>
      </c>
      <c r="AF242" s="545">
        <f t="shared" si="621"/>
        <v>258.2167157365231</v>
      </c>
      <c r="AG242" s="528">
        <f t="shared" si="622"/>
        <v>0.35241715370918814</v>
      </c>
      <c r="AI242" s="173">
        <f t="shared" si="623"/>
        <v>1.9087350150910267</v>
      </c>
      <c r="AJ242" s="173">
        <f t="shared" si="624"/>
        <v>2.2222222222222223</v>
      </c>
      <c r="AK242" s="173">
        <f t="shared" si="625"/>
        <v>1.1475524089922988</v>
      </c>
      <c r="AM242" s="545">
        <f t="shared" si="626"/>
        <v>260</v>
      </c>
      <c r="AN242" s="460">
        <f t="shared" si="627"/>
        <v>258.2167157365231</v>
      </c>
      <c r="AP242">
        <f t="shared" si="628"/>
        <v>260</v>
      </c>
      <c r="AQ242">
        <f t="shared" si="629"/>
        <v>258.2167157365231</v>
      </c>
      <c r="AS242" s="5">
        <f t="shared" si="600"/>
        <v>3.8727159748262432</v>
      </c>
      <c r="AT242" s="5">
        <f t="shared" si="630"/>
        <v>0.61860673864350013</v>
      </c>
      <c r="AU242" s="5">
        <f t="shared" si="722"/>
        <v>3.2541092361827433</v>
      </c>
      <c r="AV242" s="5"/>
      <c r="AW242" s="173">
        <f t="shared" si="723"/>
        <v>0.15973460038500631</v>
      </c>
      <c r="AX242" s="173">
        <f t="shared" si="631"/>
        <v>6.3757213762104481</v>
      </c>
      <c r="AY242" s="173">
        <f t="shared" si="632"/>
        <v>0.62273002393688981</v>
      </c>
      <c r="AZ242" s="173">
        <f t="shared" si="633"/>
        <v>10.238339458732428</v>
      </c>
      <c r="BA242" s="460">
        <f t="shared" si="594"/>
        <v>0.67015730019712516</v>
      </c>
      <c r="BB242" s="5">
        <f t="shared" si="595"/>
        <v>0.47104525301761924</v>
      </c>
      <c r="BD242" s="173">
        <f t="shared" si="681"/>
        <v>0.51277442779694027</v>
      </c>
      <c r="BE242" s="173">
        <f t="shared" si="682"/>
        <v>0.78444217119523207</v>
      </c>
      <c r="BG242" s="528">
        <f t="shared" si="683"/>
        <v>1.0517504552099179E-2</v>
      </c>
      <c r="BH242" s="528">
        <f t="shared" si="634"/>
        <v>0.67496813392005561</v>
      </c>
      <c r="BI242" s="528">
        <f t="shared" si="635"/>
        <v>0.37103696937878128</v>
      </c>
      <c r="BJ242" s="528">
        <f t="shared" si="684"/>
        <v>0.12350377331522924</v>
      </c>
      <c r="BK242">
        <f t="shared" si="685"/>
        <v>1.6165358983848622E-2</v>
      </c>
      <c r="BL242" s="460">
        <f t="shared" si="686"/>
        <v>387.20232836262988</v>
      </c>
      <c r="BM242" s="528">
        <f t="shared" si="636"/>
        <v>0.81386294822207073</v>
      </c>
      <c r="BN242" s="460">
        <f t="shared" si="687"/>
        <v>813.86294822207071</v>
      </c>
      <c r="BO242" s="528">
        <f t="shared" si="637"/>
        <v>0.182</v>
      </c>
      <c r="BR242" s="460">
        <f t="shared" si="688"/>
        <v>182</v>
      </c>
      <c r="BS242" s="528">
        <f t="shared" si="689"/>
        <v>7.8881284140743836E-3</v>
      </c>
      <c r="BT242" s="528">
        <f t="shared" si="690"/>
        <v>1.8460485598484695E-2</v>
      </c>
      <c r="BU242" s="528">
        <f t="shared" si="691"/>
        <v>0.39436612438777552</v>
      </c>
      <c r="BV242" s="528"/>
      <c r="BW242" s="528">
        <f t="shared" si="692"/>
        <v>0.25502885504841794</v>
      </c>
      <c r="BX242" s="460">
        <f t="shared" si="693"/>
        <v>675.74359344875256</v>
      </c>
      <c r="BY242" s="173">
        <f t="shared" si="694"/>
        <v>2.0539353335987665</v>
      </c>
      <c r="BZ242" s="5">
        <f t="shared" si="695"/>
        <v>6.24</v>
      </c>
      <c r="CA242" s="173">
        <f t="shared" si="696"/>
        <v>0.75235696313205302</v>
      </c>
      <c r="CB242" s="5">
        <f t="shared" si="697"/>
        <v>75.235696313205295</v>
      </c>
      <c r="CE242" s="562">
        <f t="shared" si="638"/>
        <v>-50</v>
      </c>
      <c r="CF242">
        <f t="shared" si="639"/>
        <v>-50</v>
      </c>
      <c r="CG242" s="173">
        <f t="shared" si="640"/>
        <v>0.3544601727633459</v>
      </c>
      <c r="CI242" s="170">
        <v>26</v>
      </c>
      <c r="CJ242" s="217">
        <f t="shared" si="698"/>
        <v>0.26</v>
      </c>
      <c r="CK242" s="217"/>
      <c r="CL242" s="217">
        <f t="shared" si="641"/>
        <v>6.24</v>
      </c>
      <c r="CM242" s="541">
        <f t="shared" si="642"/>
        <v>36</v>
      </c>
      <c r="CN242" s="443">
        <f t="shared" si="643"/>
        <v>16.3415</v>
      </c>
      <c r="CO242" s="443">
        <f t="shared" si="644"/>
        <v>52.341499999999996</v>
      </c>
      <c r="CP242" s="443"/>
      <c r="CQ242" s="217">
        <f t="shared" si="645"/>
        <v>0.31220924123305599</v>
      </c>
      <c r="CR242" s="172">
        <f t="shared" si="646"/>
        <v>63.048783011568261</v>
      </c>
      <c r="CS242" s="172">
        <f t="shared" si="647"/>
        <v>6.24</v>
      </c>
      <c r="CT242" s="217">
        <f t="shared" si="648"/>
        <v>2.6270326254820109</v>
      </c>
      <c r="CU242" s="217">
        <f t="shared" si="649"/>
        <v>24</v>
      </c>
      <c r="CV242" s="217"/>
      <c r="CW242" s="172">
        <f t="shared" si="650"/>
        <v>715.29545715972608</v>
      </c>
      <c r="CX242" s="172">
        <f t="shared" si="651"/>
        <v>24</v>
      </c>
      <c r="CY242" s="217">
        <f t="shared" si="652"/>
        <v>1.1103664494283472</v>
      </c>
      <c r="CZ242" s="217">
        <f t="shared" si="653"/>
        <v>0.30843512484120755</v>
      </c>
      <c r="DA242" s="217">
        <f t="shared" si="654"/>
        <v>0.67947645529990963</v>
      </c>
      <c r="DB242" s="197">
        <f t="shared" si="655"/>
        <v>350</v>
      </c>
      <c r="DC242" s="443">
        <f t="shared" si="656"/>
        <v>350</v>
      </c>
      <c r="DE242" s="217">
        <f t="shared" si="657"/>
        <v>3.211295052682861</v>
      </c>
      <c r="DF242" s="173">
        <f t="shared" si="658"/>
        <v>1.96511645361984</v>
      </c>
      <c r="DG242" s="173">
        <f t="shared" si="659"/>
        <v>0.73660113681324435</v>
      </c>
      <c r="DH242" s="173"/>
      <c r="DI242" s="173">
        <f t="shared" si="660"/>
        <v>1.3598642855443031</v>
      </c>
      <c r="DJ242" s="545">
        <f t="shared" si="661"/>
        <v>257.98499999999996</v>
      </c>
      <c r="DK242" s="528">
        <f t="shared" si="662"/>
        <v>0.35273368606701955</v>
      </c>
      <c r="DM242" s="173">
        <f t="shared" si="663"/>
        <v>1.9078784028338913</v>
      </c>
      <c r="DN242" s="173">
        <f t="shared" si="664"/>
        <v>2.2222222222222223</v>
      </c>
      <c r="DO242" s="173">
        <f t="shared" si="665"/>
        <v>1.1474199999999999</v>
      </c>
      <c r="DQ242" s="545">
        <f t="shared" si="666"/>
        <v>260</v>
      </c>
      <c r="DR242" s="460">
        <f t="shared" si="667"/>
        <v>257.98499999999996</v>
      </c>
      <c r="DT242">
        <f t="shared" si="668"/>
        <v>260</v>
      </c>
      <c r="DU242">
        <f t="shared" si="669"/>
        <v>257.98499999999996</v>
      </c>
      <c r="DW242" s="5">
        <f t="shared" si="670"/>
        <v>3.8761943523848292</v>
      </c>
      <c r="DX242" s="5">
        <f t="shared" si="671"/>
        <v>0.61728395061728403</v>
      </c>
      <c r="DY242" s="5">
        <f t="shared" si="672"/>
        <v>3.2589104017675452</v>
      </c>
      <c r="DZ242" s="5"/>
      <c r="EA242" s="173">
        <f t="shared" si="673"/>
        <v>0.15925</v>
      </c>
      <c r="EB242" s="173">
        <f t="shared" si="699"/>
        <v>6.370000000000001</v>
      </c>
      <c r="EC242" s="173">
        <f t="shared" si="700"/>
        <v>0.62308916666666669</v>
      </c>
      <c r="ED242" s="173">
        <f t="shared" si="701"/>
        <v>10.223255901041451</v>
      </c>
      <c r="EE242" s="460">
        <f t="shared" si="674"/>
        <v>0.66872427983539107</v>
      </c>
      <c r="EF242" s="5">
        <f t="shared" si="675"/>
        <v>0.47073150247753431</v>
      </c>
      <c r="EH242" s="173">
        <f t="shared" si="702"/>
        <v>0.51199601335896483</v>
      </c>
      <c r="EI242" s="173">
        <f t="shared" si="703"/>
        <v>0.78466834151304943</v>
      </c>
      <c r="EK242" s="528">
        <f t="shared" si="704"/>
        <v>1.0485596707818932E-2</v>
      </c>
      <c r="EL242" s="528">
        <f t="shared" si="705"/>
        <v>0.82520300362499988</v>
      </c>
      <c r="EM242" s="528">
        <f t="shared" si="706"/>
        <v>5.159699999999999E-2</v>
      </c>
      <c r="EN242" s="528">
        <f t="shared" si="707"/>
        <v>0.12368722135895405</v>
      </c>
      <c r="EO242">
        <f t="shared" si="708"/>
        <v>1.6199999999999999E-2</v>
      </c>
      <c r="EP242" s="460">
        <f t="shared" si="709"/>
        <v>67.796999999999997</v>
      </c>
      <c r="EQ242" s="460"/>
      <c r="ER242" s="460">
        <f t="shared" si="710"/>
        <v>1027.1728216917729</v>
      </c>
      <c r="ES242" s="528">
        <f t="shared" si="711"/>
        <v>0.182</v>
      </c>
      <c r="EV242" s="460">
        <f t="shared" si="712"/>
        <v>182</v>
      </c>
      <c r="EW242" s="528">
        <f t="shared" si="713"/>
        <v>7.8641975308641979E-3</v>
      </c>
      <c r="EX242" s="528">
        <f t="shared" si="714"/>
        <v>1.8471132185185188E-2</v>
      </c>
      <c r="EY242" s="528">
        <f t="shared" si="715"/>
        <v>0.39348198967802772</v>
      </c>
      <c r="EZ242" s="528"/>
      <c r="FA242" s="528">
        <f t="shared" si="716"/>
        <v>0.25480000000000003</v>
      </c>
      <c r="FB242" s="460">
        <f t="shared" si="717"/>
        <v>674.61731939407719</v>
      </c>
      <c r="FC242" s="173">
        <f t="shared" si="718"/>
        <v>1.88379014108585</v>
      </c>
      <c r="FD242" s="5">
        <f t="shared" si="719"/>
        <v>6.24</v>
      </c>
      <c r="FE242" s="173">
        <f t="shared" si="720"/>
        <v>0.76811437661854021</v>
      </c>
      <c r="FF242" s="5">
        <f t="shared" si="721"/>
        <v>76.811437661854015</v>
      </c>
      <c r="FI242" s="562">
        <f t="shared" si="676"/>
        <v>-50</v>
      </c>
      <c r="FJ242">
        <f t="shared" si="677"/>
        <v>-50</v>
      </c>
      <c r="FL242">
        <f t="shared" si="678"/>
        <v>0.35082458770614688</v>
      </c>
    </row>
    <row r="243" spans="5:168">
      <c r="E243" s="170">
        <v>27</v>
      </c>
      <c r="F243" s="217">
        <f t="shared" si="679"/>
        <v>0.27</v>
      </c>
      <c r="G243" s="217"/>
      <c r="H243" s="217">
        <f t="shared" si="603"/>
        <v>6.48</v>
      </c>
      <c r="I243" s="541">
        <f t="shared" si="604"/>
        <v>35.92301996410805</v>
      </c>
      <c r="J243" s="172">
        <f t="shared" si="605"/>
        <v>16.356177530509115</v>
      </c>
      <c r="K243" s="172">
        <f t="shared" si="606"/>
        <v>52.279197494617165</v>
      </c>
      <c r="L243" s="443"/>
      <c r="M243" s="217">
        <f t="shared" si="607"/>
        <v>0.3128640612264586</v>
      </c>
      <c r="N243" s="172">
        <f t="shared" si="608"/>
        <v>63.045917836266661</v>
      </c>
      <c r="O243" s="172">
        <f t="shared" si="599"/>
        <v>6.48</v>
      </c>
      <c r="P243" s="217">
        <f t="shared" si="609"/>
        <v>2.6269132431777775</v>
      </c>
      <c r="Q243" s="217">
        <f t="shared" si="610"/>
        <v>24</v>
      </c>
      <c r="R243" s="217"/>
      <c r="S243" s="172">
        <f t="shared" si="611"/>
        <v>685.33845229706287</v>
      </c>
      <c r="T243" s="172">
        <f t="shared" si="612"/>
        <v>24</v>
      </c>
      <c r="U243" s="217">
        <f t="shared" si="613"/>
        <v>1.1782169389128951</v>
      </c>
      <c r="V243" s="217">
        <f t="shared" si="614"/>
        <v>0.32798382209794535</v>
      </c>
      <c r="W243" s="217">
        <f t="shared" si="615"/>
        <v>0.72034981077649207</v>
      </c>
      <c r="X243" s="197">
        <f t="shared" si="616"/>
        <v>350</v>
      </c>
      <c r="Y243" s="443">
        <f t="shared" si="680"/>
        <v>350</v>
      </c>
      <c r="AA243" s="217">
        <f t="shared" si="617"/>
        <v>3.2111286003001851</v>
      </c>
      <c r="AB243" s="173">
        <f t="shared" si="618"/>
        <v>1.9632512512844025</v>
      </c>
      <c r="AC243" s="173">
        <f t="shared" si="619"/>
        <v>0.73586384301450503</v>
      </c>
      <c r="AD243" s="173"/>
      <c r="AE243" s="173">
        <f t="shared" si="620"/>
        <v>1.3586439851714256</v>
      </c>
      <c r="AF243" s="545">
        <f t="shared" si="621"/>
        <v>268.14812788023556</v>
      </c>
      <c r="AG243" s="528">
        <f t="shared" si="622"/>
        <v>0.35241715370918814</v>
      </c>
      <c r="AI243" s="173">
        <f t="shared" si="623"/>
        <v>1.9450951396696872</v>
      </c>
      <c r="AJ243" s="173">
        <f t="shared" si="624"/>
        <v>2.2222222222222223</v>
      </c>
      <c r="AK243" s="173">
        <f t="shared" si="625"/>
        <v>1.1532275016458489</v>
      </c>
      <c r="AM243" s="545">
        <f t="shared" si="626"/>
        <v>270</v>
      </c>
      <c r="AN243" s="460">
        <f t="shared" si="627"/>
        <v>268.14812788023556</v>
      </c>
      <c r="AP243">
        <f t="shared" si="628"/>
        <v>270</v>
      </c>
      <c r="AQ243">
        <f t="shared" si="629"/>
        <v>268.14812788023556</v>
      </c>
      <c r="AS243" s="5">
        <f t="shared" si="600"/>
        <v>3.7292820498326784</v>
      </c>
      <c r="AT243" s="5">
        <f t="shared" si="630"/>
        <v>0.61860673864350013</v>
      </c>
      <c r="AU243" s="5">
        <f t="shared" si="722"/>
        <v>3.1106753111891781</v>
      </c>
      <c r="AV243" s="5"/>
      <c r="AW243" s="173">
        <f t="shared" si="723"/>
        <v>0.16587823886135272</v>
      </c>
      <c r="AX243" s="173">
        <f t="shared" si="631"/>
        <v>6.6209414291416211</v>
      </c>
      <c r="AY243" s="173">
        <f t="shared" si="632"/>
        <v>0.61817690519941981</v>
      </c>
      <c r="AZ243" s="173">
        <f t="shared" si="633"/>
        <v>10.710431550343584</v>
      </c>
      <c r="BA243" s="460">
        <f t="shared" si="594"/>
        <v>0.69593258097393773</v>
      </c>
      <c r="BB243" s="5">
        <f t="shared" si="595"/>
        <v>0.46760118434376285</v>
      </c>
      <c r="BD243" s="173">
        <f t="shared" si="681"/>
        <v>0.52254243746200058</v>
      </c>
      <c r="BE243" s="173">
        <f t="shared" si="682"/>
        <v>0.78156916782890051</v>
      </c>
      <c r="BG243" s="528">
        <f t="shared" si="683"/>
        <v>1.0922023957949152E-2</v>
      </c>
      <c r="BH243" s="528">
        <f t="shared" si="634"/>
        <v>0.7009284467631347</v>
      </c>
      <c r="BI243" s="528">
        <f t="shared" si="635"/>
        <v>0.38530762204719604</v>
      </c>
      <c r="BJ243" s="528">
        <f t="shared" si="684"/>
        <v>0.12825391844273809</v>
      </c>
      <c r="BK243">
        <f t="shared" si="685"/>
        <v>1.6165358983848622E-2</v>
      </c>
      <c r="BL243" s="460">
        <f t="shared" si="686"/>
        <v>401.4729810310447</v>
      </c>
      <c r="BM243" s="528">
        <f t="shared" si="636"/>
        <v>0.84524681272356195</v>
      </c>
      <c r="BN243" s="460">
        <f t="shared" si="687"/>
        <v>845.2468127235619</v>
      </c>
      <c r="BO243" s="528">
        <f t="shared" si="637"/>
        <v>0.189</v>
      </c>
      <c r="BR243" s="460">
        <f t="shared" si="688"/>
        <v>189</v>
      </c>
      <c r="BS243" s="528">
        <f t="shared" si="689"/>
        <v>8.1915179684618634E-3</v>
      </c>
      <c r="BT243" s="528">
        <f t="shared" si="690"/>
        <v>1.8325510923022804E-2</v>
      </c>
      <c r="BU243" s="528">
        <f t="shared" si="691"/>
        <v>0.43338676346520666</v>
      </c>
      <c r="BV243" s="528"/>
      <c r="BW243" s="528">
        <f t="shared" si="692"/>
        <v>0.26483765716566487</v>
      </c>
      <c r="BX243" s="460">
        <f t="shared" si="693"/>
        <v>724.74144952235622</v>
      </c>
      <c r="BY243" s="173">
        <f t="shared" si="694"/>
        <v>2.1553188197172228</v>
      </c>
      <c r="BZ243" s="5">
        <f t="shared" si="695"/>
        <v>6.48</v>
      </c>
      <c r="CA243" s="173">
        <f t="shared" si="696"/>
        <v>0.7504065727375423</v>
      </c>
      <c r="CB243" s="5">
        <f t="shared" si="697"/>
        <v>75.040657273754235</v>
      </c>
      <c r="CE243" s="562">
        <f t="shared" si="638"/>
        <v>-50</v>
      </c>
      <c r="CF243">
        <f t="shared" si="639"/>
        <v>-50</v>
      </c>
      <c r="CG243" s="173">
        <f t="shared" si="640"/>
        <v>0.36809325633116691</v>
      </c>
      <c r="CI243" s="170">
        <v>27</v>
      </c>
      <c r="CJ243" s="217">
        <f t="shared" si="698"/>
        <v>0.27</v>
      </c>
      <c r="CK243" s="217"/>
      <c r="CL243" s="217">
        <f t="shared" si="641"/>
        <v>6.48</v>
      </c>
      <c r="CM243" s="541">
        <f t="shared" si="642"/>
        <v>36</v>
      </c>
      <c r="CN243" s="443">
        <f t="shared" si="643"/>
        <v>16.3415</v>
      </c>
      <c r="CO243" s="443">
        <f t="shared" si="644"/>
        <v>52.341499999999996</v>
      </c>
      <c r="CP243" s="443"/>
      <c r="CQ243" s="217">
        <f t="shared" si="645"/>
        <v>0.31220924123305599</v>
      </c>
      <c r="CR243" s="172">
        <f t="shared" si="646"/>
        <v>63.048783011568261</v>
      </c>
      <c r="CS243" s="172">
        <f t="shared" si="647"/>
        <v>6.48</v>
      </c>
      <c r="CT243" s="217">
        <f t="shared" si="648"/>
        <v>2.6270326254820109</v>
      </c>
      <c r="CU243" s="217">
        <f t="shared" si="649"/>
        <v>24</v>
      </c>
      <c r="CV243" s="217"/>
      <c r="CW243" s="172">
        <f t="shared" si="650"/>
        <v>686.80699137121292</v>
      </c>
      <c r="CX243" s="172">
        <f t="shared" si="651"/>
        <v>24</v>
      </c>
      <c r="CY243" s="217">
        <f t="shared" si="652"/>
        <v>1.1530728513294375</v>
      </c>
      <c r="CZ243" s="217">
        <f t="shared" si="653"/>
        <v>0.32029801425817711</v>
      </c>
      <c r="DA243" s="217">
        <f t="shared" si="654"/>
        <v>0.70561016511913699</v>
      </c>
      <c r="DB243" s="197">
        <f t="shared" si="655"/>
        <v>350</v>
      </c>
      <c r="DC243" s="443">
        <f t="shared" si="656"/>
        <v>350</v>
      </c>
      <c r="DE243" s="217">
        <f t="shared" si="657"/>
        <v>3.211295052682861</v>
      </c>
      <c r="DF243" s="173">
        <f t="shared" si="658"/>
        <v>1.96511645361984</v>
      </c>
      <c r="DG243" s="173">
        <f t="shared" si="659"/>
        <v>0.73660113681324435</v>
      </c>
      <c r="DH243" s="173"/>
      <c r="DI243" s="173">
        <f t="shared" si="660"/>
        <v>1.3598642855443031</v>
      </c>
      <c r="DJ243" s="545">
        <f t="shared" si="661"/>
        <v>267.90749999999991</v>
      </c>
      <c r="DK243" s="528">
        <f t="shared" si="662"/>
        <v>0.35273368606701955</v>
      </c>
      <c r="DM243" s="173">
        <f t="shared" si="663"/>
        <v>1.944222209522358</v>
      </c>
      <c r="DN243" s="173">
        <f t="shared" si="664"/>
        <v>2.2222222222222223</v>
      </c>
      <c r="DO243" s="173">
        <f t="shared" si="665"/>
        <v>1.1530899999999999</v>
      </c>
      <c r="DQ243" s="545">
        <f t="shared" si="666"/>
        <v>270</v>
      </c>
      <c r="DR243" s="460">
        <f t="shared" si="667"/>
        <v>267.90749999999991</v>
      </c>
      <c r="DT243">
        <f t="shared" si="668"/>
        <v>270</v>
      </c>
      <c r="DU243">
        <f t="shared" si="669"/>
        <v>267.90749999999991</v>
      </c>
      <c r="DW243" s="5">
        <f t="shared" si="670"/>
        <v>3.7326315985927994</v>
      </c>
      <c r="DX243" s="5">
        <f t="shared" si="671"/>
        <v>0.61728395061728403</v>
      </c>
      <c r="DY243" s="5">
        <f t="shared" si="672"/>
        <v>3.1153476479755153</v>
      </c>
      <c r="DZ243" s="5"/>
      <c r="EA243" s="173">
        <f t="shared" si="673"/>
        <v>0.16537499999999997</v>
      </c>
      <c r="EB243" s="173">
        <f t="shared" si="699"/>
        <v>6.6149999999999993</v>
      </c>
      <c r="EC243" s="173">
        <f t="shared" si="700"/>
        <v>0.61854986111111121</v>
      </c>
      <c r="ED243" s="173">
        <f t="shared" si="701"/>
        <v>10.694368256937876</v>
      </c>
      <c r="EE243" s="460">
        <f t="shared" si="674"/>
        <v>0.69444444444444442</v>
      </c>
      <c r="EF243" s="5">
        <f t="shared" si="675"/>
        <v>0.46730214719632729</v>
      </c>
      <c r="EH243" s="173">
        <f t="shared" si="702"/>
        <v>0.52174919474995085</v>
      </c>
      <c r="EI243" s="173">
        <f t="shared" si="703"/>
        <v>0.78180489880419579</v>
      </c>
      <c r="EK243" s="528">
        <f t="shared" si="704"/>
        <v>1.0888888888888885E-2</v>
      </c>
      <c r="EL243" s="528">
        <f t="shared" si="705"/>
        <v>0.8569415806874997</v>
      </c>
      <c r="EM243" s="528">
        <f t="shared" si="706"/>
        <v>5.3581499999999983E-2</v>
      </c>
      <c r="EN243" s="528">
        <f t="shared" si="707"/>
        <v>0.12844442218045227</v>
      </c>
      <c r="EO243">
        <f t="shared" si="708"/>
        <v>1.6199999999999999E-2</v>
      </c>
      <c r="EP243" s="460">
        <f t="shared" si="709"/>
        <v>69.78149999999998</v>
      </c>
      <c r="EQ243" s="460"/>
      <c r="ER243" s="460">
        <f t="shared" si="710"/>
        <v>1066.0563917568409</v>
      </c>
      <c r="ES243" s="528">
        <f t="shared" si="711"/>
        <v>0.189</v>
      </c>
      <c r="EV243" s="460">
        <f t="shared" si="712"/>
        <v>189</v>
      </c>
      <c r="EW243" s="528">
        <f t="shared" si="713"/>
        <v>8.1666666666666641E-3</v>
      </c>
      <c r="EX243" s="528">
        <f t="shared" si="714"/>
        <v>1.8336566993827165E-2</v>
      </c>
      <c r="EY243" s="528">
        <f t="shared" si="715"/>
        <v>0.4324151478607493</v>
      </c>
      <c r="EZ243" s="528"/>
      <c r="FA243" s="528">
        <f t="shared" si="716"/>
        <v>0.2646</v>
      </c>
      <c r="FB243" s="460">
        <f t="shared" si="717"/>
        <v>723.5183815212431</v>
      </c>
      <c r="FC243" s="173">
        <f t="shared" si="718"/>
        <v>1.9785747732780841</v>
      </c>
      <c r="FD243" s="5">
        <f t="shared" si="719"/>
        <v>6.48</v>
      </c>
      <c r="FE243" s="173">
        <f t="shared" si="720"/>
        <v>0.76608650673294276</v>
      </c>
      <c r="FF243" s="5">
        <f t="shared" si="721"/>
        <v>76.608650673294278</v>
      </c>
      <c r="FI243" s="562">
        <f t="shared" si="676"/>
        <v>-50</v>
      </c>
      <c r="FJ243">
        <f t="shared" si="677"/>
        <v>-50</v>
      </c>
      <c r="FL243">
        <f t="shared" si="678"/>
        <v>0.36431784107946025</v>
      </c>
    </row>
    <row r="244" spans="5:168">
      <c r="E244" s="170">
        <v>28</v>
      </c>
      <c r="F244" s="217">
        <f t="shared" si="679"/>
        <v>0.28000000000000003</v>
      </c>
      <c r="G244" s="217"/>
      <c r="H244" s="217">
        <f t="shared" si="603"/>
        <v>6.7200000000000006</v>
      </c>
      <c r="I244" s="541">
        <f t="shared" si="604"/>
        <v>35.92301996410805</v>
      </c>
      <c r="J244" s="172">
        <f t="shared" si="605"/>
        <v>16.356177530509115</v>
      </c>
      <c r="K244" s="172">
        <f t="shared" si="606"/>
        <v>52.279197494617165</v>
      </c>
      <c r="L244" s="443"/>
      <c r="M244" s="217">
        <f t="shared" si="607"/>
        <v>0.3128640612264586</v>
      </c>
      <c r="N244" s="172">
        <f t="shared" si="608"/>
        <v>63.045917836266661</v>
      </c>
      <c r="O244" s="172">
        <f t="shared" si="599"/>
        <v>6.7200000000000006</v>
      </c>
      <c r="P244" s="217">
        <f t="shared" si="609"/>
        <v>2.6269132431777775</v>
      </c>
      <c r="Q244" s="217">
        <f t="shared" si="610"/>
        <v>24</v>
      </c>
      <c r="R244" s="217"/>
      <c r="S244" s="172">
        <f t="shared" si="611"/>
        <v>658.94156724014977</v>
      </c>
      <c r="T244" s="172">
        <f t="shared" si="612"/>
        <v>24</v>
      </c>
      <c r="U244" s="217">
        <f t="shared" si="613"/>
        <v>1.2218546033170765</v>
      </c>
      <c r="V244" s="217">
        <f t="shared" si="614"/>
        <v>0.34013137106453595</v>
      </c>
      <c r="W244" s="217">
        <f t="shared" si="615"/>
        <v>0.74702943339784367</v>
      </c>
      <c r="X244" s="197">
        <f t="shared" si="616"/>
        <v>350</v>
      </c>
      <c r="Y244" s="443">
        <f t="shared" si="680"/>
        <v>350</v>
      </c>
      <c r="AA244" s="217">
        <f t="shared" si="617"/>
        <v>3.2111286003001851</v>
      </c>
      <c r="AB244" s="173">
        <f t="shared" si="618"/>
        <v>1.9632512512844025</v>
      </c>
      <c r="AC244" s="173">
        <f t="shared" si="619"/>
        <v>0.73586384301450503</v>
      </c>
      <c r="AD244" s="173"/>
      <c r="AE244" s="173">
        <f t="shared" si="620"/>
        <v>1.3586439851714256</v>
      </c>
      <c r="AF244" s="545">
        <f t="shared" si="621"/>
        <v>278.07954002394797</v>
      </c>
      <c r="AG244" s="528">
        <f t="shared" si="622"/>
        <v>0.35241715370918814</v>
      </c>
      <c r="AI244" s="173">
        <f t="shared" si="623"/>
        <v>1.9807879358726765</v>
      </c>
      <c r="AJ244" s="173">
        <f t="shared" si="624"/>
        <v>2.2222222222222223</v>
      </c>
      <c r="AK244" s="173">
        <f t="shared" si="625"/>
        <v>1.1589025942993989</v>
      </c>
      <c r="AM244" s="545">
        <f t="shared" si="626"/>
        <v>280</v>
      </c>
      <c r="AN244" s="460">
        <f t="shared" si="627"/>
        <v>278.07954002394797</v>
      </c>
      <c r="AP244">
        <f t="shared" si="628"/>
        <v>280</v>
      </c>
      <c r="AQ244">
        <f t="shared" si="629"/>
        <v>278.07954002394797</v>
      </c>
      <c r="AS244" s="5">
        <f t="shared" si="600"/>
        <v>3.5960934051957971</v>
      </c>
      <c r="AT244" s="5">
        <f t="shared" si="630"/>
        <v>0.61860673864350013</v>
      </c>
      <c r="AU244" s="5">
        <f t="shared" si="722"/>
        <v>2.9774866665522968</v>
      </c>
      <c r="AV244" s="5"/>
      <c r="AW244" s="173">
        <f t="shared" si="723"/>
        <v>0.17202187733769911</v>
      </c>
      <c r="AX244" s="173">
        <f t="shared" si="631"/>
        <v>6.8661614820727905</v>
      </c>
      <c r="AY244" s="173">
        <f t="shared" si="632"/>
        <v>0.61362378646194971</v>
      </c>
      <c r="AZ244" s="173">
        <f t="shared" si="633"/>
        <v>11.189529535127555</v>
      </c>
      <c r="BA244" s="460">
        <f t="shared" si="594"/>
        <v>0.72170786175075019</v>
      </c>
      <c r="BB244" s="5">
        <f t="shared" si="595"/>
        <v>0.46415711566990647</v>
      </c>
      <c r="BD244" s="173">
        <f t="shared" si="681"/>
        <v>0.53213117188807679</v>
      </c>
      <c r="BE244" s="173">
        <f t="shared" si="682"/>
        <v>0.77868556443023285</v>
      </c>
      <c r="BG244" s="528">
        <f t="shared" si="683"/>
        <v>1.1326543363799117E-2</v>
      </c>
      <c r="BH244" s="528">
        <f t="shared" si="634"/>
        <v>0.7268887596062138</v>
      </c>
      <c r="BI244" s="528">
        <f t="shared" si="635"/>
        <v>0.39957827471561064</v>
      </c>
      <c r="BJ244" s="528">
        <f t="shared" si="684"/>
        <v>0.13300406357024691</v>
      </c>
      <c r="BK244">
        <f t="shared" si="685"/>
        <v>1.6165358983848622E-2</v>
      </c>
      <c r="BL244" s="460">
        <f t="shared" si="686"/>
        <v>415.74363369945928</v>
      </c>
      <c r="BM244" s="528">
        <f t="shared" si="636"/>
        <v>0.87663672635000933</v>
      </c>
      <c r="BN244" s="460">
        <f t="shared" si="687"/>
        <v>876.63672635000933</v>
      </c>
      <c r="BO244" s="528">
        <f t="shared" si="637"/>
        <v>0.19600000000000001</v>
      </c>
      <c r="BR244" s="460">
        <f t="shared" si="688"/>
        <v>196</v>
      </c>
      <c r="BS244" s="528">
        <f t="shared" si="689"/>
        <v>8.4949075228493379E-3</v>
      </c>
      <c r="BT244" s="528">
        <f t="shared" si="690"/>
        <v>1.8190536247560906E-2</v>
      </c>
      <c r="BU244" s="528">
        <f t="shared" si="691"/>
        <v>0.47463669460041019</v>
      </c>
      <c r="BV244" s="528"/>
      <c r="BW244" s="528">
        <f t="shared" si="692"/>
        <v>0.27464645928291165</v>
      </c>
      <c r="BX244" s="460">
        <f t="shared" si="693"/>
        <v>775.9685976537321</v>
      </c>
      <c r="BY244" s="173">
        <f t="shared" si="694"/>
        <v>2.2589315978934512</v>
      </c>
      <c r="BZ244" s="5">
        <f t="shared" si="695"/>
        <v>6.7200000000000006</v>
      </c>
      <c r="CA244" s="173">
        <f t="shared" si="696"/>
        <v>0.74841866504212828</v>
      </c>
      <c r="CB244" s="5">
        <f t="shared" si="697"/>
        <v>74.841866504212831</v>
      </c>
      <c r="CE244" s="562">
        <f t="shared" si="638"/>
        <v>-50</v>
      </c>
      <c r="CF244">
        <f t="shared" si="639"/>
        <v>-50</v>
      </c>
      <c r="CG244" s="173">
        <f t="shared" si="640"/>
        <v>0.38172633989898791</v>
      </c>
      <c r="CI244" s="170">
        <v>28</v>
      </c>
      <c r="CJ244" s="217">
        <f t="shared" si="698"/>
        <v>0.28000000000000003</v>
      </c>
      <c r="CK244" s="217"/>
      <c r="CL244" s="217">
        <f t="shared" si="641"/>
        <v>6.7200000000000006</v>
      </c>
      <c r="CM244" s="541">
        <f t="shared" si="642"/>
        <v>36</v>
      </c>
      <c r="CN244" s="443">
        <f t="shared" si="643"/>
        <v>16.3415</v>
      </c>
      <c r="CO244" s="443">
        <f t="shared" si="644"/>
        <v>52.341499999999996</v>
      </c>
      <c r="CP244" s="443"/>
      <c r="CQ244" s="217">
        <f t="shared" si="645"/>
        <v>0.31220924123305599</v>
      </c>
      <c r="CR244" s="172">
        <f t="shared" si="646"/>
        <v>63.048783011568261</v>
      </c>
      <c r="CS244" s="172">
        <f t="shared" si="647"/>
        <v>6.7200000000000006</v>
      </c>
      <c r="CT244" s="217">
        <f t="shared" si="648"/>
        <v>2.6270326254820109</v>
      </c>
      <c r="CU244" s="217">
        <f t="shared" si="649"/>
        <v>24</v>
      </c>
      <c r="CV244" s="217"/>
      <c r="CW244" s="172">
        <f t="shared" si="650"/>
        <v>660.35353662861951</v>
      </c>
      <c r="CX244" s="172">
        <f t="shared" si="651"/>
        <v>24</v>
      </c>
      <c r="CY244" s="217">
        <f t="shared" si="652"/>
        <v>1.1957792532305278</v>
      </c>
      <c r="CZ244" s="217">
        <f t="shared" si="653"/>
        <v>0.33216090367514661</v>
      </c>
      <c r="DA244" s="217">
        <f t="shared" si="654"/>
        <v>0.73174387493836435</v>
      </c>
      <c r="DB244" s="197">
        <f t="shared" si="655"/>
        <v>350</v>
      </c>
      <c r="DC244" s="443">
        <f t="shared" si="656"/>
        <v>350</v>
      </c>
      <c r="DE244" s="217">
        <f t="shared" si="657"/>
        <v>3.211295052682861</v>
      </c>
      <c r="DF244" s="173">
        <f t="shared" si="658"/>
        <v>1.96511645361984</v>
      </c>
      <c r="DG244" s="173">
        <f t="shared" si="659"/>
        <v>0.73660113681324435</v>
      </c>
      <c r="DH244" s="173"/>
      <c r="DI244" s="173">
        <f t="shared" si="660"/>
        <v>1.3598642855443031</v>
      </c>
      <c r="DJ244" s="545">
        <f t="shared" si="661"/>
        <v>277.82999999999993</v>
      </c>
      <c r="DK244" s="528">
        <f t="shared" si="662"/>
        <v>0.35273368606701955</v>
      </c>
      <c r="DM244" s="173">
        <f t="shared" si="663"/>
        <v>1.9798989873223332</v>
      </c>
      <c r="DN244" s="173">
        <f t="shared" si="664"/>
        <v>2.2222222222222223</v>
      </c>
      <c r="DO244" s="173">
        <f t="shared" si="665"/>
        <v>1.15876</v>
      </c>
      <c r="DQ244" s="545">
        <f t="shared" si="666"/>
        <v>280</v>
      </c>
      <c r="DR244" s="460">
        <f t="shared" si="667"/>
        <v>277.82999999999993</v>
      </c>
      <c r="DT244">
        <f t="shared" si="668"/>
        <v>280</v>
      </c>
      <c r="DU244">
        <f t="shared" si="669"/>
        <v>277.82999999999993</v>
      </c>
      <c r="DW244" s="5">
        <f t="shared" si="670"/>
        <v>3.5993233272144844</v>
      </c>
      <c r="DX244" s="5">
        <f t="shared" si="671"/>
        <v>0.61728395061728403</v>
      </c>
      <c r="DY244" s="5">
        <f t="shared" si="672"/>
        <v>2.9820393765972004</v>
      </c>
      <c r="DZ244" s="5"/>
      <c r="EA244" s="173">
        <f t="shared" si="673"/>
        <v>0.17149999999999999</v>
      </c>
      <c r="EB244" s="173">
        <f t="shared" si="699"/>
        <v>6.8599999999999994</v>
      </c>
      <c r="EC244" s="173">
        <f t="shared" si="700"/>
        <v>0.61401055555555561</v>
      </c>
      <c r="ED244" s="173">
        <f t="shared" si="701"/>
        <v>11.172446365833375</v>
      </c>
      <c r="EE244" s="460">
        <f t="shared" si="674"/>
        <v>0.72016460905349811</v>
      </c>
      <c r="EF244" s="5">
        <f t="shared" si="675"/>
        <v>0.46387279191511999</v>
      </c>
      <c r="EH244" s="173">
        <f t="shared" si="702"/>
        <v>0.53132337304975696</v>
      </c>
      <c r="EI244" s="173">
        <f t="shared" si="703"/>
        <v>0.77893092981062051</v>
      </c>
      <c r="EK244" s="528">
        <f t="shared" si="704"/>
        <v>1.129218106995885E-2</v>
      </c>
      <c r="EL244" s="528">
        <f t="shared" si="705"/>
        <v>0.88868015774999987</v>
      </c>
      <c r="EM244" s="528">
        <f t="shared" si="706"/>
        <v>5.5565999999999983E-2</v>
      </c>
      <c r="EN244" s="528">
        <f t="shared" si="707"/>
        <v>0.13320162300195051</v>
      </c>
      <c r="EO244">
        <f t="shared" si="708"/>
        <v>1.6199999999999999E-2</v>
      </c>
      <c r="EP244" s="460">
        <f t="shared" si="709"/>
        <v>71.765999999999977</v>
      </c>
      <c r="EQ244" s="460"/>
      <c r="ER244" s="460">
        <f t="shared" si="710"/>
        <v>1104.9399618219093</v>
      </c>
      <c r="ES244" s="528">
        <f t="shared" si="711"/>
        <v>0.19600000000000001</v>
      </c>
      <c r="EV244" s="460">
        <f t="shared" si="712"/>
        <v>196</v>
      </c>
      <c r="EW244" s="528">
        <f t="shared" si="713"/>
        <v>8.4691358024691354E-3</v>
      </c>
      <c r="EX244" s="528">
        <f t="shared" si="714"/>
        <v>1.8202001802469135E-2</v>
      </c>
      <c r="EY244" s="528">
        <f t="shared" si="715"/>
        <v>0.47357260022144354</v>
      </c>
      <c r="EZ244" s="528"/>
      <c r="FA244" s="528">
        <f t="shared" si="716"/>
        <v>0.27439999999999998</v>
      </c>
      <c r="FB244" s="460">
        <f t="shared" si="717"/>
        <v>774.64373782638177</v>
      </c>
      <c r="FC244" s="173">
        <f t="shared" si="718"/>
        <v>2.0755836996482913</v>
      </c>
      <c r="FD244" s="5">
        <f t="shared" si="719"/>
        <v>6.7200000000000006</v>
      </c>
      <c r="FE244" s="173">
        <f t="shared" si="720"/>
        <v>0.76401978873428411</v>
      </c>
      <c r="FF244" s="5">
        <f t="shared" si="721"/>
        <v>76.401978873428405</v>
      </c>
      <c r="FI244" s="562">
        <f t="shared" si="676"/>
        <v>-50</v>
      </c>
      <c r="FJ244">
        <f t="shared" si="677"/>
        <v>-50</v>
      </c>
      <c r="FL244">
        <f t="shared" si="678"/>
        <v>0.37781109445277367</v>
      </c>
    </row>
    <row r="245" spans="5:168">
      <c r="E245" s="170">
        <v>29</v>
      </c>
      <c r="F245" s="217">
        <f t="shared" si="679"/>
        <v>0.28999999999999998</v>
      </c>
      <c r="G245" s="217"/>
      <c r="H245" s="217">
        <f t="shared" si="603"/>
        <v>6.9599999999999991</v>
      </c>
      <c r="I245" s="541">
        <f t="shared" si="604"/>
        <v>35.92301996410805</v>
      </c>
      <c r="J245" s="172">
        <f t="shared" si="605"/>
        <v>16.356177530509115</v>
      </c>
      <c r="K245" s="172">
        <f t="shared" si="606"/>
        <v>52.279197494617165</v>
      </c>
      <c r="L245" s="443"/>
      <c r="M245" s="217">
        <f t="shared" si="607"/>
        <v>0.3128640612264586</v>
      </c>
      <c r="N245" s="172">
        <f t="shared" si="608"/>
        <v>63.045917836266661</v>
      </c>
      <c r="O245" s="172">
        <f t="shared" si="599"/>
        <v>6.9599999999999991</v>
      </c>
      <c r="P245" s="217">
        <f t="shared" si="609"/>
        <v>2.6269132431777775</v>
      </c>
      <c r="Q245" s="217">
        <f t="shared" si="610"/>
        <v>24</v>
      </c>
      <c r="R245" s="217"/>
      <c r="S245" s="172">
        <f t="shared" si="611"/>
        <v>634.36527449625555</v>
      </c>
      <c r="T245" s="172">
        <f t="shared" si="612"/>
        <v>24</v>
      </c>
      <c r="U245" s="217">
        <f t="shared" si="613"/>
        <v>1.2654922677212577</v>
      </c>
      <c r="V245" s="217">
        <f t="shared" si="614"/>
        <v>0.35227892003112643</v>
      </c>
      <c r="W245" s="217">
        <f t="shared" si="615"/>
        <v>0.77370905601919515</v>
      </c>
      <c r="X245" s="197">
        <f t="shared" si="616"/>
        <v>350</v>
      </c>
      <c r="Y245" s="443">
        <f t="shared" si="680"/>
        <v>350</v>
      </c>
      <c r="AA245" s="217">
        <f t="shared" si="617"/>
        <v>3.2111286003001851</v>
      </c>
      <c r="AB245" s="173">
        <f t="shared" si="618"/>
        <v>1.9632512512844025</v>
      </c>
      <c r="AC245" s="173">
        <f t="shared" si="619"/>
        <v>0.73586384301450503</v>
      </c>
      <c r="AD245" s="173"/>
      <c r="AE245" s="173">
        <f t="shared" si="620"/>
        <v>1.3586439851714256</v>
      </c>
      <c r="AF245" s="545">
        <f t="shared" si="621"/>
        <v>288.01095216766032</v>
      </c>
      <c r="AG245" s="528">
        <f t="shared" si="622"/>
        <v>0.35241715370918814</v>
      </c>
      <c r="AI245" s="173">
        <f t="shared" si="623"/>
        <v>2.0158488513355448</v>
      </c>
      <c r="AJ245" s="173">
        <f t="shared" si="624"/>
        <v>2.2222222222222223</v>
      </c>
      <c r="AK245" s="173">
        <f t="shared" si="625"/>
        <v>1.1645776869529487</v>
      </c>
      <c r="AM245" s="545">
        <f t="shared" si="626"/>
        <v>290</v>
      </c>
      <c r="AN245" s="460">
        <f t="shared" si="627"/>
        <v>288.01095216766032</v>
      </c>
      <c r="AP245">
        <f t="shared" si="628"/>
        <v>290</v>
      </c>
      <c r="AQ245">
        <f t="shared" si="629"/>
        <v>288.01095216766032</v>
      </c>
      <c r="AS245" s="5">
        <f t="shared" si="600"/>
        <v>3.4720901843269774</v>
      </c>
      <c r="AT245" s="5">
        <f t="shared" si="630"/>
        <v>0.61860673864350013</v>
      </c>
      <c r="AU245" s="5">
        <f t="shared" si="722"/>
        <v>2.8534834456834774</v>
      </c>
      <c r="AV245" s="5"/>
      <c r="AW245" s="173">
        <f t="shared" si="723"/>
        <v>0.17816551581404547</v>
      </c>
      <c r="AX245" s="173">
        <f t="shared" si="631"/>
        <v>7.11138153500396</v>
      </c>
      <c r="AY245" s="173">
        <f t="shared" si="632"/>
        <v>0.60907066772447971</v>
      </c>
      <c r="AZ245" s="173">
        <f t="shared" si="633"/>
        <v>11.675790531125818</v>
      </c>
      <c r="BA245" s="460">
        <f t="shared" ref="BA245:BA308" si="724">F245*AT245/Vout_ripple*1000</f>
        <v>0.74748314252756265</v>
      </c>
      <c r="BB245" s="5">
        <f t="shared" ref="BB245:BB308" si="725">H245/Efficiency/I245*AU245/Vinripple1</f>
        <v>0.4607130469960502</v>
      </c>
      <c r="BD245" s="173">
        <f t="shared" si="681"/>
        <v>0.54155015394811501</v>
      </c>
      <c r="BE245" s="173">
        <f t="shared" si="682"/>
        <v>0.77579124279879619</v>
      </c>
      <c r="BG245" s="528">
        <f t="shared" si="683"/>
        <v>1.1731062769649083E-2</v>
      </c>
      <c r="BH245" s="528">
        <f t="shared" si="634"/>
        <v>0.75284907244929267</v>
      </c>
      <c r="BI245" s="528">
        <f t="shared" si="635"/>
        <v>0.41384892738402518</v>
      </c>
      <c r="BJ245" s="528">
        <f t="shared" si="684"/>
        <v>0.13775420869775568</v>
      </c>
      <c r="BK245">
        <f t="shared" si="685"/>
        <v>1.6165358983848622E-2</v>
      </c>
      <c r="BL245" s="460">
        <f t="shared" si="686"/>
        <v>430.01428636787381</v>
      </c>
      <c r="BM245" s="528">
        <f t="shared" si="636"/>
        <v>0.90803269085050142</v>
      </c>
      <c r="BN245" s="460">
        <f t="shared" si="687"/>
        <v>908.03269085050147</v>
      </c>
      <c r="BO245" s="528">
        <f t="shared" si="637"/>
        <v>0.20299999999999999</v>
      </c>
      <c r="BR245" s="460">
        <f t="shared" si="688"/>
        <v>203</v>
      </c>
      <c r="BS245" s="528">
        <f t="shared" si="689"/>
        <v>8.7982970772368125E-3</v>
      </c>
      <c r="BT245" s="528">
        <f t="shared" si="690"/>
        <v>1.8055561572099022E-2</v>
      </c>
      <c r="BU245" s="528">
        <f t="shared" si="691"/>
        <v>0.51815683019993042</v>
      </c>
      <c r="BV245" s="528"/>
      <c r="BW245" s="528">
        <f t="shared" si="692"/>
        <v>0.28445526140015842</v>
      </c>
      <c r="BX245" s="460">
        <f t="shared" si="693"/>
        <v>829.46595024942474</v>
      </c>
      <c r="BY245" s="173">
        <f t="shared" si="694"/>
        <v>2.364814580533996</v>
      </c>
      <c r="BZ245" s="5">
        <f t="shared" si="695"/>
        <v>6.9599999999999991</v>
      </c>
      <c r="CA245" s="173">
        <f t="shared" si="696"/>
        <v>0.74639553847315498</v>
      </c>
      <c r="CB245" s="5">
        <f t="shared" si="697"/>
        <v>74.639553847315497</v>
      </c>
      <c r="CE245" s="562">
        <f t="shared" si="638"/>
        <v>-50</v>
      </c>
      <c r="CF245">
        <f t="shared" si="639"/>
        <v>-50</v>
      </c>
      <c r="CG245" s="173">
        <f t="shared" si="640"/>
        <v>0.3953594234668088</v>
      </c>
      <c r="CI245" s="170">
        <v>29</v>
      </c>
      <c r="CJ245" s="217">
        <f t="shared" si="698"/>
        <v>0.28999999999999998</v>
      </c>
      <c r="CK245" s="217"/>
      <c r="CL245" s="217">
        <f t="shared" si="641"/>
        <v>6.9599999999999991</v>
      </c>
      <c r="CM245" s="541">
        <f t="shared" si="642"/>
        <v>36</v>
      </c>
      <c r="CN245" s="443">
        <f t="shared" si="643"/>
        <v>16.3415</v>
      </c>
      <c r="CO245" s="443">
        <f t="shared" si="644"/>
        <v>52.341499999999996</v>
      </c>
      <c r="CP245" s="443"/>
      <c r="CQ245" s="217">
        <f t="shared" si="645"/>
        <v>0.31220924123305599</v>
      </c>
      <c r="CR245" s="172">
        <f t="shared" si="646"/>
        <v>63.048783011568261</v>
      </c>
      <c r="CS245" s="172">
        <f t="shared" si="647"/>
        <v>6.9599999999999991</v>
      </c>
      <c r="CT245" s="217">
        <f t="shared" si="648"/>
        <v>2.6270326254820109</v>
      </c>
      <c r="CU245" s="217">
        <f t="shared" si="649"/>
        <v>24</v>
      </c>
      <c r="CV245" s="217"/>
      <c r="CW245" s="172">
        <f t="shared" si="650"/>
        <v>635.72457555734286</v>
      </c>
      <c r="CX245" s="172">
        <f t="shared" si="651"/>
        <v>24</v>
      </c>
      <c r="CY245" s="217">
        <f t="shared" si="652"/>
        <v>1.2384856551316177</v>
      </c>
      <c r="CZ245" s="217">
        <f t="shared" si="653"/>
        <v>0.34402379309211606</v>
      </c>
      <c r="DA245" s="217">
        <f t="shared" si="654"/>
        <v>0.75787758475759137</v>
      </c>
      <c r="DB245" s="197">
        <f t="shared" si="655"/>
        <v>350</v>
      </c>
      <c r="DC245" s="443">
        <f t="shared" si="656"/>
        <v>350</v>
      </c>
      <c r="DE245" s="217">
        <f t="shared" si="657"/>
        <v>3.211295052682861</v>
      </c>
      <c r="DF245" s="173">
        <f t="shared" si="658"/>
        <v>1.96511645361984</v>
      </c>
      <c r="DG245" s="173">
        <f t="shared" si="659"/>
        <v>0.73660113681324435</v>
      </c>
      <c r="DH245" s="173"/>
      <c r="DI245" s="173">
        <f t="shared" si="660"/>
        <v>1.3598642855443031</v>
      </c>
      <c r="DJ245" s="545">
        <f t="shared" si="661"/>
        <v>287.75249999999988</v>
      </c>
      <c r="DK245" s="528">
        <f t="shared" si="662"/>
        <v>0.35273368606701955</v>
      </c>
      <c r="DM245" s="173">
        <f t="shared" si="663"/>
        <v>2.0149441679609881</v>
      </c>
      <c r="DN245" s="173">
        <f t="shared" si="664"/>
        <v>2.2222222222222223</v>
      </c>
      <c r="DO245" s="173">
        <f t="shared" si="665"/>
        <v>1.1644299999999999</v>
      </c>
      <c r="DQ245" s="545">
        <f t="shared" si="666"/>
        <v>290</v>
      </c>
      <c r="DR245" s="460">
        <f t="shared" si="667"/>
        <v>287.75249999999988</v>
      </c>
      <c r="DT245">
        <f t="shared" si="668"/>
        <v>290</v>
      </c>
      <c r="DU245">
        <f t="shared" si="669"/>
        <v>287.75249999999988</v>
      </c>
      <c r="DW245" s="5">
        <f t="shared" si="670"/>
        <v>3.4752087297243306</v>
      </c>
      <c r="DX245" s="5">
        <f t="shared" si="671"/>
        <v>0.61728395061728403</v>
      </c>
      <c r="DY245" s="5">
        <f t="shared" si="672"/>
        <v>2.8579247791070466</v>
      </c>
      <c r="DZ245" s="5"/>
      <c r="EA245" s="173">
        <f t="shared" si="673"/>
        <v>0.17762499999999995</v>
      </c>
      <c r="EB245" s="173">
        <f t="shared" si="699"/>
        <v>7.1049999999999986</v>
      </c>
      <c r="EC245" s="173">
        <f t="shared" si="700"/>
        <v>0.60947125000000013</v>
      </c>
      <c r="ED245" s="173">
        <f t="shared" si="701"/>
        <v>11.657645869267824</v>
      </c>
      <c r="EE245" s="460">
        <f t="shared" si="674"/>
        <v>0.74588477366255146</v>
      </c>
      <c r="EF245" s="5">
        <f t="shared" si="675"/>
        <v>0.46044343663391296</v>
      </c>
      <c r="EH245" s="173">
        <f t="shared" si="702"/>
        <v>0.5407280566751832</v>
      </c>
      <c r="EI245" s="173">
        <f t="shared" si="703"/>
        <v>0.77604631758487019</v>
      </c>
      <c r="EK245" s="528">
        <f t="shared" si="704"/>
        <v>1.1695473251028805E-2</v>
      </c>
      <c r="EL245" s="528">
        <f t="shared" si="705"/>
        <v>0.92041873481249981</v>
      </c>
      <c r="EM245" s="528">
        <f t="shared" si="706"/>
        <v>5.7550499999999977E-2</v>
      </c>
      <c r="EN245" s="528">
        <f t="shared" si="707"/>
        <v>0.13795882382344873</v>
      </c>
      <c r="EO245">
        <f t="shared" si="708"/>
        <v>1.6199999999999999E-2</v>
      </c>
      <c r="EP245" s="460">
        <f t="shared" si="709"/>
        <v>73.750499999999974</v>
      </c>
      <c r="EQ245" s="460"/>
      <c r="ER245" s="460">
        <f t="shared" si="710"/>
        <v>1143.8235318869774</v>
      </c>
      <c r="ES245" s="528">
        <f t="shared" si="711"/>
        <v>0.20299999999999999</v>
      </c>
      <c r="EV245" s="460">
        <f t="shared" si="712"/>
        <v>203</v>
      </c>
      <c r="EW245" s="528">
        <f t="shared" si="713"/>
        <v>8.7716049382716033E-3</v>
      </c>
      <c r="EX245" s="528">
        <f t="shared" si="714"/>
        <v>1.8067436611111116E-2</v>
      </c>
      <c r="EY245" s="528">
        <f t="shared" si="715"/>
        <v>0.51699516744458218</v>
      </c>
      <c r="EZ245" s="528"/>
      <c r="FA245" s="528">
        <f t="shared" si="716"/>
        <v>0.28419999999999995</v>
      </c>
      <c r="FB245" s="460">
        <f t="shared" si="717"/>
        <v>828.03420899396497</v>
      </c>
      <c r="FC245" s="173">
        <f t="shared" si="718"/>
        <v>2.1748577408809422</v>
      </c>
      <c r="FD245" s="5">
        <f t="shared" si="719"/>
        <v>6.9599999999999991</v>
      </c>
      <c r="FE245" s="173">
        <f t="shared" si="720"/>
        <v>0.76191662721271847</v>
      </c>
      <c r="FF245" s="5">
        <f t="shared" si="721"/>
        <v>76.191662721271854</v>
      </c>
      <c r="FI245" s="562">
        <f t="shared" si="676"/>
        <v>-50</v>
      </c>
      <c r="FJ245">
        <f t="shared" si="677"/>
        <v>-50</v>
      </c>
      <c r="FL245">
        <f t="shared" si="678"/>
        <v>0.39130434782608692</v>
      </c>
    </row>
    <row r="246" spans="5:168">
      <c r="E246" s="170">
        <v>30</v>
      </c>
      <c r="F246" s="217">
        <f t="shared" si="679"/>
        <v>0.3</v>
      </c>
      <c r="G246" s="217"/>
      <c r="H246" s="217">
        <f t="shared" si="603"/>
        <v>7.1999999999999993</v>
      </c>
      <c r="I246" s="541">
        <f t="shared" si="604"/>
        <v>35.92301996410805</v>
      </c>
      <c r="J246" s="172">
        <f t="shared" si="605"/>
        <v>16.356177530509115</v>
      </c>
      <c r="K246" s="172">
        <f t="shared" si="606"/>
        <v>52.279197494617165</v>
      </c>
      <c r="L246" s="443"/>
      <c r="M246" s="217">
        <f t="shared" si="607"/>
        <v>0.3128640612264586</v>
      </c>
      <c r="N246" s="172">
        <f t="shared" si="608"/>
        <v>63.045917836266661</v>
      </c>
      <c r="O246" s="172">
        <f t="shared" si="599"/>
        <v>7.1999999999999993</v>
      </c>
      <c r="P246" s="217">
        <f t="shared" si="609"/>
        <v>2.6269132431777775</v>
      </c>
      <c r="Q246" s="217">
        <f t="shared" si="610"/>
        <v>24</v>
      </c>
      <c r="R246" s="217"/>
      <c r="S246" s="172">
        <f t="shared" si="611"/>
        <v>611.4275158210346</v>
      </c>
      <c r="T246" s="172">
        <f t="shared" si="612"/>
        <v>24</v>
      </c>
      <c r="U246" s="217">
        <f t="shared" si="613"/>
        <v>1.3091299321254388</v>
      </c>
      <c r="V246" s="217">
        <f t="shared" si="614"/>
        <v>0.36442646899771691</v>
      </c>
      <c r="W246" s="217">
        <f t="shared" si="615"/>
        <v>0.80038867864054664</v>
      </c>
      <c r="X246" s="197">
        <f t="shared" si="616"/>
        <v>350</v>
      </c>
      <c r="Y246" s="443">
        <f t="shared" si="680"/>
        <v>350</v>
      </c>
      <c r="AA246" s="217">
        <f t="shared" si="617"/>
        <v>3.2111286003001851</v>
      </c>
      <c r="AB246" s="173">
        <f t="shared" si="618"/>
        <v>1.9632512512844025</v>
      </c>
      <c r="AC246" s="173">
        <f t="shared" si="619"/>
        <v>0.73586384301450503</v>
      </c>
      <c r="AD246" s="173"/>
      <c r="AE246" s="173">
        <f t="shared" si="620"/>
        <v>1.3586439851714256</v>
      </c>
      <c r="AF246" s="545">
        <f t="shared" si="621"/>
        <v>297.94236431137278</v>
      </c>
      <c r="AG246" s="528">
        <f t="shared" si="622"/>
        <v>0.35241715370918814</v>
      </c>
      <c r="AI246" s="173">
        <f t="shared" si="623"/>
        <v>2.0503103023598483</v>
      </c>
      <c r="AJ246" s="173">
        <f t="shared" si="624"/>
        <v>2.2222222222222223</v>
      </c>
      <c r="AK246" s="173">
        <f t="shared" si="625"/>
        <v>1.1702527796064988</v>
      </c>
      <c r="AM246" s="545">
        <f t="shared" si="626"/>
        <v>300</v>
      </c>
      <c r="AN246" s="460">
        <f t="shared" si="627"/>
        <v>297.94236431137278</v>
      </c>
      <c r="AP246">
        <f t="shared" si="628"/>
        <v>300</v>
      </c>
      <c r="AQ246">
        <f t="shared" si="629"/>
        <v>297.94236431137278</v>
      </c>
      <c r="AS246" s="5">
        <f t="shared" si="600"/>
        <v>3.3563538448494112</v>
      </c>
      <c r="AT246" s="5">
        <f t="shared" si="630"/>
        <v>0.61860673864350013</v>
      </c>
      <c r="AU246" s="5">
        <f t="shared" si="722"/>
        <v>2.7377471062059113</v>
      </c>
      <c r="AV246" s="5"/>
      <c r="AW246" s="173">
        <f t="shared" si="723"/>
        <v>0.18430915429039188</v>
      </c>
      <c r="AX246" s="173">
        <f t="shared" si="631"/>
        <v>7.3566015879351321</v>
      </c>
      <c r="AY246" s="173">
        <f t="shared" si="632"/>
        <v>0.6045175489870096</v>
      </c>
      <c r="AZ246" s="173">
        <f t="shared" si="633"/>
        <v>12.169376389920513</v>
      </c>
      <c r="BA246" s="460">
        <f t="shared" si="724"/>
        <v>0.77325842330437511</v>
      </c>
      <c r="BB246" s="5">
        <f t="shared" si="725"/>
        <v>0.45726897832219393</v>
      </c>
      <c r="BD246" s="173">
        <f t="shared" si="681"/>
        <v>0.55080809215867221</v>
      </c>
      <c r="BE246" s="173">
        <f t="shared" si="682"/>
        <v>0.77288608252094371</v>
      </c>
      <c r="BG246" s="528">
        <f t="shared" si="683"/>
        <v>1.2135582175499053E-2</v>
      </c>
      <c r="BH246" s="528">
        <f t="shared" si="634"/>
        <v>0.77880938529237187</v>
      </c>
      <c r="BI246" s="528">
        <f t="shared" si="635"/>
        <v>0.42811958005243994</v>
      </c>
      <c r="BJ246" s="528">
        <f t="shared" si="684"/>
        <v>0.14250435382526452</v>
      </c>
      <c r="BK246">
        <f t="shared" si="685"/>
        <v>1.6165358983848622E-2</v>
      </c>
      <c r="BL246" s="460">
        <f t="shared" si="686"/>
        <v>444.28493903628856</v>
      </c>
      <c r="BM246" s="528">
        <f t="shared" si="636"/>
        <v>0.93943470797480166</v>
      </c>
      <c r="BN246" s="460">
        <f t="shared" si="687"/>
        <v>939.43470797480165</v>
      </c>
      <c r="BO246" s="528">
        <f t="shared" si="637"/>
        <v>0.21</v>
      </c>
      <c r="BR246" s="460">
        <f t="shared" si="688"/>
        <v>210</v>
      </c>
      <c r="BS246" s="528">
        <f t="shared" si="689"/>
        <v>9.1016866316242905E-3</v>
      </c>
      <c r="BT246" s="528">
        <f t="shared" si="690"/>
        <v>1.7920586896637131E-2</v>
      </c>
      <c r="BU246" s="528">
        <f t="shared" si="691"/>
        <v>0.56398735815584411</v>
      </c>
      <c r="BV246" s="528"/>
      <c r="BW246" s="528">
        <f t="shared" si="692"/>
        <v>0.29426406351740531</v>
      </c>
      <c r="BX246" s="460">
        <f t="shared" si="693"/>
        <v>885.27369520151092</v>
      </c>
      <c r="BY246" s="173">
        <f t="shared" si="694"/>
        <v>2.4730079555309348</v>
      </c>
      <c r="BZ246" s="5">
        <f t="shared" si="695"/>
        <v>7.1999999999999993</v>
      </c>
      <c r="CA246" s="173">
        <f t="shared" si="696"/>
        <v>0.74433930304824236</v>
      </c>
      <c r="CB246" s="5">
        <f t="shared" si="697"/>
        <v>74.43393030482423</v>
      </c>
      <c r="CE246" s="562">
        <f t="shared" si="638"/>
        <v>-50</v>
      </c>
      <c r="CF246">
        <f t="shared" si="639"/>
        <v>-50</v>
      </c>
      <c r="CG246" s="173">
        <f t="shared" si="640"/>
        <v>0.40899250703462986</v>
      </c>
      <c r="CI246" s="170">
        <v>30</v>
      </c>
      <c r="CJ246" s="217">
        <f t="shared" si="698"/>
        <v>0.3</v>
      </c>
      <c r="CK246" s="217"/>
      <c r="CL246" s="217">
        <f t="shared" si="641"/>
        <v>7.1999999999999993</v>
      </c>
      <c r="CM246" s="541">
        <f t="shared" si="642"/>
        <v>36</v>
      </c>
      <c r="CN246" s="443">
        <f t="shared" si="643"/>
        <v>16.3415</v>
      </c>
      <c r="CO246" s="443">
        <f t="shared" si="644"/>
        <v>52.341499999999996</v>
      </c>
      <c r="CP246" s="443"/>
      <c r="CQ246" s="217">
        <f t="shared" si="645"/>
        <v>0.31220924123305599</v>
      </c>
      <c r="CR246" s="172">
        <f t="shared" si="646"/>
        <v>63.048783011568261</v>
      </c>
      <c r="CS246" s="172">
        <f t="shared" si="647"/>
        <v>7.1999999999999993</v>
      </c>
      <c r="CT246" s="217">
        <f t="shared" si="648"/>
        <v>2.6270326254820109</v>
      </c>
      <c r="CU246" s="217">
        <f t="shared" si="649"/>
        <v>24</v>
      </c>
      <c r="CV246" s="217"/>
      <c r="CW246" s="172">
        <f t="shared" si="650"/>
        <v>612.7376597772419</v>
      </c>
      <c r="CX246" s="172">
        <f t="shared" si="651"/>
        <v>24</v>
      </c>
      <c r="CY246" s="217">
        <f t="shared" si="652"/>
        <v>1.281192057032708</v>
      </c>
      <c r="CZ246" s="217">
        <f t="shared" si="653"/>
        <v>0.35588668250908562</v>
      </c>
      <c r="DA246" s="217">
        <f t="shared" si="654"/>
        <v>0.78401129457681862</v>
      </c>
      <c r="DB246" s="197">
        <f t="shared" si="655"/>
        <v>350</v>
      </c>
      <c r="DC246" s="443">
        <f t="shared" si="656"/>
        <v>350</v>
      </c>
      <c r="DE246" s="217">
        <f t="shared" si="657"/>
        <v>3.211295052682861</v>
      </c>
      <c r="DF246" s="173">
        <f t="shared" si="658"/>
        <v>1.96511645361984</v>
      </c>
      <c r="DG246" s="173">
        <f t="shared" si="659"/>
        <v>0.73660113681324435</v>
      </c>
      <c r="DH246" s="173"/>
      <c r="DI246" s="173">
        <f t="shared" si="660"/>
        <v>1.3598642855443031</v>
      </c>
      <c r="DJ246" s="545">
        <f t="shared" si="661"/>
        <v>297.6749999999999</v>
      </c>
      <c r="DK246" s="528">
        <f t="shared" si="662"/>
        <v>0.35273368606701955</v>
      </c>
      <c r="DM246" s="173">
        <f t="shared" si="663"/>
        <v>2.0493901531919194</v>
      </c>
      <c r="DN246" s="173">
        <f t="shared" si="664"/>
        <v>2.2222222222222223</v>
      </c>
      <c r="DO246" s="173">
        <f t="shared" si="665"/>
        <v>1.1700999999999999</v>
      </c>
      <c r="DQ246" s="545">
        <f t="shared" si="666"/>
        <v>300</v>
      </c>
      <c r="DR246" s="460">
        <f t="shared" si="667"/>
        <v>297.6749999999999</v>
      </c>
      <c r="DT246">
        <f t="shared" si="668"/>
        <v>300</v>
      </c>
      <c r="DU246">
        <f t="shared" si="669"/>
        <v>297.6749999999999</v>
      </c>
      <c r="DW246" s="5">
        <f t="shared" si="670"/>
        <v>3.3593684387335192</v>
      </c>
      <c r="DX246" s="5">
        <f t="shared" si="671"/>
        <v>0.61728395061728403</v>
      </c>
      <c r="DY246" s="5">
        <f t="shared" si="672"/>
        <v>2.7420844881162352</v>
      </c>
      <c r="DZ246" s="5"/>
      <c r="EA246" s="173">
        <f t="shared" si="673"/>
        <v>0.18374999999999997</v>
      </c>
      <c r="EB246" s="173">
        <f t="shared" si="699"/>
        <v>7.3499999999999988</v>
      </c>
      <c r="EC246" s="173">
        <f t="shared" si="700"/>
        <v>0.60493194444444454</v>
      </c>
      <c r="ED246" s="173">
        <f t="shared" si="701"/>
        <v>12.150127080410787</v>
      </c>
      <c r="EE246" s="460">
        <f t="shared" si="674"/>
        <v>0.77160493827160503</v>
      </c>
      <c r="EF246" s="5">
        <f t="shared" si="675"/>
        <v>0.45701408135270571</v>
      </c>
      <c r="EH246" s="173">
        <f t="shared" si="702"/>
        <v>0.54997194092287027</v>
      </c>
      <c r="EI246" s="173">
        <f t="shared" si="703"/>
        <v>0.7731509429978316</v>
      </c>
      <c r="EK246" s="528">
        <f t="shared" si="704"/>
        <v>1.2098765432098764E-2</v>
      </c>
      <c r="EL246" s="528">
        <f t="shared" si="705"/>
        <v>0.95215731187499986</v>
      </c>
      <c r="EM246" s="528">
        <f t="shared" si="706"/>
        <v>5.9534999999999977E-2</v>
      </c>
      <c r="EN246" s="528">
        <f t="shared" si="707"/>
        <v>0.14271602464494695</v>
      </c>
      <c r="EO246">
        <f t="shared" si="708"/>
        <v>1.6199999999999999E-2</v>
      </c>
      <c r="EP246" s="460">
        <f t="shared" si="709"/>
        <v>75.734999999999971</v>
      </c>
      <c r="EQ246" s="460"/>
      <c r="ER246" s="460">
        <f t="shared" si="710"/>
        <v>1182.7071019520456</v>
      </c>
      <c r="ES246" s="528">
        <f t="shared" si="711"/>
        <v>0.21</v>
      </c>
      <c r="EV246" s="460">
        <f t="shared" si="712"/>
        <v>210</v>
      </c>
      <c r="EW246" s="528">
        <f t="shared" si="713"/>
        <v>9.0740740740740729E-3</v>
      </c>
      <c r="EX246" s="528">
        <f t="shared" si="714"/>
        <v>1.7932871419753086E-2</v>
      </c>
      <c r="EY246" s="528">
        <f t="shared" si="715"/>
        <v>0.56272294732446582</v>
      </c>
      <c r="EZ246" s="528"/>
      <c r="FA246" s="528">
        <f t="shared" si="716"/>
        <v>0.29399999999999998</v>
      </c>
      <c r="FB246" s="460">
        <f t="shared" si="717"/>
        <v>883.72989281829302</v>
      </c>
      <c r="FC246" s="173">
        <f t="shared" si="718"/>
        <v>2.2764369947703385</v>
      </c>
      <c r="FD246" s="5">
        <f t="shared" si="719"/>
        <v>7.1999999999999993</v>
      </c>
      <c r="FE246" s="173">
        <f t="shared" si="720"/>
        <v>0.75977922968024658</v>
      </c>
      <c r="FF246" s="5">
        <f t="shared" si="721"/>
        <v>75.977922968024657</v>
      </c>
      <c r="FI246" s="562">
        <f t="shared" si="676"/>
        <v>-50</v>
      </c>
      <c r="FJ246">
        <f t="shared" si="677"/>
        <v>-50</v>
      </c>
      <c r="FL246">
        <f t="shared" si="678"/>
        <v>0.40479760119940028</v>
      </c>
    </row>
    <row r="247" spans="5:168">
      <c r="E247" s="170">
        <v>31</v>
      </c>
      <c r="F247" s="217">
        <f t="shared" si="679"/>
        <v>0.31</v>
      </c>
      <c r="G247" s="217"/>
      <c r="H247" s="217">
        <f t="shared" si="603"/>
        <v>7.4399999999999995</v>
      </c>
      <c r="I247" s="541">
        <f t="shared" si="604"/>
        <v>35.92301996410805</v>
      </c>
      <c r="J247" s="172">
        <f t="shared" si="605"/>
        <v>16.356177530509115</v>
      </c>
      <c r="K247" s="172">
        <f t="shared" si="606"/>
        <v>52.279197494617165</v>
      </c>
      <c r="L247" s="443"/>
      <c r="M247" s="217">
        <f t="shared" si="607"/>
        <v>0.3128640612264586</v>
      </c>
      <c r="N247" s="172">
        <f t="shared" si="608"/>
        <v>63.045917836266661</v>
      </c>
      <c r="O247" s="172">
        <f t="shared" si="599"/>
        <v>7.4399999999999995</v>
      </c>
      <c r="P247" s="217">
        <f t="shared" si="609"/>
        <v>2.6269132431777775</v>
      </c>
      <c r="Q247" s="217">
        <f t="shared" si="610"/>
        <v>24</v>
      </c>
      <c r="R247" s="217"/>
      <c r="S247" s="172">
        <f t="shared" si="611"/>
        <v>589.96972436748297</v>
      </c>
      <c r="T247" s="172">
        <f t="shared" si="612"/>
        <v>24</v>
      </c>
      <c r="U247" s="217">
        <f t="shared" si="613"/>
        <v>1.3527675965296202</v>
      </c>
      <c r="V247" s="217">
        <f t="shared" si="614"/>
        <v>0.37657401796430751</v>
      </c>
      <c r="W247" s="217">
        <f t="shared" si="615"/>
        <v>0.82706830126189823</v>
      </c>
      <c r="X247" s="197">
        <f t="shared" si="616"/>
        <v>350</v>
      </c>
      <c r="Y247" s="443">
        <f t="shared" si="680"/>
        <v>350</v>
      </c>
      <c r="AA247" s="217">
        <f t="shared" si="617"/>
        <v>3.2111286003001851</v>
      </c>
      <c r="AB247" s="173">
        <f t="shared" si="618"/>
        <v>1.9632512512844025</v>
      </c>
      <c r="AC247" s="173">
        <f t="shared" si="619"/>
        <v>0.73586384301450503</v>
      </c>
      <c r="AD247" s="173"/>
      <c r="AE247" s="173">
        <f t="shared" si="620"/>
        <v>1.3586439851714256</v>
      </c>
      <c r="AF247" s="545">
        <f t="shared" si="621"/>
        <v>307.87377645508519</v>
      </c>
      <c r="AG247" s="528">
        <f t="shared" si="622"/>
        <v>0.35241715370918814</v>
      </c>
      <c r="AI247" s="173">
        <f t="shared" si="623"/>
        <v>2.0842020248754753</v>
      </c>
      <c r="AJ247" s="173">
        <f t="shared" si="624"/>
        <v>2.2222222222222223</v>
      </c>
      <c r="AK247" s="173">
        <f t="shared" si="625"/>
        <v>1.1759278722600488</v>
      </c>
      <c r="AM247" s="545">
        <f t="shared" si="626"/>
        <v>310</v>
      </c>
      <c r="AN247" s="460">
        <f t="shared" si="627"/>
        <v>307.87377645508519</v>
      </c>
      <c r="AP247">
        <f t="shared" si="628"/>
        <v>310</v>
      </c>
      <c r="AQ247">
        <f t="shared" si="629"/>
        <v>307.87377645508519</v>
      </c>
      <c r="AS247" s="5">
        <f t="shared" si="600"/>
        <v>3.2480843659833014</v>
      </c>
      <c r="AT247" s="5">
        <f t="shared" si="630"/>
        <v>0.61860673864350013</v>
      </c>
      <c r="AU247" s="5">
        <f t="shared" si="722"/>
        <v>2.6294776273398011</v>
      </c>
      <c r="AV247" s="5"/>
      <c r="AW247" s="173">
        <f t="shared" si="723"/>
        <v>0.19045279276673827</v>
      </c>
      <c r="AX247" s="173">
        <f t="shared" si="631"/>
        <v>7.6018216408663024</v>
      </c>
      <c r="AY247" s="173">
        <f t="shared" si="632"/>
        <v>0.59996443024953949</v>
      </c>
      <c r="AZ247" s="173">
        <f t="shared" si="633"/>
        <v>12.670453876248169</v>
      </c>
      <c r="BA247" s="460">
        <f t="shared" si="724"/>
        <v>0.79903370408118779</v>
      </c>
      <c r="BB247" s="5">
        <f t="shared" si="725"/>
        <v>0.4538249096483376</v>
      </c>
      <c r="BD247" s="173">
        <f t="shared" si="681"/>
        <v>0.5599129749646149</v>
      </c>
      <c r="BE247" s="173">
        <f t="shared" si="682"/>
        <v>0.76996996091136005</v>
      </c>
      <c r="BG247" s="528">
        <f t="shared" si="683"/>
        <v>1.2540101581349019E-2</v>
      </c>
      <c r="BH247" s="528">
        <f t="shared" si="634"/>
        <v>0.80476969813545085</v>
      </c>
      <c r="BI247" s="528">
        <f t="shared" si="635"/>
        <v>0.44239023272085454</v>
      </c>
      <c r="BJ247" s="528">
        <f t="shared" si="684"/>
        <v>0.14725449895277334</v>
      </c>
      <c r="BK247">
        <f t="shared" si="685"/>
        <v>1.6165358983848622E-2</v>
      </c>
      <c r="BL247" s="460">
        <f t="shared" si="686"/>
        <v>458.55559170470315</v>
      </c>
      <c r="BM247" s="528">
        <f t="shared" si="636"/>
        <v>0.97084277947334718</v>
      </c>
      <c r="BN247" s="460">
        <f t="shared" si="687"/>
        <v>970.84277947334715</v>
      </c>
      <c r="BO247" s="528">
        <f t="shared" si="637"/>
        <v>0.217</v>
      </c>
      <c r="BR247" s="460">
        <f t="shared" si="688"/>
        <v>217</v>
      </c>
      <c r="BS247" s="528">
        <f t="shared" si="689"/>
        <v>9.4050761860117633E-3</v>
      </c>
      <c r="BT247" s="528">
        <f t="shared" si="690"/>
        <v>1.7785612221175237E-2</v>
      </c>
      <c r="BU247" s="528">
        <f t="shared" si="691"/>
        <v>0.61216777903291986</v>
      </c>
      <c r="BV247" s="528"/>
      <c r="BW247" s="528">
        <f t="shared" si="692"/>
        <v>0.30407286563465213</v>
      </c>
      <c r="BX247" s="460">
        <f t="shared" si="693"/>
        <v>943.43133307475898</v>
      </c>
      <c r="BY247" s="173">
        <f t="shared" si="694"/>
        <v>2.5835512234490356</v>
      </c>
      <c r="BZ247" s="5">
        <f t="shared" si="695"/>
        <v>7.4399999999999995</v>
      </c>
      <c r="CA247" s="173">
        <f t="shared" si="696"/>
        <v>0.74225190595074819</v>
      </c>
      <c r="CB247" s="5">
        <f t="shared" si="697"/>
        <v>74.225190595074821</v>
      </c>
      <c r="CE247" s="562">
        <f t="shared" si="638"/>
        <v>-50</v>
      </c>
      <c r="CF247">
        <f t="shared" si="639"/>
        <v>-50</v>
      </c>
      <c r="CG247" s="173">
        <f t="shared" si="640"/>
        <v>0.42262559060245081</v>
      </c>
      <c r="CI247" s="170">
        <v>31</v>
      </c>
      <c r="CJ247" s="217">
        <f t="shared" si="698"/>
        <v>0.31</v>
      </c>
      <c r="CK247" s="217"/>
      <c r="CL247" s="217">
        <f t="shared" si="641"/>
        <v>7.4399999999999995</v>
      </c>
      <c r="CM247" s="541">
        <f t="shared" si="642"/>
        <v>36</v>
      </c>
      <c r="CN247" s="443">
        <f t="shared" si="643"/>
        <v>16.3415</v>
      </c>
      <c r="CO247" s="443">
        <f t="shared" si="644"/>
        <v>52.341499999999996</v>
      </c>
      <c r="CP247" s="443"/>
      <c r="CQ247" s="217">
        <f t="shared" si="645"/>
        <v>0.31220924123305599</v>
      </c>
      <c r="CR247" s="172">
        <f t="shared" si="646"/>
        <v>63.048783011568261</v>
      </c>
      <c r="CS247" s="172">
        <f t="shared" si="647"/>
        <v>7.4399999999999995</v>
      </c>
      <c r="CT247" s="217">
        <f t="shared" si="648"/>
        <v>2.6270326254820109</v>
      </c>
      <c r="CU247" s="217">
        <f t="shared" si="649"/>
        <v>24</v>
      </c>
      <c r="CV247" s="217"/>
      <c r="CW247" s="172">
        <f t="shared" si="650"/>
        <v>591.23388264562084</v>
      </c>
      <c r="CX247" s="172">
        <f t="shared" si="651"/>
        <v>24</v>
      </c>
      <c r="CY247" s="217">
        <f t="shared" si="652"/>
        <v>1.3238984589337983</v>
      </c>
      <c r="CZ247" s="217">
        <f t="shared" si="653"/>
        <v>0.36774957192605512</v>
      </c>
      <c r="DA247" s="217">
        <f t="shared" si="654"/>
        <v>0.81014500439604586</v>
      </c>
      <c r="DB247" s="197">
        <f t="shared" si="655"/>
        <v>350</v>
      </c>
      <c r="DC247" s="443">
        <f t="shared" si="656"/>
        <v>350</v>
      </c>
      <c r="DE247" s="217">
        <f t="shared" si="657"/>
        <v>3.211295052682861</v>
      </c>
      <c r="DF247" s="173">
        <f t="shared" si="658"/>
        <v>1.96511645361984</v>
      </c>
      <c r="DG247" s="173">
        <f t="shared" si="659"/>
        <v>0.73660113681324435</v>
      </c>
      <c r="DH247" s="173"/>
      <c r="DI247" s="173">
        <f t="shared" si="660"/>
        <v>1.3598642855443031</v>
      </c>
      <c r="DJ247" s="545">
        <f t="shared" si="661"/>
        <v>307.59749999999991</v>
      </c>
      <c r="DK247" s="528">
        <f t="shared" si="662"/>
        <v>0.35273368606701955</v>
      </c>
      <c r="DM247" s="173">
        <f t="shared" si="663"/>
        <v>2.0832666655999654</v>
      </c>
      <c r="DN247" s="173">
        <f t="shared" si="664"/>
        <v>2.2222222222222223</v>
      </c>
      <c r="DO247" s="173">
        <f t="shared" si="665"/>
        <v>1.17577</v>
      </c>
      <c r="DQ247" s="545">
        <f t="shared" si="666"/>
        <v>310</v>
      </c>
      <c r="DR247" s="460">
        <f t="shared" si="667"/>
        <v>307.59749999999991</v>
      </c>
      <c r="DT247">
        <f t="shared" si="668"/>
        <v>310</v>
      </c>
      <c r="DU247">
        <f t="shared" si="669"/>
        <v>307.59749999999991</v>
      </c>
      <c r="DW247" s="5">
        <f t="shared" si="670"/>
        <v>3.2510017149034054</v>
      </c>
      <c r="DX247" s="5">
        <f t="shared" si="671"/>
        <v>0.61728395061728403</v>
      </c>
      <c r="DY247" s="5">
        <f t="shared" si="672"/>
        <v>2.6337177642861214</v>
      </c>
      <c r="DZ247" s="5"/>
      <c r="EA247" s="173">
        <f t="shared" si="673"/>
        <v>0.18987499999999999</v>
      </c>
      <c r="EB247" s="173">
        <f t="shared" si="699"/>
        <v>7.5949999999999998</v>
      </c>
      <c r="EC247" s="173">
        <f t="shared" si="700"/>
        <v>0.60039263888888894</v>
      </c>
      <c r="ED247" s="173">
        <f t="shared" si="701"/>
        <v>12.650055160662223</v>
      </c>
      <c r="EE247" s="460">
        <f t="shared" si="674"/>
        <v>0.7973251028806585</v>
      </c>
      <c r="EF247" s="5">
        <f t="shared" si="675"/>
        <v>0.45358472607149863</v>
      </c>
      <c r="EH247" s="173">
        <f t="shared" si="702"/>
        <v>0.55906300211086957</v>
      </c>
      <c r="EI247" s="173">
        <f t="shared" si="703"/>
        <v>0.77024468468132612</v>
      </c>
      <c r="EK247" s="528">
        <f t="shared" si="704"/>
        <v>1.2502057613168726E-2</v>
      </c>
      <c r="EL247" s="528">
        <f t="shared" si="705"/>
        <v>0.98389588893749991</v>
      </c>
      <c r="EM247" s="528">
        <f t="shared" si="706"/>
        <v>6.1519499999999984E-2</v>
      </c>
      <c r="EN247" s="528">
        <f t="shared" si="707"/>
        <v>0.1474732254664452</v>
      </c>
      <c r="EO247">
        <f t="shared" si="708"/>
        <v>1.6199999999999999E-2</v>
      </c>
      <c r="EP247" s="460">
        <f t="shared" si="709"/>
        <v>77.719499999999982</v>
      </c>
      <c r="EQ247" s="460"/>
      <c r="ER247" s="460">
        <f t="shared" si="710"/>
        <v>1221.590672017114</v>
      </c>
      <c r="ES247" s="528">
        <f t="shared" si="711"/>
        <v>0.217</v>
      </c>
      <c r="EV247" s="460">
        <f t="shared" si="712"/>
        <v>217</v>
      </c>
      <c r="EW247" s="528">
        <f t="shared" si="713"/>
        <v>9.3765432098765443E-3</v>
      </c>
      <c r="EX247" s="528">
        <f t="shared" si="714"/>
        <v>1.7798306228395067E-2</v>
      </c>
      <c r="EY247" s="528">
        <f t="shared" si="715"/>
        <v>0.61079535186901968</v>
      </c>
      <c r="EZ247" s="528"/>
      <c r="FA247" s="528">
        <f t="shared" si="716"/>
        <v>0.30380000000000001</v>
      </c>
      <c r="FB247" s="460">
        <f t="shared" si="717"/>
        <v>941.77020130729125</v>
      </c>
      <c r="FC247" s="173">
        <f t="shared" si="718"/>
        <v>2.3803608733244053</v>
      </c>
      <c r="FD247" s="5">
        <f t="shared" si="719"/>
        <v>7.4399999999999995</v>
      </c>
      <c r="FE247" s="173">
        <f t="shared" si="720"/>
        <v>0.7576096332884964</v>
      </c>
      <c r="FF247" s="5">
        <f t="shared" si="721"/>
        <v>75.760963328849641</v>
      </c>
      <c r="FI247" s="562">
        <f t="shared" si="676"/>
        <v>-50</v>
      </c>
      <c r="FJ247">
        <f t="shared" si="677"/>
        <v>-50</v>
      </c>
      <c r="FL247">
        <f t="shared" si="678"/>
        <v>0.41829085457271359</v>
      </c>
    </row>
    <row r="248" spans="5:168">
      <c r="E248" s="170">
        <v>32</v>
      </c>
      <c r="F248" s="217">
        <f t="shared" si="679"/>
        <v>0.32</v>
      </c>
      <c r="G248" s="217"/>
      <c r="H248" s="217">
        <f t="shared" ref="H248:H279" si="726">F248*Vout</f>
        <v>7.68</v>
      </c>
      <c r="I248" s="541">
        <f t="shared" ref="I248:I279" si="727">VIN_max-F248*(Rdcr_pri+RON/1000)/CG248/Nps</f>
        <v>35.92301996410805</v>
      </c>
      <c r="J248" s="172">
        <f t="shared" ref="J248:J279" si="728">(T248+Vfwd1+F248/CG248*Rdcr_sec)*Nps</f>
        <v>16.356177530509115</v>
      </c>
      <c r="K248" s="172">
        <f t="shared" ref="K248:K279" si="729">(Vout+Vfwd1+F248/CG248*Rdcr_sec)*Nps+I248</f>
        <v>52.279197494617165</v>
      </c>
      <c r="L248" s="443"/>
      <c r="M248" s="217">
        <f t="shared" ref="M248:M279" si="730">(Vout+Vfwd1+F248/FL248*Rdcr_sec)*Nps/((Vout+Vfwd1+F248/FL248*Rdcr_sec)*Nps+I248)</f>
        <v>0.3128640612264586</v>
      </c>
      <c r="N248" s="172">
        <f t="shared" ref="N248:N279" si="731">M248*I248*(Isw_max+VIN_max/Lmag*ILIM_delay)*0.5*Efficiency</f>
        <v>63.045917836266661</v>
      </c>
      <c r="O248" s="172">
        <f t="shared" si="599"/>
        <v>7.68</v>
      </c>
      <c r="P248" s="217">
        <f t="shared" ref="P248:P279" si="732">N248/Vout</f>
        <v>2.6269132431777775</v>
      </c>
      <c r="Q248" s="217">
        <f t="shared" ref="Q248:Q279" si="733">MIN(Vout,N248/F248)</f>
        <v>24</v>
      </c>
      <c r="R248" s="217"/>
      <c r="S248" s="172">
        <f t="shared" ref="S248:S279" si="734">(SQRT(Isw_max^2*Nps^2*I248^2+4*Isw_max*F248/Efficiency*(Nps^2*Vfwd1*I248-Nps*I248^2)+4*(F248/Efficiency)^2*Nps^2*Vfwd1^2+8*(F248/Efficiency)^2*Nps*Vfwd1*I248+4*(F248/Efficiency)^2*I248^2)-2*F248/Efficiency*I248-2*F248/Efficiency*Nps*Vfwd1+Isw_max*Nps*I248)/(4*F248/Efficiency*Nps)</f>
        <v>569.8531541552544</v>
      </c>
      <c r="T248" s="172">
        <f t="shared" ref="T248:T279" si="735">MIN(Vout, S248)</f>
        <v>24</v>
      </c>
      <c r="U248" s="217">
        <f t="shared" ref="U248:U279" si="736">MIN(2*(Vout+Vfwd1+F248/FL248*Rdcr_sec)*F248/(I248*M248), Isw_max)</f>
        <v>1.3964052609338016</v>
      </c>
      <c r="V248" s="217">
        <f t="shared" ref="V248:V279" si="737">L*U248/I248*1000000</f>
        <v>0.3887215669308981</v>
      </c>
      <c r="W248" s="217">
        <f t="shared" ref="W248:W279" si="738">L*U248/J248*1000000</f>
        <v>0.85374792388324983</v>
      </c>
      <c r="X248" s="197">
        <f t="shared" ref="X248:X279" si="739">IF(1/((350000*L)*(1/I248+1/J248))&gt;Isw_min, 350, 0.001/((Isw_min*L)*(1/I248+1/J248)))</f>
        <v>350</v>
      </c>
      <c r="Y248" s="443">
        <f t="shared" si="680"/>
        <v>350</v>
      </c>
      <c r="AA248" s="217">
        <f t="shared" ref="AA248:AA279" si="740">1/((X248*1000*L)*(1/I248+1/J248))</f>
        <v>3.2111286003001851</v>
      </c>
      <c r="AB248" s="173">
        <f t="shared" ref="AB248:AB279" si="741">L*AA248/J248*1000000</f>
        <v>1.9632512512844025</v>
      </c>
      <c r="AC248" s="173">
        <f t="shared" ref="AC248:AC279" si="742">0.5*AB248*AA248*Nps*X248/1000</f>
        <v>0.73586384301450503</v>
      </c>
      <c r="AD248" s="173"/>
      <c r="AE248" s="173">
        <f t="shared" ref="AE248:AE279" si="743">L*Isw_min/J248*1000000</f>
        <v>1.3586439851714256</v>
      </c>
      <c r="AF248" s="545">
        <f t="shared" ref="AF248:AF279" si="744">MAX(12000,F248/(0.5*AE248/1000000*Isw_min*Nps))/1000</f>
        <v>317.80518859879766</v>
      </c>
      <c r="AG248" s="528">
        <f t="shared" ref="AG248:AG279" si="745">0.5*AE248/1000000*Isw_min*Nps*X248*1000</f>
        <v>0.35241715370918814</v>
      </c>
      <c r="AI248" s="173">
        <f t="shared" ref="AI248:AI279" si="746">SQRT(F248/(0.5*L/J248*Fsw_DCM*Nps))</f>
        <v>2.1175513748259163</v>
      </c>
      <c r="AJ248" s="173">
        <f t="shared" ref="AJ248:AJ279" si="747">MAX(IF(F248&gt;AC248,U248,AI248),Isw_min)</f>
        <v>2.2222222222222223</v>
      </c>
      <c r="AK248" s="173">
        <f t="shared" ref="AK248:AK279" si="748">IF(F248&gt;AG248, (AJ248-Isw_min)/1.08*0.8+1.2, AF248*0.2/350+1)</f>
        <v>1.1816029649135986</v>
      </c>
      <c r="AM248" s="545">
        <f t="shared" ref="AM248:AM279" si="749">F248*1000</f>
        <v>320</v>
      </c>
      <c r="AN248" s="460">
        <f t="shared" ref="AN248:AN279" si="750">IF(F248&gt;AG248, Y248, AF248)</f>
        <v>317.80518859879766</v>
      </c>
      <c r="AP248">
        <f t="shared" ref="AP248:AP279" si="751">IF(H248&gt;N248, "",AM248)</f>
        <v>320</v>
      </c>
      <c r="AQ248">
        <f t="shared" ref="AQ248:AQ279" si="752">IF(H248&gt;N248, "",AN248)</f>
        <v>317.80518859879766</v>
      </c>
      <c r="AS248" s="5">
        <f t="shared" si="600"/>
        <v>3.1465817295463223</v>
      </c>
      <c r="AT248" s="5">
        <f t="shared" ref="AT248:AT279" si="753">L*AJ248/I248*1000000</f>
        <v>0.61860673864350013</v>
      </c>
      <c r="AU248" s="5">
        <f t="shared" si="722"/>
        <v>2.5279749909028224</v>
      </c>
      <c r="AV248" s="5"/>
      <c r="AW248" s="173">
        <f t="shared" si="723"/>
        <v>0.19659643124308471</v>
      </c>
      <c r="AX248" s="173">
        <f t="shared" si="631"/>
        <v>7.8470416937974754</v>
      </c>
      <c r="AY248" s="173">
        <f t="shared" si="632"/>
        <v>0.5954113115120695</v>
      </c>
      <c r="AZ248" s="173">
        <f t="shared" si="633"/>
        <v>13.179194855854547</v>
      </c>
      <c r="BA248" s="460">
        <f t="shared" si="724"/>
        <v>0.82480898485800014</v>
      </c>
      <c r="BB248" s="5">
        <f t="shared" si="725"/>
        <v>0.45038084097448122</v>
      </c>
      <c r="BD248" s="173">
        <f t="shared" si="681"/>
        <v>0.56887215143648473</v>
      </c>
      <c r="BE248" s="173">
        <f t="shared" si="682"/>
        <v>0.76704275295260538</v>
      </c>
      <c r="BG248" s="528">
        <f t="shared" si="683"/>
        <v>1.2944620987198993E-2</v>
      </c>
      <c r="BH248" s="528">
        <f t="shared" ref="BH248:BH279" si="754">0.5*K248*AJ248*AN248*1000*Tfall</f>
        <v>0.83073001097852983</v>
      </c>
      <c r="BI248" s="528">
        <f t="shared" ref="BI248:BI279" si="755">Qg*Vdd*AN248*1000*0+Qg*I248*AN248*1000</f>
        <v>0.4566608853892693</v>
      </c>
      <c r="BJ248" s="528">
        <f t="shared" si="684"/>
        <v>0.15200464408028216</v>
      </c>
      <c r="BK248">
        <f t="shared" si="685"/>
        <v>1.6165358983848622E-2</v>
      </c>
      <c r="BL248" s="460">
        <f t="shared" si="686"/>
        <v>472.82624437311796</v>
      </c>
      <c r="BM248" s="528">
        <f t="shared" ref="BM248:BM279" si="756">(BH248+BI248*0+BJ248+BK248*0+BG248*(1+RdsonTC*(Ta-25)))/(1-BG248*RdsonTC*ThetaJA)</f>
        <v>1.0022569070972509</v>
      </c>
      <c r="BN248" s="460">
        <f t="shared" si="687"/>
        <v>1002.2569070972509</v>
      </c>
      <c r="BO248" s="528">
        <f t="shared" si="637"/>
        <v>0.22399999999999998</v>
      </c>
      <c r="BR248" s="460">
        <f t="shared" si="688"/>
        <v>223.99999999999997</v>
      </c>
      <c r="BS248" s="528">
        <f t="shared" si="689"/>
        <v>9.7084657403992448E-3</v>
      </c>
      <c r="BT248" s="528">
        <f t="shared" si="690"/>
        <v>1.7650637545713346E-2</v>
      </c>
      <c r="BU248" s="528">
        <f t="shared" si="691"/>
        <v>0.66273694017887996</v>
      </c>
      <c r="BV248" s="528"/>
      <c r="BW248" s="528">
        <f t="shared" si="692"/>
        <v>0.31388166775189896</v>
      </c>
      <c r="BX248" s="460">
        <f t="shared" si="693"/>
        <v>1003.9777112168915</v>
      </c>
      <c r="BY248" s="173">
        <f t="shared" si="694"/>
        <v>2.6964832316360203</v>
      </c>
      <c r="BZ248" s="5">
        <f t="shared" si="695"/>
        <v>7.68</v>
      </c>
      <c r="CA248" s="173">
        <f t="shared" si="696"/>
        <v>0.74013515259052987</v>
      </c>
      <c r="CB248" s="5">
        <f t="shared" si="697"/>
        <v>74.01351525905298</v>
      </c>
      <c r="CE248" s="562">
        <f t="shared" ref="CE248:CE279" si="757">IF(ABS(F248-Ioutmax_Vinmax)&lt;Iout/200, AN248, -50)</f>
        <v>-50</v>
      </c>
      <c r="CF248">
        <f t="shared" ref="CF248:CF279" si="758">IF(ABS(F248-Ioutmax_Vinmin)&lt;Iout/200, N248*CA248, -50)</f>
        <v>-50</v>
      </c>
      <c r="CG248" s="173">
        <f t="shared" ref="CG248:CG279" si="759">MIN(SQRT(2*DU248*1000*Ls1_*CL248)/CU248,1-EA248-0.00000005*DU248*1000)</f>
        <v>0.43625867417027187</v>
      </c>
      <c r="CI248" s="170">
        <v>32</v>
      </c>
      <c r="CJ248" s="217">
        <f t="shared" si="698"/>
        <v>0.32</v>
      </c>
      <c r="CK248" s="217"/>
      <c r="CL248" s="217">
        <f t="shared" si="641"/>
        <v>7.68</v>
      </c>
      <c r="CM248" s="541">
        <f t="shared" si="642"/>
        <v>36</v>
      </c>
      <c r="CN248" s="443">
        <f t="shared" si="643"/>
        <v>16.3415</v>
      </c>
      <c r="CO248" s="443">
        <f t="shared" si="644"/>
        <v>52.341499999999996</v>
      </c>
      <c r="CP248" s="443"/>
      <c r="CQ248" s="217">
        <f t="shared" si="645"/>
        <v>0.31220924123305599</v>
      </c>
      <c r="CR248" s="172">
        <f t="shared" si="646"/>
        <v>63.048783011568261</v>
      </c>
      <c r="CS248" s="172">
        <f t="shared" si="647"/>
        <v>7.68</v>
      </c>
      <c r="CT248" s="217">
        <f t="shared" si="648"/>
        <v>2.6270326254820109</v>
      </c>
      <c r="CU248" s="217">
        <f t="shared" si="649"/>
        <v>24</v>
      </c>
      <c r="CV248" s="217"/>
      <c r="CW248" s="172">
        <f t="shared" si="650"/>
        <v>571.07420086090394</v>
      </c>
      <c r="CX248" s="172">
        <f t="shared" si="651"/>
        <v>24</v>
      </c>
      <c r="CY248" s="217">
        <f t="shared" si="652"/>
        <v>1.3666048608348886</v>
      </c>
      <c r="CZ248" s="217">
        <f t="shared" si="653"/>
        <v>0.37961246134302468</v>
      </c>
      <c r="DA248" s="217">
        <f t="shared" si="654"/>
        <v>0.83627871421527322</v>
      </c>
      <c r="DB248" s="197">
        <f t="shared" si="655"/>
        <v>350</v>
      </c>
      <c r="DC248" s="443">
        <f t="shared" si="656"/>
        <v>350</v>
      </c>
      <c r="DE248" s="217">
        <f t="shared" si="657"/>
        <v>3.211295052682861</v>
      </c>
      <c r="DF248" s="173">
        <f t="shared" si="658"/>
        <v>1.96511645361984</v>
      </c>
      <c r="DG248" s="173">
        <f t="shared" si="659"/>
        <v>0.73660113681324435</v>
      </c>
      <c r="DH248" s="173"/>
      <c r="DI248" s="173">
        <f t="shared" si="660"/>
        <v>1.3598642855443031</v>
      </c>
      <c r="DJ248" s="545">
        <f t="shared" si="661"/>
        <v>317.51999999999987</v>
      </c>
      <c r="DK248" s="528">
        <f t="shared" si="662"/>
        <v>0.35273368606701955</v>
      </c>
      <c r="DM248" s="173">
        <f t="shared" si="663"/>
        <v>2.1166010488516722</v>
      </c>
      <c r="DN248" s="173">
        <f t="shared" si="664"/>
        <v>2.2222222222222223</v>
      </c>
      <c r="DO248" s="173">
        <f t="shared" si="665"/>
        <v>1.1814399999999998</v>
      </c>
      <c r="DQ248" s="545">
        <f t="shared" si="666"/>
        <v>320</v>
      </c>
      <c r="DR248" s="460">
        <f t="shared" si="667"/>
        <v>317.51999999999987</v>
      </c>
      <c r="DT248">
        <f t="shared" si="668"/>
        <v>320</v>
      </c>
      <c r="DU248">
        <f t="shared" si="669"/>
        <v>317.51999999999987</v>
      </c>
      <c r="DW248" s="5">
        <f t="shared" si="670"/>
        <v>3.1494079113126747</v>
      </c>
      <c r="DX248" s="5">
        <f t="shared" si="671"/>
        <v>0.61728395061728403</v>
      </c>
      <c r="DY248" s="5">
        <f t="shared" si="672"/>
        <v>2.5321239606953907</v>
      </c>
      <c r="DZ248" s="5"/>
      <c r="EA248" s="173">
        <f t="shared" si="673"/>
        <v>0.19599999999999992</v>
      </c>
      <c r="EB248" s="173">
        <f t="shared" si="699"/>
        <v>7.8399999999999981</v>
      </c>
      <c r="EC248" s="173">
        <f t="shared" si="700"/>
        <v>0.59585333333333346</v>
      </c>
      <c r="ED248" s="173">
        <f t="shared" si="701"/>
        <v>13.157600304325443</v>
      </c>
      <c r="EE248" s="460">
        <f t="shared" si="674"/>
        <v>0.82304526748971207</v>
      </c>
      <c r="EF248" s="5">
        <f t="shared" si="675"/>
        <v>0.45015537079029161</v>
      </c>
      <c r="EH248" s="173">
        <f t="shared" si="702"/>
        <v>0.56800857815350558</v>
      </c>
      <c r="EI248" s="173">
        <f t="shared" si="703"/>
        <v>0.76732741896874423</v>
      </c>
      <c r="EK248" s="528">
        <f t="shared" si="704"/>
        <v>1.2905349794238683E-2</v>
      </c>
      <c r="EL248" s="528">
        <f t="shared" si="705"/>
        <v>1.0156344659999996</v>
      </c>
      <c r="EM248" s="528">
        <f t="shared" si="706"/>
        <v>6.3503999999999963E-2</v>
      </c>
      <c r="EN248" s="528">
        <f t="shared" si="707"/>
        <v>0.15223042628794342</v>
      </c>
      <c r="EO248">
        <f t="shared" si="708"/>
        <v>1.6199999999999999E-2</v>
      </c>
      <c r="EP248" s="460">
        <f t="shared" si="709"/>
        <v>79.703999999999965</v>
      </c>
      <c r="EQ248" s="460"/>
      <c r="ER248" s="460">
        <f t="shared" si="710"/>
        <v>1260.4742420821817</v>
      </c>
      <c r="ES248" s="528">
        <f t="shared" si="711"/>
        <v>0.22399999999999998</v>
      </c>
      <c r="EV248" s="460">
        <f t="shared" si="712"/>
        <v>223.99999999999997</v>
      </c>
      <c r="EW248" s="528">
        <f t="shared" si="713"/>
        <v>9.6790123456790122E-3</v>
      </c>
      <c r="EX248" s="528">
        <f t="shared" si="714"/>
        <v>1.7663741037037044E-2</v>
      </c>
      <c r="EY248" s="528">
        <f t="shared" si="715"/>
        <v>0.66125114133357121</v>
      </c>
      <c r="EZ248" s="528"/>
      <c r="FA248" s="528">
        <f t="shared" si="716"/>
        <v>0.31359999999999999</v>
      </c>
      <c r="FB248" s="460">
        <f t="shared" si="717"/>
        <v>1002.1938947162874</v>
      </c>
      <c r="FC248" s="173">
        <f t="shared" si="718"/>
        <v>2.4866681367984689</v>
      </c>
      <c r="FD248" s="5">
        <f t="shared" si="719"/>
        <v>7.68</v>
      </c>
      <c r="FE248" s="173">
        <f t="shared" si="720"/>
        <v>0.75540972683096419</v>
      </c>
      <c r="FF248" s="5">
        <f t="shared" si="721"/>
        <v>75.540972683096413</v>
      </c>
      <c r="FI248" s="562">
        <f t="shared" si="676"/>
        <v>-50</v>
      </c>
      <c r="FJ248">
        <f t="shared" si="677"/>
        <v>-50</v>
      </c>
      <c r="FL248">
        <f t="shared" ref="FL248:FL279" si="760">MIN(SQRT(2*L*DR248*1000*CJ248*(CX248+Vfwd1))/(Nps*(CX248+Vfwd1)), 1-EA248)</f>
        <v>0.43178410794602695</v>
      </c>
    </row>
    <row r="249" spans="5:168">
      <c r="E249" s="170">
        <v>33</v>
      </c>
      <c r="F249" s="217">
        <f t="shared" ref="F249:F280" si="761">IF(PLOT_TYPE=1, E249/100*Iout_max, min_I*EXP(N249*rr/100))</f>
        <v>0.33</v>
      </c>
      <c r="G249" s="217"/>
      <c r="H249" s="217">
        <f t="shared" si="726"/>
        <v>7.92</v>
      </c>
      <c r="I249" s="541">
        <f t="shared" si="727"/>
        <v>35.92301996410805</v>
      </c>
      <c r="J249" s="172">
        <f t="shared" si="728"/>
        <v>16.356177530509115</v>
      </c>
      <c r="K249" s="172">
        <f t="shared" si="729"/>
        <v>52.279197494617165</v>
      </c>
      <c r="L249" s="443"/>
      <c r="M249" s="217">
        <f t="shared" si="730"/>
        <v>0.3128640612264586</v>
      </c>
      <c r="N249" s="172">
        <f t="shared" si="731"/>
        <v>63.045917836266661</v>
      </c>
      <c r="O249" s="172">
        <f t="shared" si="599"/>
        <v>7.92</v>
      </c>
      <c r="P249" s="217">
        <f t="shared" si="732"/>
        <v>2.6269132431777775</v>
      </c>
      <c r="Q249" s="217">
        <f t="shared" si="733"/>
        <v>24</v>
      </c>
      <c r="R249" s="217"/>
      <c r="S249" s="172">
        <f t="shared" si="734"/>
        <v>550.95587690919467</v>
      </c>
      <c r="T249" s="172">
        <f t="shared" si="735"/>
        <v>24</v>
      </c>
      <c r="U249" s="217">
        <f t="shared" si="736"/>
        <v>1.4400429253379829</v>
      </c>
      <c r="V249" s="217">
        <f t="shared" si="737"/>
        <v>0.40086911589748875</v>
      </c>
      <c r="W249" s="217">
        <f t="shared" si="738"/>
        <v>0.88042754650460153</v>
      </c>
      <c r="X249" s="197">
        <f t="shared" si="739"/>
        <v>350</v>
      </c>
      <c r="Y249" s="443">
        <f t="shared" si="680"/>
        <v>350</v>
      </c>
      <c r="AA249" s="217">
        <f t="shared" si="740"/>
        <v>3.2111286003001851</v>
      </c>
      <c r="AB249" s="173">
        <f t="shared" si="741"/>
        <v>1.9632512512844025</v>
      </c>
      <c r="AC249" s="173">
        <f t="shared" si="742"/>
        <v>0.73586384301450503</v>
      </c>
      <c r="AD249" s="173"/>
      <c r="AE249" s="173">
        <f t="shared" si="743"/>
        <v>1.3586439851714256</v>
      </c>
      <c r="AF249" s="545">
        <f t="shared" si="744"/>
        <v>327.73660074251012</v>
      </c>
      <c r="AG249" s="528">
        <f t="shared" si="745"/>
        <v>0.35241715370918814</v>
      </c>
      <c r="AI249" s="173">
        <f t="shared" si="746"/>
        <v>2.1503835866094279</v>
      </c>
      <c r="AJ249" s="173">
        <f t="shared" si="747"/>
        <v>2.2222222222222223</v>
      </c>
      <c r="AK249" s="173">
        <f t="shared" si="748"/>
        <v>1.1872780575671487</v>
      </c>
      <c r="AM249" s="545">
        <f t="shared" si="749"/>
        <v>330</v>
      </c>
      <c r="AN249" s="460">
        <f t="shared" si="750"/>
        <v>327.73660074251012</v>
      </c>
      <c r="AP249">
        <f t="shared" si="751"/>
        <v>330</v>
      </c>
      <c r="AQ249">
        <f t="shared" si="752"/>
        <v>327.73660074251012</v>
      </c>
      <c r="AS249" s="5">
        <f t="shared" si="600"/>
        <v>3.0512307680449187</v>
      </c>
      <c r="AT249" s="5">
        <f t="shared" si="753"/>
        <v>0.61860673864350013</v>
      </c>
      <c r="AU249" s="5">
        <f t="shared" si="722"/>
        <v>2.4326240294014188</v>
      </c>
      <c r="AV249" s="5"/>
      <c r="AW249" s="173">
        <f t="shared" si="723"/>
        <v>0.20274006971943109</v>
      </c>
      <c r="AX249" s="173">
        <f t="shared" si="631"/>
        <v>8.0922617467286457</v>
      </c>
      <c r="AY249" s="173">
        <f t="shared" si="632"/>
        <v>0.5908581927745995</v>
      </c>
      <c r="AZ249" s="173">
        <f t="shared" si="633"/>
        <v>13.695776492035003</v>
      </c>
      <c r="BA249" s="460">
        <f t="shared" si="724"/>
        <v>0.85058426563481271</v>
      </c>
      <c r="BB249" s="5">
        <f t="shared" si="725"/>
        <v>0.44693677230062484</v>
      </c>
      <c r="BD249" s="173">
        <f t="shared" si="681"/>
        <v>0.57769240069973582</v>
      </c>
      <c r="BE249" s="173">
        <f t="shared" si="682"/>
        <v>0.76410433123257593</v>
      </c>
      <c r="BG249" s="528">
        <f t="shared" si="683"/>
        <v>1.3349140393048966E-2</v>
      </c>
      <c r="BH249" s="528">
        <f t="shared" si="754"/>
        <v>0.85669032382160915</v>
      </c>
      <c r="BI249" s="528">
        <f t="shared" si="755"/>
        <v>0.47093153805768395</v>
      </c>
      <c r="BJ249" s="528">
        <f t="shared" si="684"/>
        <v>0.15675478920779098</v>
      </c>
      <c r="BK249">
        <f t="shared" si="685"/>
        <v>1.6165358983848622E-2</v>
      </c>
      <c r="BL249" s="460">
        <f t="shared" si="686"/>
        <v>487.0968970415326</v>
      </c>
      <c r="BM249" s="528">
        <f t="shared" si="756"/>
        <v>1.0336770925983017</v>
      </c>
      <c r="BN249" s="460">
        <f t="shared" si="687"/>
        <v>1033.6770925983017</v>
      </c>
      <c r="BO249" s="528">
        <f t="shared" si="637"/>
        <v>0.23099999999999998</v>
      </c>
      <c r="BR249" s="460">
        <f t="shared" si="688"/>
        <v>230.99999999999997</v>
      </c>
      <c r="BS249" s="528">
        <f t="shared" si="689"/>
        <v>1.0011855294786725E-2</v>
      </c>
      <c r="BT249" s="528">
        <f t="shared" si="690"/>
        <v>1.7515662870251462E-2</v>
      </c>
      <c r="BU249" s="528">
        <f t="shared" si="691"/>
        <v>0.71573306710284879</v>
      </c>
      <c r="BV249" s="528"/>
      <c r="BW249" s="528">
        <f t="shared" si="692"/>
        <v>0.3236904698691459</v>
      </c>
      <c r="BX249" s="460">
        <f t="shared" si="693"/>
        <v>1066.9510551370329</v>
      </c>
      <c r="BY249" s="173">
        <f t="shared" si="694"/>
        <v>2.8118422056010144</v>
      </c>
      <c r="BZ249" s="5">
        <f t="shared" si="695"/>
        <v>7.92</v>
      </c>
      <c r="CA249" s="173">
        <f t="shared" si="696"/>
        <v>0.73799072407778266</v>
      </c>
      <c r="CB249" s="5">
        <f t="shared" si="697"/>
        <v>73.799072407778269</v>
      </c>
      <c r="CE249" s="562">
        <f t="shared" si="757"/>
        <v>-50</v>
      </c>
      <c r="CF249">
        <f t="shared" si="758"/>
        <v>-50</v>
      </c>
      <c r="CG249" s="173">
        <f t="shared" si="759"/>
        <v>0.44989175773809292</v>
      </c>
      <c r="CI249" s="170">
        <v>33</v>
      </c>
      <c r="CJ249" s="217">
        <f t="shared" si="698"/>
        <v>0.33</v>
      </c>
      <c r="CK249" s="217"/>
      <c r="CL249" s="217">
        <f t="shared" si="641"/>
        <v>7.92</v>
      </c>
      <c r="CM249" s="541">
        <f t="shared" si="642"/>
        <v>36</v>
      </c>
      <c r="CN249" s="443">
        <f t="shared" si="643"/>
        <v>16.3415</v>
      </c>
      <c r="CO249" s="443">
        <f t="shared" si="644"/>
        <v>52.341499999999996</v>
      </c>
      <c r="CP249" s="443"/>
      <c r="CQ249" s="217">
        <f t="shared" si="645"/>
        <v>0.31220924123305599</v>
      </c>
      <c r="CR249" s="172">
        <f t="shared" si="646"/>
        <v>63.048783011568261</v>
      </c>
      <c r="CS249" s="172">
        <f t="shared" si="647"/>
        <v>7.92</v>
      </c>
      <c r="CT249" s="217">
        <f t="shared" si="648"/>
        <v>2.6270326254820109</v>
      </c>
      <c r="CU249" s="217">
        <f t="shared" si="649"/>
        <v>24</v>
      </c>
      <c r="CV249" s="217"/>
      <c r="CW249" s="172">
        <f t="shared" si="650"/>
        <v>552.13642486564572</v>
      </c>
      <c r="CX249" s="172">
        <f t="shared" si="651"/>
        <v>24</v>
      </c>
      <c r="CY249" s="217">
        <f t="shared" si="652"/>
        <v>1.409311262735979</v>
      </c>
      <c r="CZ249" s="217">
        <f t="shared" si="653"/>
        <v>0.39147535075999418</v>
      </c>
      <c r="DA249" s="217">
        <f t="shared" si="654"/>
        <v>0.86241242403450058</v>
      </c>
      <c r="DB249" s="197">
        <f t="shared" si="655"/>
        <v>350</v>
      </c>
      <c r="DC249" s="443">
        <f t="shared" si="656"/>
        <v>350</v>
      </c>
      <c r="DE249" s="217">
        <f t="shared" si="657"/>
        <v>3.211295052682861</v>
      </c>
      <c r="DF249" s="173">
        <f t="shared" si="658"/>
        <v>1.96511645361984</v>
      </c>
      <c r="DG249" s="173">
        <f t="shared" si="659"/>
        <v>0.73660113681324435</v>
      </c>
      <c r="DH249" s="173"/>
      <c r="DI249" s="173">
        <f t="shared" si="660"/>
        <v>1.3598642855443031</v>
      </c>
      <c r="DJ249" s="545">
        <f t="shared" si="661"/>
        <v>327.44249999999994</v>
      </c>
      <c r="DK249" s="528">
        <f t="shared" si="662"/>
        <v>0.35273368606701955</v>
      </c>
      <c r="DM249" s="173">
        <f t="shared" si="663"/>
        <v>2.1494185260204675</v>
      </c>
      <c r="DN249" s="173">
        <f t="shared" si="664"/>
        <v>2.2222222222222223</v>
      </c>
      <c r="DO249" s="173">
        <f t="shared" si="665"/>
        <v>1.1871099999999999</v>
      </c>
      <c r="DQ249" s="545">
        <f t="shared" si="666"/>
        <v>330</v>
      </c>
      <c r="DR249" s="460">
        <f t="shared" si="667"/>
        <v>327.44249999999994</v>
      </c>
      <c r="DT249">
        <f t="shared" si="668"/>
        <v>330</v>
      </c>
      <c r="DU249">
        <f t="shared" si="669"/>
        <v>327.44249999999994</v>
      </c>
      <c r="DW249" s="5">
        <f t="shared" si="670"/>
        <v>3.0539713079395625</v>
      </c>
      <c r="DX249" s="5">
        <f t="shared" si="671"/>
        <v>0.61728395061728403</v>
      </c>
      <c r="DY249" s="5">
        <f t="shared" si="672"/>
        <v>2.4366873573222785</v>
      </c>
      <c r="DZ249" s="5"/>
      <c r="EA249" s="173">
        <f t="shared" si="673"/>
        <v>0.202125</v>
      </c>
      <c r="EB249" s="173">
        <f t="shared" si="699"/>
        <v>8.0850000000000009</v>
      </c>
      <c r="EC249" s="173">
        <f t="shared" si="700"/>
        <v>0.59131402777777786</v>
      </c>
      <c r="ED249" s="173">
        <f t="shared" si="701"/>
        <v>13.672937931786104</v>
      </c>
      <c r="EE249" s="460">
        <f t="shared" si="674"/>
        <v>0.84876543209876565</v>
      </c>
      <c r="EF249" s="5">
        <f t="shared" si="675"/>
        <v>0.44672601550908431</v>
      </c>
      <c r="EH249" s="173">
        <f t="shared" si="702"/>
        <v>0.57681543788521827</v>
      </c>
      <c r="EI249" s="173">
        <f t="shared" si="703"/>
        <v>0.76439901983364278</v>
      </c>
      <c r="EK249" s="528">
        <f t="shared" si="704"/>
        <v>1.3308641975308644E-2</v>
      </c>
      <c r="EL249" s="528">
        <f t="shared" si="705"/>
        <v>1.0473730430624999</v>
      </c>
      <c r="EM249" s="528">
        <f t="shared" si="706"/>
        <v>6.5488499999999991E-2</v>
      </c>
      <c r="EN249" s="528">
        <f t="shared" si="707"/>
        <v>0.1569876271094417</v>
      </c>
      <c r="EO249">
        <f t="shared" si="708"/>
        <v>1.6199999999999999E-2</v>
      </c>
      <c r="EP249" s="460">
        <f t="shared" si="709"/>
        <v>81.688499999999991</v>
      </c>
      <c r="EQ249" s="460"/>
      <c r="ER249" s="460">
        <f t="shared" si="710"/>
        <v>1299.3578121472501</v>
      </c>
      <c r="ES249" s="528">
        <f t="shared" si="711"/>
        <v>0.23099999999999998</v>
      </c>
      <c r="EV249" s="460">
        <f t="shared" si="712"/>
        <v>230.99999999999997</v>
      </c>
      <c r="EW249" s="528">
        <f t="shared" si="713"/>
        <v>9.9814814814814818E-3</v>
      </c>
      <c r="EX249" s="528">
        <f t="shared" si="714"/>
        <v>1.752917584567901E-2</v>
      </c>
      <c r="EY249" s="528">
        <f t="shared" si="715"/>
        <v>0.71412845552896598</v>
      </c>
      <c r="EZ249" s="528"/>
      <c r="FA249" s="528">
        <f t="shared" si="716"/>
        <v>0.32340000000000002</v>
      </c>
      <c r="FB249" s="460">
        <f t="shared" si="717"/>
        <v>1065.0391128561266</v>
      </c>
      <c r="FC249" s="173">
        <f t="shared" si="718"/>
        <v>2.5953969250033766</v>
      </c>
      <c r="FD249" s="5">
        <f t="shared" si="719"/>
        <v>7.92</v>
      </c>
      <c r="FE249" s="173">
        <f t="shared" si="720"/>
        <v>0.75318126899878834</v>
      </c>
      <c r="FF249" s="5">
        <f t="shared" si="721"/>
        <v>75.318126899878834</v>
      </c>
      <c r="FI249" s="562">
        <f t="shared" si="676"/>
        <v>-50</v>
      </c>
      <c r="FJ249">
        <f t="shared" si="677"/>
        <v>-50</v>
      </c>
      <c r="FL249">
        <f t="shared" si="760"/>
        <v>0.44527736131934031</v>
      </c>
    </row>
    <row r="250" spans="5:168">
      <c r="E250" s="170">
        <v>34</v>
      </c>
      <c r="F250" s="217">
        <f t="shared" si="761"/>
        <v>0.34</v>
      </c>
      <c r="G250" s="217"/>
      <c r="H250" s="217">
        <f t="shared" si="726"/>
        <v>8.16</v>
      </c>
      <c r="I250" s="541">
        <f t="shared" si="727"/>
        <v>35.92301996410805</v>
      </c>
      <c r="J250" s="172">
        <f t="shared" si="728"/>
        <v>16.356177530509115</v>
      </c>
      <c r="K250" s="172">
        <f t="shared" si="729"/>
        <v>52.279197494617165</v>
      </c>
      <c r="L250" s="443"/>
      <c r="M250" s="217">
        <f t="shared" si="730"/>
        <v>0.3128640612264586</v>
      </c>
      <c r="N250" s="172">
        <f t="shared" si="731"/>
        <v>63.045917836266661</v>
      </c>
      <c r="O250" s="172">
        <f t="shared" si="599"/>
        <v>8.16</v>
      </c>
      <c r="P250" s="217">
        <f t="shared" si="732"/>
        <v>2.6269132431777775</v>
      </c>
      <c r="Q250" s="217">
        <f t="shared" si="733"/>
        <v>24</v>
      </c>
      <c r="R250" s="217"/>
      <c r="S250" s="172">
        <f t="shared" si="734"/>
        <v>533.17030886754981</v>
      </c>
      <c r="T250" s="172">
        <f t="shared" si="735"/>
        <v>24</v>
      </c>
      <c r="U250" s="217">
        <f t="shared" si="736"/>
        <v>1.4836805897421641</v>
      </c>
      <c r="V250" s="217">
        <f t="shared" si="737"/>
        <v>0.41301666486407923</v>
      </c>
      <c r="W250" s="217">
        <f t="shared" si="738"/>
        <v>0.90710716912595291</v>
      </c>
      <c r="X250" s="197">
        <f t="shared" si="739"/>
        <v>350</v>
      </c>
      <c r="Y250" s="443">
        <f t="shared" si="680"/>
        <v>350</v>
      </c>
      <c r="AA250" s="217">
        <f t="shared" si="740"/>
        <v>3.2111286003001851</v>
      </c>
      <c r="AB250" s="173">
        <f t="shared" si="741"/>
        <v>1.9632512512844025</v>
      </c>
      <c r="AC250" s="173">
        <f t="shared" si="742"/>
        <v>0.73586384301450503</v>
      </c>
      <c r="AD250" s="173"/>
      <c r="AE250" s="173">
        <f t="shared" si="743"/>
        <v>1.3586439851714256</v>
      </c>
      <c r="AF250" s="545">
        <f t="shared" si="744"/>
        <v>337.66801288622253</v>
      </c>
      <c r="AG250" s="528">
        <f t="shared" si="745"/>
        <v>0.35241715370918814</v>
      </c>
      <c r="AI250" s="173">
        <f t="shared" si="746"/>
        <v>2.182721996519787</v>
      </c>
      <c r="AJ250" s="173">
        <f t="shared" si="747"/>
        <v>2.2222222222222223</v>
      </c>
      <c r="AK250" s="173">
        <f t="shared" si="748"/>
        <v>1.1929531502206987</v>
      </c>
      <c r="AM250" s="545">
        <f t="shared" si="749"/>
        <v>340</v>
      </c>
      <c r="AN250" s="460">
        <f t="shared" si="750"/>
        <v>337.66801288622253</v>
      </c>
      <c r="AP250">
        <f t="shared" si="751"/>
        <v>340</v>
      </c>
      <c r="AQ250">
        <f t="shared" si="752"/>
        <v>337.66801288622253</v>
      </c>
      <c r="AS250" s="5">
        <f t="shared" si="600"/>
        <v>2.9614886866318328</v>
      </c>
      <c r="AT250" s="5">
        <f t="shared" si="753"/>
        <v>0.61860673864350013</v>
      </c>
      <c r="AU250" s="5">
        <f t="shared" si="722"/>
        <v>2.3428819479883325</v>
      </c>
      <c r="AV250" s="5"/>
      <c r="AW250" s="173">
        <f t="shared" si="723"/>
        <v>0.20888370819577751</v>
      </c>
      <c r="AX250" s="173">
        <f t="shared" si="631"/>
        <v>8.3374817996598161</v>
      </c>
      <c r="AY250" s="173">
        <f t="shared" si="632"/>
        <v>0.58630507403712939</v>
      </c>
      <c r="AZ250" s="173">
        <f t="shared" si="633"/>
        <v>14.220381451332658</v>
      </c>
      <c r="BA250" s="460">
        <f t="shared" si="724"/>
        <v>0.87635954641162517</v>
      </c>
      <c r="BB250" s="5">
        <f t="shared" si="725"/>
        <v>0.44349270362676851</v>
      </c>
      <c r="BD250" s="173">
        <f t="shared" si="681"/>
        <v>0.5863799919612479</v>
      </c>
      <c r="BE250" s="173">
        <f t="shared" si="682"/>
        <v>0.76115456587979058</v>
      </c>
      <c r="BG250" s="528">
        <f t="shared" si="683"/>
        <v>1.3753659798898928E-2</v>
      </c>
      <c r="BH250" s="528">
        <f t="shared" si="754"/>
        <v>0.88265063666468802</v>
      </c>
      <c r="BI250" s="528">
        <f t="shared" si="755"/>
        <v>0.4852021907260986</v>
      </c>
      <c r="BJ250" s="528">
        <f t="shared" si="684"/>
        <v>0.1615049343352998</v>
      </c>
      <c r="BK250">
        <f t="shared" si="685"/>
        <v>1.6165358983848622E-2</v>
      </c>
      <c r="BL250" s="460">
        <f t="shared" si="686"/>
        <v>501.36754970994724</v>
      </c>
      <c r="BM250" s="528">
        <f t="shared" si="756"/>
        <v>1.0651033377289618</v>
      </c>
      <c r="BN250" s="460">
        <f t="shared" si="687"/>
        <v>1065.1033377289618</v>
      </c>
      <c r="BO250" s="528">
        <f t="shared" si="637"/>
        <v>0.23799999999999999</v>
      </c>
      <c r="BR250" s="460">
        <f t="shared" si="688"/>
        <v>238</v>
      </c>
      <c r="BS250" s="528">
        <f t="shared" si="689"/>
        <v>1.0315244849174196E-2</v>
      </c>
      <c r="BT250" s="528">
        <f t="shared" si="690"/>
        <v>1.7380688194789572E-2</v>
      </c>
      <c r="BU250" s="528">
        <f t="shared" si="691"/>
        <v>0.77119379241888064</v>
      </c>
      <c r="BV250" s="528"/>
      <c r="BW250" s="528">
        <f t="shared" si="692"/>
        <v>0.33349927198639273</v>
      </c>
      <c r="BX250" s="460">
        <f t="shared" si="693"/>
        <v>1132.3889974492372</v>
      </c>
      <c r="BY250" s="173">
        <f t="shared" si="694"/>
        <v>2.9296657779580713</v>
      </c>
      <c r="BZ250" s="5">
        <f t="shared" si="695"/>
        <v>8.16</v>
      </c>
      <c r="CA250" s="173">
        <f t="shared" si="696"/>
        <v>0.7358201918238958</v>
      </c>
      <c r="CB250" s="5">
        <f t="shared" si="697"/>
        <v>73.582019182389587</v>
      </c>
      <c r="CE250" s="562">
        <f t="shared" si="757"/>
        <v>-50</v>
      </c>
      <c r="CF250">
        <f t="shared" si="758"/>
        <v>-50</v>
      </c>
      <c r="CG250" s="173">
        <f t="shared" si="759"/>
        <v>0.46352484130591387</v>
      </c>
      <c r="CI250" s="170">
        <v>34</v>
      </c>
      <c r="CJ250" s="217">
        <f t="shared" si="698"/>
        <v>0.34</v>
      </c>
      <c r="CK250" s="217"/>
      <c r="CL250" s="217">
        <f t="shared" si="641"/>
        <v>8.16</v>
      </c>
      <c r="CM250" s="541">
        <f t="shared" si="642"/>
        <v>36</v>
      </c>
      <c r="CN250" s="443">
        <f t="shared" si="643"/>
        <v>16.3415</v>
      </c>
      <c r="CO250" s="443">
        <f t="shared" si="644"/>
        <v>52.341499999999996</v>
      </c>
      <c r="CP250" s="443"/>
      <c r="CQ250" s="217">
        <f t="shared" si="645"/>
        <v>0.31220924123305599</v>
      </c>
      <c r="CR250" s="172">
        <f t="shared" si="646"/>
        <v>63.048783011568261</v>
      </c>
      <c r="CS250" s="172">
        <f t="shared" si="647"/>
        <v>8.16</v>
      </c>
      <c r="CT250" s="217">
        <f t="shared" si="648"/>
        <v>2.6270326254820109</v>
      </c>
      <c r="CU250" s="217">
        <f t="shared" si="649"/>
        <v>24</v>
      </c>
      <c r="CV250" s="217"/>
      <c r="CW250" s="172">
        <f t="shared" si="650"/>
        <v>534.31274035489434</v>
      </c>
      <c r="CX250" s="172">
        <f t="shared" si="651"/>
        <v>24</v>
      </c>
      <c r="CY250" s="217">
        <f t="shared" si="652"/>
        <v>1.4520176646370693</v>
      </c>
      <c r="CZ250" s="217">
        <f t="shared" si="653"/>
        <v>0.40333824017696374</v>
      </c>
      <c r="DA250" s="217">
        <f t="shared" si="654"/>
        <v>0.88854613385372794</v>
      </c>
      <c r="DB250" s="197">
        <f t="shared" si="655"/>
        <v>350</v>
      </c>
      <c r="DC250" s="443">
        <f t="shared" si="656"/>
        <v>350</v>
      </c>
      <c r="DE250" s="217">
        <f t="shared" si="657"/>
        <v>3.211295052682861</v>
      </c>
      <c r="DF250" s="173">
        <f t="shared" si="658"/>
        <v>1.96511645361984</v>
      </c>
      <c r="DG250" s="173">
        <f t="shared" si="659"/>
        <v>0.73660113681324435</v>
      </c>
      <c r="DH250" s="173"/>
      <c r="DI250" s="173">
        <f t="shared" si="660"/>
        <v>1.3598642855443031</v>
      </c>
      <c r="DJ250" s="545">
        <f t="shared" si="661"/>
        <v>337.36499999999995</v>
      </c>
      <c r="DK250" s="528">
        <f t="shared" si="662"/>
        <v>0.35273368606701955</v>
      </c>
      <c r="DM250" s="173">
        <f t="shared" si="663"/>
        <v>2.1817424229271429</v>
      </c>
      <c r="DN250" s="173">
        <f t="shared" si="664"/>
        <v>2.2222222222222223</v>
      </c>
      <c r="DO250" s="173">
        <f t="shared" si="665"/>
        <v>1.19278</v>
      </c>
      <c r="DQ250" s="545">
        <f t="shared" si="666"/>
        <v>340</v>
      </c>
      <c r="DR250" s="460">
        <f t="shared" si="667"/>
        <v>337.36499999999995</v>
      </c>
      <c r="DT250">
        <f t="shared" si="668"/>
        <v>340</v>
      </c>
      <c r="DU250">
        <f t="shared" si="669"/>
        <v>337.36499999999995</v>
      </c>
      <c r="DW250" s="5">
        <f t="shared" si="670"/>
        <v>2.964148622411928</v>
      </c>
      <c r="DX250" s="5">
        <f t="shared" si="671"/>
        <v>0.61728395061728403</v>
      </c>
      <c r="DY250" s="5">
        <f t="shared" si="672"/>
        <v>2.346864671794644</v>
      </c>
      <c r="DZ250" s="5"/>
      <c r="EA250" s="173">
        <f t="shared" si="673"/>
        <v>0.20825000000000002</v>
      </c>
      <c r="EB250" s="173">
        <f t="shared" si="699"/>
        <v>8.33</v>
      </c>
      <c r="EC250" s="173">
        <f t="shared" si="700"/>
        <v>0.58677472222222227</v>
      </c>
      <c r="ED250" s="173">
        <f t="shared" si="701"/>
        <v>14.196248891657739</v>
      </c>
      <c r="EE250" s="460">
        <f t="shared" si="674"/>
        <v>0.87448559670781911</v>
      </c>
      <c r="EF250" s="5">
        <f t="shared" si="675"/>
        <v>0.44329666022787717</v>
      </c>
      <c r="EH250" s="173">
        <f t="shared" si="702"/>
        <v>0.58548984099595192</v>
      </c>
      <c r="EI250" s="173">
        <f t="shared" si="703"/>
        <v>0.76145935882621663</v>
      </c>
      <c r="EK250" s="528">
        <f t="shared" si="704"/>
        <v>1.3711934156378603E-2</v>
      </c>
      <c r="EL250" s="528">
        <f t="shared" si="705"/>
        <v>1.0791116201249999</v>
      </c>
      <c r="EM250" s="528">
        <f t="shared" si="706"/>
        <v>6.7472999999999977E-2</v>
      </c>
      <c r="EN250" s="528">
        <f t="shared" si="707"/>
        <v>0.16174482793093992</v>
      </c>
      <c r="EO250">
        <f t="shared" si="708"/>
        <v>1.6199999999999999E-2</v>
      </c>
      <c r="EP250" s="460">
        <f t="shared" si="709"/>
        <v>83.672999999999973</v>
      </c>
      <c r="EQ250" s="460"/>
      <c r="ER250" s="460">
        <f t="shared" si="710"/>
        <v>1338.2413822123183</v>
      </c>
      <c r="ES250" s="528">
        <f t="shared" si="711"/>
        <v>0.23799999999999999</v>
      </c>
      <c r="EV250" s="460">
        <f t="shared" si="712"/>
        <v>238</v>
      </c>
      <c r="EW250" s="528">
        <f t="shared" si="713"/>
        <v>1.0283950617283951E-2</v>
      </c>
      <c r="EX250" s="528">
        <f t="shared" si="714"/>
        <v>1.7394610654320988E-2</v>
      </c>
      <c r="EY250" s="528">
        <f t="shared" si="715"/>
        <v>0.7694648427001971</v>
      </c>
      <c r="EZ250" s="528"/>
      <c r="FA250" s="528">
        <f t="shared" si="716"/>
        <v>0.3332</v>
      </c>
      <c r="FB250" s="460">
        <f t="shared" si="717"/>
        <v>1130.3434039718022</v>
      </c>
      <c r="FC250" s="173">
        <f t="shared" si="718"/>
        <v>2.7065847861841204</v>
      </c>
      <c r="FD250" s="5">
        <f t="shared" si="719"/>
        <v>8.16</v>
      </c>
      <c r="FE250" s="173">
        <f t="shared" si="720"/>
        <v>0.75092590363576806</v>
      </c>
      <c r="FF250" s="5">
        <f t="shared" si="721"/>
        <v>75.092590363576804</v>
      </c>
      <c r="FI250" s="562">
        <f t="shared" si="676"/>
        <v>-50</v>
      </c>
      <c r="FJ250">
        <f t="shared" si="677"/>
        <v>-50</v>
      </c>
      <c r="FL250">
        <f t="shared" si="760"/>
        <v>0.45877061469265368</v>
      </c>
    </row>
    <row r="251" spans="5:168">
      <c r="E251" s="170">
        <v>35</v>
      </c>
      <c r="F251" s="217">
        <f t="shared" si="761"/>
        <v>0.35</v>
      </c>
      <c r="G251" s="217"/>
      <c r="H251" s="217">
        <f t="shared" si="726"/>
        <v>8.3999999999999986</v>
      </c>
      <c r="I251" s="541">
        <f t="shared" si="727"/>
        <v>35.92301996410805</v>
      </c>
      <c r="J251" s="172">
        <f t="shared" si="728"/>
        <v>16.356177530509115</v>
      </c>
      <c r="K251" s="172">
        <f t="shared" si="729"/>
        <v>52.279197494617165</v>
      </c>
      <c r="L251" s="443"/>
      <c r="M251" s="217">
        <f t="shared" si="730"/>
        <v>0.3128640612264586</v>
      </c>
      <c r="N251" s="172">
        <f t="shared" si="731"/>
        <v>63.045917836266661</v>
      </c>
      <c r="O251" s="172">
        <f t="shared" si="599"/>
        <v>8.3999999999999986</v>
      </c>
      <c r="P251" s="217">
        <f t="shared" si="732"/>
        <v>2.6269132431777775</v>
      </c>
      <c r="Q251" s="217">
        <f t="shared" si="733"/>
        <v>24</v>
      </c>
      <c r="R251" s="217"/>
      <c r="S251" s="172">
        <f t="shared" si="734"/>
        <v>516.40116156591046</v>
      </c>
      <c r="T251" s="172">
        <f t="shared" si="735"/>
        <v>24</v>
      </c>
      <c r="U251" s="217">
        <f t="shared" si="736"/>
        <v>1.5273182541463453</v>
      </c>
      <c r="V251" s="217">
        <f t="shared" si="737"/>
        <v>0.42516421383066971</v>
      </c>
      <c r="W251" s="217">
        <f t="shared" si="738"/>
        <v>0.93378679174730428</v>
      </c>
      <c r="X251" s="197">
        <f t="shared" si="739"/>
        <v>350</v>
      </c>
      <c r="Y251" s="443">
        <f t="shared" si="680"/>
        <v>350</v>
      </c>
      <c r="AA251" s="217">
        <f t="shared" si="740"/>
        <v>3.2111286003001851</v>
      </c>
      <c r="AB251" s="173">
        <f t="shared" si="741"/>
        <v>1.9632512512844025</v>
      </c>
      <c r="AC251" s="173">
        <f t="shared" si="742"/>
        <v>0.73586384301450503</v>
      </c>
      <c r="AD251" s="173"/>
      <c r="AE251" s="173">
        <f t="shared" si="743"/>
        <v>1.3586439851714256</v>
      </c>
      <c r="AF251" s="545">
        <f t="shared" si="744"/>
        <v>347.59942502993493</v>
      </c>
      <c r="AG251" s="528">
        <f t="shared" si="745"/>
        <v>0.35241715370918814</v>
      </c>
      <c r="AI251" s="173">
        <f t="shared" si="746"/>
        <v>2.2145882368113989</v>
      </c>
      <c r="AJ251" s="173">
        <f t="shared" si="747"/>
        <v>2.2222222222222223</v>
      </c>
      <c r="AK251" s="173">
        <f t="shared" si="748"/>
        <v>1.1986282428742485</v>
      </c>
      <c r="AM251" s="545">
        <f t="shared" si="749"/>
        <v>350</v>
      </c>
      <c r="AN251" s="460">
        <f t="shared" si="750"/>
        <v>347.59942502993493</v>
      </c>
      <c r="AP251">
        <f t="shared" si="751"/>
        <v>350</v>
      </c>
      <c r="AQ251">
        <f t="shared" si="752"/>
        <v>347.59942502993493</v>
      </c>
      <c r="AS251" s="5">
        <f t="shared" si="600"/>
        <v>2.8768747241566381</v>
      </c>
      <c r="AT251" s="5">
        <f t="shared" si="753"/>
        <v>0.61860673864350013</v>
      </c>
      <c r="AU251" s="5">
        <f t="shared" si="722"/>
        <v>2.2582679855131378</v>
      </c>
      <c r="AV251" s="5"/>
      <c r="AW251" s="173">
        <f t="shared" si="723"/>
        <v>0.21502734667212386</v>
      </c>
      <c r="AX251" s="173">
        <f t="shared" si="631"/>
        <v>8.5827018525909864</v>
      </c>
      <c r="AY251" s="173">
        <f t="shared" si="632"/>
        <v>0.5817519552996594</v>
      </c>
      <c r="AZ251" s="173">
        <f t="shared" si="633"/>
        <v>14.753198118895968</v>
      </c>
      <c r="BA251" s="460">
        <f t="shared" si="724"/>
        <v>0.90213482718843774</v>
      </c>
      <c r="BB251" s="5">
        <f t="shared" si="725"/>
        <v>0.44004863495291213</v>
      </c>
      <c r="BD251" s="173">
        <f t="shared" si="681"/>
        <v>0.59494073664418246</v>
      </c>
      <c r="BE251" s="173">
        <f t="shared" si="682"/>
        <v>0.75819332449641275</v>
      </c>
      <c r="BG251" s="528">
        <f t="shared" si="683"/>
        <v>1.41581792047489E-2</v>
      </c>
      <c r="BH251" s="528">
        <f t="shared" si="754"/>
        <v>0.90861094950776722</v>
      </c>
      <c r="BI251" s="528">
        <f t="shared" si="755"/>
        <v>0.49947284339451326</v>
      </c>
      <c r="BJ251" s="528">
        <f t="shared" si="684"/>
        <v>0.16625507946280862</v>
      </c>
      <c r="BK251">
        <f t="shared" si="685"/>
        <v>1.6165358983848622E-2</v>
      </c>
      <c r="BL251" s="460">
        <f t="shared" si="686"/>
        <v>515.63820237836194</v>
      </c>
      <c r="BM251" s="528">
        <f t="shared" si="756"/>
        <v>1.0965356442423724</v>
      </c>
      <c r="BN251" s="460">
        <f t="shared" si="687"/>
        <v>1096.5356442423724</v>
      </c>
      <c r="BO251" s="528">
        <f t="shared" si="637"/>
        <v>0.24499999999999997</v>
      </c>
      <c r="BR251" s="460">
        <f t="shared" si="688"/>
        <v>244.99999999999997</v>
      </c>
      <c r="BS251" s="528">
        <f t="shared" si="689"/>
        <v>1.0618634403561674E-2</v>
      </c>
      <c r="BT251" s="528">
        <f t="shared" si="690"/>
        <v>1.7245713519327677E-2</v>
      </c>
      <c r="BU251" s="528">
        <f t="shared" si="691"/>
        <v>0.82915618261119062</v>
      </c>
      <c r="BV251" s="528"/>
      <c r="BW251" s="528">
        <f t="shared" si="692"/>
        <v>0.3433080741036395</v>
      </c>
      <c r="BX251" s="460">
        <f t="shared" si="693"/>
        <v>1200.3286046377195</v>
      </c>
      <c r="BY251" s="173">
        <f t="shared" si="694"/>
        <v>3.0499910151914063</v>
      </c>
      <c r="BZ251" s="5">
        <f t="shared" si="695"/>
        <v>8.3999999999999986</v>
      </c>
      <c r="CA251" s="173">
        <f t="shared" si="696"/>
        <v>0.7336250298236221</v>
      </c>
      <c r="CB251" s="5">
        <f t="shared" si="697"/>
        <v>73.362502982362216</v>
      </c>
      <c r="CE251" s="562">
        <f t="shared" si="757"/>
        <v>-50</v>
      </c>
      <c r="CF251">
        <f t="shared" si="758"/>
        <v>-50</v>
      </c>
      <c r="CG251" s="173">
        <f t="shared" si="759"/>
        <v>0.47715792487373476</v>
      </c>
      <c r="CI251" s="170">
        <v>35</v>
      </c>
      <c r="CJ251" s="217">
        <f t="shared" si="698"/>
        <v>0.35</v>
      </c>
      <c r="CK251" s="217"/>
      <c r="CL251" s="217">
        <f t="shared" si="641"/>
        <v>8.3999999999999986</v>
      </c>
      <c r="CM251" s="541">
        <f t="shared" si="642"/>
        <v>36</v>
      </c>
      <c r="CN251" s="443">
        <f t="shared" si="643"/>
        <v>16.3415</v>
      </c>
      <c r="CO251" s="443">
        <f t="shared" si="644"/>
        <v>52.341499999999996</v>
      </c>
      <c r="CP251" s="443"/>
      <c r="CQ251" s="217">
        <f t="shared" si="645"/>
        <v>0.31220924123305599</v>
      </c>
      <c r="CR251" s="172">
        <f t="shared" si="646"/>
        <v>63.048783011568261</v>
      </c>
      <c r="CS251" s="172">
        <f t="shared" si="647"/>
        <v>8.3999999999999986</v>
      </c>
      <c r="CT251" s="217">
        <f t="shared" si="648"/>
        <v>2.6270326254820109</v>
      </c>
      <c r="CU251" s="217">
        <f t="shared" si="649"/>
        <v>24</v>
      </c>
      <c r="CV251" s="217"/>
      <c r="CW251" s="172">
        <f t="shared" si="650"/>
        <v>517.5076546688382</v>
      </c>
      <c r="CX251" s="172">
        <f t="shared" si="651"/>
        <v>24</v>
      </c>
      <c r="CY251" s="217">
        <f t="shared" si="652"/>
        <v>1.4947240665381594</v>
      </c>
      <c r="CZ251" s="217">
        <f t="shared" si="653"/>
        <v>0.41520112959393318</v>
      </c>
      <c r="DA251" s="217">
        <f t="shared" si="654"/>
        <v>0.91467984367295507</v>
      </c>
      <c r="DB251" s="197">
        <f t="shared" si="655"/>
        <v>350</v>
      </c>
      <c r="DC251" s="443">
        <f t="shared" si="656"/>
        <v>350</v>
      </c>
      <c r="DE251" s="217">
        <f t="shared" si="657"/>
        <v>3.211295052682861</v>
      </c>
      <c r="DF251" s="173">
        <f t="shared" si="658"/>
        <v>1.96511645361984</v>
      </c>
      <c r="DG251" s="173">
        <f t="shared" si="659"/>
        <v>0.73660113681324435</v>
      </c>
      <c r="DH251" s="173"/>
      <c r="DI251" s="173">
        <f t="shared" si="660"/>
        <v>1.3598642855443031</v>
      </c>
      <c r="DJ251" s="545">
        <f t="shared" si="661"/>
        <v>347.28749999999991</v>
      </c>
      <c r="DK251" s="528">
        <f t="shared" si="662"/>
        <v>0.35273368606701955</v>
      </c>
      <c r="DM251" s="173">
        <f t="shared" si="663"/>
        <v>2.2135943621178651</v>
      </c>
      <c r="DN251" s="173">
        <f t="shared" si="664"/>
        <v>2.2222222222222223</v>
      </c>
      <c r="DO251" s="173">
        <f t="shared" si="665"/>
        <v>1.19845</v>
      </c>
      <c r="DQ251" s="545">
        <f t="shared" si="666"/>
        <v>350</v>
      </c>
      <c r="DR251" s="460">
        <f t="shared" si="667"/>
        <v>347.28749999999991</v>
      </c>
      <c r="DT251">
        <f t="shared" si="668"/>
        <v>350</v>
      </c>
      <c r="DU251">
        <f t="shared" si="669"/>
        <v>347.28749999999991</v>
      </c>
      <c r="DW251" s="5">
        <f t="shared" si="670"/>
        <v>2.8794586617715878</v>
      </c>
      <c r="DX251" s="5">
        <f t="shared" si="671"/>
        <v>0.61728395061728403</v>
      </c>
      <c r="DY251" s="5">
        <f t="shared" si="672"/>
        <v>2.2621747111543038</v>
      </c>
      <c r="DZ251" s="5"/>
      <c r="EA251" s="173">
        <f t="shared" si="673"/>
        <v>0.21437499999999995</v>
      </c>
      <c r="EB251" s="173">
        <f t="shared" si="699"/>
        <v>8.5749999999999993</v>
      </c>
      <c r="EC251" s="173">
        <f t="shared" si="700"/>
        <v>0.58223541666666667</v>
      </c>
      <c r="ED251" s="173">
        <f t="shared" si="701"/>
        <v>14.727719672383378</v>
      </c>
      <c r="EE251" s="460">
        <f t="shared" si="674"/>
        <v>0.90020576131687247</v>
      </c>
      <c r="EF251" s="5">
        <f t="shared" si="675"/>
        <v>0.43986730494667003</v>
      </c>
      <c r="EH251" s="173">
        <f t="shared" si="702"/>
        <v>0.59403759008686818</v>
      </c>
      <c r="EI251" s="173">
        <f t="shared" si="703"/>
        <v>0.75850830500755373</v>
      </c>
      <c r="EK251" s="528">
        <f t="shared" si="704"/>
        <v>1.4115226337448562E-2</v>
      </c>
      <c r="EL251" s="528">
        <f t="shared" si="705"/>
        <v>1.1108501971874998</v>
      </c>
      <c r="EM251" s="528">
        <f t="shared" si="706"/>
        <v>6.9457499999999978E-2</v>
      </c>
      <c r="EN251" s="528">
        <f t="shared" si="707"/>
        <v>0.16650202875243814</v>
      </c>
      <c r="EO251">
        <f t="shared" si="708"/>
        <v>1.6199999999999999E-2</v>
      </c>
      <c r="EP251" s="460">
        <f t="shared" si="709"/>
        <v>85.65749999999997</v>
      </c>
      <c r="EQ251" s="460"/>
      <c r="ER251" s="460">
        <f t="shared" si="710"/>
        <v>1377.1249522773865</v>
      </c>
      <c r="ES251" s="528">
        <f t="shared" si="711"/>
        <v>0.24499999999999997</v>
      </c>
      <c r="EV251" s="460">
        <f t="shared" si="712"/>
        <v>244.99999999999997</v>
      </c>
      <c r="EW251" s="528">
        <f t="shared" si="713"/>
        <v>1.0586419753086421E-2</v>
      </c>
      <c r="EX251" s="528">
        <f t="shared" si="714"/>
        <v>1.7260045462962965E-2</v>
      </c>
      <c r="EY251" s="528">
        <f t="shared" si="715"/>
        <v>0.82729728623162435</v>
      </c>
      <c r="EZ251" s="528"/>
      <c r="FA251" s="528">
        <f t="shared" si="716"/>
        <v>0.34299999999999997</v>
      </c>
      <c r="FB251" s="460">
        <f t="shared" si="717"/>
        <v>1198.1437514476738</v>
      </c>
      <c r="FC251" s="173">
        <f t="shared" si="718"/>
        <v>2.82026870372506</v>
      </c>
      <c r="FD251" s="5">
        <f t="shared" si="719"/>
        <v>8.3999999999999986</v>
      </c>
      <c r="FE251" s="173">
        <f t="shared" si="720"/>
        <v>0.74864517257160268</v>
      </c>
      <c r="FF251" s="5">
        <f t="shared" si="721"/>
        <v>74.864517257160273</v>
      </c>
      <c r="FI251" s="562">
        <f t="shared" si="676"/>
        <v>-50</v>
      </c>
      <c r="FJ251">
        <f t="shared" si="677"/>
        <v>-50</v>
      </c>
      <c r="FL251">
        <f t="shared" si="760"/>
        <v>0.47226386806596693</v>
      </c>
    </row>
    <row r="252" spans="5:168">
      <c r="E252" s="170">
        <v>36</v>
      </c>
      <c r="F252" s="217">
        <f t="shared" si="761"/>
        <v>0.36</v>
      </c>
      <c r="G252" s="217"/>
      <c r="H252" s="217">
        <f t="shared" si="726"/>
        <v>8.64</v>
      </c>
      <c r="I252" s="541">
        <f t="shared" si="727"/>
        <v>35.922231111619105</v>
      </c>
      <c r="J252" s="172">
        <f t="shared" si="728"/>
        <v>16.356327938421238</v>
      </c>
      <c r="K252" s="172">
        <f t="shared" si="729"/>
        <v>52.278559050040343</v>
      </c>
      <c r="L252" s="443"/>
      <c r="M252" s="217">
        <f t="shared" si="730"/>
        <v>0.31287077954979142</v>
      </c>
      <c r="N252" s="172">
        <f t="shared" si="731"/>
        <v>63.045887172024131</v>
      </c>
      <c r="O252" s="172">
        <f t="shared" si="599"/>
        <v>8.64</v>
      </c>
      <c r="P252" s="217">
        <f t="shared" si="732"/>
        <v>2.6269119655010056</v>
      </c>
      <c r="Q252" s="217">
        <f t="shared" si="733"/>
        <v>24</v>
      </c>
      <c r="R252" s="217"/>
      <c r="S252" s="172">
        <f t="shared" si="734"/>
        <v>500.55274319373427</v>
      </c>
      <c r="T252" s="172">
        <f t="shared" si="735"/>
        <v>24</v>
      </c>
      <c r="U252" s="217">
        <f t="shared" si="736"/>
        <v>1.57097127838313</v>
      </c>
      <c r="V252" s="217">
        <f t="shared" si="737"/>
        <v>0.43732564202422186</v>
      </c>
      <c r="W252" s="217">
        <f t="shared" si="738"/>
        <v>0.96046697296457184</v>
      </c>
      <c r="X252" s="197">
        <f t="shared" si="739"/>
        <v>350</v>
      </c>
      <c r="Y252" s="443">
        <f t="shared" si="680"/>
        <v>350</v>
      </c>
      <c r="AA252" s="217">
        <f t="shared" si="740"/>
        <v>3.2111268285996259</v>
      </c>
      <c r="AB252" s="173">
        <f t="shared" si="741"/>
        <v>1.9632321146219165</v>
      </c>
      <c r="AC252" s="173">
        <f t="shared" si="742"/>
        <v>0.73585626423024653</v>
      </c>
      <c r="AD252" s="173"/>
      <c r="AE252" s="173">
        <f t="shared" si="743"/>
        <v>1.3586314914866633</v>
      </c>
      <c r="AF252" s="545">
        <f t="shared" si="744"/>
        <v>357.53412495079692</v>
      </c>
      <c r="AG252" s="528">
        <f t="shared" si="745"/>
        <v>0.35241391298617952</v>
      </c>
      <c r="AI252" s="173">
        <f t="shared" si="746"/>
        <v>2.2460127318307075</v>
      </c>
      <c r="AJ252" s="173">
        <f t="shared" si="747"/>
        <v>2.2460127318307075</v>
      </c>
      <c r="AK252" s="173">
        <f t="shared" si="748"/>
        <v>1.217622599709989</v>
      </c>
      <c r="AM252" s="545">
        <f t="shared" si="749"/>
        <v>360</v>
      </c>
      <c r="AN252" s="460">
        <f t="shared" si="750"/>
        <v>350</v>
      </c>
      <c r="AP252">
        <f t="shared" si="751"/>
        <v>360</v>
      </c>
      <c r="AQ252">
        <f t="shared" si="752"/>
        <v>350</v>
      </c>
      <c r="AS252" s="5">
        <f t="shared" si="600"/>
        <v>2.8571428571428572</v>
      </c>
      <c r="AT252" s="5">
        <f t="shared" si="753"/>
        <v>0.62524310498749369</v>
      </c>
      <c r="AU252" s="5">
        <f t="shared" si="722"/>
        <v>2.2318997521553636</v>
      </c>
      <c r="AV252" s="5"/>
      <c r="AW252" s="173">
        <f t="shared" si="723"/>
        <v>0.2188350867456228</v>
      </c>
      <c r="AX252" s="173">
        <f t="shared" si="631"/>
        <v>8.8280030852048661</v>
      </c>
      <c r="AY252" s="173">
        <f t="shared" si="632"/>
        <v>0.58512786466639199</v>
      </c>
      <c r="AZ252" s="173">
        <f t="shared" si="633"/>
        <v>15.087305900630987</v>
      </c>
      <c r="BA252" s="460">
        <f t="shared" si="724"/>
        <v>0.93786465748124037</v>
      </c>
      <c r="BB252" s="5">
        <f t="shared" si="725"/>
        <v>0.44734632895117837</v>
      </c>
      <c r="BD252" s="173">
        <f t="shared" si="681"/>
        <v>0.60661069667635892</v>
      </c>
      <c r="BE252" s="173">
        <f t="shared" si="682"/>
        <v>0.76444947107387207</v>
      </c>
      <c r="BG252" s="528">
        <f t="shared" si="683"/>
        <v>1.4719061492887099E-2</v>
      </c>
      <c r="BH252" s="528">
        <f t="shared" si="754"/>
        <v>0.92466918517171337</v>
      </c>
      <c r="BI252" s="528">
        <f t="shared" si="755"/>
        <v>0.50291123556266759</v>
      </c>
      <c r="BJ252" s="528">
        <f t="shared" si="684"/>
        <v>0.167399173851349</v>
      </c>
      <c r="BK252">
        <f t="shared" si="685"/>
        <v>1.6165004000228599E-2</v>
      </c>
      <c r="BL252" s="460">
        <f t="shared" si="686"/>
        <v>519.07623956289615</v>
      </c>
      <c r="BM252" s="528">
        <f t="shared" si="756"/>
        <v>1.1146598100369589</v>
      </c>
      <c r="BN252" s="460">
        <f t="shared" si="687"/>
        <v>1114.659810036959</v>
      </c>
      <c r="BO252" s="528">
        <f t="shared" si="637"/>
        <v>0.252</v>
      </c>
      <c r="BR252" s="460">
        <f t="shared" si="688"/>
        <v>252</v>
      </c>
      <c r="BS252" s="528">
        <f t="shared" si="689"/>
        <v>1.1039296119665325E-2</v>
      </c>
      <c r="BT252" s="528">
        <f t="shared" si="690"/>
        <v>1.7531489814753685E-2</v>
      </c>
      <c r="BU252" s="528">
        <f t="shared" si="691"/>
        <v>0.86630465828048075</v>
      </c>
      <c r="BV252" s="528"/>
      <c r="BW252" s="528">
        <f t="shared" si="692"/>
        <v>0.35312012340819465</v>
      </c>
      <c r="BX252" s="460">
        <f t="shared" si="693"/>
        <v>1247.9955676230943</v>
      </c>
      <c r="BY252" s="173">
        <f t="shared" si="694"/>
        <v>3.1258592277019401</v>
      </c>
      <c r="BZ252" s="5">
        <f t="shared" si="695"/>
        <v>8.64</v>
      </c>
      <c r="CA252" s="173">
        <f t="shared" si="696"/>
        <v>0.73432801062736575</v>
      </c>
      <c r="CB252" s="5">
        <f t="shared" si="697"/>
        <v>73.432801062736573</v>
      </c>
      <c r="CE252" s="562">
        <f t="shared" si="757"/>
        <v>-50</v>
      </c>
      <c r="CF252">
        <f t="shared" si="758"/>
        <v>-50</v>
      </c>
      <c r="CG252" s="173">
        <f t="shared" si="759"/>
        <v>0.48581264605756069</v>
      </c>
      <c r="CI252" s="170">
        <v>36</v>
      </c>
      <c r="CJ252" s="217">
        <f t="shared" si="698"/>
        <v>0.36</v>
      </c>
      <c r="CK252" s="217"/>
      <c r="CL252" s="217">
        <f t="shared" si="641"/>
        <v>8.64</v>
      </c>
      <c r="CM252" s="541">
        <f t="shared" si="642"/>
        <v>36</v>
      </c>
      <c r="CN252" s="443">
        <f t="shared" si="643"/>
        <v>16.3415</v>
      </c>
      <c r="CO252" s="443">
        <f t="shared" si="644"/>
        <v>52.341499999999996</v>
      </c>
      <c r="CP252" s="443"/>
      <c r="CQ252" s="217">
        <f t="shared" si="645"/>
        <v>0.31220924123305599</v>
      </c>
      <c r="CR252" s="172">
        <f t="shared" si="646"/>
        <v>63.048783011568261</v>
      </c>
      <c r="CS252" s="172">
        <f t="shared" si="647"/>
        <v>8.64</v>
      </c>
      <c r="CT252" s="217">
        <f t="shared" si="648"/>
        <v>2.6270326254820109</v>
      </c>
      <c r="CU252" s="217">
        <f t="shared" si="649"/>
        <v>24</v>
      </c>
      <c r="CV252" s="217"/>
      <c r="CW252" s="172">
        <f t="shared" si="650"/>
        <v>501.63628545334655</v>
      </c>
      <c r="CX252" s="172">
        <f t="shared" si="651"/>
        <v>24</v>
      </c>
      <c r="CY252" s="217">
        <f t="shared" si="652"/>
        <v>1.5374304684392499</v>
      </c>
      <c r="CZ252" s="217">
        <f t="shared" si="653"/>
        <v>0.42706401901090285</v>
      </c>
      <c r="DA252" s="217">
        <f t="shared" si="654"/>
        <v>0.94081355349218254</v>
      </c>
      <c r="DB252" s="197">
        <f t="shared" si="655"/>
        <v>350</v>
      </c>
      <c r="DC252" s="443">
        <f t="shared" si="656"/>
        <v>350</v>
      </c>
      <c r="DE252" s="217">
        <f t="shared" si="657"/>
        <v>3.211295052682861</v>
      </c>
      <c r="DF252" s="173">
        <f t="shared" si="658"/>
        <v>1.96511645361984</v>
      </c>
      <c r="DG252" s="173">
        <f t="shared" si="659"/>
        <v>0.73660113681324435</v>
      </c>
      <c r="DH252" s="173"/>
      <c r="DI252" s="173">
        <f t="shared" si="660"/>
        <v>1.3598642855443031</v>
      </c>
      <c r="DJ252" s="545">
        <f t="shared" si="661"/>
        <v>357.20999999999987</v>
      </c>
      <c r="DK252" s="528">
        <f t="shared" si="662"/>
        <v>0.35273368606701955</v>
      </c>
      <c r="DM252" s="173">
        <f t="shared" si="663"/>
        <v>2.2449944320643644</v>
      </c>
      <c r="DN252" s="173">
        <f t="shared" si="664"/>
        <v>2.2449944320643644</v>
      </c>
      <c r="DO252" s="173">
        <f t="shared" si="665"/>
        <v>1.216868303586772</v>
      </c>
      <c r="DQ252" s="545">
        <f t="shared" si="666"/>
        <v>360</v>
      </c>
      <c r="DR252" s="460">
        <f t="shared" si="667"/>
        <v>350</v>
      </c>
      <c r="DT252">
        <f t="shared" si="668"/>
        <v>360</v>
      </c>
      <c r="DU252">
        <f t="shared" si="669"/>
        <v>350</v>
      </c>
      <c r="DW252" s="5">
        <f t="shared" si="670"/>
        <v>2.8571428571428572</v>
      </c>
      <c r="DX252" s="5">
        <f t="shared" si="671"/>
        <v>0.62360956446232352</v>
      </c>
      <c r="DY252" s="5">
        <f t="shared" si="672"/>
        <v>2.2335332926805336</v>
      </c>
      <c r="DZ252" s="5"/>
      <c r="EA252" s="173">
        <f t="shared" si="673"/>
        <v>0.21826334756181323</v>
      </c>
      <c r="EB252" s="173">
        <f t="shared" si="699"/>
        <v>8.8199999999999985</v>
      </c>
      <c r="EC252" s="173">
        <f t="shared" si="700"/>
        <v>0.58529064309346557</v>
      </c>
      <c r="ED252" s="173">
        <f t="shared" si="701"/>
        <v>15.069436192219333</v>
      </c>
      <c r="EE252" s="460">
        <f t="shared" si="674"/>
        <v>0.93541434669348533</v>
      </c>
      <c r="EF252" s="5">
        <f t="shared" si="675"/>
        <v>0.44670665853610664</v>
      </c>
      <c r="EH252" s="173">
        <f t="shared" si="702"/>
        <v>0.60554308179009542</v>
      </c>
      <c r="EI252" s="173">
        <f t="shared" si="703"/>
        <v>0.76438245866309729</v>
      </c>
      <c r="EK252" s="528">
        <f t="shared" si="704"/>
        <v>1.4667296956153849E-2</v>
      </c>
      <c r="EL252" s="528">
        <f t="shared" si="705"/>
        <v>1.1309988696342581</v>
      </c>
      <c r="EM252" s="528">
        <f t="shared" si="706"/>
        <v>6.9999999999999993E-2</v>
      </c>
      <c r="EN252" s="528">
        <f t="shared" si="707"/>
        <v>0.16780249811281248</v>
      </c>
      <c r="EO252">
        <f t="shared" si="708"/>
        <v>1.6199999999999999E-2</v>
      </c>
      <c r="EP252" s="460">
        <f t="shared" si="709"/>
        <v>86.2</v>
      </c>
      <c r="EQ252" s="460"/>
      <c r="ER252" s="460">
        <f t="shared" si="710"/>
        <v>1399.6686647032245</v>
      </c>
      <c r="ES252" s="528">
        <f t="shared" si="711"/>
        <v>0.252</v>
      </c>
      <c r="EV252" s="460">
        <f t="shared" si="712"/>
        <v>252</v>
      </c>
      <c r="EW252" s="528">
        <f t="shared" si="713"/>
        <v>1.1000472717115385E-2</v>
      </c>
      <c r="EX252" s="528">
        <f t="shared" si="714"/>
        <v>1.7528416293355248E-2</v>
      </c>
      <c r="EY252" s="528">
        <f t="shared" si="715"/>
        <v>0.86532307670260289</v>
      </c>
      <c r="EZ252" s="528"/>
      <c r="FA252" s="528">
        <f t="shared" si="716"/>
        <v>0.35279999999999989</v>
      </c>
      <c r="FB252" s="460">
        <f t="shared" si="717"/>
        <v>1246.6519657130734</v>
      </c>
      <c r="FC252" s="173">
        <f t="shared" si="718"/>
        <v>2.8983206304162978</v>
      </c>
      <c r="FD252" s="5">
        <f t="shared" si="719"/>
        <v>8.64</v>
      </c>
      <c r="FE252" s="173">
        <f t="shared" si="720"/>
        <v>0.74880914448017666</v>
      </c>
      <c r="FF252" s="5">
        <f t="shared" si="721"/>
        <v>74.880914448017663</v>
      </c>
      <c r="FI252" s="562">
        <f t="shared" si="676"/>
        <v>-50</v>
      </c>
      <c r="FJ252">
        <f t="shared" si="677"/>
        <v>-50</v>
      </c>
      <c r="FL252">
        <f t="shared" si="760"/>
        <v>0.48082982053209788</v>
      </c>
    </row>
    <row r="253" spans="5:168">
      <c r="E253" s="170">
        <v>37</v>
      </c>
      <c r="F253" s="217">
        <f t="shared" si="761"/>
        <v>0.37</v>
      </c>
      <c r="G253" s="217"/>
      <c r="H253" s="217">
        <f t="shared" si="726"/>
        <v>8.879999999999999</v>
      </c>
      <c r="I253" s="541">
        <f t="shared" si="727"/>
        <v>35.921158386622295</v>
      </c>
      <c r="J253" s="172">
        <f t="shared" si="728"/>
        <v>16.356532471371715</v>
      </c>
      <c r="K253" s="172">
        <f t="shared" si="729"/>
        <v>52.27769085799401</v>
      </c>
      <c r="L253" s="443"/>
      <c r="M253" s="217">
        <f t="shared" si="730"/>
        <v>0.31287991575798185</v>
      </c>
      <c r="N253" s="172">
        <f t="shared" si="731"/>
        <v>63.04584543062267</v>
      </c>
      <c r="O253" s="172">
        <f t="shared" si="599"/>
        <v>8.879999999999999</v>
      </c>
      <c r="P253" s="217">
        <f t="shared" si="732"/>
        <v>2.6269102262759447</v>
      </c>
      <c r="Q253" s="217">
        <f t="shared" si="733"/>
        <v>24</v>
      </c>
      <c r="R253" s="217"/>
      <c r="S253" s="172">
        <f t="shared" si="734"/>
        <v>485.55732200613227</v>
      </c>
      <c r="T253" s="172">
        <f t="shared" si="735"/>
        <v>24</v>
      </c>
      <c r="U253" s="217">
        <f t="shared" si="736"/>
        <v>1.6146308379054006</v>
      </c>
      <c r="V253" s="217">
        <f t="shared" si="737"/>
        <v>0.44949297584643572</v>
      </c>
      <c r="W253" s="217">
        <f t="shared" si="738"/>
        <v>0.98714739247541272</v>
      </c>
      <c r="X253" s="197">
        <f t="shared" si="739"/>
        <v>350</v>
      </c>
      <c r="Y253" s="443">
        <f t="shared" si="680"/>
        <v>350</v>
      </c>
      <c r="AA253" s="217">
        <f t="shared" si="740"/>
        <v>3.2111244171933957</v>
      </c>
      <c r="AB253" s="173">
        <f t="shared" si="741"/>
        <v>1.9632060907858793</v>
      </c>
      <c r="AC253" s="173">
        <f t="shared" si="742"/>
        <v>0.73584595742144487</v>
      </c>
      <c r="AD253" s="173"/>
      <c r="AE253" s="173">
        <f t="shared" si="743"/>
        <v>1.3586145022557214</v>
      </c>
      <c r="AF253" s="545">
        <f t="shared" si="744"/>
        <v>367.4702235135008</v>
      </c>
      <c r="AG253" s="528">
        <f t="shared" si="745"/>
        <v>0.35240950616844241</v>
      </c>
      <c r="AI253" s="173">
        <f t="shared" si="746"/>
        <v>2.2770079179466083</v>
      </c>
      <c r="AJ253" s="173">
        <f t="shared" si="747"/>
        <v>2.2770079179466083</v>
      </c>
      <c r="AK253" s="173">
        <f t="shared" si="748"/>
        <v>1.2405819968328784</v>
      </c>
      <c r="AM253" s="545">
        <f t="shared" si="749"/>
        <v>370</v>
      </c>
      <c r="AN253" s="460">
        <f t="shared" si="750"/>
        <v>350</v>
      </c>
      <c r="AP253">
        <f t="shared" si="751"/>
        <v>370</v>
      </c>
      <c r="AQ253">
        <f t="shared" si="752"/>
        <v>350</v>
      </c>
      <c r="AS253" s="5">
        <f t="shared" si="600"/>
        <v>2.8571428571428572</v>
      </c>
      <c r="AT253" s="5">
        <f t="shared" si="753"/>
        <v>0.63389044791902038</v>
      </c>
      <c r="AU253" s="5">
        <f t="shared" si="722"/>
        <v>2.2232524092238366</v>
      </c>
      <c r="AV253" s="5"/>
      <c r="AW253" s="173">
        <f t="shared" si="723"/>
        <v>0.22186165677165712</v>
      </c>
      <c r="AX253" s="173">
        <f t="shared" si="631"/>
        <v>9.0733388521852092</v>
      </c>
      <c r="AY253" s="173">
        <f t="shared" si="632"/>
        <v>0.59090436079106223</v>
      </c>
      <c r="AZ253" s="173">
        <f t="shared" si="633"/>
        <v>15.355004048435935</v>
      </c>
      <c r="BA253" s="460">
        <f t="shared" si="724"/>
        <v>0.97724777387515638</v>
      </c>
      <c r="BB253" s="5">
        <f t="shared" si="725"/>
        <v>0.4580049354528456</v>
      </c>
      <c r="BD253" s="173">
        <f t="shared" si="681"/>
        <v>0.61922009168161052</v>
      </c>
      <c r="BE253" s="173">
        <f t="shared" si="682"/>
        <v>0.77349614815519097</v>
      </c>
      <c r="BG253" s="528">
        <f t="shared" si="683"/>
        <v>1.5337340877687285E-2</v>
      </c>
      <c r="BH253" s="528">
        <f t="shared" si="754"/>
        <v>0.93741413862298684</v>
      </c>
      <c r="BI253" s="528">
        <f t="shared" si="755"/>
        <v>0.50289621741271218</v>
      </c>
      <c r="BJ253" s="528">
        <f t="shared" si="684"/>
        <v>0.1673936138884444</v>
      </c>
      <c r="BK253">
        <f t="shared" si="685"/>
        <v>1.6164521273980031E-2</v>
      </c>
      <c r="BL253" s="460">
        <f t="shared" si="686"/>
        <v>519.06073868669228</v>
      </c>
      <c r="BM253" s="528">
        <f t="shared" si="756"/>
        <v>1.1283982303111393</v>
      </c>
      <c r="BN253" s="460">
        <f t="shared" si="687"/>
        <v>1128.3982303111393</v>
      </c>
      <c r="BO253" s="528">
        <f t="shared" si="637"/>
        <v>0.25900000000000001</v>
      </c>
      <c r="BR253" s="460">
        <f t="shared" si="688"/>
        <v>259</v>
      </c>
      <c r="BS253" s="528">
        <f t="shared" si="689"/>
        <v>1.1503005658265463E-2</v>
      </c>
      <c r="BT253" s="528">
        <f t="shared" si="690"/>
        <v>1.7948888736327512E-2</v>
      </c>
      <c r="BU253" s="528">
        <f t="shared" si="691"/>
        <v>0.89650242208978692</v>
      </c>
      <c r="BV253" s="528"/>
      <c r="BW253" s="528">
        <f t="shared" si="692"/>
        <v>0.36293355408740841</v>
      </c>
      <c r="BX253" s="460">
        <f t="shared" si="693"/>
        <v>1288.8878705717884</v>
      </c>
      <c r="BY253" s="173">
        <f t="shared" si="694"/>
        <v>3.1870937026475992</v>
      </c>
      <c r="BZ253" s="5">
        <f t="shared" si="695"/>
        <v>8.879999999999999</v>
      </c>
      <c r="CA253" s="173">
        <f t="shared" si="696"/>
        <v>0.73588555942444278</v>
      </c>
      <c r="CB253" s="5">
        <f t="shared" si="697"/>
        <v>73.588555942444273</v>
      </c>
      <c r="CE253" s="562">
        <f t="shared" si="757"/>
        <v>-50</v>
      </c>
      <c r="CF253">
        <f t="shared" si="758"/>
        <v>-50</v>
      </c>
      <c r="CG253" s="173">
        <f t="shared" si="759"/>
        <v>0.49251382669732685</v>
      </c>
      <c r="CI253" s="170">
        <v>37</v>
      </c>
      <c r="CJ253" s="217">
        <f t="shared" si="698"/>
        <v>0.37</v>
      </c>
      <c r="CK253" s="217"/>
      <c r="CL253" s="217">
        <f t="shared" si="641"/>
        <v>8.879999999999999</v>
      </c>
      <c r="CM253" s="541">
        <f t="shared" si="642"/>
        <v>36</v>
      </c>
      <c r="CN253" s="443">
        <f t="shared" si="643"/>
        <v>16.3415</v>
      </c>
      <c r="CO253" s="443">
        <f t="shared" si="644"/>
        <v>52.341499999999996</v>
      </c>
      <c r="CP253" s="443"/>
      <c r="CQ253" s="217">
        <f t="shared" si="645"/>
        <v>0.31220924123305599</v>
      </c>
      <c r="CR253" s="172">
        <f t="shared" si="646"/>
        <v>63.048783011568261</v>
      </c>
      <c r="CS253" s="172">
        <f t="shared" si="647"/>
        <v>8.879999999999999</v>
      </c>
      <c r="CT253" s="217">
        <f t="shared" si="648"/>
        <v>2.6270326254820109</v>
      </c>
      <c r="CU253" s="217">
        <f t="shared" si="649"/>
        <v>24</v>
      </c>
      <c r="CV253" s="217"/>
      <c r="CW253" s="172">
        <f t="shared" si="650"/>
        <v>486.62292683502034</v>
      </c>
      <c r="CX253" s="172">
        <f t="shared" si="651"/>
        <v>24</v>
      </c>
      <c r="CY253" s="217">
        <f t="shared" si="652"/>
        <v>1.5801368703403398</v>
      </c>
      <c r="CZ253" s="217">
        <f t="shared" si="653"/>
        <v>0.43892690842787224</v>
      </c>
      <c r="DA253" s="217">
        <f t="shared" si="654"/>
        <v>0.96694726331140957</v>
      </c>
      <c r="DB253" s="197">
        <f t="shared" si="655"/>
        <v>350</v>
      </c>
      <c r="DC253" s="443">
        <f t="shared" si="656"/>
        <v>350</v>
      </c>
      <c r="DE253" s="217">
        <f t="shared" si="657"/>
        <v>3.211295052682861</v>
      </c>
      <c r="DF253" s="173">
        <f t="shared" si="658"/>
        <v>1.96511645361984</v>
      </c>
      <c r="DG253" s="173">
        <f t="shared" si="659"/>
        <v>0.73660113681324435</v>
      </c>
      <c r="DH253" s="173"/>
      <c r="DI253" s="173">
        <f t="shared" si="660"/>
        <v>1.3598642855443031</v>
      </c>
      <c r="DJ253" s="545">
        <f t="shared" si="661"/>
        <v>367.13249999999988</v>
      </c>
      <c r="DK253" s="528">
        <f t="shared" si="662"/>
        <v>0.35273368606701955</v>
      </c>
      <c r="DM253" s="173">
        <f t="shared" si="663"/>
        <v>2.275961335348208</v>
      </c>
      <c r="DN253" s="173">
        <f t="shared" si="664"/>
        <v>2.275961335348208</v>
      </c>
      <c r="DO253" s="173">
        <f t="shared" si="665"/>
        <v>1.2398067504636932</v>
      </c>
      <c r="DQ253" s="545">
        <f t="shared" si="666"/>
        <v>370</v>
      </c>
      <c r="DR253" s="460">
        <f t="shared" si="667"/>
        <v>350</v>
      </c>
      <c r="DT253">
        <f t="shared" si="668"/>
        <v>370</v>
      </c>
      <c r="DU253">
        <f t="shared" si="669"/>
        <v>350</v>
      </c>
      <c r="DW253" s="5">
        <f t="shared" si="670"/>
        <v>2.8571428571428572</v>
      </c>
      <c r="DX253" s="5">
        <f t="shared" si="671"/>
        <v>0.63221148204116895</v>
      </c>
      <c r="DY253" s="5">
        <f t="shared" si="672"/>
        <v>2.2249313751016881</v>
      </c>
      <c r="DZ253" s="5"/>
      <c r="EA253" s="173">
        <f t="shared" si="673"/>
        <v>0.22127401871440913</v>
      </c>
      <c r="EB253" s="173">
        <f t="shared" si="699"/>
        <v>9.0649999999999959</v>
      </c>
      <c r="EC253" s="173">
        <f t="shared" si="700"/>
        <v>0.59107879978307198</v>
      </c>
      <c r="ED253" s="173">
        <f t="shared" si="701"/>
        <v>15.336364632476894</v>
      </c>
      <c r="EE253" s="460">
        <f t="shared" si="674"/>
        <v>0.9746593681468021</v>
      </c>
      <c r="EF253" s="5">
        <f t="shared" si="675"/>
        <v>0.45734700488201357</v>
      </c>
      <c r="EH253" s="173">
        <f t="shared" si="702"/>
        <v>0.61811525811416945</v>
      </c>
      <c r="EI253" s="173">
        <f t="shared" si="703"/>
        <v>0.77343250246260353</v>
      </c>
      <c r="EK253" s="528">
        <f t="shared" si="704"/>
        <v>1.5282658892541854E-2</v>
      </c>
      <c r="EL253" s="528">
        <f t="shared" si="705"/>
        <v>1.1465995910034841</v>
      </c>
      <c r="EM253" s="528">
        <f t="shared" si="706"/>
        <v>6.9999999999999993E-2</v>
      </c>
      <c r="EN253" s="528">
        <f t="shared" si="707"/>
        <v>0.16780249811281248</v>
      </c>
      <c r="EO253">
        <f t="shared" si="708"/>
        <v>1.6199999999999999E-2</v>
      </c>
      <c r="EP253" s="460">
        <f t="shared" si="709"/>
        <v>86.2</v>
      </c>
      <c r="EQ253" s="460"/>
      <c r="ER253" s="460">
        <f t="shared" si="710"/>
        <v>1415.8847480088386</v>
      </c>
      <c r="ES253" s="528">
        <f t="shared" si="711"/>
        <v>0.25900000000000001</v>
      </c>
      <c r="EV253" s="460">
        <f t="shared" si="712"/>
        <v>259</v>
      </c>
      <c r="EW253" s="528">
        <f t="shared" si="713"/>
        <v>1.146199416940639E-2</v>
      </c>
      <c r="EX253" s="528">
        <f t="shared" si="714"/>
        <v>1.7945935075966955E-2</v>
      </c>
      <c r="EY253" s="528">
        <f t="shared" si="715"/>
        <v>0.8954726272319532</v>
      </c>
      <c r="EZ253" s="528"/>
      <c r="FA253" s="528">
        <f t="shared" si="716"/>
        <v>0.36259999999999987</v>
      </c>
      <c r="FB253" s="460">
        <f t="shared" si="717"/>
        <v>1287.4805564773264</v>
      </c>
      <c r="FC253" s="173">
        <f t="shared" si="718"/>
        <v>2.9623653044861649</v>
      </c>
      <c r="FD253" s="5">
        <f t="shared" si="719"/>
        <v>8.879999999999999</v>
      </c>
      <c r="FE253" s="173">
        <f t="shared" si="720"/>
        <v>0.74985020067199315</v>
      </c>
      <c r="FF253" s="5">
        <f t="shared" si="721"/>
        <v>74.985020067199315</v>
      </c>
      <c r="FI253" s="562">
        <f t="shared" si="676"/>
        <v>-50</v>
      </c>
      <c r="FJ253">
        <f t="shared" si="677"/>
        <v>-50</v>
      </c>
      <c r="FL253">
        <f t="shared" si="760"/>
        <v>0.4874622692971104</v>
      </c>
    </row>
    <row r="254" spans="5:168">
      <c r="E254" s="170">
        <v>38</v>
      </c>
      <c r="F254" s="217">
        <f t="shared" si="761"/>
        <v>0.38</v>
      </c>
      <c r="G254" s="217"/>
      <c r="H254" s="217">
        <f t="shared" si="726"/>
        <v>9.120000000000001</v>
      </c>
      <c r="I254" s="541">
        <f t="shared" si="727"/>
        <v>35.92010006257825</v>
      </c>
      <c r="J254" s="172">
        <f t="shared" si="728"/>
        <v>16.356734258539841</v>
      </c>
      <c r="K254" s="172">
        <f t="shared" si="729"/>
        <v>52.276834321118088</v>
      </c>
      <c r="L254" s="443"/>
      <c r="M254" s="217">
        <f t="shared" si="730"/>
        <v>0.31288892961246678</v>
      </c>
      <c r="N254" s="172">
        <f t="shared" si="731"/>
        <v>63.045804201608298</v>
      </c>
      <c r="O254" s="172">
        <f t="shared" si="599"/>
        <v>9.120000000000001</v>
      </c>
      <c r="P254" s="217">
        <f t="shared" si="732"/>
        <v>2.6269085084003456</v>
      </c>
      <c r="Q254" s="217">
        <f t="shared" si="733"/>
        <v>24</v>
      </c>
      <c r="R254" s="217"/>
      <c r="S254" s="172">
        <f t="shared" si="734"/>
        <v>471.35150411119128</v>
      </c>
      <c r="T254" s="172">
        <f t="shared" si="735"/>
        <v>24</v>
      </c>
      <c r="U254" s="217">
        <f t="shared" si="736"/>
        <v>1.6582912631795153</v>
      </c>
      <c r="V254" s="217">
        <f t="shared" si="737"/>
        <v>0.46166109233841807</v>
      </c>
      <c r="W254" s="217">
        <f t="shared" si="738"/>
        <v>1.0138278442187947</v>
      </c>
      <c r="X254" s="197">
        <f t="shared" si="739"/>
        <v>350</v>
      </c>
      <c r="Y254" s="443">
        <f t="shared" si="680"/>
        <v>350</v>
      </c>
      <c r="AA254" s="217">
        <f t="shared" si="740"/>
        <v>3.2111220357307229</v>
      </c>
      <c r="AB254" s="173">
        <f t="shared" si="741"/>
        <v>1.9631804154635561</v>
      </c>
      <c r="AC254" s="173">
        <f t="shared" si="742"/>
        <v>0.73583578811821471</v>
      </c>
      <c r="AD254" s="173"/>
      <c r="AE254" s="173">
        <f t="shared" si="743"/>
        <v>1.3585977415155486</v>
      </c>
      <c r="AF254" s="545">
        <f t="shared" si="744"/>
        <v>377.4065071048397</v>
      </c>
      <c r="AG254" s="528">
        <f t="shared" si="745"/>
        <v>0.352405158618672</v>
      </c>
      <c r="AI254" s="173">
        <f t="shared" si="746"/>
        <v>2.3075873842328822</v>
      </c>
      <c r="AJ254" s="173">
        <f t="shared" si="747"/>
        <v>2.3075873842328822</v>
      </c>
      <c r="AK254" s="173">
        <f t="shared" si="748"/>
        <v>1.2632334533412295</v>
      </c>
      <c r="AM254" s="545">
        <f t="shared" si="749"/>
        <v>380</v>
      </c>
      <c r="AN254" s="460">
        <f t="shared" si="750"/>
        <v>350</v>
      </c>
      <c r="AP254">
        <f t="shared" si="751"/>
        <v>380</v>
      </c>
      <c r="AQ254">
        <f t="shared" si="752"/>
        <v>350</v>
      </c>
      <c r="AS254" s="5">
        <f t="shared" si="600"/>
        <v>2.8571428571428572</v>
      </c>
      <c r="AT254" s="5">
        <f t="shared" si="753"/>
        <v>0.64242231514186099</v>
      </c>
      <c r="AU254" s="5">
        <f t="shared" si="722"/>
        <v>2.2147205420009963</v>
      </c>
      <c r="AV254" s="5"/>
      <c r="AW254" s="173">
        <f t="shared" si="723"/>
        <v>0.22484781029965134</v>
      </c>
      <c r="AX254" s="173">
        <f t="shared" si="631"/>
        <v>9.3186791877738244</v>
      </c>
      <c r="AY254" s="173">
        <f t="shared" si="632"/>
        <v>0.59654192650664162</v>
      </c>
      <c r="AZ254" s="173">
        <f t="shared" si="633"/>
        <v>15.621163867465524</v>
      </c>
      <c r="BA254" s="460">
        <f t="shared" si="724"/>
        <v>1.0171686656412799</v>
      </c>
      <c r="BB254" s="5">
        <f t="shared" si="725"/>
        <v>0.46859212780264803</v>
      </c>
      <c r="BD254" s="173">
        <f t="shared" si="681"/>
        <v>0.63174506766964877</v>
      </c>
      <c r="BE254" s="173">
        <f t="shared" si="682"/>
        <v>0.78237839952135457</v>
      </c>
      <c r="BG254" s="528">
        <f t="shared" si="683"/>
        <v>1.5964073220997164E-2</v>
      </c>
      <c r="BH254" s="528">
        <f t="shared" si="754"/>
        <v>0.94998773651547663</v>
      </c>
      <c r="BI254" s="528">
        <f t="shared" si="755"/>
        <v>0.50288140087609545</v>
      </c>
      <c r="BJ254" s="528">
        <f t="shared" si="684"/>
        <v>0.16738812865655484</v>
      </c>
      <c r="BK254">
        <f t="shared" si="685"/>
        <v>1.6164045028160212E-2</v>
      </c>
      <c r="BL254" s="460">
        <f t="shared" si="686"/>
        <v>519.04544590425576</v>
      </c>
      <c r="BM254" s="528">
        <f t="shared" si="756"/>
        <v>1.1419818481681685</v>
      </c>
      <c r="BN254" s="460">
        <f t="shared" si="687"/>
        <v>1141.9818481681684</v>
      </c>
      <c r="BO254" s="528">
        <f t="shared" si="637"/>
        <v>0.26599999999999996</v>
      </c>
      <c r="BR254" s="460">
        <f t="shared" si="688"/>
        <v>265.99999999999994</v>
      </c>
      <c r="BS254" s="528">
        <f t="shared" si="689"/>
        <v>1.1973054915747872E-2</v>
      </c>
      <c r="BT254" s="528">
        <f t="shared" si="690"/>
        <v>1.8363478801127889E-2</v>
      </c>
      <c r="BU254" s="528">
        <f t="shared" si="691"/>
        <v>0.92690559814727824</v>
      </c>
      <c r="BV254" s="528"/>
      <c r="BW254" s="528">
        <f t="shared" si="692"/>
        <v>0.37274716751095288</v>
      </c>
      <c r="BX254" s="460">
        <f t="shared" si="693"/>
        <v>1329.9892993751068</v>
      </c>
      <c r="BY254" s="173">
        <f t="shared" si="694"/>
        <v>3.2483746836723917</v>
      </c>
      <c r="BZ254" s="5">
        <f t="shared" si="695"/>
        <v>9.120000000000001</v>
      </c>
      <c r="CA254" s="173">
        <f t="shared" si="696"/>
        <v>0.73736446649206044</v>
      </c>
      <c r="CB254" s="5">
        <f t="shared" si="697"/>
        <v>73.736446649206044</v>
      </c>
      <c r="CE254" s="562">
        <f t="shared" si="757"/>
        <v>-50</v>
      </c>
      <c r="CF254">
        <f t="shared" si="758"/>
        <v>-50</v>
      </c>
      <c r="CG254" s="173">
        <f t="shared" si="759"/>
        <v>0.49912504636277316</v>
      </c>
      <c r="CI254" s="170">
        <v>38</v>
      </c>
      <c r="CJ254" s="217">
        <f t="shared" si="698"/>
        <v>0.38</v>
      </c>
      <c r="CK254" s="217"/>
      <c r="CL254" s="217">
        <f t="shared" si="641"/>
        <v>9.120000000000001</v>
      </c>
      <c r="CM254" s="541">
        <f t="shared" si="642"/>
        <v>36</v>
      </c>
      <c r="CN254" s="443">
        <f t="shared" si="643"/>
        <v>16.3415</v>
      </c>
      <c r="CO254" s="443">
        <f t="shared" si="644"/>
        <v>52.341499999999996</v>
      </c>
      <c r="CP254" s="443"/>
      <c r="CQ254" s="217">
        <f t="shared" si="645"/>
        <v>0.31220924123305599</v>
      </c>
      <c r="CR254" s="172">
        <f t="shared" si="646"/>
        <v>63.048783011568261</v>
      </c>
      <c r="CS254" s="172">
        <f t="shared" si="647"/>
        <v>9.120000000000001</v>
      </c>
      <c r="CT254" s="217">
        <f t="shared" si="648"/>
        <v>2.6270326254820109</v>
      </c>
      <c r="CU254" s="217">
        <f t="shared" si="649"/>
        <v>24</v>
      </c>
      <c r="CV254" s="217"/>
      <c r="CW254" s="172">
        <f t="shared" si="650"/>
        <v>472.39984198965828</v>
      </c>
      <c r="CX254" s="172">
        <f t="shared" si="651"/>
        <v>24</v>
      </c>
      <c r="CY254" s="217">
        <f t="shared" si="652"/>
        <v>1.6228432722414305</v>
      </c>
      <c r="CZ254" s="217">
        <f t="shared" si="653"/>
        <v>0.4507897978448418</v>
      </c>
      <c r="DA254" s="217">
        <f t="shared" si="654"/>
        <v>0.99308097313063703</v>
      </c>
      <c r="DB254" s="197">
        <f t="shared" si="655"/>
        <v>350</v>
      </c>
      <c r="DC254" s="443">
        <f t="shared" si="656"/>
        <v>350</v>
      </c>
      <c r="DE254" s="217">
        <f t="shared" si="657"/>
        <v>3.211295052682861</v>
      </c>
      <c r="DF254" s="173">
        <f t="shared" si="658"/>
        <v>1.96511645361984</v>
      </c>
      <c r="DG254" s="173">
        <f t="shared" si="659"/>
        <v>0.73660113681324435</v>
      </c>
      <c r="DH254" s="173"/>
      <c r="DI254" s="173">
        <f t="shared" si="660"/>
        <v>1.3598642855443031</v>
      </c>
      <c r="DJ254" s="545">
        <f t="shared" si="661"/>
        <v>377.05499999999989</v>
      </c>
      <c r="DK254" s="528">
        <f t="shared" si="662"/>
        <v>0.35273368606701955</v>
      </c>
      <c r="DM254" s="173">
        <f t="shared" si="663"/>
        <v>2.3065125189341589</v>
      </c>
      <c r="DN254" s="173">
        <f t="shared" si="664"/>
        <v>2.3065125189341589</v>
      </c>
      <c r="DO254" s="173">
        <f t="shared" si="665"/>
        <v>1.2624372568236566</v>
      </c>
      <c r="DQ254" s="545">
        <f t="shared" si="666"/>
        <v>380</v>
      </c>
      <c r="DR254" s="460">
        <f t="shared" si="667"/>
        <v>350</v>
      </c>
      <c r="DT254">
        <f t="shared" si="668"/>
        <v>380</v>
      </c>
      <c r="DU254">
        <f t="shared" si="669"/>
        <v>350</v>
      </c>
      <c r="DW254" s="5">
        <f t="shared" si="670"/>
        <v>2.8571428571428572</v>
      </c>
      <c r="DX254" s="5">
        <f t="shared" si="671"/>
        <v>0.64069792192615527</v>
      </c>
      <c r="DY254" s="5">
        <f t="shared" si="672"/>
        <v>2.2164449352167019</v>
      </c>
      <c r="DZ254" s="5"/>
      <c r="EA254" s="173">
        <f t="shared" si="673"/>
        <v>0.22424427267415434</v>
      </c>
      <c r="EB254" s="173">
        <f t="shared" si="699"/>
        <v>9.3099999999999987</v>
      </c>
      <c r="EC254" s="173">
        <f t="shared" si="700"/>
        <v>0.59672831395343096</v>
      </c>
      <c r="ED254" s="173">
        <f t="shared" si="701"/>
        <v>15.601739991721855</v>
      </c>
      <c r="EE254" s="460">
        <f t="shared" si="674"/>
        <v>1.0144383763830791</v>
      </c>
      <c r="EF254" s="5">
        <f t="shared" si="675"/>
        <v>0.46791615299019262</v>
      </c>
      <c r="EH254" s="173">
        <f t="shared" si="702"/>
        <v>0.63060276207939892</v>
      </c>
      <c r="EI254" s="173">
        <f t="shared" si="703"/>
        <v>0.78231835156776297</v>
      </c>
      <c r="EK254" s="528">
        <f t="shared" si="704"/>
        <v>1.5906393741686679E-2</v>
      </c>
      <c r="EL254" s="528">
        <f t="shared" si="705"/>
        <v>1.1619908782192505</v>
      </c>
      <c r="EM254" s="528">
        <f t="shared" si="706"/>
        <v>6.9999999999999993E-2</v>
      </c>
      <c r="EN254" s="528">
        <f t="shared" si="707"/>
        <v>0.16780249811281248</v>
      </c>
      <c r="EO254">
        <f t="shared" si="708"/>
        <v>1.6199999999999999E-2</v>
      </c>
      <c r="EP254" s="460">
        <f t="shared" si="709"/>
        <v>86.2</v>
      </c>
      <c r="EQ254" s="460"/>
      <c r="ER254" s="460">
        <f t="shared" si="710"/>
        <v>1431.89977007375</v>
      </c>
      <c r="ES254" s="528">
        <f t="shared" si="711"/>
        <v>0.26599999999999996</v>
      </c>
      <c r="EV254" s="460">
        <f t="shared" si="712"/>
        <v>265.99999999999994</v>
      </c>
      <c r="EW254" s="528">
        <f t="shared" si="713"/>
        <v>1.192979530626501E-2</v>
      </c>
      <c r="EX254" s="528">
        <f t="shared" si="714"/>
        <v>1.836066009599106E-2</v>
      </c>
      <c r="EY254" s="528">
        <f t="shared" si="715"/>
        <v>0.92582660256685745</v>
      </c>
      <c r="EZ254" s="528"/>
      <c r="FA254" s="528">
        <f t="shared" si="716"/>
        <v>0.37239999999999995</v>
      </c>
      <c r="FB254" s="460">
        <f t="shared" si="717"/>
        <v>1328.5170579691135</v>
      </c>
      <c r="FC254" s="173">
        <f t="shared" si="718"/>
        <v>3.0264168280428634</v>
      </c>
      <c r="FD254" s="5">
        <f t="shared" si="719"/>
        <v>9.120000000000001</v>
      </c>
      <c r="FE254" s="173">
        <f t="shared" si="720"/>
        <v>0.75083871475119579</v>
      </c>
      <c r="FF254" s="5">
        <f t="shared" si="721"/>
        <v>75.083871475119579</v>
      </c>
      <c r="FI254" s="562">
        <f t="shared" si="676"/>
        <v>-50</v>
      </c>
      <c r="FJ254">
        <f t="shared" si="677"/>
        <v>-50</v>
      </c>
      <c r="FL254">
        <f t="shared" si="760"/>
        <v>0.49400567978885401</v>
      </c>
    </row>
    <row r="255" spans="5:168">
      <c r="E255" s="170">
        <v>39</v>
      </c>
      <c r="F255" s="217">
        <f t="shared" si="761"/>
        <v>0.39</v>
      </c>
      <c r="G255" s="217"/>
      <c r="H255" s="217">
        <f t="shared" si="726"/>
        <v>9.36</v>
      </c>
      <c r="I255" s="541">
        <f t="shared" si="727"/>
        <v>35.919055574620607</v>
      </c>
      <c r="J255" s="172">
        <f t="shared" si="728"/>
        <v>16.356933407626837</v>
      </c>
      <c r="K255" s="172">
        <f t="shared" si="729"/>
        <v>52.275988982247441</v>
      </c>
      <c r="L255" s="443"/>
      <c r="M255" s="217">
        <f t="shared" si="730"/>
        <v>0.31289782591249099</v>
      </c>
      <c r="N255" s="172">
        <f t="shared" si="731"/>
        <v>63.045763464880778</v>
      </c>
      <c r="O255" s="172">
        <f t="shared" si="599"/>
        <v>9.36</v>
      </c>
      <c r="P255" s="217">
        <f t="shared" si="732"/>
        <v>2.6269068110366991</v>
      </c>
      <c r="Q255" s="217">
        <f t="shared" si="733"/>
        <v>24</v>
      </c>
      <c r="R255" s="217"/>
      <c r="S255" s="172">
        <f t="shared" si="734"/>
        <v>457.87454277594765</v>
      </c>
      <c r="T255" s="172">
        <f t="shared" si="735"/>
        <v>24</v>
      </c>
      <c r="U255" s="217">
        <f t="shared" si="736"/>
        <v>1.7019525428031708</v>
      </c>
      <c r="V255" s="217">
        <f t="shared" si="737"/>
        <v>0.47382998121078729</v>
      </c>
      <c r="W255" s="217">
        <f t="shared" si="738"/>
        <v>1.0405083278077001</v>
      </c>
      <c r="X255" s="197">
        <f t="shared" si="739"/>
        <v>350</v>
      </c>
      <c r="Y255" s="443">
        <f t="shared" si="680"/>
        <v>350</v>
      </c>
      <c r="AA255" s="217">
        <f t="shared" si="740"/>
        <v>3.2111196830369799</v>
      </c>
      <c r="AB255" s="173">
        <f t="shared" si="741"/>
        <v>1.963155074984724</v>
      </c>
      <c r="AC255" s="173">
        <f t="shared" si="742"/>
        <v>0.73582575092698643</v>
      </c>
      <c r="AD255" s="173"/>
      <c r="AE255" s="173">
        <f t="shared" si="743"/>
        <v>1.3585812003037532</v>
      </c>
      <c r="AF255" s="545">
        <f t="shared" si="744"/>
        <v>387.34297327356194</v>
      </c>
      <c r="AG255" s="528">
        <f t="shared" si="745"/>
        <v>0.35240086801212356</v>
      </c>
      <c r="AI255" s="173">
        <f t="shared" si="746"/>
        <v>2.3377674369786448</v>
      </c>
      <c r="AJ255" s="173">
        <f t="shared" si="747"/>
        <v>2.3377674369786448</v>
      </c>
      <c r="AK255" s="173">
        <f t="shared" si="748"/>
        <v>1.2855890479677203</v>
      </c>
      <c r="AM255" s="545">
        <f t="shared" si="749"/>
        <v>390</v>
      </c>
      <c r="AN255" s="460">
        <f t="shared" si="750"/>
        <v>350</v>
      </c>
      <c r="AP255">
        <f t="shared" si="751"/>
        <v>390</v>
      </c>
      <c r="AQ255">
        <f t="shared" si="752"/>
        <v>350</v>
      </c>
      <c r="AS255" s="5">
        <f t="shared" si="600"/>
        <v>2.8571428571428572</v>
      </c>
      <c r="AT255" s="5">
        <f t="shared" si="753"/>
        <v>0.6508432361541393</v>
      </c>
      <c r="AU255" s="5">
        <f t="shared" si="722"/>
        <v>2.2062996209887178</v>
      </c>
      <c r="AV255" s="5"/>
      <c r="AW255" s="173">
        <f t="shared" si="723"/>
        <v>0.22779513265394874</v>
      </c>
      <c r="AX255" s="173">
        <f t="shared" si="631"/>
        <v>9.5640240314459781</v>
      </c>
      <c r="AY255" s="173">
        <f t="shared" si="632"/>
        <v>0.60204600375159723</v>
      </c>
      <c r="AZ255" s="173">
        <f t="shared" si="633"/>
        <v>15.885869139315925</v>
      </c>
      <c r="BA255" s="460">
        <f t="shared" si="724"/>
        <v>1.0576202587504766</v>
      </c>
      <c r="BB255" s="5">
        <f t="shared" si="725"/>
        <v>0.4791088398179234</v>
      </c>
      <c r="BD255" s="173">
        <f t="shared" si="681"/>
        <v>0.64418839642257131</v>
      </c>
      <c r="BE255" s="173">
        <f t="shared" si="682"/>
        <v>0.79110254003305025</v>
      </c>
      <c r="BG255" s="528">
        <f t="shared" si="683"/>
        <v>1.6599147603419354E-2</v>
      </c>
      <c r="BH255" s="528">
        <f t="shared" si="754"/>
        <v>0.96239670013110057</v>
      </c>
      <c r="BI255" s="528">
        <f t="shared" si="755"/>
        <v>0.50286677804468849</v>
      </c>
      <c r="BJ255" s="528">
        <f t="shared" si="684"/>
        <v>0.16738271522441342</v>
      </c>
      <c r="BK255">
        <f t="shared" si="685"/>
        <v>1.6163575008579272E-2</v>
      </c>
      <c r="BL255" s="460">
        <f t="shared" si="686"/>
        <v>519.03035305326773</v>
      </c>
      <c r="BM255" s="528">
        <f t="shared" si="756"/>
        <v>1.155417249303877</v>
      </c>
      <c r="BN255" s="460">
        <f t="shared" si="687"/>
        <v>1155.417249303877</v>
      </c>
      <c r="BO255" s="528">
        <f t="shared" si="637"/>
        <v>0.27299999999999996</v>
      </c>
      <c r="BR255" s="460">
        <f t="shared" si="688"/>
        <v>272.99999999999994</v>
      </c>
      <c r="BS255" s="528">
        <f t="shared" si="689"/>
        <v>1.2449360702564517E-2</v>
      </c>
      <c r="BT255" s="528">
        <f t="shared" si="690"/>
        <v>1.8775296865402316E-2</v>
      </c>
      <c r="BU255" s="528">
        <f t="shared" si="691"/>
        <v>0.95751013094208626</v>
      </c>
      <c r="BV255" s="528"/>
      <c r="BW255" s="528">
        <f t="shared" si="692"/>
        <v>0.38256096125783912</v>
      </c>
      <c r="BX255" s="460">
        <f t="shared" si="693"/>
        <v>1371.2957497678922</v>
      </c>
      <c r="BY255" s="173">
        <f t="shared" si="694"/>
        <v>3.3097046657800933</v>
      </c>
      <c r="BZ255" s="5">
        <f t="shared" si="695"/>
        <v>9.36</v>
      </c>
      <c r="CA255" s="173">
        <f t="shared" si="696"/>
        <v>0.73877018027741781</v>
      </c>
      <c r="CB255" s="5">
        <f t="shared" si="697"/>
        <v>73.877018027741784</v>
      </c>
      <c r="CE255" s="562">
        <f t="shared" si="757"/>
        <v>-50</v>
      </c>
      <c r="CF255">
        <f t="shared" si="758"/>
        <v>-50</v>
      </c>
      <c r="CG255" s="173">
        <f t="shared" si="759"/>
        <v>0.50564983370434935</v>
      </c>
      <c r="CI255" s="170">
        <v>39</v>
      </c>
      <c r="CJ255" s="217">
        <f t="shared" si="698"/>
        <v>0.39</v>
      </c>
      <c r="CK255" s="217"/>
      <c r="CL255" s="217">
        <f t="shared" si="641"/>
        <v>9.36</v>
      </c>
      <c r="CM255" s="541">
        <f t="shared" si="642"/>
        <v>36</v>
      </c>
      <c r="CN255" s="443">
        <f t="shared" si="643"/>
        <v>16.3415</v>
      </c>
      <c r="CO255" s="443">
        <f t="shared" si="644"/>
        <v>52.341499999999996</v>
      </c>
      <c r="CP255" s="443"/>
      <c r="CQ255" s="217">
        <f t="shared" si="645"/>
        <v>0.31220924123305599</v>
      </c>
      <c r="CR255" s="172">
        <f t="shared" si="646"/>
        <v>63.048783011568261</v>
      </c>
      <c r="CS255" s="172">
        <f t="shared" si="647"/>
        <v>9.36</v>
      </c>
      <c r="CT255" s="217">
        <f t="shared" si="648"/>
        <v>2.6270326254820109</v>
      </c>
      <c r="CU255" s="217">
        <f t="shared" si="649"/>
        <v>24</v>
      </c>
      <c r="CV255" s="217"/>
      <c r="CW255" s="172">
        <f t="shared" si="650"/>
        <v>458.90624146942162</v>
      </c>
      <c r="CX255" s="172">
        <f t="shared" si="651"/>
        <v>24</v>
      </c>
      <c r="CY255" s="217">
        <f t="shared" si="652"/>
        <v>1.6655496741425204</v>
      </c>
      <c r="CZ255" s="217">
        <f t="shared" si="653"/>
        <v>0.4626526872618113</v>
      </c>
      <c r="DA255" s="217">
        <f t="shared" si="654"/>
        <v>1.0192146829498643</v>
      </c>
      <c r="DB255" s="197">
        <f t="shared" si="655"/>
        <v>350</v>
      </c>
      <c r="DC255" s="443">
        <f t="shared" si="656"/>
        <v>350</v>
      </c>
      <c r="DE255" s="217">
        <f t="shared" si="657"/>
        <v>3.211295052682861</v>
      </c>
      <c r="DF255" s="173">
        <f t="shared" si="658"/>
        <v>1.96511645361984</v>
      </c>
      <c r="DG255" s="173">
        <f t="shared" si="659"/>
        <v>0.73660113681324435</v>
      </c>
      <c r="DH255" s="173"/>
      <c r="DI255" s="173">
        <f t="shared" si="660"/>
        <v>1.3598642855443031</v>
      </c>
      <c r="DJ255" s="545">
        <f t="shared" si="661"/>
        <v>386.97749999999991</v>
      </c>
      <c r="DK255" s="528">
        <f t="shared" si="662"/>
        <v>0.35273368606701955</v>
      </c>
      <c r="DM255" s="173">
        <f t="shared" si="663"/>
        <v>2.3366642891095841</v>
      </c>
      <c r="DN255" s="173">
        <f t="shared" si="664"/>
        <v>2.3366642891095841</v>
      </c>
      <c r="DO255" s="173">
        <f t="shared" si="665"/>
        <v>1.2847719013980456</v>
      </c>
      <c r="DQ255" s="545">
        <f t="shared" si="666"/>
        <v>390</v>
      </c>
      <c r="DR255" s="460">
        <f t="shared" si="667"/>
        <v>350</v>
      </c>
      <c r="DT255">
        <f t="shared" si="668"/>
        <v>390</v>
      </c>
      <c r="DU255">
        <f t="shared" si="669"/>
        <v>350</v>
      </c>
      <c r="DW255" s="5">
        <f t="shared" si="670"/>
        <v>2.8571428571428572</v>
      </c>
      <c r="DX255" s="5">
        <f t="shared" si="671"/>
        <v>0.64907341364155124</v>
      </c>
      <c r="DY255" s="5">
        <f t="shared" si="672"/>
        <v>2.208069443501306</v>
      </c>
      <c r="DZ255" s="5"/>
      <c r="EA255" s="173">
        <f t="shared" si="673"/>
        <v>0.22717569477454294</v>
      </c>
      <c r="EB255" s="173">
        <f t="shared" si="699"/>
        <v>9.5549999999999979</v>
      </c>
      <c r="EC255" s="173">
        <f t="shared" si="700"/>
        <v>0.60224462375137966</v>
      </c>
      <c r="ED255" s="173">
        <f t="shared" si="701"/>
        <v>15.865645990298654</v>
      </c>
      <c r="EE255" s="460">
        <f t="shared" si="674"/>
        <v>1.0547442971675207</v>
      </c>
      <c r="EF255" s="5">
        <f t="shared" si="675"/>
        <v>0.47841504609194951</v>
      </c>
      <c r="EH255" s="173">
        <f t="shared" si="702"/>
        <v>0.64300837046625448</v>
      </c>
      <c r="EI255" s="173">
        <f t="shared" si="703"/>
        <v>0.79104631902054634</v>
      </c>
      <c r="EK255" s="528">
        <f t="shared" si="704"/>
        <v>1.6538390579586719E-2</v>
      </c>
      <c r="EL255" s="528">
        <f t="shared" si="705"/>
        <v>1.177180946176132</v>
      </c>
      <c r="EM255" s="528">
        <f t="shared" si="706"/>
        <v>6.9999999999999993E-2</v>
      </c>
      <c r="EN255" s="528">
        <f t="shared" si="707"/>
        <v>0.16780249811281248</v>
      </c>
      <c r="EO255">
        <f t="shared" si="708"/>
        <v>1.6199999999999999E-2</v>
      </c>
      <c r="EP255" s="460">
        <f t="shared" si="709"/>
        <v>86.2</v>
      </c>
      <c r="EQ255" s="460"/>
      <c r="ER255" s="460">
        <f t="shared" si="710"/>
        <v>1447.7218348685312</v>
      </c>
      <c r="ES255" s="528">
        <f t="shared" si="711"/>
        <v>0.27299999999999996</v>
      </c>
      <c r="EV255" s="460">
        <f t="shared" si="712"/>
        <v>272.99999999999994</v>
      </c>
      <c r="EW255" s="528">
        <f t="shared" si="713"/>
        <v>1.2403792934690039E-2</v>
      </c>
      <c r="EX255" s="528">
        <f t="shared" si="714"/>
        <v>1.8772628365078679E-2</v>
      </c>
      <c r="EY255" s="528">
        <f t="shared" si="715"/>
        <v>0.95638095375561827</v>
      </c>
      <c r="EZ255" s="528"/>
      <c r="FA255" s="528">
        <f t="shared" si="716"/>
        <v>0.38219999999999987</v>
      </c>
      <c r="FB255" s="460">
        <f t="shared" si="717"/>
        <v>1369.7573750553868</v>
      </c>
      <c r="FC255" s="173">
        <f t="shared" si="718"/>
        <v>3.0904792099239184</v>
      </c>
      <c r="FD255" s="5">
        <f t="shared" si="719"/>
        <v>9.36</v>
      </c>
      <c r="FE255" s="173">
        <f t="shared" si="720"/>
        <v>0.75177829240013616</v>
      </c>
      <c r="FF255" s="5">
        <f t="shared" si="721"/>
        <v>75.177829240013622</v>
      </c>
      <c r="FI255" s="562">
        <f t="shared" si="676"/>
        <v>-50</v>
      </c>
      <c r="FJ255">
        <f t="shared" si="677"/>
        <v>-50</v>
      </c>
      <c r="FL255">
        <f t="shared" si="760"/>
        <v>0.50046354446553531</v>
      </c>
    </row>
    <row r="256" spans="5:168">
      <c r="E256" s="170">
        <v>40</v>
      </c>
      <c r="F256" s="217">
        <f t="shared" si="761"/>
        <v>0.4</v>
      </c>
      <c r="G256" s="217"/>
      <c r="H256" s="217">
        <f t="shared" si="726"/>
        <v>9.6000000000000014</v>
      </c>
      <c r="I256" s="541">
        <f t="shared" si="727"/>
        <v>35.918024393872322</v>
      </c>
      <c r="J256" s="172">
        <f t="shared" si="728"/>
        <v>16.357130019471946</v>
      </c>
      <c r="K256" s="172">
        <f t="shared" si="729"/>
        <v>52.275154413344268</v>
      </c>
      <c r="L256" s="443"/>
      <c r="M256" s="217">
        <f t="shared" si="730"/>
        <v>0.31290660915152479</v>
      </c>
      <c r="N256" s="172">
        <f t="shared" si="731"/>
        <v>63.045723201620454</v>
      </c>
      <c r="O256" s="172">
        <f t="shared" si="599"/>
        <v>9.6000000000000014</v>
      </c>
      <c r="P256" s="217">
        <f t="shared" si="732"/>
        <v>2.6269051334008524</v>
      </c>
      <c r="Q256" s="217">
        <f t="shared" si="733"/>
        <v>24</v>
      </c>
      <c r="R256" s="217"/>
      <c r="S256" s="172">
        <f t="shared" si="734"/>
        <v>445.0717664809867</v>
      </c>
      <c r="T256" s="172">
        <f t="shared" si="735"/>
        <v>24</v>
      </c>
      <c r="U256" s="217">
        <f t="shared" si="736"/>
        <v>1.7456146658156095</v>
      </c>
      <c r="V256" s="217">
        <f t="shared" si="737"/>
        <v>0.48599963257261292</v>
      </c>
      <c r="W256" s="217">
        <f t="shared" si="738"/>
        <v>1.0671888428701033</v>
      </c>
      <c r="X256" s="197">
        <f t="shared" si="739"/>
        <v>350</v>
      </c>
      <c r="Y256" s="443">
        <f t="shared" si="680"/>
        <v>350</v>
      </c>
      <c r="AA256" s="217">
        <f t="shared" si="740"/>
        <v>3.2111173580123751</v>
      </c>
      <c r="AB256" s="173">
        <f t="shared" si="741"/>
        <v>1.9631300565501282</v>
      </c>
      <c r="AC256" s="173">
        <f t="shared" si="742"/>
        <v>0.73581584079782847</v>
      </c>
      <c r="AD256" s="173"/>
      <c r="AE256" s="173">
        <f t="shared" si="743"/>
        <v>1.3585648702289659</v>
      </c>
      <c r="AF256" s="545">
        <f t="shared" si="744"/>
        <v>397.27961966333658</v>
      </c>
      <c r="AG256" s="528">
        <f t="shared" si="745"/>
        <v>0.35239663217216899</v>
      </c>
      <c r="AI256" s="173">
        <f t="shared" si="746"/>
        <v>2.3675633435509362</v>
      </c>
      <c r="AJ256" s="173">
        <f t="shared" si="747"/>
        <v>2.3675633435509362</v>
      </c>
      <c r="AK256" s="173">
        <f t="shared" si="748"/>
        <v>1.3076600898731214</v>
      </c>
      <c r="AM256" s="545">
        <f t="shared" si="749"/>
        <v>400</v>
      </c>
      <c r="AN256" s="460">
        <f t="shared" si="750"/>
        <v>350</v>
      </c>
      <c r="AP256">
        <f t="shared" si="751"/>
        <v>400</v>
      </c>
      <c r="AQ256">
        <f t="shared" si="752"/>
        <v>350</v>
      </c>
      <c r="AS256" s="5">
        <f t="shared" si="600"/>
        <v>2.8571428571428572</v>
      </c>
      <c r="AT256" s="5">
        <f t="shared" si="753"/>
        <v>0.65915745186554497</v>
      </c>
      <c r="AU256" s="5">
        <f t="shared" si="722"/>
        <v>2.1979854052773122</v>
      </c>
      <c r="AV256" s="5"/>
      <c r="AW256" s="173">
        <f t="shared" si="723"/>
        <v>0.23070510815294074</v>
      </c>
      <c r="AX256" s="173">
        <f t="shared" si="631"/>
        <v>9.8093733250206547</v>
      </c>
      <c r="AY256" s="173">
        <f t="shared" si="632"/>
        <v>0.6074216878370795</v>
      </c>
      <c r="AZ256" s="173">
        <f t="shared" si="633"/>
        <v>16.149198359956635</v>
      </c>
      <c r="BA256" s="460">
        <f t="shared" si="724"/>
        <v>1.0985957531092418</v>
      </c>
      <c r="BB256" s="5">
        <f t="shared" si="725"/>
        <v>0.48955596915342425</v>
      </c>
      <c r="BD256" s="173">
        <f t="shared" si="681"/>
        <v>0.6565526902094232</v>
      </c>
      <c r="BE256" s="173">
        <f t="shared" si="682"/>
        <v>0.79967448290247289</v>
      </c>
      <c r="BG256" s="528">
        <f t="shared" si="683"/>
        <v>1.7242457400849235E-2</v>
      </c>
      <c r="BH256" s="528">
        <f t="shared" si="754"/>
        <v>0.97464732251905339</v>
      </c>
      <c r="BI256" s="528">
        <f t="shared" si="755"/>
        <v>0.50285234151421243</v>
      </c>
      <c r="BJ256" s="528">
        <f t="shared" si="684"/>
        <v>0.16737737084751292</v>
      </c>
      <c r="BK256">
        <f t="shared" si="685"/>
        <v>1.6163110977242545E-2</v>
      </c>
      <c r="BL256" s="460">
        <f t="shared" si="686"/>
        <v>519.01545249145499</v>
      </c>
      <c r="BM256" s="528">
        <f t="shared" si="756"/>
        <v>1.1687105970472464</v>
      </c>
      <c r="BN256" s="460">
        <f t="shared" si="687"/>
        <v>1168.7105970472464</v>
      </c>
      <c r="BO256" s="528">
        <f t="shared" si="637"/>
        <v>0.27999999999999997</v>
      </c>
      <c r="BR256" s="460">
        <f t="shared" si="688"/>
        <v>279.99999999999994</v>
      </c>
      <c r="BS256" s="528">
        <f t="shared" si="689"/>
        <v>1.2931843050636925E-2</v>
      </c>
      <c r="BT256" s="528">
        <f t="shared" si="690"/>
        <v>1.9184378358160122E-2</v>
      </c>
      <c r="BU256" s="528">
        <f t="shared" si="691"/>
        <v>0.98831214750731466</v>
      </c>
      <c r="BV256" s="528"/>
      <c r="BW256" s="528">
        <f t="shared" si="692"/>
        <v>0.39237493300082621</v>
      </c>
      <c r="BX256" s="460">
        <f t="shared" si="693"/>
        <v>1412.8033019169379</v>
      </c>
      <c r="BY256" s="173">
        <f t="shared" si="694"/>
        <v>3.3710859051758089</v>
      </c>
      <c r="BZ256" s="5">
        <f t="shared" si="695"/>
        <v>9.6000000000000014</v>
      </c>
      <c r="CA256" s="173">
        <f t="shared" si="696"/>
        <v>0.74010765715223148</v>
      </c>
      <c r="CB256" s="5">
        <f t="shared" si="697"/>
        <v>74.010765715223144</v>
      </c>
      <c r="CE256" s="562">
        <f t="shared" si="757"/>
        <v>-50</v>
      </c>
      <c r="CF256">
        <f t="shared" si="758"/>
        <v>-50</v>
      </c>
      <c r="CG256" s="173">
        <f t="shared" si="759"/>
        <v>0.51209149255170405</v>
      </c>
      <c r="CI256" s="170">
        <v>40</v>
      </c>
      <c r="CJ256" s="217">
        <f t="shared" si="698"/>
        <v>0.4</v>
      </c>
      <c r="CK256" s="217"/>
      <c r="CL256" s="217">
        <f t="shared" si="641"/>
        <v>9.6000000000000014</v>
      </c>
      <c r="CM256" s="541">
        <f t="shared" si="642"/>
        <v>36</v>
      </c>
      <c r="CN256" s="443">
        <f t="shared" si="643"/>
        <v>16.3415</v>
      </c>
      <c r="CO256" s="443">
        <f t="shared" si="644"/>
        <v>52.341499999999996</v>
      </c>
      <c r="CP256" s="443"/>
      <c r="CQ256" s="217">
        <f t="shared" si="645"/>
        <v>0.31220924123305599</v>
      </c>
      <c r="CR256" s="172">
        <f t="shared" si="646"/>
        <v>63.048783011568261</v>
      </c>
      <c r="CS256" s="172">
        <f t="shared" si="647"/>
        <v>9.6000000000000014</v>
      </c>
      <c r="CT256" s="217">
        <f t="shared" si="648"/>
        <v>2.6270326254820109</v>
      </c>
      <c r="CU256" s="217">
        <f t="shared" si="649"/>
        <v>24</v>
      </c>
      <c r="CV256" s="217"/>
      <c r="CW256" s="172">
        <f t="shared" si="650"/>
        <v>446.08741478092867</v>
      </c>
      <c r="CX256" s="172">
        <f t="shared" si="651"/>
        <v>24</v>
      </c>
      <c r="CY256" s="217">
        <f t="shared" si="652"/>
        <v>1.7082560760436112</v>
      </c>
      <c r="CZ256" s="217">
        <f t="shared" si="653"/>
        <v>0.47451557667878091</v>
      </c>
      <c r="DA256" s="217">
        <f t="shared" si="654"/>
        <v>1.0453483927690916</v>
      </c>
      <c r="DB256" s="197">
        <f t="shared" si="655"/>
        <v>350</v>
      </c>
      <c r="DC256" s="443">
        <f t="shared" si="656"/>
        <v>350</v>
      </c>
      <c r="DE256" s="217">
        <f t="shared" si="657"/>
        <v>3.211295052682861</v>
      </c>
      <c r="DF256" s="173">
        <f t="shared" si="658"/>
        <v>1.96511645361984</v>
      </c>
      <c r="DG256" s="173">
        <f t="shared" si="659"/>
        <v>0.73660113681324435</v>
      </c>
      <c r="DH256" s="173"/>
      <c r="DI256" s="173">
        <f t="shared" si="660"/>
        <v>1.3598642855443031</v>
      </c>
      <c r="DJ256" s="545">
        <f t="shared" si="661"/>
        <v>396.89999999999986</v>
      </c>
      <c r="DK256" s="528">
        <f t="shared" si="662"/>
        <v>0.35273368606701955</v>
      </c>
      <c r="DM256" s="173">
        <f t="shared" si="663"/>
        <v>2.3664319132398464</v>
      </c>
      <c r="DN256" s="173">
        <f t="shared" si="664"/>
        <v>2.3664319132398464</v>
      </c>
      <c r="DO256" s="173">
        <f t="shared" si="665"/>
        <v>1.306821993346388</v>
      </c>
      <c r="DQ256" s="545">
        <f t="shared" si="666"/>
        <v>400</v>
      </c>
      <c r="DR256" s="460">
        <f t="shared" si="667"/>
        <v>350</v>
      </c>
      <c r="DT256">
        <f t="shared" si="668"/>
        <v>400</v>
      </c>
      <c r="DU256">
        <f t="shared" si="669"/>
        <v>350</v>
      </c>
      <c r="DW256" s="5">
        <f t="shared" si="670"/>
        <v>2.8571428571428572</v>
      </c>
      <c r="DX256" s="5">
        <f t="shared" si="671"/>
        <v>0.65734219812217953</v>
      </c>
      <c r="DY256" s="5">
        <f t="shared" si="672"/>
        <v>2.1998006590206778</v>
      </c>
      <c r="DZ256" s="5"/>
      <c r="EA256" s="173">
        <f t="shared" si="673"/>
        <v>0.23006976934276283</v>
      </c>
      <c r="EB256" s="173">
        <f t="shared" si="699"/>
        <v>9.7999999999999989</v>
      </c>
      <c r="EC256" s="173">
        <f t="shared" si="700"/>
        <v>0.60763282084326664</v>
      </c>
      <c r="ED256" s="173">
        <f t="shared" si="701"/>
        <v>16.128161060160739</v>
      </c>
      <c r="EE256" s="460">
        <f t="shared" si="674"/>
        <v>1.0955703302036326</v>
      </c>
      <c r="EF256" s="5">
        <f t="shared" si="675"/>
        <v>0.48884459089348403</v>
      </c>
      <c r="EH256" s="173">
        <f t="shared" si="702"/>
        <v>0.6553347003171921</v>
      </c>
      <c r="EI256" s="173">
        <f t="shared" si="703"/>
        <v>0.79962231629823388</v>
      </c>
      <c r="EK256" s="528">
        <f t="shared" si="704"/>
        <v>1.717854277759296E-2</v>
      </c>
      <c r="EL256" s="528">
        <f t="shared" si="705"/>
        <v>1.1921774863733678</v>
      </c>
      <c r="EM256" s="528">
        <f t="shared" si="706"/>
        <v>6.9999999999999993E-2</v>
      </c>
      <c r="EN256" s="528">
        <f t="shared" si="707"/>
        <v>0.16780249811281248</v>
      </c>
      <c r="EO256">
        <f t="shared" si="708"/>
        <v>1.6199999999999999E-2</v>
      </c>
      <c r="EP256" s="460">
        <f t="shared" si="709"/>
        <v>86.2</v>
      </c>
      <c r="EQ256" s="460"/>
      <c r="ER256" s="460">
        <f t="shared" si="710"/>
        <v>1463.3585272637736</v>
      </c>
      <c r="ES256" s="528">
        <f t="shared" si="711"/>
        <v>0.27999999999999997</v>
      </c>
      <c r="EV256" s="460">
        <f t="shared" si="712"/>
        <v>279.99999999999994</v>
      </c>
      <c r="EW256" s="528">
        <f t="shared" si="713"/>
        <v>1.288390708319472E-2</v>
      </c>
      <c r="EX256" s="528">
        <f t="shared" si="714"/>
        <v>1.9181875461664583E-2</v>
      </c>
      <c r="EY256" s="528">
        <f t="shared" si="715"/>
        <v>0.98713181417814633</v>
      </c>
      <c r="EZ256" s="528"/>
      <c r="FA256" s="528">
        <f t="shared" si="716"/>
        <v>0.39200000000000002</v>
      </c>
      <c r="FB256" s="460">
        <f t="shared" si="717"/>
        <v>1411.1975967230057</v>
      </c>
      <c r="FC256" s="173">
        <f t="shared" si="718"/>
        <v>3.154556123986779</v>
      </c>
      <c r="FD256" s="5">
        <f t="shared" si="719"/>
        <v>9.6000000000000014</v>
      </c>
      <c r="FE256" s="173">
        <f t="shared" si="720"/>
        <v>0.7526722142800264</v>
      </c>
      <c r="FF256" s="5">
        <f t="shared" si="721"/>
        <v>75.267221428002642</v>
      </c>
      <c r="FI256" s="562">
        <f t="shared" si="676"/>
        <v>-50</v>
      </c>
      <c r="FJ256">
        <f t="shared" si="677"/>
        <v>-50</v>
      </c>
      <c r="FL256">
        <f t="shared" si="760"/>
        <v>0.50683913327047481</v>
      </c>
    </row>
    <row r="257" spans="5:168">
      <c r="E257" s="170">
        <v>41</v>
      </c>
      <c r="F257" s="217">
        <f t="shared" si="761"/>
        <v>0.41</v>
      </c>
      <c r="G257" s="217"/>
      <c r="H257" s="217">
        <f t="shared" si="726"/>
        <v>9.84</v>
      </c>
      <c r="I257" s="541">
        <f t="shared" si="727"/>
        <v>35.917006024315015</v>
      </c>
      <c r="J257" s="172">
        <f t="shared" si="728"/>
        <v>16.357324188649365</v>
      </c>
      <c r="K257" s="172">
        <f t="shared" si="729"/>
        <v>52.274330212964379</v>
      </c>
      <c r="L257" s="443"/>
      <c r="M257" s="217">
        <f t="shared" si="730"/>
        <v>0.31291528354386317</v>
      </c>
      <c r="N257" s="172">
        <f t="shared" si="731"/>
        <v>63.045683394177026</v>
      </c>
      <c r="O257" s="172">
        <f t="shared" si="599"/>
        <v>9.84</v>
      </c>
      <c r="P257" s="217">
        <f t="shared" si="732"/>
        <v>2.6269034747573761</v>
      </c>
      <c r="Q257" s="217">
        <f t="shared" si="733"/>
        <v>24</v>
      </c>
      <c r="R257" s="217"/>
      <c r="S257" s="172">
        <f t="shared" si="734"/>
        <v>432.89383799657168</v>
      </c>
      <c r="T257" s="172">
        <f t="shared" si="735"/>
        <v>24</v>
      </c>
      <c r="U257" s="217">
        <f t="shared" si="736"/>
        <v>1.7892776216698307</v>
      </c>
      <c r="V257" s="217">
        <f t="shared" si="737"/>
        <v>0.49817003690634176</v>
      </c>
      <c r="W257" s="217">
        <f t="shared" si="738"/>
        <v>1.0938693890480218</v>
      </c>
      <c r="X257" s="197">
        <f t="shared" si="739"/>
        <v>350</v>
      </c>
      <c r="Y257" s="443">
        <f t="shared" si="680"/>
        <v>350</v>
      </c>
      <c r="AA257" s="217">
        <f t="shared" si="740"/>
        <v>3.2111150596254516</v>
      </c>
      <c r="AB257" s="173">
        <f t="shared" si="741"/>
        <v>1.9631053481557217</v>
      </c>
      <c r="AC257" s="173">
        <f t="shared" si="742"/>
        <v>0.73580605299455926</v>
      </c>
      <c r="AD257" s="173"/>
      <c r="AE257" s="173">
        <f t="shared" si="743"/>
        <v>1.3585487434211652</v>
      </c>
      <c r="AF257" s="545">
        <f t="shared" si="744"/>
        <v>407.21644400678059</v>
      </c>
      <c r="AG257" s="528">
        <f t="shared" si="745"/>
        <v>0.35239244905741224</v>
      </c>
      <c r="AI257" s="173">
        <f t="shared" si="746"/>
        <v>2.3969894227686175</v>
      </c>
      <c r="AJ257" s="173">
        <f t="shared" si="747"/>
        <v>2.3969894227686175</v>
      </c>
      <c r="AK257" s="173">
        <f t="shared" si="748"/>
        <v>1.3294571855899222</v>
      </c>
      <c r="AM257" s="545">
        <f t="shared" si="749"/>
        <v>410</v>
      </c>
      <c r="AN257" s="460">
        <f t="shared" si="750"/>
        <v>350</v>
      </c>
      <c r="AP257">
        <f t="shared" si="751"/>
        <v>410</v>
      </c>
      <c r="AQ257">
        <f t="shared" si="752"/>
        <v>350</v>
      </c>
      <c r="AS257" s="5">
        <f t="shared" si="600"/>
        <v>2.8571428571428572</v>
      </c>
      <c r="AT257" s="5">
        <f t="shared" si="753"/>
        <v>0.66736893970112898</v>
      </c>
      <c r="AU257" s="5">
        <f t="shared" si="722"/>
        <v>2.1897739174417281</v>
      </c>
      <c r="AV257" s="5"/>
      <c r="AW257" s="173">
        <f t="shared" si="723"/>
        <v>0.23357912889539514</v>
      </c>
      <c r="AX257" s="173">
        <f t="shared" si="631"/>
        <v>10.054727012513105</v>
      </c>
      <c r="AY257" s="173">
        <f t="shared" si="632"/>
        <v>0.61267375759585374</v>
      </c>
      <c r="AZ257" s="173">
        <f t="shared" si="633"/>
        <v>16.411225204043486</v>
      </c>
      <c r="BA257" s="460">
        <f t="shared" si="724"/>
        <v>1.1400886053227619</v>
      </c>
      <c r="BB257" s="5">
        <f t="shared" si="725"/>
        <v>0.49993437957680142</v>
      </c>
      <c r="BD257" s="173">
        <f t="shared" si="681"/>
        <v>0.66884041471416134</v>
      </c>
      <c r="BE257" s="173">
        <f t="shared" si="682"/>
        <v>0.80809977459427029</v>
      </c>
      <c r="BG257" s="528">
        <f t="shared" si="683"/>
        <v>1.7893900014200454E-2</v>
      </c>
      <c r="BH257" s="528">
        <f t="shared" si="754"/>
        <v>0.98674550574696795</v>
      </c>
      <c r="BI257" s="528">
        <f t="shared" si="755"/>
        <v>0.50283808434041022</v>
      </c>
      <c r="BJ257" s="528">
        <f t="shared" si="684"/>
        <v>0.16737209295185995</v>
      </c>
      <c r="BK257">
        <f t="shared" si="685"/>
        <v>1.6162652710941756E-2</v>
      </c>
      <c r="BL257" s="460">
        <f t="shared" si="686"/>
        <v>519.00073705135196</v>
      </c>
      <c r="BM257" s="528">
        <f t="shared" si="756"/>
        <v>1.1818676692411143</v>
      </c>
      <c r="BN257" s="460">
        <f t="shared" si="687"/>
        <v>1181.8676692411143</v>
      </c>
      <c r="BO257" s="528">
        <f t="shared" si="637"/>
        <v>0.28699999999999998</v>
      </c>
      <c r="BR257" s="460">
        <f t="shared" si="688"/>
        <v>287</v>
      </c>
      <c r="BS257" s="528">
        <f t="shared" si="689"/>
        <v>1.3420425010650338E-2</v>
      </c>
      <c r="BT257" s="528">
        <f t="shared" si="690"/>
        <v>1.9590757370979314E-2</v>
      </c>
      <c r="BU257" s="528">
        <f t="shared" si="691"/>
        <v>1.0193079448276141</v>
      </c>
      <c r="BV257" s="528"/>
      <c r="BW257" s="528">
        <f t="shared" si="692"/>
        <v>0.40218908050052415</v>
      </c>
      <c r="BX257" s="460">
        <f t="shared" si="693"/>
        <v>1454.5082077097679</v>
      </c>
      <c r="BY257" s="173">
        <f t="shared" si="694"/>
        <v>3.4325204434741483</v>
      </c>
      <c r="BZ257" s="5">
        <f t="shared" si="695"/>
        <v>9.84</v>
      </c>
      <c r="CA257" s="173">
        <f t="shared" si="696"/>
        <v>0.74138141597952067</v>
      </c>
      <c r="CB257" s="5">
        <f t="shared" si="697"/>
        <v>74.138141597952071</v>
      </c>
      <c r="CE257" s="562">
        <f t="shared" si="757"/>
        <v>-50</v>
      </c>
      <c r="CF257">
        <f t="shared" si="758"/>
        <v>-50</v>
      </c>
      <c r="CG257" s="173">
        <f t="shared" si="759"/>
        <v>0.51845312147042544</v>
      </c>
      <c r="CI257" s="170">
        <v>41</v>
      </c>
      <c r="CJ257" s="217">
        <f t="shared" si="698"/>
        <v>0.41</v>
      </c>
      <c r="CK257" s="217"/>
      <c r="CL257" s="217">
        <f t="shared" si="641"/>
        <v>9.84</v>
      </c>
      <c r="CM257" s="541">
        <f t="shared" si="642"/>
        <v>36</v>
      </c>
      <c r="CN257" s="443">
        <f t="shared" si="643"/>
        <v>16.3415</v>
      </c>
      <c r="CO257" s="443">
        <f t="shared" si="644"/>
        <v>52.341499999999996</v>
      </c>
      <c r="CP257" s="443"/>
      <c r="CQ257" s="217">
        <f t="shared" si="645"/>
        <v>0.31220924123305599</v>
      </c>
      <c r="CR257" s="172">
        <f t="shared" si="646"/>
        <v>63.048783011568261</v>
      </c>
      <c r="CS257" s="172">
        <f t="shared" si="647"/>
        <v>9.84</v>
      </c>
      <c r="CT257" s="217">
        <f t="shared" si="648"/>
        <v>2.6270326254820109</v>
      </c>
      <c r="CU257" s="217">
        <f t="shared" si="649"/>
        <v>24</v>
      </c>
      <c r="CV257" s="217"/>
      <c r="CW257" s="172">
        <f t="shared" si="650"/>
        <v>433.89398904948172</v>
      </c>
      <c r="CX257" s="172">
        <f t="shared" si="651"/>
        <v>24</v>
      </c>
      <c r="CY257" s="217">
        <f t="shared" si="652"/>
        <v>1.7509624779447011</v>
      </c>
      <c r="CZ257" s="217">
        <f t="shared" si="653"/>
        <v>0.48637846609575036</v>
      </c>
      <c r="DA257" s="217">
        <f t="shared" si="654"/>
        <v>1.0714821025883188</v>
      </c>
      <c r="DB257" s="197">
        <f t="shared" si="655"/>
        <v>350</v>
      </c>
      <c r="DC257" s="443">
        <f t="shared" si="656"/>
        <v>350</v>
      </c>
      <c r="DE257" s="217">
        <f t="shared" si="657"/>
        <v>3.211295052682861</v>
      </c>
      <c r="DF257" s="173">
        <f t="shared" si="658"/>
        <v>1.96511645361984</v>
      </c>
      <c r="DG257" s="173">
        <f t="shared" si="659"/>
        <v>0.73660113681324435</v>
      </c>
      <c r="DH257" s="173"/>
      <c r="DI257" s="173">
        <f t="shared" si="660"/>
        <v>1.3598642855443031</v>
      </c>
      <c r="DJ257" s="545">
        <f t="shared" si="661"/>
        <v>406.82249999999982</v>
      </c>
      <c r="DK257" s="528">
        <f t="shared" si="662"/>
        <v>0.35273368606701955</v>
      </c>
      <c r="DM257" s="173">
        <f t="shared" si="663"/>
        <v>2.3958297101421877</v>
      </c>
      <c r="DN257" s="173">
        <f t="shared" si="664"/>
        <v>2.3958297101421877</v>
      </c>
      <c r="DO257" s="173">
        <f t="shared" si="665"/>
        <v>1.3285981391999744</v>
      </c>
      <c r="DQ257" s="545">
        <f t="shared" si="666"/>
        <v>410</v>
      </c>
      <c r="DR257" s="460">
        <f t="shared" si="667"/>
        <v>350</v>
      </c>
      <c r="DT257">
        <f t="shared" si="668"/>
        <v>410</v>
      </c>
      <c r="DU257">
        <f t="shared" si="669"/>
        <v>350</v>
      </c>
      <c r="DW257" s="5">
        <f t="shared" si="670"/>
        <v>2.8571428571428572</v>
      </c>
      <c r="DX257" s="5">
        <f t="shared" si="671"/>
        <v>0.66550825281727433</v>
      </c>
      <c r="DY257" s="5">
        <f t="shared" si="672"/>
        <v>2.191634604325583</v>
      </c>
      <c r="DZ257" s="5"/>
      <c r="EA257" s="173">
        <f t="shared" si="673"/>
        <v>0.23292788848604601</v>
      </c>
      <c r="EB257" s="173">
        <f t="shared" si="699"/>
        <v>10.045</v>
      </c>
      <c r="EC257" s="173">
        <f t="shared" si="700"/>
        <v>0.61289768055464189</v>
      </c>
      <c r="ED257" s="173">
        <f t="shared" si="701"/>
        <v>16.389358809303658</v>
      </c>
      <c r="EE257" s="460">
        <f t="shared" si="674"/>
        <v>1.1369099318961768</v>
      </c>
      <c r="EF257" s="5">
        <f t="shared" si="675"/>
        <v>0.49920565987416049</v>
      </c>
      <c r="EH257" s="173">
        <f t="shared" si="702"/>
        <v>0.667584221880132</v>
      </c>
      <c r="EI257" s="173">
        <f t="shared" si="703"/>
        <v>0.808051888209118</v>
      </c>
      <c r="EK257" s="528">
        <f t="shared" si="704"/>
        <v>1.7826747732132053E-2</v>
      </c>
      <c r="EL257" s="528">
        <f t="shared" si="705"/>
        <v>1.2069877124440453</v>
      </c>
      <c r="EM257" s="528">
        <f t="shared" si="706"/>
        <v>6.9999999999999993E-2</v>
      </c>
      <c r="EN257" s="528">
        <f t="shared" si="707"/>
        <v>0.16780249811281248</v>
      </c>
      <c r="EO257">
        <f t="shared" si="708"/>
        <v>1.6199999999999999E-2</v>
      </c>
      <c r="EP257" s="460">
        <f t="shared" si="709"/>
        <v>86.2</v>
      </c>
      <c r="EQ257" s="460"/>
      <c r="ER257" s="460">
        <f t="shared" si="710"/>
        <v>1478.81695828899</v>
      </c>
      <c r="ES257" s="528">
        <f t="shared" si="711"/>
        <v>0.28699999999999998</v>
      </c>
      <c r="EV257" s="460">
        <f t="shared" si="712"/>
        <v>287</v>
      </c>
      <c r="EW257" s="528">
        <f t="shared" si="713"/>
        <v>1.337006079909904E-2</v>
      </c>
      <c r="EX257" s="528">
        <f t="shared" si="714"/>
        <v>1.9588435621149626E-2</v>
      </c>
      <c r="EY257" s="528">
        <f t="shared" si="715"/>
        <v>1.0180754869655941</v>
      </c>
      <c r="EZ257" s="528"/>
      <c r="FA257" s="528">
        <f t="shared" si="716"/>
        <v>0.40179999999999999</v>
      </c>
      <c r="FB257" s="460">
        <f t="shared" si="717"/>
        <v>1452.8339833858429</v>
      </c>
      <c r="FC257" s="173">
        <f t="shared" si="718"/>
        <v>3.218650941674833</v>
      </c>
      <c r="FD257" s="5">
        <f t="shared" si="719"/>
        <v>9.84</v>
      </c>
      <c r="FE257" s="173">
        <f t="shared" si="720"/>
        <v>0.75352347221388971</v>
      </c>
      <c r="FF257" s="5">
        <f t="shared" si="721"/>
        <v>75.352347221388968</v>
      </c>
      <c r="FI257" s="562">
        <f t="shared" si="676"/>
        <v>-50</v>
      </c>
      <c r="FJ257">
        <f t="shared" si="677"/>
        <v>-50</v>
      </c>
      <c r="FL257">
        <f t="shared" si="760"/>
        <v>0.51313551298826043</v>
      </c>
    </row>
    <row r="258" spans="5:168">
      <c r="E258" s="170">
        <v>42</v>
      </c>
      <c r="F258" s="217">
        <f t="shared" si="761"/>
        <v>0.42</v>
      </c>
      <c r="G258" s="217"/>
      <c r="H258" s="217">
        <f t="shared" si="726"/>
        <v>10.08</v>
      </c>
      <c r="I258" s="541">
        <f t="shared" si="727"/>
        <v>35.915999999999997</v>
      </c>
      <c r="J258" s="172">
        <f t="shared" si="728"/>
        <v>16.357516004000001</v>
      </c>
      <c r="K258" s="172">
        <f t="shared" si="729"/>
        <v>52.273516004000001</v>
      </c>
      <c r="L258" s="443"/>
      <c r="M258" s="217">
        <f t="shared" si="730"/>
        <v>0.3129238530483211</v>
      </c>
      <c r="N258" s="172">
        <f t="shared" si="731"/>
        <v>63.045644025970169</v>
      </c>
      <c r="O258" s="172">
        <f t="shared" si="599"/>
        <v>10.08</v>
      </c>
      <c r="P258" s="217">
        <f t="shared" si="732"/>
        <v>2.6269018344154236</v>
      </c>
      <c r="Q258" s="217">
        <f t="shared" si="733"/>
        <v>24</v>
      </c>
      <c r="R258" s="217"/>
      <c r="S258" s="172">
        <f t="shared" si="734"/>
        <v>421.29611930972021</v>
      </c>
      <c r="T258" s="172">
        <f t="shared" si="735"/>
        <v>24</v>
      </c>
      <c r="U258" s="217">
        <f t="shared" si="736"/>
        <v>1.8329414002072006</v>
      </c>
      <c r="V258" s="217">
        <f t="shared" si="737"/>
        <v>0.51034118504488279</v>
      </c>
      <c r="W258" s="217">
        <f t="shared" si="738"/>
        <v>1.1205499659966591</v>
      </c>
      <c r="X258" s="197">
        <f t="shared" si="739"/>
        <v>350</v>
      </c>
      <c r="Y258" s="443">
        <f t="shared" si="680"/>
        <v>350</v>
      </c>
      <c r="AA258" s="217">
        <f t="shared" si="740"/>
        <v>3.211112786907282</v>
      </c>
      <c r="AB258" s="173">
        <f t="shared" si="741"/>
        <v>1.9630809385251711</v>
      </c>
      <c r="AC258" s="173">
        <f t="shared" si="742"/>
        <v>0.73579638306811479</v>
      </c>
      <c r="AD258" s="173"/>
      <c r="AE258" s="173">
        <f t="shared" si="743"/>
        <v>1.3585328124874274</v>
      </c>
      <c r="AF258" s="545">
        <f t="shared" si="744"/>
        <v>417.15344411999985</v>
      </c>
      <c r="AG258" s="528">
        <f t="shared" si="745"/>
        <v>0.35238831675021109</v>
      </c>
      <c r="AI258" s="173">
        <f t="shared" si="746"/>
        <v>2.4260591254130639</v>
      </c>
      <c r="AJ258" s="173">
        <f t="shared" si="747"/>
        <v>2.4260591254130639</v>
      </c>
      <c r="AK258" s="173">
        <f t="shared" si="748"/>
        <v>1.3509902986598825</v>
      </c>
      <c r="AM258" s="545">
        <f t="shared" si="749"/>
        <v>420</v>
      </c>
      <c r="AN258" s="460">
        <f t="shared" si="750"/>
        <v>350</v>
      </c>
      <c r="AP258">
        <f t="shared" si="751"/>
        <v>420</v>
      </c>
      <c r="AQ258">
        <f t="shared" si="752"/>
        <v>350</v>
      </c>
      <c r="AS258" s="5">
        <f t="shared" si="600"/>
        <v>2.8571428571428572</v>
      </c>
      <c r="AT258" s="5">
        <f t="shared" si="753"/>
        <v>0.67548143596532584</v>
      </c>
      <c r="AU258" s="5">
        <f t="shared" si="722"/>
        <v>2.1816614211775311</v>
      </c>
      <c r="AV258" s="5"/>
      <c r="AW258" s="173">
        <f t="shared" si="723"/>
        <v>0.23641850258786404</v>
      </c>
      <c r="AX258" s="173">
        <f t="shared" si="631"/>
        <v>10.300085040000003</v>
      </c>
      <c r="AY258" s="173">
        <f t="shared" si="632"/>
        <v>0.61780670224106038</v>
      </c>
      <c r="AZ258" s="173">
        <f t="shared" si="633"/>
        <v>16.672018938345929</v>
      </c>
      <c r="BA258" s="460">
        <f t="shared" si="724"/>
        <v>1.1820925129393203</v>
      </c>
      <c r="BB258" s="5">
        <f t="shared" si="725"/>
        <v>0.51024490304853709</v>
      </c>
      <c r="BD258" s="173">
        <f t="shared" si="681"/>
        <v>0.68105390062677473</v>
      </c>
      <c r="BE258" s="173">
        <f t="shared" si="682"/>
        <v>0.81638362591972458</v>
      </c>
      <c r="BG258" s="528">
        <f t="shared" si="683"/>
        <v>1.855337662235779E-2</v>
      </c>
      <c r="BH258" s="528">
        <f t="shared" si="754"/>
        <v>0.99869679408657408</v>
      </c>
      <c r="BI258" s="528">
        <f t="shared" si="755"/>
        <v>0.50282400000000005</v>
      </c>
      <c r="BJ258" s="528">
        <f t="shared" si="684"/>
        <v>0.16736687911950221</v>
      </c>
      <c r="BK258">
        <f t="shared" si="685"/>
        <v>1.6162199999999998E-2</v>
      </c>
      <c r="BL258" s="460">
        <f t="shared" si="686"/>
        <v>518.98620000000005</v>
      </c>
      <c r="BM258" s="528">
        <f t="shared" si="756"/>
        <v>1.1948938910895799</v>
      </c>
      <c r="BN258" s="460">
        <f t="shared" si="687"/>
        <v>1194.8938910895799</v>
      </c>
      <c r="BO258" s="528">
        <f t="shared" si="637"/>
        <v>0.29399999999999998</v>
      </c>
      <c r="BR258" s="460">
        <f t="shared" si="688"/>
        <v>294</v>
      </c>
      <c r="BS258" s="528">
        <f t="shared" si="689"/>
        <v>1.3915032466768344E-2</v>
      </c>
      <c r="BT258" s="528">
        <f t="shared" si="690"/>
        <v>1.9994466740095102E-2</v>
      </c>
      <c r="BU258" s="528">
        <f t="shared" si="691"/>
        <v>1.0504939784025269</v>
      </c>
      <c r="BV258" s="528"/>
      <c r="BW258" s="528">
        <f t="shared" si="692"/>
        <v>0.4120034016000001</v>
      </c>
      <c r="BX258" s="460">
        <f t="shared" si="693"/>
        <v>1496.4068792093904</v>
      </c>
      <c r="BY258" s="173">
        <f t="shared" si="694"/>
        <v>3.4940101290378247</v>
      </c>
      <c r="BZ258" s="5">
        <f t="shared" si="695"/>
        <v>10.08</v>
      </c>
      <c r="CA258" s="173">
        <f t="shared" si="696"/>
        <v>0.74259558554746019</v>
      </c>
      <c r="CB258" s="5">
        <f t="shared" si="697"/>
        <v>74.259558554746022</v>
      </c>
      <c r="CE258" s="562">
        <f t="shared" si="757"/>
        <v>-50</v>
      </c>
      <c r="CF258">
        <f t="shared" si="758"/>
        <v>-50</v>
      </c>
      <c r="CG258" s="173">
        <f t="shared" si="759"/>
        <v>0.52473763118440775</v>
      </c>
      <c r="CI258" s="170">
        <v>42</v>
      </c>
      <c r="CJ258" s="217">
        <f t="shared" si="698"/>
        <v>0.42</v>
      </c>
      <c r="CK258" s="217"/>
      <c r="CL258" s="217">
        <f t="shared" si="641"/>
        <v>10.08</v>
      </c>
      <c r="CM258" s="541">
        <f t="shared" si="642"/>
        <v>36</v>
      </c>
      <c r="CN258" s="443">
        <f t="shared" si="643"/>
        <v>16.3415</v>
      </c>
      <c r="CO258" s="443">
        <f t="shared" si="644"/>
        <v>52.341499999999996</v>
      </c>
      <c r="CP258" s="443"/>
      <c r="CQ258" s="217">
        <f t="shared" si="645"/>
        <v>0.31220924123305599</v>
      </c>
      <c r="CR258" s="172">
        <f t="shared" si="646"/>
        <v>63.048783011568261</v>
      </c>
      <c r="CS258" s="172">
        <f t="shared" si="647"/>
        <v>10.08</v>
      </c>
      <c r="CT258" s="217">
        <f t="shared" si="648"/>
        <v>2.6270326254820109</v>
      </c>
      <c r="CU258" s="217">
        <f t="shared" si="649"/>
        <v>24</v>
      </c>
      <c r="CV258" s="217"/>
      <c r="CW258" s="172">
        <f t="shared" si="650"/>
        <v>422.28129358840908</v>
      </c>
      <c r="CX258" s="172">
        <f t="shared" si="651"/>
        <v>24</v>
      </c>
      <c r="CY258" s="217">
        <f t="shared" si="652"/>
        <v>1.7936688798457914</v>
      </c>
      <c r="CZ258" s="217">
        <f t="shared" si="653"/>
        <v>0.49824135551271986</v>
      </c>
      <c r="DA258" s="217">
        <f t="shared" si="654"/>
        <v>1.0976158124075461</v>
      </c>
      <c r="DB258" s="197">
        <f t="shared" si="655"/>
        <v>350</v>
      </c>
      <c r="DC258" s="443">
        <f t="shared" si="656"/>
        <v>350</v>
      </c>
      <c r="DE258" s="217">
        <f t="shared" si="657"/>
        <v>3.211295052682861</v>
      </c>
      <c r="DF258" s="173">
        <f t="shared" si="658"/>
        <v>1.96511645361984</v>
      </c>
      <c r="DG258" s="173">
        <f t="shared" si="659"/>
        <v>0.73660113681324435</v>
      </c>
      <c r="DH258" s="173"/>
      <c r="DI258" s="173">
        <f t="shared" si="660"/>
        <v>1.3598642855443031</v>
      </c>
      <c r="DJ258" s="545">
        <f t="shared" si="661"/>
        <v>416.74499999999989</v>
      </c>
      <c r="DK258" s="528">
        <f t="shared" si="662"/>
        <v>0.35273368606701955</v>
      </c>
      <c r="DM258" s="173">
        <f t="shared" si="663"/>
        <v>2.4248711305964279</v>
      </c>
      <c r="DN258" s="173">
        <f t="shared" si="664"/>
        <v>2.4248711305964279</v>
      </c>
      <c r="DO258" s="173">
        <f t="shared" si="665"/>
        <v>1.3501103024994114</v>
      </c>
      <c r="DQ258" s="545">
        <f t="shared" si="666"/>
        <v>420</v>
      </c>
      <c r="DR258" s="460">
        <f t="shared" si="667"/>
        <v>350</v>
      </c>
      <c r="DT258">
        <f t="shared" si="668"/>
        <v>420</v>
      </c>
      <c r="DU258">
        <f t="shared" si="669"/>
        <v>350</v>
      </c>
      <c r="DW258" s="5">
        <f t="shared" si="670"/>
        <v>2.8571428571428572</v>
      </c>
      <c r="DX258" s="5">
        <f t="shared" si="671"/>
        <v>0.67357531405456339</v>
      </c>
      <c r="DY258" s="5">
        <f t="shared" si="672"/>
        <v>2.1835675430882939</v>
      </c>
      <c r="DZ258" s="5"/>
      <c r="EA258" s="173">
        <f t="shared" si="673"/>
        <v>0.23575135991909718</v>
      </c>
      <c r="EB258" s="173">
        <f t="shared" si="699"/>
        <v>10.289999999999997</v>
      </c>
      <c r="EC258" s="173">
        <f t="shared" si="700"/>
        <v>0.61804368872057547</v>
      </c>
      <c r="ED258" s="173">
        <f t="shared" si="701"/>
        <v>16.649308435300959</v>
      </c>
      <c r="EE258" s="460">
        <f t="shared" si="674"/>
        <v>1.178756799595486</v>
      </c>
      <c r="EF258" s="5">
        <f t="shared" si="675"/>
        <v>0.50949909338726862</v>
      </c>
      <c r="EH258" s="173">
        <f t="shared" si="702"/>
        <v>0.67975927021367666</v>
      </c>
      <c r="EI258" s="173">
        <f t="shared" si="703"/>
        <v>0.81634024398189964</v>
      </c>
      <c r="EK258" s="528">
        <f t="shared" si="704"/>
        <v>1.848290661765721E-2</v>
      </c>
      <c r="EL258" s="528">
        <f t="shared" si="705"/>
        <v>1.221618400715337</v>
      </c>
      <c r="EM258" s="528">
        <f t="shared" si="706"/>
        <v>6.9999999999999993E-2</v>
      </c>
      <c r="EN258" s="528">
        <f t="shared" si="707"/>
        <v>0.16780249811281248</v>
      </c>
      <c r="EO258">
        <f t="shared" si="708"/>
        <v>1.6199999999999999E-2</v>
      </c>
      <c r="EP258" s="460">
        <f t="shared" si="709"/>
        <v>86.2</v>
      </c>
      <c r="EQ258" s="460"/>
      <c r="ER258" s="460">
        <f t="shared" si="710"/>
        <v>1494.103805445807</v>
      </c>
      <c r="ES258" s="528">
        <f t="shared" si="711"/>
        <v>0.29399999999999998</v>
      </c>
      <c r="EV258" s="460">
        <f t="shared" si="712"/>
        <v>294</v>
      </c>
      <c r="EW258" s="528">
        <f t="shared" si="713"/>
        <v>1.3862179963242908E-2</v>
      </c>
      <c r="EX258" s="528">
        <f t="shared" si="714"/>
        <v>1.9992341818332822E-2</v>
      </c>
      <c r="EY258" s="528">
        <f t="shared" si="715"/>
        <v>1.0492084335748082</v>
      </c>
      <c r="EZ258" s="528"/>
      <c r="FA258" s="528">
        <f t="shared" si="716"/>
        <v>0.41159999999999985</v>
      </c>
      <c r="FB258" s="460">
        <f t="shared" si="717"/>
        <v>1494.6629553563837</v>
      </c>
      <c r="FC258" s="173">
        <f t="shared" si="718"/>
        <v>3.2827667608021907</v>
      </c>
      <c r="FD258" s="5">
        <f t="shared" si="719"/>
        <v>10.08</v>
      </c>
      <c r="FE258" s="173">
        <f t="shared" si="720"/>
        <v>0.75433480060194358</v>
      </c>
      <c r="FF258" s="5">
        <f t="shared" si="721"/>
        <v>75.433480060194356</v>
      </c>
      <c r="FI258" s="562">
        <f t="shared" si="676"/>
        <v>-50</v>
      </c>
      <c r="FJ258">
        <f t="shared" si="677"/>
        <v>-50</v>
      </c>
      <c r="FL258">
        <f t="shared" si="760"/>
        <v>0.51935556448841902</v>
      </c>
    </row>
    <row r="259" spans="5:168">
      <c r="E259" s="170">
        <v>43</v>
      </c>
      <c r="F259" s="217">
        <f t="shared" si="761"/>
        <v>0.43</v>
      </c>
      <c r="G259" s="217"/>
      <c r="H259" s="217">
        <f t="shared" si="726"/>
        <v>10.32</v>
      </c>
      <c r="I259" s="541">
        <f t="shared" si="727"/>
        <v>35.9150058825565</v>
      </c>
      <c r="J259" s="172">
        <f t="shared" si="728"/>
        <v>16.357705549106569</v>
      </c>
      <c r="K259" s="172">
        <f t="shared" si="729"/>
        <v>52.272711431663069</v>
      </c>
      <c r="L259" s="443"/>
      <c r="M259" s="217">
        <f t="shared" si="730"/>
        <v>0.31293232138940485</v>
      </c>
      <c r="N259" s="172">
        <f t="shared" si="731"/>
        <v>63.04560508140095</v>
      </c>
      <c r="O259" s="172">
        <f t="shared" si="599"/>
        <v>10.32</v>
      </c>
      <c r="P259" s="217">
        <f t="shared" si="732"/>
        <v>2.6269002117250397</v>
      </c>
      <c r="Q259" s="217">
        <f t="shared" si="733"/>
        <v>24</v>
      </c>
      <c r="R259" s="217"/>
      <c r="S259" s="172">
        <f t="shared" si="734"/>
        <v>410.23812517008827</v>
      </c>
      <c r="T259" s="172">
        <f t="shared" si="735"/>
        <v>24</v>
      </c>
      <c r="U259" s="217">
        <f t="shared" si="736"/>
        <v>1.8766059916341808</v>
      </c>
      <c r="V259" s="217">
        <f t="shared" si="737"/>
        <v>0.52251306815061016</v>
      </c>
      <c r="W259" s="217">
        <f t="shared" si="738"/>
        <v>1.1472305733836112</v>
      </c>
      <c r="X259" s="197">
        <f t="shared" si="739"/>
        <v>350</v>
      </c>
      <c r="Y259" s="443">
        <f t="shared" si="680"/>
        <v>350</v>
      </c>
      <c r="AA259" s="217">
        <f t="shared" si="740"/>
        <v>3.211110538946286</v>
      </c>
      <c r="AB259" s="173">
        <f t="shared" si="741"/>
        <v>1.9630568170495475</v>
      </c>
      <c r="AC259" s="173">
        <f t="shared" si="742"/>
        <v>0.73578682683275498</v>
      </c>
      <c r="AD259" s="173"/>
      <c r="AE259" s="173">
        <f t="shared" si="743"/>
        <v>1.3585170704723908</v>
      </c>
      <c r="AF259" s="545">
        <f t="shared" si="744"/>
        <v>427.09061789758744</v>
      </c>
      <c r="AG259" s="528">
        <f t="shared" si="745"/>
        <v>0.35238423344642184</v>
      </c>
      <c r="AI259" s="173">
        <f t="shared" si="746"/>
        <v>2.4547851061602679</v>
      </c>
      <c r="AJ259" s="173">
        <f t="shared" si="747"/>
        <v>2.4547851061602679</v>
      </c>
      <c r="AK259" s="173">
        <f t="shared" si="748"/>
        <v>1.3722688029170707</v>
      </c>
      <c r="AM259" s="545">
        <f t="shared" si="749"/>
        <v>430</v>
      </c>
      <c r="AN259" s="460">
        <f t="shared" si="750"/>
        <v>350</v>
      </c>
      <c r="AP259">
        <f t="shared" si="751"/>
        <v>430</v>
      </c>
      <c r="AQ259">
        <f t="shared" si="752"/>
        <v>350</v>
      </c>
      <c r="AS259" s="5">
        <f t="shared" si="600"/>
        <v>2.8571428571428572</v>
      </c>
      <c r="AT259" s="5">
        <f t="shared" si="753"/>
        <v>0.6834984558230377</v>
      </c>
      <c r="AU259" s="5">
        <f t="shared" si="722"/>
        <v>2.1736444013198195</v>
      </c>
      <c r="AV259" s="5"/>
      <c r="AW259" s="173">
        <f t="shared" si="723"/>
        <v>0.23922445953806318</v>
      </c>
      <c r="AX259" s="173">
        <f t="shared" si="631"/>
        <v>10.545447355495988</v>
      </c>
      <c r="AY259" s="173">
        <f t="shared" si="632"/>
        <v>0.62282474536330645</v>
      </c>
      <c r="AZ259" s="173">
        <f t="shared" si="633"/>
        <v>16.931644790934907</v>
      </c>
      <c r="BA259" s="460">
        <f t="shared" si="724"/>
        <v>1.2246014000162759</v>
      </c>
      <c r="BB259" s="5">
        <f t="shared" si="725"/>
        <v>0.52048834162740831</v>
      </c>
      <c r="BD259" s="173">
        <f t="shared" si="681"/>
        <v>0.69319535406428512</v>
      </c>
      <c r="BE259" s="173">
        <f t="shared" si="682"/>
        <v>0.82453093981979009</v>
      </c>
      <c r="BG259" s="528">
        <f t="shared" si="683"/>
        <v>1.9220791955852384E-2</v>
      </c>
      <c r="BH259" s="528">
        <f t="shared" si="754"/>
        <v>1.0105064036633482</v>
      </c>
      <c r="BI259" s="528">
        <f t="shared" si="755"/>
        <v>0.50281008235579094</v>
      </c>
      <c r="BJ259" s="528">
        <f t="shared" si="684"/>
        <v>0.16736172707559749</v>
      </c>
      <c r="BK259">
        <f t="shared" si="685"/>
        <v>1.6161752647150425E-2</v>
      </c>
      <c r="BL259" s="460">
        <f t="shared" si="686"/>
        <v>518.97183500294136</v>
      </c>
      <c r="BM259" s="528">
        <f t="shared" si="756"/>
        <v>1.2077943644980975</v>
      </c>
      <c r="BN259" s="460">
        <f t="shared" si="687"/>
        <v>1207.7943644980976</v>
      </c>
      <c r="BO259" s="528">
        <f t="shared" si="637"/>
        <v>0.30099999999999999</v>
      </c>
      <c r="BR259" s="460">
        <f t="shared" si="688"/>
        <v>301</v>
      </c>
      <c r="BS259" s="528">
        <f t="shared" si="689"/>
        <v>1.4415593966889287E-2</v>
      </c>
      <c r="BT259" s="528">
        <f t="shared" si="690"/>
        <v>2.0395538121603187E-2</v>
      </c>
      <c r="BU259" s="528">
        <f t="shared" si="691"/>
        <v>1.0818668518344332</v>
      </c>
      <c r="BV259" s="528"/>
      <c r="BW259" s="528">
        <f t="shared" si="692"/>
        <v>0.42181789421983945</v>
      </c>
      <c r="BX259" s="460">
        <f t="shared" si="693"/>
        <v>1538.4958781427652</v>
      </c>
      <c r="BY259" s="173">
        <f t="shared" si="694"/>
        <v>3.555556635840504</v>
      </c>
      <c r="BZ259" s="5">
        <f t="shared" si="695"/>
        <v>10.32</v>
      </c>
      <c r="CA259" s="173">
        <f t="shared" si="696"/>
        <v>0.74375394593853517</v>
      </c>
      <c r="CB259" s="5">
        <f t="shared" si="697"/>
        <v>74.375394593853514</v>
      </c>
      <c r="CE259" s="562">
        <f t="shared" si="757"/>
        <v>-50</v>
      </c>
      <c r="CF259">
        <f t="shared" si="758"/>
        <v>-50</v>
      </c>
      <c r="CG259" s="173">
        <f t="shared" si="759"/>
        <v>0.53094776014182354</v>
      </c>
      <c r="CI259" s="170">
        <v>43</v>
      </c>
      <c r="CJ259" s="217">
        <f t="shared" si="698"/>
        <v>0.43</v>
      </c>
      <c r="CK259" s="217"/>
      <c r="CL259" s="217">
        <f t="shared" si="641"/>
        <v>10.32</v>
      </c>
      <c r="CM259" s="541">
        <f t="shared" si="642"/>
        <v>36</v>
      </c>
      <c r="CN259" s="443">
        <f t="shared" si="643"/>
        <v>16.3415</v>
      </c>
      <c r="CO259" s="443">
        <f t="shared" si="644"/>
        <v>52.341499999999996</v>
      </c>
      <c r="CP259" s="443"/>
      <c r="CQ259" s="217">
        <f t="shared" si="645"/>
        <v>0.31220924123305599</v>
      </c>
      <c r="CR259" s="172">
        <f t="shared" si="646"/>
        <v>63.048783011568261</v>
      </c>
      <c r="CS259" s="172">
        <f t="shared" si="647"/>
        <v>10.32</v>
      </c>
      <c r="CT259" s="217">
        <f t="shared" si="648"/>
        <v>2.6270326254820109</v>
      </c>
      <c r="CU259" s="217">
        <f t="shared" si="649"/>
        <v>24</v>
      </c>
      <c r="CV259" s="217"/>
      <c r="CW259" s="172">
        <f t="shared" si="650"/>
        <v>411.20881313315061</v>
      </c>
      <c r="CX259" s="172">
        <f t="shared" si="651"/>
        <v>24</v>
      </c>
      <c r="CY259" s="217">
        <f t="shared" si="652"/>
        <v>1.8363752817468817</v>
      </c>
      <c r="CZ259" s="217">
        <f t="shared" si="653"/>
        <v>0.51010424492968942</v>
      </c>
      <c r="DA259" s="217">
        <f t="shared" si="654"/>
        <v>1.1237495222267735</v>
      </c>
      <c r="DB259" s="197">
        <f t="shared" si="655"/>
        <v>350</v>
      </c>
      <c r="DC259" s="443">
        <f t="shared" si="656"/>
        <v>350</v>
      </c>
      <c r="DE259" s="217">
        <f t="shared" si="657"/>
        <v>3.211295052682861</v>
      </c>
      <c r="DF259" s="173">
        <f t="shared" si="658"/>
        <v>1.96511645361984</v>
      </c>
      <c r="DG259" s="173">
        <f t="shared" si="659"/>
        <v>0.73660113681324435</v>
      </c>
      <c r="DH259" s="173"/>
      <c r="DI259" s="173">
        <f t="shared" si="660"/>
        <v>1.3598642855443031</v>
      </c>
      <c r="DJ259" s="545">
        <f t="shared" si="661"/>
        <v>426.6674999999999</v>
      </c>
      <c r="DK259" s="528">
        <f t="shared" si="662"/>
        <v>0.35273368606701955</v>
      </c>
      <c r="DM259" s="173">
        <f t="shared" si="663"/>
        <v>2.4535688292770592</v>
      </c>
      <c r="DN259" s="173">
        <f t="shared" si="664"/>
        <v>2.4535688292770592</v>
      </c>
      <c r="DO259" s="173">
        <f t="shared" si="665"/>
        <v>1.3713678570776568</v>
      </c>
      <c r="DQ259" s="545">
        <f t="shared" si="666"/>
        <v>430</v>
      </c>
      <c r="DR259" s="460">
        <f t="shared" si="667"/>
        <v>350</v>
      </c>
      <c r="DT259">
        <f t="shared" si="668"/>
        <v>430</v>
      </c>
      <c r="DU259">
        <f t="shared" si="669"/>
        <v>350</v>
      </c>
      <c r="DW259" s="5">
        <f t="shared" si="670"/>
        <v>2.8571428571428572</v>
      </c>
      <c r="DX259" s="5">
        <f t="shared" si="671"/>
        <v>0.68154689702140536</v>
      </c>
      <c r="DY259" s="5">
        <f t="shared" si="672"/>
        <v>2.1755959601214521</v>
      </c>
      <c r="DZ259" s="5"/>
      <c r="EA259" s="173">
        <f t="shared" si="673"/>
        <v>0.23854141395749187</v>
      </c>
      <c r="EB259" s="173">
        <f t="shared" si="699"/>
        <v>10.534999999999998</v>
      </c>
      <c r="EC259" s="173">
        <f t="shared" si="700"/>
        <v>0.62307506567501048</v>
      </c>
      <c r="ED259" s="173">
        <f t="shared" si="701"/>
        <v>16.908075094590522</v>
      </c>
      <c r="EE259" s="460">
        <f t="shared" si="674"/>
        <v>1.2211048571633514</v>
      </c>
      <c r="EF259" s="5">
        <f t="shared" si="675"/>
        <v>0.51972570158456899</v>
      </c>
      <c r="EH259" s="173">
        <f t="shared" si="702"/>
        <v>0.69186205562094061</v>
      </c>
      <c r="EI259" s="173">
        <f t="shared" si="703"/>
        <v>0.82449228504433958</v>
      </c>
      <c r="EK259" s="528">
        <f t="shared" si="704"/>
        <v>1.9146924160321342E-2</v>
      </c>
      <c r="EL259" s="528">
        <f t="shared" si="705"/>
        <v>1.2360759264469499</v>
      </c>
      <c r="EM259" s="528">
        <f t="shared" si="706"/>
        <v>6.9999999999999993E-2</v>
      </c>
      <c r="EN259" s="528">
        <f t="shared" si="707"/>
        <v>0.16780249811281248</v>
      </c>
      <c r="EO259">
        <f t="shared" si="708"/>
        <v>1.6199999999999999E-2</v>
      </c>
      <c r="EP259" s="460">
        <f t="shared" si="709"/>
        <v>86.2</v>
      </c>
      <c r="EQ259" s="460"/>
      <c r="ER259" s="460">
        <f t="shared" si="710"/>
        <v>1509.2253487200837</v>
      </c>
      <c r="ES259" s="528">
        <f t="shared" si="711"/>
        <v>0.30099999999999999</v>
      </c>
      <c r="EV259" s="460">
        <f t="shared" si="712"/>
        <v>301</v>
      </c>
      <c r="EW259" s="528">
        <f t="shared" si="713"/>
        <v>1.4360193120241005E-2</v>
      </c>
      <c r="EX259" s="528">
        <f t="shared" si="714"/>
        <v>2.0393625842929097E-2</v>
      </c>
      <c r="EY259" s="528">
        <f t="shared" si="715"/>
        <v>1.0805272633864991</v>
      </c>
      <c r="EZ259" s="528"/>
      <c r="FA259" s="528">
        <f t="shared" si="716"/>
        <v>0.42139999999999994</v>
      </c>
      <c r="FB259" s="460">
        <f t="shared" si="717"/>
        <v>1536.6810823496692</v>
      </c>
      <c r="FC259" s="173">
        <f t="shared" si="718"/>
        <v>3.3469064310697525</v>
      </c>
      <c r="FD259" s="5">
        <f t="shared" si="719"/>
        <v>10.32</v>
      </c>
      <c r="FE259" s="173">
        <f t="shared" si="720"/>
        <v>0.75510870379114903</v>
      </c>
      <c r="FF259" s="5">
        <f t="shared" si="721"/>
        <v>75.510870379114905</v>
      </c>
      <c r="FI259" s="562">
        <f t="shared" si="676"/>
        <v>-50</v>
      </c>
      <c r="FJ259">
        <f t="shared" si="677"/>
        <v>-50</v>
      </c>
      <c r="FL259">
        <f t="shared" si="760"/>
        <v>0.52550199813173248</v>
      </c>
    </row>
    <row r="260" spans="5:168">
      <c r="E260" s="170">
        <v>44</v>
      </c>
      <c r="F260" s="217">
        <f t="shared" si="761"/>
        <v>0.44</v>
      </c>
      <c r="G260" s="217"/>
      <c r="H260" s="217">
        <f t="shared" si="726"/>
        <v>10.56</v>
      </c>
      <c r="I260" s="541">
        <f t="shared" si="727"/>
        <v>35.914023258959183</v>
      </c>
      <c r="J260" s="172">
        <f t="shared" si="728"/>
        <v>16.357892902719247</v>
      </c>
      <c r="K260" s="172">
        <f t="shared" si="729"/>
        <v>52.271916161678433</v>
      </c>
      <c r="L260" s="443"/>
      <c r="M260" s="217">
        <f t="shared" si="730"/>
        <v>0.3129406920762795</v>
      </c>
      <c r="N260" s="172">
        <f t="shared" si="731"/>
        <v>63.04556654577231</v>
      </c>
      <c r="O260" s="172">
        <f t="shared" si="599"/>
        <v>10.56</v>
      </c>
      <c r="P260" s="217">
        <f t="shared" si="732"/>
        <v>2.6268986060738464</v>
      </c>
      <c r="Q260" s="217">
        <f t="shared" si="733"/>
        <v>24</v>
      </c>
      <c r="R260" s="217"/>
      <c r="S260" s="172">
        <f t="shared" si="734"/>
        <v>399.68305115571945</v>
      </c>
      <c r="T260" s="172">
        <f t="shared" si="735"/>
        <v>24</v>
      </c>
      <c r="U260" s="217">
        <f t="shared" si="736"/>
        <v>1.9202713865009744</v>
      </c>
      <c r="V260" s="217">
        <f t="shared" si="737"/>
        <v>0.53468567769609032</v>
      </c>
      <c r="W260" s="217">
        <f t="shared" si="738"/>
        <v>1.1739112108881451</v>
      </c>
      <c r="X260" s="197">
        <f t="shared" si="739"/>
        <v>350</v>
      </c>
      <c r="Y260" s="443">
        <f t="shared" si="680"/>
        <v>350</v>
      </c>
      <c r="AA260" s="217">
        <f t="shared" si="740"/>
        <v>3.2111083148835902</v>
      </c>
      <c r="AB260" s="173">
        <f t="shared" si="741"/>
        <v>1.9630329737333063</v>
      </c>
      <c r="AC260" s="173">
        <f t="shared" si="742"/>
        <v>0.73577738034474949</v>
      </c>
      <c r="AD260" s="173"/>
      <c r="AE260" s="173">
        <f t="shared" si="743"/>
        <v>1.3585015108228351</v>
      </c>
      <c r="AF260" s="545">
        <f t="shared" si="744"/>
        <v>437.02796330803125</v>
      </c>
      <c r="AG260" s="528">
        <f t="shared" si="745"/>
        <v>0.35238019744621213</v>
      </c>
      <c r="AI260" s="173">
        <f t="shared" si="746"/>
        <v>2.4831792880257684</v>
      </c>
      <c r="AJ260" s="173">
        <f t="shared" si="747"/>
        <v>2.4831792880257684</v>
      </c>
      <c r="AK260" s="173">
        <f t="shared" si="748"/>
        <v>1.3933015302248488</v>
      </c>
      <c r="AM260" s="545">
        <f t="shared" si="749"/>
        <v>440</v>
      </c>
      <c r="AN260" s="460">
        <f t="shared" si="750"/>
        <v>350</v>
      </c>
      <c r="AP260">
        <f t="shared" si="751"/>
        <v>440</v>
      </c>
      <c r="AQ260">
        <f t="shared" si="752"/>
        <v>350</v>
      </c>
      <c r="AS260" s="5">
        <f t="shared" si="600"/>
        <v>2.8571428571428572</v>
      </c>
      <c r="AT260" s="5">
        <f t="shared" si="753"/>
        <v>0.69142331120095546</v>
      </c>
      <c r="AU260" s="5">
        <f t="shared" si="722"/>
        <v>2.1657195459419016</v>
      </c>
      <c r="AV260" s="5"/>
      <c r="AW260" s="173">
        <f t="shared" si="723"/>
        <v>0.24199815892033441</v>
      </c>
      <c r="AX260" s="173">
        <f t="shared" si="631"/>
        <v>10.790813908840285</v>
      </c>
      <c r="AY260" s="173">
        <f t="shared" si="632"/>
        <v>0.627731866430151</v>
      </c>
      <c r="AZ260" s="173">
        <f t="shared" si="633"/>
        <v>17.190164281776191</v>
      </c>
      <c r="BA260" s="460">
        <f t="shared" si="724"/>
        <v>1.2676094038684185</v>
      </c>
      <c r="BB260" s="5">
        <f t="shared" si="725"/>
        <v>0.53066546921986535</v>
      </c>
      <c r="BD260" s="173">
        <f t="shared" si="681"/>
        <v>0.70526686596416222</v>
      </c>
      <c r="BE260" s="173">
        <f t="shared" si="682"/>
        <v>0.83254633625807828</v>
      </c>
      <c r="BG260" s="528">
        <f t="shared" si="683"/>
        <v>1.9896054089076461E-2</v>
      </c>
      <c r="BH260" s="528">
        <f t="shared" si="754"/>
        <v>1.0221792490200319</v>
      </c>
      <c r="BI260" s="528">
        <f t="shared" si="755"/>
        <v>0.50279632562542864</v>
      </c>
      <c r="BJ260" s="528">
        <f t="shared" si="684"/>
        <v>0.16735663467682926</v>
      </c>
      <c r="BK260">
        <f t="shared" si="685"/>
        <v>1.6161310466531631E-2</v>
      </c>
      <c r="BL260" s="460">
        <f t="shared" si="686"/>
        <v>518.95763609196035</v>
      </c>
      <c r="BM260" s="528">
        <f t="shared" si="756"/>
        <v>1.2205738943530795</v>
      </c>
      <c r="BN260" s="460">
        <f t="shared" si="687"/>
        <v>1220.5738943530796</v>
      </c>
      <c r="BO260" s="528">
        <f t="shared" si="637"/>
        <v>0.308</v>
      </c>
      <c r="BR260" s="460">
        <f t="shared" si="688"/>
        <v>308</v>
      </c>
      <c r="BS260" s="528">
        <f t="shared" si="689"/>
        <v>1.4922040566807347E-2</v>
      </c>
      <c r="BT260" s="528">
        <f t="shared" si="690"/>
        <v>2.0794002060502473E-2</v>
      </c>
      <c r="BU260" s="528">
        <f t="shared" si="691"/>
        <v>1.113423307327515</v>
      </c>
      <c r="BV260" s="528"/>
      <c r="BW260" s="528">
        <f t="shared" si="692"/>
        <v>0.43163255635361142</v>
      </c>
      <c r="BX260" s="460">
        <f t="shared" si="693"/>
        <v>1580.7719063084362</v>
      </c>
      <c r="BY260" s="173">
        <f t="shared" si="694"/>
        <v>3.6171614801863337</v>
      </c>
      <c r="BZ260" s="5">
        <f t="shared" si="695"/>
        <v>10.56</v>
      </c>
      <c r="CA260" s="173">
        <f t="shared" si="696"/>
        <v>0.7448599647227272</v>
      </c>
      <c r="CB260" s="5">
        <f t="shared" si="697"/>
        <v>74.485996472272717</v>
      </c>
      <c r="CE260" s="562">
        <f t="shared" si="757"/>
        <v>-50</v>
      </c>
      <c r="CF260">
        <f t="shared" si="758"/>
        <v>-50</v>
      </c>
      <c r="CG260" s="173">
        <f t="shared" si="759"/>
        <v>0.53708608846088646</v>
      </c>
      <c r="CI260" s="170">
        <v>44</v>
      </c>
      <c r="CJ260" s="217">
        <f t="shared" si="698"/>
        <v>0.44</v>
      </c>
      <c r="CK260" s="217"/>
      <c r="CL260" s="217">
        <f t="shared" si="641"/>
        <v>10.56</v>
      </c>
      <c r="CM260" s="541">
        <f t="shared" si="642"/>
        <v>36</v>
      </c>
      <c r="CN260" s="443">
        <f t="shared" si="643"/>
        <v>16.3415</v>
      </c>
      <c r="CO260" s="443">
        <f t="shared" si="644"/>
        <v>52.341499999999996</v>
      </c>
      <c r="CP260" s="443"/>
      <c r="CQ260" s="217">
        <f t="shared" si="645"/>
        <v>0.31220924123305599</v>
      </c>
      <c r="CR260" s="172">
        <f t="shared" si="646"/>
        <v>63.048783011568261</v>
      </c>
      <c r="CS260" s="172">
        <f t="shared" si="647"/>
        <v>10.56</v>
      </c>
      <c r="CT260" s="217">
        <f t="shared" si="648"/>
        <v>2.6270326254820109</v>
      </c>
      <c r="CU260" s="217">
        <f t="shared" si="649"/>
        <v>24</v>
      </c>
      <c r="CV260" s="217"/>
      <c r="CW260" s="172">
        <f t="shared" si="650"/>
        <v>400.63971563433512</v>
      </c>
      <c r="CX260" s="172">
        <f t="shared" si="651"/>
        <v>24</v>
      </c>
      <c r="CY260" s="217">
        <f t="shared" si="652"/>
        <v>1.879081683647972</v>
      </c>
      <c r="CZ260" s="217">
        <f t="shared" si="653"/>
        <v>0.52196713434665898</v>
      </c>
      <c r="DA260" s="217">
        <f t="shared" si="654"/>
        <v>1.1498832320460008</v>
      </c>
      <c r="DB260" s="197">
        <f t="shared" si="655"/>
        <v>350</v>
      </c>
      <c r="DC260" s="443">
        <f t="shared" si="656"/>
        <v>350</v>
      </c>
      <c r="DE260" s="217">
        <f t="shared" si="657"/>
        <v>3.211295052682861</v>
      </c>
      <c r="DF260" s="173">
        <f t="shared" si="658"/>
        <v>1.96511645361984</v>
      </c>
      <c r="DG260" s="173">
        <f t="shared" si="659"/>
        <v>0.73660113681324435</v>
      </c>
      <c r="DH260" s="173"/>
      <c r="DI260" s="173">
        <f t="shared" si="660"/>
        <v>1.3598642855443031</v>
      </c>
      <c r="DJ260" s="545">
        <f t="shared" si="661"/>
        <v>436.58999999999986</v>
      </c>
      <c r="DK260" s="528">
        <f t="shared" si="662"/>
        <v>0.35273368606701955</v>
      </c>
      <c r="DM260" s="173">
        <f t="shared" si="663"/>
        <v>2.481934729198171</v>
      </c>
      <c r="DN260" s="173">
        <f t="shared" si="664"/>
        <v>2.481934729198171</v>
      </c>
      <c r="DO260" s="173">
        <f t="shared" si="665"/>
        <v>1.392379634796999</v>
      </c>
      <c r="DQ260" s="545">
        <f t="shared" si="666"/>
        <v>440</v>
      </c>
      <c r="DR260" s="460">
        <f t="shared" si="667"/>
        <v>350</v>
      </c>
      <c r="DT260">
        <f t="shared" si="668"/>
        <v>440</v>
      </c>
      <c r="DU260">
        <f t="shared" si="669"/>
        <v>350</v>
      </c>
      <c r="DW260" s="5">
        <f t="shared" si="670"/>
        <v>2.8571428571428572</v>
      </c>
      <c r="DX260" s="5">
        <f t="shared" si="671"/>
        <v>0.6894263136661587</v>
      </c>
      <c r="DY260" s="5">
        <f t="shared" si="672"/>
        <v>2.1677165434766987</v>
      </c>
      <c r="DZ260" s="5"/>
      <c r="EA260" s="173">
        <f t="shared" si="673"/>
        <v>0.24129920978315553</v>
      </c>
      <c r="EB260" s="173">
        <f t="shared" si="699"/>
        <v>10.779999999999998</v>
      </c>
      <c r="EC260" s="173">
        <f t="shared" si="700"/>
        <v>0.62799578774314568</v>
      </c>
      <c r="ED260" s="173">
        <f t="shared" si="701"/>
        <v>17.165720233157181</v>
      </c>
      <c r="EE260" s="460">
        <f t="shared" si="674"/>
        <v>1.2639482417212911</v>
      </c>
      <c r="EF260" s="5">
        <f t="shared" si="675"/>
        <v>0.52988626618319301</v>
      </c>
      <c r="EH260" s="173">
        <f t="shared" si="702"/>
        <v>0.70389467305467368</v>
      </c>
      <c r="EI260" s="173">
        <f t="shared" si="703"/>
        <v>0.83251262991222252</v>
      </c>
      <c r="EK260" s="528">
        <f t="shared" si="704"/>
        <v>1.9818708430189839E-2</v>
      </c>
      <c r="EL260" s="528">
        <f t="shared" si="705"/>
        <v>1.2503662962976383</v>
      </c>
      <c r="EM260" s="528">
        <f t="shared" si="706"/>
        <v>6.9999999999999993E-2</v>
      </c>
      <c r="EN260" s="528">
        <f t="shared" si="707"/>
        <v>0.16780249811281248</v>
      </c>
      <c r="EO260">
        <f t="shared" si="708"/>
        <v>1.6199999999999999E-2</v>
      </c>
      <c r="EP260" s="460">
        <f t="shared" si="709"/>
        <v>86.2</v>
      </c>
      <c r="EQ260" s="460"/>
      <c r="ER260" s="460">
        <f t="shared" si="710"/>
        <v>1524.1875028406407</v>
      </c>
      <c r="ES260" s="528">
        <f t="shared" si="711"/>
        <v>0.308</v>
      </c>
      <c r="EV260" s="460">
        <f t="shared" si="712"/>
        <v>308</v>
      </c>
      <c r="EW260" s="528">
        <f t="shared" si="713"/>
        <v>1.4864031322642378E-2</v>
      </c>
      <c r="EX260" s="528">
        <f t="shared" si="714"/>
        <v>2.0792318368900956E-2</v>
      </c>
      <c r="EY260" s="528">
        <f t="shared" si="715"/>
        <v>1.1120287242136624</v>
      </c>
      <c r="EZ260" s="528"/>
      <c r="FA260" s="528">
        <f t="shared" si="716"/>
        <v>0.43119999999999992</v>
      </c>
      <c r="FB260" s="460">
        <f t="shared" si="717"/>
        <v>1578.8850739052057</v>
      </c>
      <c r="FC260" s="173">
        <f t="shared" si="718"/>
        <v>3.4110725767458465</v>
      </c>
      <c r="FD260" s="5">
        <f t="shared" si="719"/>
        <v>10.56</v>
      </c>
      <c r="FE260" s="173">
        <f t="shared" si="720"/>
        <v>0.7558474799978202</v>
      </c>
      <c r="FF260" s="5">
        <f t="shared" si="721"/>
        <v>75.584747999782024</v>
      </c>
      <c r="FI260" s="562">
        <f t="shared" si="676"/>
        <v>-50</v>
      </c>
      <c r="FJ260">
        <f t="shared" si="677"/>
        <v>-50</v>
      </c>
      <c r="FL260">
        <f t="shared" si="760"/>
        <v>0.53157736757296448</v>
      </c>
    </row>
    <row r="261" spans="5:168">
      <c r="E261" s="170">
        <v>45</v>
      </c>
      <c r="F261" s="217">
        <f t="shared" si="761"/>
        <v>0.45</v>
      </c>
      <c r="G261" s="217"/>
      <c r="H261" s="217">
        <f t="shared" si="726"/>
        <v>10.8</v>
      </c>
      <c r="I261" s="541">
        <f t="shared" si="727"/>
        <v>35.913051739522864</v>
      </c>
      <c r="J261" s="172">
        <f t="shared" si="728"/>
        <v>16.358078139138033</v>
      </c>
      <c r="K261" s="172">
        <f t="shared" si="729"/>
        <v>52.271129878660901</v>
      </c>
      <c r="L261" s="443"/>
      <c r="M261" s="217">
        <f t="shared" si="730"/>
        <v>0.31294896841980624</v>
      </c>
      <c r="N261" s="172">
        <f t="shared" si="731"/>
        <v>63.045528405217794</v>
      </c>
      <c r="O261" s="172">
        <f t="shared" si="599"/>
        <v>10.8</v>
      </c>
      <c r="P261" s="217">
        <f t="shared" si="732"/>
        <v>2.6268970168840746</v>
      </c>
      <c r="Q261" s="217">
        <f t="shared" si="733"/>
        <v>24</v>
      </c>
      <c r="R261" s="217"/>
      <c r="S261" s="172">
        <f t="shared" si="734"/>
        <v>389.59736466627578</v>
      </c>
      <c r="T261" s="172">
        <f t="shared" si="735"/>
        <v>24</v>
      </c>
      <c r="U261" s="217">
        <f t="shared" si="736"/>
        <v>1.9639375756818707</v>
      </c>
      <c r="V261" s="217">
        <f t="shared" si="737"/>
        <v>0.54685900544634802</v>
      </c>
      <c r="W261" s="217">
        <f t="shared" si="738"/>
        <v>1.2005918782005267</v>
      </c>
      <c r="X261" s="197">
        <f t="shared" si="739"/>
        <v>350</v>
      </c>
      <c r="Y261" s="443">
        <f t="shared" si="680"/>
        <v>350</v>
      </c>
      <c r="AA261" s="217">
        <f t="shared" si="740"/>
        <v>3.2111061139088584</v>
      </c>
      <c r="AB261" s="173">
        <f t="shared" si="741"/>
        <v>1.9630093991457507</v>
      </c>
      <c r="AC261" s="173">
        <f t="shared" si="742"/>
        <v>0.73576803988322881</v>
      </c>
      <c r="AD261" s="173"/>
      <c r="AE261" s="173">
        <f t="shared" si="743"/>
        <v>1.3584861273558628</v>
      </c>
      <c r="AF261" s="545">
        <f t="shared" si="744"/>
        <v>446.96547838949112</v>
      </c>
      <c r="AG261" s="528">
        <f t="shared" si="745"/>
        <v>0.35237620714580686</v>
      </c>
      <c r="AI261" s="173">
        <f t="shared" si="746"/>
        <v>2.5112529202534257</v>
      </c>
      <c r="AJ261" s="173">
        <f t="shared" si="747"/>
        <v>2.5112529202534257</v>
      </c>
      <c r="AK261" s="173">
        <f t="shared" si="748"/>
        <v>1.4140968133564469</v>
      </c>
      <c r="AM261" s="545">
        <f t="shared" si="749"/>
        <v>450</v>
      </c>
      <c r="AN261" s="460">
        <f t="shared" si="750"/>
        <v>350</v>
      </c>
      <c r="AP261">
        <f t="shared" si="751"/>
        <v>450</v>
      </c>
      <c r="AQ261">
        <f t="shared" si="752"/>
        <v>350</v>
      </c>
      <c r="AS261" s="5">
        <f t="shared" si="600"/>
        <v>2.8571428571428572</v>
      </c>
      <c r="AT261" s="5">
        <f t="shared" si="753"/>
        <v>0.69925912686772684</v>
      </c>
      <c r="AU261" s="5">
        <f t="shared" si="722"/>
        <v>2.1578837302751301</v>
      </c>
      <c r="AV261" s="5"/>
      <c r="AW261" s="173">
        <f t="shared" si="723"/>
        <v>0.24474069440370438</v>
      </c>
      <c r="AX261" s="173">
        <f t="shared" si="631"/>
        <v>11.036184651592379</v>
      </c>
      <c r="AY261" s="173">
        <f t="shared" si="632"/>
        <v>0.63253182009854525</v>
      </c>
      <c r="AZ261" s="173">
        <f t="shared" si="633"/>
        <v>17.447635519542711</v>
      </c>
      <c r="BA261" s="460">
        <f t="shared" si="724"/>
        <v>1.3111108628769881</v>
      </c>
      <c r="BB261" s="5">
        <f t="shared" si="725"/>
        <v>0.54077703318938819</v>
      </c>
      <c r="BD261" s="173">
        <f t="shared" si="681"/>
        <v>0.71727042057248747</v>
      </c>
      <c r="BE261" s="173">
        <f t="shared" si="682"/>
        <v>0.84043417458302772</v>
      </c>
      <c r="BG261" s="528">
        <f t="shared" si="683"/>
        <v>2.0579074249129321E-2</v>
      </c>
      <c r="BH261" s="528">
        <f t="shared" si="754"/>
        <v>1.0337199669777746</v>
      </c>
      <c r="BI261" s="528">
        <f t="shared" si="755"/>
        <v>0.50278272435332005</v>
      </c>
      <c r="BJ261" s="528">
        <f t="shared" si="684"/>
        <v>0.16735159990099996</v>
      </c>
      <c r="BK261">
        <f t="shared" si="685"/>
        <v>1.6160873282785287E-2</v>
      </c>
      <c r="BL261" s="460">
        <f t="shared" si="686"/>
        <v>518.94359763610532</v>
      </c>
      <c r="BM261" s="528">
        <f t="shared" si="756"/>
        <v>1.233237012122091</v>
      </c>
      <c r="BN261" s="460">
        <f t="shared" si="687"/>
        <v>1233.2370121220911</v>
      </c>
      <c r="BO261" s="528">
        <f t="shared" si="637"/>
        <v>0.315</v>
      </c>
      <c r="BR261" s="460">
        <f t="shared" si="688"/>
        <v>315</v>
      </c>
      <c r="BS261" s="528">
        <f t="shared" si="689"/>
        <v>1.543430568684699E-2</v>
      </c>
      <c r="BT261" s="528">
        <f t="shared" si="690"/>
        <v>2.118988805421165E-2</v>
      </c>
      <c r="BU261" s="528">
        <f t="shared" si="691"/>
        <v>1.1451602169990671</v>
      </c>
      <c r="BV261" s="528"/>
      <c r="BW261" s="528">
        <f t="shared" si="692"/>
        <v>0.44144738606369516</v>
      </c>
      <c r="BX261" s="460">
        <f t="shared" si="693"/>
        <v>1623.231796803821</v>
      </c>
      <c r="BY261" s="173">
        <f t="shared" si="694"/>
        <v>3.6788260355678304</v>
      </c>
      <c r="BZ261" s="5">
        <f t="shared" si="695"/>
        <v>10.8</v>
      </c>
      <c r="CA261" s="173">
        <f t="shared" si="696"/>
        <v>0.74591682871728393</v>
      </c>
      <c r="CB261" s="5">
        <f t="shared" si="697"/>
        <v>74.591682871728395</v>
      </c>
      <c r="CE261" s="562">
        <f t="shared" si="757"/>
        <v>-50</v>
      </c>
      <c r="CF261">
        <f t="shared" si="758"/>
        <v>-50</v>
      </c>
      <c r="CG261" s="173">
        <f t="shared" si="759"/>
        <v>0.54315505045687551</v>
      </c>
      <c r="CI261" s="170">
        <v>45</v>
      </c>
      <c r="CJ261" s="217">
        <f t="shared" si="698"/>
        <v>0.45</v>
      </c>
      <c r="CK261" s="217"/>
      <c r="CL261" s="217">
        <f t="shared" si="641"/>
        <v>10.8</v>
      </c>
      <c r="CM261" s="541">
        <f t="shared" si="642"/>
        <v>36</v>
      </c>
      <c r="CN261" s="443">
        <f t="shared" si="643"/>
        <v>16.3415</v>
      </c>
      <c r="CO261" s="443">
        <f t="shared" si="644"/>
        <v>52.341499999999996</v>
      </c>
      <c r="CP261" s="443"/>
      <c r="CQ261" s="217">
        <f t="shared" si="645"/>
        <v>0.31220924123305599</v>
      </c>
      <c r="CR261" s="172">
        <f t="shared" si="646"/>
        <v>63.048783011568261</v>
      </c>
      <c r="CS261" s="172">
        <f t="shared" si="647"/>
        <v>10.8</v>
      </c>
      <c r="CT261" s="217">
        <f t="shared" si="648"/>
        <v>2.6270326254820109</v>
      </c>
      <c r="CU261" s="217">
        <f t="shared" si="649"/>
        <v>24</v>
      </c>
      <c r="CV261" s="217"/>
      <c r="CW261" s="172">
        <f t="shared" si="650"/>
        <v>390.54044301178197</v>
      </c>
      <c r="CX261" s="172">
        <f t="shared" si="651"/>
        <v>24</v>
      </c>
      <c r="CY261" s="217">
        <f t="shared" si="652"/>
        <v>1.9217880855490623</v>
      </c>
      <c r="CZ261" s="217">
        <f t="shared" si="653"/>
        <v>0.53383002376362854</v>
      </c>
      <c r="DA261" s="217">
        <f t="shared" si="654"/>
        <v>1.176016941865228</v>
      </c>
      <c r="DB261" s="197">
        <f t="shared" si="655"/>
        <v>350</v>
      </c>
      <c r="DC261" s="443">
        <f t="shared" si="656"/>
        <v>350</v>
      </c>
      <c r="DE261" s="217">
        <f t="shared" si="657"/>
        <v>3.211295052682861</v>
      </c>
      <c r="DF261" s="173">
        <f t="shared" si="658"/>
        <v>1.96511645361984</v>
      </c>
      <c r="DG261" s="173">
        <f t="shared" si="659"/>
        <v>0.73660113681324435</v>
      </c>
      <c r="DH261" s="173"/>
      <c r="DI261" s="173">
        <f t="shared" si="660"/>
        <v>1.3598642855443031</v>
      </c>
      <c r="DJ261" s="545">
        <f t="shared" si="661"/>
        <v>446.51249999999987</v>
      </c>
      <c r="DK261" s="528">
        <f t="shared" si="662"/>
        <v>0.35273368606701955</v>
      </c>
      <c r="DM261" s="173">
        <f t="shared" si="663"/>
        <v>2.5099800796022262</v>
      </c>
      <c r="DN261" s="173">
        <f t="shared" si="664"/>
        <v>2.5099800796022262</v>
      </c>
      <c r="DO261" s="173">
        <f t="shared" si="665"/>
        <v>1.4131539684296324</v>
      </c>
      <c r="DQ261" s="545">
        <f t="shared" si="666"/>
        <v>450</v>
      </c>
      <c r="DR261" s="460">
        <f t="shared" si="667"/>
        <v>350</v>
      </c>
      <c r="DT261">
        <f t="shared" si="668"/>
        <v>450</v>
      </c>
      <c r="DU261">
        <f t="shared" si="669"/>
        <v>350</v>
      </c>
      <c r="DW261" s="5">
        <f t="shared" si="670"/>
        <v>2.8571428571428572</v>
      </c>
      <c r="DX261" s="5">
        <f t="shared" si="671"/>
        <v>0.69721668877839627</v>
      </c>
      <c r="DY261" s="5">
        <f t="shared" si="672"/>
        <v>2.1599261683644611</v>
      </c>
      <c r="DZ261" s="5"/>
      <c r="EA261" s="173">
        <f t="shared" si="673"/>
        <v>0.24402584107243869</v>
      </c>
      <c r="EB261" s="173">
        <f t="shared" si="699"/>
        <v>11.024999999999999</v>
      </c>
      <c r="EC261" s="173">
        <f t="shared" si="700"/>
        <v>0.63280960654734253</v>
      </c>
      <c r="ED261" s="173">
        <f t="shared" si="701"/>
        <v>17.422301883426265</v>
      </c>
      <c r="EE261" s="460">
        <f t="shared" si="674"/>
        <v>1.3072812914594931</v>
      </c>
      <c r="EF261" s="5">
        <f t="shared" si="675"/>
        <v>0.53998154209111526</v>
      </c>
      <c r="EH261" s="173">
        <f t="shared" si="702"/>
        <v>0.71585911061613305</v>
      </c>
      <c r="EI261" s="173">
        <f t="shared" si="703"/>
        <v>0.84040563654782796</v>
      </c>
      <c r="EK261" s="528">
        <f t="shared" si="704"/>
        <v>2.049817065008484E-2</v>
      </c>
      <c r="EL261" s="528">
        <f t="shared" si="705"/>
        <v>1.2644951774888116</v>
      </c>
      <c r="EM261" s="528">
        <f t="shared" si="706"/>
        <v>6.9999999999999993E-2</v>
      </c>
      <c r="EN261" s="528">
        <f t="shared" si="707"/>
        <v>0.16780249811281248</v>
      </c>
      <c r="EO261">
        <f t="shared" si="708"/>
        <v>1.6199999999999999E-2</v>
      </c>
      <c r="EP261" s="460">
        <f t="shared" si="709"/>
        <v>86.2</v>
      </c>
      <c r="EQ261" s="460"/>
      <c r="ER261" s="460">
        <f t="shared" si="710"/>
        <v>1538.9958462517091</v>
      </c>
      <c r="ES261" s="528">
        <f t="shared" si="711"/>
        <v>0.315</v>
      </c>
      <c r="EV261" s="460">
        <f t="shared" si="712"/>
        <v>315</v>
      </c>
      <c r="EW261" s="528">
        <f t="shared" si="713"/>
        <v>1.5373627987563629E-2</v>
      </c>
      <c r="EX261" s="528">
        <f t="shared" si="714"/>
        <v>2.1188449018240796E-2</v>
      </c>
      <c r="EY261" s="528">
        <f t="shared" si="715"/>
        <v>1.1437096936216338</v>
      </c>
      <c r="EZ261" s="528"/>
      <c r="FA261" s="528">
        <f t="shared" si="716"/>
        <v>0.44099999999999995</v>
      </c>
      <c r="FB261" s="460">
        <f t="shared" si="717"/>
        <v>1621.2717706274379</v>
      </c>
      <c r="FC261" s="173">
        <f t="shared" si="718"/>
        <v>3.475267616879147</v>
      </c>
      <c r="FD261" s="5">
        <f t="shared" si="719"/>
        <v>10.8</v>
      </c>
      <c r="FE261" s="173">
        <f t="shared" si="720"/>
        <v>0.75655324228247922</v>
      </c>
      <c r="FF261" s="5">
        <f t="shared" si="721"/>
        <v>75.65532422824792</v>
      </c>
      <c r="FI261" s="562">
        <f t="shared" si="676"/>
        <v>-50</v>
      </c>
      <c r="FJ261">
        <f t="shared" si="677"/>
        <v>-50</v>
      </c>
      <c r="FL261">
        <f t="shared" si="760"/>
        <v>0.53758408215939746</v>
      </c>
    </row>
    <row r="262" spans="5:168">
      <c r="E262" s="170">
        <v>46</v>
      </c>
      <c r="F262" s="217">
        <f t="shared" si="761"/>
        <v>0.46</v>
      </c>
      <c r="G262" s="217"/>
      <c r="H262" s="217">
        <f t="shared" si="726"/>
        <v>11.040000000000001</v>
      </c>
      <c r="I262" s="541">
        <f t="shared" si="727"/>
        <v>35.912090956096655</v>
      </c>
      <c r="J262" s="172">
        <f t="shared" si="728"/>
        <v>16.358261328557049</v>
      </c>
      <c r="K262" s="172">
        <f t="shared" si="729"/>
        <v>52.270352284653704</v>
      </c>
      <c r="L262" s="443"/>
      <c r="M262" s="217">
        <f t="shared" si="730"/>
        <v>0.31295715354788534</v>
      </c>
      <c r="N262" s="172">
        <f t="shared" si="731"/>
        <v>63.045490646637184</v>
      </c>
      <c r="O262" s="172">
        <f t="shared" ref="O262:O316" si="762">T262*F262</f>
        <v>11.040000000000001</v>
      </c>
      <c r="P262" s="217">
        <f t="shared" si="732"/>
        <v>2.6268954436098828</v>
      </c>
      <c r="Q262" s="217">
        <f t="shared" si="733"/>
        <v>24</v>
      </c>
      <c r="R262" s="217"/>
      <c r="S262" s="172">
        <f t="shared" si="734"/>
        <v>379.95044926748056</v>
      </c>
      <c r="T262" s="172">
        <f t="shared" si="735"/>
        <v>24</v>
      </c>
      <c r="U262" s="217">
        <f t="shared" si="736"/>
        <v>2.0076045503571383</v>
      </c>
      <c r="V262" s="217">
        <f t="shared" si="737"/>
        <v>0.55903304344252203</v>
      </c>
      <c r="W262" s="217">
        <f t="shared" si="738"/>
        <v>1.2272725750214115</v>
      </c>
      <c r="X262" s="197">
        <f t="shared" si="739"/>
        <v>350</v>
      </c>
      <c r="Y262" s="443">
        <f t="shared" si="680"/>
        <v>350</v>
      </c>
      <c r="AA262" s="217">
        <f t="shared" si="740"/>
        <v>3.2111039352565349</v>
      </c>
      <c r="AB262" s="173">
        <f t="shared" si="741"/>
        <v>1.9629860843773332</v>
      </c>
      <c r="AC262" s="173">
        <f t="shared" si="742"/>
        <v>0.73575880193294152</v>
      </c>
      <c r="AD262" s="173"/>
      <c r="AE262" s="173">
        <f t="shared" si="743"/>
        <v>1.3584709142302493</v>
      </c>
      <c r="AF262" s="545">
        <f t="shared" si="744"/>
        <v>456.90316124590362</v>
      </c>
      <c r="AG262" s="528">
        <f t="shared" si="745"/>
        <v>0.35237226103005753</v>
      </c>
      <c r="AI262" s="173">
        <f t="shared" si="746"/>
        <v>2.5390166304452704</v>
      </c>
      <c r="AJ262" s="173">
        <f t="shared" si="747"/>
        <v>2.5390166304452704</v>
      </c>
      <c r="AK262" s="173">
        <f t="shared" si="748"/>
        <v>1.4346625246096651</v>
      </c>
      <c r="AM262" s="545">
        <f t="shared" si="749"/>
        <v>460</v>
      </c>
      <c r="AN262" s="460">
        <f t="shared" si="750"/>
        <v>350</v>
      </c>
      <c r="AP262">
        <f t="shared" si="751"/>
        <v>460</v>
      </c>
      <c r="AQ262">
        <f t="shared" si="752"/>
        <v>350</v>
      </c>
      <c r="AS262" s="5">
        <f t="shared" si="600"/>
        <v>2.8571428571428572</v>
      </c>
      <c r="AT262" s="5">
        <f t="shared" si="753"/>
        <v>0.70700885491442855</v>
      </c>
      <c r="AU262" s="5">
        <f t="shared" si="722"/>
        <v>2.1501340022284285</v>
      </c>
      <c r="AV262" s="5"/>
      <c r="AW262" s="173">
        <f t="shared" si="723"/>
        <v>0.24745309922004999</v>
      </c>
      <c r="AX262" s="173">
        <f t="shared" si="631"/>
        <v>11.281559536935898</v>
      </c>
      <c r="AY262" s="173">
        <f t="shared" si="632"/>
        <v>0.63722815360615837</v>
      </c>
      <c r="AZ262" s="173">
        <f t="shared" si="633"/>
        <v>17.704113468766344</v>
      </c>
      <c r="BA262" s="460">
        <f t="shared" si="724"/>
        <v>1.3551003052526547</v>
      </c>
      <c r="BB262" s="5">
        <f t="shared" si="725"/>
        <v>0.55082375583990761</v>
      </c>
      <c r="BD262" s="173">
        <f t="shared" si="681"/>
        <v>0.72920790313225015</v>
      </c>
      <c r="BE262" s="173">
        <f t="shared" si="682"/>
        <v>0.84819857366687335</v>
      </c>
      <c r="BG262" s="528">
        <f t="shared" si="683"/>
        <v>2.1269766639621324E-2</v>
      </c>
      <c r="BH262" s="528">
        <f t="shared" si="754"/>
        <v>1.0451329381235035</v>
      </c>
      <c r="BI262" s="528">
        <f t="shared" si="755"/>
        <v>0.50276927338535315</v>
      </c>
      <c r="BJ262" s="528">
        <f t="shared" si="684"/>
        <v>0.16734662083766041</v>
      </c>
      <c r="BK262">
        <f t="shared" si="685"/>
        <v>1.6160440930243495E-2</v>
      </c>
      <c r="BL262" s="460">
        <f t="shared" si="686"/>
        <v>518.9297143155967</v>
      </c>
      <c r="BM262" s="528">
        <f t="shared" si="756"/>
        <v>1.2457879971009158</v>
      </c>
      <c r="BN262" s="460">
        <f t="shared" si="687"/>
        <v>1245.7879971009158</v>
      </c>
      <c r="BO262" s="528">
        <f t="shared" si="637"/>
        <v>0.32200000000000001</v>
      </c>
      <c r="BR262" s="460">
        <f t="shared" si="688"/>
        <v>322</v>
      </c>
      <c r="BS262" s="528">
        <f t="shared" si="689"/>
        <v>1.5952324979715993E-2</v>
      </c>
      <c r="BT262" s="528">
        <f t="shared" si="690"/>
        <v>2.1583224611115552E-2</v>
      </c>
      <c r="BU262" s="528">
        <f t="shared" si="691"/>
        <v>1.1770745749171256</v>
      </c>
      <c r="BV262" s="528"/>
      <c r="BW262" s="528">
        <f t="shared" si="692"/>
        <v>0.45126238147743591</v>
      </c>
      <c r="BX262" s="460">
        <f t="shared" si="693"/>
        <v>1665.8725059853932</v>
      </c>
      <c r="BY262" s="173">
        <f t="shared" si="694"/>
        <v>3.7405515459017753</v>
      </c>
      <c r="BZ262" s="5">
        <f t="shared" si="695"/>
        <v>11.040000000000001</v>
      </c>
      <c r="CA262" s="173">
        <f t="shared" si="696"/>
        <v>0.74692747193598985</v>
      </c>
      <c r="CB262" s="5">
        <f t="shared" si="697"/>
        <v>74.69274719359899</v>
      </c>
      <c r="CE262" s="562">
        <f t="shared" si="757"/>
        <v>-50</v>
      </c>
      <c r="CF262">
        <f t="shared" si="758"/>
        <v>-50</v>
      </c>
      <c r="CG262" s="173">
        <f t="shared" si="759"/>
        <v>0.54915694592293629</v>
      </c>
      <c r="CI262" s="170">
        <v>46</v>
      </c>
      <c r="CJ262" s="217">
        <f t="shared" si="698"/>
        <v>0.46</v>
      </c>
      <c r="CK262" s="217"/>
      <c r="CL262" s="217">
        <f t="shared" si="641"/>
        <v>11.040000000000001</v>
      </c>
      <c r="CM262" s="541">
        <f t="shared" si="642"/>
        <v>36</v>
      </c>
      <c r="CN262" s="443">
        <f t="shared" si="643"/>
        <v>16.3415</v>
      </c>
      <c r="CO262" s="443">
        <f t="shared" si="644"/>
        <v>52.341499999999996</v>
      </c>
      <c r="CP262" s="443"/>
      <c r="CQ262" s="217">
        <f t="shared" si="645"/>
        <v>0.31220924123305599</v>
      </c>
      <c r="CR262" s="172">
        <f t="shared" si="646"/>
        <v>63.048783011568261</v>
      </c>
      <c r="CS262" s="172">
        <f t="shared" si="647"/>
        <v>11.040000000000001</v>
      </c>
      <c r="CT262" s="217">
        <f t="shared" si="648"/>
        <v>2.6270326254820109</v>
      </c>
      <c r="CU262" s="217">
        <f t="shared" si="649"/>
        <v>24</v>
      </c>
      <c r="CV262" s="217"/>
      <c r="CW262" s="172">
        <f t="shared" si="650"/>
        <v>380.88035528841903</v>
      </c>
      <c r="CX262" s="172">
        <f t="shared" si="651"/>
        <v>24</v>
      </c>
      <c r="CY262" s="217">
        <f t="shared" si="652"/>
        <v>1.9644944874501526</v>
      </c>
      <c r="CZ262" s="217">
        <f t="shared" si="653"/>
        <v>0.54569291318059798</v>
      </c>
      <c r="DA262" s="217">
        <f t="shared" si="654"/>
        <v>1.2021506516844553</v>
      </c>
      <c r="DB262" s="197">
        <f t="shared" si="655"/>
        <v>350</v>
      </c>
      <c r="DC262" s="443">
        <f t="shared" si="656"/>
        <v>350</v>
      </c>
      <c r="DE262" s="217">
        <f t="shared" si="657"/>
        <v>3.211295052682861</v>
      </c>
      <c r="DF262" s="173">
        <f t="shared" si="658"/>
        <v>1.96511645361984</v>
      </c>
      <c r="DG262" s="173">
        <f t="shared" si="659"/>
        <v>0.73660113681324435</v>
      </c>
      <c r="DH262" s="173"/>
      <c r="DI262" s="173">
        <f t="shared" si="660"/>
        <v>1.3598642855443031</v>
      </c>
      <c r="DJ262" s="545">
        <f t="shared" si="661"/>
        <v>456.43499999999989</v>
      </c>
      <c r="DK262" s="528">
        <f t="shared" si="662"/>
        <v>0.35273368606701955</v>
      </c>
      <c r="DM262" s="173">
        <f t="shared" si="663"/>
        <v>2.5377155080899039</v>
      </c>
      <c r="DN262" s="173">
        <f t="shared" si="664"/>
        <v>2.5377155080899039</v>
      </c>
      <c r="DO262" s="173">
        <f t="shared" si="665"/>
        <v>1.4336987302723567</v>
      </c>
      <c r="DQ262" s="545">
        <f t="shared" si="666"/>
        <v>460</v>
      </c>
      <c r="DR262" s="460">
        <f t="shared" si="667"/>
        <v>350</v>
      </c>
      <c r="DT262">
        <f t="shared" si="668"/>
        <v>460</v>
      </c>
      <c r="DU262">
        <f t="shared" si="669"/>
        <v>350</v>
      </c>
      <c r="DW262" s="5">
        <f t="shared" si="670"/>
        <v>2.8571428571428572</v>
      </c>
      <c r="DX262" s="5">
        <f t="shared" si="671"/>
        <v>0.70492097446941782</v>
      </c>
      <c r="DY262" s="5">
        <f t="shared" si="672"/>
        <v>2.1522218826734392</v>
      </c>
      <c r="DZ262" s="5"/>
      <c r="EA262" s="173">
        <f t="shared" si="673"/>
        <v>0.24672234106429622</v>
      </c>
      <c r="EB262" s="173">
        <f t="shared" si="699"/>
        <v>11.27</v>
      </c>
      <c r="EC262" s="173">
        <f t="shared" si="700"/>
        <v>0.63752006639242742</v>
      </c>
      <c r="ED262" s="173">
        <f t="shared" si="701"/>
        <v>17.677874931489164</v>
      </c>
      <c r="EE262" s="460">
        <f t="shared" si="674"/>
        <v>1.3510985343997177</v>
      </c>
      <c r="EF262" s="5">
        <f t="shared" si="675"/>
        <v>0.55001225890543437</v>
      </c>
      <c r="EH262" s="173">
        <f t="shared" si="702"/>
        <v>0.72775725725319229</v>
      </c>
      <c r="EI262" s="173">
        <f t="shared" si="703"/>
        <v>0.84817542249549349</v>
      </c>
      <c r="EK262" s="528">
        <f t="shared" si="704"/>
        <v>2.1185225019387563E-2</v>
      </c>
      <c r="EL262" s="528">
        <f t="shared" si="705"/>
        <v>1.278467924066869</v>
      </c>
      <c r="EM262" s="528">
        <f t="shared" si="706"/>
        <v>6.9999999999999993E-2</v>
      </c>
      <c r="EN262" s="528">
        <f t="shared" si="707"/>
        <v>0.16780249811281248</v>
      </c>
      <c r="EO262">
        <f t="shared" si="708"/>
        <v>1.6199999999999999E-2</v>
      </c>
      <c r="EP262" s="460">
        <f t="shared" si="709"/>
        <v>86.2</v>
      </c>
      <c r="EQ262" s="460"/>
      <c r="ER262" s="460">
        <f t="shared" si="710"/>
        <v>1553.6556471990693</v>
      </c>
      <c r="ES262" s="528">
        <f t="shared" si="711"/>
        <v>0.32200000000000001</v>
      </c>
      <c r="EV262" s="460">
        <f t="shared" si="712"/>
        <v>322</v>
      </c>
      <c r="EW262" s="528">
        <f t="shared" si="713"/>
        <v>1.5888918764540672E-2</v>
      </c>
      <c r="EX262" s="528">
        <f t="shared" si="714"/>
        <v>2.1582046419762264E-2</v>
      </c>
      <c r="EY262" s="528">
        <f t="shared" si="715"/>
        <v>1.1755671709738273</v>
      </c>
      <c r="EZ262" s="528"/>
      <c r="FA262" s="528">
        <f t="shared" si="716"/>
        <v>0.45079999999999992</v>
      </c>
      <c r="FB262" s="460">
        <f t="shared" si="717"/>
        <v>1663.8381361581303</v>
      </c>
      <c r="FC262" s="173">
        <f t="shared" si="718"/>
        <v>3.5394937833571998</v>
      </c>
      <c r="FD262" s="5">
        <f t="shared" si="719"/>
        <v>11.040000000000001</v>
      </c>
      <c r="FE262" s="173">
        <f t="shared" si="720"/>
        <v>0.75722793699479429</v>
      </c>
      <c r="FF262" s="5">
        <f t="shared" si="721"/>
        <v>75.722793699479425</v>
      </c>
      <c r="FI262" s="562">
        <f t="shared" si="676"/>
        <v>-50</v>
      </c>
      <c r="FJ262">
        <f t="shared" si="677"/>
        <v>-50</v>
      </c>
      <c r="FL262">
        <f t="shared" si="760"/>
        <v>0.54352441809593144</v>
      </c>
    </row>
    <row r="263" spans="5:168">
      <c r="E263" s="170">
        <v>47</v>
      </c>
      <c r="F263" s="217">
        <f t="shared" si="761"/>
        <v>0.47</v>
      </c>
      <c r="G263" s="217"/>
      <c r="H263" s="217">
        <f t="shared" si="726"/>
        <v>11.28</v>
      </c>
      <c r="I263" s="541">
        <f t="shared" si="727"/>
        <v>35.911140560433907</v>
      </c>
      <c r="J263" s="172">
        <f t="shared" si="728"/>
        <v>16.358442537375339</v>
      </c>
      <c r="K263" s="172">
        <f t="shared" si="729"/>
        <v>52.269583097809246</v>
      </c>
      <c r="L263" s="443"/>
      <c r="M263" s="217">
        <f t="shared" si="730"/>
        <v>0.31296525041930584</v>
      </c>
      <c r="N263" s="172">
        <f t="shared" si="731"/>
        <v>63.045453257638577</v>
      </c>
      <c r="O263" s="172">
        <f t="shared" si="762"/>
        <v>11.28</v>
      </c>
      <c r="P263" s="217">
        <f t="shared" si="732"/>
        <v>2.6268938857349409</v>
      </c>
      <c r="Q263" s="217">
        <f t="shared" si="733"/>
        <v>24</v>
      </c>
      <c r="R263" s="217"/>
      <c r="S263" s="172">
        <f t="shared" si="734"/>
        <v>370.71429444056042</v>
      </c>
      <c r="T263" s="172">
        <f t="shared" si="735"/>
        <v>24</v>
      </c>
      <c r="U263" s="217">
        <f t="shared" si="736"/>
        <v>2.0512723019962937</v>
      </c>
      <c r="V263" s="217">
        <f t="shared" si="737"/>
        <v>0.57120778398677197</v>
      </c>
      <c r="W263" s="217">
        <f t="shared" si="738"/>
        <v>1.2539533010612722</v>
      </c>
      <c r="X263" s="197">
        <f t="shared" si="739"/>
        <v>350</v>
      </c>
      <c r="Y263" s="443">
        <f t="shared" si="680"/>
        <v>350</v>
      </c>
      <c r="AA263" s="217">
        <f t="shared" si="740"/>
        <v>3.2111017782024547</v>
      </c>
      <c r="AB263" s="173">
        <f t="shared" si="741"/>
        <v>1.9629630210002047</v>
      </c>
      <c r="AC263" s="173">
        <f t="shared" si="742"/>
        <v>0.73574966316869028</v>
      </c>
      <c r="AD263" s="173"/>
      <c r="AE263" s="173">
        <f t="shared" si="743"/>
        <v>1.3584558659205774</v>
      </c>
      <c r="AF263" s="545">
        <f t="shared" si="744"/>
        <v>466.84101004338754</v>
      </c>
      <c r="AG263" s="528">
        <f t="shared" si="745"/>
        <v>0.3523683576657321</v>
      </c>
      <c r="AI263" s="173">
        <f t="shared" si="746"/>
        <v>2.5664804716175382</v>
      </c>
      <c r="AJ263" s="173">
        <f t="shared" si="747"/>
        <v>2.5664804716175382</v>
      </c>
      <c r="AK263" s="173">
        <f t="shared" si="748"/>
        <v>1.4550061106631968</v>
      </c>
      <c r="AM263" s="545">
        <f t="shared" si="749"/>
        <v>470</v>
      </c>
      <c r="AN263" s="460">
        <f t="shared" si="750"/>
        <v>350</v>
      </c>
      <c r="AP263">
        <f t="shared" si="751"/>
        <v>470</v>
      </c>
      <c r="AQ263">
        <f t="shared" si="752"/>
        <v>350</v>
      </c>
      <c r="AS263" s="5">
        <f t="shared" ref="AS263:AS316" si="763">1/AN263*1000</f>
        <v>2.8571428571428572</v>
      </c>
      <c r="AT263" s="5">
        <f t="shared" si="753"/>
        <v>0.71467528782564738</v>
      </c>
      <c r="AU263" s="5">
        <f t="shared" si="722"/>
        <v>2.1424675693172097</v>
      </c>
      <c r="AV263" s="5"/>
      <c r="AW263" s="173">
        <f t="shared" si="723"/>
        <v>0.25013635073897655</v>
      </c>
      <c r="AX263" s="173">
        <f t="shared" si="631"/>
        <v>11.526938519589818</v>
      </c>
      <c r="AY263" s="173">
        <f t="shared" si="632"/>
        <v>0.64182422247012727</v>
      </c>
      <c r="AZ263" s="173">
        <f t="shared" si="633"/>
        <v>17.959650190868764</v>
      </c>
      <c r="BA263" s="460">
        <f t="shared" si="724"/>
        <v>1.3995724386585593</v>
      </c>
      <c r="BB263" s="5">
        <f t="shared" si="725"/>
        <v>0.56080633578568884</v>
      </c>
      <c r="BD263" s="173">
        <f t="shared" si="681"/>
        <v>0.74108110686286754</v>
      </c>
      <c r="BE263" s="173">
        <f t="shared" si="682"/>
        <v>0.85584343008579233</v>
      </c>
      <c r="BG263" s="528">
        <f t="shared" si="683"/>
        <v>2.1968048277963718E-2</v>
      </c>
      <c r="BH263" s="528">
        <f t="shared" si="754"/>
        <v>1.0564223062059259</v>
      </c>
      <c r="BI263" s="528">
        <f t="shared" si="755"/>
        <v>0.50275596784607468</v>
      </c>
      <c r="BJ263" s="528">
        <f t="shared" si="684"/>
        <v>0.16734169567965063</v>
      </c>
      <c r="BK263">
        <f t="shared" si="685"/>
        <v>1.6160013252195259E-2</v>
      </c>
      <c r="BL263" s="460">
        <f t="shared" si="686"/>
        <v>518.91598109826998</v>
      </c>
      <c r="BM263" s="528">
        <f t="shared" si="756"/>
        <v>1.2582308955878325</v>
      </c>
      <c r="BN263" s="460">
        <f t="shared" si="687"/>
        <v>1258.2308955878325</v>
      </c>
      <c r="BO263" s="528">
        <f t="shared" si="637"/>
        <v>0.32899999999999996</v>
      </c>
      <c r="BR263" s="460">
        <f t="shared" si="688"/>
        <v>328.99999999999994</v>
      </c>
      <c r="BS263" s="528">
        <f t="shared" si="689"/>
        <v>1.6476036208472787E-2</v>
      </c>
      <c r="BT263" s="528">
        <f t="shared" si="690"/>
        <v>2.1974039304630433E-2</v>
      </c>
      <c r="BU263" s="528">
        <f t="shared" si="691"/>
        <v>1.2091634897891665</v>
      </c>
      <c r="BV263" s="528"/>
      <c r="BW263" s="528">
        <f t="shared" si="692"/>
        <v>0.4610775407835927</v>
      </c>
      <c r="BX263" s="460">
        <f t="shared" si="693"/>
        <v>1708.6911060858624</v>
      </c>
      <c r="BY263" s="173">
        <f t="shared" si="694"/>
        <v>3.8023391373476718</v>
      </c>
      <c r="BZ263" s="5">
        <f t="shared" si="695"/>
        <v>11.28</v>
      </c>
      <c r="CA263" s="173">
        <f t="shared" si="696"/>
        <v>0.74789460025254828</v>
      </c>
      <c r="CB263" s="5">
        <f t="shared" si="697"/>
        <v>74.789460025254826</v>
      </c>
      <c r="CE263" s="562">
        <f t="shared" si="757"/>
        <v>-50</v>
      </c>
      <c r="CF263">
        <f t="shared" si="758"/>
        <v>-50</v>
      </c>
      <c r="CG263" s="173">
        <f t="shared" si="759"/>
        <v>0.55509395031292008</v>
      </c>
      <c r="CI263" s="170">
        <v>47</v>
      </c>
      <c r="CJ263" s="217">
        <f t="shared" si="698"/>
        <v>0.47</v>
      </c>
      <c r="CK263" s="217"/>
      <c r="CL263" s="217">
        <f t="shared" si="641"/>
        <v>11.28</v>
      </c>
      <c r="CM263" s="541">
        <f t="shared" si="642"/>
        <v>36</v>
      </c>
      <c r="CN263" s="443">
        <f t="shared" si="643"/>
        <v>16.3415</v>
      </c>
      <c r="CO263" s="443">
        <f t="shared" si="644"/>
        <v>52.341499999999996</v>
      </c>
      <c r="CP263" s="443"/>
      <c r="CQ263" s="217">
        <f t="shared" si="645"/>
        <v>0.31220924123305599</v>
      </c>
      <c r="CR263" s="172">
        <f t="shared" si="646"/>
        <v>63.048783011568261</v>
      </c>
      <c r="CS263" s="172">
        <f t="shared" si="647"/>
        <v>11.28</v>
      </c>
      <c r="CT263" s="217">
        <f t="shared" si="648"/>
        <v>2.6270326254820109</v>
      </c>
      <c r="CU263" s="217">
        <f t="shared" si="649"/>
        <v>24</v>
      </c>
      <c r="CV263" s="217"/>
      <c r="CW263" s="172">
        <f t="shared" si="650"/>
        <v>371.63142015391441</v>
      </c>
      <c r="CX263" s="172">
        <f t="shared" si="651"/>
        <v>24</v>
      </c>
      <c r="CY263" s="217">
        <f t="shared" si="652"/>
        <v>2.0072008893512425</v>
      </c>
      <c r="CZ263" s="217">
        <f t="shared" si="653"/>
        <v>0.55755580259756743</v>
      </c>
      <c r="DA263" s="217">
        <f t="shared" si="654"/>
        <v>1.2282843615036823</v>
      </c>
      <c r="DB263" s="197">
        <f t="shared" si="655"/>
        <v>350</v>
      </c>
      <c r="DC263" s="443">
        <f t="shared" si="656"/>
        <v>350</v>
      </c>
      <c r="DE263" s="217">
        <f t="shared" si="657"/>
        <v>3.211295052682861</v>
      </c>
      <c r="DF263" s="173">
        <f t="shared" si="658"/>
        <v>1.96511645361984</v>
      </c>
      <c r="DG263" s="173">
        <f t="shared" si="659"/>
        <v>0.73660113681324435</v>
      </c>
      <c r="DH263" s="173"/>
      <c r="DI263" s="173">
        <f t="shared" si="660"/>
        <v>1.3598642855443031</v>
      </c>
      <c r="DJ263" s="545">
        <f t="shared" si="661"/>
        <v>466.35749999999985</v>
      </c>
      <c r="DK263" s="528">
        <f t="shared" si="662"/>
        <v>0.35273368606701955</v>
      </c>
      <c r="DM263" s="173">
        <f t="shared" si="663"/>
        <v>2.5651510676761315</v>
      </c>
      <c r="DN263" s="173">
        <f t="shared" si="664"/>
        <v>2.5651510676761315</v>
      </c>
      <c r="DO263" s="173">
        <f t="shared" si="665"/>
        <v>1.4540213670028956</v>
      </c>
      <c r="DQ263" s="545">
        <f t="shared" si="666"/>
        <v>470</v>
      </c>
      <c r="DR263" s="460">
        <f t="shared" si="667"/>
        <v>350</v>
      </c>
      <c r="DT263">
        <f t="shared" si="668"/>
        <v>470</v>
      </c>
      <c r="DU263">
        <f t="shared" si="669"/>
        <v>350</v>
      </c>
      <c r="DW263" s="5">
        <f t="shared" si="670"/>
        <v>2.8571428571428572</v>
      </c>
      <c r="DX263" s="5">
        <f t="shared" si="671"/>
        <v>0.71254196324336994</v>
      </c>
      <c r="DY263" s="5">
        <f t="shared" si="672"/>
        <v>2.1446008938994874</v>
      </c>
      <c r="DZ263" s="5"/>
      <c r="EA263" s="173">
        <f t="shared" si="673"/>
        <v>0.24938968713517948</v>
      </c>
      <c r="EB263" s="173">
        <f t="shared" si="699"/>
        <v>11.514999999999995</v>
      </c>
      <c r="EC263" s="173">
        <f t="shared" si="700"/>
        <v>0.64213051995887882</v>
      </c>
      <c r="ED263" s="173">
        <f t="shared" si="701"/>
        <v>17.932491358201446</v>
      </c>
      <c r="EE263" s="460">
        <f t="shared" si="674"/>
        <v>1.3953946780182662</v>
      </c>
      <c r="EF263" s="5">
        <f t="shared" si="675"/>
        <v>0.55997912229597713</v>
      </c>
      <c r="EH263" s="173">
        <f t="shared" si="702"/>
        <v>0.73959090974886921</v>
      </c>
      <c r="EI263" s="173">
        <f t="shared" si="703"/>
        <v>0.85582588305861418</v>
      </c>
      <c r="EK263" s="528">
        <f t="shared" si="704"/>
        <v>2.1879788551326402E-2</v>
      </c>
      <c r="EL263" s="528">
        <f t="shared" si="705"/>
        <v>1.2922896006094138</v>
      </c>
      <c r="EM263" s="528">
        <f t="shared" si="706"/>
        <v>6.9999999999999993E-2</v>
      </c>
      <c r="EN263" s="528">
        <f t="shared" si="707"/>
        <v>0.16780249811281248</v>
      </c>
      <c r="EO263">
        <f t="shared" si="708"/>
        <v>1.6199999999999999E-2</v>
      </c>
      <c r="EP263" s="460">
        <f t="shared" si="709"/>
        <v>86.2</v>
      </c>
      <c r="EQ263" s="460"/>
      <c r="ER263" s="460">
        <f t="shared" si="710"/>
        <v>1568.1718872735528</v>
      </c>
      <c r="ES263" s="528">
        <f t="shared" si="711"/>
        <v>0.32899999999999996</v>
      </c>
      <c r="EV263" s="460">
        <f t="shared" si="712"/>
        <v>328.99999999999994</v>
      </c>
      <c r="EW263" s="528">
        <f t="shared" si="713"/>
        <v>1.6409841413494799E-2</v>
      </c>
      <c r="EX263" s="528">
        <f t="shared" si="714"/>
        <v>2.1973138263391704E-2</v>
      </c>
      <c r="EY263" s="528">
        <f t="shared" si="715"/>
        <v>1.2075982701279655</v>
      </c>
      <c r="EZ263" s="528"/>
      <c r="FA263" s="528">
        <f t="shared" si="716"/>
        <v>0.46059999999999984</v>
      </c>
      <c r="FB263" s="460">
        <f t="shared" si="717"/>
        <v>1706.5812498048517</v>
      </c>
      <c r="FC263" s="173">
        <f t="shared" si="718"/>
        <v>3.6037531370784044</v>
      </c>
      <c r="FD263" s="5">
        <f t="shared" si="719"/>
        <v>11.28</v>
      </c>
      <c r="FE263" s="173">
        <f t="shared" si="720"/>
        <v>0.75787336003976469</v>
      </c>
      <c r="FF263" s="5">
        <f t="shared" si="721"/>
        <v>75.787336003976463</v>
      </c>
      <c r="FI263" s="562">
        <f t="shared" si="676"/>
        <v>-50</v>
      </c>
      <c r="FJ263">
        <f t="shared" si="677"/>
        <v>-50</v>
      </c>
      <c r="FL263">
        <f t="shared" si="760"/>
        <v>0.54940052852348087</v>
      </c>
    </row>
    <row r="264" spans="5:168">
      <c r="E264" s="170">
        <v>48</v>
      </c>
      <c r="F264" s="217">
        <f t="shared" si="761"/>
        <v>0.48</v>
      </c>
      <c r="G264" s="217"/>
      <c r="H264" s="217">
        <f t="shared" si="726"/>
        <v>11.52</v>
      </c>
      <c r="I264" s="541">
        <f t="shared" si="727"/>
        <v>35.910200222717428</v>
      </c>
      <c r="J264" s="172">
        <f t="shared" si="728"/>
        <v>16.358621828478061</v>
      </c>
      <c r="K264" s="172">
        <f t="shared" si="729"/>
        <v>52.268822051195485</v>
      </c>
      <c r="L264" s="443"/>
      <c r="M264" s="217">
        <f t="shared" si="730"/>
        <v>0.31297326183627533</v>
      </c>
      <c r="N264" s="172">
        <f t="shared" si="731"/>
        <v>63.045416226485891</v>
      </c>
      <c r="O264" s="172">
        <f t="shared" si="762"/>
        <v>11.52</v>
      </c>
      <c r="P264" s="217">
        <f t="shared" si="732"/>
        <v>2.6268923427702453</v>
      </c>
      <c r="Q264" s="217">
        <f t="shared" si="733"/>
        <v>24</v>
      </c>
      <c r="R264" s="217"/>
      <c r="S264" s="172">
        <f t="shared" si="734"/>
        <v>361.8632241148801</v>
      </c>
      <c r="T264" s="172">
        <f t="shared" si="735"/>
        <v>24</v>
      </c>
      <c r="U264" s="217">
        <f t="shared" si="736"/>
        <v>2.0949408223426329</v>
      </c>
      <c r="V264" s="217">
        <f t="shared" si="737"/>
        <v>0.58338321962831508</v>
      </c>
      <c r="W264" s="217">
        <f t="shared" si="738"/>
        <v>1.2806340560398772</v>
      </c>
      <c r="X264" s="197">
        <f t="shared" si="739"/>
        <v>350</v>
      </c>
      <c r="Y264" s="443">
        <f t="shared" si="680"/>
        <v>350</v>
      </c>
      <c r="AA264" s="217">
        <f t="shared" si="740"/>
        <v>3.2110996420607769</v>
      </c>
      <c r="AB264" s="173">
        <f t="shared" si="741"/>
        <v>1.9629402010325248</v>
      </c>
      <c r="AC264" s="173">
        <f t="shared" si="742"/>
        <v>0.73574062044124955</v>
      </c>
      <c r="AD264" s="173"/>
      <c r="AE264" s="173">
        <f t="shared" si="743"/>
        <v>1.3584409771938406</v>
      </c>
      <c r="AF264" s="545">
        <f t="shared" si="744"/>
        <v>476.77902300691659</v>
      </c>
      <c r="AG264" s="528">
        <f t="shared" si="745"/>
        <v>0.35236449569544681</v>
      </c>
      <c r="AI264" s="173">
        <f t="shared" si="746"/>
        <v>2.5936539647737278</v>
      </c>
      <c r="AJ264" s="173">
        <f t="shared" si="747"/>
        <v>2.5936539647737278</v>
      </c>
      <c r="AK264" s="173">
        <f t="shared" si="748"/>
        <v>1.4751346241122263</v>
      </c>
      <c r="AM264" s="545">
        <f t="shared" si="749"/>
        <v>480</v>
      </c>
      <c r="AN264" s="460">
        <f t="shared" si="750"/>
        <v>350</v>
      </c>
      <c r="AP264">
        <f t="shared" si="751"/>
        <v>480</v>
      </c>
      <c r="AQ264">
        <f t="shared" si="752"/>
        <v>350</v>
      </c>
      <c r="AS264" s="5">
        <f t="shared" si="763"/>
        <v>2.8571428571428572</v>
      </c>
      <c r="AT264" s="5">
        <f t="shared" si="753"/>
        <v>0.72226107030529352</v>
      </c>
      <c r="AU264" s="5">
        <f t="shared" si="722"/>
        <v>2.1348817868375636</v>
      </c>
      <c r="AV264" s="5"/>
      <c r="AW264" s="173">
        <f t="shared" si="723"/>
        <v>0.25279137460685275</v>
      </c>
      <c r="AX264" s="173">
        <f t="shared" si="631"/>
        <v>11.772321555726338</v>
      </c>
      <c r="AY264" s="173">
        <f t="shared" si="632"/>
        <v>0.64632320469031523</v>
      </c>
      <c r="AZ264" s="173">
        <f t="shared" si="633"/>
        <v>18.214295062123025</v>
      </c>
      <c r="BA264" s="460">
        <f t="shared" si="724"/>
        <v>1.444522140610587</v>
      </c>
      <c r="BB264" s="5">
        <f t="shared" si="725"/>
        <v>0.57072544921860924</v>
      </c>
      <c r="BD264" s="173">
        <f t="shared" si="681"/>
        <v>0.75289173930993036</v>
      </c>
      <c r="BE264" s="173">
        <f t="shared" si="682"/>
        <v>0.86337243456922597</v>
      </c>
      <c r="BG264" s="528">
        <f t="shared" si="683"/>
        <v>2.2673838844845286E-2</v>
      </c>
      <c r="BH264" s="528">
        <f t="shared" si="754"/>
        <v>1.067591995683693</v>
      </c>
      <c r="BI264" s="528">
        <f t="shared" si="755"/>
        <v>0.50274280311804398</v>
      </c>
      <c r="BJ264" s="528">
        <f t="shared" si="684"/>
        <v>0.16733682271544678</v>
      </c>
      <c r="BK264">
        <f t="shared" si="685"/>
        <v>1.6159590100222842E-2</v>
      </c>
      <c r="BL264" s="460">
        <f t="shared" si="686"/>
        <v>518.90239321826687</v>
      </c>
      <c r="BM264" s="528">
        <f t="shared" si="756"/>
        <v>1.2705695382268332</v>
      </c>
      <c r="BN264" s="460">
        <f t="shared" si="687"/>
        <v>1270.5695382268332</v>
      </c>
      <c r="BO264" s="528">
        <f t="shared" si="637"/>
        <v>0.33599999999999997</v>
      </c>
      <c r="BR264" s="460">
        <f t="shared" si="688"/>
        <v>335.99999999999994</v>
      </c>
      <c r="BS264" s="528">
        <f t="shared" si="689"/>
        <v>1.7005379133633963E-2</v>
      </c>
      <c r="BT264" s="528">
        <f t="shared" si="690"/>
        <v>2.2362358823219772E-2</v>
      </c>
      <c r="BU264" s="528">
        <f t="shared" si="691"/>
        <v>1.2414241782358866</v>
      </c>
      <c r="BV264" s="528"/>
      <c r="BW264" s="528">
        <f t="shared" si="692"/>
        <v>0.47089286222905352</v>
      </c>
      <c r="BX264" s="460">
        <f t="shared" si="693"/>
        <v>1751.6847784217939</v>
      </c>
      <c r="BY264" s="173">
        <f t="shared" si="694"/>
        <v>3.8641898288840464</v>
      </c>
      <c r="BZ264" s="5">
        <f t="shared" si="695"/>
        <v>11.52</v>
      </c>
      <c r="CA264" s="173">
        <f t="shared" si="696"/>
        <v>0.74882071322150656</v>
      </c>
      <c r="CB264" s="5">
        <f t="shared" si="697"/>
        <v>74.882071322150651</v>
      </c>
      <c r="CE264" s="562">
        <f t="shared" si="757"/>
        <v>-50</v>
      </c>
      <c r="CF264">
        <f t="shared" si="758"/>
        <v>-50</v>
      </c>
      <c r="CG264" s="173">
        <f t="shared" si="759"/>
        <v>0.56096812395411411</v>
      </c>
      <c r="CI264" s="170">
        <v>48</v>
      </c>
      <c r="CJ264" s="217">
        <f t="shared" si="698"/>
        <v>0.48</v>
      </c>
      <c r="CK264" s="217"/>
      <c r="CL264" s="217">
        <f t="shared" si="641"/>
        <v>11.52</v>
      </c>
      <c r="CM264" s="541">
        <f t="shared" si="642"/>
        <v>36</v>
      </c>
      <c r="CN264" s="443">
        <f t="shared" si="643"/>
        <v>16.3415</v>
      </c>
      <c r="CO264" s="443">
        <f t="shared" si="644"/>
        <v>52.341499999999996</v>
      </c>
      <c r="CP264" s="443"/>
      <c r="CQ264" s="217">
        <f t="shared" si="645"/>
        <v>0.31220924123305599</v>
      </c>
      <c r="CR264" s="172">
        <f t="shared" si="646"/>
        <v>63.048783011568261</v>
      </c>
      <c r="CS264" s="172">
        <f t="shared" si="647"/>
        <v>11.52</v>
      </c>
      <c r="CT264" s="217">
        <f t="shared" si="648"/>
        <v>2.6270326254820109</v>
      </c>
      <c r="CU264" s="217">
        <f t="shared" si="649"/>
        <v>24</v>
      </c>
      <c r="CV264" s="217"/>
      <c r="CW264" s="172">
        <f t="shared" si="650"/>
        <v>362.76794133285728</v>
      </c>
      <c r="CX264" s="172">
        <f t="shared" si="651"/>
        <v>24</v>
      </c>
      <c r="CY264" s="217">
        <f t="shared" si="652"/>
        <v>2.0499072912523331</v>
      </c>
      <c r="CZ264" s="217">
        <f t="shared" si="653"/>
        <v>0.56941869201453688</v>
      </c>
      <c r="DA264" s="217">
        <f t="shared" si="654"/>
        <v>1.2544180713229098</v>
      </c>
      <c r="DB264" s="197">
        <f t="shared" si="655"/>
        <v>350</v>
      </c>
      <c r="DC264" s="443">
        <f t="shared" si="656"/>
        <v>350</v>
      </c>
      <c r="DE264" s="217">
        <f t="shared" si="657"/>
        <v>3.211295052682861</v>
      </c>
      <c r="DF264" s="173">
        <f t="shared" si="658"/>
        <v>1.96511645361984</v>
      </c>
      <c r="DG264" s="173">
        <f t="shared" si="659"/>
        <v>0.73660113681324435</v>
      </c>
      <c r="DH264" s="173"/>
      <c r="DI264" s="173">
        <f t="shared" si="660"/>
        <v>1.3598642855443031</v>
      </c>
      <c r="DJ264" s="545">
        <f t="shared" si="661"/>
        <v>476.2799999999998</v>
      </c>
      <c r="DK264" s="528">
        <f t="shared" si="662"/>
        <v>0.35273368606701955</v>
      </c>
      <c r="DM264" s="173">
        <f t="shared" si="663"/>
        <v>2.5922962793631439</v>
      </c>
      <c r="DN264" s="173">
        <f t="shared" si="664"/>
        <v>2.5922962793631439</v>
      </c>
      <c r="DO264" s="173">
        <f t="shared" si="665"/>
        <v>1.4741289312154975</v>
      </c>
      <c r="DQ264" s="545">
        <f t="shared" si="666"/>
        <v>480</v>
      </c>
      <c r="DR264" s="460">
        <f t="shared" si="667"/>
        <v>350</v>
      </c>
      <c r="DT264">
        <f t="shared" si="668"/>
        <v>480</v>
      </c>
      <c r="DU264">
        <f t="shared" si="669"/>
        <v>350</v>
      </c>
      <c r="DW264" s="5">
        <f t="shared" si="670"/>
        <v>2.8571428571428572</v>
      </c>
      <c r="DX264" s="5">
        <f t="shared" si="671"/>
        <v>0.72008229982309568</v>
      </c>
      <c r="DY264" s="5">
        <f t="shared" si="672"/>
        <v>2.1370605573197614</v>
      </c>
      <c r="DZ264" s="5"/>
      <c r="EA264" s="173">
        <f t="shared" si="673"/>
        <v>0.25202880493808349</v>
      </c>
      <c r="EB264" s="173">
        <f t="shared" si="699"/>
        <v>11.76</v>
      </c>
      <c r="EC264" s="173">
        <f t="shared" si="700"/>
        <v>0.64664414250094182</v>
      </c>
      <c r="ED264" s="173">
        <f t="shared" si="701"/>
        <v>18.186200457205675</v>
      </c>
      <c r="EE264" s="460">
        <f t="shared" si="674"/>
        <v>1.4401645996461914</v>
      </c>
      <c r="EF264" s="5">
        <f t="shared" si="675"/>
        <v>0.56988281528526963</v>
      </c>
      <c r="EH264" s="173">
        <f t="shared" si="702"/>
        <v>0.75136177907936397</v>
      </c>
      <c r="EI264" s="173">
        <f t="shared" si="703"/>
        <v>0.86336070774606033</v>
      </c>
      <c r="EK264" s="528">
        <f t="shared" si="704"/>
        <v>2.258178092245228E-2</v>
      </c>
      <c r="EL264" s="528">
        <f t="shared" si="705"/>
        <v>1.3059650036730026</v>
      </c>
      <c r="EM264" s="528">
        <f t="shared" si="706"/>
        <v>6.9999999999999993E-2</v>
      </c>
      <c r="EN264" s="528">
        <f t="shared" si="707"/>
        <v>0.16780249811281248</v>
      </c>
      <c r="EO264">
        <f t="shared" si="708"/>
        <v>1.6199999999999999E-2</v>
      </c>
      <c r="EP264" s="460">
        <f t="shared" si="709"/>
        <v>86.2</v>
      </c>
      <c r="EQ264" s="460"/>
      <c r="ER264" s="460">
        <f t="shared" si="710"/>
        <v>1582.5492827082674</v>
      </c>
      <c r="ES264" s="528">
        <f t="shared" si="711"/>
        <v>0.33599999999999997</v>
      </c>
      <c r="EV264" s="460">
        <f t="shared" si="712"/>
        <v>335.99999999999994</v>
      </c>
      <c r="EW264" s="528">
        <f t="shared" si="713"/>
        <v>1.6936335691839208E-2</v>
      </c>
      <c r="EX264" s="528">
        <f t="shared" si="714"/>
        <v>2.2361751350393345E-2</v>
      </c>
      <c r="EY264" s="528">
        <f t="shared" si="715"/>
        <v>1.2398002127168712</v>
      </c>
      <c r="EZ264" s="528"/>
      <c r="FA264" s="528">
        <f t="shared" si="716"/>
        <v>0.47039999999999998</v>
      </c>
      <c r="FB264" s="460">
        <f t="shared" si="717"/>
        <v>1749.4982997591037</v>
      </c>
      <c r="FC264" s="173">
        <f t="shared" si="718"/>
        <v>3.6680475824673713</v>
      </c>
      <c r="FD264" s="5">
        <f t="shared" si="719"/>
        <v>11.52</v>
      </c>
      <c r="FE264" s="173">
        <f t="shared" si="720"/>
        <v>0.75849117126142951</v>
      </c>
      <c r="FF264" s="5">
        <f t="shared" si="721"/>
        <v>75.849117126142957</v>
      </c>
      <c r="FI264" s="562">
        <f t="shared" si="676"/>
        <v>-50</v>
      </c>
      <c r="FJ264">
        <f t="shared" si="677"/>
        <v>-50</v>
      </c>
      <c r="FL264">
        <f t="shared" si="760"/>
        <v>0.55521445263721225</v>
      </c>
    </row>
    <row r="265" spans="5:168">
      <c r="E265" s="170">
        <v>49</v>
      </c>
      <c r="F265" s="217">
        <f t="shared" si="761"/>
        <v>0.49</v>
      </c>
      <c r="G265" s="217"/>
      <c r="H265" s="217">
        <f t="shared" si="726"/>
        <v>11.76</v>
      </c>
      <c r="I265" s="541">
        <f t="shared" si="727"/>
        <v>35.90926963022229</v>
      </c>
      <c r="J265" s="172">
        <f t="shared" si="728"/>
        <v>16.358799261491445</v>
      </c>
      <c r="K265" s="172">
        <f t="shared" si="729"/>
        <v>52.268068891713739</v>
      </c>
      <c r="L265" s="443"/>
      <c r="M265" s="217">
        <f t="shared" si="730"/>
        <v>0.31298119045578138</v>
      </c>
      <c r="N265" s="172">
        <f t="shared" si="731"/>
        <v>63.045379542051229</v>
      </c>
      <c r="O265" s="172">
        <f t="shared" si="762"/>
        <v>11.76</v>
      </c>
      <c r="P265" s="217">
        <f t="shared" si="732"/>
        <v>2.6268908142521346</v>
      </c>
      <c r="Q265" s="217">
        <f t="shared" si="733"/>
        <v>24</v>
      </c>
      <c r="R265" s="217"/>
      <c r="S265" s="172">
        <f t="shared" si="734"/>
        <v>353.37365844310546</v>
      </c>
      <c r="T265" s="172">
        <f t="shared" si="735"/>
        <v>24</v>
      </c>
      <c r="U265" s="217">
        <f t="shared" si="736"/>
        <v>2.1386101033988871</v>
      </c>
      <c r="V265" s="217">
        <f t="shared" si="737"/>
        <v>0.59555934315048575</v>
      </c>
      <c r="W265" s="217">
        <f t="shared" si="738"/>
        <v>1.3073148396858001</v>
      </c>
      <c r="X265" s="197">
        <f t="shared" si="739"/>
        <v>350</v>
      </c>
      <c r="Y265" s="443">
        <f t="shared" si="680"/>
        <v>350</v>
      </c>
      <c r="AA265" s="217">
        <f t="shared" si="740"/>
        <v>3.2110975261812036</v>
      </c>
      <c r="AB265" s="173">
        <f t="shared" si="741"/>
        <v>1.9629176169060989</v>
      </c>
      <c r="AC265" s="173">
        <f t="shared" si="742"/>
        <v>0.73573167076459756</v>
      </c>
      <c r="AD265" s="173"/>
      <c r="AE265" s="173">
        <f t="shared" si="743"/>
        <v>1.3584262430882232</v>
      </c>
      <c r="AF265" s="545">
        <f t="shared" si="744"/>
        <v>486.71719841723791</v>
      </c>
      <c r="AG265" s="528">
        <f t="shared" si="745"/>
        <v>0.35236067383216191</v>
      </c>
      <c r="AI265" s="173">
        <f t="shared" si="746"/>
        <v>2.6205461375058841</v>
      </c>
      <c r="AJ265" s="173">
        <f t="shared" si="747"/>
        <v>2.6205461375058841</v>
      </c>
      <c r="AK265" s="173">
        <f t="shared" si="748"/>
        <v>1.4950547520619717</v>
      </c>
      <c r="AM265" s="545">
        <f t="shared" si="749"/>
        <v>490</v>
      </c>
      <c r="AN265" s="460">
        <f t="shared" si="750"/>
        <v>350</v>
      </c>
      <c r="AP265">
        <f t="shared" si="751"/>
        <v>490</v>
      </c>
      <c r="AQ265">
        <f t="shared" si="752"/>
        <v>350</v>
      </c>
      <c r="AS265" s="5">
        <f t="shared" si="763"/>
        <v>2.8571428571428572</v>
      </c>
      <c r="AT265" s="5">
        <f t="shared" si="753"/>
        <v>0.72976870999914623</v>
      </c>
      <c r="AU265" s="5">
        <f t="shared" si="722"/>
        <v>2.1273741471437111</v>
      </c>
      <c r="AV265" s="5"/>
      <c r="AW265" s="173">
        <f t="shared" si="723"/>
        <v>0.25541904849970115</v>
      </c>
      <c r="AX265" s="173">
        <f t="shared" si="631"/>
        <v>12.017708602894762</v>
      </c>
      <c r="AY265" s="173">
        <f t="shared" si="632"/>
        <v>0.65072811362760707</v>
      </c>
      <c r="AZ265" s="173">
        <f t="shared" si="633"/>
        <v>18.468094971185078</v>
      </c>
      <c r="BA265" s="460">
        <f t="shared" si="724"/>
        <v>1.4899444495815903</v>
      </c>
      <c r="BB265" s="5">
        <f t="shared" si="725"/>
        <v>0.58058175108250754</v>
      </c>
      <c r="BD265" s="173">
        <f t="shared" si="681"/>
        <v>0.76464142813391733</v>
      </c>
      <c r="BE265" s="173">
        <f t="shared" si="682"/>
        <v>0.87078908691566326</v>
      </c>
      <c r="BG265" s="528">
        <f t="shared" si="683"/>
        <v>2.3387060544747068E-2</v>
      </c>
      <c r="BH265" s="528">
        <f t="shared" si="754"/>
        <v>1.078645727636441</v>
      </c>
      <c r="BI265" s="528">
        <f t="shared" si="755"/>
        <v>0.5027297748231121</v>
      </c>
      <c r="BJ265" s="528">
        <f t="shared" si="684"/>
        <v>0.16733200032222217</v>
      </c>
      <c r="BK265">
        <f t="shared" si="685"/>
        <v>1.6159171333600029E-2</v>
      </c>
      <c r="BL265" s="460">
        <f t="shared" si="686"/>
        <v>518.88894615671211</v>
      </c>
      <c r="BM265" s="528">
        <f t="shared" si="756"/>
        <v>1.2828075557288983</v>
      </c>
      <c r="BN265" s="460">
        <f t="shared" si="687"/>
        <v>1282.8075557288983</v>
      </c>
      <c r="BO265" s="528">
        <f t="shared" si="637"/>
        <v>0.34299999999999997</v>
      </c>
      <c r="BR265" s="460">
        <f t="shared" si="688"/>
        <v>343</v>
      </c>
      <c r="BS265" s="528">
        <f t="shared" si="689"/>
        <v>1.7540295408560301E-2</v>
      </c>
      <c r="BT265" s="528">
        <f t="shared" si="690"/>
        <v>2.2748209016742436E-2</v>
      </c>
      <c r="BU265" s="528">
        <f t="shared" si="691"/>
        <v>1.2738539585919819</v>
      </c>
      <c r="BV265" s="528"/>
      <c r="BW265" s="528">
        <f t="shared" si="692"/>
        <v>0.48070834411579055</v>
      </c>
      <c r="BX265" s="460">
        <f t="shared" si="693"/>
        <v>1794.8508071330753</v>
      </c>
      <c r="BY265" s="173">
        <f t="shared" si="694"/>
        <v>3.926104541793197</v>
      </c>
      <c r="BZ265" s="5">
        <f t="shared" si="695"/>
        <v>11.76</v>
      </c>
      <c r="CA265" s="173">
        <f t="shared" si="696"/>
        <v>0.74970812343289572</v>
      </c>
      <c r="CB265" s="5">
        <f t="shared" si="697"/>
        <v>74.970812343289566</v>
      </c>
      <c r="CE265" s="562">
        <f t="shared" si="757"/>
        <v>-50</v>
      </c>
      <c r="CF265">
        <f t="shared" si="758"/>
        <v>-50</v>
      </c>
      <c r="CG265" s="173">
        <f t="shared" si="759"/>
        <v>0.56678142040048751</v>
      </c>
      <c r="CI265" s="170">
        <v>49</v>
      </c>
      <c r="CJ265" s="217">
        <f t="shared" si="698"/>
        <v>0.49</v>
      </c>
      <c r="CK265" s="217"/>
      <c r="CL265" s="217">
        <f t="shared" si="641"/>
        <v>11.76</v>
      </c>
      <c r="CM265" s="541">
        <f t="shared" si="642"/>
        <v>36</v>
      </c>
      <c r="CN265" s="443">
        <f t="shared" si="643"/>
        <v>16.3415</v>
      </c>
      <c r="CO265" s="443">
        <f t="shared" si="644"/>
        <v>52.341499999999996</v>
      </c>
      <c r="CP265" s="443"/>
      <c r="CQ265" s="217">
        <f t="shared" si="645"/>
        <v>0.31220924123305599</v>
      </c>
      <c r="CR265" s="172">
        <f t="shared" si="646"/>
        <v>63.048783011568261</v>
      </c>
      <c r="CS265" s="172">
        <f t="shared" si="647"/>
        <v>11.76</v>
      </c>
      <c r="CT265" s="217">
        <f t="shared" si="648"/>
        <v>2.6270326254820109</v>
      </c>
      <c r="CU265" s="217">
        <f t="shared" si="649"/>
        <v>24</v>
      </c>
      <c r="CV265" s="217"/>
      <c r="CW265" s="172">
        <f t="shared" si="650"/>
        <v>354.26632021397984</v>
      </c>
      <c r="CX265" s="172">
        <f t="shared" si="651"/>
        <v>24</v>
      </c>
      <c r="CY265" s="217">
        <f t="shared" si="652"/>
        <v>2.0926136931534232</v>
      </c>
      <c r="CZ265" s="217">
        <f t="shared" si="653"/>
        <v>0.58128158143150643</v>
      </c>
      <c r="DA265" s="217">
        <f t="shared" si="654"/>
        <v>1.280551781142137</v>
      </c>
      <c r="DB265" s="197">
        <f t="shared" si="655"/>
        <v>350</v>
      </c>
      <c r="DC265" s="443">
        <f t="shared" si="656"/>
        <v>350</v>
      </c>
      <c r="DE265" s="217">
        <f t="shared" si="657"/>
        <v>3.211295052682861</v>
      </c>
      <c r="DF265" s="173">
        <f t="shared" si="658"/>
        <v>1.96511645361984</v>
      </c>
      <c r="DG265" s="173">
        <f t="shared" si="659"/>
        <v>0.73660113681324435</v>
      </c>
      <c r="DH265" s="173"/>
      <c r="DI265" s="173">
        <f t="shared" si="660"/>
        <v>1.3598642855443031</v>
      </c>
      <c r="DJ265" s="545">
        <f t="shared" si="661"/>
        <v>486.20249999999982</v>
      </c>
      <c r="DK265" s="528">
        <f t="shared" si="662"/>
        <v>0.35273368606701955</v>
      </c>
      <c r="DM265" s="173">
        <f t="shared" si="663"/>
        <v>2.6191601707417589</v>
      </c>
      <c r="DN265" s="173">
        <f t="shared" si="664"/>
        <v>2.6191601707417589</v>
      </c>
      <c r="DO265" s="173">
        <f t="shared" si="665"/>
        <v>1.4940281100144714</v>
      </c>
      <c r="DQ265" s="545">
        <f t="shared" si="666"/>
        <v>490</v>
      </c>
      <c r="DR265" s="460">
        <f t="shared" si="667"/>
        <v>350</v>
      </c>
      <c r="DT265">
        <f t="shared" si="668"/>
        <v>490</v>
      </c>
      <c r="DU265">
        <f t="shared" si="669"/>
        <v>350</v>
      </c>
      <c r="DW265" s="5">
        <f t="shared" si="670"/>
        <v>2.8571428571428572</v>
      </c>
      <c r="DX265" s="5">
        <f t="shared" si="671"/>
        <v>0.72754449187271086</v>
      </c>
      <c r="DY265" s="5">
        <f t="shared" si="672"/>
        <v>2.1295983652701462</v>
      </c>
      <c r="DZ265" s="5"/>
      <c r="EA265" s="173">
        <f t="shared" si="673"/>
        <v>0.25464057215544877</v>
      </c>
      <c r="EB265" s="173">
        <f t="shared" si="699"/>
        <v>12.005000000000001</v>
      </c>
      <c r="EC265" s="173">
        <f t="shared" si="700"/>
        <v>0.65106394472015439</v>
      </c>
      <c r="ED265" s="173">
        <f t="shared" si="701"/>
        <v>18.439049032518746</v>
      </c>
      <c r="EE265" s="460">
        <f t="shared" si="674"/>
        <v>1.4854033375734514</v>
      </c>
      <c r="EF265" s="5">
        <f t="shared" si="675"/>
        <v>0.57972399943465081</v>
      </c>
      <c r="EH265" s="173">
        <f t="shared" si="702"/>
        <v>0.76307149621040937</v>
      </c>
      <c r="EI265" s="173">
        <f t="shared" si="703"/>
        <v>0.8707833951852656</v>
      </c>
      <c r="EK265" s="528">
        <f t="shared" si="704"/>
        <v>2.3291124333151711E-2</v>
      </c>
      <c r="EL265" s="528">
        <f t="shared" si="705"/>
        <v>1.3194986812399681</v>
      </c>
      <c r="EM265" s="528">
        <f t="shared" si="706"/>
        <v>6.9999999999999993E-2</v>
      </c>
      <c r="EN265" s="528">
        <f t="shared" si="707"/>
        <v>0.16780249811281248</v>
      </c>
      <c r="EO265">
        <f t="shared" si="708"/>
        <v>1.6199999999999999E-2</v>
      </c>
      <c r="EP265" s="460">
        <f t="shared" si="709"/>
        <v>86.2</v>
      </c>
      <c r="EQ265" s="460"/>
      <c r="ER265" s="460">
        <f t="shared" si="710"/>
        <v>1596.7923036859324</v>
      </c>
      <c r="ES265" s="528">
        <f t="shared" si="711"/>
        <v>0.34299999999999997</v>
      </c>
      <c r="EV265" s="460">
        <f t="shared" si="712"/>
        <v>343</v>
      </c>
      <c r="EW265" s="528">
        <f t="shared" si="713"/>
        <v>1.7468343249863783E-2</v>
      </c>
      <c r="EX265" s="528">
        <f t="shared" si="714"/>
        <v>2.2747911639911352E-2</v>
      </c>
      <c r="EY265" s="528">
        <f t="shared" si="715"/>
        <v>1.2721703219557645</v>
      </c>
      <c r="EZ265" s="528"/>
      <c r="FA265" s="528">
        <f t="shared" si="716"/>
        <v>0.48019999999999996</v>
      </c>
      <c r="FB265" s="460">
        <f t="shared" si="717"/>
        <v>1792.5865768455396</v>
      </c>
      <c r="FC265" s="173">
        <f t="shared" si="718"/>
        <v>3.7323788805314719</v>
      </c>
      <c r="FD265" s="5">
        <f t="shared" si="719"/>
        <v>11.76</v>
      </c>
      <c r="FE265" s="173">
        <f t="shared" si="720"/>
        <v>0.75908290719498384</v>
      </c>
      <c r="FF265" s="5">
        <f t="shared" si="721"/>
        <v>75.908290719498382</v>
      </c>
      <c r="FI265" s="562">
        <f t="shared" si="676"/>
        <v>-50</v>
      </c>
      <c r="FJ265">
        <f t="shared" si="677"/>
        <v>-50</v>
      </c>
      <c r="FL265">
        <f t="shared" si="760"/>
        <v>0.56096812395411422</v>
      </c>
    </row>
    <row r="266" spans="5:168">
      <c r="E266" s="170">
        <v>50</v>
      </c>
      <c r="F266" s="217">
        <f t="shared" si="761"/>
        <v>0.5</v>
      </c>
      <c r="G266" s="217"/>
      <c r="H266" s="217">
        <f t="shared" si="726"/>
        <v>12</v>
      </c>
      <c r="I266" s="541">
        <f t="shared" si="727"/>
        <v>35.908348486100884</v>
      </c>
      <c r="J266" s="172">
        <f t="shared" si="728"/>
        <v>16.358974893014455</v>
      </c>
      <c r="K266" s="172">
        <f t="shared" si="729"/>
        <v>52.267323379115339</v>
      </c>
      <c r="L266" s="443"/>
      <c r="M266" s="217">
        <f t="shared" si="730"/>
        <v>0.3129890387999138</v>
      </c>
      <c r="N266" s="172">
        <f t="shared" si="731"/>
        <v>63.045343193771728</v>
      </c>
      <c r="O266" s="172">
        <f t="shared" si="762"/>
        <v>12</v>
      </c>
      <c r="P266" s="217">
        <f t="shared" si="732"/>
        <v>2.6268892997404887</v>
      </c>
      <c r="Q266" s="217">
        <f t="shared" si="733"/>
        <v>24</v>
      </c>
      <c r="R266" s="217"/>
      <c r="S266" s="172">
        <f t="shared" si="734"/>
        <v>345.22390416476435</v>
      </c>
      <c r="T266" s="172">
        <f t="shared" si="735"/>
        <v>24</v>
      </c>
      <c r="U266" s="217">
        <f t="shared" si="736"/>
        <v>2.1822801374139207</v>
      </c>
      <c r="V266" s="217">
        <f t="shared" si="737"/>
        <v>0.6077361475587274</v>
      </c>
      <c r="W266" s="217">
        <f t="shared" si="738"/>
        <v>1.3339956517359712</v>
      </c>
      <c r="X266" s="197">
        <f t="shared" si="739"/>
        <v>350</v>
      </c>
      <c r="Y266" s="443">
        <f t="shared" si="680"/>
        <v>350</v>
      </c>
      <c r="AA266" s="217">
        <f t="shared" si="740"/>
        <v>3.211095429946456</v>
      </c>
      <c r="AB266" s="173">
        <f t="shared" si="741"/>
        <v>1.9628952614369775</v>
      </c>
      <c r="AC266" s="173">
        <f t="shared" si="742"/>
        <v>0.73572281130431594</v>
      </c>
      <c r="AD266" s="173"/>
      <c r="AE266" s="173">
        <f t="shared" si="743"/>
        <v>1.3584116588938266</v>
      </c>
      <c r="AF266" s="545">
        <f t="shared" si="744"/>
        <v>496.65553460800999</v>
      </c>
      <c r="AG266" s="528">
        <f t="shared" si="745"/>
        <v>0.35235689085418204</v>
      </c>
      <c r="AI266" s="173">
        <f t="shared" si="746"/>
        <v>2.6471655590678078</v>
      </c>
      <c r="AJ266" s="173">
        <f t="shared" si="747"/>
        <v>2.6471655590678078</v>
      </c>
      <c r="AK266" s="173">
        <f t="shared" si="748"/>
        <v>1.514772842107841</v>
      </c>
      <c r="AM266" s="545">
        <f t="shared" si="749"/>
        <v>500</v>
      </c>
      <c r="AN266" s="460">
        <f t="shared" si="750"/>
        <v>350</v>
      </c>
      <c r="AP266">
        <f t="shared" si="751"/>
        <v>500</v>
      </c>
      <c r="AQ266">
        <f t="shared" si="752"/>
        <v>350</v>
      </c>
      <c r="AS266" s="5">
        <f t="shared" si="763"/>
        <v>2.8571428571428572</v>
      </c>
      <c r="AT266" s="5">
        <f t="shared" si="753"/>
        <v>0.73720058723738069</v>
      </c>
      <c r="AU266" s="5">
        <f t="shared" si="722"/>
        <v>2.1199422699054766</v>
      </c>
      <c r="AV266" s="5"/>
      <c r="AW266" s="173">
        <f t="shared" si="723"/>
        <v>0.25802020553308325</v>
      </c>
      <c r="AX266" s="173">
        <f t="shared" si="631"/>
        <v>12.263099619950864</v>
      </c>
      <c r="AY266" s="173">
        <f t="shared" si="632"/>
        <v>0.6550418097052505</v>
      </c>
      <c r="AZ266" s="173">
        <f t="shared" si="633"/>
        <v>18.721094498485368</v>
      </c>
      <c r="BA266" s="460">
        <f t="shared" si="724"/>
        <v>1.5358345567445431</v>
      </c>
      <c r="BB266" s="5">
        <f t="shared" si="725"/>
        <v>0.59037587616318421</v>
      </c>
      <c r="BD266" s="173">
        <f t="shared" si="681"/>
        <v>0.77633172639786219</v>
      </c>
      <c r="BE266" s="173">
        <f t="shared" si="682"/>
        <v>0.87809670954612296</v>
      </c>
      <c r="BG266" s="528">
        <f t="shared" si="683"/>
        <v>2.4107637976475409E-2</v>
      </c>
      <c r="BH266" s="528">
        <f t="shared" si="754"/>
        <v>1.0895870342215983</v>
      </c>
      <c r="BI266" s="528">
        <f t="shared" si="755"/>
        <v>0.50271687880541238</v>
      </c>
      <c r="BJ266" s="528">
        <f t="shared" si="684"/>
        <v>0.1673272269595423</v>
      </c>
      <c r="BK266">
        <f t="shared" si="685"/>
        <v>1.6158756818745398E-2</v>
      </c>
      <c r="BL266" s="460">
        <f t="shared" si="686"/>
        <v>518.87563562415778</v>
      </c>
      <c r="BM266" s="528">
        <f t="shared" si="756"/>
        <v>1.2949483931528027</v>
      </c>
      <c r="BN266" s="460">
        <f t="shared" si="687"/>
        <v>1294.9483931528027</v>
      </c>
      <c r="BO266" s="528">
        <f t="shared" si="637"/>
        <v>0.35</v>
      </c>
      <c r="BR266" s="460">
        <f t="shared" si="688"/>
        <v>350</v>
      </c>
      <c r="BS266" s="528">
        <f t="shared" si="689"/>
        <v>1.8080728482356555E-2</v>
      </c>
      <c r="BT266" s="528">
        <f t="shared" si="690"/>
        <v>2.3131614939471846E-2</v>
      </c>
      <c r="BU266" s="528">
        <f t="shared" si="691"/>
        <v>1.3064502451826878</v>
      </c>
      <c r="BV266" s="528"/>
      <c r="BW266" s="528">
        <f t="shared" si="692"/>
        <v>0.49052398479803455</v>
      </c>
      <c r="BX266" s="460">
        <f t="shared" si="693"/>
        <v>1838.1865734025507</v>
      </c>
      <c r="BY266" s="173">
        <f t="shared" si="694"/>
        <v>3.9880841081843248</v>
      </c>
      <c r="BZ266" s="5">
        <f t="shared" si="695"/>
        <v>12</v>
      </c>
      <c r="CA266" s="173">
        <f t="shared" si="696"/>
        <v>0.75055897372075886</v>
      </c>
      <c r="CB266" s="5">
        <f t="shared" si="697"/>
        <v>75.05589737207589</v>
      </c>
      <c r="CE266" s="562">
        <f t="shared" si="757"/>
        <v>-50</v>
      </c>
      <c r="CF266">
        <f t="shared" si="758"/>
        <v>-50</v>
      </c>
      <c r="CG266" s="173">
        <f t="shared" si="759"/>
        <v>0.57253569402246873</v>
      </c>
      <c r="CI266" s="170">
        <v>50</v>
      </c>
      <c r="CJ266" s="217">
        <f t="shared" si="698"/>
        <v>0.5</v>
      </c>
      <c r="CK266" s="217"/>
      <c r="CL266" s="217">
        <f t="shared" si="641"/>
        <v>12</v>
      </c>
      <c r="CM266" s="541">
        <f t="shared" si="642"/>
        <v>36</v>
      </c>
      <c r="CN266" s="443">
        <f t="shared" si="643"/>
        <v>16.3415</v>
      </c>
      <c r="CO266" s="443">
        <f t="shared" si="644"/>
        <v>52.341499999999996</v>
      </c>
      <c r="CP266" s="443"/>
      <c r="CQ266" s="217">
        <f t="shared" si="645"/>
        <v>0.31220924123305599</v>
      </c>
      <c r="CR266" s="172">
        <f t="shared" si="646"/>
        <v>63.048783011568261</v>
      </c>
      <c r="CS266" s="172">
        <f t="shared" si="647"/>
        <v>12</v>
      </c>
      <c r="CT266" s="217">
        <f t="shared" si="648"/>
        <v>2.6270326254820109</v>
      </c>
      <c r="CU266" s="217">
        <f t="shared" si="649"/>
        <v>24</v>
      </c>
      <c r="CV266" s="217"/>
      <c r="CW266" s="172">
        <f t="shared" si="650"/>
        <v>346.10484608387469</v>
      </c>
      <c r="CX266" s="172">
        <f t="shared" si="651"/>
        <v>24</v>
      </c>
      <c r="CY266" s="217">
        <f t="shared" si="652"/>
        <v>2.1353200950545137</v>
      </c>
      <c r="CZ266" s="217">
        <f t="shared" si="653"/>
        <v>0.59314447084847599</v>
      </c>
      <c r="DA266" s="217">
        <f t="shared" si="654"/>
        <v>1.3066854909613643</v>
      </c>
      <c r="DB266" s="197">
        <f t="shared" si="655"/>
        <v>350</v>
      </c>
      <c r="DC266" s="443">
        <f t="shared" si="656"/>
        <v>350</v>
      </c>
      <c r="DE266" s="217">
        <f t="shared" si="657"/>
        <v>3.211295052682861</v>
      </c>
      <c r="DF266" s="173">
        <f t="shared" si="658"/>
        <v>1.96511645361984</v>
      </c>
      <c r="DG266" s="173">
        <f t="shared" si="659"/>
        <v>0.73660113681324435</v>
      </c>
      <c r="DH266" s="173"/>
      <c r="DI266" s="173">
        <f t="shared" si="660"/>
        <v>1.3598642855443031</v>
      </c>
      <c r="DJ266" s="545">
        <f t="shared" si="661"/>
        <v>496.12499999999983</v>
      </c>
      <c r="DK266" s="528">
        <f t="shared" si="662"/>
        <v>0.35273368606701955</v>
      </c>
      <c r="DM266" s="173">
        <f t="shared" si="663"/>
        <v>2.6457513110645903</v>
      </c>
      <c r="DN266" s="173">
        <f t="shared" si="664"/>
        <v>2.6457513110645903</v>
      </c>
      <c r="DO266" s="173">
        <f t="shared" si="665"/>
        <v>1.5137252509943466</v>
      </c>
      <c r="DQ266" s="545">
        <f t="shared" si="666"/>
        <v>500</v>
      </c>
      <c r="DR266" s="460">
        <f t="shared" si="667"/>
        <v>350</v>
      </c>
      <c r="DT266">
        <f t="shared" si="668"/>
        <v>500</v>
      </c>
      <c r="DU266">
        <f t="shared" si="669"/>
        <v>350</v>
      </c>
      <c r="DW266" s="5">
        <f t="shared" si="670"/>
        <v>2.8571428571428572</v>
      </c>
      <c r="DX266" s="5">
        <f t="shared" si="671"/>
        <v>0.734930919740164</v>
      </c>
      <c r="DY266" s="5">
        <f t="shared" si="672"/>
        <v>2.1222119374026933</v>
      </c>
      <c r="DZ266" s="5"/>
      <c r="EA266" s="173">
        <f t="shared" si="673"/>
        <v>0.25722582190905741</v>
      </c>
      <c r="EB266" s="173">
        <f t="shared" si="699"/>
        <v>12.249999999999998</v>
      </c>
      <c r="EC266" s="173">
        <f t="shared" si="700"/>
        <v>0.65539278446226312</v>
      </c>
      <c r="ED266" s="173">
        <f t="shared" si="701"/>
        <v>18.691081577974469</v>
      </c>
      <c r="EE266" s="460">
        <f t="shared" si="674"/>
        <v>1.5311060827920082</v>
      </c>
      <c r="EF266" s="5">
        <f t="shared" si="675"/>
        <v>0.58950331594519245</v>
      </c>
      <c r="EH266" s="173">
        <f t="shared" si="702"/>
        <v>0.77472161739199397</v>
      </c>
      <c r="EI266" s="173">
        <f t="shared" si="703"/>
        <v>0.87809726667321408</v>
      </c>
      <c r="EK266" s="528">
        <f t="shared" si="704"/>
        <v>2.4007743378178684E-2</v>
      </c>
      <c r="EL266" s="528">
        <f t="shared" si="705"/>
        <v>1.3328949503878396</v>
      </c>
      <c r="EM266" s="528">
        <f t="shared" si="706"/>
        <v>6.9999999999999993E-2</v>
      </c>
      <c r="EN266" s="528">
        <f t="shared" si="707"/>
        <v>0.16780249811281248</v>
      </c>
      <c r="EO266">
        <f t="shared" si="708"/>
        <v>1.6199999999999999E-2</v>
      </c>
      <c r="EP266" s="460">
        <f t="shared" si="709"/>
        <v>86.2</v>
      </c>
      <c r="EQ266" s="460"/>
      <c r="ER266" s="460">
        <f t="shared" si="710"/>
        <v>1610.9051918788309</v>
      </c>
      <c r="ES266" s="528">
        <f t="shared" si="711"/>
        <v>0.35</v>
      </c>
      <c r="EV266" s="460">
        <f t="shared" si="712"/>
        <v>350</v>
      </c>
      <c r="EW266" s="528">
        <f t="shared" si="713"/>
        <v>1.8005807533634014E-2</v>
      </c>
      <c r="EX266" s="528">
        <f t="shared" si="714"/>
        <v>2.3131644292169091E-2</v>
      </c>
      <c r="EY266" s="528">
        <f t="shared" si="715"/>
        <v>1.3047060169249032</v>
      </c>
      <c r="EZ266" s="528"/>
      <c r="FA266" s="528">
        <f t="shared" si="716"/>
        <v>0.48999999999999988</v>
      </c>
      <c r="FB266" s="460">
        <f t="shared" si="717"/>
        <v>1835.8434687507063</v>
      </c>
      <c r="FC266" s="173">
        <f t="shared" si="718"/>
        <v>3.7967486606295369</v>
      </c>
      <c r="FD266" s="5">
        <f t="shared" si="719"/>
        <v>12</v>
      </c>
      <c r="FE266" s="173">
        <f t="shared" si="720"/>
        <v>0.75964999240051045</v>
      </c>
      <c r="FF266" s="5">
        <f t="shared" si="721"/>
        <v>75.964999240051043</v>
      </c>
      <c r="FI266" s="562">
        <f t="shared" si="676"/>
        <v>-50</v>
      </c>
      <c r="FJ266">
        <f t="shared" si="677"/>
        <v>-50</v>
      </c>
      <c r="FL266">
        <f t="shared" si="760"/>
        <v>0.56666337782492848</v>
      </c>
    </row>
    <row r="267" spans="5:168">
      <c r="E267" s="170">
        <v>51</v>
      </c>
      <c r="F267" s="217">
        <f t="shared" si="761"/>
        <v>0.51</v>
      </c>
      <c r="G267" s="217"/>
      <c r="H267" s="217">
        <f t="shared" si="726"/>
        <v>12.24</v>
      </c>
      <c r="I267" s="541">
        <f t="shared" si="727"/>
        <v>35.907436508276753</v>
      </c>
      <c r="J267" s="172">
        <f t="shared" si="728"/>
        <v>16.359148776829688</v>
      </c>
      <c r="K267" s="172">
        <f t="shared" si="729"/>
        <v>52.266585285106444</v>
      </c>
      <c r="L267" s="443"/>
      <c r="M267" s="217">
        <f t="shared" si="730"/>
        <v>0.31299680926526302</v>
      </c>
      <c r="N267" s="172">
        <f t="shared" si="731"/>
        <v>63.045307171610119</v>
      </c>
      <c r="O267" s="172">
        <f t="shared" si="762"/>
        <v>12.24</v>
      </c>
      <c r="P267" s="217">
        <f t="shared" si="732"/>
        <v>2.6268877988170884</v>
      </c>
      <c r="Q267" s="217">
        <f t="shared" si="733"/>
        <v>24</v>
      </c>
      <c r="R267" s="217"/>
      <c r="S267" s="172">
        <f t="shared" si="734"/>
        <v>337.39396963415697</v>
      </c>
      <c r="T267" s="172">
        <f t="shared" si="735"/>
        <v>24</v>
      </c>
      <c r="U267" s="217">
        <f t="shared" si="736"/>
        <v>2.2259509168703522</v>
      </c>
      <c r="V267" s="217">
        <f t="shared" si="737"/>
        <v>0.61991362606942579</v>
      </c>
      <c r="W267" s="217">
        <f t="shared" si="738"/>
        <v>1.3606764919352541</v>
      </c>
      <c r="X267" s="197">
        <f t="shared" si="739"/>
        <v>350</v>
      </c>
      <c r="Y267" s="443">
        <f t="shared" si="680"/>
        <v>350</v>
      </c>
      <c r="AA267" s="217">
        <f t="shared" si="740"/>
        <v>3.2110933527699705</v>
      </c>
      <c r="AB267" s="173">
        <f t="shared" si="741"/>
        <v>1.9628731277986837</v>
      </c>
      <c r="AC267" s="173">
        <f t="shared" si="742"/>
        <v>0.73571403936702673</v>
      </c>
      <c r="AD267" s="173"/>
      <c r="AE267" s="173">
        <f t="shared" si="743"/>
        <v>1.3583972201351158</v>
      </c>
      <c r="AF267" s="545">
        <f t="shared" si="744"/>
        <v>506.59402996314412</v>
      </c>
      <c r="AG267" s="528">
        <f t="shared" si="745"/>
        <v>0.3523531456006031</v>
      </c>
      <c r="AI267" s="173">
        <f t="shared" si="746"/>
        <v>2.6735203723064909</v>
      </c>
      <c r="AJ267" s="173">
        <f t="shared" si="747"/>
        <v>2.6735203723064909</v>
      </c>
      <c r="AK267" s="173">
        <f t="shared" si="748"/>
        <v>1.5342949259883469</v>
      </c>
      <c r="AM267" s="545">
        <f t="shared" si="749"/>
        <v>510</v>
      </c>
      <c r="AN267" s="460">
        <f t="shared" si="750"/>
        <v>350</v>
      </c>
      <c r="AP267">
        <f t="shared" si="751"/>
        <v>510</v>
      </c>
      <c r="AQ267">
        <f t="shared" si="752"/>
        <v>350</v>
      </c>
      <c r="AS267" s="5">
        <f t="shared" si="763"/>
        <v>2.8571428571428572</v>
      </c>
      <c r="AT267" s="5">
        <f t="shared" si="753"/>
        <v>0.74455896390438181</v>
      </c>
      <c r="AU267" s="5">
        <f t="shared" si="722"/>
        <v>2.1125838932384755</v>
      </c>
      <c r="AV267" s="5"/>
      <c r="AW267" s="173">
        <f t="shared" si="723"/>
        <v>0.26059563736653363</v>
      </c>
      <c r="AX267" s="173">
        <f t="shared" si="631"/>
        <v>12.508494566991214</v>
      </c>
      <c r="AY267" s="173">
        <f t="shared" si="632"/>
        <v>0.65926701106210173</v>
      </c>
      <c r="AZ267" s="173">
        <f t="shared" si="633"/>
        <v>18.973336079473476</v>
      </c>
      <c r="BA267" s="460">
        <f t="shared" si="724"/>
        <v>1.5821877982968116</v>
      </c>
      <c r="BB267" s="5">
        <f t="shared" si="725"/>
        <v>0.60010844010169029</v>
      </c>
      <c r="BD267" s="173">
        <f t="shared" si="681"/>
        <v>0.78796411740647898</v>
      </c>
      <c r="BE267" s="173">
        <f t="shared" si="682"/>
        <v>0.88529845984443001</v>
      </c>
      <c r="BG267" s="528">
        <f t="shared" si="683"/>
        <v>2.4835498012806854E-2</v>
      </c>
      <c r="BH267" s="528">
        <f t="shared" si="754"/>
        <v>1.1004192718361856</v>
      </c>
      <c r="BI267" s="528">
        <f t="shared" si="755"/>
        <v>0.50270411111587454</v>
      </c>
      <c r="BJ267" s="528">
        <f t="shared" si="684"/>
        <v>0.16732250116362493</v>
      </c>
      <c r="BK267">
        <f t="shared" si="685"/>
        <v>1.6158346428724539E-2</v>
      </c>
      <c r="BL267" s="460">
        <f t="shared" si="686"/>
        <v>518.86245754459901</v>
      </c>
      <c r="BM267" s="528">
        <f t="shared" si="756"/>
        <v>1.3069953229034199</v>
      </c>
      <c r="BN267" s="460">
        <f t="shared" si="687"/>
        <v>1306.9953229034199</v>
      </c>
      <c r="BO267" s="528">
        <f t="shared" si="637"/>
        <v>0.35699999999999998</v>
      </c>
      <c r="BR267" s="460">
        <f t="shared" si="688"/>
        <v>357</v>
      </c>
      <c r="BS267" s="528">
        <f t="shared" si="689"/>
        <v>1.8626623509605141E-2</v>
      </c>
      <c r="BT267" s="528">
        <f t="shared" si="690"/>
        <v>2.3512600890087595E-2</v>
      </c>
      <c r="BU267" s="528">
        <f t="shared" si="691"/>
        <v>1.3392105430307586</v>
      </c>
      <c r="BV267" s="528"/>
      <c r="BW267" s="528">
        <f t="shared" si="692"/>
        <v>0.50033978267964863</v>
      </c>
      <c r="BX267" s="460">
        <f t="shared" si="693"/>
        <v>1881.6895501100998</v>
      </c>
      <c r="BY267" s="173">
        <f t="shared" si="694"/>
        <v>4.0501292786673169</v>
      </c>
      <c r="BZ267" s="5">
        <f t="shared" si="695"/>
        <v>12.24</v>
      </c>
      <c r="CA267" s="173">
        <f t="shared" si="696"/>
        <v>0.75137525249899961</v>
      </c>
      <c r="CB267" s="5">
        <f t="shared" si="697"/>
        <v>75.137525249899966</v>
      </c>
      <c r="CE267" s="562">
        <f t="shared" si="757"/>
        <v>-50</v>
      </c>
      <c r="CF267">
        <f t="shared" si="758"/>
        <v>-50</v>
      </c>
      <c r="CG267" s="173">
        <f t="shared" si="759"/>
        <v>0.57823270691684836</v>
      </c>
      <c r="CI267" s="170">
        <v>51</v>
      </c>
      <c r="CJ267" s="217">
        <f t="shared" si="698"/>
        <v>0.51</v>
      </c>
      <c r="CK267" s="217"/>
      <c r="CL267" s="217">
        <f t="shared" si="641"/>
        <v>12.24</v>
      </c>
      <c r="CM267" s="541">
        <f t="shared" si="642"/>
        <v>36</v>
      </c>
      <c r="CN267" s="443">
        <f t="shared" si="643"/>
        <v>16.3415</v>
      </c>
      <c r="CO267" s="443">
        <f t="shared" si="644"/>
        <v>52.341499999999996</v>
      </c>
      <c r="CP267" s="443"/>
      <c r="CQ267" s="217">
        <f t="shared" si="645"/>
        <v>0.31220924123305599</v>
      </c>
      <c r="CR267" s="172">
        <f t="shared" si="646"/>
        <v>63.048783011568261</v>
      </c>
      <c r="CS267" s="172">
        <f t="shared" si="647"/>
        <v>12.24</v>
      </c>
      <c r="CT267" s="217">
        <f t="shared" si="648"/>
        <v>2.6270326254820109</v>
      </c>
      <c r="CU267" s="217">
        <f t="shared" si="649"/>
        <v>24</v>
      </c>
      <c r="CV267" s="217"/>
      <c r="CW267" s="172">
        <f t="shared" si="650"/>
        <v>338.26351103910105</v>
      </c>
      <c r="CX267" s="172">
        <f t="shared" si="651"/>
        <v>24</v>
      </c>
      <c r="CY267" s="217">
        <f t="shared" si="652"/>
        <v>2.1780264969556038</v>
      </c>
      <c r="CZ267" s="217">
        <f t="shared" si="653"/>
        <v>0.60500736026544555</v>
      </c>
      <c r="DA267" s="217">
        <f t="shared" si="654"/>
        <v>1.3328192007805919</v>
      </c>
      <c r="DB267" s="197">
        <f t="shared" si="655"/>
        <v>350</v>
      </c>
      <c r="DC267" s="443">
        <f t="shared" si="656"/>
        <v>350</v>
      </c>
      <c r="DE267" s="217">
        <f t="shared" si="657"/>
        <v>3.211295052682861</v>
      </c>
      <c r="DF267" s="173">
        <f t="shared" si="658"/>
        <v>1.96511645361984</v>
      </c>
      <c r="DG267" s="173">
        <f t="shared" si="659"/>
        <v>0.73660113681324435</v>
      </c>
      <c r="DH267" s="173"/>
      <c r="DI267" s="173">
        <f t="shared" si="660"/>
        <v>1.3598642855443031</v>
      </c>
      <c r="DJ267" s="545">
        <f t="shared" si="661"/>
        <v>506.04749999999984</v>
      </c>
      <c r="DK267" s="528">
        <f t="shared" si="662"/>
        <v>0.35273368606701955</v>
      </c>
      <c r="DM267" s="173">
        <f t="shared" si="663"/>
        <v>2.6720778431774774</v>
      </c>
      <c r="DN267" s="173">
        <f t="shared" si="664"/>
        <v>2.6720778431774774</v>
      </c>
      <c r="DO267" s="173">
        <f t="shared" si="665"/>
        <v>1.5332263858927815</v>
      </c>
      <c r="DQ267" s="545">
        <f t="shared" si="666"/>
        <v>510</v>
      </c>
      <c r="DR267" s="460">
        <f t="shared" si="667"/>
        <v>350</v>
      </c>
      <c r="DT267">
        <f t="shared" si="668"/>
        <v>510</v>
      </c>
      <c r="DU267">
        <f t="shared" si="669"/>
        <v>350</v>
      </c>
      <c r="DW267" s="5">
        <f t="shared" si="670"/>
        <v>2.8571428571428572</v>
      </c>
      <c r="DX267" s="5">
        <f t="shared" si="671"/>
        <v>0.7422438453270771</v>
      </c>
      <c r="DY267" s="5">
        <f t="shared" si="672"/>
        <v>2.1148990118157802</v>
      </c>
      <c r="DZ267" s="5"/>
      <c r="EA267" s="173">
        <f t="shared" si="673"/>
        <v>0.25978534586447699</v>
      </c>
      <c r="EB267" s="173">
        <f t="shared" si="699"/>
        <v>12.495000000000001</v>
      </c>
      <c r="EC267" s="173">
        <f t="shared" si="700"/>
        <v>0.65963337736635541</v>
      </c>
      <c r="ED267" s="173">
        <f t="shared" si="701"/>
        <v>18.942340440514688</v>
      </c>
      <c r="EE267" s="460">
        <f t="shared" si="674"/>
        <v>1.5772681713200389</v>
      </c>
      <c r="EF267" s="5">
        <f t="shared" si="675"/>
        <v>0.59922138668113778</v>
      </c>
      <c r="EH267" s="173">
        <f t="shared" si="702"/>
        <v>0.78631362900400958</v>
      </c>
      <c r="EI267" s="173">
        <f t="shared" si="703"/>
        <v>0.88530547851439556</v>
      </c>
      <c r="EK267" s="528">
        <f t="shared" si="704"/>
        <v>2.4731564926298209E-2</v>
      </c>
      <c r="EL267" s="528">
        <f t="shared" si="705"/>
        <v>1.3461579133759864</v>
      </c>
      <c r="EM267" s="528">
        <f t="shared" si="706"/>
        <v>6.9999999999999993E-2</v>
      </c>
      <c r="EN267" s="528">
        <f t="shared" si="707"/>
        <v>0.16780249811281248</v>
      </c>
      <c r="EO267">
        <f t="shared" si="708"/>
        <v>1.6199999999999999E-2</v>
      </c>
      <c r="EP267" s="460">
        <f t="shared" si="709"/>
        <v>86.2</v>
      </c>
      <c r="EQ267" s="460"/>
      <c r="ER267" s="460">
        <f t="shared" si="710"/>
        <v>1624.8919764150974</v>
      </c>
      <c r="ES267" s="528">
        <f t="shared" si="711"/>
        <v>0.35699999999999998</v>
      </c>
      <c r="EV267" s="460">
        <f t="shared" si="712"/>
        <v>357</v>
      </c>
      <c r="EW267" s="528">
        <f t="shared" si="713"/>
        <v>1.8548673694723655E-2</v>
      </c>
      <c r="EX267" s="528">
        <f t="shared" si="714"/>
        <v>2.3512973708628086E-2</v>
      </c>
      <c r="EY267" s="528">
        <f t="shared" si="715"/>
        <v>1.3374048072822495</v>
      </c>
      <c r="EZ267" s="528"/>
      <c r="FA267" s="528">
        <f t="shared" si="716"/>
        <v>0.49980000000000002</v>
      </c>
      <c r="FB267" s="460">
        <f t="shared" si="717"/>
        <v>1879.2664546856013</v>
      </c>
      <c r="FC267" s="173">
        <f t="shared" si="718"/>
        <v>3.8611584311006983</v>
      </c>
      <c r="FD267" s="5">
        <f t="shared" si="719"/>
        <v>12.24</v>
      </c>
      <c r="FE267" s="173">
        <f t="shared" si="720"/>
        <v>0.7601937495601212</v>
      </c>
      <c r="FF267" s="5">
        <f t="shared" si="721"/>
        <v>76.019374956012115</v>
      </c>
      <c r="FI267" s="562">
        <f t="shared" si="676"/>
        <v>-50</v>
      </c>
      <c r="FJ267">
        <f t="shared" si="677"/>
        <v>-50</v>
      </c>
      <c r="FL267">
        <f t="shared" si="760"/>
        <v>0.57230195827318009</v>
      </c>
    </row>
    <row r="268" spans="5:168">
      <c r="E268" s="170">
        <v>52</v>
      </c>
      <c r="F268" s="217">
        <f t="shared" si="761"/>
        <v>0.52</v>
      </c>
      <c r="G268" s="217"/>
      <c r="H268" s="217">
        <f t="shared" si="726"/>
        <v>12.48</v>
      </c>
      <c r="I268" s="541">
        <f t="shared" si="727"/>
        <v>35.906533428435615</v>
      </c>
      <c r="J268" s="172">
        <f t="shared" si="728"/>
        <v>16.359320964095733</v>
      </c>
      <c r="K268" s="172">
        <f t="shared" si="729"/>
        <v>52.265854392531352</v>
      </c>
      <c r="L268" s="443"/>
      <c r="M268" s="217">
        <f t="shared" si="730"/>
        <v>0.31300450413149244</v>
      </c>
      <c r="N268" s="172">
        <f t="shared" si="731"/>
        <v>63.045271466018853</v>
      </c>
      <c r="O268" s="172">
        <f t="shared" si="762"/>
        <v>12.48</v>
      </c>
      <c r="P268" s="217">
        <f t="shared" si="732"/>
        <v>2.6268863110841187</v>
      </c>
      <c r="Q268" s="217">
        <f t="shared" si="733"/>
        <v>24</v>
      </c>
      <c r="R268" s="217"/>
      <c r="S268" s="172">
        <f t="shared" si="734"/>
        <v>329.86540119228601</v>
      </c>
      <c r="T268" s="172">
        <f t="shared" si="735"/>
        <v>24</v>
      </c>
      <c r="U268" s="217">
        <f t="shared" si="736"/>
        <v>2.269622434473042</v>
      </c>
      <c r="V268" s="217">
        <f t="shared" si="737"/>
        <v>0.63209177209951728</v>
      </c>
      <c r="W268" s="217">
        <f t="shared" si="738"/>
        <v>1.3873573600360596</v>
      </c>
      <c r="X268" s="197">
        <f t="shared" si="739"/>
        <v>350</v>
      </c>
      <c r="Y268" s="443">
        <f t="shared" si="680"/>
        <v>350</v>
      </c>
      <c r="AA268" s="217">
        <f t="shared" si="740"/>
        <v>3.2110912940938019</v>
      </c>
      <c r="AB268" s="173">
        <f t="shared" si="741"/>
        <v>1.9628512094977995</v>
      </c>
      <c r="AC268" s="173">
        <f t="shared" si="742"/>
        <v>0.73570535239075985</v>
      </c>
      <c r="AD268" s="173"/>
      <c r="AE268" s="173">
        <f t="shared" si="743"/>
        <v>1.3583829225549133</v>
      </c>
      <c r="AF268" s="545">
        <f t="shared" si="744"/>
        <v>516.53268291432687</v>
      </c>
      <c r="AG268" s="528">
        <f t="shared" si="745"/>
        <v>0.35234943696716065</v>
      </c>
      <c r="AI268" s="173">
        <f t="shared" si="746"/>
        <v>2.6996183227890382</v>
      </c>
      <c r="AJ268" s="173">
        <f t="shared" si="747"/>
        <v>2.6996183227890382</v>
      </c>
      <c r="AK268" s="173">
        <f t="shared" si="748"/>
        <v>1.5536267411606044</v>
      </c>
      <c r="AM268" s="545">
        <f t="shared" si="749"/>
        <v>520</v>
      </c>
      <c r="AN268" s="460">
        <f t="shared" si="750"/>
        <v>350</v>
      </c>
      <c r="AP268">
        <f t="shared" si="751"/>
        <v>520</v>
      </c>
      <c r="AQ268">
        <f t="shared" si="752"/>
        <v>350</v>
      </c>
      <c r="AS268" s="5">
        <f t="shared" si="763"/>
        <v>2.8571428571428572</v>
      </c>
      <c r="AT268" s="5">
        <f t="shared" si="753"/>
        <v>0.75184599152952991</v>
      </c>
      <c r="AU268" s="5">
        <f t="shared" si="722"/>
        <v>2.1052968656133273</v>
      </c>
      <c r="AV268" s="5"/>
      <c r="AW268" s="173">
        <f t="shared" si="723"/>
        <v>0.26314609703533548</v>
      </c>
      <c r="AX268" s="173">
        <f t="shared" si="631"/>
        <v>12.753893405292024</v>
      </c>
      <c r="AY268" s="173">
        <f t="shared" si="632"/>
        <v>0.66340630327028527</v>
      </c>
      <c r="AZ268" s="173">
        <f t="shared" si="633"/>
        <v>19.224860153455349</v>
      </c>
      <c r="BA268" s="460">
        <f t="shared" si="724"/>
        <v>1.6289996483139817</v>
      </c>
      <c r="BB268" s="5">
        <f t="shared" si="725"/>
        <v>0.60978004033770439</v>
      </c>
      <c r="BD268" s="173">
        <f t="shared" si="681"/>
        <v>0.79954001914282835</v>
      </c>
      <c r="BE268" s="173">
        <f t="shared" si="682"/>
        <v>0.89239734141445837</v>
      </c>
      <c r="BG268" s="528">
        <f t="shared" si="683"/>
        <v>2.5570569688436576E-2</v>
      </c>
      <c r="BH268" s="528">
        <f t="shared" si="754"/>
        <v>1.1111456331226248</v>
      </c>
      <c r="BI268" s="528">
        <f t="shared" si="755"/>
        <v>0.50269146799809861</v>
      </c>
      <c r="BJ268" s="528">
        <f t="shared" si="684"/>
        <v>0.16731782154210392</v>
      </c>
      <c r="BK268">
        <f t="shared" si="685"/>
        <v>1.6157940042796026E-2</v>
      </c>
      <c r="BL268" s="460">
        <f t="shared" si="686"/>
        <v>518.84940804089467</v>
      </c>
      <c r="BM268" s="528">
        <f t="shared" si="756"/>
        <v>1.3189514565854239</v>
      </c>
      <c r="BN268" s="460">
        <f t="shared" si="687"/>
        <v>1318.9514565854238</v>
      </c>
      <c r="BO268" s="528">
        <f t="shared" si="637"/>
        <v>0.36399999999999999</v>
      </c>
      <c r="BR268" s="460">
        <f t="shared" si="688"/>
        <v>364</v>
      </c>
      <c r="BS268" s="528">
        <f t="shared" si="689"/>
        <v>1.917792726632743E-2</v>
      </c>
      <c r="BT268" s="528">
        <f t="shared" si="690"/>
        <v>2.3891190448907799E-2</v>
      </c>
      <c r="BU268" s="528">
        <f t="shared" si="691"/>
        <v>1.3721324429536776</v>
      </c>
      <c r="BV268" s="528"/>
      <c r="BW268" s="528">
        <f t="shared" si="692"/>
        <v>0.51015573621168098</v>
      </c>
      <c r="BX268" s="460">
        <f t="shared" si="693"/>
        <v>1925.3572968805938</v>
      </c>
      <c r="BY268" s="173">
        <f t="shared" si="694"/>
        <v>4.1122407292746539</v>
      </c>
      <c r="BZ268" s="5">
        <f t="shared" si="695"/>
        <v>12.48</v>
      </c>
      <c r="CA268" s="173">
        <f t="shared" si="696"/>
        <v>0.75215880745876662</v>
      </c>
      <c r="CB268" s="5">
        <f t="shared" si="697"/>
        <v>75.21588074587666</v>
      </c>
      <c r="CE268" s="562">
        <f t="shared" si="757"/>
        <v>-50</v>
      </c>
      <c r="CF268">
        <f t="shared" si="758"/>
        <v>-50</v>
      </c>
      <c r="CG268" s="173">
        <f t="shared" si="759"/>
        <v>0.58387413520979126</v>
      </c>
      <c r="CI268" s="170">
        <v>52</v>
      </c>
      <c r="CJ268" s="217">
        <f t="shared" si="698"/>
        <v>0.52</v>
      </c>
      <c r="CK268" s="217"/>
      <c r="CL268" s="217">
        <f t="shared" si="641"/>
        <v>12.48</v>
      </c>
      <c r="CM268" s="541">
        <f t="shared" si="642"/>
        <v>36</v>
      </c>
      <c r="CN268" s="443">
        <f t="shared" si="643"/>
        <v>16.3415</v>
      </c>
      <c r="CO268" s="443">
        <f t="shared" si="644"/>
        <v>52.341499999999996</v>
      </c>
      <c r="CP268" s="443"/>
      <c r="CQ268" s="217">
        <f t="shared" si="645"/>
        <v>0.31220924123305599</v>
      </c>
      <c r="CR268" s="172">
        <f t="shared" si="646"/>
        <v>63.048783011568261</v>
      </c>
      <c r="CS268" s="172">
        <f t="shared" si="647"/>
        <v>12.48</v>
      </c>
      <c r="CT268" s="217">
        <f t="shared" si="648"/>
        <v>2.6270326254820109</v>
      </c>
      <c r="CU268" s="217">
        <f t="shared" si="649"/>
        <v>24</v>
      </c>
      <c r="CV268" s="217"/>
      <c r="CW268" s="172">
        <f t="shared" si="650"/>
        <v>330.72384625458858</v>
      </c>
      <c r="CX268" s="172">
        <f t="shared" si="651"/>
        <v>24</v>
      </c>
      <c r="CY268" s="217">
        <f t="shared" si="652"/>
        <v>2.2207328988566943</v>
      </c>
      <c r="CZ268" s="217">
        <f t="shared" si="653"/>
        <v>0.61687024968241511</v>
      </c>
      <c r="DA268" s="217">
        <f t="shared" si="654"/>
        <v>1.3589529105998193</v>
      </c>
      <c r="DB268" s="197">
        <f t="shared" si="655"/>
        <v>350</v>
      </c>
      <c r="DC268" s="443">
        <f t="shared" si="656"/>
        <v>350</v>
      </c>
      <c r="DE268" s="217">
        <f t="shared" si="657"/>
        <v>3.211295052682861</v>
      </c>
      <c r="DF268" s="173">
        <f t="shared" si="658"/>
        <v>1.96511645361984</v>
      </c>
      <c r="DG268" s="173">
        <f t="shared" si="659"/>
        <v>0.73660113681324435</v>
      </c>
      <c r="DH268" s="173"/>
      <c r="DI268" s="173">
        <f t="shared" si="660"/>
        <v>1.3598642855443031</v>
      </c>
      <c r="DJ268" s="545">
        <f t="shared" si="661"/>
        <v>515.96999999999991</v>
      </c>
      <c r="DK268" s="528">
        <f t="shared" si="662"/>
        <v>0.35273368606701955</v>
      </c>
      <c r="DM268" s="173">
        <f t="shared" si="663"/>
        <v>2.6981475126464081</v>
      </c>
      <c r="DN268" s="173">
        <f t="shared" si="664"/>
        <v>2.6981475126464081</v>
      </c>
      <c r="DO268" s="173">
        <f t="shared" si="665"/>
        <v>1.5525372521660634</v>
      </c>
      <c r="DQ268" s="545">
        <f t="shared" si="666"/>
        <v>520</v>
      </c>
      <c r="DR268" s="460">
        <f t="shared" si="667"/>
        <v>350</v>
      </c>
      <c r="DT268">
        <f t="shared" si="668"/>
        <v>520</v>
      </c>
      <c r="DU268">
        <f t="shared" si="669"/>
        <v>350</v>
      </c>
      <c r="DW268" s="5">
        <f t="shared" si="670"/>
        <v>2.8571428571428572</v>
      </c>
      <c r="DX268" s="5">
        <f t="shared" si="671"/>
        <v>0.74948542017955788</v>
      </c>
      <c r="DY268" s="5">
        <f t="shared" si="672"/>
        <v>2.1076574369632994</v>
      </c>
      <c r="DZ268" s="5"/>
      <c r="EA268" s="173">
        <f t="shared" si="673"/>
        <v>0.26231989706284525</v>
      </c>
      <c r="EB268" s="173">
        <f t="shared" si="699"/>
        <v>12.74</v>
      </c>
      <c r="EC268" s="173">
        <f t="shared" si="700"/>
        <v>0.66378830657868815</v>
      </c>
      <c r="ED268" s="173">
        <f t="shared" si="701"/>
        <v>19.192865969068933</v>
      </c>
      <c r="EE268" s="460">
        <f t="shared" si="674"/>
        <v>1.6238850770557087</v>
      </c>
      <c r="EF268" s="5">
        <f t="shared" si="675"/>
        <v>0.6088788151227309</v>
      </c>
      <c r="EH268" s="173">
        <f t="shared" si="702"/>
        <v>0.79784895199895922</v>
      </c>
      <c r="EI268" s="173">
        <f t="shared" si="703"/>
        <v>0.89241103327588989</v>
      </c>
      <c r="EK268" s="528">
        <f t="shared" si="704"/>
        <v>2.5462518008233501E-2</v>
      </c>
      <c r="EL268" s="528">
        <f t="shared" si="705"/>
        <v>1.3592914723193763</v>
      </c>
      <c r="EM268" s="528">
        <f t="shared" si="706"/>
        <v>6.9999999999999993E-2</v>
      </c>
      <c r="EN268" s="528">
        <f t="shared" si="707"/>
        <v>0.16780249811281248</v>
      </c>
      <c r="EO268">
        <f t="shared" si="708"/>
        <v>1.6199999999999999E-2</v>
      </c>
      <c r="EP268" s="460">
        <f t="shared" si="709"/>
        <v>86.2</v>
      </c>
      <c r="EQ268" s="460"/>
      <c r="ER268" s="460">
        <f t="shared" si="710"/>
        <v>1638.7564884404223</v>
      </c>
      <c r="ES268" s="528">
        <f t="shared" si="711"/>
        <v>0.36399999999999999</v>
      </c>
      <c r="EV268" s="460">
        <f t="shared" si="712"/>
        <v>364</v>
      </c>
      <c r="EW268" s="528">
        <f t="shared" si="713"/>
        <v>1.9096888506175125E-2</v>
      </c>
      <c r="EX268" s="528">
        <f t="shared" si="714"/>
        <v>2.3891923569376243E-2</v>
      </c>
      <c r="EY268" s="528">
        <f t="shared" si="715"/>
        <v>1.3702642883660121</v>
      </c>
      <c r="EZ268" s="528"/>
      <c r="FA268" s="528">
        <f t="shared" si="716"/>
        <v>0.50959999999999994</v>
      </c>
      <c r="FB268" s="460">
        <f t="shared" si="717"/>
        <v>1922.8531004415634</v>
      </c>
      <c r="FC268" s="173">
        <f t="shared" si="718"/>
        <v>3.925609588881986</v>
      </c>
      <c r="FD268" s="5">
        <f t="shared" si="719"/>
        <v>12.48</v>
      </c>
      <c r="FE268" s="173">
        <f t="shared" si="720"/>
        <v>0.76071540849403396</v>
      </c>
      <c r="FF268" s="5">
        <f t="shared" si="721"/>
        <v>76.071540849403391</v>
      </c>
      <c r="FI268" s="562">
        <f t="shared" si="676"/>
        <v>-50</v>
      </c>
      <c r="FJ268">
        <f t="shared" si="677"/>
        <v>-50</v>
      </c>
      <c r="FL268">
        <f t="shared" si="760"/>
        <v>0.57788552423354222</v>
      </c>
    </row>
    <row r="269" spans="5:168">
      <c r="E269" s="170">
        <v>53</v>
      </c>
      <c r="F269" s="217">
        <f t="shared" si="761"/>
        <v>0.53</v>
      </c>
      <c r="G269" s="217"/>
      <c r="H269" s="217">
        <f t="shared" si="726"/>
        <v>12.72</v>
      </c>
      <c r="I269" s="541">
        <f t="shared" si="727"/>
        <v>35.905638991103316</v>
      </c>
      <c r="J269" s="172">
        <f t="shared" si="728"/>
        <v>16.359491503523017</v>
      </c>
      <c r="K269" s="172">
        <f t="shared" si="729"/>
        <v>52.265130494626334</v>
      </c>
      <c r="L269" s="443"/>
      <c r="M269" s="217">
        <f t="shared" si="730"/>
        <v>0.31301212556917263</v>
      </c>
      <c r="N269" s="172">
        <f t="shared" si="731"/>
        <v>63.045236067907283</v>
      </c>
      <c r="O269" s="172">
        <f t="shared" si="762"/>
        <v>12.72</v>
      </c>
      <c r="P269" s="217">
        <f t="shared" si="732"/>
        <v>2.6268848361628034</v>
      </c>
      <c r="Q269" s="217">
        <f t="shared" si="733"/>
        <v>24</v>
      </c>
      <c r="R269" s="217"/>
      <c r="S269" s="172">
        <f t="shared" si="734"/>
        <v>322.62113806367313</v>
      </c>
      <c r="T269" s="172">
        <f t="shared" si="735"/>
        <v>24</v>
      </c>
      <c r="U269" s="217">
        <f t="shared" si="736"/>
        <v>2.3132946831383498</v>
      </c>
      <c r="V269" s="217">
        <f t="shared" si="737"/>
        <v>0.6442705792567951</v>
      </c>
      <c r="W269" s="217">
        <f t="shared" si="738"/>
        <v>1.4140382557979763</v>
      </c>
      <c r="X269" s="197">
        <f t="shared" si="739"/>
        <v>350</v>
      </c>
      <c r="Y269" s="443">
        <f t="shared" si="680"/>
        <v>350</v>
      </c>
      <c r="AA269" s="217">
        <f t="shared" si="740"/>
        <v>3.2110892533867053</v>
      </c>
      <c r="AB269" s="173">
        <f t="shared" si="741"/>
        <v>1.9628295003516445</v>
      </c>
      <c r="AC269" s="173">
        <f t="shared" si="742"/>
        <v>0.73569674793614614</v>
      </c>
      <c r="AD269" s="173"/>
      <c r="AE269" s="173">
        <f t="shared" si="743"/>
        <v>1.3583687620997675</v>
      </c>
      <c r="AF269" s="545">
        <f t="shared" si="744"/>
        <v>526.47149193871292</v>
      </c>
      <c r="AG269" s="528">
        <f t="shared" si="745"/>
        <v>0.35234576390243422</v>
      </c>
      <c r="AI269" s="173">
        <f t="shared" si="746"/>
        <v>2.7254667854204007</v>
      </c>
      <c r="AJ269" s="173">
        <f t="shared" si="747"/>
        <v>2.7254667854204007</v>
      </c>
      <c r="AK269" s="173">
        <f t="shared" si="748"/>
        <v>1.5727737505171691</v>
      </c>
      <c r="AM269" s="545">
        <f t="shared" si="749"/>
        <v>530</v>
      </c>
      <c r="AN269" s="460">
        <f t="shared" si="750"/>
        <v>350</v>
      </c>
      <c r="AP269">
        <f t="shared" si="751"/>
        <v>530</v>
      </c>
      <c r="AQ269">
        <f t="shared" si="752"/>
        <v>350</v>
      </c>
      <c r="AS269" s="5">
        <f t="shared" si="763"/>
        <v>2.8571428571428572</v>
      </c>
      <c r="AT269" s="5">
        <f t="shared" si="753"/>
        <v>0.75906371868098921</v>
      </c>
      <c r="AU269" s="5">
        <f t="shared" si="722"/>
        <v>2.098079138461868</v>
      </c>
      <c r="AV269" s="5"/>
      <c r="AW269" s="173">
        <f t="shared" si="723"/>
        <v>0.2656723015383462</v>
      </c>
      <c r="AX269" s="173">
        <f t="shared" si="631"/>
        <v>12.999296097252172</v>
      </c>
      <c r="AY269" s="173">
        <f t="shared" si="632"/>
        <v>0.66746214821577687</v>
      </c>
      <c r="AZ269" s="173">
        <f t="shared" si="633"/>
        <v>19.475705299545712</v>
      </c>
      <c r="BA269" s="460">
        <f t="shared" si="724"/>
        <v>1.6762657120871844</v>
      </c>
      <c r="BB269" s="5">
        <f t="shared" si="725"/>
        <v>0.61939125698908537</v>
      </c>
      <c r="BD269" s="173">
        <f t="shared" si="681"/>
        <v>0.81106078834308104</v>
      </c>
      <c r="BE269" s="173">
        <f t="shared" si="682"/>
        <v>0.89939621436833139</v>
      </c>
      <c r="BG269" s="528">
        <f t="shared" si="683"/>
        <v>2.6312784095508003E-2</v>
      </c>
      <c r="BH269" s="528">
        <f t="shared" si="754"/>
        <v>1.1217691579402902</v>
      </c>
      <c r="BI269" s="528">
        <f t="shared" si="755"/>
        <v>0.50267894587544648</v>
      </c>
      <c r="BJ269" s="528">
        <f t="shared" si="684"/>
        <v>0.16731318676924456</v>
      </c>
      <c r="BK269">
        <f t="shared" si="685"/>
        <v>1.6157537545996491E-2</v>
      </c>
      <c r="BL269" s="460">
        <f t="shared" si="686"/>
        <v>518.83648342144295</v>
      </c>
      <c r="BM269" s="528">
        <f t="shared" si="756"/>
        <v>1.330819755833123</v>
      </c>
      <c r="BN269" s="460">
        <f t="shared" si="687"/>
        <v>1330.8197558331231</v>
      </c>
      <c r="BO269" s="528">
        <f t="shared" si="637"/>
        <v>0.371</v>
      </c>
      <c r="BR269" s="460">
        <f t="shared" si="688"/>
        <v>371</v>
      </c>
      <c r="BS269" s="528">
        <f t="shared" si="689"/>
        <v>1.9734588071631001E-2</v>
      </c>
      <c r="BT269" s="528">
        <f t="shared" si="690"/>
        <v>2.4267406512602563E-2</v>
      </c>
      <c r="BU269" s="528">
        <f t="shared" si="691"/>
        <v>1.405213617015366</v>
      </c>
      <c r="BV269" s="528"/>
      <c r="BW269" s="528">
        <f t="shared" si="692"/>
        <v>0.51997184389008699</v>
      </c>
      <c r="BX269" s="460">
        <f t="shared" si="693"/>
        <v>1969.1874554896867</v>
      </c>
      <c r="BY269" s="173">
        <f t="shared" si="694"/>
        <v>4.1744190677161725</v>
      </c>
      <c r="BZ269" s="5">
        <f t="shared" si="695"/>
        <v>12.72</v>
      </c>
      <c r="CA269" s="173">
        <f t="shared" si="696"/>
        <v>0.75291135782862528</v>
      </c>
      <c r="CB269" s="5">
        <f t="shared" si="697"/>
        <v>75.291135782862526</v>
      </c>
      <c r="CE269" s="562">
        <f t="shared" si="757"/>
        <v>-50</v>
      </c>
      <c r="CF269">
        <f t="shared" si="758"/>
        <v>-50</v>
      </c>
      <c r="CG269" s="173">
        <f t="shared" si="759"/>
        <v>0.58946157481686401</v>
      </c>
      <c r="CI269" s="170">
        <v>53</v>
      </c>
      <c r="CJ269" s="217">
        <f t="shared" si="698"/>
        <v>0.53</v>
      </c>
      <c r="CK269" s="217"/>
      <c r="CL269" s="217">
        <f t="shared" si="641"/>
        <v>12.72</v>
      </c>
      <c r="CM269" s="541">
        <f t="shared" si="642"/>
        <v>36</v>
      </c>
      <c r="CN269" s="443">
        <f t="shared" si="643"/>
        <v>16.3415</v>
      </c>
      <c r="CO269" s="443">
        <f t="shared" si="644"/>
        <v>52.341499999999996</v>
      </c>
      <c r="CP269" s="443"/>
      <c r="CQ269" s="217">
        <f t="shared" si="645"/>
        <v>0.31220924123305599</v>
      </c>
      <c r="CR269" s="172">
        <f t="shared" si="646"/>
        <v>63.048783011568261</v>
      </c>
      <c r="CS269" s="172">
        <f t="shared" si="647"/>
        <v>12.72</v>
      </c>
      <c r="CT269" s="217">
        <f t="shared" si="648"/>
        <v>2.6270326254820109</v>
      </c>
      <c r="CU269" s="217">
        <f t="shared" si="649"/>
        <v>24</v>
      </c>
      <c r="CV269" s="217"/>
      <c r="CW269" s="172">
        <f t="shared" si="650"/>
        <v>323.46877678769584</v>
      </c>
      <c r="CX269" s="172">
        <f t="shared" si="651"/>
        <v>24</v>
      </c>
      <c r="CY269" s="217">
        <f t="shared" si="652"/>
        <v>2.2634393007577844</v>
      </c>
      <c r="CZ269" s="217">
        <f t="shared" si="653"/>
        <v>0.62873313909938466</v>
      </c>
      <c r="DA269" s="217">
        <f t="shared" si="654"/>
        <v>1.3850866204190466</v>
      </c>
      <c r="DB269" s="197">
        <f t="shared" si="655"/>
        <v>350</v>
      </c>
      <c r="DC269" s="443">
        <f t="shared" si="656"/>
        <v>350</v>
      </c>
      <c r="DE269" s="217">
        <f t="shared" si="657"/>
        <v>3.211295052682861</v>
      </c>
      <c r="DF269" s="173">
        <f t="shared" si="658"/>
        <v>1.96511645361984</v>
      </c>
      <c r="DG269" s="173">
        <f t="shared" si="659"/>
        <v>0.73660113681324435</v>
      </c>
      <c r="DH269" s="173"/>
      <c r="DI269" s="173">
        <f t="shared" si="660"/>
        <v>1.3598642855443031</v>
      </c>
      <c r="DJ269" s="545">
        <f t="shared" si="661"/>
        <v>525.89249999999993</v>
      </c>
      <c r="DK269" s="528">
        <f t="shared" si="662"/>
        <v>0.35273368606701955</v>
      </c>
      <c r="DM269" s="173">
        <f t="shared" si="663"/>
        <v>2.7239676943752471</v>
      </c>
      <c r="DN269" s="173">
        <f t="shared" si="664"/>
        <v>2.7239676943752471</v>
      </c>
      <c r="DO269" s="173">
        <f t="shared" si="665"/>
        <v>1.5716633127059443</v>
      </c>
      <c r="DQ269" s="545">
        <f t="shared" si="666"/>
        <v>530</v>
      </c>
      <c r="DR269" s="460">
        <f t="shared" si="667"/>
        <v>350</v>
      </c>
      <c r="DT269">
        <f t="shared" si="668"/>
        <v>530</v>
      </c>
      <c r="DU269">
        <f t="shared" si="669"/>
        <v>350</v>
      </c>
      <c r="DW269" s="5">
        <f t="shared" si="670"/>
        <v>2.8571428571428572</v>
      </c>
      <c r="DX269" s="5">
        <f t="shared" si="671"/>
        <v>0.75665769288201312</v>
      </c>
      <c r="DY269" s="5">
        <f t="shared" si="672"/>
        <v>2.100485164260844</v>
      </c>
      <c r="DZ269" s="5"/>
      <c r="EA269" s="173">
        <f t="shared" si="673"/>
        <v>0.2648301925087046</v>
      </c>
      <c r="EB269" s="173">
        <f t="shared" si="699"/>
        <v>12.984999999999999</v>
      </c>
      <c r="EC269" s="173">
        <f t="shared" si="700"/>
        <v>0.66786003162970042</v>
      </c>
      <c r="ED269" s="173">
        <f t="shared" si="701"/>
        <v>19.442696650545518</v>
      </c>
      <c r="EE269" s="460">
        <f t="shared" si="674"/>
        <v>1.6709524051144458</v>
      </c>
      <c r="EF269" s="5">
        <f t="shared" si="675"/>
        <v>0.61847618725458176</v>
      </c>
      <c r="EH269" s="173">
        <f t="shared" si="702"/>
        <v>0.80932894598232608</v>
      </c>
      <c r="EI269" s="173">
        <f t="shared" si="703"/>
        <v>0.8994167900735569</v>
      </c>
      <c r="EK269" s="528">
        <f t="shared" si="704"/>
        <v>2.6200533712194517E-2</v>
      </c>
      <c r="EL269" s="528">
        <f t="shared" si="705"/>
        <v>1.3722993425982419</v>
      </c>
      <c r="EM269" s="528">
        <f t="shared" si="706"/>
        <v>6.9999999999999993E-2</v>
      </c>
      <c r="EN269" s="528">
        <f t="shared" si="707"/>
        <v>0.16780249811281248</v>
      </c>
      <c r="EO269">
        <f t="shared" si="708"/>
        <v>1.6199999999999999E-2</v>
      </c>
      <c r="EP269" s="460">
        <f t="shared" si="709"/>
        <v>86.2</v>
      </c>
      <c r="EQ269" s="460"/>
      <c r="ER269" s="460">
        <f t="shared" si="710"/>
        <v>1652.502374423249</v>
      </c>
      <c r="ES269" s="528">
        <f t="shared" si="711"/>
        <v>0.371</v>
      </c>
      <c r="EV269" s="460">
        <f t="shared" si="712"/>
        <v>371</v>
      </c>
      <c r="EW269" s="528">
        <f t="shared" si="713"/>
        <v>1.9650400284145886E-2</v>
      </c>
      <c r="EX269" s="528">
        <f t="shared" si="714"/>
        <v>2.426851686798662E-2</v>
      </c>
      <c r="EY269" s="528">
        <f t="shared" si="715"/>
        <v>1.4032821366513388</v>
      </c>
      <c r="EZ269" s="528"/>
      <c r="FA269" s="528">
        <f t="shared" si="716"/>
        <v>0.51940000000000008</v>
      </c>
      <c r="FB269" s="460">
        <f t="shared" si="717"/>
        <v>1966.6010538034716</v>
      </c>
      <c r="FC269" s="173">
        <f t="shared" si="718"/>
        <v>3.9901034282267203</v>
      </c>
      <c r="FD269" s="5">
        <f t="shared" si="719"/>
        <v>12.72</v>
      </c>
      <c r="FE269" s="173">
        <f t="shared" si="720"/>
        <v>0.76121611422903379</v>
      </c>
      <c r="FF269" s="5">
        <f t="shared" si="721"/>
        <v>76.121611422903385</v>
      </c>
      <c r="FI269" s="562">
        <f t="shared" si="676"/>
        <v>-50</v>
      </c>
      <c r="FJ269">
        <f t="shared" si="677"/>
        <v>-50</v>
      </c>
      <c r="FL269">
        <f t="shared" si="760"/>
        <v>0.58341565525278372</v>
      </c>
    </row>
    <row r="270" spans="5:168">
      <c r="E270" s="170">
        <v>54</v>
      </c>
      <c r="F270" s="217">
        <f t="shared" si="761"/>
        <v>0.54</v>
      </c>
      <c r="G270" s="217"/>
      <c r="H270" s="217">
        <f t="shared" si="726"/>
        <v>12.96</v>
      </c>
      <c r="I270" s="541">
        <f t="shared" si="727"/>
        <v>35.904752952801672</v>
      </c>
      <c r="J270" s="172">
        <f t="shared" si="728"/>
        <v>16.359660441534722</v>
      </c>
      <c r="K270" s="172">
        <f t="shared" si="729"/>
        <v>52.264413394336394</v>
      </c>
      <c r="L270" s="443"/>
      <c r="M270" s="217">
        <f t="shared" si="730"/>
        <v>0.31301967564695343</v>
      </c>
      <c r="N270" s="172">
        <f t="shared" si="731"/>
        <v>63.045200968611667</v>
      </c>
      <c r="O270" s="172">
        <f t="shared" si="762"/>
        <v>12.96</v>
      </c>
      <c r="P270" s="217">
        <f t="shared" si="732"/>
        <v>2.6268833736921526</v>
      </c>
      <c r="Q270" s="217">
        <f t="shared" si="733"/>
        <v>24</v>
      </c>
      <c r="R270" s="217"/>
      <c r="S270" s="172">
        <f t="shared" si="734"/>
        <v>315.64538337659218</v>
      </c>
      <c r="T270" s="172">
        <f t="shared" si="735"/>
        <v>24</v>
      </c>
      <c r="U270" s="217">
        <f t="shared" si="736"/>
        <v>2.3569676559841062</v>
      </c>
      <c r="V270" s="217">
        <f t="shared" si="737"/>
        <v>0.65645004133086238</v>
      </c>
      <c r="W270" s="217">
        <f t="shared" si="738"/>
        <v>1.4407191789874314</v>
      </c>
      <c r="X270" s="197">
        <f t="shared" si="739"/>
        <v>350</v>
      </c>
      <c r="Y270" s="443">
        <f t="shared" si="680"/>
        <v>350</v>
      </c>
      <c r="AA270" s="217">
        <f t="shared" si="740"/>
        <v>3.211087230142383</v>
      </c>
      <c r="AB270" s="173">
        <f t="shared" si="741"/>
        <v>1.9628079944678527</v>
      </c>
      <c r="AC270" s="173">
        <f t="shared" si="742"/>
        <v>0.7356882236783604</v>
      </c>
      <c r="AD270" s="173"/>
      <c r="AE270" s="173">
        <f t="shared" si="743"/>
        <v>1.3583547349065597</v>
      </c>
      <c r="AF270" s="545">
        <f t="shared" si="744"/>
        <v>536.41045555676794</v>
      </c>
      <c r="AG270" s="528">
        <f t="shared" si="745"/>
        <v>0.35234212540437376</v>
      </c>
      <c r="AI270" s="173">
        <f t="shared" si="746"/>
        <v>2.7510727888111424</v>
      </c>
      <c r="AJ270" s="173">
        <f t="shared" si="747"/>
        <v>2.7510727888111424</v>
      </c>
      <c r="AK270" s="173">
        <f t="shared" si="748"/>
        <v>1.591741160436237</v>
      </c>
      <c r="AM270" s="545">
        <f t="shared" si="749"/>
        <v>540</v>
      </c>
      <c r="AN270" s="460">
        <f t="shared" si="750"/>
        <v>350</v>
      </c>
      <c r="AP270">
        <f t="shared" si="751"/>
        <v>540</v>
      </c>
      <c r="AQ270">
        <f t="shared" si="752"/>
        <v>350</v>
      </c>
      <c r="AS270" s="5">
        <f t="shared" si="763"/>
        <v>2.8571428571428572</v>
      </c>
      <c r="AT270" s="5">
        <f t="shared" si="753"/>
        <v>0.76621409773451032</v>
      </c>
      <c r="AU270" s="5">
        <f t="shared" si="722"/>
        <v>2.0909287594083468</v>
      </c>
      <c r="AV270" s="5"/>
      <c r="AW270" s="173">
        <f t="shared" si="723"/>
        <v>0.26817493420707861</v>
      </c>
      <c r="AX270" s="173">
        <f t="shared" si="631"/>
        <v>13.244702606339954</v>
      </c>
      <c r="AY270" s="173">
        <f t="shared" si="632"/>
        <v>0.67143689222838887</v>
      </c>
      <c r="AZ270" s="173">
        <f t="shared" si="633"/>
        <v>19.725908361071671</v>
      </c>
      <c r="BA270" s="460">
        <f t="shared" si="724"/>
        <v>1.7239817199026481</v>
      </c>
      <c r="BB270" s="5">
        <f t="shared" si="725"/>
        <v>0.62894265367304381</v>
      </c>
      <c r="BD270" s="173">
        <f t="shared" si="681"/>
        <v>0.82252772424515408</v>
      </c>
      <c r="BE270" s="173">
        <f t="shared" si="682"/>
        <v>0.9062978047456457</v>
      </c>
      <c r="BG270" s="528">
        <f t="shared" si="683"/>
        <v>2.7062074286076491E-2</v>
      </c>
      <c r="BH270" s="528">
        <f t="shared" si="754"/>
        <v>1.1322927434096417</v>
      </c>
      <c r="BI270" s="528">
        <f t="shared" si="755"/>
        <v>0.5026665413392235</v>
      </c>
      <c r="BJ270" s="528">
        <f t="shared" si="684"/>
        <v>0.16730859558156297</v>
      </c>
      <c r="BK270">
        <f t="shared" si="685"/>
        <v>1.6157138828760752E-2</v>
      </c>
      <c r="BL270" s="460">
        <f t="shared" si="686"/>
        <v>518.82368016798432</v>
      </c>
      <c r="BM270" s="528">
        <f t="shared" si="756"/>
        <v>1.3426030422223649</v>
      </c>
      <c r="BN270" s="460">
        <f t="shared" si="687"/>
        <v>1342.6030422223648</v>
      </c>
      <c r="BO270" s="528">
        <f t="shared" si="637"/>
        <v>0.378</v>
      </c>
      <c r="BR270" s="460">
        <f t="shared" si="688"/>
        <v>378</v>
      </c>
      <c r="BS270" s="528">
        <f t="shared" si="689"/>
        <v>2.0296555714557366E-2</v>
      </c>
      <c r="BT270" s="528">
        <f t="shared" si="690"/>
        <v>2.4641271326603296E-2</v>
      </c>
      <c r="BU270" s="528">
        <f t="shared" si="691"/>
        <v>1.4384518143005145</v>
      </c>
      <c r="BV270" s="528"/>
      <c r="BW270" s="528">
        <f t="shared" si="692"/>
        <v>0.52978810425359812</v>
      </c>
      <c r="BX270" s="460">
        <f t="shared" si="693"/>
        <v>2013.1777455952733</v>
      </c>
      <c r="BY270" s="173">
        <f t="shared" si="694"/>
        <v>4.2366648390405395</v>
      </c>
      <c r="BZ270" s="5">
        <f t="shared" si="695"/>
        <v>12.96</v>
      </c>
      <c r="CA270" s="173">
        <f t="shared" si="696"/>
        <v>0.75363450537093113</v>
      </c>
      <c r="CB270" s="5">
        <f t="shared" si="697"/>
        <v>75.363450537093115</v>
      </c>
      <c r="CE270" s="562">
        <f t="shared" si="757"/>
        <v>-50</v>
      </c>
      <c r="CF270">
        <f t="shared" si="758"/>
        <v>-50</v>
      </c>
      <c r="CG270" s="173">
        <f t="shared" si="759"/>
        <v>0.59499654671617475</v>
      </c>
      <c r="CI270" s="170">
        <v>54</v>
      </c>
      <c r="CJ270" s="217">
        <f t="shared" si="698"/>
        <v>0.54</v>
      </c>
      <c r="CK270" s="217"/>
      <c r="CL270" s="217">
        <f t="shared" si="641"/>
        <v>12.96</v>
      </c>
      <c r="CM270" s="541">
        <f t="shared" si="642"/>
        <v>36</v>
      </c>
      <c r="CN270" s="443">
        <f t="shared" si="643"/>
        <v>16.3415</v>
      </c>
      <c r="CO270" s="443">
        <f t="shared" si="644"/>
        <v>52.341499999999996</v>
      </c>
      <c r="CP270" s="443"/>
      <c r="CQ270" s="217">
        <f t="shared" si="645"/>
        <v>0.31220924123305599</v>
      </c>
      <c r="CR270" s="172">
        <f t="shared" si="646"/>
        <v>63.048783011568261</v>
      </c>
      <c r="CS270" s="172">
        <f t="shared" si="647"/>
        <v>12.96</v>
      </c>
      <c r="CT270" s="217">
        <f t="shared" si="648"/>
        <v>2.6270326254820109</v>
      </c>
      <c r="CU270" s="217">
        <f t="shared" si="649"/>
        <v>24</v>
      </c>
      <c r="CV270" s="217"/>
      <c r="CW270" s="172">
        <f t="shared" si="650"/>
        <v>316.4824925151533</v>
      </c>
      <c r="CX270" s="172">
        <f t="shared" si="651"/>
        <v>24</v>
      </c>
      <c r="CY270" s="217">
        <f t="shared" si="652"/>
        <v>2.306145702658875</v>
      </c>
      <c r="CZ270" s="217">
        <f t="shared" si="653"/>
        <v>0.64059602851635422</v>
      </c>
      <c r="DA270" s="217">
        <f t="shared" si="654"/>
        <v>1.411220330238274</v>
      </c>
      <c r="DB270" s="197">
        <f t="shared" si="655"/>
        <v>350</v>
      </c>
      <c r="DC270" s="443">
        <f t="shared" si="656"/>
        <v>350</v>
      </c>
      <c r="DE270" s="217">
        <f t="shared" si="657"/>
        <v>3.211295052682861</v>
      </c>
      <c r="DF270" s="173">
        <f t="shared" si="658"/>
        <v>1.96511645361984</v>
      </c>
      <c r="DG270" s="173">
        <f t="shared" si="659"/>
        <v>0.73660113681324435</v>
      </c>
      <c r="DH270" s="173"/>
      <c r="DI270" s="173">
        <f t="shared" si="660"/>
        <v>1.3598642855443031</v>
      </c>
      <c r="DJ270" s="545">
        <f t="shared" si="661"/>
        <v>535.81499999999983</v>
      </c>
      <c r="DK270" s="528">
        <f t="shared" si="662"/>
        <v>0.35273368606701955</v>
      </c>
      <c r="DM270" s="173">
        <f t="shared" si="663"/>
        <v>2.7495454169735041</v>
      </c>
      <c r="DN270" s="173">
        <f t="shared" si="664"/>
        <v>2.7495454169735041</v>
      </c>
      <c r="DO270" s="173">
        <f t="shared" si="665"/>
        <v>1.5906097738898384</v>
      </c>
      <c r="DQ270" s="545">
        <f t="shared" si="666"/>
        <v>540</v>
      </c>
      <c r="DR270" s="460">
        <f t="shared" si="667"/>
        <v>350</v>
      </c>
      <c r="DT270">
        <f t="shared" si="668"/>
        <v>540</v>
      </c>
      <c r="DU270">
        <f t="shared" si="669"/>
        <v>350</v>
      </c>
      <c r="DW270" s="5">
        <f t="shared" si="670"/>
        <v>2.8571428571428572</v>
      </c>
      <c r="DX270" s="5">
        <f t="shared" si="671"/>
        <v>0.76376261582597338</v>
      </c>
      <c r="DY270" s="5">
        <f t="shared" si="672"/>
        <v>2.0933802413168836</v>
      </c>
      <c r="DZ270" s="5"/>
      <c r="EA270" s="173">
        <f t="shared" si="673"/>
        <v>0.26731691553909065</v>
      </c>
      <c r="EB270" s="173">
        <f t="shared" si="699"/>
        <v>13.230000000000002</v>
      </c>
      <c r="EC270" s="173">
        <f t="shared" si="700"/>
        <v>0.67185089656066366</v>
      </c>
      <c r="ED270" s="173">
        <f t="shared" si="701"/>
        <v>19.691869234270527</v>
      </c>
      <c r="EE270" s="460">
        <f t="shared" si="674"/>
        <v>1.7184658856084403</v>
      </c>
      <c r="EF270" s="5">
        <f t="shared" si="675"/>
        <v>0.62801407239506513</v>
      </c>
      <c r="EH270" s="173">
        <f t="shared" si="702"/>
        <v>0.82075491296641567</v>
      </c>
      <c r="EI270" s="173">
        <f t="shared" si="703"/>
        <v>0.90632547398938224</v>
      </c>
      <c r="EK270" s="528">
        <f t="shared" si="704"/>
        <v>2.6945545086340342E-2</v>
      </c>
      <c r="EL270" s="528">
        <f t="shared" si="705"/>
        <v>1.3851850651342421</v>
      </c>
      <c r="EM270" s="528">
        <f t="shared" si="706"/>
        <v>6.9999999999999993E-2</v>
      </c>
      <c r="EN270" s="528">
        <f t="shared" si="707"/>
        <v>0.16780249811281248</v>
      </c>
      <c r="EO270">
        <f t="shared" si="708"/>
        <v>1.6199999999999999E-2</v>
      </c>
      <c r="EP270" s="460">
        <f t="shared" si="709"/>
        <v>86.2</v>
      </c>
      <c r="EQ270" s="460"/>
      <c r="ER270" s="460">
        <f t="shared" si="710"/>
        <v>1666.1331083333951</v>
      </c>
      <c r="ES270" s="528">
        <f t="shared" si="711"/>
        <v>0.378</v>
      </c>
      <c r="EV270" s="460">
        <f t="shared" si="712"/>
        <v>378</v>
      </c>
      <c r="EW270" s="528">
        <f t="shared" si="713"/>
        <v>2.0209158814755254E-2</v>
      </c>
      <c r="EX270" s="528">
        <f t="shared" si="714"/>
        <v>2.4642775944062351E-2</v>
      </c>
      <c r="EY270" s="528">
        <f t="shared" si="715"/>
        <v>1.4364561055293379</v>
      </c>
      <c r="EZ270" s="528"/>
      <c r="FA270" s="528">
        <f t="shared" si="716"/>
        <v>0.52920000000000011</v>
      </c>
      <c r="FB270" s="460">
        <f t="shared" si="717"/>
        <v>2010.5080402881556</v>
      </c>
      <c r="FC270" s="173">
        <f t="shared" si="718"/>
        <v>4.0546411486215508</v>
      </c>
      <c r="FD270" s="5">
        <f t="shared" si="719"/>
        <v>12.96</v>
      </c>
      <c r="FE270" s="173">
        <f t="shared" si="720"/>
        <v>0.76169693423419405</v>
      </c>
      <c r="FF270" s="5">
        <f t="shared" si="721"/>
        <v>76.169693423419403</v>
      </c>
      <c r="FI270" s="562">
        <f t="shared" si="676"/>
        <v>-50</v>
      </c>
      <c r="FJ270">
        <f t="shared" si="677"/>
        <v>-50</v>
      </c>
      <c r="FL270">
        <f t="shared" si="760"/>
        <v>0.58889385670882499</v>
      </c>
    </row>
    <row r="271" spans="5:168">
      <c r="E271" s="170">
        <v>55</v>
      </c>
      <c r="F271" s="217">
        <f t="shared" si="761"/>
        <v>0.55000000000000004</v>
      </c>
      <c r="G271" s="217"/>
      <c r="H271" s="217">
        <f t="shared" si="726"/>
        <v>13.200000000000001</v>
      </c>
      <c r="I271" s="541">
        <f t="shared" si="727"/>
        <v>35.903875081274414</v>
      </c>
      <c r="J271" s="172">
        <f t="shared" si="728"/>
        <v>16.359827822414388</v>
      </c>
      <c r="K271" s="172">
        <f t="shared" si="729"/>
        <v>52.263702903688802</v>
      </c>
      <c r="L271" s="443"/>
      <c r="M271" s="217">
        <f t="shared" si="730"/>
        <v>0.31302715633814049</v>
      </c>
      <c r="N271" s="172">
        <f t="shared" si="731"/>
        <v>63.045166159867591</v>
      </c>
      <c r="O271" s="172">
        <f t="shared" si="762"/>
        <v>13.200000000000001</v>
      </c>
      <c r="P271" s="217">
        <f t="shared" si="732"/>
        <v>2.6268819233278164</v>
      </c>
      <c r="Q271" s="217">
        <f t="shared" si="733"/>
        <v>24</v>
      </c>
      <c r="R271" s="217"/>
      <c r="S271" s="172">
        <f t="shared" si="734"/>
        <v>308.92348925456599</v>
      </c>
      <c r="T271" s="172">
        <f t="shared" si="735"/>
        <v>24</v>
      </c>
      <c r="U271" s="217">
        <f t="shared" si="736"/>
        <v>2.4006413463202438</v>
      </c>
      <c r="V271" s="217">
        <f t="shared" si="737"/>
        <v>0.66863015228467448</v>
      </c>
      <c r="W271" s="217">
        <f t="shared" si="738"/>
        <v>1.4674001293773742</v>
      </c>
      <c r="X271" s="197">
        <f t="shared" si="739"/>
        <v>350</v>
      </c>
      <c r="Y271" s="443">
        <f t="shared" si="680"/>
        <v>350</v>
      </c>
      <c r="AA271" s="217">
        <f t="shared" si="740"/>
        <v>3.2110852238778729</v>
      </c>
      <c r="AB271" s="173">
        <f t="shared" si="741"/>
        <v>1.962786686225638</v>
      </c>
      <c r="AC271" s="173">
        <f t="shared" si="742"/>
        <v>0.73567977739972834</v>
      </c>
      <c r="AD271" s="173"/>
      <c r="AE271" s="173">
        <f t="shared" si="743"/>
        <v>1.3583408372902219</v>
      </c>
      <c r="AF271" s="545">
        <f t="shared" si="744"/>
        <v>546.34957233025546</v>
      </c>
      <c r="AG271" s="528">
        <f t="shared" si="745"/>
        <v>0.35233852051711373</v>
      </c>
      <c r="AI271" s="173">
        <f t="shared" si="746"/>
        <v>2.7764430376234315</v>
      </c>
      <c r="AJ271" s="173">
        <f t="shared" si="747"/>
        <v>2.7764430376234315</v>
      </c>
      <c r="AK271" s="173">
        <f t="shared" si="748"/>
        <v>1.6105339373342289</v>
      </c>
      <c r="AM271" s="545">
        <f t="shared" si="749"/>
        <v>550</v>
      </c>
      <c r="AN271" s="460">
        <f t="shared" si="750"/>
        <v>350</v>
      </c>
      <c r="AP271">
        <f t="shared" si="751"/>
        <v>550</v>
      </c>
      <c r="AQ271">
        <f t="shared" si="752"/>
        <v>350</v>
      </c>
      <c r="AS271" s="5">
        <f t="shared" si="763"/>
        <v>2.8571428571428572</v>
      </c>
      <c r="AT271" s="5">
        <f t="shared" si="753"/>
        <v>0.77329899108062561</v>
      </c>
      <c r="AU271" s="5">
        <f t="shared" si="722"/>
        <v>2.0838438660622316</v>
      </c>
      <c r="AV271" s="5"/>
      <c r="AW271" s="173">
        <f t="shared" si="723"/>
        <v>0.27065464687821894</v>
      </c>
      <c r="AX271" s="173">
        <f t="shared" si="631"/>
        <v>13.49011289704335</v>
      </c>
      <c r="AY271" s="173">
        <f t="shared" si="632"/>
        <v>0.67533277353727372</v>
      </c>
      <c r="AZ271" s="173">
        <f t="shared" si="633"/>
        <v>19.975504559603294</v>
      </c>
      <c r="BA271" s="460">
        <f t="shared" si="724"/>
        <v>1.7721435212264338</v>
      </c>
      <c r="BB271" s="5">
        <f t="shared" si="725"/>
        <v>0.63843477827382511</v>
      </c>
      <c r="BD271" s="173">
        <f t="shared" si="681"/>
        <v>0.83394207204287096</v>
      </c>
      <c r="BE271" s="173">
        <f t="shared" si="682"/>
        <v>0.91310471315179986</v>
      </c>
      <c r="BG271" s="528">
        <f t="shared" si="683"/>
        <v>2.781837518092628E-2</v>
      </c>
      <c r="BH271" s="528">
        <f t="shared" si="754"/>
        <v>1.1427191531230096</v>
      </c>
      <c r="BI271" s="528">
        <f t="shared" si="755"/>
        <v>0.50265425113784179</v>
      </c>
      <c r="BJ271" s="528">
        <f t="shared" si="684"/>
        <v>0.16730404677380925</v>
      </c>
      <c r="BK271">
        <f t="shared" si="685"/>
        <v>1.6156743786573485E-2</v>
      </c>
      <c r="BL271" s="460">
        <f t="shared" si="686"/>
        <v>518.81099492441524</v>
      </c>
      <c r="BM271" s="528">
        <f t="shared" si="756"/>
        <v>1.3543040063577905</v>
      </c>
      <c r="BN271" s="460">
        <f t="shared" si="687"/>
        <v>1354.3040063577905</v>
      </c>
      <c r="BO271" s="528">
        <f t="shared" si="637"/>
        <v>0.38500000000000001</v>
      </c>
      <c r="BR271" s="460">
        <f t="shared" si="688"/>
        <v>385</v>
      </c>
      <c r="BS271" s="528">
        <f t="shared" si="689"/>
        <v>2.0863781385694707E-2</v>
      </c>
      <c r="BT271" s="528">
        <f t="shared" si="690"/>
        <v>2.5012806515400918E-2</v>
      </c>
      <c r="BU271" s="528">
        <f t="shared" si="691"/>
        <v>1.4718448569831091</v>
      </c>
      <c r="BV271" s="528"/>
      <c r="BW271" s="528">
        <f t="shared" si="692"/>
        <v>0.53960451588173397</v>
      </c>
      <c r="BX271" s="460">
        <f t="shared" si="693"/>
        <v>2057.3259607659384</v>
      </c>
      <c r="BY271" s="173">
        <f t="shared" si="694"/>
        <v>4.2989785307680997</v>
      </c>
      <c r="BZ271" s="5">
        <f t="shared" si="695"/>
        <v>13.200000000000001</v>
      </c>
      <c r="CA271" s="173">
        <f t="shared" si="696"/>
        <v>0.7543297442642557</v>
      </c>
      <c r="CB271" s="5">
        <f t="shared" si="697"/>
        <v>75.432974426425574</v>
      </c>
      <c r="CE271" s="562">
        <f t="shared" si="757"/>
        <v>-50</v>
      </c>
      <c r="CF271">
        <f t="shared" si="758"/>
        <v>-50</v>
      </c>
      <c r="CG271" s="173">
        <f t="shared" si="759"/>
        <v>0.60048050178400381</v>
      </c>
      <c r="CI271" s="170">
        <v>55</v>
      </c>
      <c r="CJ271" s="217">
        <f t="shared" si="698"/>
        <v>0.55000000000000004</v>
      </c>
      <c r="CK271" s="217"/>
      <c r="CL271" s="217">
        <f t="shared" si="641"/>
        <v>13.200000000000001</v>
      </c>
      <c r="CM271" s="541">
        <f t="shared" si="642"/>
        <v>36</v>
      </c>
      <c r="CN271" s="443">
        <f t="shared" si="643"/>
        <v>16.3415</v>
      </c>
      <c r="CO271" s="443">
        <f t="shared" si="644"/>
        <v>52.341499999999996</v>
      </c>
      <c r="CP271" s="443"/>
      <c r="CQ271" s="217">
        <f t="shared" si="645"/>
        <v>0.31220924123305599</v>
      </c>
      <c r="CR271" s="172">
        <f t="shared" si="646"/>
        <v>63.048783011568261</v>
      </c>
      <c r="CS271" s="172">
        <f t="shared" si="647"/>
        <v>13.200000000000001</v>
      </c>
      <c r="CT271" s="217">
        <f t="shared" si="648"/>
        <v>2.6270326254820109</v>
      </c>
      <c r="CU271" s="217">
        <f t="shared" si="649"/>
        <v>24</v>
      </c>
      <c r="CV271" s="217"/>
      <c r="CW271" s="172">
        <f t="shared" si="650"/>
        <v>309.75033314961553</v>
      </c>
      <c r="CX271" s="172">
        <f t="shared" si="651"/>
        <v>24</v>
      </c>
      <c r="CY271" s="217">
        <f t="shared" si="652"/>
        <v>2.3488521045599651</v>
      </c>
      <c r="CZ271" s="217">
        <f t="shared" si="653"/>
        <v>0.65245891793332378</v>
      </c>
      <c r="DA271" s="217">
        <f t="shared" si="654"/>
        <v>1.4373540400575011</v>
      </c>
      <c r="DB271" s="197">
        <f t="shared" si="655"/>
        <v>350</v>
      </c>
      <c r="DC271" s="443">
        <f t="shared" si="656"/>
        <v>350</v>
      </c>
      <c r="DE271" s="217">
        <f t="shared" si="657"/>
        <v>3.211295052682861</v>
      </c>
      <c r="DF271" s="173">
        <f t="shared" si="658"/>
        <v>1.96511645361984</v>
      </c>
      <c r="DG271" s="173">
        <f t="shared" si="659"/>
        <v>0.73660113681324435</v>
      </c>
      <c r="DH271" s="173"/>
      <c r="DI271" s="173">
        <f t="shared" si="660"/>
        <v>1.3598642855443031</v>
      </c>
      <c r="DJ271" s="545">
        <f t="shared" si="661"/>
        <v>545.73749999999984</v>
      </c>
      <c r="DK271" s="528">
        <f t="shared" si="662"/>
        <v>0.35273368606701955</v>
      </c>
      <c r="DM271" s="173">
        <f t="shared" si="663"/>
        <v>2.7748873851023212</v>
      </c>
      <c r="DN271" s="173">
        <f t="shared" si="664"/>
        <v>2.7748873851023212</v>
      </c>
      <c r="DO271" s="173">
        <f t="shared" si="665"/>
        <v>1.6093816021334066</v>
      </c>
      <c r="DQ271" s="545">
        <f t="shared" si="666"/>
        <v>550</v>
      </c>
      <c r="DR271" s="460">
        <f t="shared" si="667"/>
        <v>350</v>
      </c>
      <c r="DT271">
        <f t="shared" si="668"/>
        <v>550</v>
      </c>
      <c r="DU271">
        <f t="shared" si="669"/>
        <v>350</v>
      </c>
      <c r="DW271" s="5">
        <f t="shared" si="670"/>
        <v>2.8571428571428572</v>
      </c>
      <c r="DX271" s="5">
        <f t="shared" si="671"/>
        <v>0.77080205141731151</v>
      </c>
      <c r="DY271" s="5">
        <f t="shared" si="672"/>
        <v>2.0863408057255457</v>
      </c>
      <c r="DZ271" s="5"/>
      <c r="EA271" s="173">
        <f t="shared" si="673"/>
        <v>0.26978071799605902</v>
      </c>
      <c r="EB271" s="173">
        <f t="shared" si="699"/>
        <v>13.474999999999998</v>
      </c>
      <c r="EC271" s="173">
        <f t="shared" si="700"/>
        <v>0.67576313737606875</v>
      </c>
      <c r="ED271" s="173">
        <f t="shared" si="701"/>
        <v>19.940418846050534</v>
      </c>
      <c r="EE271" s="460">
        <f t="shared" si="674"/>
        <v>1.766421367831339</v>
      </c>
      <c r="EF271" s="5">
        <f t="shared" si="675"/>
        <v>0.63749302397169438</v>
      </c>
      <c r="EH271" s="173">
        <f t="shared" si="702"/>
        <v>0.83212810082936439</v>
      </c>
      <c r="EI271" s="173">
        <f t="shared" si="703"/>
        <v>0.91313968470805429</v>
      </c>
      <c r="EK271" s="528">
        <f t="shared" si="704"/>
        <v>2.7697487047595396E-2</v>
      </c>
      <c r="EL271" s="528">
        <f t="shared" si="705"/>
        <v>1.3979520176480815</v>
      </c>
      <c r="EM271" s="528">
        <f t="shared" si="706"/>
        <v>6.9999999999999993E-2</v>
      </c>
      <c r="EN271" s="528">
        <f t="shared" si="707"/>
        <v>0.16780249811281248</v>
      </c>
      <c r="EO271">
        <f t="shared" si="708"/>
        <v>1.6199999999999999E-2</v>
      </c>
      <c r="EP271" s="460">
        <f t="shared" si="709"/>
        <v>86.2</v>
      </c>
      <c r="EQ271" s="460"/>
      <c r="ER271" s="460">
        <f t="shared" si="710"/>
        <v>1679.6520028084897</v>
      </c>
      <c r="ES271" s="528">
        <f t="shared" si="711"/>
        <v>0.38500000000000001</v>
      </c>
      <c r="EV271" s="460">
        <f t="shared" si="712"/>
        <v>385</v>
      </c>
      <c r="EW271" s="528">
        <f t="shared" si="713"/>
        <v>2.0773115285696545E-2</v>
      </c>
      <c r="EX271" s="528">
        <f t="shared" si="714"/>
        <v>2.5014722513661741E-2</v>
      </c>
      <c r="EY271" s="528">
        <f t="shared" si="715"/>
        <v>1.469784021379998</v>
      </c>
      <c r="EZ271" s="528"/>
      <c r="FA271" s="528">
        <f t="shared" si="716"/>
        <v>0.53900000000000003</v>
      </c>
      <c r="FB271" s="460">
        <f t="shared" si="717"/>
        <v>2054.5718591793561</v>
      </c>
      <c r="FC271" s="173">
        <f t="shared" si="718"/>
        <v>4.1192238619878463</v>
      </c>
      <c r="FD271" s="5">
        <f t="shared" si="719"/>
        <v>13.200000000000001</v>
      </c>
      <c r="FE271" s="173">
        <f t="shared" si="720"/>
        <v>0.76215886492300045</v>
      </c>
      <c r="FF271" s="5">
        <f t="shared" si="721"/>
        <v>76.215886492300044</v>
      </c>
      <c r="FI271" s="562">
        <f t="shared" si="676"/>
        <v>-50</v>
      </c>
      <c r="FJ271">
        <f t="shared" si="677"/>
        <v>-50</v>
      </c>
      <c r="FL271">
        <f t="shared" si="760"/>
        <v>0.59432156459677055</v>
      </c>
    </row>
    <row r="272" spans="5:168">
      <c r="E272" s="170">
        <v>56</v>
      </c>
      <c r="F272" s="217">
        <f t="shared" si="761"/>
        <v>0.56000000000000005</v>
      </c>
      <c r="G272" s="217"/>
      <c r="H272" s="217">
        <f t="shared" si="726"/>
        <v>13.440000000000001</v>
      </c>
      <c r="I272" s="541">
        <f t="shared" si="727"/>
        <v>35.903005154776146</v>
      </c>
      <c r="J272" s="172">
        <f t="shared" si="728"/>
        <v>16.359993688441484</v>
      </c>
      <c r="K272" s="172">
        <f t="shared" si="729"/>
        <v>52.26299884321763</v>
      </c>
      <c r="L272" s="443"/>
      <c r="M272" s="217">
        <f t="shared" si="730"/>
        <v>0.31303456952673636</v>
      </c>
      <c r="N272" s="172">
        <f t="shared" si="731"/>
        <v>63.0451316337846</v>
      </c>
      <c r="O272" s="172">
        <f t="shared" si="762"/>
        <v>13.440000000000001</v>
      </c>
      <c r="P272" s="217">
        <f t="shared" si="732"/>
        <v>2.626880484741025</v>
      </c>
      <c r="Q272" s="217">
        <f t="shared" si="733"/>
        <v>24</v>
      </c>
      <c r="R272" s="217"/>
      <c r="S272" s="172">
        <f t="shared" si="734"/>
        <v>302.44185422014527</v>
      </c>
      <c r="T272" s="172">
        <f t="shared" si="735"/>
        <v>24</v>
      </c>
      <c r="U272" s="217">
        <f t="shared" si="736"/>
        <v>2.4443157476400219</v>
      </c>
      <c r="V272" s="217">
        <f t="shared" si="737"/>
        <v>0.68081090624662022</v>
      </c>
      <c r="W272" s="217">
        <f t="shared" si="738"/>
        <v>1.4940811067469777</v>
      </c>
      <c r="X272" s="197">
        <f t="shared" si="739"/>
        <v>350</v>
      </c>
      <c r="Y272" s="443">
        <f t="shared" si="680"/>
        <v>350</v>
      </c>
      <c r="AA272" s="217">
        <f t="shared" si="740"/>
        <v>3.2110832341320705</v>
      </c>
      <c r="AB272" s="173">
        <f t="shared" si="741"/>
        <v>1.9627655702585851</v>
      </c>
      <c r="AC272" s="173">
        <f t="shared" si="742"/>
        <v>0.73567140698293765</v>
      </c>
      <c r="AD272" s="173"/>
      <c r="AE272" s="173">
        <f t="shared" si="743"/>
        <v>1.3583270657324562</v>
      </c>
      <c r="AF272" s="545">
        <f t="shared" si="744"/>
        <v>556.28884086034896</v>
      </c>
      <c r="AG272" s="528">
        <f t="shared" si="745"/>
        <v>0.35233494832804663</v>
      </c>
      <c r="AI272" s="173">
        <f t="shared" si="746"/>
        <v>2.8015839330965653</v>
      </c>
      <c r="AJ272" s="173">
        <f t="shared" si="747"/>
        <v>2.8015839330965653</v>
      </c>
      <c r="AK272" s="173">
        <f t="shared" si="748"/>
        <v>1.6291568228698836</v>
      </c>
      <c r="AM272" s="545">
        <f t="shared" si="749"/>
        <v>560</v>
      </c>
      <c r="AN272" s="460">
        <f t="shared" si="750"/>
        <v>350</v>
      </c>
      <c r="AP272">
        <f t="shared" si="751"/>
        <v>560</v>
      </c>
      <c r="AQ272">
        <f t="shared" si="752"/>
        <v>350</v>
      </c>
      <c r="AS272" s="5">
        <f t="shared" si="763"/>
        <v>2.8571428571428572</v>
      </c>
      <c r="AT272" s="5">
        <f t="shared" si="753"/>
        <v>0.7803201768261655</v>
      </c>
      <c r="AU272" s="5">
        <f t="shared" si="722"/>
        <v>2.0768226803166918</v>
      </c>
      <c r="AV272" s="5"/>
      <c r="AW272" s="173">
        <f t="shared" si="723"/>
        <v>0.27311206188915793</v>
      </c>
      <c r="AX272" s="173">
        <f t="shared" si="631"/>
        <v>13.735526934823435</v>
      </c>
      <c r="AY272" s="173">
        <f t="shared" si="632"/>
        <v>0.67915192911910405</v>
      </c>
      <c r="AZ272" s="173">
        <f t="shared" si="633"/>
        <v>20.224527599647899</v>
      </c>
      <c r="BA272" s="460">
        <f t="shared" si="724"/>
        <v>1.8207470792610529</v>
      </c>
      <c r="BB272" s="5">
        <f t="shared" si="725"/>
        <v>0.64786816366129829</v>
      </c>
      <c r="BD272" s="173">
        <f t="shared" si="681"/>
        <v>0.84530502607370395</v>
      </c>
      <c r="BE272" s="173">
        <f t="shared" si="682"/>
        <v>0.91981942269314654</v>
      </c>
      <c r="BG272" s="528">
        <f t="shared" si="683"/>
        <v>2.8581623484218614E-2</v>
      </c>
      <c r="BH272" s="528">
        <f t="shared" si="754"/>
        <v>1.1530510256049975</v>
      </c>
      <c r="BI272" s="528">
        <f t="shared" si="755"/>
        <v>0.50264207216686607</v>
      </c>
      <c r="BJ272" s="528">
        <f t="shared" si="684"/>
        <v>0.16729953919527774</v>
      </c>
      <c r="BK272">
        <f t="shared" si="685"/>
        <v>1.6156352319649264E-2</v>
      </c>
      <c r="BL272" s="460">
        <f t="shared" si="686"/>
        <v>518.79842448651539</v>
      </c>
      <c r="BM272" s="528">
        <f t="shared" si="756"/>
        <v>1.3659252162176709</v>
      </c>
      <c r="BN272" s="460">
        <f t="shared" si="687"/>
        <v>1365.9252162176708</v>
      </c>
      <c r="BO272" s="528">
        <f t="shared" si="637"/>
        <v>0.39200000000000002</v>
      </c>
      <c r="BR272" s="460">
        <f t="shared" si="688"/>
        <v>392</v>
      </c>
      <c r="BS272" s="528">
        <f t="shared" si="689"/>
        <v>2.1436217613163958E-2</v>
      </c>
      <c r="BT272" s="528">
        <f t="shared" si="690"/>
        <v>2.5382033110906602E-2</v>
      </c>
      <c r="BU272" s="528">
        <f t="shared" si="691"/>
        <v>1.5053906366636538</v>
      </c>
      <c r="BV272" s="528"/>
      <c r="BW272" s="528">
        <f t="shared" si="692"/>
        <v>0.54942107739293744</v>
      </c>
      <c r="BX272" s="460">
        <f t="shared" si="693"/>
        <v>2101.6299647806618</v>
      </c>
      <c r="BY272" s="173">
        <f t="shared" si="694"/>
        <v>4.3613605775516708</v>
      </c>
      <c r="BZ272" s="5">
        <f t="shared" si="695"/>
        <v>13.440000000000001</v>
      </c>
      <c r="CA272" s="173">
        <f t="shared" si="696"/>
        <v>0.75499847000169495</v>
      </c>
      <c r="CB272" s="5">
        <f t="shared" si="697"/>
        <v>75.499847000169495</v>
      </c>
      <c r="CE272" s="562">
        <f t="shared" si="757"/>
        <v>-50</v>
      </c>
      <c r="CF272">
        <f t="shared" si="758"/>
        <v>-50</v>
      </c>
      <c r="CG272" s="173">
        <f t="shared" si="759"/>
        <v>0.60591482523648887</v>
      </c>
      <c r="CI272" s="170">
        <v>56</v>
      </c>
      <c r="CJ272" s="217">
        <f t="shared" si="698"/>
        <v>0.56000000000000005</v>
      </c>
      <c r="CK272" s="217"/>
      <c r="CL272" s="217">
        <f t="shared" si="641"/>
        <v>13.440000000000001</v>
      </c>
      <c r="CM272" s="541">
        <f t="shared" si="642"/>
        <v>36</v>
      </c>
      <c r="CN272" s="443">
        <f t="shared" si="643"/>
        <v>16.3415</v>
      </c>
      <c r="CO272" s="443">
        <f t="shared" si="644"/>
        <v>52.341499999999996</v>
      </c>
      <c r="CP272" s="443"/>
      <c r="CQ272" s="217">
        <f t="shared" si="645"/>
        <v>0.31220924123305599</v>
      </c>
      <c r="CR272" s="172">
        <f t="shared" si="646"/>
        <v>63.048783011568261</v>
      </c>
      <c r="CS272" s="172">
        <f t="shared" si="647"/>
        <v>13.440000000000001</v>
      </c>
      <c r="CT272" s="217">
        <f t="shared" si="648"/>
        <v>2.6270326254820109</v>
      </c>
      <c r="CU272" s="217">
        <f t="shared" si="649"/>
        <v>24</v>
      </c>
      <c r="CV272" s="217"/>
      <c r="CW272" s="172">
        <f t="shared" si="650"/>
        <v>303.25868557586983</v>
      </c>
      <c r="CX272" s="172">
        <f t="shared" si="651"/>
        <v>24</v>
      </c>
      <c r="CY272" s="217">
        <f t="shared" si="652"/>
        <v>2.3915585064610556</v>
      </c>
      <c r="CZ272" s="217">
        <f t="shared" si="653"/>
        <v>0.66432180735029323</v>
      </c>
      <c r="DA272" s="217">
        <f t="shared" si="654"/>
        <v>1.4634877498767287</v>
      </c>
      <c r="DB272" s="197">
        <f t="shared" si="655"/>
        <v>350</v>
      </c>
      <c r="DC272" s="443">
        <f t="shared" si="656"/>
        <v>350</v>
      </c>
      <c r="DE272" s="217">
        <f t="shared" si="657"/>
        <v>3.211295052682861</v>
      </c>
      <c r="DF272" s="173">
        <f t="shared" si="658"/>
        <v>1.96511645361984</v>
      </c>
      <c r="DG272" s="173">
        <f t="shared" si="659"/>
        <v>0.73660113681324435</v>
      </c>
      <c r="DH272" s="173"/>
      <c r="DI272" s="173">
        <f t="shared" si="660"/>
        <v>1.3598642855443031</v>
      </c>
      <c r="DJ272" s="545">
        <f t="shared" si="661"/>
        <v>555.65999999999985</v>
      </c>
      <c r="DK272" s="528">
        <f t="shared" si="662"/>
        <v>0.35273368606701955</v>
      </c>
      <c r="DM272" s="173">
        <f t="shared" si="663"/>
        <v>2.8</v>
      </c>
      <c r="DN272" s="173">
        <f t="shared" si="664"/>
        <v>2.8</v>
      </c>
      <c r="DO272" s="173">
        <f t="shared" si="665"/>
        <v>1.62798353909465</v>
      </c>
      <c r="DQ272" s="545">
        <f t="shared" si="666"/>
        <v>560</v>
      </c>
      <c r="DR272" s="460">
        <f t="shared" si="667"/>
        <v>350</v>
      </c>
      <c r="DT272">
        <f t="shared" si="668"/>
        <v>560</v>
      </c>
      <c r="DU272">
        <f t="shared" si="669"/>
        <v>350</v>
      </c>
      <c r="DW272" s="5">
        <f t="shared" si="670"/>
        <v>2.8571428571428572</v>
      </c>
      <c r="DX272" s="5">
        <f t="shared" si="671"/>
        <v>0.77777777777777779</v>
      </c>
      <c r="DY272" s="5">
        <f t="shared" si="672"/>
        <v>2.0793650793650795</v>
      </c>
      <c r="DZ272" s="5"/>
      <c r="EA272" s="173">
        <f t="shared" si="673"/>
        <v>0.2722222222222222</v>
      </c>
      <c r="EB272" s="173">
        <f t="shared" si="699"/>
        <v>13.719999999999999</v>
      </c>
      <c r="EC272" s="173">
        <f t="shared" si="700"/>
        <v>0.67959888888888897</v>
      </c>
      <c r="ED272" s="173">
        <f t="shared" si="701"/>
        <v>20.188379092896295</v>
      </c>
      <c r="EE272" s="460">
        <f t="shared" si="674"/>
        <v>1.8148148148148149</v>
      </c>
      <c r="EF272" s="5">
        <f t="shared" si="675"/>
        <v>0.64691358024691359</v>
      </c>
      <c r="EH272" s="173">
        <f t="shared" si="702"/>
        <v>0.84344970650739293</v>
      </c>
      <c r="EI272" s="173">
        <f t="shared" si="703"/>
        <v>0.91986190445047733</v>
      </c>
      <c r="EK272" s="528">
        <f t="shared" si="704"/>
        <v>2.8456296296296292E-2</v>
      </c>
      <c r="EL272" s="528">
        <f t="shared" si="705"/>
        <v>1.4106034250000001</v>
      </c>
      <c r="EM272" s="528">
        <f t="shared" si="706"/>
        <v>6.9999999999999993E-2</v>
      </c>
      <c r="EN272" s="528">
        <f t="shared" si="707"/>
        <v>0.16780249811281248</v>
      </c>
      <c r="EO272">
        <f t="shared" si="708"/>
        <v>1.6199999999999999E-2</v>
      </c>
      <c r="EP272" s="460">
        <f t="shared" si="709"/>
        <v>86.2</v>
      </c>
      <c r="EQ272" s="460"/>
      <c r="ER272" s="460">
        <f t="shared" si="710"/>
        <v>1693.062219409109</v>
      </c>
      <c r="ES272" s="528">
        <f t="shared" si="711"/>
        <v>0.39200000000000002</v>
      </c>
      <c r="EV272" s="460">
        <f t="shared" si="712"/>
        <v>392</v>
      </c>
      <c r="EW272" s="528">
        <f t="shared" si="713"/>
        <v>2.1342222222222217E-2</v>
      </c>
      <c r="EX272" s="528">
        <f t="shared" si="714"/>
        <v>2.5384377697777773E-2</v>
      </c>
      <c r="EY272" s="528">
        <f t="shared" si="715"/>
        <v>1.503263779913556</v>
      </c>
      <c r="EZ272" s="528"/>
      <c r="FA272" s="528">
        <f t="shared" si="716"/>
        <v>0.54879999999999984</v>
      </c>
      <c r="FB272" s="460">
        <f t="shared" si="717"/>
        <v>2098.790379833556</v>
      </c>
      <c r="FC272" s="173">
        <f t="shared" si="718"/>
        <v>4.1838525992426643</v>
      </c>
      <c r="FD272" s="5">
        <f t="shared" si="719"/>
        <v>13.440000000000001</v>
      </c>
      <c r="FE272" s="173">
        <f t="shared" si="720"/>
        <v>0.76260283750770508</v>
      </c>
      <c r="FF272" s="5">
        <f t="shared" si="721"/>
        <v>76.260283750770512</v>
      </c>
      <c r="FI272" s="562">
        <f t="shared" si="676"/>
        <v>-50</v>
      </c>
      <c r="FJ272">
        <f t="shared" si="677"/>
        <v>-50</v>
      </c>
      <c r="FL272">
        <f t="shared" si="760"/>
        <v>0.59970014992503751</v>
      </c>
    </row>
    <row r="273" spans="5:168">
      <c r="E273" s="170">
        <v>57</v>
      </c>
      <c r="F273" s="217">
        <f t="shared" si="761"/>
        <v>0.56999999999999995</v>
      </c>
      <c r="G273" s="217"/>
      <c r="H273" s="217">
        <f t="shared" si="726"/>
        <v>13.68</v>
      </c>
      <c r="I273" s="541">
        <f t="shared" si="727"/>
        <v>35.9021429614182</v>
      </c>
      <c r="J273" s="172">
        <f t="shared" si="728"/>
        <v>16.360158080016124</v>
      </c>
      <c r="K273" s="172">
        <f t="shared" si="729"/>
        <v>52.262301041434327</v>
      </c>
      <c r="L273" s="443"/>
      <c r="M273" s="217">
        <f t="shared" si="730"/>
        <v>0.31304191701299844</v>
      </c>
      <c r="N273" s="172">
        <f t="shared" si="731"/>
        <v>63.045097382823052</v>
      </c>
      <c r="O273" s="172">
        <f t="shared" si="762"/>
        <v>13.68</v>
      </c>
      <c r="P273" s="217">
        <f t="shared" si="732"/>
        <v>2.6268790576176273</v>
      </c>
      <c r="Q273" s="217">
        <f t="shared" si="733"/>
        <v>24</v>
      </c>
      <c r="R273" s="217"/>
      <c r="S273" s="172">
        <f t="shared" si="734"/>
        <v>296.18783139887404</v>
      </c>
      <c r="T273" s="172">
        <f t="shared" si="735"/>
        <v>24</v>
      </c>
      <c r="U273" s="217">
        <f t="shared" si="736"/>
        <v>2.4879908536118012</v>
      </c>
      <c r="V273" s="217">
        <f t="shared" si="737"/>
        <v>0.69299229750310176</v>
      </c>
      <c r="W273" s="217">
        <f t="shared" si="738"/>
        <v>1.5207621108813572</v>
      </c>
      <c r="X273" s="197">
        <f t="shared" si="739"/>
        <v>350</v>
      </c>
      <c r="Y273" s="443">
        <f t="shared" si="680"/>
        <v>350</v>
      </c>
      <c r="AA273" s="217">
        <f t="shared" si="740"/>
        <v>3.2110812604643666</v>
      </c>
      <c r="AB273" s="173">
        <f t="shared" si="741"/>
        <v>1.9627446414388205</v>
      </c>
      <c r="AC273" s="173">
        <f t="shared" si="742"/>
        <v>0.73566311040479249</v>
      </c>
      <c r="AD273" s="173"/>
      <c r="AE273" s="173">
        <f t="shared" si="743"/>
        <v>1.358313416871356</v>
      </c>
      <c r="AF273" s="545">
        <f t="shared" si="744"/>
        <v>566.22825978586513</v>
      </c>
      <c r="AG273" s="528">
        <f t="shared" si="745"/>
        <v>0.35233140796513129</v>
      </c>
      <c r="AI273" s="173">
        <f t="shared" si="746"/>
        <v>2.8265015919300813</v>
      </c>
      <c r="AJ273" s="173">
        <f t="shared" si="747"/>
        <v>2.8265015919300813</v>
      </c>
      <c r="AK273" s="173">
        <f t="shared" si="748"/>
        <v>1.6476143479317473</v>
      </c>
      <c r="AM273" s="545">
        <f t="shared" si="749"/>
        <v>570</v>
      </c>
      <c r="AN273" s="460">
        <f t="shared" si="750"/>
        <v>350</v>
      </c>
      <c r="AP273">
        <f t="shared" si="751"/>
        <v>570</v>
      </c>
      <c r="AQ273">
        <f t="shared" si="752"/>
        <v>350</v>
      </c>
      <c r="AS273" s="5">
        <f t="shared" si="763"/>
        <v>2.8571428571428572</v>
      </c>
      <c r="AT273" s="5">
        <f t="shared" si="753"/>
        <v>0.78727935403954763</v>
      </c>
      <c r="AU273" s="5">
        <f t="shared" si="722"/>
        <v>2.0698635031033095</v>
      </c>
      <c r="AV273" s="5"/>
      <c r="AW273" s="173">
        <f t="shared" si="723"/>
        <v>0.27554777391384166</v>
      </c>
      <c r="AX273" s="173">
        <f t="shared" si="631"/>
        <v>13.98094468607075</v>
      </c>
      <c r="AY273" s="173">
        <f t="shared" si="632"/>
        <v>0.68289640099832427</v>
      </c>
      <c r="AZ273" s="173">
        <f t="shared" si="633"/>
        <v>20.473009764924882</v>
      </c>
      <c r="BA273" s="460">
        <f t="shared" si="724"/>
        <v>1.8697884658439254</v>
      </c>
      <c r="BB273" s="5">
        <f t="shared" si="725"/>
        <v>0.65724332836441979</v>
      </c>
      <c r="BD273" s="173">
        <f t="shared" si="681"/>
        <v>0.85661773276502673</v>
      </c>
      <c r="BE273" s="173">
        <f t="shared" si="682"/>
        <v>0.92644430627770713</v>
      </c>
      <c r="BG273" s="528">
        <f t="shared" si="683"/>
        <v>2.9351757603499791E-2</v>
      </c>
      <c r="BH273" s="528">
        <f t="shared" si="754"/>
        <v>1.1632908820959031</v>
      </c>
      <c r="BI273" s="528">
        <f t="shared" si="755"/>
        <v>0.50263000145985481</v>
      </c>
      <c r="BJ273" s="528">
        <f t="shared" si="684"/>
        <v>0.16729507174641231</v>
      </c>
      <c r="BK273">
        <f t="shared" si="685"/>
        <v>1.615596433263819E-2</v>
      </c>
      <c r="BL273" s="460">
        <f t="shared" si="686"/>
        <v>518.78596579249302</v>
      </c>
      <c r="BM273" s="528">
        <f t="shared" si="756"/>
        <v>1.3774691248290896</v>
      </c>
      <c r="BN273" s="460">
        <f t="shared" si="687"/>
        <v>1377.4691248290897</v>
      </c>
      <c r="BO273" s="528">
        <f t="shared" si="637"/>
        <v>0.39899999999999997</v>
      </c>
      <c r="BR273" s="460">
        <f t="shared" si="688"/>
        <v>398.99999999999994</v>
      </c>
      <c r="BS273" s="528">
        <f t="shared" si="689"/>
        <v>2.2013818202624841E-2</v>
      </c>
      <c r="BT273" s="528">
        <f t="shared" si="690"/>
        <v>2.5748971579031461E-2</v>
      </c>
      <c r="BU273" s="528">
        <f t="shared" si="691"/>
        <v>1.5390871109522659</v>
      </c>
      <c r="BV273" s="528"/>
      <c r="BW273" s="528">
        <f t="shared" si="692"/>
        <v>0.55923778744282993</v>
      </c>
      <c r="BX273" s="460">
        <f t="shared" si="693"/>
        <v>2146.0876881767522</v>
      </c>
      <c r="BY273" s="173">
        <f t="shared" si="694"/>
        <v>4.4238113654150606</v>
      </c>
      <c r="BZ273" s="5">
        <f t="shared" si="695"/>
        <v>13.68</v>
      </c>
      <c r="CA273" s="173">
        <f t="shared" si="696"/>
        <v>0.75564198741784461</v>
      </c>
      <c r="CB273" s="5">
        <f t="shared" si="697"/>
        <v>75.564198741784466</v>
      </c>
      <c r="CE273" s="562">
        <f t="shared" si="757"/>
        <v>-50</v>
      </c>
      <c r="CF273">
        <f t="shared" si="758"/>
        <v>-50</v>
      </c>
      <c r="CG273" s="173">
        <f t="shared" si="759"/>
        <v>0.61130084071589541</v>
      </c>
      <c r="CI273" s="170">
        <v>57</v>
      </c>
      <c r="CJ273" s="217">
        <f t="shared" si="698"/>
        <v>0.56999999999999995</v>
      </c>
      <c r="CK273" s="217"/>
      <c r="CL273" s="217">
        <f t="shared" si="641"/>
        <v>13.68</v>
      </c>
      <c r="CM273" s="541">
        <f t="shared" si="642"/>
        <v>36</v>
      </c>
      <c r="CN273" s="443">
        <f t="shared" si="643"/>
        <v>16.3415</v>
      </c>
      <c r="CO273" s="443">
        <f t="shared" si="644"/>
        <v>52.341499999999996</v>
      </c>
      <c r="CP273" s="443"/>
      <c r="CQ273" s="217">
        <f t="shared" si="645"/>
        <v>0.31220924123305599</v>
      </c>
      <c r="CR273" s="172">
        <f t="shared" si="646"/>
        <v>63.048783011568261</v>
      </c>
      <c r="CS273" s="172">
        <f t="shared" si="647"/>
        <v>13.68</v>
      </c>
      <c r="CT273" s="217">
        <f t="shared" si="648"/>
        <v>2.6270326254820109</v>
      </c>
      <c r="CU273" s="217">
        <f t="shared" si="649"/>
        <v>24</v>
      </c>
      <c r="CV273" s="217"/>
      <c r="CW273" s="172">
        <f t="shared" si="650"/>
        <v>296.99489199376308</v>
      </c>
      <c r="CX273" s="172">
        <f t="shared" si="651"/>
        <v>24</v>
      </c>
      <c r="CY273" s="217">
        <f t="shared" si="652"/>
        <v>2.4342649083621453</v>
      </c>
      <c r="CZ273" s="217">
        <f t="shared" si="653"/>
        <v>0.67618469676726256</v>
      </c>
      <c r="DA273" s="217">
        <f t="shared" si="654"/>
        <v>1.4896214596959554</v>
      </c>
      <c r="DB273" s="197">
        <f t="shared" si="655"/>
        <v>350</v>
      </c>
      <c r="DC273" s="443">
        <f t="shared" si="656"/>
        <v>350</v>
      </c>
      <c r="DE273" s="217">
        <f t="shared" si="657"/>
        <v>3.211295052682861</v>
      </c>
      <c r="DF273" s="173">
        <f t="shared" si="658"/>
        <v>1.96511645361984</v>
      </c>
      <c r="DG273" s="173">
        <f t="shared" si="659"/>
        <v>0.73660113681324435</v>
      </c>
      <c r="DH273" s="173"/>
      <c r="DI273" s="173">
        <f t="shared" si="660"/>
        <v>1.3598642855443031</v>
      </c>
      <c r="DJ273" s="545">
        <f t="shared" si="661"/>
        <v>565.58249999999975</v>
      </c>
      <c r="DK273" s="528">
        <f t="shared" si="662"/>
        <v>0.35273368606701955</v>
      </c>
      <c r="DM273" s="173">
        <f t="shared" si="663"/>
        <v>2.8248893783651066</v>
      </c>
      <c r="DN273" s="173">
        <f t="shared" si="664"/>
        <v>2.8248893783651066</v>
      </c>
      <c r="DO273" s="173">
        <f t="shared" si="665"/>
        <v>1.6464201156613958</v>
      </c>
      <c r="DQ273" s="545">
        <f t="shared" si="666"/>
        <v>570</v>
      </c>
      <c r="DR273" s="460">
        <f t="shared" si="667"/>
        <v>350</v>
      </c>
      <c r="DT273">
        <f t="shared" si="668"/>
        <v>570</v>
      </c>
      <c r="DU273">
        <f t="shared" si="669"/>
        <v>350</v>
      </c>
      <c r="DW273" s="5">
        <f t="shared" si="670"/>
        <v>2.8571428571428572</v>
      </c>
      <c r="DX273" s="5">
        <f t="shared" si="671"/>
        <v>0.78469149399030746</v>
      </c>
      <c r="DY273" s="5">
        <f t="shared" si="672"/>
        <v>2.0724513631525499</v>
      </c>
      <c r="DZ273" s="5"/>
      <c r="EA273" s="173">
        <f t="shared" si="673"/>
        <v>0.27464202289660761</v>
      </c>
      <c r="EB273" s="173">
        <f t="shared" si="699"/>
        <v>13.964999999999998</v>
      </c>
      <c r="EC273" s="173">
        <f t="shared" si="700"/>
        <v>0.68336019101809653</v>
      </c>
      <c r="ED273" s="173">
        <f t="shared" si="701"/>
        <v>20.435782159324205</v>
      </c>
      <c r="EE273" s="460">
        <f t="shared" si="674"/>
        <v>1.86364229822698</v>
      </c>
      <c r="EF273" s="5">
        <f t="shared" si="675"/>
        <v>0.65627626499830738</v>
      </c>
      <c r="EH273" s="173">
        <f t="shared" si="702"/>
        <v>0.8547208789452706</v>
      </c>
      <c r="EI273" s="173">
        <f t="shared" si="703"/>
        <v>0.92649450527294874</v>
      </c>
      <c r="EK273" s="528">
        <f t="shared" si="704"/>
        <v>2.9221911236199039E-2</v>
      </c>
      <c r="EL273" s="528">
        <f t="shared" si="705"/>
        <v>1.4231423687028357</v>
      </c>
      <c r="EM273" s="528">
        <f t="shared" si="706"/>
        <v>6.9999999999999993E-2</v>
      </c>
      <c r="EN273" s="528">
        <f t="shared" si="707"/>
        <v>0.16780249811281248</v>
      </c>
      <c r="EO273">
        <f t="shared" si="708"/>
        <v>1.6199999999999999E-2</v>
      </c>
      <c r="EP273" s="460">
        <f t="shared" si="709"/>
        <v>86.2</v>
      </c>
      <c r="EQ273" s="460"/>
      <c r="ER273" s="460">
        <f t="shared" si="710"/>
        <v>1706.3667780518474</v>
      </c>
      <c r="ES273" s="528">
        <f t="shared" si="711"/>
        <v>0.39899999999999997</v>
      </c>
      <c r="EV273" s="460">
        <f t="shared" si="712"/>
        <v>398.99999999999994</v>
      </c>
      <c r="EW273" s="528">
        <f t="shared" si="713"/>
        <v>2.1916433427149277E-2</v>
      </c>
      <c r="EX273" s="528">
        <f t="shared" si="714"/>
        <v>2.575176204902898E-2</v>
      </c>
      <c r="EY273" s="528">
        <f t="shared" si="715"/>
        <v>1.5368933427574756</v>
      </c>
      <c r="EZ273" s="528"/>
      <c r="FA273" s="528">
        <f t="shared" si="716"/>
        <v>0.55859999999999987</v>
      </c>
      <c r="FB273" s="460">
        <f t="shared" si="717"/>
        <v>2143.1615382336536</v>
      </c>
      <c r="FC273" s="173">
        <f t="shared" si="718"/>
        <v>4.2485283162855012</v>
      </c>
      <c r="FD273" s="5">
        <f t="shared" si="719"/>
        <v>13.68</v>
      </c>
      <c r="FE273" s="173">
        <f t="shared" si="720"/>
        <v>0.76302972328039209</v>
      </c>
      <c r="FF273" s="5">
        <f t="shared" si="721"/>
        <v>76.302972328039203</v>
      </c>
      <c r="FI273" s="562">
        <f t="shared" si="676"/>
        <v>-50</v>
      </c>
      <c r="FJ273">
        <f t="shared" si="677"/>
        <v>-50</v>
      </c>
      <c r="FL273">
        <f t="shared" si="760"/>
        <v>0.60503092275971448</v>
      </c>
    </row>
    <row r="274" spans="5:168">
      <c r="E274" s="170">
        <v>58</v>
      </c>
      <c r="F274" s="217">
        <f t="shared" si="761"/>
        <v>0.57999999999999996</v>
      </c>
      <c r="G274" s="217"/>
      <c r="H274" s="217">
        <f t="shared" si="726"/>
        <v>13.919999999999998</v>
      </c>
      <c r="I274" s="541">
        <f t="shared" si="727"/>
        <v>35.901288298565973</v>
      </c>
      <c r="J274" s="172">
        <f t="shared" si="728"/>
        <v>16.360321035773978</v>
      </c>
      <c r="K274" s="172">
        <f t="shared" si="729"/>
        <v>52.261609334339951</v>
      </c>
      <c r="L274" s="443"/>
      <c r="M274" s="217">
        <f t="shared" si="730"/>
        <v>0.31304920051855928</v>
      </c>
      <c r="N274" s="172">
        <f t="shared" si="731"/>
        <v>63.045063399772573</v>
      </c>
      <c r="O274" s="172">
        <f t="shared" si="762"/>
        <v>13.919999999999998</v>
      </c>
      <c r="P274" s="217">
        <f t="shared" si="732"/>
        <v>2.6268776416571904</v>
      </c>
      <c r="Q274" s="217">
        <f t="shared" si="733"/>
        <v>24</v>
      </c>
      <c r="R274" s="217"/>
      <c r="S274" s="172">
        <f t="shared" si="734"/>
        <v>290.14964621991584</v>
      </c>
      <c r="T274" s="172">
        <f t="shared" si="735"/>
        <v>24</v>
      </c>
      <c r="U274" s="217">
        <f t="shared" si="736"/>
        <v>2.5316666580713312</v>
      </c>
      <c r="V274" s="217">
        <f t="shared" si="737"/>
        <v>0.70517432049157291</v>
      </c>
      <c r="W274" s="217">
        <f t="shared" si="738"/>
        <v>1.5474431415713126</v>
      </c>
      <c r="X274" s="197">
        <f t="shared" si="739"/>
        <v>350</v>
      </c>
      <c r="Y274" s="443">
        <f t="shared" si="680"/>
        <v>350</v>
      </c>
      <c r="AA274" s="217">
        <f t="shared" si="740"/>
        <v>3.2110793024533977</v>
      </c>
      <c r="AB274" s="173">
        <f t="shared" si="741"/>
        <v>1.9627238948624259</v>
      </c>
      <c r="AC274" s="173">
        <f t="shared" si="742"/>
        <v>0.73565488573045779</v>
      </c>
      <c r="AD274" s="173"/>
      <c r="AE274" s="173">
        <f t="shared" si="743"/>
        <v>1.3582998874918428</v>
      </c>
      <c r="AF274" s="545">
        <f t="shared" si="744"/>
        <v>576.16782778160518</v>
      </c>
      <c r="AG274" s="528">
        <f t="shared" si="745"/>
        <v>0.35232789859441199</v>
      </c>
      <c r="AI274" s="173">
        <f t="shared" si="746"/>
        <v>2.8512018636822836</v>
      </c>
      <c r="AJ274" s="173">
        <f t="shared" si="747"/>
        <v>2.8512018636822836</v>
      </c>
      <c r="AK274" s="173">
        <f t="shared" si="748"/>
        <v>1.6659108455259712</v>
      </c>
      <c r="AM274" s="545">
        <f t="shared" si="749"/>
        <v>580</v>
      </c>
      <c r="AN274" s="460">
        <f t="shared" si="750"/>
        <v>350</v>
      </c>
      <c r="AP274">
        <f t="shared" si="751"/>
        <v>580</v>
      </c>
      <c r="AQ274">
        <f t="shared" si="752"/>
        <v>350</v>
      </c>
      <c r="AS274" s="5">
        <f t="shared" si="763"/>
        <v>2.8571428571428572</v>
      </c>
      <c r="AT274" s="5">
        <f t="shared" si="753"/>
        <v>0.79417814758368188</v>
      </c>
      <c r="AU274" s="5">
        <f t="shared" si="722"/>
        <v>2.0629647095591754</v>
      </c>
      <c r="AV274" s="5"/>
      <c r="AW274" s="173">
        <f t="shared" si="723"/>
        <v>0.27796235165428868</v>
      </c>
      <c r="AX274" s="173">
        <f t="shared" si="631"/>
        <v>14.226366118064323</v>
      </c>
      <c r="AY274" s="173">
        <f t="shared" si="632"/>
        <v>0.68656814205212391</v>
      </c>
      <c r="AZ274" s="173">
        <f t="shared" si="633"/>
        <v>20.720982007033271</v>
      </c>
      <c r="BA274" s="460">
        <f t="shared" si="724"/>
        <v>1.9192638566605644</v>
      </c>
      <c r="BB274" s="5">
        <f t="shared" si="725"/>
        <v>0.66656077720314832</v>
      </c>
      <c r="BD274" s="173">
        <f t="shared" si="681"/>
        <v>0.86788129336108244</v>
      </c>
      <c r="BE274" s="173">
        <f t="shared" si="682"/>
        <v>0.93298163334237905</v>
      </c>
      <c r="BG274" s="528">
        <f t="shared" si="683"/>
        <v>3.012871757464421E-2</v>
      </c>
      <c r="BH274" s="528">
        <f t="shared" si="754"/>
        <v>1.1734411337232058</v>
      </c>
      <c r="BI274" s="528">
        <f t="shared" si="755"/>
        <v>0.50261803617992362</v>
      </c>
      <c r="BJ274" s="528">
        <f t="shared" si="684"/>
        <v>0.16729064337567906</v>
      </c>
      <c r="BK274">
        <f t="shared" si="685"/>
        <v>1.6155579734354688E-2</v>
      </c>
      <c r="BL274" s="460">
        <f t="shared" si="686"/>
        <v>518.77361591427825</v>
      </c>
      <c r="BM274" s="528">
        <f t="shared" si="756"/>
        <v>1.3889380773379254</v>
      </c>
      <c r="BN274" s="460">
        <f t="shared" si="687"/>
        <v>1388.9380773379255</v>
      </c>
      <c r="BO274" s="528">
        <f t="shared" si="637"/>
        <v>0.40599999999999997</v>
      </c>
      <c r="BR274" s="460">
        <f t="shared" si="688"/>
        <v>406</v>
      </c>
      <c r="BS274" s="528">
        <f t="shared" si="689"/>
        <v>2.2596538180983158E-2</v>
      </c>
      <c r="BT274" s="528">
        <f t="shared" si="690"/>
        <v>2.6113641844626403E-2</v>
      </c>
      <c r="BU274" s="528">
        <f t="shared" si="691"/>
        <v>1.5729323002770832</v>
      </c>
      <c r="BV274" s="528"/>
      <c r="BW274" s="528">
        <f t="shared" si="692"/>
        <v>0.56905464472257294</v>
      </c>
      <c r="BX274" s="460">
        <f t="shared" si="693"/>
        <v>2190.6971250252659</v>
      </c>
      <c r="BY274" s="173">
        <f t="shared" si="694"/>
        <v>4.4863312356130729</v>
      </c>
      <c r="BZ274" s="5">
        <f t="shared" si="695"/>
        <v>13.919999999999998</v>
      </c>
      <c r="CA274" s="173">
        <f t="shared" si="696"/>
        <v>0.75626151794265251</v>
      </c>
      <c r="CB274" s="5">
        <f t="shared" si="697"/>
        <v>75.626151794265255</v>
      </c>
      <c r="CE274" s="562">
        <f t="shared" si="757"/>
        <v>-50</v>
      </c>
      <c r="CF274">
        <f t="shared" si="758"/>
        <v>-50</v>
      </c>
      <c r="CG274" s="173">
        <f t="shared" si="759"/>
        <v>0.6166398140556254</v>
      </c>
      <c r="CI274" s="170">
        <v>58</v>
      </c>
      <c r="CJ274" s="217">
        <f t="shared" si="698"/>
        <v>0.57999999999999996</v>
      </c>
      <c r="CK274" s="217"/>
      <c r="CL274" s="217">
        <f t="shared" si="641"/>
        <v>13.919999999999998</v>
      </c>
      <c r="CM274" s="541">
        <f t="shared" si="642"/>
        <v>36</v>
      </c>
      <c r="CN274" s="443">
        <f t="shared" si="643"/>
        <v>16.3415</v>
      </c>
      <c r="CO274" s="443">
        <f t="shared" si="644"/>
        <v>52.341499999999996</v>
      </c>
      <c r="CP274" s="443"/>
      <c r="CQ274" s="217">
        <f t="shared" si="645"/>
        <v>0.31220924123305599</v>
      </c>
      <c r="CR274" s="172">
        <f t="shared" si="646"/>
        <v>63.048783011568261</v>
      </c>
      <c r="CS274" s="172">
        <f t="shared" si="647"/>
        <v>13.919999999999998</v>
      </c>
      <c r="CT274" s="217">
        <f t="shared" si="648"/>
        <v>2.6270326254820109</v>
      </c>
      <c r="CU274" s="217">
        <f t="shared" si="649"/>
        <v>24</v>
      </c>
      <c r="CV274" s="217"/>
      <c r="CW274" s="172">
        <f t="shared" si="650"/>
        <v>290.94716756358537</v>
      </c>
      <c r="CX274" s="172">
        <f t="shared" si="651"/>
        <v>24</v>
      </c>
      <c r="CY274" s="217">
        <f t="shared" si="652"/>
        <v>2.4769713102632354</v>
      </c>
      <c r="CZ274" s="217">
        <f t="shared" si="653"/>
        <v>0.68804758618423212</v>
      </c>
      <c r="DA274" s="217">
        <f t="shared" si="654"/>
        <v>1.5157551695151827</v>
      </c>
      <c r="DB274" s="197">
        <f t="shared" si="655"/>
        <v>350</v>
      </c>
      <c r="DC274" s="443">
        <f t="shared" si="656"/>
        <v>350</v>
      </c>
      <c r="DE274" s="217">
        <f t="shared" si="657"/>
        <v>3.211295052682861</v>
      </c>
      <c r="DF274" s="173">
        <f t="shared" si="658"/>
        <v>1.96511645361984</v>
      </c>
      <c r="DG274" s="173">
        <f t="shared" si="659"/>
        <v>0.73660113681324435</v>
      </c>
      <c r="DH274" s="173"/>
      <c r="DI274" s="173">
        <f t="shared" si="660"/>
        <v>1.3598642855443031</v>
      </c>
      <c r="DJ274" s="545">
        <f t="shared" si="661"/>
        <v>575.50499999999977</v>
      </c>
      <c r="DK274" s="528">
        <f t="shared" si="662"/>
        <v>0.35273368606701955</v>
      </c>
      <c r="DM274" s="173">
        <f t="shared" si="663"/>
        <v>2.8495613697550009</v>
      </c>
      <c r="DN274" s="173">
        <f t="shared" si="664"/>
        <v>2.8495613697550009</v>
      </c>
      <c r="DO274" s="173">
        <f t="shared" si="665"/>
        <v>1.6646956648390951</v>
      </c>
      <c r="DQ274" s="545">
        <f t="shared" si="666"/>
        <v>580</v>
      </c>
      <c r="DR274" s="460">
        <f t="shared" si="667"/>
        <v>350</v>
      </c>
      <c r="DT274">
        <f t="shared" si="668"/>
        <v>580</v>
      </c>
      <c r="DU274">
        <f t="shared" si="669"/>
        <v>350</v>
      </c>
      <c r="DW274" s="5">
        <f t="shared" si="670"/>
        <v>2.8571428571428572</v>
      </c>
      <c r="DX274" s="5">
        <f t="shared" si="671"/>
        <v>0.79154482493194478</v>
      </c>
      <c r="DY274" s="5">
        <f t="shared" si="672"/>
        <v>2.0655980322109126</v>
      </c>
      <c r="DZ274" s="5"/>
      <c r="EA274" s="173">
        <f t="shared" si="673"/>
        <v>0.27704068872618065</v>
      </c>
      <c r="EB274" s="173">
        <f t="shared" si="699"/>
        <v>14.209999999999997</v>
      </c>
      <c r="EC274" s="173">
        <f t="shared" si="700"/>
        <v>0.68704899459107061</v>
      </c>
      <c r="ED274" s="173">
        <f t="shared" si="701"/>
        <v>20.682658896048228</v>
      </c>
      <c r="EE274" s="460">
        <f t="shared" si="674"/>
        <v>1.9128999935855331</v>
      </c>
      <c r="EF274" s="5">
        <f t="shared" si="675"/>
        <v>0.66558158815684942</v>
      </c>
      <c r="EH274" s="173">
        <f t="shared" si="702"/>
        <v>0.86594272182721688</v>
      </c>
      <c r="EI274" s="173">
        <f t="shared" si="703"/>
        <v>0.93303975579292808</v>
      </c>
      <c r="EK274" s="528">
        <f t="shared" si="704"/>
        <v>2.9994271899421148E-2</v>
      </c>
      <c r="EL274" s="528">
        <f t="shared" si="705"/>
        <v>1.435571795687177</v>
      </c>
      <c r="EM274" s="528">
        <f t="shared" si="706"/>
        <v>6.9999999999999993E-2</v>
      </c>
      <c r="EN274" s="528">
        <f t="shared" si="707"/>
        <v>0.16780249811281248</v>
      </c>
      <c r="EO274">
        <f t="shared" si="708"/>
        <v>1.6199999999999999E-2</v>
      </c>
      <c r="EP274" s="460">
        <f t="shared" si="709"/>
        <v>86.2</v>
      </c>
      <c r="EQ274" s="460"/>
      <c r="ER274" s="460">
        <f t="shared" si="710"/>
        <v>1719.5685656994106</v>
      </c>
      <c r="ES274" s="528">
        <f t="shared" si="711"/>
        <v>0.40599999999999997</v>
      </c>
      <c r="EV274" s="460">
        <f t="shared" si="712"/>
        <v>406</v>
      </c>
      <c r="EW274" s="528">
        <f t="shared" si="713"/>
        <v>2.249570392456586E-2</v>
      </c>
      <c r="EX274" s="528">
        <f t="shared" si="714"/>
        <v>2.6116895576703804E-2</v>
      </c>
      <c r="EY274" s="528">
        <f t="shared" si="715"/>
        <v>1.5706707342685342</v>
      </c>
      <c r="EZ274" s="528"/>
      <c r="FA274" s="528">
        <f t="shared" si="716"/>
        <v>0.56839999999999979</v>
      </c>
      <c r="FB274" s="460">
        <f t="shared" si="717"/>
        <v>2187.6833337698035</v>
      </c>
      <c r="FC274" s="173">
        <f t="shared" si="718"/>
        <v>4.3132518994692148</v>
      </c>
      <c r="FD274" s="5">
        <f t="shared" si="719"/>
        <v>13.919999999999998</v>
      </c>
      <c r="FE274" s="173">
        <f t="shared" si="720"/>
        <v>0.76344033838556369</v>
      </c>
      <c r="FF274" s="5">
        <f t="shared" si="721"/>
        <v>76.344033838556371</v>
      </c>
      <c r="FI274" s="562">
        <f t="shared" si="676"/>
        <v>-50</v>
      </c>
      <c r="FJ274">
        <f t="shared" si="677"/>
        <v>-50</v>
      </c>
      <c r="FL274">
        <f t="shared" si="760"/>
        <v>0.61031513595095332</v>
      </c>
    </row>
    <row r="275" spans="5:168">
      <c r="E275" s="170">
        <v>59</v>
      </c>
      <c r="F275" s="217">
        <f t="shared" si="761"/>
        <v>0.59</v>
      </c>
      <c r="G275" s="217"/>
      <c r="H275" s="217">
        <f t="shared" si="726"/>
        <v>14.16</v>
      </c>
      <c r="I275" s="541">
        <f t="shared" si="727"/>
        <v>35.900440972282773</v>
      </c>
      <c r="J275" s="172">
        <f t="shared" si="728"/>
        <v>16.360482592692325</v>
      </c>
      <c r="K275" s="172">
        <f t="shared" si="729"/>
        <v>52.260923564975101</v>
      </c>
      <c r="L275" s="443"/>
      <c r="M275" s="217">
        <f t="shared" si="730"/>
        <v>0.31305642169115178</v>
      </c>
      <c r="N275" s="172">
        <f t="shared" si="731"/>
        <v>63.045029677732302</v>
      </c>
      <c r="O275" s="172">
        <f t="shared" si="762"/>
        <v>14.16</v>
      </c>
      <c r="P275" s="217">
        <f t="shared" si="732"/>
        <v>2.6268762365721794</v>
      </c>
      <c r="Q275" s="217">
        <f t="shared" si="733"/>
        <v>24</v>
      </c>
      <c r="R275" s="217"/>
      <c r="S275" s="172">
        <f t="shared" si="734"/>
        <v>284.31632248657093</v>
      </c>
      <c r="T275" s="172">
        <f t="shared" si="735"/>
        <v>24</v>
      </c>
      <c r="U275" s="217">
        <f t="shared" si="736"/>
        <v>2.5753431550145014</v>
      </c>
      <c r="V275" s="217">
        <f t="shared" si="737"/>
        <v>0.71735696979399677</v>
      </c>
      <c r="W275" s="217">
        <f t="shared" si="738"/>
        <v>1.5741241986130781</v>
      </c>
      <c r="X275" s="197">
        <f t="shared" si="739"/>
        <v>350</v>
      </c>
      <c r="Y275" s="443">
        <f t="shared" si="680"/>
        <v>350</v>
      </c>
      <c r="AA275" s="217">
        <f t="shared" si="740"/>
        <v>3.2110773596958855</v>
      </c>
      <c r="AB275" s="173">
        <f t="shared" si="741"/>
        <v>1.9627033258359787</v>
      </c>
      <c r="AC275" s="173">
        <f t="shared" si="742"/>
        <v>0.73564673110814949</v>
      </c>
      <c r="AD275" s="173"/>
      <c r="AE275" s="173">
        <f t="shared" si="743"/>
        <v>1.3582864745168424</v>
      </c>
      <c r="AF275" s="545">
        <f t="shared" si="744"/>
        <v>586.10754355679603</v>
      </c>
      <c r="AG275" s="528">
        <f t="shared" si="745"/>
        <v>0.35232441941772991</v>
      </c>
      <c r="AI275" s="173">
        <f t="shared" si="746"/>
        <v>2.8756903468243924</v>
      </c>
      <c r="AJ275" s="173">
        <f t="shared" si="747"/>
        <v>2.8756903468243924</v>
      </c>
      <c r="AK275" s="173">
        <f t="shared" si="748"/>
        <v>1.6840504626682742</v>
      </c>
      <c r="AM275" s="545">
        <f t="shared" si="749"/>
        <v>590</v>
      </c>
      <c r="AN275" s="460">
        <f t="shared" si="750"/>
        <v>350</v>
      </c>
      <c r="AP275">
        <f t="shared" si="751"/>
        <v>590</v>
      </c>
      <c r="AQ275">
        <f t="shared" si="752"/>
        <v>350</v>
      </c>
      <c r="AS275" s="5">
        <f t="shared" si="763"/>
        <v>2.8571428571428572</v>
      </c>
      <c r="AT275" s="5">
        <f t="shared" si="753"/>
        <v>0.80101811257543964</v>
      </c>
      <c r="AU275" s="5">
        <f t="shared" si="722"/>
        <v>2.0561247445674176</v>
      </c>
      <c r="AV275" s="5"/>
      <c r="AW275" s="173">
        <f t="shared" si="723"/>
        <v>0.28035633940140386</v>
      </c>
      <c r="AX275" s="173">
        <f t="shared" si="631"/>
        <v>14.471791198933243</v>
      </c>
      <c r="AY275" s="173">
        <f t="shared" si="632"/>
        <v>0.69016902136690683</v>
      </c>
      <c r="AZ275" s="173">
        <f t="shared" si="633"/>
        <v>20.968474027233636</v>
      </c>
      <c r="BA275" s="460">
        <f t="shared" si="724"/>
        <v>1.9691695267479559</v>
      </c>
      <c r="BB275" s="5">
        <f t="shared" si="725"/>
        <v>0.67582100188204952</v>
      </c>
      <c r="BD275" s="173">
        <f t="shared" si="681"/>
        <v>0.87909676645048052</v>
      </c>
      <c r="BE275" s="173">
        <f t="shared" si="682"/>
        <v>0.93943357606077671</v>
      </c>
      <c r="BG275" s="528">
        <f t="shared" si="683"/>
        <v>3.091244499134763E-2</v>
      </c>
      <c r="BH275" s="528">
        <f t="shared" si="754"/>
        <v>1.1835040881189196</v>
      </c>
      <c r="BI275" s="528">
        <f t="shared" si="755"/>
        <v>0.50260617361195881</v>
      </c>
      <c r="BJ275" s="528">
        <f t="shared" si="684"/>
        <v>0.16728625307668041</v>
      </c>
      <c r="BK275">
        <f t="shared" si="685"/>
        <v>1.6155198437527246E-2</v>
      </c>
      <c r="BL275" s="460">
        <f t="shared" si="686"/>
        <v>518.761372049486</v>
      </c>
      <c r="BM275" s="528">
        <f t="shared" si="756"/>
        <v>1.400334317530908</v>
      </c>
      <c r="BN275" s="460">
        <f t="shared" si="687"/>
        <v>1400.334317530908</v>
      </c>
      <c r="BO275" s="528">
        <f t="shared" si="637"/>
        <v>0.41299999999999998</v>
      </c>
      <c r="BR275" s="460">
        <f t="shared" si="688"/>
        <v>413</v>
      </c>
      <c r="BS275" s="528">
        <f t="shared" si="689"/>
        <v>2.318433374351072E-2</v>
      </c>
      <c r="BT275" s="528">
        <f t="shared" si="690"/>
        <v>2.6476063314910172E-2</v>
      </c>
      <c r="BU275" s="528">
        <f t="shared" si="691"/>
        <v>1.6069242848995002</v>
      </c>
      <c r="BV275" s="528"/>
      <c r="BW275" s="528">
        <f t="shared" si="692"/>
        <v>0.57887164795732959</v>
      </c>
      <c r="BX275" s="460">
        <f t="shared" si="693"/>
        <v>2235.456329915251</v>
      </c>
      <c r="BY275" s="173">
        <f t="shared" si="694"/>
        <v>4.5489204881516843</v>
      </c>
      <c r="BZ275" s="5">
        <f t="shared" si="695"/>
        <v>14.16</v>
      </c>
      <c r="CA275" s="173">
        <f t="shared" si="696"/>
        <v>0.75685820616788102</v>
      </c>
      <c r="CB275" s="5">
        <f t="shared" si="697"/>
        <v>75.685820616788106</v>
      </c>
      <c r="CE275" s="562">
        <f t="shared" si="757"/>
        <v>-50</v>
      </c>
      <c r="CF275">
        <f t="shared" si="758"/>
        <v>-50</v>
      </c>
      <c r="CG275" s="173">
        <f t="shared" si="759"/>
        <v>0.62193295675430493</v>
      </c>
      <c r="CI275" s="170">
        <v>59</v>
      </c>
      <c r="CJ275" s="217">
        <f t="shared" si="698"/>
        <v>0.59</v>
      </c>
      <c r="CK275" s="217"/>
      <c r="CL275" s="217">
        <f t="shared" si="641"/>
        <v>14.16</v>
      </c>
      <c r="CM275" s="541">
        <f t="shared" si="642"/>
        <v>36</v>
      </c>
      <c r="CN275" s="443">
        <f t="shared" si="643"/>
        <v>16.3415</v>
      </c>
      <c r="CO275" s="443">
        <f t="shared" si="644"/>
        <v>52.341499999999996</v>
      </c>
      <c r="CP275" s="443"/>
      <c r="CQ275" s="217">
        <f t="shared" si="645"/>
        <v>0.31220924123305599</v>
      </c>
      <c r="CR275" s="172">
        <f t="shared" si="646"/>
        <v>63.048783011568261</v>
      </c>
      <c r="CS275" s="172">
        <f t="shared" si="647"/>
        <v>14.16</v>
      </c>
      <c r="CT275" s="217">
        <f t="shared" si="648"/>
        <v>2.6270326254820109</v>
      </c>
      <c r="CU275" s="217">
        <f t="shared" si="649"/>
        <v>24</v>
      </c>
      <c r="CV275" s="217"/>
      <c r="CW275" s="172">
        <f t="shared" si="650"/>
        <v>285.10452642650392</v>
      </c>
      <c r="CX275" s="172">
        <f t="shared" si="651"/>
        <v>24</v>
      </c>
      <c r="CY275" s="217">
        <f t="shared" si="652"/>
        <v>2.5196777121643259</v>
      </c>
      <c r="CZ275" s="217">
        <f t="shared" si="653"/>
        <v>0.69991047560120168</v>
      </c>
      <c r="DA275" s="217">
        <f t="shared" si="654"/>
        <v>1.5418888793344101</v>
      </c>
      <c r="DB275" s="197">
        <f t="shared" si="655"/>
        <v>350</v>
      </c>
      <c r="DC275" s="443">
        <f t="shared" si="656"/>
        <v>350</v>
      </c>
      <c r="DE275" s="217">
        <f t="shared" si="657"/>
        <v>3.211295052682861</v>
      </c>
      <c r="DF275" s="173">
        <f t="shared" si="658"/>
        <v>1.96511645361984</v>
      </c>
      <c r="DG275" s="173">
        <f t="shared" si="659"/>
        <v>0.73660113681324435</v>
      </c>
      <c r="DH275" s="173"/>
      <c r="DI275" s="173">
        <f t="shared" si="660"/>
        <v>1.3598642855443031</v>
      </c>
      <c r="DJ275" s="545">
        <f t="shared" si="661"/>
        <v>585.42749999999978</v>
      </c>
      <c r="DK275" s="528">
        <f t="shared" si="662"/>
        <v>0.35273368606701955</v>
      </c>
      <c r="DM275" s="173">
        <f t="shared" si="663"/>
        <v>2.8740215726399825</v>
      </c>
      <c r="DN275" s="173">
        <f t="shared" si="664"/>
        <v>2.8740215726399825</v>
      </c>
      <c r="DO275" s="173">
        <f t="shared" si="665"/>
        <v>1.6828143336427852</v>
      </c>
      <c r="DQ275" s="545">
        <f t="shared" si="666"/>
        <v>590</v>
      </c>
      <c r="DR275" s="460">
        <f t="shared" si="667"/>
        <v>350</v>
      </c>
      <c r="DT275">
        <f t="shared" si="668"/>
        <v>590</v>
      </c>
      <c r="DU275">
        <f t="shared" si="669"/>
        <v>350</v>
      </c>
      <c r="DW275" s="5">
        <f t="shared" si="670"/>
        <v>2.8571428571428572</v>
      </c>
      <c r="DX275" s="5">
        <f t="shared" si="671"/>
        <v>0.79833932573332844</v>
      </c>
      <c r="DY275" s="5">
        <f t="shared" si="672"/>
        <v>2.058803531409529</v>
      </c>
      <c r="DZ275" s="5"/>
      <c r="EA275" s="173">
        <f t="shared" si="673"/>
        <v>0.27941876400666493</v>
      </c>
      <c r="EB275" s="173">
        <f t="shared" si="699"/>
        <v>14.454999999999997</v>
      </c>
      <c r="EC275" s="173">
        <f t="shared" si="700"/>
        <v>0.69066716669765649</v>
      </c>
      <c r="ED275" s="173">
        <f t="shared" si="701"/>
        <v>20.929038901783724</v>
      </c>
      <c r="EE275" s="460">
        <f t="shared" si="674"/>
        <v>1.9625841757610991</v>
      </c>
      <c r="EF275" s="5">
        <f t="shared" si="675"/>
        <v>0.67483004640645661</v>
      </c>
      <c r="EH275" s="173">
        <f t="shared" si="702"/>
        <v>0.8771162961080764</v>
      </c>
      <c r="EI275" s="173">
        <f t="shared" si="703"/>
        <v>0.93949982739552584</v>
      </c>
      <c r="EK275" s="528">
        <f t="shared" si="704"/>
        <v>3.0773319875934031E-2</v>
      </c>
      <c r="EL275" s="528">
        <f t="shared" si="705"/>
        <v>1.4478945263892307</v>
      </c>
      <c r="EM275" s="528">
        <f t="shared" si="706"/>
        <v>6.9999999999999993E-2</v>
      </c>
      <c r="EN275" s="528">
        <f t="shared" si="707"/>
        <v>0.16780249811281248</v>
      </c>
      <c r="EO275">
        <f t="shared" si="708"/>
        <v>1.6199999999999999E-2</v>
      </c>
      <c r="EP275" s="460">
        <f t="shared" si="709"/>
        <v>86.2</v>
      </c>
      <c r="EQ275" s="460"/>
      <c r="ER275" s="460">
        <f t="shared" si="710"/>
        <v>1732.6703443779775</v>
      </c>
      <c r="ES275" s="528">
        <f t="shared" si="711"/>
        <v>0.41299999999999998</v>
      </c>
      <c r="EV275" s="460">
        <f t="shared" si="712"/>
        <v>413</v>
      </c>
      <c r="EW275" s="528">
        <f t="shared" si="713"/>
        <v>2.3079989906950524E-2</v>
      </c>
      <c r="EX275" s="528">
        <f t="shared" si="714"/>
        <v>2.6479797770286684E-2</v>
      </c>
      <c r="EY275" s="528">
        <f t="shared" si="715"/>
        <v>1.6045940385515254</v>
      </c>
      <c r="EZ275" s="528"/>
      <c r="FA275" s="528">
        <f t="shared" si="716"/>
        <v>0.57819999999999994</v>
      </c>
      <c r="FB275" s="460">
        <f t="shared" si="717"/>
        <v>2232.3538262287625</v>
      </c>
      <c r="FC275" s="173">
        <f t="shared" si="718"/>
        <v>4.3780241706067402</v>
      </c>
      <c r="FD275" s="5">
        <f t="shared" si="719"/>
        <v>14.16</v>
      </c>
      <c r="FE275" s="173">
        <f t="shared" si="720"/>
        <v>0.76383544814077942</v>
      </c>
      <c r="FF275" s="5">
        <f t="shared" si="721"/>
        <v>76.383544814077936</v>
      </c>
      <c r="FI275" s="562">
        <f t="shared" si="676"/>
        <v>-50</v>
      </c>
      <c r="FJ275">
        <f t="shared" si="677"/>
        <v>-50</v>
      </c>
      <c r="FL275">
        <f t="shared" si="760"/>
        <v>0.61555398857142496</v>
      </c>
    </row>
    <row r="276" spans="5:168">
      <c r="E276" s="170">
        <v>60</v>
      </c>
      <c r="F276" s="217">
        <f t="shared" si="761"/>
        <v>0.6</v>
      </c>
      <c r="G276" s="217"/>
      <c r="H276" s="217">
        <f t="shared" si="726"/>
        <v>14.399999999999999</v>
      </c>
      <c r="I276" s="541">
        <f t="shared" si="727"/>
        <v>35.899600796815911</v>
      </c>
      <c r="J276" s="172">
        <f t="shared" si="728"/>
        <v>16.360642786188016</v>
      </c>
      <c r="K276" s="172">
        <f t="shared" si="729"/>
        <v>52.260243583003927</v>
      </c>
      <c r="L276" s="443"/>
      <c r="M276" s="217">
        <f t="shared" si="730"/>
        <v>0.31306358210897545</v>
      </c>
      <c r="N276" s="172">
        <f t="shared" si="731"/>
        <v>63.044996210092592</v>
      </c>
      <c r="O276" s="172">
        <f t="shared" si="762"/>
        <v>14.399999999999999</v>
      </c>
      <c r="P276" s="217">
        <f t="shared" si="732"/>
        <v>2.6268748420871915</v>
      </c>
      <c r="Q276" s="217">
        <f t="shared" si="733"/>
        <v>24</v>
      </c>
      <c r="R276" s="217"/>
      <c r="S276" s="172">
        <f t="shared" si="734"/>
        <v>278.67761584015409</v>
      </c>
      <c r="T276" s="172">
        <f t="shared" si="735"/>
        <v>24</v>
      </c>
      <c r="U276" s="217">
        <f t="shared" si="736"/>
        <v>2.619020338590524</v>
      </c>
      <c r="V276" s="217">
        <f t="shared" si="737"/>
        <v>0.72954024013069707</v>
      </c>
      <c r="W276" s="217">
        <f t="shared" si="738"/>
        <v>1.6008052818080925</v>
      </c>
      <c r="X276" s="197">
        <f t="shared" si="739"/>
        <v>350</v>
      </c>
      <c r="Y276" s="443">
        <f t="shared" si="680"/>
        <v>350</v>
      </c>
      <c r="AA276" s="217">
        <f t="shared" si="740"/>
        <v>3.2110754318055736</v>
      </c>
      <c r="AB276" s="173">
        <f t="shared" si="741"/>
        <v>1.9626829298641177</v>
      </c>
      <c r="AC276" s="173">
        <f t="shared" si="742"/>
        <v>0.73563864476422891</v>
      </c>
      <c r="AD276" s="173"/>
      <c r="AE276" s="173">
        <f t="shared" si="743"/>
        <v>1.358273174999131</v>
      </c>
      <c r="AF276" s="545">
        <f t="shared" si="744"/>
        <v>596.04740585362617</v>
      </c>
      <c r="AG276" s="528">
        <f t="shared" si="745"/>
        <v>0.352320969670608</v>
      </c>
      <c r="AI276" s="173">
        <f t="shared" si="746"/>
        <v>2.8999724035751395</v>
      </c>
      <c r="AJ276" s="173">
        <f t="shared" si="747"/>
        <v>2.8999724035751395</v>
      </c>
      <c r="AK276" s="173">
        <f t="shared" si="748"/>
        <v>1.7020371713725311</v>
      </c>
      <c r="AM276" s="545">
        <f t="shared" si="749"/>
        <v>600</v>
      </c>
      <c r="AN276" s="460">
        <f t="shared" si="750"/>
        <v>350</v>
      </c>
      <c r="AP276">
        <f t="shared" si="751"/>
        <v>600</v>
      </c>
      <c r="AQ276">
        <f t="shared" si="752"/>
        <v>350</v>
      </c>
      <c r="AS276" s="5">
        <f t="shared" si="763"/>
        <v>2.8571428571428572</v>
      </c>
      <c r="AT276" s="5">
        <f t="shared" si="753"/>
        <v>0.80780073850635992</v>
      </c>
      <c r="AU276" s="5">
        <f t="shared" si="722"/>
        <v>2.0493421186364973</v>
      </c>
      <c r="AV276" s="5"/>
      <c r="AW276" s="173">
        <f t="shared" si="723"/>
        <v>0.28273025847722594</v>
      </c>
      <c r="AX276" s="173">
        <f t="shared" si="631"/>
        <v>14.717219897620403</v>
      </c>
      <c r="AY276" s="173">
        <f t="shared" si="632"/>
        <v>0.69370082918789533</v>
      </c>
      <c r="AZ276" s="173">
        <f t="shared" si="633"/>
        <v>21.21551435198603</v>
      </c>
      <c r="BA276" s="460">
        <f t="shared" si="724"/>
        <v>2.0195018462658996</v>
      </c>
      <c r="BB276" s="5">
        <f t="shared" si="725"/>
        <v>0.68502448154852857</v>
      </c>
      <c r="BD276" s="173">
        <f t="shared" si="681"/>
        <v>0.89026517031194152</v>
      </c>
      <c r="BE276" s="173">
        <f t="shared" si="682"/>
        <v>0.94580221507989459</v>
      </c>
      <c r="BG276" s="528">
        <f t="shared" si="683"/>
        <v>3.1702882938822008E-2</v>
      </c>
      <c r="BH276" s="528">
        <f t="shared" si="754"/>
        <v>1.193481955534256</v>
      </c>
      <c r="BI276" s="528">
        <f t="shared" si="755"/>
        <v>0.50259441115542269</v>
      </c>
      <c r="BJ276" s="528">
        <f t="shared" si="684"/>
        <v>0.16728189988548783</v>
      </c>
      <c r="BK276">
        <f t="shared" si="685"/>
        <v>1.6154820358567159E-2</v>
      </c>
      <c r="BL276" s="460">
        <f t="shared" si="686"/>
        <v>518.74923151398991</v>
      </c>
      <c r="BM276" s="528">
        <f t="shared" si="756"/>
        <v>1.4116599938607126</v>
      </c>
      <c r="BN276" s="460">
        <f t="shared" si="687"/>
        <v>1411.6599938607126</v>
      </c>
      <c r="BO276" s="528">
        <f t="shared" si="637"/>
        <v>0.42</v>
      </c>
      <c r="BR276" s="460">
        <f t="shared" si="688"/>
        <v>420</v>
      </c>
      <c r="BS276" s="528">
        <f t="shared" si="689"/>
        <v>2.3777162204116506E-2</v>
      </c>
      <c r="BT276" s="528">
        <f t="shared" si="690"/>
        <v>2.6836254901501055E-2</v>
      </c>
      <c r="BU276" s="528">
        <f t="shared" si="691"/>
        <v>1.6410612021195385</v>
      </c>
      <c r="BV276" s="528"/>
      <c r="BW276" s="528">
        <f t="shared" si="692"/>
        <v>0.58868879590481615</v>
      </c>
      <c r="BX276" s="460">
        <f t="shared" si="693"/>
        <v>2280.3634151299725</v>
      </c>
      <c r="BY276" s="173">
        <f t="shared" si="694"/>
        <v>4.6115793850025275</v>
      </c>
      <c r="BZ276" s="5">
        <f t="shared" si="695"/>
        <v>14.399999999999999</v>
      </c>
      <c r="CA276" s="173">
        <f t="shared" si="696"/>
        <v>0.7574331258011936</v>
      </c>
      <c r="CB276" s="5">
        <f t="shared" si="697"/>
        <v>75.743312580119365</v>
      </c>
      <c r="CE276" s="562">
        <f t="shared" si="757"/>
        <v>-50</v>
      </c>
      <c r="CF276">
        <f t="shared" si="758"/>
        <v>-50</v>
      </c>
      <c r="CG276" s="173">
        <f t="shared" si="759"/>
        <v>0.62718142918596365</v>
      </c>
      <c r="CI276" s="170">
        <v>60</v>
      </c>
      <c r="CJ276" s="217">
        <f t="shared" si="698"/>
        <v>0.6</v>
      </c>
      <c r="CK276" s="217"/>
      <c r="CL276" s="217">
        <f t="shared" si="641"/>
        <v>14.399999999999999</v>
      </c>
      <c r="CM276" s="541">
        <f t="shared" si="642"/>
        <v>36</v>
      </c>
      <c r="CN276" s="443">
        <f t="shared" si="643"/>
        <v>16.3415</v>
      </c>
      <c r="CO276" s="443">
        <f t="shared" si="644"/>
        <v>52.341499999999996</v>
      </c>
      <c r="CP276" s="443"/>
      <c r="CQ276" s="217">
        <f t="shared" si="645"/>
        <v>0.31220924123305599</v>
      </c>
      <c r="CR276" s="172">
        <f t="shared" si="646"/>
        <v>63.048783011568261</v>
      </c>
      <c r="CS276" s="172">
        <f t="shared" si="647"/>
        <v>14.399999999999999</v>
      </c>
      <c r="CT276" s="217">
        <f t="shared" si="648"/>
        <v>2.6270326254820109</v>
      </c>
      <c r="CU276" s="217">
        <f t="shared" si="649"/>
        <v>24</v>
      </c>
      <c r="CV276" s="217"/>
      <c r="CW276" s="172">
        <f t="shared" si="650"/>
        <v>279.45671512295348</v>
      </c>
      <c r="CX276" s="172">
        <f t="shared" si="651"/>
        <v>24</v>
      </c>
      <c r="CY276" s="217">
        <f t="shared" si="652"/>
        <v>2.562384114065416</v>
      </c>
      <c r="CZ276" s="217">
        <f t="shared" si="653"/>
        <v>0.71177336501817123</v>
      </c>
      <c r="DA276" s="217">
        <f t="shared" si="654"/>
        <v>1.5680225891536372</v>
      </c>
      <c r="DB276" s="197">
        <f t="shared" si="655"/>
        <v>350</v>
      </c>
      <c r="DC276" s="443">
        <f t="shared" si="656"/>
        <v>350</v>
      </c>
      <c r="DE276" s="217">
        <f t="shared" si="657"/>
        <v>3.211295052682861</v>
      </c>
      <c r="DF276" s="173">
        <f t="shared" si="658"/>
        <v>1.96511645361984</v>
      </c>
      <c r="DG276" s="173">
        <f t="shared" si="659"/>
        <v>0.73660113681324435</v>
      </c>
      <c r="DH276" s="173"/>
      <c r="DI276" s="173">
        <f t="shared" si="660"/>
        <v>1.3598642855443031</v>
      </c>
      <c r="DJ276" s="545">
        <f t="shared" si="661"/>
        <v>595.3499999999998</v>
      </c>
      <c r="DK276" s="528">
        <f t="shared" si="662"/>
        <v>0.35273368606701955</v>
      </c>
      <c r="DM276" s="173">
        <f t="shared" si="663"/>
        <v>2.8982753492378874</v>
      </c>
      <c r="DN276" s="173">
        <f t="shared" si="664"/>
        <v>2.8982753492378874</v>
      </c>
      <c r="DO276" s="173">
        <f t="shared" si="665"/>
        <v>1.7007800940856779</v>
      </c>
      <c r="DQ276" s="545">
        <f t="shared" si="666"/>
        <v>600</v>
      </c>
      <c r="DR276" s="460">
        <f t="shared" si="667"/>
        <v>350</v>
      </c>
      <c r="DT276">
        <f t="shared" si="668"/>
        <v>600</v>
      </c>
      <c r="DU276">
        <f t="shared" si="669"/>
        <v>350</v>
      </c>
      <c r="DW276" s="5">
        <f t="shared" si="670"/>
        <v>2.8571428571428572</v>
      </c>
      <c r="DX276" s="5">
        <f t="shared" si="671"/>
        <v>0.80507648589941327</v>
      </c>
      <c r="DY276" s="5">
        <f t="shared" si="672"/>
        <v>2.0520663712434439</v>
      </c>
      <c r="DZ276" s="5"/>
      <c r="EA276" s="173">
        <f t="shared" si="673"/>
        <v>0.28177677006479462</v>
      </c>
      <c r="EB276" s="173">
        <f t="shared" si="699"/>
        <v>14.7</v>
      </c>
      <c r="EC276" s="173">
        <f t="shared" si="700"/>
        <v>0.69421649563750221</v>
      </c>
      <c r="ED276" s="173">
        <f t="shared" si="701"/>
        <v>21.174950598805523</v>
      </c>
      <c r="EE276" s="460">
        <f t="shared" si="674"/>
        <v>2.0126912147485334</v>
      </c>
      <c r="EF276" s="5">
        <f t="shared" si="675"/>
        <v>0.68402212374781446</v>
      </c>
      <c r="EH276" s="173">
        <f t="shared" si="702"/>
        <v>0.88824262236250795</v>
      </c>
      <c r="EI276" s="173">
        <f t="shared" si="703"/>
        <v>0.94587679996889762</v>
      </c>
      <c r="EK276" s="528">
        <f t="shared" si="704"/>
        <v>3.1558998247256997E-2</v>
      </c>
      <c r="EL276" s="528">
        <f t="shared" si="705"/>
        <v>1.460113262224298</v>
      </c>
      <c r="EM276" s="528">
        <f t="shared" si="706"/>
        <v>6.9999999999999993E-2</v>
      </c>
      <c r="EN276" s="528">
        <f t="shared" si="707"/>
        <v>0.16780249811281248</v>
      </c>
      <c r="EO276">
        <f t="shared" si="708"/>
        <v>1.6199999999999999E-2</v>
      </c>
      <c r="EP276" s="460">
        <f t="shared" si="709"/>
        <v>86.2</v>
      </c>
      <c r="EQ276" s="460"/>
      <c r="ER276" s="460">
        <f t="shared" si="710"/>
        <v>1745.6747585843677</v>
      </c>
      <c r="ES276" s="528">
        <f t="shared" si="711"/>
        <v>0.42</v>
      </c>
      <c r="EV276" s="460">
        <f t="shared" si="712"/>
        <v>420</v>
      </c>
      <c r="EW276" s="528">
        <f t="shared" si="713"/>
        <v>2.3669248685442745E-2</v>
      </c>
      <c r="EX276" s="528">
        <f t="shared" si="714"/>
        <v>2.6840487621582056E-2</v>
      </c>
      <c r="EY276" s="528">
        <f t="shared" si="715"/>
        <v>1.6386613966678985</v>
      </c>
      <c r="EZ276" s="528"/>
      <c r="FA276" s="528">
        <f t="shared" si="716"/>
        <v>0.58799999999999997</v>
      </c>
      <c r="FB276" s="460">
        <f t="shared" si="717"/>
        <v>2277.1711329749232</v>
      </c>
      <c r="FC276" s="173">
        <f t="shared" si="718"/>
        <v>4.4428458915592914</v>
      </c>
      <c r="FD276" s="5">
        <f t="shared" si="719"/>
        <v>14.399999999999999</v>
      </c>
      <c r="FE276" s="173">
        <f t="shared" si="720"/>
        <v>0.76421577095477511</v>
      </c>
      <c r="FF276" s="5">
        <f t="shared" si="721"/>
        <v>76.421577095477517</v>
      </c>
      <c r="FI276" s="562">
        <f t="shared" si="676"/>
        <v>-50</v>
      </c>
      <c r="FJ276">
        <f t="shared" si="677"/>
        <v>-50</v>
      </c>
      <c r="FL276">
        <f t="shared" si="760"/>
        <v>0.62074862909357198</v>
      </c>
    </row>
    <row r="277" spans="5:168">
      <c r="E277" s="170">
        <v>61</v>
      </c>
      <c r="F277" s="217">
        <f t="shared" si="761"/>
        <v>0.61</v>
      </c>
      <c r="G277" s="217"/>
      <c r="H277" s="217">
        <f t="shared" si="726"/>
        <v>14.64</v>
      </c>
      <c r="I277" s="541">
        <f t="shared" si="727"/>
        <v>35.898767594121253</v>
      </c>
      <c r="J277" s="172">
        <f t="shared" si="728"/>
        <v>16.360801650208142</v>
      </c>
      <c r="K277" s="172">
        <f t="shared" si="729"/>
        <v>52.259569244329398</v>
      </c>
      <c r="L277" s="443"/>
      <c r="M277" s="217">
        <f t="shared" si="730"/>
        <v>0.31307068328473636</v>
      </c>
      <c r="N277" s="172">
        <f t="shared" si="731"/>
        <v>63.044962990518179</v>
      </c>
      <c r="O277" s="172">
        <f t="shared" si="762"/>
        <v>14.64</v>
      </c>
      <c r="P277" s="217">
        <f t="shared" si="732"/>
        <v>2.6268734579382573</v>
      </c>
      <c r="Q277" s="217">
        <f t="shared" si="733"/>
        <v>24</v>
      </c>
      <c r="R277" s="217"/>
      <c r="S277" s="172">
        <f t="shared" si="734"/>
        <v>273.22395376878114</v>
      </c>
      <c r="T277" s="172">
        <f t="shared" si="735"/>
        <v>24</v>
      </c>
      <c r="U277" s="217">
        <f t="shared" si="736"/>
        <v>2.6626982030955175</v>
      </c>
      <c r="V277" s="217">
        <f t="shared" si="737"/>
        <v>0.74172412635456553</v>
      </c>
      <c r="W277" s="217">
        <f t="shared" si="738"/>
        <v>1.6274863909627819</v>
      </c>
      <c r="X277" s="197">
        <f t="shared" si="739"/>
        <v>350</v>
      </c>
      <c r="Y277" s="443">
        <f t="shared" si="680"/>
        <v>350</v>
      </c>
      <c r="AA277" s="217">
        <f t="shared" si="740"/>
        <v>3.2110735184122308</v>
      </c>
      <c r="AB277" s="173">
        <f t="shared" si="741"/>
        <v>1.9626627026380334</v>
      </c>
      <c r="AC277" s="173">
        <f t="shared" si="742"/>
        <v>0.73563062499866061</v>
      </c>
      <c r="AD277" s="173"/>
      <c r="AE277" s="173">
        <f t="shared" si="743"/>
        <v>1.3582599861137927</v>
      </c>
      <c r="AF277" s="545">
        <f t="shared" si="744"/>
        <v>605.98741344586506</v>
      </c>
      <c r="AG277" s="528">
        <f t="shared" si="745"/>
        <v>0.35231754862029441</v>
      </c>
      <c r="AI277" s="173">
        <f t="shared" si="746"/>
        <v>2.9240531736271755</v>
      </c>
      <c r="AJ277" s="173">
        <f t="shared" si="747"/>
        <v>2.9240531736271755</v>
      </c>
      <c r="AK277" s="173">
        <f t="shared" si="748"/>
        <v>1.7198747788184838</v>
      </c>
      <c r="AM277" s="545">
        <f t="shared" si="749"/>
        <v>610</v>
      </c>
      <c r="AN277" s="460">
        <f t="shared" si="750"/>
        <v>350</v>
      </c>
      <c r="AP277">
        <f t="shared" si="751"/>
        <v>610</v>
      </c>
      <c r="AQ277">
        <f t="shared" si="752"/>
        <v>350</v>
      </c>
      <c r="AS277" s="5">
        <f t="shared" si="763"/>
        <v>2.8571428571428572</v>
      </c>
      <c r="AT277" s="5">
        <f t="shared" si="753"/>
        <v>0.81452745305552376</v>
      </c>
      <c r="AU277" s="5">
        <f t="shared" si="722"/>
        <v>2.0426154040873334</v>
      </c>
      <c r="AV277" s="5"/>
      <c r="AW277" s="173">
        <f t="shared" si="723"/>
        <v>0.2850846085694333</v>
      </c>
      <c r="AX277" s="173">
        <f t="shared" si="631"/>
        <v>14.962652183848526</v>
      </c>
      <c r="AY277" s="173">
        <f t="shared" si="632"/>
        <v>0.69716528149901902</v>
      </c>
      <c r="AZ277" s="173">
        <f t="shared" si="633"/>
        <v>21.462130402816939</v>
      </c>
      <c r="BA277" s="460">
        <f t="shared" si="724"/>
        <v>2.0702572765161227</v>
      </c>
      <c r="BB277" s="5">
        <f t="shared" si="725"/>
        <v>0.69417168331835222</v>
      </c>
      <c r="BD277" s="173">
        <f t="shared" si="681"/>
        <v>0.90138748509416711</v>
      </c>
      <c r="BE277" s="173">
        <f t="shared" si="682"/>
        <v>0.9520895448286002</v>
      </c>
      <c r="BG277" s="528">
        <f t="shared" si="683"/>
        <v>3.2499975931375491E-2</v>
      </c>
      <c r="BH277" s="528">
        <f t="shared" si="754"/>
        <v>1.2033768544975052</v>
      </c>
      <c r="BI277" s="528">
        <f t="shared" si="755"/>
        <v>0.5025827463176975</v>
      </c>
      <c r="BJ277" s="528">
        <f t="shared" si="684"/>
        <v>0.1672775828781751</v>
      </c>
      <c r="BK277">
        <f t="shared" si="685"/>
        <v>1.6154445417354564E-2</v>
      </c>
      <c r="BL277" s="460">
        <f t="shared" si="686"/>
        <v>518.73719173505208</v>
      </c>
      <c r="BM277" s="528">
        <f t="shared" si="756"/>
        <v>1.4229171650195647</v>
      </c>
      <c r="BN277" s="460">
        <f t="shared" si="687"/>
        <v>1422.9171650195647</v>
      </c>
      <c r="BO277" s="528">
        <f t="shared" si="637"/>
        <v>0.42699999999999999</v>
      </c>
      <c r="BR277" s="460">
        <f t="shared" si="688"/>
        <v>427</v>
      </c>
      <c r="BS277" s="528">
        <f t="shared" si="689"/>
        <v>2.4374981948531618E-2</v>
      </c>
      <c r="BT277" s="528">
        <f t="shared" si="690"/>
        <v>2.7194235041157932E-2</v>
      </c>
      <c r="BU277" s="528">
        <f t="shared" si="691"/>
        <v>1.6753412436562656</v>
      </c>
      <c r="BV277" s="528"/>
      <c r="BW277" s="528">
        <f t="shared" si="692"/>
        <v>0.59850608735394106</v>
      </c>
      <c r="BX277" s="460">
        <f t="shared" si="693"/>
        <v>2325.4165479998965</v>
      </c>
      <c r="BY277" s="173">
        <f t="shared" si="694"/>
        <v>4.6743081530420048</v>
      </c>
      <c r="BZ277" s="5">
        <f t="shared" si="695"/>
        <v>14.64</v>
      </c>
      <c r="CA277" s="173">
        <f t="shared" si="696"/>
        <v>0.75798728507364099</v>
      </c>
      <c r="CB277" s="5">
        <f t="shared" si="697"/>
        <v>75.798728507364103</v>
      </c>
      <c r="CE277" s="562">
        <f t="shared" si="757"/>
        <v>-50</v>
      </c>
      <c r="CF277">
        <f t="shared" si="758"/>
        <v>-50</v>
      </c>
      <c r="CG277" s="173">
        <f t="shared" si="759"/>
        <v>0.63238634357040302</v>
      </c>
      <c r="CI277" s="170">
        <v>61</v>
      </c>
      <c r="CJ277" s="217">
        <f t="shared" si="698"/>
        <v>0.61</v>
      </c>
      <c r="CK277" s="217"/>
      <c r="CL277" s="217">
        <f t="shared" si="641"/>
        <v>14.64</v>
      </c>
      <c r="CM277" s="541">
        <f t="shared" si="642"/>
        <v>36</v>
      </c>
      <c r="CN277" s="443">
        <f t="shared" si="643"/>
        <v>16.3415</v>
      </c>
      <c r="CO277" s="443">
        <f t="shared" si="644"/>
        <v>52.341499999999996</v>
      </c>
      <c r="CP277" s="443"/>
      <c r="CQ277" s="217">
        <f t="shared" si="645"/>
        <v>0.31220924123305599</v>
      </c>
      <c r="CR277" s="172">
        <f t="shared" si="646"/>
        <v>63.048783011568261</v>
      </c>
      <c r="CS277" s="172">
        <f t="shared" si="647"/>
        <v>14.64</v>
      </c>
      <c r="CT277" s="217">
        <f t="shared" si="648"/>
        <v>2.6270326254820109</v>
      </c>
      <c r="CU277" s="217">
        <f t="shared" si="649"/>
        <v>24</v>
      </c>
      <c r="CV277" s="217"/>
      <c r="CW277" s="172">
        <f t="shared" si="650"/>
        <v>273.99415256004158</v>
      </c>
      <c r="CX277" s="172">
        <f t="shared" si="651"/>
        <v>24</v>
      </c>
      <c r="CY277" s="217">
        <f t="shared" si="652"/>
        <v>2.6050905159665065</v>
      </c>
      <c r="CZ277" s="217">
        <f t="shared" si="653"/>
        <v>0.72363625443514079</v>
      </c>
      <c r="DA277" s="217">
        <f t="shared" si="654"/>
        <v>1.5941562989728648</v>
      </c>
      <c r="DB277" s="197">
        <f t="shared" si="655"/>
        <v>350</v>
      </c>
      <c r="DC277" s="443">
        <f t="shared" si="656"/>
        <v>350</v>
      </c>
      <c r="DE277" s="217">
        <f t="shared" si="657"/>
        <v>3.211295052682861</v>
      </c>
      <c r="DF277" s="173">
        <f t="shared" si="658"/>
        <v>1.96511645361984</v>
      </c>
      <c r="DG277" s="173">
        <f t="shared" si="659"/>
        <v>0.73660113681324435</v>
      </c>
      <c r="DH277" s="173"/>
      <c r="DI277" s="173">
        <f t="shared" si="660"/>
        <v>1.3598642855443031</v>
      </c>
      <c r="DJ277" s="545">
        <f t="shared" si="661"/>
        <v>605.27249999999981</v>
      </c>
      <c r="DK277" s="528">
        <f t="shared" si="662"/>
        <v>0.35273368606701955</v>
      </c>
      <c r="DM277" s="173">
        <f t="shared" si="663"/>
        <v>2.9223278392404914</v>
      </c>
      <c r="DN277" s="173">
        <f t="shared" si="664"/>
        <v>2.9223278392404914</v>
      </c>
      <c r="DO277" s="173">
        <f t="shared" si="665"/>
        <v>1.718596753346866</v>
      </c>
      <c r="DQ277" s="545">
        <f t="shared" si="666"/>
        <v>610</v>
      </c>
      <c r="DR277" s="460">
        <f t="shared" si="667"/>
        <v>350</v>
      </c>
      <c r="DT277">
        <f t="shared" si="668"/>
        <v>610</v>
      </c>
      <c r="DU277">
        <f t="shared" si="669"/>
        <v>350</v>
      </c>
      <c r="DW277" s="5">
        <f t="shared" si="670"/>
        <v>2.8571428571428572</v>
      </c>
      <c r="DX277" s="5">
        <f t="shared" si="671"/>
        <v>0.81175773312235888</v>
      </c>
      <c r="DY277" s="5">
        <f t="shared" si="672"/>
        <v>2.0453851240204983</v>
      </c>
      <c r="DZ277" s="5"/>
      <c r="EA277" s="173">
        <f t="shared" si="673"/>
        <v>0.28411520659282558</v>
      </c>
      <c r="EB277" s="173">
        <f t="shared" si="699"/>
        <v>14.945</v>
      </c>
      <c r="EC277" s="173">
        <f t="shared" si="700"/>
        <v>0.69769869549781494</v>
      </c>
      <c r="ED277" s="173">
        <f t="shared" si="701"/>
        <v>21.420421302832729</v>
      </c>
      <c r="EE277" s="460">
        <f t="shared" si="674"/>
        <v>2.0632175716859953</v>
      </c>
      <c r="EF277" s="5">
        <f t="shared" si="675"/>
        <v>0.69315829202916879</v>
      </c>
      <c r="EH277" s="173">
        <f t="shared" si="702"/>
        <v>0.89932268296808249</v>
      </c>
      <c r="EI277" s="173">
        <f t="shared" si="703"/>
        <v>0.95217266721154148</v>
      </c>
      <c r="EK277" s="528">
        <f t="shared" si="704"/>
        <v>3.2351251524036409E-2</v>
      </c>
      <c r="EL277" s="528">
        <f t="shared" si="705"/>
        <v>1.4722305925019596</v>
      </c>
      <c r="EM277" s="528">
        <f t="shared" si="706"/>
        <v>6.9999999999999993E-2</v>
      </c>
      <c r="EN277" s="528">
        <f t="shared" si="707"/>
        <v>0.16780249811281248</v>
      </c>
      <c r="EO277">
        <f t="shared" si="708"/>
        <v>1.6199999999999999E-2</v>
      </c>
      <c r="EP277" s="460">
        <f t="shared" si="709"/>
        <v>86.2</v>
      </c>
      <c r="EQ277" s="460"/>
      <c r="ER277" s="460">
        <f t="shared" si="710"/>
        <v>1758.5843421388088</v>
      </c>
      <c r="ES277" s="528">
        <f t="shared" si="711"/>
        <v>0.42699999999999999</v>
      </c>
      <c r="EV277" s="460">
        <f t="shared" si="712"/>
        <v>427</v>
      </c>
      <c r="EW277" s="528">
        <f t="shared" si="713"/>
        <v>2.4263438643027307E-2</v>
      </c>
      <c r="EX277" s="528">
        <f t="shared" si="714"/>
        <v>2.7198983645542227E-2</v>
      </c>
      <c r="EY277" s="528">
        <f t="shared" si="715"/>
        <v>1.6728710040192649</v>
      </c>
      <c r="EZ277" s="528"/>
      <c r="FA277" s="528">
        <f t="shared" si="716"/>
        <v>0.5978</v>
      </c>
      <c r="FB277" s="460">
        <f t="shared" si="717"/>
        <v>2322.1334263078343</v>
      </c>
      <c r="FC277" s="173">
        <f t="shared" si="718"/>
        <v>4.5077177684466436</v>
      </c>
      <c r="FD277" s="5">
        <f t="shared" si="719"/>
        <v>14.64</v>
      </c>
      <c r="FE277" s="173">
        <f t="shared" si="720"/>
        <v>0.76458198188638071</v>
      </c>
      <c r="FF277" s="5">
        <f t="shared" si="721"/>
        <v>76.458198188638065</v>
      </c>
      <c r="FI277" s="562">
        <f t="shared" si="676"/>
        <v>-50</v>
      </c>
      <c r="FJ277">
        <f t="shared" si="677"/>
        <v>-50</v>
      </c>
      <c r="FL277">
        <f t="shared" si="760"/>
        <v>0.62590015832951196</v>
      </c>
    </row>
    <row r="278" spans="5:168">
      <c r="E278" s="170">
        <v>62</v>
      </c>
      <c r="F278" s="217">
        <f t="shared" si="761"/>
        <v>0.62</v>
      </c>
      <c r="G278" s="217"/>
      <c r="H278" s="217">
        <f t="shared" si="726"/>
        <v>14.879999999999999</v>
      </c>
      <c r="I278" s="541">
        <f t="shared" si="727"/>
        <v>35.897941193422618</v>
      </c>
      <c r="J278" s="172">
        <f t="shared" si="728"/>
        <v>16.360959217314033</v>
      </c>
      <c r="K278" s="172">
        <f t="shared" si="729"/>
        <v>52.258900410736651</v>
      </c>
      <c r="L278" s="443"/>
      <c r="M278" s="217">
        <f t="shared" si="730"/>
        <v>0.31307772666938971</v>
      </c>
      <c r="N278" s="172">
        <f t="shared" si="731"/>
        <v>63.044930012932269</v>
      </c>
      <c r="O278" s="172">
        <f t="shared" si="762"/>
        <v>14.879999999999999</v>
      </c>
      <c r="P278" s="217">
        <f t="shared" si="732"/>
        <v>2.6268720838721777</v>
      </c>
      <c r="Q278" s="217">
        <f t="shared" si="733"/>
        <v>24</v>
      </c>
      <c r="R278" s="217"/>
      <c r="S278" s="172">
        <f t="shared" si="734"/>
        <v>267.94638142208731</v>
      </c>
      <c r="T278" s="172">
        <f t="shared" si="735"/>
        <v>24</v>
      </c>
      <c r="U278" s="217">
        <f t="shared" si="736"/>
        <v>2.7063767429664636</v>
      </c>
      <c r="V278" s="217">
        <f t="shared" si="737"/>
        <v>0.75390862344560816</v>
      </c>
      <c r="W278" s="217">
        <f t="shared" si="738"/>
        <v>1.6541675258883555</v>
      </c>
      <c r="X278" s="197">
        <f t="shared" si="739"/>
        <v>350</v>
      </c>
      <c r="Y278" s="443">
        <f t="shared" si="680"/>
        <v>350</v>
      </c>
      <c r="AA278" s="217">
        <f t="shared" si="740"/>
        <v>3.2110716191607445</v>
      </c>
      <c r="AB278" s="173">
        <f t="shared" si="741"/>
        <v>1.9626426400248089</v>
      </c>
      <c r="AC278" s="173">
        <f t="shared" si="742"/>
        <v>0.73562267018080751</v>
      </c>
      <c r="AD278" s="173"/>
      <c r="AE278" s="173">
        <f t="shared" si="743"/>
        <v>1.3582469051512271</v>
      </c>
      <c r="AF278" s="545">
        <f t="shared" si="744"/>
        <v>615.9275651375641</v>
      </c>
      <c r="AG278" s="528">
        <f t="shared" si="745"/>
        <v>0.35231415556394885</v>
      </c>
      <c r="AI278" s="173">
        <f t="shared" si="746"/>
        <v>2.9479375868648048</v>
      </c>
      <c r="AJ278" s="173">
        <f t="shared" si="747"/>
        <v>2.9479375868648048</v>
      </c>
      <c r="AK278" s="173">
        <f t="shared" si="748"/>
        <v>1.7375669367722832</v>
      </c>
      <c r="AM278" s="545">
        <f t="shared" si="749"/>
        <v>620</v>
      </c>
      <c r="AN278" s="460">
        <f t="shared" si="750"/>
        <v>350</v>
      </c>
      <c r="AP278">
        <f t="shared" si="751"/>
        <v>620</v>
      </c>
      <c r="AQ278">
        <f t="shared" si="752"/>
        <v>350</v>
      </c>
      <c r="AS278" s="5">
        <f t="shared" si="763"/>
        <v>2.8571428571428572</v>
      </c>
      <c r="AT278" s="5">
        <f t="shared" si="753"/>
        <v>0.8211996256222458</v>
      </c>
      <c r="AU278" s="5">
        <f t="shared" si="722"/>
        <v>2.0359432315206112</v>
      </c>
      <c r="AV278" s="5"/>
      <c r="AW278" s="173">
        <f t="shared" si="723"/>
        <v>0.28741986896778604</v>
      </c>
      <c r="AX278" s="173">
        <f t="shared" si="631"/>
        <v>15.208088028088005</v>
      </c>
      <c r="AY278" s="173">
        <f t="shared" si="632"/>
        <v>0.70056402426629094</v>
      </c>
      <c r="AZ278" s="173">
        <f t="shared" si="633"/>
        <v>21.708348561026405</v>
      </c>
      <c r="BA278" s="460">
        <f t="shared" si="724"/>
        <v>2.1214323661908017</v>
      </c>
      <c r="BB278" s="5">
        <f t="shared" si="725"/>
        <v>0.70326306277088679</v>
      </c>
      <c r="BD278" s="173">
        <f t="shared" si="681"/>
        <v>0.91246465484408501</v>
      </c>
      <c r="BE278" s="173">
        <f t="shared" si="682"/>
        <v>0.95829747843638158</v>
      </c>
      <c r="BG278" s="528">
        <f t="shared" si="683"/>
        <v>3.3303669853589409E-2</v>
      </c>
      <c r="BH278" s="528">
        <f t="shared" si="754"/>
        <v>1.2131908170561518</v>
      </c>
      <c r="BI278" s="528">
        <f t="shared" si="755"/>
        <v>0.50257117670791673</v>
      </c>
      <c r="BJ278" s="528">
        <f t="shared" si="684"/>
        <v>0.16727330116853156</v>
      </c>
      <c r="BK278">
        <f t="shared" si="685"/>
        <v>1.6154073537040178E-2</v>
      </c>
      <c r="BL278" s="460">
        <f t="shared" si="686"/>
        <v>518.7252502449569</v>
      </c>
      <c r="BM278" s="528">
        <f t="shared" si="756"/>
        <v>1.4341078051019778</v>
      </c>
      <c r="BN278" s="460">
        <f t="shared" si="687"/>
        <v>1434.1078051019779</v>
      </c>
      <c r="BO278" s="528">
        <f t="shared" si="637"/>
        <v>0.434</v>
      </c>
      <c r="BR278" s="460">
        <f t="shared" si="688"/>
        <v>434</v>
      </c>
      <c r="BS278" s="528">
        <f t="shared" si="689"/>
        <v>2.4977752390192055E-2</v>
      </c>
      <c r="BT278" s="528">
        <f t="shared" si="690"/>
        <v>2.7550021715325817E-2</v>
      </c>
      <c r="BU278" s="528">
        <f t="shared" si="691"/>
        <v>1.709762653189592</v>
      </c>
      <c r="BV278" s="528"/>
      <c r="BW278" s="528">
        <f t="shared" si="692"/>
        <v>0.60832352112352028</v>
      </c>
      <c r="BX278" s="460">
        <f t="shared" si="693"/>
        <v>2370.6139484186306</v>
      </c>
      <c r="BY278" s="173">
        <f t="shared" si="694"/>
        <v>4.7371069867418605</v>
      </c>
      <c r="BZ278" s="5">
        <f t="shared" si="695"/>
        <v>14.879999999999999</v>
      </c>
      <c r="CA278" s="173">
        <f t="shared" si="696"/>
        <v>0.7585216316583574</v>
      </c>
      <c r="CB278" s="5">
        <f t="shared" si="697"/>
        <v>75.852163165835734</v>
      </c>
      <c r="CE278" s="562">
        <f t="shared" si="757"/>
        <v>-50</v>
      </c>
      <c r="CF278">
        <f t="shared" si="758"/>
        <v>-50</v>
      </c>
      <c r="CG278" s="173">
        <f t="shared" si="759"/>
        <v>0.63754876672529104</v>
      </c>
      <c r="CI278" s="170">
        <v>62</v>
      </c>
      <c r="CJ278" s="217">
        <f t="shared" si="698"/>
        <v>0.62</v>
      </c>
      <c r="CK278" s="217"/>
      <c r="CL278" s="217">
        <f t="shared" si="641"/>
        <v>14.879999999999999</v>
      </c>
      <c r="CM278" s="541">
        <f t="shared" si="642"/>
        <v>36</v>
      </c>
      <c r="CN278" s="443">
        <f t="shared" si="643"/>
        <v>16.3415</v>
      </c>
      <c r="CO278" s="443">
        <f t="shared" si="644"/>
        <v>52.341499999999996</v>
      </c>
      <c r="CP278" s="443"/>
      <c r="CQ278" s="217">
        <f t="shared" si="645"/>
        <v>0.31220924123305599</v>
      </c>
      <c r="CR278" s="172">
        <f t="shared" si="646"/>
        <v>63.048783011568261</v>
      </c>
      <c r="CS278" s="172">
        <f t="shared" si="647"/>
        <v>14.879999999999999</v>
      </c>
      <c r="CT278" s="217">
        <f t="shared" si="648"/>
        <v>2.6270326254820109</v>
      </c>
      <c r="CU278" s="217">
        <f t="shared" si="649"/>
        <v>24</v>
      </c>
      <c r="CV278" s="217"/>
      <c r="CW278" s="172">
        <f t="shared" si="650"/>
        <v>268.70787578856118</v>
      </c>
      <c r="CX278" s="172">
        <f t="shared" si="651"/>
        <v>24</v>
      </c>
      <c r="CY278" s="217">
        <f t="shared" si="652"/>
        <v>2.6477969178675966</v>
      </c>
      <c r="CZ278" s="217">
        <f t="shared" si="653"/>
        <v>0.73549914385211024</v>
      </c>
      <c r="DA278" s="217">
        <f t="shared" si="654"/>
        <v>1.6202900087920917</v>
      </c>
      <c r="DB278" s="197">
        <f t="shared" si="655"/>
        <v>350</v>
      </c>
      <c r="DC278" s="443">
        <f t="shared" si="656"/>
        <v>350</v>
      </c>
      <c r="DE278" s="217">
        <f t="shared" si="657"/>
        <v>3.211295052682861</v>
      </c>
      <c r="DF278" s="173">
        <f t="shared" si="658"/>
        <v>1.96511645361984</v>
      </c>
      <c r="DG278" s="173">
        <f t="shared" si="659"/>
        <v>0.73660113681324435</v>
      </c>
      <c r="DH278" s="173"/>
      <c r="DI278" s="173">
        <f t="shared" si="660"/>
        <v>1.3598642855443031</v>
      </c>
      <c r="DJ278" s="545">
        <f t="shared" si="661"/>
        <v>615.19499999999982</v>
      </c>
      <c r="DK278" s="528">
        <f t="shared" si="662"/>
        <v>0.35273368606701955</v>
      </c>
      <c r="DM278" s="173">
        <f t="shared" si="663"/>
        <v>2.9461839725312466</v>
      </c>
      <c r="DN278" s="173">
        <f t="shared" si="664"/>
        <v>2.9461839725312466</v>
      </c>
      <c r="DO278" s="173">
        <f t="shared" si="665"/>
        <v>1.7362679631918698</v>
      </c>
      <c r="DQ278" s="545">
        <f t="shared" si="666"/>
        <v>620</v>
      </c>
      <c r="DR278" s="460">
        <f t="shared" si="667"/>
        <v>350</v>
      </c>
      <c r="DT278">
        <f t="shared" si="668"/>
        <v>620</v>
      </c>
      <c r="DU278">
        <f t="shared" si="669"/>
        <v>350</v>
      </c>
      <c r="DW278" s="5">
        <f t="shared" si="670"/>
        <v>2.8571428571428572</v>
      </c>
      <c r="DX278" s="5">
        <f t="shared" si="671"/>
        <v>0.81838443681423523</v>
      </c>
      <c r="DY278" s="5">
        <f t="shared" si="672"/>
        <v>2.0387584203286222</v>
      </c>
      <c r="DZ278" s="5"/>
      <c r="EA278" s="173">
        <f t="shared" si="673"/>
        <v>0.28643455288498232</v>
      </c>
      <c r="EB278" s="173">
        <f t="shared" si="699"/>
        <v>15.189999999999998</v>
      </c>
      <c r="EC278" s="173">
        <f t="shared" si="700"/>
        <v>0.70111541039472647</v>
      </c>
      <c r="ED278" s="173">
        <f t="shared" si="701"/>
        <v>21.665477287752182</v>
      </c>
      <c r="EE278" s="460">
        <f t="shared" si="674"/>
        <v>2.1141597951034412</v>
      </c>
      <c r="EF278" s="5">
        <f t="shared" si="675"/>
        <v>0.70223901144652534</v>
      </c>
      <c r="EH278" s="173">
        <f t="shared" si="702"/>
        <v>0.91035742413655774</v>
      </c>
      <c r="EI278" s="173">
        <f t="shared" si="703"/>
        <v>0.95838934154992228</v>
      </c>
      <c r="EK278" s="528">
        <f t="shared" si="704"/>
        <v>3.3150025587221944E-2</v>
      </c>
      <c r="EL278" s="528">
        <f t="shared" si="705"/>
        <v>1.4842490008331011</v>
      </c>
      <c r="EM278" s="528">
        <f t="shared" si="706"/>
        <v>6.9999999999999993E-2</v>
      </c>
      <c r="EN278" s="528">
        <f t="shared" si="707"/>
        <v>0.16780249811281248</v>
      </c>
      <c r="EO278">
        <f t="shared" si="708"/>
        <v>1.6199999999999999E-2</v>
      </c>
      <c r="EP278" s="460">
        <f t="shared" si="709"/>
        <v>86.2</v>
      </c>
      <c r="EQ278" s="460"/>
      <c r="ER278" s="460">
        <f t="shared" si="710"/>
        <v>1771.4015245331357</v>
      </c>
      <c r="ES278" s="528">
        <f t="shared" si="711"/>
        <v>0.434</v>
      </c>
      <c r="EV278" s="460">
        <f t="shared" si="712"/>
        <v>434</v>
      </c>
      <c r="EW278" s="528">
        <f t="shared" si="713"/>
        <v>2.4862519190416453E-2</v>
      </c>
      <c r="EX278" s="528">
        <f t="shared" si="714"/>
        <v>2.7555303899894808E-2</v>
      </c>
      <c r="EY278" s="528">
        <f t="shared" si="715"/>
        <v>1.7072211078921391</v>
      </c>
      <c r="EZ278" s="528"/>
      <c r="FA278" s="528">
        <f t="shared" si="716"/>
        <v>0.60759999999999992</v>
      </c>
      <c r="FB278" s="460">
        <f t="shared" si="717"/>
        <v>2367.2389309824503</v>
      </c>
      <c r="FC278" s="173">
        <f t="shared" si="718"/>
        <v>4.572640455515586</v>
      </c>
      <c r="FD278" s="5">
        <f t="shared" si="719"/>
        <v>14.879999999999999</v>
      </c>
      <c r="FE278" s="173">
        <f t="shared" si="720"/>
        <v>0.76493471588228201</v>
      </c>
      <c r="FF278" s="5">
        <f t="shared" si="721"/>
        <v>76.493471588228203</v>
      </c>
      <c r="FI278" s="562">
        <f t="shared" si="676"/>
        <v>-50</v>
      </c>
      <c r="FJ278">
        <f t="shared" si="677"/>
        <v>-50</v>
      </c>
      <c r="FL278">
        <f t="shared" si="760"/>
        <v>0.63100963215490402</v>
      </c>
    </row>
    <row r="279" spans="5:168">
      <c r="E279" s="170">
        <v>63</v>
      </c>
      <c r="F279" s="217">
        <f t="shared" si="761"/>
        <v>0.63</v>
      </c>
      <c r="G279" s="217"/>
      <c r="H279" s="217">
        <f t="shared" si="726"/>
        <v>15.120000000000001</v>
      </c>
      <c r="I279" s="541">
        <f t="shared" si="727"/>
        <v>35.897121430803104</v>
      </c>
      <c r="J279" s="172">
        <f t="shared" si="728"/>
        <v>16.361115518759188</v>
      </c>
      <c r="K279" s="172">
        <f t="shared" si="729"/>
        <v>52.258236949562288</v>
      </c>
      <c r="L279" s="443"/>
      <c r="M279" s="217">
        <f t="shared" si="730"/>
        <v>0.31308471365561286</v>
      </c>
      <c r="N279" s="172">
        <f t="shared" si="731"/>
        <v>63.044897271502272</v>
      </c>
      <c r="O279" s="172">
        <f t="shared" si="762"/>
        <v>15.120000000000001</v>
      </c>
      <c r="P279" s="217">
        <f t="shared" si="732"/>
        <v>2.626870719645928</v>
      </c>
      <c r="Q279" s="217">
        <f t="shared" si="733"/>
        <v>24</v>
      </c>
      <c r="R279" s="217"/>
      <c r="S279" s="172">
        <f t="shared" si="734"/>
        <v>262.83651258674752</v>
      </c>
      <c r="T279" s="172">
        <f t="shared" si="735"/>
        <v>24</v>
      </c>
      <c r="U279" s="217">
        <f t="shared" si="736"/>
        <v>2.7500559527754986</v>
      </c>
      <c r="V279" s="217">
        <f t="shared" si="737"/>
        <v>0.7660937265057951</v>
      </c>
      <c r="W279" s="217">
        <f t="shared" si="738"/>
        <v>1.6808486864006082</v>
      </c>
      <c r="X279" s="197">
        <f t="shared" si="739"/>
        <v>350</v>
      </c>
      <c r="Y279" s="443">
        <f t="shared" si="680"/>
        <v>350</v>
      </c>
      <c r="AA279" s="217">
        <f t="shared" si="740"/>
        <v>3.2110697337102621</v>
      </c>
      <c r="AB279" s="173">
        <f t="shared" si="741"/>
        <v>1.9626227380575252</v>
      </c>
      <c r="AC279" s="173">
        <f t="shared" si="742"/>
        <v>0.73561477874552694</v>
      </c>
      <c r="AD279" s="173"/>
      <c r="AE279" s="173">
        <f t="shared" si="743"/>
        <v>1.3582339295106658</v>
      </c>
      <c r="AF279" s="545">
        <f t="shared" si="744"/>
        <v>625.86785976183012</v>
      </c>
      <c r="AG279" s="528">
        <f t="shared" si="745"/>
        <v>0.35231078982696101</v>
      </c>
      <c r="AI279" s="173">
        <f t="shared" si="746"/>
        <v>2.9716303751622051</v>
      </c>
      <c r="AJ279" s="173">
        <f t="shared" si="747"/>
        <v>2.9716303751622051</v>
      </c>
      <c r="AK279" s="173">
        <f t="shared" si="748"/>
        <v>1.7551171503259131</v>
      </c>
      <c r="AM279" s="545">
        <f t="shared" si="749"/>
        <v>630</v>
      </c>
      <c r="AN279" s="460">
        <f t="shared" si="750"/>
        <v>350</v>
      </c>
      <c r="AP279">
        <f t="shared" si="751"/>
        <v>630</v>
      </c>
      <c r="AQ279">
        <f t="shared" si="752"/>
        <v>350</v>
      </c>
      <c r="AS279" s="5">
        <f t="shared" si="763"/>
        <v>2.8571428571428572</v>
      </c>
      <c r="AT279" s="5">
        <f t="shared" si="753"/>
        <v>0.82781857060334285</v>
      </c>
      <c r="AU279" s="5">
        <f t="shared" si="722"/>
        <v>2.0293242865395142</v>
      </c>
      <c r="AV279" s="5"/>
      <c r="AW279" s="173">
        <f t="shared" si="723"/>
        <v>0.28973649971116999</v>
      </c>
      <c r="AX279" s="173">
        <f t="shared" si="631"/>
        <v>15.453527401526669</v>
      </c>
      <c r="AY279" s="173">
        <f t="shared" si="632"/>
        <v>0.70389863737441027</v>
      </c>
      <c r="AZ279" s="173">
        <f t="shared" si="633"/>
        <v>21.954194227693602</v>
      </c>
      <c r="BA279" s="460">
        <f t="shared" si="724"/>
        <v>2.1730237478337751</v>
      </c>
      <c r="BB279" s="5">
        <f t="shared" si="725"/>
        <v>0.71229906441625868</v>
      </c>
      <c r="BD279" s="173">
        <f t="shared" si="681"/>
        <v>0.92349758939629056</v>
      </c>
      <c r="BE279" s="173">
        <f t="shared" si="682"/>
        <v>0.96442785229678185</v>
      </c>
      <c r="BG279" s="528">
        <f t="shared" si="683"/>
        <v>3.4113911904830388E-2</v>
      </c>
      <c r="BH279" s="528">
        <f t="shared" si="754"/>
        <v>1.2229257936399776</v>
      </c>
      <c r="BI279" s="528">
        <f t="shared" si="755"/>
        <v>0.50255970003124339</v>
      </c>
      <c r="BJ279" s="528">
        <f t="shared" si="684"/>
        <v>0.1672690539059416</v>
      </c>
      <c r="BK279">
        <f t="shared" si="685"/>
        <v>1.6153704643861396E-2</v>
      </c>
      <c r="BL279" s="460">
        <f t="shared" si="686"/>
        <v>518.7134046751047</v>
      </c>
      <c r="BM279" s="528">
        <f t="shared" si="756"/>
        <v>1.445233808393019</v>
      </c>
      <c r="BN279" s="460">
        <f t="shared" si="687"/>
        <v>1445.233808393019</v>
      </c>
      <c r="BO279" s="528">
        <f t="shared" si="637"/>
        <v>0.44099999999999995</v>
      </c>
      <c r="BR279" s="460">
        <f t="shared" si="688"/>
        <v>440.99999999999994</v>
      </c>
      <c r="BS279" s="528">
        <f t="shared" si="689"/>
        <v>2.5585433928622791E-2</v>
      </c>
      <c r="BT279" s="528">
        <f t="shared" si="690"/>
        <v>2.7903632468573497E-2</v>
      </c>
      <c r="BU279" s="528">
        <f t="shared" si="691"/>
        <v>1.7443237240510787</v>
      </c>
      <c r="BV279" s="528"/>
      <c r="BW279" s="528">
        <f t="shared" si="692"/>
        <v>0.61814109606106682</v>
      </c>
      <c r="BX279" s="460">
        <f t="shared" si="693"/>
        <v>2415.9538865093418</v>
      </c>
      <c r="BY279" s="173">
        <f t="shared" si="694"/>
        <v>4.7999760506351956</v>
      </c>
      <c r="BZ279" s="5">
        <f t="shared" si="695"/>
        <v>15.120000000000001</v>
      </c>
      <c r="CA279" s="173">
        <f t="shared" si="696"/>
        <v>0.75903705715137459</v>
      </c>
      <c r="CB279" s="5">
        <f t="shared" si="697"/>
        <v>75.903705715137463</v>
      </c>
      <c r="CE279" s="562">
        <f t="shared" si="757"/>
        <v>-50</v>
      </c>
      <c r="CF279">
        <f t="shared" si="758"/>
        <v>-50</v>
      </c>
      <c r="CG279" s="173">
        <f t="shared" si="759"/>
        <v>0.64266972261927469</v>
      </c>
      <c r="CI279" s="170">
        <v>63</v>
      </c>
      <c r="CJ279" s="217">
        <f t="shared" si="698"/>
        <v>0.63</v>
      </c>
      <c r="CK279" s="217"/>
      <c r="CL279" s="217">
        <f t="shared" si="641"/>
        <v>15.120000000000001</v>
      </c>
      <c r="CM279" s="541">
        <f t="shared" si="642"/>
        <v>36</v>
      </c>
      <c r="CN279" s="443">
        <f t="shared" si="643"/>
        <v>16.3415</v>
      </c>
      <c r="CO279" s="443">
        <f t="shared" si="644"/>
        <v>52.341499999999996</v>
      </c>
      <c r="CP279" s="443"/>
      <c r="CQ279" s="217">
        <f t="shared" si="645"/>
        <v>0.31220924123305599</v>
      </c>
      <c r="CR279" s="172">
        <f t="shared" si="646"/>
        <v>63.048783011568261</v>
      </c>
      <c r="CS279" s="172">
        <f t="shared" si="647"/>
        <v>15.120000000000001</v>
      </c>
      <c r="CT279" s="217">
        <f t="shared" si="648"/>
        <v>2.6270326254820109</v>
      </c>
      <c r="CU279" s="217">
        <f t="shared" si="649"/>
        <v>24</v>
      </c>
      <c r="CV279" s="217"/>
      <c r="CW279" s="172">
        <f t="shared" si="650"/>
        <v>263.58949094410036</v>
      </c>
      <c r="CX279" s="172">
        <f t="shared" si="651"/>
        <v>24</v>
      </c>
      <c r="CY279" s="217">
        <f t="shared" si="652"/>
        <v>2.6905033197686872</v>
      </c>
      <c r="CZ279" s="217">
        <f t="shared" si="653"/>
        <v>0.7473620332690798</v>
      </c>
      <c r="DA279" s="217">
        <f t="shared" si="654"/>
        <v>1.6464237186113193</v>
      </c>
      <c r="DB279" s="197">
        <f t="shared" si="655"/>
        <v>350</v>
      </c>
      <c r="DC279" s="443">
        <f t="shared" si="656"/>
        <v>350</v>
      </c>
      <c r="DE279" s="217">
        <f t="shared" si="657"/>
        <v>3.211295052682861</v>
      </c>
      <c r="DF279" s="173">
        <f t="shared" si="658"/>
        <v>1.96511645361984</v>
      </c>
      <c r="DG279" s="173">
        <f t="shared" si="659"/>
        <v>0.73660113681324435</v>
      </c>
      <c r="DH279" s="173"/>
      <c r="DI279" s="173">
        <f t="shared" si="660"/>
        <v>1.3598642855443031</v>
      </c>
      <c r="DJ279" s="545">
        <f t="shared" si="661"/>
        <v>625.11749999999972</v>
      </c>
      <c r="DK279" s="528">
        <f t="shared" si="662"/>
        <v>0.35273368606701955</v>
      </c>
      <c r="DM279" s="173">
        <f t="shared" si="663"/>
        <v>2.9698484809834995</v>
      </c>
      <c r="DN279" s="173">
        <f t="shared" si="664"/>
        <v>2.9698484809834995</v>
      </c>
      <c r="DO279" s="173">
        <f t="shared" si="665"/>
        <v>1.7537972287120571</v>
      </c>
      <c r="DQ279" s="545">
        <f t="shared" si="666"/>
        <v>630</v>
      </c>
      <c r="DR279" s="460">
        <f t="shared" si="667"/>
        <v>350</v>
      </c>
      <c r="DT279">
        <f t="shared" si="668"/>
        <v>630</v>
      </c>
      <c r="DU279">
        <f t="shared" si="669"/>
        <v>350</v>
      </c>
      <c r="DW279" s="5">
        <f t="shared" si="670"/>
        <v>2.8571428571428572</v>
      </c>
      <c r="DX279" s="5">
        <f t="shared" si="671"/>
        <v>0.82495791138430541</v>
      </c>
      <c r="DY279" s="5">
        <f t="shared" si="672"/>
        <v>2.0321849457585519</v>
      </c>
      <c r="DZ279" s="5"/>
      <c r="EA279" s="173">
        <f t="shared" si="673"/>
        <v>0.28873526898450691</v>
      </c>
      <c r="EB279" s="173">
        <f t="shared" si="699"/>
        <v>15.435000000000002</v>
      </c>
      <c r="EC279" s="173">
        <f t="shared" si="700"/>
        <v>0.70446821840799723</v>
      </c>
      <c r="ED279" s="173">
        <f t="shared" si="701"/>
        <v>21.910143845638647</v>
      </c>
      <c r="EE279" s="460">
        <f t="shared" si="674"/>
        <v>2.165514517383802</v>
      </c>
      <c r="EF279" s="5">
        <f t="shared" si="675"/>
        <v>0.71126473101549315</v>
      </c>
      <c r="EH279" s="173">
        <f t="shared" si="702"/>
        <v>0.9213477578061664</v>
      </c>
      <c r="EI279" s="173">
        <f t="shared" si="703"/>
        <v>0.96452865870084448</v>
      </c>
      <c r="EK279" s="528">
        <f t="shared" si="704"/>
        <v>3.3955267632578015E-2</v>
      </c>
      <c r="EL279" s="528">
        <f t="shared" si="705"/>
        <v>1.4961708710737043</v>
      </c>
      <c r="EM279" s="528">
        <f t="shared" si="706"/>
        <v>6.9999999999999993E-2</v>
      </c>
      <c r="EN279" s="528">
        <f t="shared" si="707"/>
        <v>0.16780249811281248</v>
      </c>
      <c r="EO279">
        <f t="shared" si="708"/>
        <v>1.6199999999999999E-2</v>
      </c>
      <c r="EP279" s="460">
        <f t="shared" si="709"/>
        <v>86.2</v>
      </c>
      <c r="EQ279" s="460"/>
      <c r="ER279" s="460">
        <f t="shared" si="710"/>
        <v>1784.1286368190949</v>
      </c>
      <c r="ES279" s="528">
        <f t="shared" si="711"/>
        <v>0.44099999999999995</v>
      </c>
      <c r="EV279" s="460">
        <f t="shared" si="712"/>
        <v>440.99999999999994</v>
      </c>
      <c r="EW279" s="528">
        <f t="shared" si="713"/>
        <v>2.5466450724433508E-2</v>
      </c>
      <c r="EX279" s="528">
        <f t="shared" si="714"/>
        <v>2.7909466003657502E-2</v>
      </c>
      <c r="EY279" s="528">
        <f t="shared" si="715"/>
        <v>1.7417100051515049</v>
      </c>
      <c r="EZ279" s="528"/>
      <c r="FA279" s="528">
        <f t="shared" si="716"/>
        <v>0.61740000000000006</v>
      </c>
      <c r="FB279" s="460">
        <f t="shared" si="717"/>
        <v>2412.4859218795959</v>
      </c>
      <c r="FC279" s="173">
        <f t="shared" si="718"/>
        <v>4.637614558698691</v>
      </c>
      <c r="FD279" s="5">
        <f t="shared" si="719"/>
        <v>15.120000000000001</v>
      </c>
      <c r="FE279" s="173">
        <f t="shared" si="720"/>
        <v>0.76527457072711813</v>
      </c>
      <c r="FF279" s="5">
        <f t="shared" si="721"/>
        <v>76.527457072711812</v>
      </c>
      <c r="FI279" s="562">
        <f t="shared" si="676"/>
        <v>-50</v>
      </c>
      <c r="FJ279">
        <f t="shared" si="677"/>
        <v>-50</v>
      </c>
      <c r="FL279">
        <f t="shared" si="760"/>
        <v>0.63607806403587486</v>
      </c>
    </row>
    <row r="280" spans="5:168">
      <c r="E280" s="170">
        <v>64</v>
      </c>
      <c r="F280" s="217">
        <f t="shared" si="761"/>
        <v>0.64</v>
      </c>
      <c r="G280" s="217"/>
      <c r="H280" s="217">
        <f t="shared" ref="H280:H311" si="764">F280*Vout</f>
        <v>15.36</v>
      </c>
      <c r="I280" s="541">
        <f t="shared" ref="I280:I316" si="765">VIN_max-F280*(Rdcr_pri+RON/1000)/CG280/Nps</f>
        <v>35.896308148825476</v>
      </c>
      <c r="J280" s="172">
        <f t="shared" ref="J280:J316" si="766">(T280+Vfwd1+F280/CG280*Rdcr_sec)*Nps</f>
        <v>16.361270584561652</v>
      </c>
      <c r="K280" s="172">
        <f t="shared" ref="K280:K316" si="767">(Vout+Vfwd1+F280/CG280*Rdcr_sec)*Nps+I280</f>
        <v>52.257578733387128</v>
      </c>
      <c r="L280" s="443"/>
      <c r="M280" s="217">
        <f t="shared" ref="M280:M316" si="768">(Vout+Vfwd1+F280/FL280*Rdcr_sec)*Nps/((Vout+Vfwd1+F280/FL280*Rdcr_sec)*Nps+I280)</f>
        <v>0.31309164558103036</v>
      </c>
      <c r="N280" s="172">
        <f t="shared" ref="N280:N311" si="769">M280*I280*(Isw_max+VIN_max/Lmag*ILIM_delay)*0.5*Efficiency</f>
        <v>63.044864760626147</v>
      </c>
      <c r="O280" s="172">
        <f t="shared" si="762"/>
        <v>15.36</v>
      </c>
      <c r="P280" s="217">
        <f t="shared" ref="P280:P311" si="770">N280/Vout</f>
        <v>2.6268693650260895</v>
      </c>
      <c r="Q280" s="217">
        <f t="shared" ref="Q280:Q316" si="771">MIN(Vout,N280/F280)</f>
        <v>24</v>
      </c>
      <c r="R280" s="217"/>
      <c r="S280" s="172">
        <f t="shared" ref="S280:S316" si="772">(SQRT(Isw_max^2*Nps^2*I280^2+4*Isw_max*F280/Efficiency*(Nps^2*Vfwd1*I280-Nps*I280^2)+4*(F280/Efficiency)^2*Nps^2*Vfwd1^2+8*(F280/Efficiency)^2*Nps*Vfwd1*I280+4*(F280/Efficiency)^2*I280^2)-2*F280/Efficiency*I280-2*F280/Efficiency*Nps*Vfwd1+Isw_max*Nps*I280)/(4*F280/Efficiency*Nps)</f>
        <v>257.8864852583107</v>
      </c>
      <c r="T280" s="172">
        <f t="shared" ref="T280:T311" si="773">MIN(Vout, S280)</f>
        <v>24</v>
      </c>
      <c r="U280" s="217">
        <f t="shared" ref="U280:U316" si="774">MIN(2*(Vout+Vfwd1+F280/FL280*Rdcr_sec)*F280/(I280*M280), Isw_max)</f>
        <v>2.7937358272245283</v>
      </c>
      <c r="V280" s="217">
        <f t="shared" ref="V280:V311" si="775">L*U280/I280*1000000</f>
        <v>0.77827943075420125</v>
      </c>
      <c r="W280" s="217">
        <f t="shared" ref="W280:W316" si="776">L*U280/J280*1000000</f>
        <v>1.7075298723197407</v>
      </c>
      <c r="X280" s="197">
        <f t="shared" ref="X280:X316" si="777">IF(1/((350000*L)*(1/I280+1/J280))&gt;Isw_min, 350, 0.001/((Isw_min*L)*(1/I280+1/J280)))</f>
        <v>350</v>
      </c>
      <c r="Y280" s="443">
        <f t="shared" si="680"/>
        <v>350</v>
      </c>
      <c r="AA280" s="217">
        <f t="shared" ref="AA280:AA316" si="778">1/((X280*1000*L)*(1/I280+1/J280))</f>
        <v>3.2110678617334063</v>
      </c>
      <c r="AB280" s="173">
        <f t="shared" ref="AB280:AB311" si="779">L*AA280/J280*1000000</f>
        <v>1.9626029929260762</v>
      </c>
      <c r="AC280" s="173">
        <f t="shared" ref="AC280:AC311" si="780">0.5*AB280*AA280*Nps*X280/1000</f>
        <v>0.73560694918954639</v>
      </c>
      <c r="AD280" s="173"/>
      <c r="AE280" s="173">
        <f t="shared" ref="AE280:AE316" si="781">L*Isw_min/J280*1000000</f>
        <v>1.3582210566941491</v>
      </c>
      <c r="AF280" s="545">
        <f t="shared" ref="AF280:AF311" si="782">MAX(12000,F280/(0.5*AE280/1000000*Isw_min*Nps))/1000</f>
        <v>635.80829617966697</v>
      </c>
      <c r="AG280" s="528">
        <f t="shared" ref="AG280:AG316" si="783">0.5*AE280/1000000*Isw_min*Nps*X280*1000</f>
        <v>0.35230745076138797</v>
      </c>
      <c r="AI280" s="173">
        <f t="shared" ref="AI280:AI316" si="784">SQRT(F280/(0.5*L/J280*Fsw_DCM*Nps))</f>
        <v>2.9951360833420919</v>
      </c>
      <c r="AJ280" s="173">
        <f t="shared" ref="AJ280:AJ311" si="785">MAX(IF(F280&gt;AC280,U280,AI280),Isw_min)</f>
        <v>2.9951360833420919</v>
      </c>
      <c r="AK280" s="173">
        <f t="shared" ref="AK280:AK311" si="786">IF(F280&gt;AG280, (AJ280-Isw_min)/1.08*0.8+1.2, AF280*0.2/350+1)</f>
        <v>1.7725287860147181</v>
      </c>
      <c r="AM280" s="545">
        <f t="shared" ref="AM280:AM316" si="787">F280*1000</f>
        <v>640</v>
      </c>
      <c r="AN280" s="460">
        <f t="shared" ref="AN280:AN316" si="788">IF(F280&gt;AG280, Y280, AF280)</f>
        <v>350</v>
      </c>
      <c r="AP280">
        <f t="shared" ref="AP280:AP316" si="789">IF(H280&gt;N280, "",AM280)</f>
        <v>640</v>
      </c>
      <c r="AQ280">
        <f t="shared" ref="AQ280:AQ316" si="790">IF(H280&gt;N280, "",AN280)</f>
        <v>350</v>
      </c>
      <c r="AS280" s="5">
        <f t="shared" si="763"/>
        <v>2.8571428571428572</v>
      </c>
      <c r="AT280" s="5">
        <f t="shared" ref="AT280:AT316" si="791">L*AJ280/I280*1000000</f>
        <v>0.8343855504371952</v>
      </c>
      <c r="AU280" s="5">
        <f t="shared" si="722"/>
        <v>2.0227573067056621</v>
      </c>
      <c r="AV280" s="5"/>
      <c r="AW280" s="173">
        <f t="shared" si="723"/>
        <v>0.29203494265301833</v>
      </c>
      <c r="AX280" s="173">
        <f t="shared" ref="AX280:AX316" si="792">0.5*L*AJ280^2*AN280*1000</f>
        <v>15.698970276041162</v>
      </c>
      <c r="AY280" s="173">
        <f t="shared" ref="AY280:AY316" si="793">AJ280*Nps/2*(1-AW280)</f>
        <v>0.70717063828326698</v>
      </c>
      <c r="AZ280" s="173">
        <f t="shared" ref="AZ280:AZ316" si="794">AX280/AY280</f>
        <v>22.199691879391523</v>
      </c>
      <c r="BA280" s="460">
        <f t="shared" si="724"/>
        <v>2.2250281344991873</v>
      </c>
      <c r="BB280" s="5">
        <f t="shared" si="725"/>
        <v>0.72128012213644954</v>
      </c>
      <c r="BD280" s="173">
        <f t="shared" si="681"/>
        <v>0.9344871661352292</v>
      </c>
      <c r="BE280" s="173">
        <f t="shared" si="682"/>
        <v>0.97048243030639669</v>
      </c>
      <c r="BG280" s="528">
        <f t="shared" si="683"/>
        <v>3.4930650546858059E-2</v>
      </c>
      <c r="BH280" s="528">
        <f t="shared" ref="BH280:BH316" si="795">0.5*K280*AJ280*AN280*1000*Tfall</f>
        <v>1.2325836575781077</v>
      </c>
      <c r="BI280" s="528">
        <f t="shared" ref="BI280:BI316" si="796">Qg*Vdd*AN280*1000*0+Qg*I280*AN280*1000</f>
        <v>0.50254831408355671</v>
      </c>
      <c r="BJ280" s="528">
        <f t="shared" si="684"/>
        <v>0.16726484027341446</v>
      </c>
      <c r="BK280">
        <f t="shared" si="685"/>
        <v>1.6153338666971464E-2</v>
      </c>
      <c r="BL280" s="460">
        <f t="shared" si="686"/>
        <v>518.70165275052818</v>
      </c>
      <c r="BM280" s="528">
        <f t="shared" ref="BM280:BM316" si="797">(BH280+BI280*0+BJ280+BK280*0+BG280*(1+RdsonTC*(Ta-25)))/(1-BG280*RdsonTC*ThetaJA)</f>
        <v>1.4562969938147237</v>
      </c>
      <c r="BN280" s="460">
        <f t="shared" si="687"/>
        <v>1456.2969938147237</v>
      </c>
      <c r="BO280" s="528">
        <f t="shared" ref="BO280:BO316" si="798">Vfwd2*F280</f>
        <v>0.44799999999999995</v>
      </c>
      <c r="BR280" s="460">
        <f t="shared" si="688"/>
        <v>447.99999999999994</v>
      </c>
      <c r="BS280" s="528">
        <f t="shared" si="689"/>
        <v>2.6197987910143543E-2</v>
      </c>
      <c r="BT280" s="528">
        <f t="shared" si="690"/>
        <v>2.8255084426002303E-2</v>
      </c>
      <c r="BU280" s="528">
        <f t="shared" si="691"/>
        <v>1.7790227970524597</v>
      </c>
      <c r="BV280" s="528"/>
      <c r="BW280" s="528">
        <f t="shared" si="692"/>
        <v>0.62795881104164641</v>
      </c>
      <c r="BX280" s="460">
        <f t="shared" si="693"/>
        <v>2461.4346804302518</v>
      </c>
      <c r="BY280" s="173">
        <f t="shared" si="694"/>
        <v>4.8629154815791606</v>
      </c>
      <c r="BZ280" s="5">
        <f t="shared" si="695"/>
        <v>15.36</v>
      </c>
      <c r="CA280" s="173">
        <f t="shared" si="696"/>
        <v>0.75953440115947968</v>
      </c>
      <c r="CB280" s="5">
        <f t="shared" si="697"/>
        <v>75.95344011594797</v>
      </c>
      <c r="CE280" s="562">
        <f t="shared" ref="CE280:CE316" si="799">IF(ABS(F280-Ioutmax_Vinmax)&lt;Iout/200, AN280, -50)</f>
        <v>-50</v>
      </c>
      <c r="CF280">
        <f t="shared" ref="CF280:CF316" si="800">IF(ABS(F280-Ioutmax_Vinmin)&lt;Iout/200, N280*CA280, -50)</f>
        <v>-50</v>
      </c>
      <c r="CG280" s="173">
        <f t="shared" ref="CG280:CG316" si="801">MIN(SQRT(2*DU280*1000*Ls1_*CL280)/CU280,1-EA280-0.00000005*DU280*1000)</f>
        <v>0.64775019474341422</v>
      </c>
      <c r="CI280" s="170">
        <v>64</v>
      </c>
      <c r="CJ280" s="217">
        <f t="shared" si="698"/>
        <v>0.64</v>
      </c>
      <c r="CK280" s="217"/>
      <c r="CL280" s="217">
        <f t="shared" ref="CL280:CL316" si="802">CJ280*Vout</f>
        <v>15.36</v>
      </c>
      <c r="CM280" s="541">
        <f t="shared" ref="CM280:CM316" si="803">VIN_max</f>
        <v>36</v>
      </c>
      <c r="CN280" s="443">
        <f t="shared" ref="CN280:CN316" si="804">(CX280+Vfwd1)*Nps</f>
        <v>16.3415</v>
      </c>
      <c r="CO280" s="443">
        <f t="shared" ref="CO280:CO316" si="805">(Vout+Vfwd1)*Nps+CM280</f>
        <v>52.341499999999996</v>
      </c>
      <c r="CP280" s="443"/>
      <c r="CQ280" s="217">
        <f t="shared" ref="CQ280:CQ316" si="806">(Vout+Vfwd1)*Nps/((Vout+Vfwd1)*Nps+CM280)</f>
        <v>0.31220924123305599</v>
      </c>
      <c r="CR280" s="172">
        <f t="shared" ref="CR280:CR316" si="807">CQ280*CM280*(Isw_max+VIN_max/Lmag*ILIM_delay)*0.5*Efficiency</f>
        <v>63.048783011568261</v>
      </c>
      <c r="CS280" s="172">
        <f t="shared" ref="CS280:CS316" si="808">CX280*CJ280</f>
        <v>15.36</v>
      </c>
      <c r="CT280" s="217">
        <f t="shared" ref="CT280:CT316" si="809">CR280/Vout</f>
        <v>2.6270326254820109</v>
      </c>
      <c r="CU280" s="217">
        <f t="shared" ref="CU280:CU316" si="810">MIN(Vout,CR280/CJ280)</f>
        <v>24</v>
      </c>
      <c r="CV280" s="217"/>
      <c r="CW280" s="172">
        <f t="shared" ref="CW280:CW316" si="811">(SQRT(Isw_max^2*Nps^2*CM280^2+4*Isw_max*CJ280/Efficiency*(Nps^2*Vfwd1*CM280-Nps*CM280^2)+4*(CJ280/Efficiency)^2*Nps^2*Vfwd1^2+8*(CJ280/Efficiency)^2*Nps*Vfwd1*CM280+4*(CJ280/Efficiency)^2*CM280^2)-2*CJ280/Efficiency*CM280-2*CJ280/Efficiency*Nps*Vfwd1+Isw_max*Nps*CM280)/(4*CJ280/Efficiency*Nps)</f>
        <v>258.63112878742476</v>
      </c>
      <c r="CX280" s="172">
        <f t="shared" ref="CX280:CX316" si="812">MIN(Vout, CW280)</f>
        <v>24</v>
      </c>
      <c r="CY280" s="217">
        <f t="shared" ref="CY280:CY316" si="813">MIN(2*Vout*CJ280/(Efficiency*CM280*CQ280), Isw_max)</f>
        <v>2.7332097216697773</v>
      </c>
      <c r="CZ280" s="217">
        <f t="shared" ref="CZ280:CZ316" si="814">L*CY280/CM280*1000000</f>
        <v>0.75922492268604935</v>
      </c>
      <c r="DA280" s="217">
        <f t="shared" ref="DA280:DA316" si="815">L*CY280/CN280*1000000</f>
        <v>1.6725574284305464</v>
      </c>
      <c r="DB280" s="197">
        <f t="shared" ref="DB280:DB316" si="816">IF(1/((350000*L)*(1/CM280+1/CN280))&gt;Isw_min, 350, 0.001/((Isw_min*L)*(1/CM280+1/CN280)))</f>
        <v>350</v>
      </c>
      <c r="DC280" s="443">
        <f t="shared" ref="DC280:DC316" si="817">MIN(1/(CZ280+DA280)*1000, 350)</f>
        <v>350</v>
      </c>
      <c r="DE280" s="217">
        <f t="shared" ref="DE280:DE316" si="818">1/((DB280*1000*L)*(1/CM280+1/CN280))</f>
        <v>3.211295052682861</v>
      </c>
      <c r="DF280" s="173">
        <f t="shared" ref="DF280:DF316" si="819">L*DE280/CN280*1000000</f>
        <v>1.96511645361984</v>
      </c>
      <c r="DG280" s="173">
        <f t="shared" ref="DG280:DG316" si="820">0.5*DF280*DE280*Nps*DB280/1000</f>
        <v>0.73660113681324435</v>
      </c>
      <c r="DH280" s="173"/>
      <c r="DI280" s="173">
        <f t="shared" ref="DI280:DI316" si="821">L*Isw_min/CN280*1000000</f>
        <v>1.3598642855443031</v>
      </c>
      <c r="DJ280" s="545">
        <f t="shared" ref="DJ280:DJ316" si="822">MAX(12000,CJ280/(0.5*DI280/1000000*Isw_min*Nps))/1000</f>
        <v>635.03999999999974</v>
      </c>
      <c r="DK280" s="528">
        <f t="shared" ref="DK280:DK316" si="823">0.5*DI280/1000000*Isw_min*Nps*DB280*1000</f>
        <v>0.35273368606701955</v>
      </c>
      <c r="DM280" s="173">
        <f t="shared" ref="DM280:DM316" si="824">SQRT(CJ280/(0.5*L/CN280*Fsw_DCM*Nps))</f>
        <v>2.9933259094191529</v>
      </c>
      <c r="DN280" s="173">
        <f t="shared" ref="DN280:DN316" si="825">MAX(IF(CJ280&gt;DG280,CY280,DM280),Isw_min)</f>
        <v>2.9933259094191529</v>
      </c>
      <c r="DO280" s="173">
        <f t="shared" ref="DO280:DO316" si="826">IF(CJ280&gt;DK280, (DN280-Isw_min)/1.08*0.8+1.2, DJ280*0.2/350+1)</f>
        <v>1.7711879164421709</v>
      </c>
      <c r="DQ280" s="545">
        <f t="shared" ref="DQ280:DQ316" si="827">CJ280*1000</f>
        <v>640</v>
      </c>
      <c r="DR280" s="460">
        <f t="shared" ref="DR280:DR316" si="828">IF(CJ280&gt;DK280, DC280, DJ280)</f>
        <v>350</v>
      </c>
      <c r="DT280">
        <f t="shared" ref="DT280:DT316" si="829">IF(CL280&gt;CR280, "",DQ280)</f>
        <v>640</v>
      </c>
      <c r="DU280">
        <f t="shared" ref="DU280:DU316" si="830">IF(CL280&gt;CR280, "",DR280)</f>
        <v>350</v>
      </c>
      <c r="DW280" s="5">
        <f t="shared" si="670"/>
        <v>2.8571428571428572</v>
      </c>
      <c r="DX280" s="5">
        <f t="shared" ref="DX280:DX316" si="831">L*DN280/CM280*1000000</f>
        <v>0.8314794192830981</v>
      </c>
      <c r="DY280" s="5">
        <f t="shared" ref="DY280:DY316" si="832">DW280-DX280</f>
        <v>2.0256634378597589</v>
      </c>
      <c r="DZ280" s="5"/>
      <c r="EA280" s="173">
        <f t="shared" ref="EA280:EA316" si="833">DX280/DW280</f>
        <v>0.29101779674908435</v>
      </c>
      <c r="EB280" s="173">
        <f t="shared" si="699"/>
        <v>15.68</v>
      </c>
      <c r="EC280" s="173">
        <f t="shared" si="700"/>
        <v>0.70775863523573201</v>
      </c>
      <c r="ED280" s="173">
        <f t="shared" si="701"/>
        <v>22.15444534248245</v>
      </c>
      <c r="EE280" s="460">
        <f t="shared" ref="EE280:EE316" si="834">CJ280*DX280/Vout_ripple*1000</f>
        <v>2.2172784514215951</v>
      </c>
      <c r="EF280" s="5">
        <f t="shared" ref="EF280:EF316" si="835">CL280/Efficiency/CM280*DY280/Vinripple1</f>
        <v>0.72023588901680302</v>
      </c>
      <c r="EH280" s="173">
        <f t="shared" si="702"/>
        <v>0.93229456340647243</v>
      </c>
      <c r="EI280" s="173">
        <f t="shared" si="703"/>
        <v>0.97059238190945119</v>
      </c>
      <c r="EK280" s="528">
        <f t="shared" si="704"/>
        <v>3.4766926118290603E-2</v>
      </c>
      <c r="EL280" s="528">
        <f t="shared" si="705"/>
        <v>1.5079984928456771</v>
      </c>
      <c r="EM280" s="528">
        <f t="shared" si="706"/>
        <v>6.9999999999999993E-2</v>
      </c>
      <c r="EN280" s="528">
        <f t="shared" si="707"/>
        <v>0.16780249811281248</v>
      </c>
      <c r="EO280">
        <f t="shared" si="708"/>
        <v>1.6199999999999999E-2</v>
      </c>
      <c r="EP280" s="460">
        <f t="shared" si="709"/>
        <v>86.2</v>
      </c>
      <c r="EQ280" s="460"/>
      <c r="ER280" s="460">
        <f t="shared" si="710"/>
        <v>1796.7679170767803</v>
      </c>
      <c r="ES280" s="528">
        <f t="shared" si="711"/>
        <v>0.44799999999999995</v>
      </c>
      <c r="EV280" s="460">
        <f t="shared" si="712"/>
        <v>447.99999999999994</v>
      </c>
      <c r="EW280" s="528">
        <f t="shared" si="713"/>
        <v>2.6075194588717949E-2</v>
      </c>
      <c r="EX280" s="528">
        <f t="shared" si="714"/>
        <v>2.8261487154619857E-2</v>
      </c>
      <c r="EY280" s="528">
        <f t="shared" si="715"/>
        <v>1.776336040071975</v>
      </c>
      <c r="EZ280" s="528"/>
      <c r="FA280" s="528">
        <f t="shared" si="716"/>
        <v>0.62719999999999998</v>
      </c>
      <c r="FB280" s="460">
        <f t="shared" si="717"/>
        <v>2457.8727218153126</v>
      </c>
      <c r="FC280" s="173">
        <f t="shared" si="718"/>
        <v>4.7026406388920936</v>
      </c>
      <c r="FD280" s="5">
        <f t="shared" si="719"/>
        <v>15.36</v>
      </c>
      <c r="FE280" s="173">
        <f t="shared" si="720"/>
        <v>0.76560210973545184</v>
      </c>
      <c r="FF280" s="5">
        <f t="shared" si="721"/>
        <v>76.560210973545182</v>
      </c>
      <c r="FI280" s="562">
        <f t="shared" ref="FI280:FI316" si="836">IF(ABS(CJ280-Ioutmax_Vinmax)&lt;Iout/200, DR280, -50)</f>
        <v>-50</v>
      </c>
      <c r="FJ280">
        <f t="shared" ref="FJ280:FJ316" si="837">IF(ABS(CJ280-Ioutmax_Vinmin)&lt;Iout/200, CR280*FE280, -50)</f>
        <v>-50</v>
      </c>
      <c r="FL280">
        <f t="shared" ref="FL280:FL316" si="838">MIN(SQRT(2*L*DR280*1000*CJ280*(CX280+Vfwd1))/(Nps*(CX280+Vfwd1)), 1-EA280)</f>
        <v>0.64110642737613044</v>
      </c>
    </row>
    <row r="281" spans="5:168">
      <c r="E281" s="170">
        <v>65</v>
      </c>
      <c r="F281" s="217">
        <f t="shared" ref="F281:F312" si="839">IF(PLOT_TYPE=1, E281/100*Iout_max, min_I*EXP(N281*rr/100))</f>
        <v>0.65</v>
      </c>
      <c r="G281" s="217"/>
      <c r="H281" s="217">
        <f t="shared" si="764"/>
        <v>15.600000000000001</v>
      </c>
      <c r="I281" s="541">
        <f t="shared" si="765"/>
        <v>35.895501196179097</v>
      </c>
      <c r="J281" s="172">
        <f t="shared" si="766"/>
        <v>16.36142444357132</v>
      </c>
      <c r="K281" s="172">
        <f t="shared" si="767"/>
        <v>52.25692563975042</v>
      </c>
      <c r="L281" s="443"/>
      <c r="M281" s="217">
        <f t="shared" si="768"/>
        <v>0.3130985237312135</v>
      </c>
      <c r="N281" s="172">
        <f t="shared" si="769"/>
        <v>63.044832474919822</v>
      </c>
      <c r="O281" s="172">
        <f t="shared" si="762"/>
        <v>15.600000000000001</v>
      </c>
      <c r="P281" s="217">
        <f t="shared" si="770"/>
        <v>2.6268680197883261</v>
      </c>
      <c r="Q281" s="217">
        <f t="shared" si="771"/>
        <v>24</v>
      </c>
      <c r="R281" s="217"/>
      <c r="S281" s="172">
        <f t="shared" si="772"/>
        <v>253.088921314337</v>
      </c>
      <c r="T281" s="172">
        <f t="shared" si="773"/>
        <v>24</v>
      </c>
      <c r="U281" s="217">
        <f t="shared" si="774"/>
        <v>2.8374163611401415</v>
      </c>
      <c r="V281" s="217">
        <f t="shared" si="775"/>
        <v>0.79046573152241451</v>
      </c>
      <c r="W281" s="217">
        <f t="shared" si="776"/>
        <v>1.7342110834701869</v>
      </c>
      <c r="X281" s="197">
        <f t="shared" si="777"/>
        <v>350</v>
      </c>
      <c r="Y281" s="443">
        <f t="shared" ref="Y281:Y316" si="840">MIN(1/(V281+W281+0.2)*1000, 350)</f>
        <v>350</v>
      </c>
      <c r="AA281" s="217">
        <f t="shared" si="778"/>
        <v>3.2110660029155418</v>
      </c>
      <c r="AB281" s="173">
        <f t="shared" si="779"/>
        <v>1.9625834009686267</v>
      </c>
      <c r="AC281" s="173">
        <f t="shared" si="780"/>
        <v>0.73559918006809344</v>
      </c>
      <c r="AD281" s="173"/>
      <c r="AE281" s="173">
        <f t="shared" si="781"/>
        <v>1.3582082843009256</v>
      </c>
      <c r="AF281" s="545">
        <f t="shared" si="782"/>
        <v>645.7488732788828</v>
      </c>
      <c r="AG281" s="528">
        <f t="shared" si="783"/>
        <v>0.35230413774450126</v>
      </c>
      <c r="AI281" s="173">
        <f t="shared" si="784"/>
        <v>3.0184590793667225</v>
      </c>
      <c r="AJ281" s="173">
        <f t="shared" si="785"/>
        <v>3.0184590793667225</v>
      </c>
      <c r="AK281" s="173">
        <f t="shared" si="786"/>
        <v>1.7898050793662965</v>
      </c>
      <c r="AM281" s="545">
        <f t="shared" si="787"/>
        <v>650</v>
      </c>
      <c r="AN281" s="460">
        <f t="shared" si="788"/>
        <v>350</v>
      </c>
      <c r="AP281">
        <f t="shared" si="789"/>
        <v>650</v>
      </c>
      <c r="AQ281">
        <f t="shared" si="790"/>
        <v>350</v>
      </c>
      <c r="AS281" s="5">
        <f t="shared" si="763"/>
        <v>2.8571428571428572</v>
      </c>
      <c r="AT281" s="5">
        <f t="shared" si="791"/>
        <v>0.8409017784345697</v>
      </c>
      <c r="AU281" s="5">
        <f t="shared" si="722"/>
        <v>2.0162410787082874</v>
      </c>
      <c r="AV281" s="5"/>
      <c r="AW281" s="173">
        <f t="shared" si="723"/>
        <v>0.29431562245209941</v>
      </c>
      <c r="AX281" s="173">
        <f t="shared" si="792"/>
        <v>15.944416624169959</v>
      </c>
      <c r="AY281" s="173">
        <f t="shared" si="793"/>
        <v>0.71038148542833435</v>
      </c>
      <c r="AZ281" s="173">
        <f t="shared" si="794"/>
        <v>22.444865119979937</v>
      </c>
      <c r="BA281" s="460">
        <f t="shared" si="724"/>
        <v>2.2774423165936262</v>
      </c>
      <c r="BB281" s="5">
        <f t="shared" si="725"/>
        <v>0.73020665960217268</v>
      </c>
      <c r="BD281" s="173">
        <f t="shared" ref="BD281:BD316" si="841">AJ281*SQRT(AW281/3)</f>
        <v>0.94543423164054563</v>
      </c>
      <c r="BE281" s="173">
        <f t="shared" ref="BE281:BE316" si="842">AJ281*Nps*SQRT((1-AW281)/3)</f>
        <v>0.97646290780720446</v>
      </c>
      <c r="BG281" s="528">
        <f t="shared" ref="BG281:BG316" si="843">Rdson*BD281^2</f>
        <v>3.5753835454309955E-2</v>
      </c>
      <c r="BH281" s="528">
        <f t="shared" si="795"/>
        <v>1.2421662092996337</v>
      </c>
      <c r="BI281" s="528">
        <f t="shared" si="796"/>
        <v>0.5025370167465073</v>
      </c>
      <c r="BJ281" s="528">
        <f t="shared" ref="BJ281:BJ316" si="844">0.5*(Coss+Csw)*K281^2*AN281*1000</f>
        <v>0.16726065948575228</v>
      </c>
      <c r="BK281">
        <f t="shared" ref="BK281:BK316" si="845">I281*IQ</f>
        <v>1.6152975538280594E-2</v>
      </c>
      <c r="BL281" s="460">
        <f t="shared" ref="BL281:BL316" si="846">(BK281+BI281)*1000</f>
        <v>518.68999228478788</v>
      </c>
      <c r="BM281" s="528">
        <f t="shared" si="797"/>
        <v>1.4672991090600023</v>
      </c>
      <c r="BN281" s="460">
        <f t="shared" ref="BN281:BN316" si="847">BM281*1000</f>
        <v>1467.2991090600024</v>
      </c>
      <c r="BO281" s="528">
        <f t="shared" si="798"/>
        <v>0.45499999999999996</v>
      </c>
      <c r="BR281" s="460">
        <f t="shared" ref="BR281:BR316" si="848">SUM(BO281:BQ281)*1000</f>
        <v>454.99999999999994</v>
      </c>
      <c r="BS281" s="528">
        <f t="shared" ref="BS281:BS316" si="849">Rdcr_pri*BD281^2</f>
        <v>2.6815376590732465E-2</v>
      </c>
      <c r="BT281" s="528">
        <f t="shared" ref="BT281:BT316" si="850">Rdcr_sec*BE281^2</f>
        <v>2.8604394309699032E-2</v>
      </c>
      <c r="BU281" s="528">
        <f t="shared" ref="BU281:BU316" si="851">AJ281^2.5*AN281^2.5*k_core</f>
        <v>1.8138582584416769</v>
      </c>
      <c r="BV281" s="528"/>
      <c r="BW281" s="528">
        <f t="shared" ref="BW281:BW316" si="852">0.5*Lleak*0.000000001*AJ281^2*AN281*1000</f>
        <v>0.6377766649667983</v>
      </c>
      <c r="BX281" s="460">
        <f t="shared" ref="BX281:BX316" si="853">SUM(BS281:BW281)*1000</f>
        <v>2507.0546943089071</v>
      </c>
      <c r="BY281" s="173">
        <f t="shared" ref="BY281:BY316" si="854">SUM(BG281:BK281,BO281:BQ281,BS281:BW281)</f>
        <v>4.9259253908333909</v>
      </c>
      <c r="BZ281" s="5">
        <f t="shared" ref="BZ281:BZ316" si="855">MIN(H281,O281)</f>
        <v>15.600000000000001</v>
      </c>
      <c r="CA281" s="173">
        <f t="shared" ref="CA281:CA316" si="856">BZ281/(BZ281+BY281)</f>
        <v>0.76001445503483878</v>
      </c>
      <c r="CB281" s="5">
        <f t="shared" ref="CB281:CB316" si="857">CA281*100</f>
        <v>76.001445503483879</v>
      </c>
      <c r="CE281" s="562">
        <f t="shared" si="799"/>
        <v>-50</v>
      </c>
      <c r="CF281">
        <f t="shared" si="800"/>
        <v>-50</v>
      </c>
      <c r="CG281" s="173">
        <f t="shared" si="801"/>
        <v>0.65279112831649833</v>
      </c>
      <c r="CI281" s="170">
        <v>65</v>
      </c>
      <c r="CJ281" s="217">
        <f t="shared" ref="CJ281:CJ316" si="858">IF(PLOT_TYPE=1, CI281/100*Iout_max, min_I*EXP(CR281*rr/100))</f>
        <v>0.65</v>
      </c>
      <c r="CK281" s="217"/>
      <c r="CL281" s="217">
        <f t="shared" si="802"/>
        <v>15.600000000000001</v>
      </c>
      <c r="CM281" s="541">
        <f t="shared" si="803"/>
        <v>36</v>
      </c>
      <c r="CN281" s="443">
        <f t="shared" si="804"/>
        <v>16.3415</v>
      </c>
      <c r="CO281" s="443">
        <f t="shared" si="805"/>
        <v>52.341499999999996</v>
      </c>
      <c r="CP281" s="443"/>
      <c r="CQ281" s="217">
        <f t="shared" si="806"/>
        <v>0.31220924123305599</v>
      </c>
      <c r="CR281" s="172">
        <f t="shared" si="807"/>
        <v>63.048783011568261</v>
      </c>
      <c r="CS281" s="172">
        <f t="shared" si="808"/>
        <v>15.600000000000001</v>
      </c>
      <c r="CT281" s="217">
        <f t="shared" si="809"/>
        <v>2.6270326254820109</v>
      </c>
      <c r="CU281" s="217">
        <f t="shared" si="810"/>
        <v>24</v>
      </c>
      <c r="CV281" s="217"/>
      <c r="CW281" s="172">
        <f t="shared" si="811"/>
        <v>253.82540434882767</v>
      </c>
      <c r="CX281" s="172">
        <f t="shared" si="812"/>
        <v>24</v>
      </c>
      <c r="CY281" s="217">
        <f t="shared" si="813"/>
        <v>2.7759161235708678</v>
      </c>
      <c r="CZ281" s="217">
        <f t="shared" si="814"/>
        <v>0.77108781210301891</v>
      </c>
      <c r="DA281" s="217">
        <f t="shared" si="815"/>
        <v>1.6986911382497738</v>
      </c>
      <c r="DB281" s="197">
        <f t="shared" si="816"/>
        <v>350</v>
      </c>
      <c r="DC281" s="443">
        <f t="shared" si="817"/>
        <v>350</v>
      </c>
      <c r="DE281" s="217">
        <f t="shared" si="818"/>
        <v>3.211295052682861</v>
      </c>
      <c r="DF281" s="173">
        <f t="shared" si="819"/>
        <v>1.96511645361984</v>
      </c>
      <c r="DG281" s="173">
        <f t="shared" si="820"/>
        <v>0.73660113681324435</v>
      </c>
      <c r="DH281" s="173"/>
      <c r="DI281" s="173">
        <f t="shared" si="821"/>
        <v>1.3598642855443031</v>
      </c>
      <c r="DJ281" s="545">
        <f t="shared" si="822"/>
        <v>644.96249999999975</v>
      </c>
      <c r="DK281" s="528">
        <f t="shared" si="823"/>
        <v>0.35273368606701955</v>
      </c>
      <c r="DM281" s="173">
        <f t="shared" si="824"/>
        <v>3.0166206257996713</v>
      </c>
      <c r="DN281" s="173">
        <f t="shared" si="825"/>
        <v>3.0166206257996713</v>
      </c>
      <c r="DO281" s="173">
        <f t="shared" si="826"/>
        <v>1.7884432619092214</v>
      </c>
      <c r="DQ281" s="545">
        <f t="shared" si="827"/>
        <v>650</v>
      </c>
      <c r="DR281" s="460">
        <f t="shared" si="828"/>
        <v>350</v>
      </c>
      <c r="DT281">
        <f t="shared" si="829"/>
        <v>650</v>
      </c>
      <c r="DU281">
        <f t="shared" si="830"/>
        <v>350</v>
      </c>
      <c r="DW281" s="5">
        <f t="shared" ref="DW281:DW316" si="859">1/DR281*1000</f>
        <v>2.8571428571428572</v>
      </c>
      <c r="DX281" s="5">
        <f t="shared" si="831"/>
        <v>0.837950173833242</v>
      </c>
      <c r="DY281" s="5">
        <f t="shared" si="832"/>
        <v>2.0191926833096154</v>
      </c>
      <c r="DZ281" s="5"/>
      <c r="EA281" s="173">
        <f t="shared" si="833"/>
        <v>0.29328256084163468</v>
      </c>
      <c r="EB281" s="173">
        <f t="shared" ref="EB281:EB316" si="860">0.5*L*DN281^2*DR281*1000</f>
        <v>15.925000000000002</v>
      </c>
      <c r="EC281" s="173">
        <f t="shared" ref="EC281:EC316" si="861">DN281*Nps/2*(1-EA281)</f>
        <v>0.71098811759307934</v>
      </c>
      <c r="ED281" s="173">
        <f t="shared" ref="ED281:ED316" si="862">EB281/EC281</f>
        <v>22.398405269994086</v>
      </c>
      <c r="EE281" s="460">
        <f t="shared" si="834"/>
        <v>2.2694483874650304</v>
      </c>
      <c r="EF281" s="5">
        <f t="shared" si="835"/>
        <v>0.72915291341736099</v>
      </c>
      <c r="EH281" s="173">
        <f t="shared" ref="EH281:EH316" si="863">DN281*SQRT(EA281/3)</f>
        <v>0.94319868950624164</v>
      </c>
      <c r="EI281" s="173">
        <f t="shared" ref="EI281:EI316" si="864">DN281*Nps*SQRT((1-EA281)/3)</f>
        <v>0.97658220589060951</v>
      </c>
      <c r="EK281" s="528">
        <f t="shared" ref="EK281:EK316" si="865">Rdson*EH281^2</f>
        <v>3.5584950715451667E-2</v>
      </c>
      <c r="EL281" s="528">
        <f t="shared" ref="EL281:EL316" si="866">0.5*CO281*DN281*DR281*1000*Trise</f>
        <v>1.5197340666709498</v>
      </c>
      <c r="EM281" s="528">
        <f t="shared" ref="EM281:EM316" si="867">Qg*Vdd*DR281*1000</f>
        <v>6.9999999999999993E-2</v>
      </c>
      <c r="EN281" s="528">
        <f t="shared" ref="EN281:EN316" si="868">0.5*(Coss+Csw)*CO281^2*DR281*1000</f>
        <v>0.16780249811281248</v>
      </c>
      <c r="EO281">
        <f t="shared" ref="EO281:EO316" si="869">CM281*IQ</f>
        <v>1.6199999999999999E-2</v>
      </c>
      <c r="EP281" s="460">
        <f t="shared" ref="EP281:EP316" si="870">(EO281+EM281)*1000</f>
        <v>86.2</v>
      </c>
      <c r="EQ281" s="460"/>
      <c r="ER281" s="460">
        <f t="shared" ref="ER281:ER316" si="871">SUM(EK281:EO281)*1000</f>
        <v>1809.3215154992142</v>
      </c>
      <c r="ES281" s="528">
        <f t="shared" ref="ES281:ES316" si="872">Vfwd2*CJ281</f>
        <v>0.45499999999999996</v>
      </c>
      <c r="EV281" s="460">
        <f t="shared" ref="EV281:EV316" si="873">SUM(ES281:EU281)*1000</f>
        <v>454.99999999999994</v>
      </c>
      <c r="EW281" s="528">
        <f t="shared" ref="EW281:EW316" si="874">Rdcr_pri*EH281^2</f>
        <v>2.6688713036588749E-2</v>
      </c>
      <c r="EX281" s="528">
        <f t="shared" ref="EX281:EX316" si="875">Rdcr_sec*EI281^2</f>
        <v>2.8611384145865063E-2</v>
      </c>
      <c r="EY281" s="528">
        <f t="shared" ref="EY281:EY316" si="876">DN281^2.5*DR281^2.5*k_core</f>
        <v>1.8110976022963199</v>
      </c>
      <c r="EZ281" s="528"/>
      <c r="FA281" s="528">
        <f t="shared" ref="FA281:FA316" si="877">0.5*Lleak*0.000000001*DN281^2*DR281*1000</f>
        <v>0.63700000000000012</v>
      </c>
      <c r="FB281" s="460">
        <f t="shared" ref="FB281:FB316" si="878">SUM(EW281:FA281)*1000</f>
        <v>2503.3976994787736</v>
      </c>
      <c r="FC281" s="173">
        <f t="shared" ref="FC281:FC316" si="879">SUM(EK281:EO281,ES281:EU281,EW281:FA281)</f>
        <v>4.7677192149779888</v>
      </c>
      <c r="FD281" s="5">
        <f t="shared" ref="FD281:FD316" si="880">MIN(CL281,CS281)</f>
        <v>15.600000000000001</v>
      </c>
      <c r="FE281" s="173">
        <f t="shared" ref="FE281:FE316" si="881">FD281/(FD281+FC281)</f>
        <v>0.76591786421172248</v>
      </c>
      <c r="FF281" s="5">
        <f t="shared" ref="FF281:FF316" si="882">FE281*100</f>
        <v>76.591786421172245</v>
      </c>
      <c r="FI281" s="562">
        <f t="shared" si="836"/>
        <v>-50</v>
      </c>
      <c r="FJ281">
        <f t="shared" si="837"/>
        <v>-50</v>
      </c>
      <c r="FL281">
        <f t="shared" si="838"/>
        <v>0.64609565769965116</v>
      </c>
    </row>
    <row r="282" spans="5:168">
      <c r="E282" s="170">
        <v>66</v>
      </c>
      <c r="F282" s="217">
        <f t="shared" si="839"/>
        <v>0.66</v>
      </c>
      <c r="G282" s="217"/>
      <c r="H282" s="217">
        <f t="shared" si="764"/>
        <v>15.84</v>
      </c>
      <c r="I282" s="541">
        <f t="shared" si="765"/>
        <v>35.894700427351296</v>
      </c>
      <c r="J282" s="172">
        <f t="shared" si="766"/>
        <v>16.361577123532619</v>
      </c>
      <c r="K282" s="172">
        <f t="shared" si="767"/>
        <v>52.256277550883915</v>
      </c>
      <c r="L282" s="443"/>
      <c r="M282" s="217">
        <f t="shared" si="768"/>
        <v>0.31310534934247269</v>
      </c>
      <c r="N282" s="172">
        <f t="shared" si="769"/>
        <v>63.044800409205592</v>
      </c>
      <c r="O282" s="172">
        <f t="shared" si="762"/>
        <v>15.84</v>
      </c>
      <c r="P282" s="217">
        <f t="shared" si="770"/>
        <v>2.6268666837168997</v>
      </c>
      <c r="Q282" s="217">
        <f t="shared" si="771"/>
        <v>24</v>
      </c>
      <c r="R282" s="217"/>
      <c r="S282" s="172">
        <f t="shared" si="772"/>
        <v>248.43688985383355</v>
      </c>
      <c r="T282" s="172">
        <f t="shared" si="773"/>
        <v>24</v>
      </c>
      <c r="U282" s="217">
        <f t="shared" si="774"/>
        <v>2.8810975494687918</v>
      </c>
      <c r="V282" s="217">
        <f t="shared" si="775"/>
        <v>0.80265262425018957</v>
      </c>
      <c r="W282" s="217">
        <f t="shared" si="776"/>
        <v>1.7608923196804489</v>
      </c>
      <c r="X282" s="197">
        <f t="shared" si="777"/>
        <v>350</v>
      </c>
      <c r="Y282" s="443">
        <f t="shared" si="840"/>
        <v>350</v>
      </c>
      <c r="AA282" s="217">
        <f t="shared" si="778"/>
        <v>3.2110641569540865</v>
      </c>
      <c r="AB282" s="173">
        <f t="shared" si="779"/>
        <v>1.9625639586636545</v>
      </c>
      <c r="AC282" s="173">
        <f t="shared" si="780"/>
        <v>0.73559146999175606</v>
      </c>
      <c r="AD282" s="173"/>
      <c r="AE282" s="173">
        <f t="shared" si="781"/>
        <v>1.3581956100222348</v>
      </c>
      <c r="AF282" s="545">
        <f t="shared" si="782"/>
        <v>655.68958997305367</v>
      </c>
      <c r="AG282" s="528">
        <f t="shared" si="783"/>
        <v>0.35230085017743412</v>
      </c>
      <c r="AI282" s="173">
        <f t="shared" si="784"/>
        <v>3.0416035638259489</v>
      </c>
      <c r="AJ282" s="173">
        <f t="shared" si="785"/>
        <v>3.0416035638259489</v>
      </c>
      <c r="AK282" s="173">
        <f t="shared" si="786"/>
        <v>1.8069491419286863</v>
      </c>
      <c r="AM282" s="545">
        <f t="shared" si="787"/>
        <v>660</v>
      </c>
      <c r="AN282" s="460">
        <f t="shared" si="788"/>
        <v>350</v>
      </c>
      <c r="AP282">
        <f t="shared" si="789"/>
        <v>660</v>
      </c>
      <c r="AQ282">
        <f t="shared" si="790"/>
        <v>350</v>
      </c>
      <c r="AS282" s="5">
        <f t="shared" si="763"/>
        <v>2.8571428571428572</v>
      </c>
      <c r="AT282" s="5">
        <f t="shared" si="791"/>
        <v>0.84736842141417812</v>
      </c>
      <c r="AU282" s="5">
        <f t="shared" si="722"/>
        <v>2.0097744357286791</v>
      </c>
      <c r="AV282" s="5"/>
      <c r="AW282" s="173">
        <f t="shared" si="723"/>
        <v>0.29657894749496233</v>
      </c>
      <c r="AX282" s="173">
        <f t="shared" si="792"/>
        <v>16.189866419087746</v>
      </c>
      <c r="AY282" s="173">
        <f t="shared" si="793"/>
        <v>0.71353258138653586</v>
      </c>
      <c r="AZ282" s="173">
        <f t="shared" si="794"/>
        <v>22.689736728808672</v>
      </c>
      <c r="BA282" s="460">
        <f t="shared" si="724"/>
        <v>2.3302631588889899</v>
      </c>
      <c r="BB282" s="5">
        <f t="shared" si="725"/>
        <v>0.73907909066720578</v>
      </c>
      <c r="BD282" s="173">
        <f t="shared" si="841"/>
        <v>0.95633960322501887</v>
      </c>
      <c r="BE282" s="173">
        <f t="shared" si="842"/>
        <v>0.98237091525721976</v>
      </c>
      <c r="BG282" s="528">
        <f t="shared" si="843"/>
        <v>3.6583417467863463E-2</v>
      </c>
      <c r="BH282" s="528">
        <f t="shared" si="795"/>
        <v>1.251675180244491</v>
      </c>
      <c r="BI282" s="528">
        <f t="shared" si="796"/>
        <v>0.50252580598291818</v>
      </c>
      <c r="BJ282" s="528">
        <f t="shared" si="844"/>
        <v>0.16725651078784462</v>
      </c>
      <c r="BK282">
        <f t="shared" si="845"/>
        <v>1.6152615192308081E-2</v>
      </c>
      <c r="BL282" s="460">
        <f t="shared" si="846"/>
        <v>518.67842117522628</v>
      </c>
      <c r="BM282" s="528">
        <f t="shared" si="797"/>
        <v>1.4782418344404382</v>
      </c>
      <c r="BN282" s="460">
        <f t="shared" si="847"/>
        <v>1478.2418344404382</v>
      </c>
      <c r="BO282" s="528">
        <f t="shared" si="798"/>
        <v>0.46199999999999997</v>
      </c>
      <c r="BR282" s="460">
        <f t="shared" si="848"/>
        <v>461.99999999999994</v>
      </c>
      <c r="BS282" s="528">
        <f t="shared" si="849"/>
        <v>2.7437563100897594E-2</v>
      </c>
      <c r="BT282" s="528">
        <f t="shared" si="850"/>
        <v>2.8951578454299229E-2</v>
      </c>
      <c r="BU282" s="528">
        <f t="shared" si="851"/>
        <v>1.8488285379770557</v>
      </c>
      <c r="BV282" s="528"/>
      <c r="BW282" s="528">
        <f t="shared" si="852"/>
        <v>0.64759465676350991</v>
      </c>
      <c r="BX282" s="460">
        <f t="shared" si="853"/>
        <v>2552.8123362957626</v>
      </c>
      <c r="BY282" s="173">
        <f t="shared" si="854"/>
        <v>4.9890058659711878</v>
      </c>
      <c r="BZ282" s="5">
        <f t="shared" si="855"/>
        <v>15.84</v>
      </c>
      <c r="CA282" s="173">
        <f t="shared" si="856"/>
        <v>0.76047796529157263</v>
      </c>
      <c r="CB282" s="5">
        <f t="shared" si="857"/>
        <v>76.047796529157267</v>
      </c>
      <c r="CE282" s="562">
        <f t="shared" si="799"/>
        <v>-50</v>
      </c>
      <c r="CF282">
        <f t="shared" si="800"/>
        <v>-50</v>
      </c>
      <c r="CG282" s="173">
        <f t="shared" si="801"/>
        <v>0.65779343233824006</v>
      </c>
      <c r="CI282" s="170">
        <v>66</v>
      </c>
      <c r="CJ282" s="217">
        <f t="shared" si="858"/>
        <v>0.66</v>
      </c>
      <c r="CK282" s="217"/>
      <c r="CL282" s="217">
        <f t="shared" si="802"/>
        <v>15.84</v>
      </c>
      <c r="CM282" s="541">
        <f t="shared" si="803"/>
        <v>36</v>
      </c>
      <c r="CN282" s="443">
        <f t="shared" si="804"/>
        <v>16.3415</v>
      </c>
      <c r="CO282" s="443">
        <f t="shared" si="805"/>
        <v>52.341499999999996</v>
      </c>
      <c r="CP282" s="443"/>
      <c r="CQ282" s="217">
        <f t="shared" si="806"/>
        <v>0.31220924123305599</v>
      </c>
      <c r="CR282" s="172">
        <f t="shared" si="807"/>
        <v>63.048783011568261</v>
      </c>
      <c r="CS282" s="172">
        <f t="shared" si="808"/>
        <v>15.84</v>
      </c>
      <c r="CT282" s="217">
        <f t="shared" si="809"/>
        <v>2.6270326254820109</v>
      </c>
      <c r="CU282" s="217">
        <f t="shared" si="810"/>
        <v>24</v>
      </c>
      <c r="CV282" s="217"/>
      <c r="CW282" s="172">
        <f t="shared" si="811"/>
        <v>249.1653802411775</v>
      </c>
      <c r="CX282" s="172">
        <f t="shared" si="812"/>
        <v>24</v>
      </c>
      <c r="CY282" s="217">
        <f t="shared" si="813"/>
        <v>2.8186225254719579</v>
      </c>
      <c r="CZ282" s="217">
        <f t="shared" si="814"/>
        <v>0.78295070151998836</v>
      </c>
      <c r="DA282" s="217">
        <f t="shared" si="815"/>
        <v>1.7248248480690012</v>
      </c>
      <c r="DB282" s="197">
        <f t="shared" si="816"/>
        <v>350</v>
      </c>
      <c r="DC282" s="443">
        <f t="shared" si="817"/>
        <v>350</v>
      </c>
      <c r="DE282" s="217">
        <f t="shared" si="818"/>
        <v>3.211295052682861</v>
      </c>
      <c r="DF282" s="173">
        <f t="shared" si="819"/>
        <v>1.96511645361984</v>
      </c>
      <c r="DG282" s="173">
        <f t="shared" si="820"/>
        <v>0.73660113681324435</v>
      </c>
      <c r="DH282" s="173"/>
      <c r="DI282" s="173">
        <f t="shared" si="821"/>
        <v>1.3598642855443031</v>
      </c>
      <c r="DJ282" s="545">
        <f t="shared" si="822"/>
        <v>654.88499999999988</v>
      </c>
      <c r="DK282" s="528">
        <f t="shared" si="823"/>
        <v>0.35273368606701955</v>
      </c>
      <c r="DM282" s="173">
        <f t="shared" si="824"/>
        <v>3.0397368307141326</v>
      </c>
      <c r="DN282" s="173">
        <f t="shared" si="825"/>
        <v>3.0397368307141326</v>
      </c>
      <c r="DO282" s="173">
        <f t="shared" si="826"/>
        <v>1.8055663766606742</v>
      </c>
      <c r="DQ282" s="545">
        <f t="shared" si="827"/>
        <v>660</v>
      </c>
      <c r="DR282" s="460">
        <f t="shared" si="828"/>
        <v>350</v>
      </c>
      <c r="DT282">
        <f t="shared" si="829"/>
        <v>660</v>
      </c>
      <c r="DU282">
        <f t="shared" si="830"/>
        <v>350</v>
      </c>
      <c r="DW282" s="5">
        <f t="shared" si="859"/>
        <v>2.8571428571428572</v>
      </c>
      <c r="DX282" s="5">
        <f t="shared" si="831"/>
        <v>0.84437134186503693</v>
      </c>
      <c r="DY282" s="5">
        <f t="shared" si="832"/>
        <v>2.0127715152778203</v>
      </c>
      <c r="DZ282" s="5"/>
      <c r="EA282" s="173">
        <f t="shared" si="833"/>
        <v>0.2955299696527629</v>
      </c>
      <c r="EB282" s="173">
        <f t="shared" si="860"/>
        <v>16.170000000000002</v>
      </c>
      <c r="EC282" s="173">
        <f t="shared" si="861"/>
        <v>0.71415806637649659</v>
      </c>
      <c r="ED282" s="173">
        <f t="shared" si="862"/>
        <v>22.642046293817746</v>
      </c>
      <c r="EE282" s="460">
        <f t="shared" si="834"/>
        <v>2.3220211901288517</v>
      </c>
      <c r="EF282" s="5">
        <f t="shared" si="835"/>
        <v>0.73801622226853403</v>
      </c>
      <c r="EH282" s="173">
        <f t="shared" si="863"/>
        <v>0.95406095535374968</v>
      </c>
      <c r="EI282" s="173">
        <f t="shared" si="864"/>
        <v>0.98249976049867205</v>
      </c>
      <c r="EK282" s="528">
        <f t="shared" si="865"/>
        <v>3.6409292261220381E-2</v>
      </c>
      <c r="EL282" s="528">
        <f t="shared" si="866"/>
        <v>1.5313797087514289</v>
      </c>
      <c r="EM282" s="528">
        <f t="shared" si="867"/>
        <v>6.9999999999999993E-2</v>
      </c>
      <c r="EN282" s="528">
        <f t="shared" si="868"/>
        <v>0.16780249811281248</v>
      </c>
      <c r="EO282">
        <f t="shared" si="869"/>
        <v>1.6199999999999999E-2</v>
      </c>
      <c r="EP282" s="460">
        <f t="shared" si="870"/>
        <v>86.2</v>
      </c>
      <c r="EQ282" s="460"/>
      <c r="ER282" s="460">
        <f t="shared" si="871"/>
        <v>1821.791499125462</v>
      </c>
      <c r="ES282" s="528">
        <f t="shared" si="872"/>
        <v>0.46199999999999997</v>
      </c>
      <c r="EV282" s="460">
        <f t="shared" si="873"/>
        <v>461.99999999999994</v>
      </c>
      <c r="EW282" s="528">
        <f t="shared" si="874"/>
        <v>2.7306969195915288E-2</v>
      </c>
      <c r="EX282" s="528">
        <f t="shared" si="875"/>
        <v>2.8959173381398435E-2</v>
      </c>
      <c r="EY282" s="528">
        <f t="shared" si="876"/>
        <v>1.845993124912013</v>
      </c>
      <c r="EZ282" s="528"/>
      <c r="FA282" s="528">
        <f t="shared" si="877"/>
        <v>0.64680000000000004</v>
      </c>
      <c r="FB282" s="460">
        <f t="shared" si="878"/>
        <v>2549.0592674893264</v>
      </c>
      <c r="FC282" s="173">
        <f t="shared" si="879"/>
        <v>4.8328507666147882</v>
      </c>
      <c r="FD282" s="5">
        <f t="shared" si="880"/>
        <v>15.84</v>
      </c>
      <c r="FE282" s="173">
        <f t="shared" si="881"/>
        <v>0.76622233570130038</v>
      </c>
      <c r="FF282" s="5">
        <f t="shared" si="882"/>
        <v>76.622233570130035</v>
      </c>
      <c r="FI282" s="562">
        <f t="shared" si="836"/>
        <v>-50</v>
      </c>
      <c r="FJ282">
        <f t="shared" si="837"/>
        <v>-50</v>
      </c>
      <c r="FL282">
        <f t="shared" si="838"/>
        <v>0.65104665468282985</v>
      </c>
    </row>
    <row r="283" spans="5:168">
      <c r="E283" s="170">
        <v>67</v>
      </c>
      <c r="F283" s="217">
        <f t="shared" si="839"/>
        <v>0.67</v>
      </c>
      <c r="G283" s="217"/>
      <c r="H283" s="217">
        <f t="shared" si="764"/>
        <v>16.080000000000002</v>
      </c>
      <c r="I283" s="541">
        <f t="shared" si="765"/>
        <v>35.893905702321</v>
      </c>
      <c r="J283" s="172">
        <f t="shared" si="766"/>
        <v>16.361728651142908</v>
      </c>
      <c r="K283" s="172">
        <f t="shared" si="767"/>
        <v>52.255634353463904</v>
      </c>
      <c r="L283" s="443"/>
      <c r="M283" s="217">
        <f t="shared" si="768"/>
        <v>0.31311212360446045</v>
      </c>
      <c r="N283" s="172">
        <f t="shared" si="769"/>
        <v>63.04476855850114</v>
      </c>
      <c r="O283" s="172">
        <f t="shared" si="762"/>
        <v>16.080000000000002</v>
      </c>
      <c r="P283" s="217">
        <f t="shared" si="770"/>
        <v>2.6268653566042142</v>
      </c>
      <c r="Q283" s="217">
        <f t="shared" si="771"/>
        <v>24</v>
      </c>
      <c r="R283" s="217"/>
      <c r="S283" s="172">
        <f t="shared" si="772"/>
        <v>243.92387381992316</v>
      </c>
      <c r="T283" s="172">
        <f t="shared" si="773"/>
        <v>24</v>
      </c>
      <c r="U283" s="217">
        <f t="shared" si="774"/>
        <v>2.9247793872722387</v>
      </c>
      <c r="V283" s="217">
        <f t="shared" si="775"/>
        <v>0.81484010448133382</v>
      </c>
      <c r="W283" s="217">
        <f t="shared" si="776"/>
        <v>1.7875735807829423</v>
      </c>
      <c r="X283" s="197">
        <f t="shared" si="777"/>
        <v>350</v>
      </c>
      <c r="Y283" s="443">
        <f t="shared" si="840"/>
        <v>350</v>
      </c>
      <c r="AA283" s="217">
        <f t="shared" si="778"/>
        <v>3.2110623235578823</v>
      </c>
      <c r="AB283" s="173">
        <f t="shared" si="779"/>
        <v>1.9625446626225416</v>
      </c>
      <c r="AC283" s="173">
        <f t="shared" si="780"/>
        <v>0.73558381762355962</v>
      </c>
      <c r="AD283" s="173"/>
      <c r="AE283" s="173">
        <f t="shared" si="781"/>
        <v>1.3581830316364492</v>
      </c>
      <c r="AF283" s="545">
        <f t="shared" si="782"/>
        <v>665.63044520054382</v>
      </c>
      <c r="AG283" s="528">
        <f t="shared" si="783"/>
        <v>0.3522975874839212</v>
      </c>
      <c r="AI283" s="173">
        <f t="shared" si="784"/>
        <v>3.0645735787807022</v>
      </c>
      <c r="AJ283" s="173">
        <f t="shared" si="785"/>
        <v>3.0645735787807022</v>
      </c>
      <c r="AK283" s="173">
        <f t="shared" si="786"/>
        <v>1.8239639678210962</v>
      </c>
      <c r="AM283" s="545">
        <f t="shared" si="787"/>
        <v>670</v>
      </c>
      <c r="AN283" s="460">
        <f t="shared" si="788"/>
        <v>350</v>
      </c>
      <c r="AP283">
        <f t="shared" si="789"/>
        <v>670</v>
      </c>
      <c r="AQ283">
        <f t="shared" si="790"/>
        <v>350</v>
      </c>
      <c r="AS283" s="5">
        <f t="shared" si="763"/>
        <v>2.8571428571428572</v>
      </c>
      <c r="AT283" s="5">
        <f t="shared" si="791"/>
        <v>0.85378660215919022</v>
      </c>
      <c r="AU283" s="5">
        <f t="shared" si="722"/>
        <v>2.0033562549836672</v>
      </c>
      <c r="AV283" s="5"/>
      <c r="AW283" s="173">
        <f t="shared" si="723"/>
        <v>0.29882531075571656</v>
      </c>
      <c r="AX283" s="173">
        <f t="shared" si="792"/>
        <v>16.435319634581337</v>
      </c>
      <c r="AY283" s="173">
        <f t="shared" si="793"/>
        <v>0.71662527582706148</v>
      </c>
      <c r="AZ283" s="173">
        <f t="shared" si="794"/>
        <v>22.934328705631039</v>
      </c>
      <c r="BA283" s="460">
        <f t="shared" si="724"/>
        <v>2.3834875976944061</v>
      </c>
      <c r="BB283" s="5">
        <f t="shared" si="725"/>
        <v>0.74789781974173042</v>
      </c>
      <c r="BD283" s="173">
        <f t="shared" si="841"/>
        <v>0.96720407037361789</v>
      </c>
      <c r="BE283" s="173">
        <f t="shared" si="842"/>
        <v>0.98820802165201793</v>
      </c>
      <c r="BG283" s="528">
        <f t="shared" si="843"/>
        <v>3.7419348549891776E-2</v>
      </c>
      <c r="BH283" s="528">
        <f t="shared" si="795"/>
        <v>1.2611122365086493</v>
      </c>
      <c r="BI283" s="528">
        <f t="shared" si="796"/>
        <v>0.50251467983249398</v>
      </c>
      <c r="BJ283" s="528">
        <f t="shared" si="844"/>
        <v>0.16725239345307868</v>
      </c>
      <c r="BK283">
        <f t="shared" si="845"/>
        <v>1.6152257566044451E-2</v>
      </c>
      <c r="BL283" s="460">
        <f t="shared" si="846"/>
        <v>518.66693739853838</v>
      </c>
      <c r="BM283" s="528">
        <f t="shared" si="797"/>
        <v>1.4891267864717839</v>
      </c>
      <c r="BN283" s="460">
        <f t="shared" si="847"/>
        <v>1489.1267864717838</v>
      </c>
      <c r="BO283" s="528">
        <f t="shared" si="798"/>
        <v>0.46899999999999997</v>
      </c>
      <c r="BR283" s="460">
        <f t="shared" si="848"/>
        <v>469</v>
      </c>
      <c r="BS283" s="528">
        <f t="shared" si="849"/>
        <v>2.8064511412418829E-2</v>
      </c>
      <c r="BT283" s="528">
        <f t="shared" si="850"/>
        <v>2.9296652821721853E-2</v>
      </c>
      <c r="BU283" s="528">
        <f t="shared" si="851"/>
        <v>1.8839321071111266</v>
      </c>
      <c r="BV283" s="528"/>
      <c r="BW283" s="528">
        <f t="shared" si="852"/>
        <v>0.65741278538325332</v>
      </c>
      <c r="BX283" s="460">
        <f t="shared" si="853"/>
        <v>2598.7060567285207</v>
      </c>
      <c r="BY283" s="173">
        <f t="shared" si="854"/>
        <v>5.052156972638679</v>
      </c>
      <c r="BZ283" s="5">
        <f t="shared" si="855"/>
        <v>16.080000000000002</v>
      </c>
      <c r="CA283" s="173">
        <f t="shared" si="856"/>
        <v>0.76092563673551783</v>
      </c>
      <c r="CB283" s="5">
        <f t="shared" si="857"/>
        <v>76.09256367355178</v>
      </c>
      <c r="CE283" s="562">
        <f t="shared" si="799"/>
        <v>-50</v>
      </c>
      <c r="CF283">
        <f t="shared" si="800"/>
        <v>-50</v>
      </c>
      <c r="CG283" s="173">
        <f t="shared" si="801"/>
        <v>0.66275798150299081</v>
      </c>
      <c r="CI283" s="170">
        <v>67</v>
      </c>
      <c r="CJ283" s="217">
        <f t="shared" si="858"/>
        <v>0.67</v>
      </c>
      <c r="CK283" s="217"/>
      <c r="CL283" s="217">
        <f t="shared" si="802"/>
        <v>16.080000000000002</v>
      </c>
      <c r="CM283" s="541">
        <f t="shared" si="803"/>
        <v>36</v>
      </c>
      <c r="CN283" s="443">
        <f t="shared" si="804"/>
        <v>16.3415</v>
      </c>
      <c r="CO283" s="443">
        <f t="shared" si="805"/>
        <v>52.341499999999996</v>
      </c>
      <c r="CP283" s="443"/>
      <c r="CQ283" s="217">
        <f t="shared" si="806"/>
        <v>0.31220924123305599</v>
      </c>
      <c r="CR283" s="172">
        <f t="shared" si="807"/>
        <v>63.048783011568261</v>
      </c>
      <c r="CS283" s="172">
        <f t="shared" si="808"/>
        <v>16.080000000000002</v>
      </c>
      <c r="CT283" s="217">
        <f t="shared" si="809"/>
        <v>2.6270326254820109</v>
      </c>
      <c r="CU283" s="217">
        <f t="shared" si="810"/>
        <v>24</v>
      </c>
      <c r="CV283" s="217"/>
      <c r="CW283" s="172">
        <f t="shared" si="811"/>
        <v>244.64453325836689</v>
      </c>
      <c r="CX283" s="172">
        <f t="shared" si="812"/>
        <v>24</v>
      </c>
      <c r="CY283" s="217">
        <f t="shared" si="813"/>
        <v>2.8613289273730484</v>
      </c>
      <c r="CZ283" s="217">
        <f t="shared" si="814"/>
        <v>0.79481359093695791</v>
      </c>
      <c r="DA283" s="217">
        <f t="shared" si="815"/>
        <v>1.7509585578882285</v>
      </c>
      <c r="DB283" s="197">
        <f t="shared" si="816"/>
        <v>350</v>
      </c>
      <c r="DC283" s="443">
        <f t="shared" si="817"/>
        <v>350</v>
      </c>
      <c r="DE283" s="217">
        <f t="shared" si="818"/>
        <v>3.211295052682861</v>
      </c>
      <c r="DF283" s="173">
        <f t="shared" si="819"/>
        <v>1.96511645361984</v>
      </c>
      <c r="DG283" s="173">
        <f t="shared" si="820"/>
        <v>0.73660113681324435</v>
      </c>
      <c r="DH283" s="173"/>
      <c r="DI283" s="173">
        <f t="shared" si="821"/>
        <v>1.3598642855443031</v>
      </c>
      <c r="DJ283" s="545">
        <f t="shared" si="822"/>
        <v>664.80749999999989</v>
      </c>
      <c r="DK283" s="528">
        <f t="shared" si="823"/>
        <v>0.35273368606701955</v>
      </c>
      <c r="DM283" s="173">
        <f t="shared" si="824"/>
        <v>3.0626785662227105</v>
      </c>
      <c r="DN283" s="173">
        <f t="shared" si="825"/>
        <v>3.0626785662227105</v>
      </c>
      <c r="DO283" s="173">
        <f t="shared" si="826"/>
        <v>1.8225602548151765</v>
      </c>
      <c r="DQ283" s="545">
        <f t="shared" si="827"/>
        <v>670</v>
      </c>
      <c r="DR283" s="460">
        <f t="shared" si="828"/>
        <v>350</v>
      </c>
      <c r="DT283">
        <f t="shared" si="829"/>
        <v>670</v>
      </c>
      <c r="DU283">
        <f t="shared" si="830"/>
        <v>350</v>
      </c>
      <c r="DW283" s="5">
        <f t="shared" si="859"/>
        <v>2.8571428571428572</v>
      </c>
      <c r="DX283" s="5">
        <f t="shared" si="831"/>
        <v>0.85074404617297505</v>
      </c>
      <c r="DY283" s="5">
        <f t="shared" si="832"/>
        <v>2.0063988109698823</v>
      </c>
      <c r="DZ283" s="5"/>
      <c r="EA283" s="173">
        <f t="shared" si="833"/>
        <v>0.29776041616054127</v>
      </c>
      <c r="EB283" s="173">
        <f t="shared" si="860"/>
        <v>16.414999999999996</v>
      </c>
      <c r="EC283" s="173">
        <f t="shared" si="861"/>
        <v>0.71726982961305186</v>
      </c>
      <c r="ED283" s="173">
        <f t="shared" si="862"/>
        <v>22.88539029845359</v>
      </c>
      <c r="EE283" s="460">
        <f t="shared" si="834"/>
        <v>2.3749937955662221</v>
      </c>
      <c r="EF283" s="5">
        <f t="shared" si="835"/>
        <v>0.74682622408323396</v>
      </c>
      <c r="EH283" s="173">
        <f t="shared" si="863"/>
        <v>0.96488215231807384</v>
      </c>
      <c r="EI283" s="173">
        <f t="shared" si="864"/>
        <v>0.98834661414815772</v>
      </c>
      <c r="EK283" s="528">
        <f t="shared" si="865"/>
        <v>3.723990271447835E-2</v>
      </c>
      <c r="EL283" s="528">
        <f t="shared" si="866"/>
        <v>1.5429374554242301</v>
      </c>
      <c r="EM283" s="528">
        <f t="shared" si="867"/>
        <v>6.9999999999999993E-2</v>
      </c>
      <c r="EN283" s="528">
        <f t="shared" si="868"/>
        <v>0.16780249811281248</v>
      </c>
      <c r="EO283">
        <f t="shared" si="869"/>
        <v>1.6199999999999999E-2</v>
      </c>
      <c r="EP283" s="460">
        <f t="shared" si="870"/>
        <v>86.2</v>
      </c>
      <c r="EQ283" s="460"/>
      <c r="ER283" s="460">
        <f t="shared" si="871"/>
        <v>1834.179856251521</v>
      </c>
      <c r="ES283" s="528">
        <f t="shared" si="872"/>
        <v>0.46899999999999997</v>
      </c>
      <c r="EV283" s="460">
        <f t="shared" si="873"/>
        <v>469</v>
      </c>
      <c r="EW283" s="528">
        <f t="shared" si="874"/>
        <v>2.7929927035858757E-2</v>
      </c>
      <c r="EX283" s="528">
        <f t="shared" si="875"/>
        <v>2.9304870890943819E-2</v>
      </c>
      <c r="EY283" s="528">
        <f t="shared" si="876"/>
        <v>1.8810210826373039</v>
      </c>
      <c r="EZ283" s="528"/>
      <c r="FA283" s="528">
        <f t="shared" si="877"/>
        <v>0.65659999999999996</v>
      </c>
      <c r="FB283" s="460">
        <f t="shared" si="878"/>
        <v>2594.8558805641064</v>
      </c>
      <c r="FC283" s="173">
        <f t="shared" si="879"/>
        <v>4.8980357368156273</v>
      </c>
      <c r="FD283" s="5">
        <f t="shared" si="880"/>
        <v>16.080000000000002</v>
      </c>
      <c r="FE283" s="173">
        <f t="shared" si="881"/>
        <v>0.76651599805315584</v>
      </c>
      <c r="FF283" s="5">
        <f t="shared" si="882"/>
        <v>76.651599805315584</v>
      </c>
      <c r="FI283" s="562">
        <f t="shared" si="836"/>
        <v>-50</v>
      </c>
      <c r="FJ283">
        <f t="shared" si="837"/>
        <v>-50</v>
      </c>
      <c r="FL283">
        <f t="shared" si="838"/>
        <v>0.65596028404855666</v>
      </c>
    </row>
    <row r="284" spans="5:168">
      <c r="E284" s="170">
        <v>68</v>
      </c>
      <c r="F284" s="217">
        <f t="shared" si="839"/>
        <v>0.68</v>
      </c>
      <c r="G284" s="217"/>
      <c r="H284" s="217">
        <f t="shared" si="764"/>
        <v>16.32</v>
      </c>
      <c r="I284" s="541">
        <f t="shared" si="765"/>
        <v>35.8931168862729</v>
      </c>
      <c r="J284" s="172">
        <f t="shared" si="766"/>
        <v>16.361879052106971</v>
      </c>
      <c r="K284" s="172">
        <f t="shared" si="767"/>
        <v>52.254995938379871</v>
      </c>
      <c r="L284" s="443"/>
      <c r="M284" s="217">
        <f t="shared" si="768"/>
        <v>0.31311884766259968</v>
      </c>
      <c r="N284" s="172">
        <f t="shared" si="769"/>
        <v>63.044736918009384</v>
      </c>
      <c r="O284" s="172">
        <f t="shared" si="762"/>
        <v>16.32</v>
      </c>
      <c r="P284" s="217">
        <f t="shared" si="770"/>
        <v>2.6268640382503912</v>
      </c>
      <c r="Q284" s="217">
        <f t="shared" si="771"/>
        <v>24</v>
      </c>
      <c r="R284" s="217"/>
      <c r="S284" s="172">
        <f t="shared" si="772"/>
        <v>239.54373956775177</v>
      </c>
      <c r="T284" s="172">
        <f t="shared" si="773"/>
        <v>24</v>
      </c>
      <c r="U284" s="217">
        <f t="shared" si="774"/>
        <v>2.9684618697232321</v>
      </c>
      <c r="V284" s="217">
        <f t="shared" si="775"/>
        <v>0.82702816785981104</v>
      </c>
      <c r="W284" s="217">
        <f t="shared" si="776"/>
        <v>1.8142548666138527</v>
      </c>
      <c r="X284" s="197">
        <f t="shared" si="777"/>
        <v>350</v>
      </c>
      <c r="Y284" s="443">
        <f t="shared" si="840"/>
        <v>350</v>
      </c>
      <c r="AA284" s="217">
        <f t="shared" si="778"/>
        <v>3.2110605024465926</v>
      </c>
      <c r="AB284" s="173">
        <f t="shared" si="779"/>
        <v>1.9625255095826506</v>
      </c>
      <c r="AC284" s="173">
        <f t="shared" si="780"/>
        <v>0.73557622167623471</v>
      </c>
      <c r="AD284" s="173"/>
      <c r="AE284" s="173">
        <f t="shared" si="781"/>
        <v>1.3581705470045387</v>
      </c>
      <c r="AF284" s="545">
        <f t="shared" si="782"/>
        <v>675.57143792357704</v>
      </c>
      <c r="AG284" s="528">
        <f t="shared" si="783"/>
        <v>0.35229434910912172</v>
      </c>
      <c r="AI284" s="173">
        <f t="shared" si="784"/>
        <v>3.087373016014618</v>
      </c>
      <c r="AJ284" s="173">
        <f t="shared" si="785"/>
        <v>3.087373016014618</v>
      </c>
      <c r="AK284" s="173">
        <f t="shared" si="786"/>
        <v>1.8408524398462189</v>
      </c>
      <c r="AM284" s="545">
        <f t="shared" si="787"/>
        <v>680</v>
      </c>
      <c r="AN284" s="460">
        <f t="shared" si="788"/>
        <v>350</v>
      </c>
      <c r="AP284">
        <f t="shared" si="789"/>
        <v>680</v>
      </c>
      <c r="AQ284">
        <f t="shared" si="790"/>
        <v>350</v>
      </c>
      <c r="AS284" s="5">
        <f t="shared" si="763"/>
        <v>2.8571428571428572</v>
      </c>
      <c r="AT284" s="5">
        <f t="shared" si="791"/>
        <v>0.86015740170934152</v>
      </c>
      <c r="AU284" s="5">
        <f t="shared" si="722"/>
        <v>1.9969854554335158</v>
      </c>
      <c r="AV284" s="5"/>
      <c r="AW284" s="173">
        <f t="shared" si="723"/>
        <v>0.30105509059826951</v>
      </c>
      <c r="AX284" s="173">
        <f t="shared" si="792"/>
        <v>16.6807762450266</v>
      </c>
      <c r="AY284" s="173">
        <f t="shared" si="793"/>
        <v>0.71966086826472275</v>
      </c>
      <c r="AZ284" s="173">
        <f t="shared" si="794"/>
        <v>23.178662312497281</v>
      </c>
      <c r="BA284" s="460">
        <f t="shared" si="724"/>
        <v>2.4371126381764676</v>
      </c>
      <c r="BB284" s="5">
        <f t="shared" si="725"/>
        <v>0.7566632421460896</v>
      </c>
      <c r="BD284" s="173">
        <f t="shared" si="841"/>
        <v>0.97802839609140801</v>
      </c>
      <c r="BE284" s="173">
        <f t="shared" si="842"/>
        <v>0.99397573771749503</v>
      </c>
      <c r="BG284" s="528">
        <f t="shared" si="843"/>
        <v>3.8261581742445289E-2</v>
      </c>
      <c r="BH284" s="528">
        <f t="shared" si="795"/>
        <v>1.2704789822453464</v>
      </c>
      <c r="BI284" s="528">
        <f t="shared" si="796"/>
        <v>0.50250363640782059</v>
      </c>
      <c r="BJ284" s="528">
        <f t="shared" si="844"/>
        <v>0.16724830678185593</v>
      </c>
      <c r="BK284">
        <f t="shared" si="845"/>
        <v>1.6151902598822803E-2</v>
      </c>
      <c r="BL284" s="460">
        <f t="shared" si="846"/>
        <v>518.65553900664338</v>
      </c>
      <c r="BM284" s="528">
        <f t="shared" si="797"/>
        <v>1.4999555212186573</v>
      </c>
      <c r="BN284" s="460">
        <f t="shared" si="847"/>
        <v>1499.9555212186572</v>
      </c>
      <c r="BO284" s="528">
        <f t="shared" si="798"/>
        <v>0.47599999999999998</v>
      </c>
      <c r="BR284" s="460">
        <f t="shared" si="848"/>
        <v>476</v>
      </c>
      <c r="BS284" s="528">
        <f t="shared" si="849"/>
        <v>2.8696186306833963E-2</v>
      </c>
      <c r="BT284" s="528">
        <f t="shared" si="850"/>
        <v>2.9639633015131155E-2</v>
      </c>
      <c r="BU284" s="528">
        <f t="shared" si="851"/>
        <v>1.9191674772762803</v>
      </c>
      <c r="BV284" s="528"/>
      <c r="BW284" s="528">
        <f t="shared" si="852"/>
        <v>0.66723104980106396</v>
      </c>
      <c r="BX284" s="460">
        <f t="shared" si="853"/>
        <v>2644.7343463993093</v>
      </c>
      <c r="BY284" s="173">
        <f t="shared" si="854"/>
        <v>5.1153787561756001</v>
      </c>
      <c r="BZ284" s="5">
        <f t="shared" si="855"/>
        <v>16.32</v>
      </c>
      <c r="CA284" s="173">
        <f t="shared" si="856"/>
        <v>0.76135813533493801</v>
      </c>
      <c r="CB284" s="5">
        <f t="shared" si="857"/>
        <v>76.135813533493803</v>
      </c>
      <c r="CE284" s="562">
        <f t="shared" si="799"/>
        <v>-50</v>
      </c>
      <c r="CF284">
        <f t="shared" si="800"/>
        <v>-50</v>
      </c>
      <c r="CG284" s="173">
        <f t="shared" si="801"/>
        <v>0.66768561798537673</v>
      </c>
      <c r="CI284" s="170">
        <v>68</v>
      </c>
      <c r="CJ284" s="217">
        <f t="shared" si="858"/>
        <v>0.68</v>
      </c>
      <c r="CK284" s="217"/>
      <c r="CL284" s="217">
        <f t="shared" si="802"/>
        <v>16.32</v>
      </c>
      <c r="CM284" s="541">
        <f t="shared" si="803"/>
        <v>36</v>
      </c>
      <c r="CN284" s="443">
        <f t="shared" si="804"/>
        <v>16.3415</v>
      </c>
      <c r="CO284" s="443">
        <f t="shared" si="805"/>
        <v>52.341499999999996</v>
      </c>
      <c r="CP284" s="443"/>
      <c r="CQ284" s="217">
        <f t="shared" si="806"/>
        <v>0.31220924123305599</v>
      </c>
      <c r="CR284" s="172">
        <f t="shared" si="807"/>
        <v>63.048783011568261</v>
      </c>
      <c r="CS284" s="172">
        <f t="shared" si="808"/>
        <v>16.32</v>
      </c>
      <c r="CT284" s="217">
        <f t="shared" si="809"/>
        <v>2.6270326254820109</v>
      </c>
      <c r="CU284" s="217">
        <f t="shared" si="810"/>
        <v>24</v>
      </c>
      <c r="CV284" s="217"/>
      <c r="CW284" s="172">
        <f t="shared" si="811"/>
        <v>240.25672392095927</v>
      </c>
      <c r="CX284" s="172">
        <f t="shared" si="812"/>
        <v>24</v>
      </c>
      <c r="CY284" s="217">
        <f t="shared" si="813"/>
        <v>2.9040353292741385</v>
      </c>
      <c r="CZ284" s="217">
        <f t="shared" si="814"/>
        <v>0.80667648035392747</v>
      </c>
      <c r="DA284" s="217">
        <f t="shared" si="815"/>
        <v>1.7770922677074559</v>
      </c>
      <c r="DB284" s="197">
        <f t="shared" si="816"/>
        <v>350</v>
      </c>
      <c r="DC284" s="443">
        <f t="shared" si="817"/>
        <v>350</v>
      </c>
      <c r="DE284" s="217">
        <f t="shared" si="818"/>
        <v>3.211295052682861</v>
      </c>
      <c r="DF284" s="173">
        <f t="shared" si="819"/>
        <v>1.96511645361984</v>
      </c>
      <c r="DG284" s="173">
        <f t="shared" si="820"/>
        <v>0.73660113681324435</v>
      </c>
      <c r="DH284" s="173"/>
      <c r="DI284" s="173">
        <f t="shared" si="821"/>
        <v>1.3598642855443031</v>
      </c>
      <c r="DJ284" s="545">
        <f t="shared" si="822"/>
        <v>674.7299999999999</v>
      </c>
      <c r="DK284" s="528">
        <f t="shared" si="823"/>
        <v>0.35273368606701955</v>
      </c>
      <c r="DM284" s="173">
        <f t="shared" si="824"/>
        <v>3.0854497241083023</v>
      </c>
      <c r="DN284" s="173">
        <f t="shared" si="825"/>
        <v>3.0854497241083023</v>
      </c>
      <c r="DO284" s="173">
        <f t="shared" si="826"/>
        <v>1.8394277791748741</v>
      </c>
      <c r="DQ284" s="545">
        <f t="shared" si="827"/>
        <v>680</v>
      </c>
      <c r="DR284" s="460">
        <f t="shared" si="828"/>
        <v>350</v>
      </c>
      <c r="DT284">
        <f t="shared" si="829"/>
        <v>680</v>
      </c>
      <c r="DU284">
        <f t="shared" si="830"/>
        <v>350</v>
      </c>
      <c r="DW284" s="5">
        <f t="shared" si="859"/>
        <v>2.8571428571428572</v>
      </c>
      <c r="DX284" s="5">
        <f t="shared" si="831"/>
        <v>0.8570693678078618</v>
      </c>
      <c r="DY284" s="5">
        <f t="shared" si="832"/>
        <v>2.0000734893349952</v>
      </c>
      <c r="DZ284" s="5"/>
      <c r="EA284" s="173">
        <f t="shared" si="833"/>
        <v>0.29997427873275162</v>
      </c>
      <c r="EB284" s="173">
        <f t="shared" si="860"/>
        <v>16.66</v>
      </c>
      <c r="EC284" s="173">
        <f t="shared" si="861"/>
        <v>0.72032470521234115</v>
      </c>
      <c r="ED284" s="173">
        <f t="shared" si="862"/>
        <v>23.128458429159217</v>
      </c>
      <c r="EE284" s="460">
        <f t="shared" si="834"/>
        <v>2.4283632087889417</v>
      </c>
      <c r="EF284" s="5">
        <f t="shared" si="835"/>
        <v>0.75558331819322033</v>
      </c>
      <c r="EH284" s="173">
        <f t="shared" si="863"/>
        <v>0.97566304523911596</v>
      </c>
      <c r="EI284" s="173">
        <f t="shared" si="864"/>
        <v>0.99412427700571293</v>
      </c>
      <c r="EK284" s="528">
        <f t="shared" si="865"/>
        <v>3.8076735113810607E-2</v>
      </c>
      <c r="EL284" s="528">
        <f t="shared" si="866"/>
        <v>1.5544092673187415</v>
      </c>
      <c r="EM284" s="528">
        <f t="shared" si="867"/>
        <v>6.9999999999999993E-2</v>
      </c>
      <c r="EN284" s="528">
        <f t="shared" si="868"/>
        <v>0.16780249811281248</v>
      </c>
      <c r="EO284">
        <f t="shared" si="869"/>
        <v>1.6199999999999999E-2</v>
      </c>
      <c r="EP284" s="460">
        <f t="shared" si="870"/>
        <v>86.2</v>
      </c>
      <c r="EQ284" s="460"/>
      <c r="ER284" s="460">
        <f t="shared" si="871"/>
        <v>1846.4885005453648</v>
      </c>
      <c r="ES284" s="528">
        <f t="shared" si="872"/>
        <v>0.47599999999999998</v>
      </c>
      <c r="EV284" s="460">
        <f t="shared" si="873"/>
        <v>476</v>
      </c>
      <c r="EW284" s="528">
        <f t="shared" si="874"/>
        <v>2.8557551335357957E-2</v>
      </c>
      <c r="EX284" s="528">
        <f t="shared" si="875"/>
        <v>2.9648492343963943E-2</v>
      </c>
      <c r="EY284" s="528">
        <f t="shared" si="876"/>
        <v>1.91617999010902</v>
      </c>
      <c r="EZ284" s="528"/>
      <c r="FA284" s="528">
        <f t="shared" si="877"/>
        <v>0.66639999999999999</v>
      </c>
      <c r="FB284" s="460">
        <f t="shared" si="878"/>
        <v>2640.7860337883417</v>
      </c>
      <c r="FC284" s="173">
        <f t="shared" si="879"/>
        <v>4.9632745343337072</v>
      </c>
      <c r="FD284" s="5">
        <f t="shared" si="880"/>
        <v>16.32</v>
      </c>
      <c r="FE284" s="173">
        <f t="shared" si="881"/>
        <v>0.766799299312375</v>
      </c>
      <c r="FF284" s="5">
        <f t="shared" si="882"/>
        <v>76.679929931237496</v>
      </c>
      <c r="FI284" s="562">
        <f t="shared" si="836"/>
        <v>-50</v>
      </c>
      <c r="FJ284">
        <f t="shared" si="837"/>
        <v>-50</v>
      </c>
      <c r="FL284">
        <f t="shared" si="838"/>
        <v>0.66083737933354092</v>
      </c>
    </row>
    <row r="285" spans="5:168">
      <c r="E285" s="170">
        <v>69</v>
      </c>
      <c r="F285" s="217">
        <f t="shared" si="839"/>
        <v>0.69</v>
      </c>
      <c r="G285" s="217"/>
      <c r="H285" s="217">
        <f t="shared" si="764"/>
        <v>16.559999999999999</v>
      </c>
      <c r="I285" s="541">
        <f t="shared" si="765"/>
        <v>35.892333849330441</v>
      </c>
      <c r="J285" s="172">
        <f t="shared" si="766"/>
        <v>16.362028351187956</v>
      </c>
      <c r="K285" s="172">
        <f t="shared" si="767"/>
        <v>52.254362200518401</v>
      </c>
      <c r="L285" s="443"/>
      <c r="M285" s="217">
        <f t="shared" si="768"/>
        <v>0.31312552262035248</v>
      </c>
      <c r="N285" s="172">
        <f t="shared" si="769"/>
        <v>63.044705483109013</v>
      </c>
      <c r="O285" s="172">
        <f t="shared" si="762"/>
        <v>16.559999999999999</v>
      </c>
      <c r="P285" s="217">
        <f t="shared" si="770"/>
        <v>2.6268627284628754</v>
      </c>
      <c r="Q285" s="217">
        <f t="shared" si="771"/>
        <v>24</v>
      </c>
      <c r="R285" s="217"/>
      <c r="S285" s="172">
        <f t="shared" si="772"/>
        <v>235.29070907882809</v>
      </c>
      <c r="T285" s="172">
        <f t="shared" si="773"/>
        <v>24</v>
      </c>
      <c r="U285" s="217">
        <f t="shared" si="774"/>
        <v>3.0121449921014105</v>
      </c>
      <c r="V285" s="217">
        <f t="shared" si="775"/>
        <v>0.83921681012604343</v>
      </c>
      <c r="W285" s="217">
        <f t="shared" si="776"/>
        <v>1.8409361770129897</v>
      </c>
      <c r="X285" s="197">
        <f t="shared" si="777"/>
        <v>350</v>
      </c>
      <c r="Y285" s="443">
        <f t="shared" si="840"/>
        <v>347.20377857196343</v>
      </c>
      <c r="AA285" s="217">
        <f t="shared" si="778"/>
        <v>3.2110586933501524</v>
      </c>
      <c r="AB285" s="173">
        <f t="shared" si="779"/>
        <v>1.9625064964008669</v>
      </c>
      <c r="AC285" s="173">
        <f t="shared" si="780"/>
        <v>0.7355686809096692</v>
      </c>
      <c r="AD285" s="173"/>
      <c r="AE285" s="173">
        <f t="shared" si="781"/>
        <v>1.358158154065831</v>
      </c>
      <c r="AF285" s="545">
        <f t="shared" si="782"/>
        <v>685.51256712735722</v>
      </c>
      <c r="AG285" s="528">
        <f t="shared" si="783"/>
        <v>0.35229113451852029</v>
      </c>
      <c r="AI285" s="173">
        <f t="shared" si="784"/>
        <v>3.1100056247415231</v>
      </c>
      <c r="AJ285" s="173">
        <f t="shared" si="785"/>
        <v>3.1100056247415231</v>
      </c>
      <c r="AK285" s="173">
        <f t="shared" si="786"/>
        <v>1.857617335199482</v>
      </c>
      <c r="AM285" s="545">
        <f t="shared" si="787"/>
        <v>690</v>
      </c>
      <c r="AN285" s="460">
        <f t="shared" si="788"/>
        <v>347.20377857196343</v>
      </c>
      <c r="AP285">
        <f t="shared" si="789"/>
        <v>690</v>
      </c>
      <c r="AQ285">
        <f t="shared" si="790"/>
        <v>347.20377857196343</v>
      </c>
      <c r="AS285" s="5">
        <f t="shared" si="763"/>
        <v>2.8801529871390339</v>
      </c>
      <c r="AT285" s="5">
        <f t="shared" si="791"/>
        <v>0.86648186150189255</v>
      </c>
      <c r="AU285" s="5">
        <f t="shared" si="722"/>
        <v>2.0136711256371411</v>
      </c>
      <c r="AV285" s="5"/>
      <c r="AW285" s="173">
        <f t="shared" si="723"/>
        <v>0.30084577637752574</v>
      </c>
      <c r="AX285" s="173">
        <f t="shared" si="792"/>
        <v>16.791009069854333</v>
      </c>
      <c r="AY285" s="173">
        <f t="shared" si="793"/>
        <v>0.72515358493723392</v>
      </c>
      <c r="AZ285" s="173">
        <f t="shared" si="794"/>
        <v>23.155107302279543</v>
      </c>
      <c r="BA285" s="460">
        <f t="shared" si="724"/>
        <v>2.4911353518179409</v>
      </c>
      <c r="BB285" s="5">
        <f t="shared" si="725"/>
        <v>0.7742227532610263</v>
      </c>
      <c r="BD285" s="173">
        <f t="shared" si="841"/>
        <v>0.98485548162636671</v>
      </c>
      <c r="BE285" s="173">
        <f t="shared" si="842"/>
        <v>1.001412190374785</v>
      </c>
      <c r="BG285" s="528">
        <f t="shared" si="843"/>
        <v>3.8797612787580114E-2</v>
      </c>
      <c r="BH285" s="528">
        <f t="shared" si="795"/>
        <v>1.2695525635088716</v>
      </c>
      <c r="BI285" s="528">
        <f t="shared" si="796"/>
        <v>0.4984781573701566</v>
      </c>
      <c r="BJ285" s="528">
        <f t="shared" si="844"/>
        <v>0.16590810165493208</v>
      </c>
      <c r="BK285">
        <f t="shared" si="845"/>
        <v>1.6151550232198698E-2</v>
      </c>
      <c r="BL285" s="460">
        <f t="shared" si="846"/>
        <v>514.62970760235532</v>
      </c>
      <c r="BM285" s="528">
        <f t="shared" si="797"/>
        <v>1.4985477149839737</v>
      </c>
      <c r="BN285" s="460">
        <f t="shared" si="847"/>
        <v>1498.5477149839737</v>
      </c>
      <c r="BO285" s="528">
        <f t="shared" si="798"/>
        <v>0.48299999999999993</v>
      </c>
      <c r="BR285" s="460">
        <f t="shared" si="848"/>
        <v>482.99999999999994</v>
      </c>
      <c r="BS285" s="528">
        <f t="shared" si="849"/>
        <v>2.9098209590685084E-2</v>
      </c>
      <c r="BT285" s="528">
        <f t="shared" si="850"/>
        <v>3.008479125093674E-2</v>
      </c>
      <c r="BU285" s="528">
        <f t="shared" si="851"/>
        <v>1.9157288863681246</v>
      </c>
      <c r="BV285" s="528"/>
      <c r="BW285" s="528">
        <f t="shared" si="852"/>
        <v>0.67164036279417327</v>
      </c>
      <c r="BX285" s="460">
        <f t="shared" si="853"/>
        <v>2646.5522500039197</v>
      </c>
      <c r="BY285" s="173">
        <f t="shared" si="854"/>
        <v>5.1184402355576593</v>
      </c>
      <c r="BZ285" s="5">
        <f t="shared" si="855"/>
        <v>16.559999999999999</v>
      </c>
      <c r="CA285" s="173">
        <f t="shared" si="856"/>
        <v>0.76389259651798036</v>
      </c>
      <c r="CB285" s="5">
        <f t="shared" si="857"/>
        <v>76.389259651798042</v>
      </c>
      <c r="CE285" s="562">
        <f t="shared" si="799"/>
        <v>-50</v>
      </c>
      <c r="CF285">
        <f t="shared" si="800"/>
        <v>-50</v>
      </c>
      <c r="CG285" s="173">
        <f t="shared" si="801"/>
        <v>0.67257715310818433</v>
      </c>
      <c r="CI285" s="170">
        <v>69</v>
      </c>
      <c r="CJ285" s="217">
        <f t="shared" si="858"/>
        <v>0.69</v>
      </c>
      <c r="CK285" s="217"/>
      <c r="CL285" s="217">
        <f t="shared" si="802"/>
        <v>16.559999999999999</v>
      </c>
      <c r="CM285" s="541">
        <f t="shared" si="803"/>
        <v>36</v>
      </c>
      <c r="CN285" s="443">
        <f t="shared" si="804"/>
        <v>16.3415</v>
      </c>
      <c r="CO285" s="443">
        <f t="shared" si="805"/>
        <v>52.341499999999996</v>
      </c>
      <c r="CP285" s="443"/>
      <c r="CQ285" s="217">
        <f t="shared" si="806"/>
        <v>0.31220924123305599</v>
      </c>
      <c r="CR285" s="172">
        <f t="shared" si="807"/>
        <v>63.048783011568261</v>
      </c>
      <c r="CS285" s="172">
        <f t="shared" si="808"/>
        <v>16.559999999999999</v>
      </c>
      <c r="CT285" s="217">
        <f t="shared" si="809"/>
        <v>2.6270326254820109</v>
      </c>
      <c r="CU285" s="217">
        <f t="shared" si="810"/>
        <v>24</v>
      </c>
      <c r="CV285" s="217"/>
      <c r="CW285" s="172">
        <f t="shared" si="811"/>
        <v>235.99616867004346</v>
      </c>
      <c r="CX285" s="172">
        <f t="shared" si="812"/>
        <v>24</v>
      </c>
      <c r="CY285" s="217">
        <f t="shared" si="813"/>
        <v>2.9467417311752286</v>
      </c>
      <c r="CZ285" s="217">
        <f t="shared" si="814"/>
        <v>0.81853936977089681</v>
      </c>
      <c r="DA285" s="217">
        <f t="shared" si="815"/>
        <v>1.8032259775266828</v>
      </c>
      <c r="DB285" s="197">
        <f t="shared" si="816"/>
        <v>350</v>
      </c>
      <c r="DC285" s="443">
        <f t="shared" si="817"/>
        <v>350</v>
      </c>
      <c r="DE285" s="217">
        <f t="shared" si="818"/>
        <v>3.211295052682861</v>
      </c>
      <c r="DF285" s="173">
        <f t="shared" si="819"/>
        <v>1.96511645361984</v>
      </c>
      <c r="DG285" s="173">
        <f t="shared" si="820"/>
        <v>0.73660113681324435</v>
      </c>
      <c r="DH285" s="173"/>
      <c r="DI285" s="173">
        <f t="shared" si="821"/>
        <v>1.3598642855443031</v>
      </c>
      <c r="DJ285" s="545">
        <f t="shared" si="822"/>
        <v>684.6524999999998</v>
      </c>
      <c r="DK285" s="528">
        <f t="shared" si="823"/>
        <v>0.35273368606701955</v>
      </c>
      <c r="DM285" s="173">
        <f t="shared" si="824"/>
        <v>3.1080540535840102</v>
      </c>
      <c r="DN285" s="173">
        <f t="shared" si="825"/>
        <v>3.1080540535840102</v>
      </c>
      <c r="DO285" s="173">
        <f t="shared" si="826"/>
        <v>1.8561717269346576</v>
      </c>
      <c r="DQ285" s="545">
        <f t="shared" si="827"/>
        <v>690</v>
      </c>
      <c r="DR285" s="460">
        <f t="shared" si="828"/>
        <v>350</v>
      </c>
      <c r="DT285">
        <f t="shared" si="829"/>
        <v>690</v>
      </c>
      <c r="DU285">
        <f t="shared" si="830"/>
        <v>350</v>
      </c>
      <c r="DW285" s="5">
        <f t="shared" si="859"/>
        <v>2.8571428571428572</v>
      </c>
      <c r="DX285" s="5">
        <f t="shared" si="831"/>
        <v>0.86334834821778073</v>
      </c>
      <c r="DY285" s="5">
        <f t="shared" si="832"/>
        <v>1.9937945089250766</v>
      </c>
      <c r="DZ285" s="5"/>
      <c r="EA285" s="173">
        <f t="shared" si="833"/>
        <v>0.30217192187622327</v>
      </c>
      <c r="EB285" s="173">
        <f t="shared" si="860"/>
        <v>16.904999999999998</v>
      </c>
      <c r="EC285" s="173">
        <f t="shared" si="861"/>
        <v>0.72332394353693408</v>
      </c>
      <c r="ED285" s="173">
        <f t="shared" si="862"/>
        <v>23.371271131074899</v>
      </c>
      <c r="EE285" s="460">
        <f t="shared" si="834"/>
        <v>2.4821265011261198</v>
      </c>
      <c r="EF285" s="5">
        <f t="shared" si="835"/>
        <v>0.76428789508794581</v>
      </c>
      <c r="EH285" s="173">
        <f t="shared" si="863"/>
        <v>0.98640437369338485</v>
      </c>
      <c r="EI285" s="173">
        <f t="shared" si="864"/>
        <v>0.9998342039717768</v>
      </c>
      <c r="EK285" s="528">
        <f t="shared" si="865"/>
        <v>3.891974353765755E-2</v>
      </c>
      <c r="EL285" s="528">
        <f t="shared" si="866"/>
        <v>1.5657970332395494</v>
      </c>
      <c r="EM285" s="528">
        <f t="shared" si="867"/>
        <v>6.9999999999999993E-2</v>
      </c>
      <c r="EN285" s="528">
        <f t="shared" si="868"/>
        <v>0.16780249811281248</v>
      </c>
      <c r="EO285">
        <f t="shared" si="869"/>
        <v>1.6199999999999999E-2</v>
      </c>
      <c r="EP285" s="460">
        <f t="shared" si="870"/>
        <v>86.2</v>
      </c>
      <c r="EQ285" s="460"/>
      <c r="ER285" s="460">
        <f t="shared" si="871"/>
        <v>1858.7192748900197</v>
      </c>
      <c r="ES285" s="528">
        <f t="shared" si="872"/>
        <v>0.48299999999999993</v>
      </c>
      <c r="EV285" s="460">
        <f t="shared" si="873"/>
        <v>482.99999999999994</v>
      </c>
      <c r="EW285" s="528">
        <f t="shared" si="874"/>
        <v>2.9189807653243163E-2</v>
      </c>
      <c r="EX285" s="528">
        <f t="shared" si="875"/>
        <v>2.9990053062956296E-2</v>
      </c>
      <c r="EY285" s="528">
        <f t="shared" si="876"/>
        <v>1.9514684002649862</v>
      </c>
      <c r="EZ285" s="528"/>
      <c r="FA285" s="528">
        <f t="shared" si="877"/>
        <v>0.6761999999999998</v>
      </c>
      <c r="FB285" s="460">
        <f t="shared" si="878"/>
        <v>2686.8482609811854</v>
      </c>
      <c r="FC285" s="173">
        <f t="shared" si="879"/>
        <v>5.028567535871205</v>
      </c>
      <c r="FD285" s="5">
        <f t="shared" si="880"/>
        <v>16.559999999999999</v>
      </c>
      <c r="FE285" s="173">
        <f t="shared" si="881"/>
        <v>0.76707266345875791</v>
      </c>
      <c r="FF285" s="5">
        <f t="shared" si="882"/>
        <v>76.707266345875794</v>
      </c>
      <c r="FI285" s="562">
        <f t="shared" si="836"/>
        <v>-50</v>
      </c>
      <c r="FJ285">
        <f t="shared" si="837"/>
        <v>-50</v>
      </c>
      <c r="FL285">
        <f t="shared" si="838"/>
        <v>0.66567874353908996</v>
      </c>
    </row>
    <row r="286" spans="5:168">
      <c r="E286" s="170">
        <v>70</v>
      </c>
      <c r="F286" s="217">
        <f t="shared" si="839"/>
        <v>0.7</v>
      </c>
      <c r="G286" s="217"/>
      <c r="H286" s="217">
        <f t="shared" si="764"/>
        <v>16.799999999999997</v>
      </c>
      <c r="I286" s="541">
        <f t="shared" si="765"/>
        <v>35.891556466306191</v>
      </c>
      <c r="J286" s="172">
        <f t="shared" si="766"/>
        <v>16.362176572254931</v>
      </c>
      <c r="K286" s="172">
        <f t="shared" si="767"/>
        <v>52.253733038561123</v>
      </c>
      <c r="L286" s="443"/>
      <c r="M286" s="217">
        <f t="shared" si="768"/>
        <v>0.313132149541341</v>
      </c>
      <c r="N286" s="172">
        <f t="shared" si="769"/>
        <v>63.044674249345519</v>
      </c>
      <c r="O286" s="172">
        <f t="shared" si="762"/>
        <v>16.799999999999997</v>
      </c>
      <c r="P286" s="217">
        <f t="shared" si="770"/>
        <v>2.6268614270560633</v>
      </c>
      <c r="Q286" s="217">
        <f t="shared" si="771"/>
        <v>24</v>
      </c>
      <c r="R286" s="217"/>
      <c r="S286" s="172">
        <f t="shared" si="772"/>
        <v>231.15933455713935</v>
      </c>
      <c r="T286" s="172">
        <f t="shared" si="773"/>
        <v>24</v>
      </c>
      <c r="U286" s="217">
        <f t="shared" si="774"/>
        <v>3.0558287497894217</v>
      </c>
      <c r="V286" s="217">
        <f t="shared" si="775"/>
        <v>0.85140602711340574</v>
      </c>
      <c r="W286" s="217">
        <f t="shared" si="776"/>
        <v>1.8676175118236651</v>
      </c>
      <c r="X286" s="197">
        <f t="shared" si="777"/>
        <v>350</v>
      </c>
      <c r="Y286" s="443">
        <f t="shared" si="840"/>
        <v>342.58031381416623</v>
      </c>
      <c r="AA286" s="217">
        <f t="shared" si="778"/>
        <v>3.2110568960082482</v>
      </c>
      <c r="AB286" s="173">
        <f t="shared" si="779"/>
        <v>1.9624876200475578</v>
      </c>
      <c r="AC286" s="173">
        <f t="shared" si="780"/>
        <v>0.73556119412852627</v>
      </c>
      <c r="AD286" s="173"/>
      <c r="AE286" s="173">
        <f t="shared" si="781"/>
        <v>1.3581458508340556</v>
      </c>
      <c r="AF286" s="545">
        <f t="shared" si="782"/>
        <v>695.45383181923125</v>
      </c>
      <c r="AG286" s="528">
        <f t="shared" si="783"/>
        <v>0.35228794319690032</v>
      </c>
      <c r="AI286" s="173">
        <f t="shared" si="784"/>
        <v>3.1324750188119963</v>
      </c>
      <c r="AJ286" s="173">
        <f t="shared" si="785"/>
        <v>3.1324750188119963</v>
      </c>
      <c r="AK286" s="173">
        <f t="shared" si="786"/>
        <v>1.87426133080724</v>
      </c>
      <c r="AM286" s="545">
        <f t="shared" si="787"/>
        <v>700</v>
      </c>
      <c r="AN286" s="460">
        <f t="shared" si="788"/>
        <v>342.58031381416623</v>
      </c>
      <c r="AP286">
        <f t="shared" si="789"/>
        <v>700</v>
      </c>
      <c r="AQ286">
        <f t="shared" si="790"/>
        <v>342.58031381416623</v>
      </c>
      <c r="AS286" s="5">
        <f t="shared" si="763"/>
        <v>2.9190235389370716</v>
      </c>
      <c r="AT286" s="5">
        <f t="shared" si="791"/>
        <v>0.87276098537344315</v>
      </c>
      <c r="AU286" s="5">
        <f t="shared" si="722"/>
        <v>2.0462625535636283</v>
      </c>
      <c r="AV286" s="5"/>
      <c r="AW286" s="173">
        <f t="shared" si="723"/>
        <v>0.29899073225399508</v>
      </c>
      <c r="AX286" s="173">
        <f t="shared" si="792"/>
        <v>16.807674916959197</v>
      </c>
      <c r="AY286" s="173">
        <f t="shared" si="793"/>
        <v>0.73233065539321185</v>
      </c>
      <c r="AZ286" s="173">
        <f t="shared" si="794"/>
        <v>22.950937248331652</v>
      </c>
      <c r="BA286" s="460">
        <f t="shared" si="724"/>
        <v>2.5455528740058755</v>
      </c>
      <c r="BB286" s="5">
        <f t="shared" si="725"/>
        <v>0.79817312399879559</v>
      </c>
      <c r="BD286" s="173">
        <f t="shared" si="841"/>
        <v>0.988907913554537</v>
      </c>
      <c r="BE286" s="173">
        <f t="shared" si="842"/>
        <v>1.0099844855290749</v>
      </c>
      <c r="BG286" s="528">
        <f t="shared" si="843"/>
        <v>3.9117554459631505E-2</v>
      </c>
      <c r="BH286" s="528">
        <f t="shared" si="795"/>
        <v>1.2616818610711726</v>
      </c>
      <c r="BI286" s="528">
        <f t="shared" si="796"/>
        <v>0.4918296271002417</v>
      </c>
      <c r="BJ286" s="528">
        <f t="shared" si="844"/>
        <v>0.16369487998558876</v>
      </c>
      <c r="BK286">
        <f t="shared" si="845"/>
        <v>1.6151200409837786E-2</v>
      </c>
      <c r="BL286" s="460">
        <f t="shared" si="846"/>
        <v>507.98082751007945</v>
      </c>
      <c r="BM286" s="528">
        <f t="shared" si="797"/>
        <v>1.4888943116874169</v>
      </c>
      <c r="BN286" s="460">
        <f t="shared" si="847"/>
        <v>1488.894311687417</v>
      </c>
      <c r="BO286" s="528">
        <f t="shared" si="798"/>
        <v>0.48999999999999994</v>
      </c>
      <c r="BR286" s="460">
        <f t="shared" si="848"/>
        <v>489.99999999999994</v>
      </c>
      <c r="BS286" s="528">
        <f t="shared" si="849"/>
        <v>2.9338165844723627E-2</v>
      </c>
      <c r="BT286" s="528">
        <f t="shared" si="850"/>
        <v>3.0602059830282906E-2</v>
      </c>
      <c r="BU286" s="528">
        <f t="shared" si="851"/>
        <v>1.8862317551920633</v>
      </c>
      <c r="BV286" s="528"/>
      <c r="BW286" s="528">
        <f t="shared" si="852"/>
        <v>0.67230699667836802</v>
      </c>
      <c r="BX286" s="460">
        <f t="shared" si="853"/>
        <v>2618.4789775454378</v>
      </c>
      <c r="BY286" s="173">
        <f t="shared" si="854"/>
        <v>5.080954100571911</v>
      </c>
      <c r="BZ286" s="5">
        <f t="shared" si="855"/>
        <v>16.799999999999997</v>
      </c>
      <c r="CA286" s="173">
        <f t="shared" si="856"/>
        <v>0.76779101691735141</v>
      </c>
      <c r="CB286" s="5">
        <f t="shared" si="857"/>
        <v>76.779101691735136</v>
      </c>
      <c r="CE286" s="562">
        <f t="shared" si="799"/>
        <v>-50</v>
      </c>
      <c r="CF286">
        <f t="shared" si="800"/>
        <v>-50</v>
      </c>
      <c r="CG286" s="173">
        <f t="shared" si="801"/>
        <v>0.67743336890184691</v>
      </c>
      <c r="CI286" s="170">
        <v>70</v>
      </c>
      <c r="CJ286" s="217">
        <f t="shared" si="858"/>
        <v>0.7</v>
      </c>
      <c r="CK286" s="217"/>
      <c r="CL286" s="217">
        <f t="shared" si="802"/>
        <v>16.799999999999997</v>
      </c>
      <c r="CM286" s="541">
        <f t="shared" si="803"/>
        <v>36</v>
      </c>
      <c r="CN286" s="443">
        <f t="shared" si="804"/>
        <v>16.3415</v>
      </c>
      <c r="CO286" s="443">
        <f t="shared" si="805"/>
        <v>52.341499999999996</v>
      </c>
      <c r="CP286" s="443"/>
      <c r="CQ286" s="217">
        <f t="shared" si="806"/>
        <v>0.31220924123305599</v>
      </c>
      <c r="CR286" s="172">
        <f t="shared" si="807"/>
        <v>63.048783011568261</v>
      </c>
      <c r="CS286" s="172">
        <f t="shared" si="808"/>
        <v>16.799999999999997</v>
      </c>
      <c r="CT286" s="217">
        <f t="shared" si="809"/>
        <v>2.6270326254820109</v>
      </c>
      <c r="CU286" s="217">
        <f t="shared" si="810"/>
        <v>24</v>
      </c>
      <c r="CV286" s="217"/>
      <c r="CW286" s="172">
        <f t="shared" si="811"/>
        <v>231.85741444447356</v>
      </c>
      <c r="CX286" s="172">
        <f t="shared" si="812"/>
        <v>24</v>
      </c>
      <c r="CY286" s="217">
        <f t="shared" si="813"/>
        <v>2.9894481330763187</v>
      </c>
      <c r="CZ286" s="217">
        <f t="shared" si="814"/>
        <v>0.83040225918786637</v>
      </c>
      <c r="DA286" s="217">
        <f t="shared" si="815"/>
        <v>1.8293596873459101</v>
      </c>
      <c r="DB286" s="197">
        <f t="shared" si="816"/>
        <v>350</v>
      </c>
      <c r="DC286" s="443">
        <f t="shared" si="817"/>
        <v>350</v>
      </c>
      <c r="DE286" s="217">
        <f t="shared" si="818"/>
        <v>3.211295052682861</v>
      </c>
      <c r="DF286" s="173">
        <f t="shared" si="819"/>
        <v>1.96511645361984</v>
      </c>
      <c r="DG286" s="173">
        <f t="shared" si="820"/>
        <v>0.73660113681324435</v>
      </c>
      <c r="DH286" s="173"/>
      <c r="DI286" s="173">
        <f t="shared" si="821"/>
        <v>1.3598642855443031</v>
      </c>
      <c r="DJ286" s="545">
        <f t="shared" si="822"/>
        <v>694.57499999999982</v>
      </c>
      <c r="DK286" s="528">
        <f t="shared" si="823"/>
        <v>0.35273368606701955</v>
      </c>
      <c r="DM286" s="173">
        <f t="shared" si="824"/>
        <v>3.1304951684997051</v>
      </c>
      <c r="DN286" s="173">
        <f t="shared" si="825"/>
        <v>3.1304951684997051</v>
      </c>
      <c r="DO286" s="173">
        <f t="shared" si="826"/>
        <v>1.8727947750203575</v>
      </c>
      <c r="DQ286" s="545">
        <f t="shared" si="827"/>
        <v>700</v>
      </c>
      <c r="DR286" s="460">
        <f t="shared" si="828"/>
        <v>350</v>
      </c>
      <c r="DT286">
        <f t="shared" si="829"/>
        <v>700</v>
      </c>
      <c r="DU286">
        <f t="shared" si="830"/>
        <v>350</v>
      </c>
      <c r="DW286" s="5">
        <f t="shared" si="859"/>
        <v>2.8571428571428572</v>
      </c>
      <c r="DX286" s="5">
        <f t="shared" si="831"/>
        <v>0.86958199124991808</v>
      </c>
      <c r="DY286" s="5">
        <f t="shared" si="832"/>
        <v>1.9875608658929391</v>
      </c>
      <c r="DZ286" s="5"/>
      <c r="EA286" s="173">
        <f t="shared" si="833"/>
        <v>0.30435369693747133</v>
      </c>
      <c r="EB286" s="173">
        <f t="shared" si="860"/>
        <v>17.149999999999999</v>
      </c>
      <c r="EC286" s="173">
        <f t="shared" si="861"/>
        <v>0.72626874980576284</v>
      </c>
      <c r="ED286" s="173">
        <f t="shared" si="862"/>
        <v>23.613848185794424</v>
      </c>
      <c r="EE286" s="460">
        <f t="shared" si="834"/>
        <v>2.5362808078122612</v>
      </c>
      <c r="EF286" s="5">
        <f t="shared" si="835"/>
        <v>0.77294033673614271</v>
      </c>
      <c r="EH286" s="173">
        <f t="shared" si="863"/>
        <v>0.99710685318194769</v>
      </c>
      <c r="EI286" s="173">
        <f t="shared" si="864"/>
        <v>1.0054777974686488</v>
      </c>
      <c r="EK286" s="528">
        <f t="shared" si="865"/>
        <v>3.9768883066496244E-2</v>
      </c>
      <c r="EL286" s="528">
        <f t="shared" si="866"/>
        <v>1.577102573797013</v>
      </c>
      <c r="EM286" s="528">
        <f t="shared" si="867"/>
        <v>6.9999999999999993E-2</v>
      </c>
      <c r="EN286" s="528">
        <f t="shared" si="868"/>
        <v>0.16780249811281248</v>
      </c>
      <c r="EO286">
        <f t="shared" si="869"/>
        <v>1.6199999999999999E-2</v>
      </c>
      <c r="EP286" s="460">
        <f t="shared" si="870"/>
        <v>86.2</v>
      </c>
      <c r="EQ286" s="460"/>
      <c r="ER286" s="460">
        <f t="shared" si="871"/>
        <v>1870.8739549763218</v>
      </c>
      <c r="ES286" s="528">
        <f t="shared" si="872"/>
        <v>0.48999999999999994</v>
      </c>
      <c r="EV286" s="460">
        <f t="shared" si="873"/>
        <v>489.99999999999994</v>
      </c>
      <c r="EW286" s="528">
        <f t="shared" si="874"/>
        <v>2.9826662299872183E-2</v>
      </c>
      <c r="EX286" s="528">
        <f t="shared" si="875"/>
        <v>3.0329568036072157E-2</v>
      </c>
      <c r="EY286" s="528">
        <f t="shared" si="876"/>
        <v>1.9868849028145428</v>
      </c>
      <c r="EZ286" s="528"/>
      <c r="FA286" s="528">
        <f t="shared" si="877"/>
        <v>0.68599999999999972</v>
      </c>
      <c r="FB286" s="460">
        <f t="shared" si="878"/>
        <v>2733.041133150487</v>
      </c>
      <c r="FC286" s="173">
        <f t="shared" si="879"/>
        <v>5.0939150881268089</v>
      </c>
      <c r="FD286" s="5">
        <f t="shared" si="880"/>
        <v>16.799999999999997</v>
      </c>
      <c r="FE286" s="173">
        <f t="shared" si="881"/>
        <v>0.76733649200597898</v>
      </c>
      <c r="FF286" s="5">
        <f t="shared" si="882"/>
        <v>76.733649200597895</v>
      </c>
      <c r="FI286" s="562">
        <f t="shared" si="836"/>
        <v>-50</v>
      </c>
      <c r="FJ286">
        <f t="shared" si="837"/>
        <v>-50</v>
      </c>
      <c r="FL286">
        <f t="shared" si="838"/>
        <v>0.67048515067459957</v>
      </c>
    </row>
    <row r="287" spans="5:168">
      <c r="E287" s="170">
        <v>71</v>
      </c>
      <c r="F287" s="217">
        <f t="shared" si="839"/>
        <v>0.71</v>
      </c>
      <c r="G287" s="217"/>
      <c r="H287" s="217">
        <f t="shared" si="764"/>
        <v>17.04</v>
      </c>
      <c r="I287" s="541">
        <f t="shared" si="765"/>
        <v>35.889770796002111</v>
      </c>
      <c r="J287" s="172">
        <f t="shared" si="766"/>
        <v>16.36251704014461</v>
      </c>
      <c r="K287" s="172">
        <f t="shared" si="767"/>
        <v>52.252287836146721</v>
      </c>
      <c r="L287" s="443"/>
      <c r="M287" s="217">
        <f t="shared" si="768"/>
        <v>0.31314480509565606</v>
      </c>
      <c r="N287" s="172">
        <f t="shared" si="769"/>
        <v>63.0440855498424</v>
      </c>
      <c r="O287" s="172">
        <f t="shared" si="762"/>
        <v>17.04</v>
      </c>
      <c r="P287" s="217">
        <f t="shared" si="770"/>
        <v>2.6268368979101</v>
      </c>
      <c r="Q287" s="217">
        <f t="shared" si="771"/>
        <v>24</v>
      </c>
      <c r="R287" s="217"/>
      <c r="S287" s="172">
        <f t="shared" si="772"/>
        <v>227.13806226636584</v>
      </c>
      <c r="T287" s="172">
        <f t="shared" si="773"/>
        <v>24</v>
      </c>
      <c r="U287" s="217">
        <f t="shared" si="774"/>
        <v>3.0995405553136606</v>
      </c>
      <c r="V287" s="217">
        <f t="shared" si="775"/>
        <v>0.86362784898557488</v>
      </c>
      <c r="W287" s="217">
        <f t="shared" si="776"/>
        <v>1.8942932482264767</v>
      </c>
      <c r="X287" s="197">
        <f t="shared" si="777"/>
        <v>350</v>
      </c>
      <c r="Y287" s="443">
        <f t="shared" si="840"/>
        <v>338.07527893240172</v>
      </c>
      <c r="AA287" s="217">
        <f t="shared" si="778"/>
        <v>3.2110527625287322</v>
      </c>
      <c r="AB287" s="173">
        <f t="shared" si="779"/>
        <v>1.9624442588206792</v>
      </c>
      <c r="AC287" s="173">
        <f t="shared" si="780"/>
        <v>0.73554399503947721</v>
      </c>
      <c r="AD287" s="173"/>
      <c r="AE287" s="173">
        <f t="shared" si="781"/>
        <v>1.3581175908144894</v>
      </c>
      <c r="AF287" s="545">
        <f t="shared" si="782"/>
        <v>705.40356445181135</v>
      </c>
      <c r="AG287" s="528">
        <f t="shared" si="783"/>
        <v>0.35228061286182505</v>
      </c>
      <c r="AI287" s="173">
        <f t="shared" si="784"/>
        <v>3.1548033184583897</v>
      </c>
      <c r="AJ287" s="173">
        <f t="shared" si="785"/>
        <v>3.1548033184583897</v>
      </c>
      <c r="AK287" s="173">
        <f t="shared" si="786"/>
        <v>1.8908008120267905</v>
      </c>
      <c r="AM287" s="545">
        <f t="shared" si="787"/>
        <v>710</v>
      </c>
      <c r="AN287" s="460">
        <f t="shared" si="788"/>
        <v>338.07527893240172</v>
      </c>
      <c r="AP287">
        <f t="shared" si="789"/>
        <v>710</v>
      </c>
      <c r="AQ287">
        <f t="shared" si="790"/>
        <v>338.07527893240172</v>
      </c>
      <c r="AS287" s="5">
        <f t="shared" si="763"/>
        <v>2.9579210972120515</v>
      </c>
      <c r="AT287" s="5">
        <f t="shared" si="791"/>
        <v>0.87902576374486485</v>
      </c>
      <c r="AU287" s="5">
        <f t="shared" si="722"/>
        <v>2.0788953334671865</v>
      </c>
      <c r="AV287" s="5"/>
      <c r="AW287" s="173">
        <f t="shared" si="723"/>
        <v>0.2971768802668126</v>
      </c>
      <c r="AX287" s="173">
        <f t="shared" si="792"/>
        <v>16.82395109784526</v>
      </c>
      <c r="AY287" s="173">
        <f t="shared" si="793"/>
        <v>0.73945911492624972</v>
      </c>
      <c r="AZ287" s="173">
        <f t="shared" si="794"/>
        <v>22.751698854267559</v>
      </c>
      <c r="BA287" s="460">
        <f t="shared" si="724"/>
        <v>2.600451217745225</v>
      </c>
      <c r="BB287" s="5">
        <f t="shared" si="725"/>
        <v>0.82252722936091904</v>
      </c>
      <c r="BD287" s="173">
        <f t="shared" si="841"/>
        <v>0.99293123169028119</v>
      </c>
      <c r="BE287" s="173">
        <f t="shared" si="842"/>
        <v>1.0184987849593916</v>
      </c>
      <c r="BG287" s="528">
        <f t="shared" si="843"/>
        <v>3.9436497234639156E-2</v>
      </c>
      <c r="BH287" s="528">
        <f t="shared" si="795"/>
        <v>1.2539306922022238</v>
      </c>
      <c r="BI287" s="528">
        <f t="shared" si="796"/>
        <v>0.4853377709071352</v>
      </c>
      <c r="BJ287" s="528">
        <f t="shared" si="844"/>
        <v>0.16153330718316444</v>
      </c>
      <c r="BK287">
        <f t="shared" si="845"/>
        <v>1.6150396858200949E-2</v>
      </c>
      <c r="BL287" s="460">
        <f t="shared" si="846"/>
        <v>501.48816776533613</v>
      </c>
      <c r="BM287" s="528">
        <f t="shared" si="797"/>
        <v>1.4794105934476889</v>
      </c>
      <c r="BN287" s="460">
        <f t="shared" si="847"/>
        <v>1479.4105934476888</v>
      </c>
      <c r="BO287" s="528">
        <f t="shared" si="798"/>
        <v>0.49699999999999994</v>
      </c>
      <c r="BR287" s="460">
        <f t="shared" si="848"/>
        <v>496.99999999999994</v>
      </c>
      <c r="BS287" s="528">
        <f t="shared" si="849"/>
        <v>2.9577372925979367E-2</v>
      </c>
      <c r="BT287" s="528">
        <f t="shared" si="850"/>
        <v>3.1120193248912707E-2</v>
      </c>
      <c r="BU287" s="528">
        <f t="shared" si="851"/>
        <v>1.8575232754832807</v>
      </c>
      <c r="BV287" s="528"/>
      <c r="BW287" s="528">
        <f t="shared" si="852"/>
        <v>0.67295804391381042</v>
      </c>
      <c r="BX287" s="460">
        <f t="shared" si="853"/>
        <v>2591.1788855719828</v>
      </c>
      <c r="BY287" s="173">
        <f t="shared" si="854"/>
        <v>5.044567549957347</v>
      </c>
      <c r="BZ287" s="5">
        <f t="shared" si="855"/>
        <v>17.04</v>
      </c>
      <c r="CA287" s="173">
        <f t="shared" si="856"/>
        <v>0.77157951865953156</v>
      </c>
      <c r="CB287" s="5">
        <f t="shared" si="857"/>
        <v>77.157951865953152</v>
      </c>
      <c r="CE287" s="562">
        <f t="shared" si="799"/>
        <v>-50</v>
      </c>
      <c r="CF287">
        <f t="shared" si="800"/>
        <v>-50</v>
      </c>
      <c r="CG287" s="173">
        <f t="shared" si="801"/>
        <v>0.67598005724155252</v>
      </c>
      <c r="CI287" s="170">
        <v>71</v>
      </c>
      <c r="CJ287" s="217">
        <f t="shared" si="858"/>
        <v>0.71</v>
      </c>
      <c r="CK287" s="217"/>
      <c r="CL287" s="217">
        <f t="shared" si="802"/>
        <v>17.04</v>
      </c>
      <c r="CM287" s="541">
        <f t="shared" si="803"/>
        <v>36</v>
      </c>
      <c r="CN287" s="443">
        <f t="shared" si="804"/>
        <v>16.3415</v>
      </c>
      <c r="CO287" s="443">
        <f t="shared" si="805"/>
        <v>52.341499999999996</v>
      </c>
      <c r="CP287" s="443"/>
      <c r="CQ287" s="217">
        <f t="shared" si="806"/>
        <v>0.31220924123305599</v>
      </c>
      <c r="CR287" s="172">
        <f t="shared" si="807"/>
        <v>63.048783011568261</v>
      </c>
      <c r="CS287" s="172">
        <f t="shared" si="808"/>
        <v>17.04</v>
      </c>
      <c r="CT287" s="217">
        <f t="shared" si="809"/>
        <v>2.6270326254820109</v>
      </c>
      <c r="CU287" s="217">
        <f t="shared" si="810"/>
        <v>24</v>
      </c>
      <c r="CV287" s="217"/>
      <c r="CW287" s="172">
        <f t="shared" si="811"/>
        <v>227.8353154065145</v>
      </c>
      <c r="CX287" s="172">
        <f t="shared" si="812"/>
        <v>24</v>
      </c>
      <c r="CY287" s="217">
        <f t="shared" si="813"/>
        <v>3.0321545349774093</v>
      </c>
      <c r="CZ287" s="217">
        <f t="shared" si="814"/>
        <v>0.84226514860483592</v>
      </c>
      <c r="DA287" s="217">
        <f t="shared" si="815"/>
        <v>1.8554933971651375</v>
      </c>
      <c r="DB287" s="197">
        <f t="shared" si="816"/>
        <v>350</v>
      </c>
      <c r="DC287" s="443">
        <f t="shared" si="817"/>
        <v>350</v>
      </c>
      <c r="DE287" s="217">
        <f t="shared" si="818"/>
        <v>3.211295052682861</v>
      </c>
      <c r="DF287" s="173">
        <f t="shared" si="819"/>
        <v>1.96511645361984</v>
      </c>
      <c r="DG287" s="173">
        <f t="shared" si="820"/>
        <v>0.73660113681324435</v>
      </c>
      <c r="DH287" s="173"/>
      <c r="DI287" s="173">
        <f t="shared" si="821"/>
        <v>1.3598642855443031</v>
      </c>
      <c r="DJ287" s="545">
        <f t="shared" si="822"/>
        <v>704.49749999999972</v>
      </c>
      <c r="DK287" s="528">
        <f t="shared" si="823"/>
        <v>0.35273368606701955</v>
      </c>
      <c r="DM287" s="173">
        <f t="shared" si="824"/>
        <v>3.1527765540868891</v>
      </c>
      <c r="DN287" s="173">
        <f t="shared" si="825"/>
        <v>3.1527765540868891</v>
      </c>
      <c r="DO287" s="173">
        <f t="shared" si="826"/>
        <v>1.8892995050849382</v>
      </c>
      <c r="DQ287" s="545">
        <f t="shared" si="827"/>
        <v>710</v>
      </c>
      <c r="DR287" s="460">
        <f t="shared" si="828"/>
        <v>350</v>
      </c>
      <c r="DT287">
        <f t="shared" si="829"/>
        <v>710</v>
      </c>
      <c r="DU287">
        <f t="shared" si="830"/>
        <v>350</v>
      </c>
      <c r="DW287" s="5">
        <f t="shared" si="859"/>
        <v>2.8571428571428572</v>
      </c>
      <c r="DX287" s="5">
        <f t="shared" si="831"/>
        <v>0.87577126502413594</v>
      </c>
      <c r="DY287" s="5">
        <f t="shared" si="832"/>
        <v>1.9813715921187214</v>
      </c>
      <c r="DZ287" s="5"/>
      <c r="EA287" s="173">
        <f t="shared" si="833"/>
        <v>0.30651994275844757</v>
      </c>
      <c r="EB287" s="173">
        <f t="shared" si="860"/>
        <v>17.394999999999996</v>
      </c>
      <c r="EC287" s="173">
        <f t="shared" si="861"/>
        <v>0.72916028634353314</v>
      </c>
      <c r="ED287" s="173">
        <f t="shared" si="862"/>
        <v>23.856208745582446</v>
      </c>
      <c r="EE287" s="460">
        <f t="shared" si="834"/>
        <v>2.5908233256964022</v>
      </c>
      <c r="EF287" s="5">
        <f t="shared" si="835"/>
        <v>0.78154101689127331</v>
      </c>
      <c r="EH287" s="173">
        <f t="shared" si="863"/>
        <v>1.0077711762463686</v>
      </c>
      <c r="EI287" s="173">
        <f t="shared" si="864"/>
        <v>1.0110564100501023</v>
      </c>
      <c r="EK287" s="528">
        <f t="shared" si="865"/>
        <v>4.0624109746919573E-2</v>
      </c>
      <c r="EL287" s="528">
        <f t="shared" si="866"/>
        <v>1.588327644805237</v>
      </c>
      <c r="EM287" s="528">
        <f t="shared" si="867"/>
        <v>6.9999999999999993E-2</v>
      </c>
      <c r="EN287" s="528">
        <f t="shared" si="868"/>
        <v>0.16780249811281248</v>
      </c>
      <c r="EO287">
        <f t="shared" si="869"/>
        <v>1.6199999999999999E-2</v>
      </c>
      <c r="EP287" s="460">
        <f t="shared" si="870"/>
        <v>86.2</v>
      </c>
      <c r="EQ287" s="460"/>
      <c r="ER287" s="460">
        <f t="shared" si="871"/>
        <v>1882.9542526649691</v>
      </c>
      <c r="ES287" s="528">
        <f t="shared" si="872"/>
        <v>0.49699999999999994</v>
      </c>
      <c r="EV287" s="460">
        <f t="shared" si="873"/>
        <v>496.99999999999994</v>
      </c>
      <c r="EW287" s="528">
        <f t="shared" si="874"/>
        <v>3.0468082310189677E-2</v>
      </c>
      <c r="EX287" s="528">
        <f t="shared" si="875"/>
        <v>3.0667051929102018E-2</v>
      </c>
      <c r="EY287" s="528">
        <f t="shared" si="876"/>
        <v>2.022428122791144</v>
      </c>
      <c r="EZ287" s="528"/>
      <c r="FA287" s="528">
        <f t="shared" si="877"/>
        <v>0.69579999999999997</v>
      </c>
      <c r="FB287" s="460">
        <f t="shared" si="878"/>
        <v>2779.3632570304362</v>
      </c>
      <c r="FC287" s="173">
        <f t="shared" si="879"/>
        <v>5.1593175096954056</v>
      </c>
      <c r="FD287" s="5">
        <f t="shared" si="880"/>
        <v>17.04</v>
      </c>
      <c r="FE287" s="173">
        <f t="shared" si="881"/>
        <v>0.76759116547424899</v>
      </c>
      <c r="FF287" s="5">
        <f t="shared" si="882"/>
        <v>76.759116547424895</v>
      </c>
      <c r="FI287" s="562">
        <f t="shared" si="836"/>
        <v>-50</v>
      </c>
      <c r="FJ287">
        <f t="shared" si="837"/>
        <v>-50</v>
      </c>
      <c r="FL287">
        <f t="shared" si="838"/>
        <v>0.67525734720216091</v>
      </c>
    </row>
    <row r="288" spans="5:168">
      <c r="E288" s="170">
        <v>72</v>
      </c>
      <c r="F288" s="217">
        <f t="shared" si="839"/>
        <v>0.72</v>
      </c>
      <c r="G288" s="217"/>
      <c r="H288" s="217">
        <f t="shared" si="764"/>
        <v>17.28</v>
      </c>
      <c r="I288" s="541">
        <f t="shared" si="765"/>
        <v>35.887861434647021</v>
      </c>
      <c r="J288" s="172">
        <f t="shared" si="766"/>
        <v>16.362881091800567</v>
      </c>
      <c r="K288" s="172">
        <f t="shared" si="767"/>
        <v>52.250742526447588</v>
      </c>
      <c r="L288" s="443"/>
      <c r="M288" s="217">
        <f t="shared" si="768"/>
        <v>0.3131581890537885</v>
      </c>
      <c r="N288" s="172">
        <f t="shared" si="769"/>
        <v>63.043425950507682</v>
      </c>
      <c r="O288" s="172">
        <f t="shared" si="762"/>
        <v>17.28</v>
      </c>
      <c r="P288" s="217">
        <f t="shared" si="770"/>
        <v>2.6268094146044869</v>
      </c>
      <c r="Q288" s="217">
        <f t="shared" si="771"/>
        <v>24</v>
      </c>
      <c r="R288" s="217"/>
      <c r="S288" s="172">
        <f t="shared" si="772"/>
        <v>223.22786764732373</v>
      </c>
      <c r="T288" s="172">
        <f t="shared" si="773"/>
        <v>24</v>
      </c>
      <c r="U288" s="217">
        <f t="shared" si="774"/>
        <v>3.1432573051368959</v>
      </c>
      <c r="V288" s="217">
        <f t="shared" si="775"/>
        <v>0.87585528350884645</v>
      </c>
      <c r="W288" s="217">
        <f t="shared" si="776"/>
        <v>1.9209681274968022</v>
      </c>
      <c r="X288" s="197">
        <f t="shared" si="777"/>
        <v>350</v>
      </c>
      <c r="Y288" s="443">
        <f t="shared" si="840"/>
        <v>333.68666179247055</v>
      </c>
      <c r="AA288" s="217">
        <f t="shared" si="778"/>
        <v>3.2110483351198793</v>
      </c>
      <c r="AB288" s="173">
        <f t="shared" si="779"/>
        <v>1.9623978913645805</v>
      </c>
      <c r="AC288" s="173">
        <f t="shared" si="780"/>
        <v>0.73552560190082783</v>
      </c>
      <c r="AD288" s="173"/>
      <c r="AE288" s="173">
        <f t="shared" si="781"/>
        <v>1.3580873745613034</v>
      </c>
      <c r="AF288" s="545">
        <f t="shared" si="782"/>
        <v>715.35474158456418</v>
      </c>
      <c r="AG288" s="528">
        <f t="shared" si="783"/>
        <v>0.35227277510148486</v>
      </c>
      <c r="AI288" s="173">
        <f t="shared" si="784"/>
        <v>3.1769779026278639</v>
      </c>
      <c r="AJ288" s="173">
        <f t="shared" si="785"/>
        <v>3.1769779026278639</v>
      </c>
      <c r="AK288" s="173">
        <f t="shared" si="786"/>
        <v>1.9072264299301049</v>
      </c>
      <c r="AM288" s="545">
        <f t="shared" si="787"/>
        <v>720</v>
      </c>
      <c r="AN288" s="460">
        <f t="shared" si="788"/>
        <v>333.68666179247055</v>
      </c>
      <c r="AP288">
        <f t="shared" si="789"/>
        <v>720</v>
      </c>
      <c r="AQ288">
        <f t="shared" si="790"/>
        <v>333.68666179247055</v>
      </c>
      <c r="AS288" s="5">
        <f t="shared" si="763"/>
        <v>2.9968234110056491</v>
      </c>
      <c r="AT288" s="5">
        <f t="shared" si="791"/>
        <v>0.88525138462575859</v>
      </c>
      <c r="AU288" s="5">
        <f t="shared" si="722"/>
        <v>2.1115720263798905</v>
      </c>
      <c r="AV288" s="5"/>
      <c r="AW288" s="173">
        <f t="shared" si="723"/>
        <v>0.29539657938293179</v>
      </c>
      <c r="AX288" s="173">
        <f t="shared" si="792"/>
        <v>16.839812043511024</v>
      </c>
      <c r="AY288" s="173">
        <f t="shared" si="793"/>
        <v>0.74654291738838008</v>
      </c>
      <c r="AZ288" s="173">
        <f t="shared" si="794"/>
        <v>22.557058209622411</v>
      </c>
      <c r="BA288" s="460">
        <f t="shared" si="724"/>
        <v>2.6557541538772758</v>
      </c>
      <c r="BB288" s="5">
        <f t="shared" si="725"/>
        <v>0.84726801665911222</v>
      </c>
      <c r="BD288" s="173">
        <f t="shared" si="841"/>
        <v>0.99691079267758143</v>
      </c>
      <c r="BE288" s="173">
        <f t="shared" si="842"/>
        <v>1.0269558525796685</v>
      </c>
      <c r="BG288" s="528">
        <f t="shared" si="843"/>
        <v>3.9753245142281748E-2</v>
      </c>
      <c r="BH288" s="528">
        <f t="shared" si="795"/>
        <v>1.2463155854756016</v>
      </c>
      <c r="BI288" s="528">
        <f t="shared" si="796"/>
        <v>0.47901202723992437</v>
      </c>
      <c r="BJ288" s="528">
        <f t="shared" si="844"/>
        <v>0.15942698351671247</v>
      </c>
      <c r="BK288">
        <f t="shared" si="845"/>
        <v>1.6149537645591159E-2</v>
      </c>
      <c r="BL288" s="460">
        <f t="shared" si="846"/>
        <v>495.16156488551553</v>
      </c>
      <c r="BM288" s="528">
        <f t="shared" si="797"/>
        <v>1.4701149717108155</v>
      </c>
      <c r="BN288" s="460">
        <f t="shared" si="847"/>
        <v>1470.1149717108156</v>
      </c>
      <c r="BO288" s="528">
        <f t="shared" si="798"/>
        <v>0.504</v>
      </c>
      <c r="BR288" s="460">
        <f t="shared" si="848"/>
        <v>504</v>
      </c>
      <c r="BS288" s="528">
        <f t="shared" si="849"/>
        <v>2.9814933856711311E-2</v>
      </c>
      <c r="BT288" s="528">
        <f t="shared" si="850"/>
        <v>3.1639149694429013E-2</v>
      </c>
      <c r="BU288" s="528">
        <f t="shared" si="851"/>
        <v>1.8295850707446553</v>
      </c>
      <c r="BV288" s="528"/>
      <c r="BW288" s="528">
        <f t="shared" si="852"/>
        <v>0.67359248174044095</v>
      </c>
      <c r="BX288" s="460">
        <f t="shared" si="853"/>
        <v>2564.6316360362366</v>
      </c>
      <c r="BY288" s="173">
        <f t="shared" si="854"/>
        <v>5.009289015056348</v>
      </c>
      <c r="BZ288" s="5">
        <f t="shared" si="855"/>
        <v>17.28</v>
      </c>
      <c r="CA288" s="173">
        <f t="shared" si="856"/>
        <v>0.77526026013334981</v>
      </c>
      <c r="CB288" s="5">
        <f t="shared" si="857"/>
        <v>77.526026013334985</v>
      </c>
      <c r="CE288" s="562">
        <f t="shared" si="799"/>
        <v>-50</v>
      </c>
      <c r="CF288">
        <f t="shared" si="800"/>
        <v>-50</v>
      </c>
      <c r="CG288" s="173">
        <f t="shared" si="801"/>
        <v>0.67382901370913117</v>
      </c>
      <c r="CI288" s="170">
        <v>72</v>
      </c>
      <c r="CJ288" s="217">
        <f t="shared" si="858"/>
        <v>0.72</v>
      </c>
      <c r="CK288" s="217"/>
      <c r="CL288" s="217">
        <f t="shared" si="802"/>
        <v>17.28</v>
      </c>
      <c r="CM288" s="541">
        <f t="shared" si="803"/>
        <v>36</v>
      </c>
      <c r="CN288" s="443">
        <f t="shared" si="804"/>
        <v>16.3415</v>
      </c>
      <c r="CO288" s="443">
        <f t="shared" si="805"/>
        <v>52.341499999999996</v>
      </c>
      <c r="CP288" s="443"/>
      <c r="CQ288" s="217">
        <f t="shared" si="806"/>
        <v>0.31220924123305599</v>
      </c>
      <c r="CR288" s="172">
        <f t="shared" si="807"/>
        <v>63.048783011568261</v>
      </c>
      <c r="CS288" s="172">
        <f t="shared" si="808"/>
        <v>17.28</v>
      </c>
      <c r="CT288" s="217">
        <f t="shared" si="809"/>
        <v>2.6270326254820109</v>
      </c>
      <c r="CU288" s="217">
        <f t="shared" si="810"/>
        <v>24</v>
      </c>
      <c r="CV288" s="217"/>
      <c r="CW288" s="172">
        <f t="shared" si="811"/>
        <v>223.92501160701931</v>
      </c>
      <c r="CX288" s="172">
        <f t="shared" si="812"/>
        <v>24</v>
      </c>
      <c r="CY288" s="217">
        <f t="shared" si="813"/>
        <v>3.0748609368784998</v>
      </c>
      <c r="CZ288" s="217">
        <f t="shared" si="814"/>
        <v>0.8541280380218057</v>
      </c>
      <c r="DA288" s="217">
        <f t="shared" si="815"/>
        <v>1.8816271069843651</v>
      </c>
      <c r="DB288" s="197">
        <f t="shared" si="816"/>
        <v>350</v>
      </c>
      <c r="DC288" s="443">
        <f t="shared" si="817"/>
        <v>350</v>
      </c>
      <c r="DE288" s="217">
        <f t="shared" si="818"/>
        <v>3.211295052682861</v>
      </c>
      <c r="DF288" s="173">
        <f t="shared" si="819"/>
        <v>1.96511645361984</v>
      </c>
      <c r="DG288" s="173">
        <f t="shared" si="820"/>
        <v>0.73660113681324435</v>
      </c>
      <c r="DH288" s="173"/>
      <c r="DI288" s="173">
        <f t="shared" si="821"/>
        <v>1.3598642855443031</v>
      </c>
      <c r="DJ288" s="545">
        <f t="shared" si="822"/>
        <v>714.41999999999973</v>
      </c>
      <c r="DK288" s="528">
        <f t="shared" si="823"/>
        <v>0.35273368606701955</v>
      </c>
      <c r="DM288" s="173">
        <f t="shared" si="824"/>
        <v>3.1749015732775083</v>
      </c>
      <c r="DN288" s="173">
        <f t="shared" si="825"/>
        <v>3.1749015732775083</v>
      </c>
      <c r="DO288" s="173">
        <f t="shared" si="826"/>
        <v>1.9056884081891008</v>
      </c>
      <c r="DQ288" s="545">
        <f t="shared" si="827"/>
        <v>720</v>
      </c>
      <c r="DR288" s="460">
        <f t="shared" si="828"/>
        <v>350</v>
      </c>
      <c r="DT288">
        <f t="shared" si="829"/>
        <v>720</v>
      </c>
      <c r="DU288">
        <f t="shared" si="830"/>
        <v>350</v>
      </c>
      <c r="DW288" s="5">
        <f t="shared" si="859"/>
        <v>2.8571428571428572</v>
      </c>
      <c r="DX288" s="5">
        <f t="shared" si="831"/>
        <v>0.88191710368819676</v>
      </c>
      <c r="DY288" s="5">
        <f t="shared" si="832"/>
        <v>1.9752257534546604</v>
      </c>
      <c r="DZ288" s="5"/>
      <c r="EA288" s="173">
        <f t="shared" si="833"/>
        <v>0.30867098629086887</v>
      </c>
      <c r="EB288" s="173">
        <f t="shared" si="860"/>
        <v>17.64</v>
      </c>
      <c r="EC288" s="173">
        <f t="shared" si="861"/>
        <v>0.73199967468804905</v>
      </c>
      <c r="ED288" s="173">
        <f t="shared" si="862"/>
        <v>24.098371365421045</v>
      </c>
      <c r="EE288" s="460">
        <f t="shared" si="834"/>
        <v>2.6457513110645903</v>
      </c>
      <c r="EF288" s="5">
        <f t="shared" si="835"/>
        <v>0.79009030138186409</v>
      </c>
      <c r="EH288" s="173">
        <f t="shared" si="863"/>
        <v>1.0183980135179562</v>
      </c>
      <c r="EI288" s="173">
        <f t="shared" si="864"/>
        <v>1.0165713468463193</v>
      </c>
      <c r="EK288" s="528">
        <f t="shared" si="865"/>
        <v>4.1485380557492776E-2</v>
      </c>
      <c r="EL288" s="528">
        <f t="shared" si="866"/>
        <v>1.5994739404654077</v>
      </c>
      <c r="EM288" s="528">
        <f t="shared" si="867"/>
        <v>6.9999999999999993E-2</v>
      </c>
      <c r="EN288" s="528">
        <f t="shared" si="868"/>
        <v>0.16780249811281248</v>
      </c>
      <c r="EO288">
        <f t="shared" si="869"/>
        <v>1.6199999999999999E-2</v>
      </c>
      <c r="EP288" s="460">
        <f t="shared" si="870"/>
        <v>86.2</v>
      </c>
      <c r="EQ288" s="460"/>
      <c r="ER288" s="460">
        <f t="shared" si="871"/>
        <v>1894.9618191357131</v>
      </c>
      <c r="ES288" s="528">
        <f t="shared" si="872"/>
        <v>0.504</v>
      </c>
      <c r="EV288" s="460">
        <f t="shared" si="873"/>
        <v>504</v>
      </c>
      <c r="EW288" s="528">
        <f t="shared" si="874"/>
        <v>3.1114035418119579E-2</v>
      </c>
      <c r="EX288" s="528">
        <f t="shared" si="875"/>
        <v>3.1002519096868193E-2</v>
      </c>
      <c r="EY288" s="528">
        <f t="shared" si="876"/>
        <v>2.0580967191815605</v>
      </c>
      <c r="EZ288" s="528"/>
      <c r="FA288" s="528">
        <f t="shared" si="877"/>
        <v>0.70559999999999989</v>
      </c>
      <c r="FB288" s="460">
        <f t="shared" si="878"/>
        <v>2825.8132736965481</v>
      </c>
      <c r="FC288" s="173">
        <f t="shared" si="879"/>
        <v>5.2247750928322612</v>
      </c>
      <c r="FD288" s="5">
        <f t="shared" si="880"/>
        <v>17.28</v>
      </c>
      <c r="FE288" s="173">
        <f t="shared" si="881"/>
        <v>0.76783704474805692</v>
      </c>
      <c r="FF288" s="5">
        <f t="shared" si="882"/>
        <v>76.783704474805688</v>
      </c>
      <c r="FI288" s="562">
        <f t="shared" si="836"/>
        <v>-50</v>
      </c>
      <c r="FJ288">
        <f t="shared" si="837"/>
        <v>-50</v>
      </c>
      <c r="FL288">
        <f t="shared" si="838"/>
        <v>0.67999605338991409</v>
      </c>
    </row>
    <row r="289" spans="5:168">
      <c r="E289" s="170">
        <v>73</v>
      </c>
      <c r="F289" s="217">
        <f t="shared" si="839"/>
        <v>0.73</v>
      </c>
      <c r="G289" s="217"/>
      <c r="H289" s="217">
        <f t="shared" si="764"/>
        <v>17.52</v>
      </c>
      <c r="I289" s="541">
        <f t="shared" si="765"/>
        <v>35.885942371763868</v>
      </c>
      <c r="J289" s="172">
        <f t="shared" si="766"/>
        <v>16.363246993215007</v>
      </c>
      <c r="K289" s="172">
        <f t="shared" si="767"/>
        <v>52.249189364978875</v>
      </c>
      <c r="L289" s="443"/>
      <c r="M289" s="217">
        <f t="shared" si="768"/>
        <v>0.31317161863184484</v>
      </c>
      <c r="N289" s="172">
        <f t="shared" si="769"/>
        <v>63.042758204760581</v>
      </c>
      <c r="O289" s="172">
        <f t="shared" si="762"/>
        <v>17.52</v>
      </c>
      <c r="P289" s="217">
        <f t="shared" si="770"/>
        <v>2.6267815918650244</v>
      </c>
      <c r="Q289" s="217">
        <f t="shared" si="771"/>
        <v>24</v>
      </c>
      <c r="R289" s="217"/>
      <c r="S289" s="172">
        <f t="shared" si="772"/>
        <v>219.42489077029339</v>
      </c>
      <c r="T289" s="172">
        <f t="shared" si="773"/>
        <v>24</v>
      </c>
      <c r="U289" s="217">
        <f t="shared" si="774"/>
        <v>3.18697597042526</v>
      </c>
      <c r="V289" s="217">
        <f t="shared" si="775"/>
        <v>0.88808479303942367</v>
      </c>
      <c r="W289" s="217">
        <f t="shared" si="776"/>
        <v>1.9476427702562542</v>
      </c>
      <c r="X289" s="197">
        <f t="shared" si="777"/>
        <v>350</v>
      </c>
      <c r="Y289" s="443">
        <f t="shared" si="840"/>
        <v>329.41032393380175</v>
      </c>
      <c r="AA289" s="217">
        <f t="shared" si="778"/>
        <v>3.2110438772911913</v>
      </c>
      <c r="AB289" s="173">
        <f t="shared" si="779"/>
        <v>1.9623512855502612</v>
      </c>
      <c r="AC289" s="173">
        <f t="shared" si="780"/>
        <v>0.73550711250344358</v>
      </c>
      <c r="AD289" s="173"/>
      <c r="AE289" s="173">
        <f t="shared" si="781"/>
        <v>1.3580570061331123</v>
      </c>
      <c r="AF289" s="545">
        <f t="shared" si="782"/>
        <v>725.30644281019727</v>
      </c>
      <c r="AG289" s="528">
        <f t="shared" si="783"/>
        <v>0.35226489786863907</v>
      </c>
      <c r="AI289" s="173">
        <f t="shared" si="784"/>
        <v>3.1989999381094005</v>
      </c>
      <c r="AJ289" s="173">
        <f t="shared" si="785"/>
        <v>3.1989999381094005</v>
      </c>
      <c r="AK289" s="173">
        <f t="shared" si="786"/>
        <v>1.9235390488053172</v>
      </c>
      <c r="AM289" s="545">
        <f t="shared" si="787"/>
        <v>730</v>
      </c>
      <c r="AN289" s="460">
        <f t="shared" si="788"/>
        <v>329.41032393380175</v>
      </c>
      <c r="AP289">
        <f t="shared" si="789"/>
        <v>730</v>
      </c>
      <c r="AQ289">
        <f t="shared" si="790"/>
        <v>329.41032393380175</v>
      </c>
      <c r="AS289" s="5">
        <f t="shared" si="763"/>
        <v>3.0357275632956782</v>
      </c>
      <c r="AT289" s="5">
        <f t="shared" si="791"/>
        <v>0.89143539968075902</v>
      </c>
      <c r="AU289" s="5">
        <f t="shared" si="722"/>
        <v>2.144292163614919</v>
      </c>
      <c r="AV289" s="5"/>
      <c r="AW289" s="173">
        <f t="shared" si="723"/>
        <v>0.29364802377489685</v>
      </c>
      <c r="AX289" s="173">
        <f t="shared" si="792"/>
        <v>16.855268449903392</v>
      </c>
      <c r="AY289" s="173">
        <f t="shared" si="793"/>
        <v>0.75358324606389049</v>
      </c>
      <c r="AZ289" s="173">
        <f t="shared" si="794"/>
        <v>22.36683012519411</v>
      </c>
      <c r="BA289" s="460">
        <f t="shared" si="724"/>
        <v>2.7114493406956424</v>
      </c>
      <c r="BB289" s="5">
        <f t="shared" si="725"/>
        <v>0.8723935758591318</v>
      </c>
      <c r="BD289" s="173">
        <f t="shared" si="841"/>
        <v>1.0008457412730534</v>
      </c>
      <c r="BE289" s="173">
        <f t="shared" si="842"/>
        <v>1.035356753093654</v>
      </c>
      <c r="BG289" s="528">
        <f t="shared" si="843"/>
        <v>4.006768791297631E-2</v>
      </c>
      <c r="BH289" s="528">
        <f t="shared" si="795"/>
        <v>1.2388351313962962</v>
      </c>
      <c r="BI289" s="528">
        <f t="shared" si="796"/>
        <v>0.47284799605409916</v>
      </c>
      <c r="BJ289" s="528">
        <f t="shared" si="844"/>
        <v>0.15737450188329583</v>
      </c>
      <c r="BK289">
        <f t="shared" si="845"/>
        <v>1.6148674067293738E-2</v>
      </c>
      <c r="BL289" s="460">
        <f t="shared" si="846"/>
        <v>488.99667012139292</v>
      </c>
      <c r="BM289" s="528">
        <f t="shared" si="797"/>
        <v>1.4610044803311024</v>
      </c>
      <c r="BN289" s="460">
        <f t="shared" si="847"/>
        <v>1461.0044803311025</v>
      </c>
      <c r="BO289" s="528">
        <f t="shared" si="798"/>
        <v>0.51100000000000001</v>
      </c>
      <c r="BR289" s="460">
        <f t="shared" si="848"/>
        <v>511</v>
      </c>
      <c r="BS289" s="528">
        <f t="shared" si="849"/>
        <v>3.0050765934732233E-2</v>
      </c>
      <c r="BT289" s="528">
        <f t="shared" si="850"/>
        <v>3.2158908185299012E-2</v>
      </c>
      <c r="BU289" s="528">
        <f t="shared" si="851"/>
        <v>1.8023892930725474</v>
      </c>
      <c r="BV289" s="528"/>
      <c r="BW289" s="528">
        <f t="shared" si="852"/>
        <v>0.67421073799613562</v>
      </c>
      <c r="BX289" s="460">
        <f t="shared" si="853"/>
        <v>2538.8097051887144</v>
      </c>
      <c r="BY289" s="173">
        <f t="shared" si="854"/>
        <v>4.9750836965026757</v>
      </c>
      <c r="BZ289" s="5">
        <f t="shared" si="855"/>
        <v>17.52</v>
      </c>
      <c r="CA289" s="173">
        <f t="shared" si="856"/>
        <v>0.77883684436896961</v>
      </c>
      <c r="CB289" s="5">
        <f t="shared" si="857"/>
        <v>77.883684436896957</v>
      </c>
      <c r="CE289" s="562">
        <f t="shared" si="799"/>
        <v>-50</v>
      </c>
      <c r="CF289">
        <f t="shared" si="800"/>
        <v>-50</v>
      </c>
      <c r="CG289" s="173">
        <f t="shared" si="801"/>
        <v>0.67169285682772095</v>
      </c>
      <c r="CI289" s="170">
        <v>73</v>
      </c>
      <c r="CJ289" s="217">
        <f t="shared" si="858"/>
        <v>0.73</v>
      </c>
      <c r="CK289" s="217"/>
      <c r="CL289" s="217">
        <f t="shared" si="802"/>
        <v>17.52</v>
      </c>
      <c r="CM289" s="541">
        <f t="shared" si="803"/>
        <v>36</v>
      </c>
      <c r="CN289" s="443">
        <f t="shared" si="804"/>
        <v>16.3415</v>
      </c>
      <c r="CO289" s="443">
        <f t="shared" si="805"/>
        <v>52.341499999999996</v>
      </c>
      <c r="CP289" s="443"/>
      <c r="CQ289" s="217">
        <f t="shared" si="806"/>
        <v>0.31220924123305599</v>
      </c>
      <c r="CR289" s="172">
        <f t="shared" si="807"/>
        <v>63.048783011568261</v>
      </c>
      <c r="CS289" s="172">
        <f t="shared" si="808"/>
        <v>17.52</v>
      </c>
      <c r="CT289" s="217">
        <f t="shared" si="809"/>
        <v>2.6270326254820109</v>
      </c>
      <c r="CU289" s="217">
        <f t="shared" si="810"/>
        <v>24</v>
      </c>
      <c r="CV289" s="217"/>
      <c r="CW289" s="172">
        <f t="shared" si="811"/>
        <v>220.12190940415562</v>
      </c>
      <c r="CX289" s="172">
        <f t="shared" si="812"/>
        <v>24</v>
      </c>
      <c r="CY289" s="217">
        <f t="shared" si="813"/>
        <v>3.1175673387795899</v>
      </c>
      <c r="CZ289" s="217">
        <f t="shared" si="814"/>
        <v>0.86599092743877504</v>
      </c>
      <c r="DA289" s="217">
        <f t="shared" si="815"/>
        <v>1.9077608168035924</v>
      </c>
      <c r="DB289" s="197">
        <f t="shared" si="816"/>
        <v>350</v>
      </c>
      <c r="DC289" s="443">
        <f t="shared" si="817"/>
        <v>350</v>
      </c>
      <c r="DE289" s="217">
        <f t="shared" si="818"/>
        <v>3.211295052682861</v>
      </c>
      <c r="DF289" s="173">
        <f t="shared" si="819"/>
        <v>1.96511645361984</v>
      </c>
      <c r="DG289" s="173">
        <f t="shared" si="820"/>
        <v>0.73660113681324435</v>
      </c>
      <c r="DH289" s="173"/>
      <c r="DI289" s="173">
        <f t="shared" si="821"/>
        <v>1.3598642855443031</v>
      </c>
      <c r="DJ289" s="545">
        <f t="shared" si="822"/>
        <v>724.34249999999975</v>
      </c>
      <c r="DK289" s="528">
        <f t="shared" si="823"/>
        <v>0.35273368606701955</v>
      </c>
      <c r="DM289" s="173">
        <f t="shared" si="824"/>
        <v>3.1968734726291559</v>
      </c>
      <c r="DN289" s="173">
        <f t="shared" si="825"/>
        <v>3.1968734726291559</v>
      </c>
      <c r="DO289" s="173">
        <f t="shared" si="826"/>
        <v>1.9219638891903212</v>
      </c>
      <c r="DQ289" s="545">
        <f t="shared" si="827"/>
        <v>730</v>
      </c>
      <c r="DR289" s="460">
        <f t="shared" si="828"/>
        <v>350</v>
      </c>
      <c r="DT289">
        <f t="shared" si="829"/>
        <v>730</v>
      </c>
      <c r="DU289">
        <f t="shared" si="830"/>
        <v>350</v>
      </c>
      <c r="DW289" s="5">
        <f t="shared" si="859"/>
        <v>2.8571428571428572</v>
      </c>
      <c r="DX289" s="5">
        <f t="shared" si="831"/>
        <v>0.88802040906365454</v>
      </c>
      <c r="DY289" s="5">
        <f t="shared" si="832"/>
        <v>1.9691224480792027</v>
      </c>
      <c r="DZ289" s="5"/>
      <c r="EA289" s="173">
        <f t="shared" si="833"/>
        <v>0.31080714317227909</v>
      </c>
      <c r="EB289" s="173">
        <f t="shared" si="860"/>
        <v>17.884999999999998</v>
      </c>
      <c r="EC289" s="173">
        <f t="shared" si="861"/>
        <v>0.73478799756626789</v>
      </c>
      <c r="ED289" s="173">
        <f t="shared" si="862"/>
        <v>24.340354033051572</v>
      </c>
      <c r="EE289" s="460">
        <f t="shared" si="834"/>
        <v>2.7010620775686158</v>
      </c>
      <c r="EF289" s="5">
        <f t="shared" si="835"/>
        <v>0.79858854838767646</v>
      </c>
      <c r="EH289" s="173">
        <f t="shared" si="863"/>
        <v>1.0289880147051749</v>
      </c>
      <c r="EI289" s="173">
        <f t="shared" si="864"/>
        <v>1.022023867856674</v>
      </c>
      <c r="EK289" s="528">
        <f t="shared" si="865"/>
        <v>4.2352653376275889E-2</v>
      </c>
      <c r="EL289" s="528">
        <f t="shared" si="866"/>
        <v>1.6105430963508323</v>
      </c>
      <c r="EM289" s="528">
        <f t="shared" si="867"/>
        <v>6.9999999999999993E-2</v>
      </c>
      <c r="EN289" s="528">
        <f t="shared" si="868"/>
        <v>0.16780249811281248</v>
      </c>
      <c r="EO289">
        <f t="shared" si="869"/>
        <v>1.6199999999999999E-2</v>
      </c>
      <c r="EP289" s="460">
        <f t="shared" si="870"/>
        <v>86.2</v>
      </c>
      <c r="EQ289" s="460"/>
      <c r="ER289" s="460">
        <f t="shared" si="871"/>
        <v>1906.8982478399207</v>
      </c>
      <c r="ES289" s="528">
        <f t="shared" si="872"/>
        <v>0.51100000000000001</v>
      </c>
      <c r="EV289" s="460">
        <f t="shared" si="873"/>
        <v>511</v>
      </c>
      <c r="EW289" s="528">
        <f t="shared" si="874"/>
        <v>3.1764490032206917E-2</v>
      </c>
      <c r="EX289" s="528">
        <f t="shared" si="875"/>
        <v>3.1335983594061485E-2</v>
      </c>
      <c r="EY289" s="528">
        <f t="shared" si="876"/>
        <v>2.0938893836266272</v>
      </c>
      <c r="EZ289" s="528"/>
      <c r="FA289" s="528">
        <f t="shared" si="877"/>
        <v>0.71539999999999992</v>
      </c>
      <c r="FB289" s="460">
        <f t="shared" si="878"/>
        <v>2872.3898572528956</v>
      </c>
      <c r="FC289" s="173">
        <f t="shared" si="879"/>
        <v>5.2902881050928157</v>
      </c>
      <c r="FD289" s="5">
        <f t="shared" si="880"/>
        <v>17.52</v>
      </c>
      <c r="FE289" s="173">
        <f t="shared" si="881"/>
        <v>0.76807447232936688</v>
      </c>
      <c r="FF289" s="5">
        <f t="shared" si="882"/>
        <v>76.807447232936681</v>
      </c>
      <c r="FI289" s="562">
        <f t="shared" si="836"/>
        <v>-50</v>
      </c>
      <c r="FJ289">
        <f t="shared" si="837"/>
        <v>-50</v>
      </c>
      <c r="FL289">
        <f t="shared" si="838"/>
        <v>0.68470196458110011</v>
      </c>
    </row>
    <row r="290" spans="5:168">
      <c r="E290" s="170">
        <v>74</v>
      </c>
      <c r="F290" s="217">
        <f t="shared" si="839"/>
        <v>0.74</v>
      </c>
      <c r="G290" s="217"/>
      <c r="H290" s="217">
        <f t="shared" si="764"/>
        <v>17.759999999999998</v>
      </c>
      <c r="I290" s="541">
        <f t="shared" si="765"/>
        <v>35.884989210616546</v>
      </c>
      <c r="J290" s="172">
        <f t="shared" si="766"/>
        <v>16.36342872931915</v>
      </c>
      <c r="K290" s="172">
        <f t="shared" si="767"/>
        <v>52.248417939935692</v>
      </c>
      <c r="L290" s="443"/>
      <c r="M290" s="217">
        <f t="shared" si="768"/>
        <v>0.31317924615075038</v>
      </c>
      <c r="N290" s="172">
        <f t="shared" si="769"/>
        <v>63.042619146202426</v>
      </c>
      <c r="O290" s="172">
        <f t="shared" si="762"/>
        <v>17.759999999999998</v>
      </c>
      <c r="P290" s="217">
        <f t="shared" si="770"/>
        <v>2.6267757977584343</v>
      </c>
      <c r="Q290" s="217">
        <f t="shared" si="771"/>
        <v>24</v>
      </c>
      <c r="R290" s="217"/>
      <c r="S290" s="172">
        <f t="shared" si="772"/>
        <v>215.73064792711151</v>
      </c>
      <c r="T290" s="172">
        <f t="shared" si="773"/>
        <v>24</v>
      </c>
      <c r="U290" s="217">
        <f t="shared" si="774"/>
        <v>3.2306690534422371</v>
      </c>
      <c r="V290" s="217">
        <f t="shared" si="775"/>
        <v>0.90028424823559561</v>
      </c>
      <c r="W290" s="217">
        <f t="shared" si="776"/>
        <v>1.9743228065971838</v>
      </c>
      <c r="X290" s="197">
        <f t="shared" si="777"/>
        <v>350</v>
      </c>
      <c r="Y290" s="443">
        <f t="shared" si="840"/>
        <v>325.24481410662332</v>
      </c>
      <c r="AA290" s="217">
        <f t="shared" si="778"/>
        <v>3.2110416602215968</v>
      </c>
      <c r="AB290" s="173">
        <f t="shared" si="779"/>
        <v>1.9623281363203655</v>
      </c>
      <c r="AC290" s="173">
        <f t="shared" si="780"/>
        <v>0.73549792813560866</v>
      </c>
      <c r="AD290" s="173"/>
      <c r="AE290" s="173">
        <f t="shared" si="781"/>
        <v>1.3580419232312597</v>
      </c>
      <c r="AF290" s="545">
        <f t="shared" si="782"/>
        <v>735.25031336985717</v>
      </c>
      <c r="AG290" s="528">
        <f t="shared" si="783"/>
        <v>0.35226098553148633</v>
      </c>
      <c r="AI290" s="173">
        <f t="shared" si="784"/>
        <v>3.2208542544913823</v>
      </c>
      <c r="AJ290" s="173">
        <f t="shared" si="785"/>
        <v>3.2306690534422371</v>
      </c>
      <c r="AK290" s="173">
        <f t="shared" si="786"/>
        <v>1.9469976527555666</v>
      </c>
      <c r="AM290" s="545">
        <f t="shared" si="787"/>
        <v>740</v>
      </c>
      <c r="AN290" s="460">
        <f t="shared" si="788"/>
        <v>325.24481410662332</v>
      </c>
      <c r="AP290">
        <f t="shared" si="789"/>
        <v>740</v>
      </c>
      <c r="AQ290">
        <f t="shared" si="790"/>
        <v>325.24481410662332</v>
      </c>
      <c r="AS290" s="5">
        <f t="shared" si="763"/>
        <v>3.0746070548327795</v>
      </c>
      <c r="AT290" s="5">
        <f t="shared" si="791"/>
        <v>0.90028424823559561</v>
      </c>
      <c r="AU290" s="5">
        <f t="shared" si="722"/>
        <v>2.1743228065971838</v>
      </c>
      <c r="AV290" s="5"/>
      <c r="AW290" s="173">
        <f t="shared" si="723"/>
        <v>0.29281278296050745</v>
      </c>
      <c r="AX290" s="173">
        <f t="shared" si="792"/>
        <v>16.973262512462778</v>
      </c>
      <c r="AY290" s="173">
        <f t="shared" si="793"/>
        <v>0.76194340033598917</v>
      </c>
      <c r="AZ290" s="173">
        <f t="shared" si="794"/>
        <v>22.276277352068657</v>
      </c>
      <c r="BA290" s="460">
        <f t="shared" si="724"/>
        <v>2.7758764320597531</v>
      </c>
      <c r="BB290" s="5">
        <f t="shared" si="725"/>
        <v>0.89675316185180542</v>
      </c>
      <c r="BD290" s="173">
        <f t="shared" si="841"/>
        <v>1.0093153085512299</v>
      </c>
      <c r="BE290" s="173">
        <f t="shared" si="842"/>
        <v>1.0462244835432466</v>
      </c>
      <c r="BG290" s="528">
        <f t="shared" si="843"/>
        <v>4.0748695683034575E-2</v>
      </c>
      <c r="BH290" s="528">
        <f t="shared" si="795"/>
        <v>1.2352603887876514</v>
      </c>
      <c r="BI290" s="528">
        <f t="shared" si="796"/>
        <v>0.46685626580100653</v>
      </c>
      <c r="BJ290" s="528">
        <f t="shared" si="844"/>
        <v>0.15537985748899763</v>
      </c>
      <c r="BK290">
        <f t="shared" si="845"/>
        <v>1.6148245144777446E-2</v>
      </c>
      <c r="BL290" s="460">
        <f t="shared" si="846"/>
        <v>483.00451094578398</v>
      </c>
      <c r="BM290" s="528">
        <f t="shared" si="797"/>
        <v>1.4564926919608026</v>
      </c>
      <c r="BN290" s="460">
        <f t="shared" si="847"/>
        <v>1456.4926919608026</v>
      </c>
      <c r="BO290" s="528">
        <f t="shared" si="798"/>
        <v>0.51800000000000002</v>
      </c>
      <c r="BR290" s="460">
        <f t="shared" si="848"/>
        <v>518</v>
      </c>
      <c r="BS290" s="528">
        <f t="shared" si="849"/>
        <v>3.0561521762275928E-2</v>
      </c>
      <c r="BT290" s="528">
        <f t="shared" si="850"/>
        <v>3.2837570098959989E-2</v>
      </c>
      <c r="BU290" s="528">
        <f t="shared" si="851"/>
        <v>1.7894811786376972</v>
      </c>
      <c r="BV290" s="528"/>
      <c r="BW290" s="528">
        <f t="shared" si="852"/>
        <v>0.678930500498511</v>
      </c>
      <c r="BX290" s="460">
        <f t="shared" si="853"/>
        <v>2531.8107709974443</v>
      </c>
      <c r="BY290" s="173">
        <f t="shared" si="854"/>
        <v>4.9642042239029118</v>
      </c>
      <c r="BZ290" s="5">
        <f t="shared" si="855"/>
        <v>17.759999999999998</v>
      </c>
      <c r="CA290" s="173">
        <f t="shared" si="856"/>
        <v>0.78154551970267838</v>
      </c>
      <c r="CB290" s="5">
        <f t="shared" si="857"/>
        <v>78.154551970267832</v>
      </c>
      <c r="CE290" s="562">
        <f t="shared" si="799"/>
        <v>-50</v>
      </c>
      <c r="CF290">
        <f t="shared" si="800"/>
        <v>-50</v>
      </c>
      <c r="CG290" s="173">
        <f t="shared" si="801"/>
        <v>0.67525116410048946</v>
      </c>
      <c r="CI290" s="170">
        <v>74</v>
      </c>
      <c r="CJ290" s="217">
        <f t="shared" si="858"/>
        <v>0.74</v>
      </c>
      <c r="CK290" s="217"/>
      <c r="CL290" s="217">
        <f t="shared" si="802"/>
        <v>17.759999999999998</v>
      </c>
      <c r="CM290" s="541">
        <f t="shared" si="803"/>
        <v>36</v>
      </c>
      <c r="CN290" s="443">
        <f t="shared" si="804"/>
        <v>16.3415</v>
      </c>
      <c r="CO290" s="443">
        <f t="shared" si="805"/>
        <v>52.341499999999996</v>
      </c>
      <c r="CP290" s="443"/>
      <c r="CQ290" s="217">
        <f t="shared" si="806"/>
        <v>0.31220924123305599</v>
      </c>
      <c r="CR290" s="172">
        <f t="shared" si="807"/>
        <v>63.048783011568261</v>
      </c>
      <c r="CS290" s="172">
        <f t="shared" si="808"/>
        <v>17.759999999999998</v>
      </c>
      <c r="CT290" s="217">
        <f t="shared" si="809"/>
        <v>2.6270326254820109</v>
      </c>
      <c r="CU290" s="217">
        <f t="shared" si="810"/>
        <v>24</v>
      </c>
      <c r="CV290" s="217"/>
      <c r="CW290" s="172">
        <f t="shared" si="811"/>
        <v>216.42166346980616</v>
      </c>
      <c r="CX290" s="172">
        <f t="shared" si="812"/>
        <v>24</v>
      </c>
      <c r="CY290" s="217">
        <f t="shared" si="813"/>
        <v>3.1602737406806796</v>
      </c>
      <c r="CZ290" s="217">
        <f t="shared" si="814"/>
        <v>0.87785381685574448</v>
      </c>
      <c r="DA290" s="217">
        <f t="shared" si="815"/>
        <v>1.9338945266228191</v>
      </c>
      <c r="DB290" s="197">
        <f t="shared" si="816"/>
        <v>350</v>
      </c>
      <c r="DC290" s="443">
        <f t="shared" si="817"/>
        <v>350</v>
      </c>
      <c r="DE290" s="217">
        <f t="shared" si="818"/>
        <v>3.211295052682861</v>
      </c>
      <c r="DF290" s="173">
        <f t="shared" si="819"/>
        <v>1.96511645361984</v>
      </c>
      <c r="DG290" s="173">
        <f t="shared" si="820"/>
        <v>0.73660113681324435</v>
      </c>
      <c r="DH290" s="173"/>
      <c r="DI290" s="173">
        <f t="shared" si="821"/>
        <v>1.3598642855443031</v>
      </c>
      <c r="DJ290" s="545">
        <f t="shared" si="822"/>
        <v>734.26499999999976</v>
      </c>
      <c r="DK290" s="528">
        <f t="shared" si="823"/>
        <v>0.35273368606701955</v>
      </c>
      <c r="DM290" s="173">
        <f t="shared" si="824"/>
        <v>3.2186953878862159</v>
      </c>
      <c r="DN290" s="173">
        <f t="shared" si="825"/>
        <v>3.1602737406806796</v>
      </c>
      <c r="DO290" s="173">
        <f t="shared" si="826"/>
        <v>1.8948529766358941</v>
      </c>
      <c r="DQ290" s="545">
        <f t="shared" si="827"/>
        <v>740</v>
      </c>
      <c r="DR290" s="460">
        <f t="shared" si="828"/>
        <v>350</v>
      </c>
      <c r="DT290">
        <f t="shared" si="829"/>
        <v>740</v>
      </c>
      <c r="DU290">
        <f t="shared" si="830"/>
        <v>350</v>
      </c>
      <c r="DW290" s="5">
        <f t="shared" si="859"/>
        <v>2.8571428571428572</v>
      </c>
      <c r="DX290" s="5">
        <f t="shared" si="831"/>
        <v>0.87785381685574448</v>
      </c>
      <c r="DY290" s="5">
        <f t="shared" si="832"/>
        <v>1.9792890402871128</v>
      </c>
      <c r="DZ290" s="5"/>
      <c r="EA290" s="173">
        <f t="shared" si="833"/>
        <v>0.30724883589951058</v>
      </c>
      <c r="EB290" s="173">
        <f t="shared" si="860"/>
        <v>17.477827703062747</v>
      </c>
      <c r="EC290" s="173">
        <f t="shared" si="861"/>
        <v>0.73012598479637181</v>
      </c>
      <c r="ED290" s="173">
        <f t="shared" si="862"/>
        <v>23.938098447403181</v>
      </c>
      <c r="EE290" s="460">
        <f t="shared" si="834"/>
        <v>2.7067159353052124</v>
      </c>
      <c r="EF290" s="5">
        <f t="shared" si="835"/>
        <v>0.81370771656247953</v>
      </c>
      <c r="EH290" s="173">
        <f t="shared" si="863"/>
        <v>1.0113679765374124</v>
      </c>
      <c r="EI290" s="173">
        <f t="shared" si="864"/>
        <v>1.0129279180516835</v>
      </c>
      <c r="EK290" s="528">
        <f t="shared" si="865"/>
        <v>4.0914607358615199E-2</v>
      </c>
      <c r="EL290" s="528">
        <f t="shared" si="866"/>
        <v>1.5921046294791887</v>
      </c>
      <c r="EM290" s="528">
        <f t="shared" si="867"/>
        <v>6.9999999999999993E-2</v>
      </c>
      <c r="EN290" s="528">
        <f t="shared" si="868"/>
        <v>0.16780249811281248</v>
      </c>
      <c r="EO290">
        <f t="shared" si="869"/>
        <v>1.6199999999999999E-2</v>
      </c>
      <c r="EP290" s="460">
        <f t="shared" si="870"/>
        <v>86.2</v>
      </c>
      <c r="EQ290" s="460"/>
      <c r="ER290" s="460">
        <f t="shared" si="871"/>
        <v>1887.0217349506167</v>
      </c>
      <c r="ES290" s="528">
        <f t="shared" si="872"/>
        <v>0.51800000000000002</v>
      </c>
      <c r="EV290" s="460">
        <f t="shared" si="873"/>
        <v>518</v>
      </c>
      <c r="EW290" s="528">
        <f t="shared" si="874"/>
        <v>3.0685955518961399E-2</v>
      </c>
      <c r="EX290" s="528">
        <f t="shared" si="875"/>
        <v>3.0780689015055537E-2</v>
      </c>
      <c r="EY290" s="528">
        <f t="shared" si="876"/>
        <v>2.0344727233205591</v>
      </c>
      <c r="EZ290" s="528"/>
      <c r="FA290" s="528">
        <f t="shared" si="877"/>
        <v>0.69911310812250982</v>
      </c>
      <c r="FB290" s="460">
        <f t="shared" si="878"/>
        <v>2795.052475977086</v>
      </c>
      <c r="FC290" s="173">
        <f t="shared" si="879"/>
        <v>5.2000742109277018</v>
      </c>
      <c r="FD290" s="5">
        <f t="shared" si="880"/>
        <v>17.759999999999998</v>
      </c>
      <c r="FE290" s="173">
        <f t="shared" si="881"/>
        <v>0.7735166636154529</v>
      </c>
      <c r="FF290" s="5">
        <f t="shared" si="882"/>
        <v>77.351666361545284</v>
      </c>
      <c r="FI290" s="562">
        <f t="shared" si="836"/>
        <v>-50</v>
      </c>
      <c r="FJ290">
        <f t="shared" si="837"/>
        <v>-50</v>
      </c>
      <c r="FL290">
        <f t="shared" si="838"/>
        <v>0.68937575238513948</v>
      </c>
    </row>
    <row r="291" spans="5:168">
      <c r="E291" s="170">
        <v>75</v>
      </c>
      <c r="F291" s="217">
        <f t="shared" si="839"/>
        <v>0.75</v>
      </c>
      <c r="G291" s="217"/>
      <c r="H291" s="217">
        <f t="shared" si="764"/>
        <v>18</v>
      </c>
      <c r="I291" s="541">
        <f t="shared" si="765"/>
        <v>35.882713836921525</v>
      </c>
      <c r="J291" s="172">
        <f t="shared" si="766"/>
        <v>16.363862567345354</v>
      </c>
      <c r="K291" s="172">
        <f t="shared" si="767"/>
        <v>52.246576404266875</v>
      </c>
      <c r="L291" s="443"/>
      <c r="M291" s="217">
        <f t="shared" si="768"/>
        <v>0.31319702398498789</v>
      </c>
      <c r="N291" s="172">
        <f t="shared" si="769"/>
        <v>63.042200208438402</v>
      </c>
      <c r="O291" s="172">
        <f t="shared" si="762"/>
        <v>18</v>
      </c>
      <c r="P291" s="217">
        <f t="shared" si="770"/>
        <v>2.6267583420182667</v>
      </c>
      <c r="Q291" s="217">
        <f t="shared" si="771"/>
        <v>24</v>
      </c>
      <c r="R291" s="217"/>
      <c r="S291" s="172">
        <f t="shared" si="772"/>
        <v>212.12721395255116</v>
      </c>
      <c r="T291" s="172">
        <f t="shared" si="773"/>
        <v>24</v>
      </c>
      <c r="U291" s="217">
        <f t="shared" si="774"/>
        <v>3.2744114990115216</v>
      </c>
      <c r="V291" s="217">
        <f t="shared" si="775"/>
        <v>0.91253173154431688</v>
      </c>
      <c r="W291" s="217">
        <f t="shared" si="776"/>
        <v>2.0010015884304249</v>
      </c>
      <c r="X291" s="197">
        <f t="shared" si="777"/>
        <v>350</v>
      </c>
      <c r="Y291" s="443">
        <f t="shared" si="840"/>
        <v>321.17851239443689</v>
      </c>
      <c r="AA291" s="217">
        <f t="shared" si="778"/>
        <v>3.2110363597380482</v>
      </c>
      <c r="AB291" s="173">
        <f t="shared" si="779"/>
        <v>1.9622728720209257</v>
      </c>
      <c r="AC291" s="173">
        <f t="shared" si="780"/>
        <v>0.73547600053161422</v>
      </c>
      <c r="AD291" s="173"/>
      <c r="AE291" s="173">
        <f t="shared" si="781"/>
        <v>1.3580059188817333</v>
      </c>
      <c r="AF291" s="545">
        <f t="shared" si="782"/>
        <v>745.20588528203155</v>
      </c>
      <c r="AG291" s="528">
        <f t="shared" si="783"/>
        <v>0.35225164640326739</v>
      </c>
      <c r="AI291" s="173">
        <f t="shared" si="784"/>
        <v>3.242586737741135</v>
      </c>
      <c r="AJ291" s="173">
        <f t="shared" si="785"/>
        <v>3.2744114990115216</v>
      </c>
      <c r="AK291" s="173">
        <f t="shared" si="786"/>
        <v>1.9793994642883699</v>
      </c>
      <c r="AM291" s="545">
        <f t="shared" si="787"/>
        <v>750</v>
      </c>
      <c r="AN291" s="460">
        <f t="shared" si="788"/>
        <v>321.17851239443689</v>
      </c>
      <c r="AP291">
        <f t="shared" si="789"/>
        <v>750</v>
      </c>
      <c r="AQ291">
        <f t="shared" si="790"/>
        <v>321.17851239443689</v>
      </c>
      <c r="AS291" s="5">
        <f t="shared" si="763"/>
        <v>3.1135333199747426</v>
      </c>
      <c r="AT291" s="5">
        <f t="shared" si="791"/>
        <v>0.91253173154431688</v>
      </c>
      <c r="AU291" s="5">
        <f t="shared" si="722"/>
        <v>2.2010015884304259</v>
      </c>
      <c r="AV291" s="5"/>
      <c r="AW291" s="173">
        <f t="shared" si="723"/>
        <v>0.2930855840501233</v>
      </c>
      <c r="AX291" s="173">
        <f t="shared" si="792"/>
        <v>17.218011761868439</v>
      </c>
      <c r="AY291" s="173">
        <f t="shared" si="793"/>
        <v>0.77196201891649729</v>
      </c>
      <c r="AZ291" s="173">
        <f t="shared" si="794"/>
        <v>22.30422137352706</v>
      </c>
      <c r="BA291" s="460">
        <f t="shared" si="724"/>
        <v>2.85166166107599</v>
      </c>
      <c r="BB291" s="5">
        <f t="shared" si="725"/>
        <v>0.92008157399972257</v>
      </c>
      <c r="BD291" s="173">
        <f t="shared" si="841"/>
        <v>1.0234576065738537</v>
      </c>
      <c r="BE291" s="173">
        <f t="shared" si="842"/>
        <v>1.0601855544502259</v>
      </c>
      <c r="BG291" s="528">
        <f t="shared" si="843"/>
        <v>4.1898618898155243E-2</v>
      </c>
      <c r="BH291" s="528">
        <f t="shared" si="795"/>
        <v>1.236289254703985</v>
      </c>
      <c r="BI291" s="528">
        <f t="shared" si="796"/>
        <v>0.46099026603270926</v>
      </c>
      <c r="BJ291" s="528">
        <f t="shared" si="844"/>
        <v>0.15342643917749432</v>
      </c>
      <c r="BK291">
        <f t="shared" si="845"/>
        <v>1.6147221226614685E-2</v>
      </c>
      <c r="BL291" s="460">
        <f t="shared" si="846"/>
        <v>477.1374872593239</v>
      </c>
      <c r="BM291" s="528">
        <f t="shared" si="797"/>
        <v>1.4574358770526927</v>
      </c>
      <c r="BN291" s="460">
        <f t="shared" si="847"/>
        <v>1457.4358770526928</v>
      </c>
      <c r="BO291" s="528">
        <f t="shared" si="798"/>
        <v>0.52499999999999991</v>
      </c>
      <c r="BR291" s="460">
        <f t="shared" si="848"/>
        <v>524.99999999999989</v>
      </c>
      <c r="BS291" s="528">
        <f t="shared" si="849"/>
        <v>3.1423964173616425E-2</v>
      </c>
      <c r="BT291" s="528">
        <f t="shared" si="850"/>
        <v>3.3719802295947988E-2</v>
      </c>
      <c r="BU291" s="528">
        <f t="shared" si="851"/>
        <v>1.7933677347590975</v>
      </c>
      <c r="BV291" s="528"/>
      <c r="BW291" s="528">
        <f t="shared" si="852"/>
        <v>0.68872047047473761</v>
      </c>
      <c r="BX291" s="460">
        <f t="shared" si="853"/>
        <v>2547.2319717033997</v>
      </c>
      <c r="BY291" s="173">
        <f t="shared" si="854"/>
        <v>4.9809837717423582</v>
      </c>
      <c r="BZ291" s="5">
        <f t="shared" si="855"/>
        <v>18</v>
      </c>
      <c r="CA291" s="173">
        <f t="shared" si="856"/>
        <v>0.78325628610090114</v>
      </c>
      <c r="CB291" s="5">
        <f t="shared" si="857"/>
        <v>78.325628610090121</v>
      </c>
      <c r="CE291" s="562">
        <f t="shared" si="799"/>
        <v>-50</v>
      </c>
      <c r="CF291">
        <f t="shared" si="800"/>
        <v>-50</v>
      </c>
      <c r="CG291" s="173">
        <f t="shared" si="801"/>
        <v>0.67109915280455013</v>
      </c>
      <c r="CI291" s="170">
        <v>75</v>
      </c>
      <c r="CJ291" s="217">
        <f t="shared" si="858"/>
        <v>0.75</v>
      </c>
      <c r="CK291" s="217"/>
      <c r="CL291" s="217">
        <f t="shared" si="802"/>
        <v>18</v>
      </c>
      <c r="CM291" s="541">
        <f t="shared" si="803"/>
        <v>36</v>
      </c>
      <c r="CN291" s="443">
        <f t="shared" si="804"/>
        <v>16.3415</v>
      </c>
      <c r="CO291" s="443">
        <f t="shared" si="805"/>
        <v>52.341499999999996</v>
      </c>
      <c r="CP291" s="443"/>
      <c r="CQ291" s="217">
        <f t="shared" si="806"/>
        <v>0.31220924123305599</v>
      </c>
      <c r="CR291" s="172">
        <f t="shared" si="807"/>
        <v>63.048783011568261</v>
      </c>
      <c r="CS291" s="172">
        <f t="shared" si="808"/>
        <v>18</v>
      </c>
      <c r="CT291" s="217">
        <f t="shared" si="809"/>
        <v>2.6270326254820109</v>
      </c>
      <c r="CU291" s="217">
        <f t="shared" si="810"/>
        <v>24</v>
      </c>
      <c r="CV291" s="217"/>
      <c r="CW291" s="172">
        <f t="shared" si="811"/>
        <v>212.82016023545953</v>
      </c>
      <c r="CX291" s="172">
        <f t="shared" si="812"/>
        <v>24</v>
      </c>
      <c r="CY291" s="217">
        <f t="shared" si="813"/>
        <v>3.2029801425817706</v>
      </c>
      <c r="CZ291" s="217">
        <f t="shared" si="814"/>
        <v>0.88971670627271404</v>
      </c>
      <c r="DA291" s="217">
        <f t="shared" si="815"/>
        <v>1.9600282364420467</v>
      </c>
      <c r="DB291" s="197">
        <f t="shared" si="816"/>
        <v>350</v>
      </c>
      <c r="DC291" s="443">
        <f t="shared" si="817"/>
        <v>350</v>
      </c>
      <c r="DE291" s="217">
        <f t="shared" si="818"/>
        <v>3.211295052682861</v>
      </c>
      <c r="DF291" s="173">
        <f t="shared" si="819"/>
        <v>1.96511645361984</v>
      </c>
      <c r="DG291" s="173">
        <f t="shared" si="820"/>
        <v>0.73660113681324435</v>
      </c>
      <c r="DH291" s="173"/>
      <c r="DI291" s="173">
        <f t="shared" si="821"/>
        <v>1.3598642855443031</v>
      </c>
      <c r="DJ291" s="545">
        <f t="shared" si="822"/>
        <v>744.18749999999977</v>
      </c>
      <c r="DK291" s="528">
        <f t="shared" si="823"/>
        <v>0.35273368606701955</v>
      </c>
      <c r="DM291" s="173">
        <f t="shared" si="824"/>
        <v>3.2403703492039297</v>
      </c>
      <c r="DN291" s="173">
        <f t="shared" si="825"/>
        <v>3.2029801425817706</v>
      </c>
      <c r="DO291" s="173">
        <f t="shared" si="826"/>
        <v>1.9264873484144802</v>
      </c>
      <c r="DQ291" s="545">
        <f t="shared" si="827"/>
        <v>750</v>
      </c>
      <c r="DR291" s="460">
        <f t="shared" si="828"/>
        <v>350</v>
      </c>
      <c r="DT291">
        <f t="shared" si="829"/>
        <v>750</v>
      </c>
      <c r="DU291">
        <f t="shared" si="830"/>
        <v>350</v>
      </c>
      <c r="DW291" s="5">
        <f t="shared" si="859"/>
        <v>2.8571428571428572</v>
      </c>
      <c r="DX291" s="5">
        <f t="shared" si="831"/>
        <v>0.88971670627271404</v>
      </c>
      <c r="DY291" s="5">
        <f t="shared" si="832"/>
        <v>1.9674261508701432</v>
      </c>
      <c r="DZ291" s="5"/>
      <c r="EA291" s="173">
        <f t="shared" si="833"/>
        <v>0.31140084719544991</v>
      </c>
      <c r="EB291" s="173">
        <f t="shared" si="860"/>
        <v>17.953393139102999</v>
      </c>
      <c r="EC291" s="173">
        <f t="shared" si="861"/>
        <v>0.73555739911263995</v>
      </c>
      <c r="ED291" s="173">
        <f t="shared" si="862"/>
        <v>24.407875117239758</v>
      </c>
      <c r="EE291" s="460">
        <f t="shared" si="834"/>
        <v>2.7803647071022315</v>
      </c>
      <c r="EF291" s="5">
        <f t="shared" si="835"/>
        <v>0.81976089619589287</v>
      </c>
      <c r="EH291" s="173">
        <f t="shared" si="863"/>
        <v>1.0319377826898242</v>
      </c>
      <c r="EI291" s="173">
        <f t="shared" si="864"/>
        <v>1.0235349922821233</v>
      </c>
      <c r="EK291" s="528">
        <f t="shared" si="865"/>
        <v>4.2595823493711632E-2</v>
      </c>
      <c r="EL291" s="528">
        <f t="shared" si="866"/>
        <v>1.6136195569045835</v>
      </c>
      <c r="EM291" s="528">
        <f t="shared" si="867"/>
        <v>6.9999999999999993E-2</v>
      </c>
      <c r="EN291" s="528">
        <f t="shared" si="868"/>
        <v>0.16780249811281248</v>
      </c>
      <c r="EO291">
        <f t="shared" si="869"/>
        <v>1.6199999999999999E-2</v>
      </c>
      <c r="EP291" s="460">
        <f t="shared" si="870"/>
        <v>86.2</v>
      </c>
      <c r="EQ291" s="460"/>
      <c r="ER291" s="460">
        <f t="shared" si="871"/>
        <v>1910.2178785111078</v>
      </c>
      <c r="ES291" s="528">
        <f t="shared" si="872"/>
        <v>0.52499999999999991</v>
      </c>
      <c r="EV291" s="460">
        <f t="shared" si="873"/>
        <v>524.99999999999989</v>
      </c>
      <c r="EW291" s="528">
        <f t="shared" si="874"/>
        <v>3.1946867620283724E-2</v>
      </c>
      <c r="EX291" s="528">
        <f t="shared" si="875"/>
        <v>3.142871641277898E-2</v>
      </c>
      <c r="EY291" s="528">
        <f t="shared" si="876"/>
        <v>2.103903086220424</v>
      </c>
      <c r="EZ291" s="528"/>
      <c r="FA291" s="528">
        <f t="shared" si="877"/>
        <v>0.71813572556411986</v>
      </c>
      <c r="FB291" s="460">
        <f t="shared" si="878"/>
        <v>2885.414395817606</v>
      </c>
      <c r="FC291" s="173">
        <f t="shared" si="879"/>
        <v>5.3206322743287142</v>
      </c>
      <c r="FD291" s="5">
        <f t="shared" si="880"/>
        <v>18</v>
      </c>
      <c r="FE291" s="173">
        <f t="shared" si="881"/>
        <v>0.77184871268753497</v>
      </c>
      <c r="FF291" s="5">
        <f t="shared" si="882"/>
        <v>77.184871268753497</v>
      </c>
      <c r="FI291" s="562">
        <f t="shared" si="836"/>
        <v>-50</v>
      </c>
      <c r="FJ291">
        <f t="shared" si="837"/>
        <v>-50</v>
      </c>
      <c r="FL291">
        <f t="shared" si="838"/>
        <v>0.68859915280455009</v>
      </c>
    </row>
    <row r="292" spans="5:168">
      <c r="E292" s="170">
        <v>76</v>
      </c>
      <c r="F292" s="217">
        <f t="shared" si="839"/>
        <v>0.76</v>
      </c>
      <c r="G292" s="217"/>
      <c r="H292" s="217">
        <f t="shared" si="764"/>
        <v>18.240000000000002</v>
      </c>
      <c r="I292" s="541">
        <f t="shared" si="765"/>
        <v>35.881039593724807</v>
      </c>
      <c r="J292" s="172">
        <f t="shared" si="766"/>
        <v>16.364181789794586</v>
      </c>
      <c r="K292" s="172">
        <f t="shared" si="767"/>
        <v>52.245221383519393</v>
      </c>
      <c r="L292" s="443"/>
      <c r="M292" s="217">
        <f t="shared" si="768"/>
        <v>0.31321122206345953</v>
      </c>
      <c r="N292" s="172">
        <f t="shared" si="769"/>
        <v>63.042116479253821</v>
      </c>
      <c r="O292" s="172">
        <f t="shared" si="762"/>
        <v>18.240000000000002</v>
      </c>
      <c r="P292" s="217">
        <f t="shared" si="770"/>
        <v>2.6267548533022427</v>
      </c>
      <c r="Q292" s="217">
        <f t="shared" si="771"/>
        <v>24</v>
      </c>
      <c r="R292" s="217"/>
      <c r="S292" s="172">
        <f t="shared" si="772"/>
        <v>208.62225918874418</v>
      </c>
      <c r="T292" s="172">
        <f t="shared" si="773"/>
        <v>24</v>
      </c>
      <c r="U292" s="217">
        <f t="shared" si="774"/>
        <v>3.318138913920504</v>
      </c>
      <c r="V292" s="217">
        <f t="shared" si="775"/>
        <v>0.92476108593598549</v>
      </c>
      <c r="W292" s="217">
        <f t="shared" si="776"/>
        <v>2.027683972558799</v>
      </c>
      <c r="X292" s="197">
        <f t="shared" si="777"/>
        <v>350</v>
      </c>
      <c r="Y292" s="443">
        <f t="shared" si="840"/>
        <v>317.21409301181461</v>
      </c>
      <c r="AA292" s="217">
        <f t="shared" si="778"/>
        <v>3.211032452454516</v>
      </c>
      <c r="AB292" s="173">
        <f t="shared" si="779"/>
        <v>1.9622322054971646</v>
      </c>
      <c r="AC292" s="173">
        <f t="shared" si="780"/>
        <v>0.73545986345397363</v>
      </c>
      <c r="AD292" s="173"/>
      <c r="AE292" s="173">
        <f t="shared" si="781"/>
        <v>1.3579794277328898</v>
      </c>
      <c r="AF292" s="545">
        <f t="shared" si="782"/>
        <v>755.15669488737217</v>
      </c>
      <c r="AG292" s="528">
        <f t="shared" si="783"/>
        <v>0.3522447748936034</v>
      </c>
      <c r="AI292" s="173">
        <f t="shared" si="784"/>
        <v>3.2641642394083688</v>
      </c>
      <c r="AJ292" s="173">
        <f t="shared" si="785"/>
        <v>3.318138913920504</v>
      </c>
      <c r="AK292" s="173">
        <f t="shared" si="786"/>
        <v>2.011790141998727</v>
      </c>
      <c r="AM292" s="545">
        <f t="shared" si="787"/>
        <v>760</v>
      </c>
      <c r="AN292" s="460">
        <f t="shared" si="788"/>
        <v>317.21409301181461</v>
      </c>
      <c r="AP292">
        <f t="shared" si="789"/>
        <v>760</v>
      </c>
      <c r="AQ292">
        <f t="shared" si="790"/>
        <v>317.21409301181461</v>
      </c>
      <c r="AS292" s="5">
        <f t="shared" si="763"/>
        <v>3.1524450584947847</v>
      </c>
      <c r="AT292" s="5">
        <f t="shared" si="791"/>
        <v>0.92476108593598549</v>
      </c>
      <c r="AU292" s="5">
        <f t="shared" si="722"/>
        <v>2.2276839725587991</v>
      </c>
      <c r="AV292" s="5"/>
      <c r="AW292" s="173">
        <f t="shared" si="723"/>
        <v>0.29334724912780441</v>
      </c>
      <c r="AX292" s="173">
        <f t="shared" si="792"/>
        <v>17.462708544920005</v>
      </c>
      <c r="AY292" s="173">
        <f t="shared" si="793"/>
        <v>0.78198145909788419</v>
      </c>
      <c r="AZ292" s="173">
        <f t="shared" si="794"/>
        <v>22.331358808769554</v>
      </c>
      <c r="BA292" s="460">
        <f t="shared" si="724"/>
        <v>2.928410105463954</v>
      </c>
      <c r="BB292" s="5">
        <f t="shared" si="725"/>
        <v>0.94369607921883114</v>
      </c>
      <c r="BD292" s="173">
        <f t="shared" si="841"/>
        <v>1.0375880144959218</v>
      </c>
      <c r="BE292" s="173">
        <f t="shared" si="842"/>
        <v>1.0741447183590038</v>
      </c>
      <c r="BG292" s="528">
        <f t="shared" si="843"/>
        <v>4.3063555513023564E-2</v>
      </c>
      <c r="BH292" s="528">
        <f t="shared" si="795"/>
        <v>1.2373031807859556</v>
      </c>
      <c r="BI292" s="528">
        <f t="shared" si="796"/>
        <v>0.45527885724177697</v>
      </c>
      <c r="BJ292" s="528">
        <f t="shared" si="844"/>
        <v>0.15152478272701253</v>
      </c>
      <c r="BK292">
        <f t="shared" si="845"/>
        <v>1.6146467817176161E-2</v>
      </c>
      <c r="BL292" s="460">
        <f t="shared" si="846"/>
        <v>471.42532505895315</v>
      </c>
      <c r="BM292" s="528">
        <f t="shared" si="797"/>
        <v>1.4584413057629588</v>
      </c>
      <c r="BN292" s="460">
        <f t="shared" si="847"/>
        <v>1458.4413057629588</v>
      </c>
      <c r="BO292" s="528">
        <f t="shared" si="798"/>
        <v>0.53199999999999992</v>
      </c>
      <c r="BR292" s="460">
        <f t="shared" si="848"/>
        <v>531.99999999999989</v>
      </c>
      <c r="BS292" s="528">
        <f t="shared" si="849"/>
        <v>3.2297666634767672E-2</v>
      </c>
      <c r="BT292" s="528">
        <f t="shared" si="850"/>
        <v>3.4613606279356307E-2</v>
      </c>
      <c r="BU292" s="528">
        <f t="shared" si="851"/>
        <v>1.7971635349813226</v>
      </c>
      <c r="BV292" s="528"/>
      <c r="BW292" s="528">
        <f t="shared" si="852"/>
        <v>0.6985083417968001</v>
      </c>
      <c r="BX292" s="460">
        <f t="shared" si="853"/>
        <v>2562.5831496922465</v>
      </c>
      <c r="BY292" s="173">
        <f t="shared" si="854"/>
        <v>4.9978999937771915</v>
      </c>
      <c r="BZ292" s="5">
        <f t="shared" si="855"/>
        <v>18.240000000000002</v>
      </c>
      <c r="CA292" s="173">
        <f t="shared" si="856"/>
        <v>0.78492462765071003</v>
      </c>
      <c r="CB292" s="5">
        <f t="shared" si="857"/>
        <v>78.492462765070997</v>
      </c>
      <c r="CE292" s="562">
        <f t="shared" si="799"/>
        <v>-50</v>
      </c>
      <c r="CF292">
        <f t="shared" si="800"/>
        <v>-50</v>
      </c>
      <c r="CG292" s="173">
        <f t="shared" si="801"/>
        <v>0.67047618983006474</v>
      </c>
      <c r="CI292" s="170">
        <v>76</v>
      </c>
      <c r="CJ292" s="217">
        <f t="shared" si="858"/>
        <v>0.76</v>
      </c>
      <c r="CK292" s="217"/>
      <c r="CL292" s="217">
        <f t="shared" si="802"/>
        <v>18.240000000000002</v>
      </c>
      <c r="CM292" s="541">
        <f t="shared" si="803"/>
        <v>36</v>
      </c>
      <c r="CN292" s="443">
        <f t="shared" si="804"/>
        <v>16.3415</v>
      </c>
      <c r="CO292" s="443">
        <f t="shared" si="805"/>
        <v>52.341499999999996</v>
      </c>
      <c r="CP292" s="443"/>
      <c r="CQ292" s="217">
        <f t="shared" si="806"/>
        <v>0.31220924123305599</v>
      </c>
      <c r="CR292" s="172">
        <f t="shared" si="807"/>
        <v>63.048783011568261</v>
      </c>
      <c r="CS292" s="172">
        <f t="shared" si="808"/>
        <v>18.240000000000002</v>
      </c>
      <c r="CT292" s="217">
        <f t="shared" si="809"/>
        <v>2.6270326254820109</v>
      </c>
      <c r="CU292" s="217">
        <f t="shared" si="810"/>
        <v>24</v>
      </c>
      <c r="CV292" s="217"/>
      <c r="CW292" s="172">
        <f t="shared" si="811"/>
        <v>209.31350264500676</v>
      </c>
      <c r="CX292" s="172">
        <f t="shared" si="812"/>
        <v>24</v>
      </c>
      <c r="CY292" s="217">
        <f t="shared" si="813"/>
        <v>3.2456865444828611</v>
      </c>
      <c r="CZ292" s="217">
        <f t="shared" si="814"/>
        <v>0.9015795956896836</v>
      </c>
      <c r="DA292" s="217">
        <f t="shared" si="815"/>
        <v>1.9861619462612741</v>
      </c>
      <c r="DB292" s="197">
        <f t="shared" si="816"/>
        <v>350</v>
      </c>
      <c r="DC292" s="443">
        <f t="shared" si="817"/>
        <v>346.29137873758611</v>
      </c>
      <c r="DE292" s="217">
        <f t="shared" si="818"/>
        <v>3.211295052682861</v>
      </c>
      <c r="DF292" s="173">
        <f t="shared" si="819"/>
        <v>1.96511645361984</v>
      </c>
      <c r="DG292" s="173">
        <f t="shared" si="820"/>
        <v>0.73660113681324435</v>
      </c>
      <c r="DH292" s="173"/>
      <c r="DI292" s="173">
        <f t="shared" si="821"/>
        <v>1.3598642855443031</v>
      </c>
      <c r="DJ292" s="545">
        <f t="shared" si="822"/>
        <v>754.10999999999979</v>
      </c>
      <c r="DK292" s="528">
        <f t="shared" si="823"/>
        <v>0.35273368606701955</v>
      </c>
      <c r="DM292" s="173">
        <f t="shared" si="824"/>
        <v>3.2619012860600178</v>
      </c>
      <c r="DN292" s="173">
        <f t="shared" si="825"/>
        <v>3.2456865444828611</v>
      </c>
      <c r="DO292" s="173">
        <f t="shared" si="826"/>
        <v>1.9581217201930656</v>
      </c>
      <c r="DQ292" s="545">
        <f t="shared" si="827"/>
        <v>760</v>
      </c>
      <c r="DR292" s="460">
        <f t="shared" si="828"/>
        <v>346.29137873758611</v>
      </c>
      <c r="DT292">
        <f t="shared" si="829"/>
        <v>760</v>
      </c>
      <c r="DU292">
        <f t="shared" si="830"/>
        <v>346.29137873758611</v>
      </c>
      <c r="DW292" s="5">
        <f t="shared" si="859"/>
        <v>2.8877415419509576</v>
      </c>
      <c r="DX292" s="5">
        <f t="shared" si="831"/>
        <v>0.9015795956896836</v>
      </c>
      <c r="DY292" s="5">
        <f t="shared" si="832"/>
        <v>1.9861619462612738</v>
      </c>
      <c r="DZ292" s="5"/>
      <c r="EA292" s="173">
        <f t="shared" si="833"/>
        <v>0.31220924123305599</v>
      </c>
      <c r="EB292" s="173">
        <f t="shared" si="860"/>
        <v>18.240000000000002</v>
      </c>
      <c r="EC292" s="173">
        <f t="shared" si="861"/>
        <v>0.7444897959183675</v>
      </c>
      <c r="ED292" s="173">
        <f t="shared" si="862"/>
        <v>24.499999999999996</v>
      </c>
      <c r="EE292" s="460">
        <f t="shared" si="834"/>
        <v>2.8550020530173312</v>
      </c>
      <c r="EF292" s="5">
        <f t="shared" si="835"/>
        <v>0.83860171064364897</v>
      </c>
      <c r="EH292" s="173">
        <f t="shared" si="863"/>
        <v>1.0470533837195959</v>
      </c>
      <c r="EI292" s="173">
        <f t="shared" si="864"/>
        <v>1.0365731369112565</v>
      </c>
      <c r="EK292" s="528">
        <f t="shared" si="865"/>
        <v>4.3852831534346208E-2</v>
      </c>
      <c r="EL292" s="528">
        <f t="shared" si="866"/>
        <v>1.6178085</v>
      </c>
      <c r="EM292" s="528">
        <f t="shared" si="867"/>
        <v>6.9258275747517223E-2</v>
      </c>
      <c r="EN292" s="528">
        <f t="shared" si="868"/>
        <v>0.16602445264884866</v>
      </c>
      <c r="EO292">
        <f t="shared" si="869"/>
        <v>1.6199999999999999E-2</v>
      </c>
      <c r="EP292" s="460">
        <f t="shared" si="870"/>
        <v>85.45827574751722</v>
      </c>
      <c r="EQ292" s="460"/>
      <c r="ER292" s="460">
        <f t="shared" si="871"/>
        <v>1913.144059930712</v>
      </c>
      <c r="ES292" s="528">
        <f t="shared" si="872"/>
        <v>0.53199999999999992</v>
      </c>
      <c r="EV292" s="460">
        <f t="shared" si="873"/>
        <v>531.99999999999989</v>
      </c>
      <c r="EW292" s="528">
        <f t="shared" si="874"/>
        <v>3.2889623650759654E-2</v>
      </c>
      <c r="EX292" s="528">
        <f t="shared" si="875"/>
        <v>3.2234516044981273E-2</v>
      </c>
      <c r="EY292" s="528">
        <f t="shared" si="876"/>
        <v>2.1175839702936594</v>
      </c>
      <c r="EZ292" s="528"/>
      <c r="FA292" s="528">
        <f t="shared" si="877"/>
        <v>0.72960000000000003</v>
      </c>
      <c r="FB292" s="460">
        <f t="shared" si="878"/>
        <v>2912.3081099894007</v>
      </c>
      <c r="FC292" s="173">
        <f t="shared" si="879"/>
        <v>5.3574521699201121</v>
      </c>
      <c r="FD292" s="5">
        <f t="shared" si="880"/>
        <v>18.240000000000002</v>
      </c>
      <c r="FE292" s="173">
        <f t="shared" si="881"/>
        <v>0.77296480436352766</v>
      </c>
      <c r="FF292" s="5">
        <f t="shared" si="882"/>
        <v>77.296480436352766</v>
      </c>
      <c r="FI292" s="562">
        <f t="shared" si="836"/>
        <v>-50</v>
      </c>
      <c r="FJ292">
        <f t="shared" si="837"/>
        <v>-50</v>
      </c>
      <c r="FL292">
        <f t="shared" si="838"/>
        <v>0.68779075876694407</v>
      </c>
    </row>
    <row r="293" spans="5:168">
      <c r="E293" s="170">
        <v>77</v>
      </c>
      <c r="F293" s="217">
        <f t="shared" si="839"/>
        <v>0.77</v>
      </c>
      <c r="G293" s="217"/>
      <c r="H293" s="217">
        <f t="shared" si="764"/>
        <v>18.48</v>
      </c>
      <c r="I293" s="541">
        <f t="shared" si="765"/>
        <v>35.879514733610634</v>
      </c>
      <c r="J293" s="172">
        <f t="shared" si="766"/>
        <v>16.364472529862301</v>
      </c>
      <c r="K293" s="172">
        <f t="shared" si="767"/>
        <v>52.243987263472931</v>
      </c>
      <c r="L293" s="443"/>
      <c r="M293" s="217">
        <f t="shared" si="768"/>
        <v>0.31322418851622919</v>
      </c>
      <c r="N293" s="172">
        <f t="shared" si="769"/>
        <v>63.042047070727172</v>
      </c>
      <c r="O293" s="172">
        <f t="shared" si="762"/>
        <v>18.48</v>
      </c>
      <c r="P293" s="217">
        <f t="shared" si="770"/>
        <v>2.626751961280299</v>
      </c>
      <c r="Q293" s="217">
        <f t="shared" si="771"/>
        <v>24</v>
      </c>
      <c r="R293" s="217"/>
      <c r="S293" s="172">
        <f t="shared" si="772"/>
        <v>205.20933026921605</v>
      </c>
      <c r="T293" s="172">
        <f t="shared" si="773"/>
        <v>24</v>
      </c>
      <c r="U293" s="217">
        <f t="shared" si="774"/>
        <v>3.3618621078444235</v>
      </c>
      <c r="V293" s="217">
        <f t="shared" si="775"/>
        <v>0.93698650408310924</v>
      </c>
      <c r="W293" s="217">
        <f t="shared" si="776"/>
        <v>2.0543663119661288</v>
      </c>
      <c r="X293" s="197">
        <f t="shared" si="777"/>
        <v>350</v>
      </c>
      <c r="Y293" s="443">
        <f t="shared" si="840"/>
        <v>313.34673965567941</v>
      </c>
      <c r="AA293" s="217">
        <f t="shared" si="778"/>
        <v>3.2110288885324252</v>
      </c>
      <c r="AB293" s="173">
        <f t="shared" si="779"/>
        <v>1.9621951655776617</v>
      </c>
      <c r="AC293" s="173">
        <f t="shared" si="780"/>
        <v>0.73544516433375651</v>
      </c>
      <c r="AD293" s="173"/>
      <c r="AE293" s="173">
        <f t="shared" si="781"/>
        <v>1.3579553011360774</v>
      </c>
      <c r="AF293" s="545">
        <f t="shared" si="782"/>
        <v>765.10656048539079</v>
      </c>
      <c r="AG293" s="528">
        <f t="shared" si="783"/>
        <v>0.35223851672246365</v>
      </c>
      <c r="AI293" s="173">
        <f t="shared" si="784"/>
        <v>3.285598011407183</v>
      </c>
      <c r="AJ293" s="173">
        <f t="shared" si="785"/>
        <v>3.3618621078444235</v>
      </c>
      <c r="AK293" s="173">
        <f t="shared" si="786"/>
        <v>2.0441776930534825</v>
      </c>
      <c r="AM293" s="545">
        <f t="shared" si="787"/>
        <v>770</v>
      </c>
      <c r="AN293" s="460">
        <f t="shared" si="788"/>
        <v>313.34673965567941</v>
      </c>
      <c r="AP293">
        <f t="shared" si="789"/>
        <v>770</v>
      </c>
      <c r="AQ293">
        <f t="shared" si="790"/>
        <v>313.34673965567941</v>
      </c>
      <c r="AS293" s="5">
        <f t="shared" si="763"/>
        <v>3.1913528160492382</v>
      </c>
      <c r="AT293" s="5">
        <f t="shared" si="791"/>
        <v>0.93698650408310924</v>
      </c>
      <c r="AU293" s="5">
        <f t="shared" si="722"/>
        <v>2.254366311966129</v>
      </c>
      <c r="AV293" s="5"/>
      <c r="AW293" s="173">
        <f t="shared" si="723"/>
        <v>0.29360166615581523</v>
      </c>
      <c r="AX293" s="173">
        <f t="shared" si="792"/>
        <v>17.707407302824794</v>
      </c>
      <c r="AY293" s="173">
        <f t="shared" si="793"/>
        <v>0.79200039949699919</v>
      </c>
      <c r="AZ293" s="173">
        <f t="shared" si="794"/>
        <v>22.357826225934733</v>
      </c>
      <c r="BA293" s="460">
        <f t="shared" si="724"/>
        <v>3.0061650339333088</v>
      </c>
      <c r="BB293" s="5">
        <f t="shared" si="725"/>
        <v>0.96760620822322674</v>
      </c>
      <c r="BD293" s="173">
        <f t="shared" si="841"/>
        <v>1.0517161107779838</v>
      </c>
      <c r="BE293" s="173">
        <f t="shared" si="842"/>
        <v>1.0881028200052993</v>
      </c>
      <c r="BG293" s="528">
        <f t="shared" si="843"/>
        <v>4.4244271106798731E-2</v>
      </c>
      <c r="BH293" s="528">
        <f t="shared" si="795"/>
        <v>1.2382944016284523</v>
      </c>
      <c r="BI293" s="528">
        <f t="shared" si="796"/>
        <v>0.44970915848819221</v>
      </c>
      <c r="BJ293" s="528">
        <f t="shared" si="844"/>
        <v>0.14967037912744738</v>
      </c>
      <c r="BK293">
        <f t="shared" si="845"/>
        <v>1.6145781630124784E-2</v>
      </c>
      <c r="BL293" s="460">
        <f t="shared" si="846"/>
        <v>465.85494011831696</v>
      </c>
      <c r="BM293" s="528">
        <f t="shared" si="797"/>
        <v>1.4594978873023863</v>
      </c>
      <c r="BN293" s="460">
        <f t="shared" si="847"/>
        <v>1459.4978873023863</v>
      </c>
      <c r="BO293" s="528">
        <f t="shared" si="798"/>
        <v>0.53899999999999992</v>
      </c>
      <c r="BR293" s="460">
        <f t="shared" si="848"/>
        <v>538.99999999999989</v>
      </c>
      <c r="BS293" s="528">
        <f t="shared" si="849"/>
        <v>3.3183203330099047E-2</v>
      </c>
      <c r="BT293" s="528">
        <f t="shared" si="850"/>
        <v>3.5519032407104544E-2</v>
      </c>
      <c r="BU293" s="528">
        <f t="shared" si="851"/>
        <v>1.8008713769834856</v>
      </c>
      <c r="BV293" s="528"/>
      <c r="BW293" s="528">
        <f t="shared" si="852"/>
        <v>0.70829629211299183</v>
      </c>
      <c r="BX293" s="460">
        <f t="shared" si="853"/>
        <v>2577.8699048336812</v>
      </c>
      <c r="BY293" s="173">
        <f t="shared" si="854"/>
        <v>5.0149338968146964</v>
      </c>
      <c r="BZ293" s="5">
        <f t="shared" si="855"/>
        <v>18.48</v>
      </c>
      <c r="CA293" s="173">
        <f t="shared" si="856"/>
        <v>0.78655254282308962</v>
      </c>
      <c r="CB293" s="5">
        <f t="shared" si="857"/>
        <v>78.65525428230896</v>
      </c>
      <c r="CE293" s="562">
        <f t="shared" si="799"/>
        <v>-50</v>
      </c>
      <c r="CF293">
        <f t="shared" si="800"/>
        <v>-50</v>
      </c>
      <c r="CG293" s="173">
        <f t="shared" si="801"/>
        <v>0.67070105436171257</v>
      </c>
      <c r="CI293" s="170">
        <v>77</v>
      </c>
      <c r="CJ293" s="217">
        <f t="shared" si="858"/>
        <v>0.77</v>
      </c>
      <c r="CK293" s="217"/>
      <c r="CL293" s="217">
        <f t="shared" si="802"/>
        <v>18.48</v>
      </c>
      <c r="CM293" s="541">
        <f t="shared" si="803"/>
        <v>36</v>
      </c>
      <c r="CN293" s="443">
        <f t="shared" si="804"/>
        <v>16.3415</v>
      </c>
      <c r="CO293" s="443">
        <f t="shared" si="805"/>
        <v>52.341499999999996</v>
      </c>
      <c r="CP293" s="443"/>
      <c r="CQ293" s="217">
        <f t="shared" si="806"/>
        <v>0.31220924123305599</v>
      </c>
      <c r="CR293" s="172">
        <f t="shared" si="807"/>
        <v>63.048783011568261</v>
      </c>
      <c r="CS293" s="172">
        <f t="shared" si="808"/>
        <v>18.48</v>
      </c>
      <c r="CT293" s="217">
        <f t="shared" si="809"/>
        <v>2.6270326254820109</v>
      </c>
      <c r="CU293" s="217">
        <f t="shared" si="810"/>
        <v>24</v>
      </c>
      <c r="CV293" s="217"/>
      <c r="CW293" s="172">
        <f t="shared" si="811"/>
        <v>205.8979960956344</v>
      </c>
      <c r="CX293" s="172">
        <f t="shared" si="812"/>
        <v>24</v>
      </c>
      <c r="CY293" s="217">
        <f t="shared" si="813"/>
        <v>3.2883929463839512</v>
      </c>
      <c r="CZ293" s="217">
        <f t="shared" si="814"/>
        <v>0.91344248510665316</v>
      </c>
      <c r="DA293" s="217">
        <f t="shared" si="815"/>
        <v>2.0122956560805019</v>
      </c>
      <c r="DB293" s="197">
        <f t="shared" si="816"/>
        <v>350</v>
      </c>
      <c r="DC293" s="443">
        <f t="shared" si="817"/>
        <v>341.79408810463036</v>
      </c>
      <c r="DE293" s="217">
        <f t="shared" si="818"/>
        <v>3.211295052682861</v>
      </c>
      <c r="DF293" s="173">
        <f t="shared" si="819"/>
        <v>1.96511645361984</v>
      </c>
      <c r="DG293" s="173">
        <f t="shared" si="820"/>
        <v>0.73660113681324435</v>
      </c>
      <c r="DH293" s="173"/>
      <c r="DI293" s="173">
        <f t="shared" si="821"/>
        <v>1.3598642855443031</v>
      </c>
      <c r="DJ293" s="545">
        <f t="shared" si="822"/>
        <v>764.0324999999998</v>
      </c>
      <c r="DK293" s="528">
        <f t="shared" si="823"/>
        <v>0.35273368606701955</v>
      </c>
      <c r="DM293" s="173">
        <f t="shared" si="824"/>
        <v>3.2832910318764008</v>
      </c>
      <c r="DN293" s="173">
        <f t="shared" si="825"/>
        <v>3.2883929463839512</v>
      </c>
      <c r="DO293" s="173">
        <f t="shared" si="826"/>
        <v>1.989756091971651</v>
      </c>
      <c r="DQ293" s="545">
        <f t="shared" si="827"/>
        <v>770</v>
      </c>
      <c r="DR293" s="460">
        <f t="shared" si="828"/>
        <v>341.79408810463036</v>
      </c>
      <c r="DT293">
        <f t="shared" si="829"/>
        <v>770</v>
      </c>
      <c r="DU293">
        <f t="shared" si="830"/>
        <v>341.79408810463036</v>
      </c>
      <c r="DW293" s="5">
        <f t="shared" si="859"/>
        <v>2.9257381411871553</v>
      </c>
      <c r="DX293" s="5">
        <f t="shared" si="831"/>
        <v>0.91344248510665316</v>
      </c>
      <c r="DY293" s="5">
        <f t="shared" si="832"/>
        <v>2.0122956560805019</v>
      </c>
      <c r="DZ293" s="5"/>
      <c r="EA293" s="173">
        <f t="shared" si="833"/>
        <v>0.31220924123305593</v>
      </c>
      <c r="EB293" s="173">
        <f t="shared" si="860"/>
        <v>18.48</v>
      </c>
      <c r="EC293" s="173">
        <f t="shared" si="861"/>
        <v>0.75428571428571445</v>
      </c>
      <c r="ED293" s="173">
        <f t="shared" si="862"/>
        <v>24.499999999999996</v>
      </c>
      <c r="EE293" s="460">
        <f t="shared" si="834"/>
        <v>2.9306279730505125</v>
      </c>
      <c r="EF293" s="5">
        <f t="shared" si="835"/>
        <v>0.86081536398999225</v>
      </c>
      <c r="EH293" s="173">
        <f t="shared" si="863"/>
        <v>1.0608304019264325</v>
      </c>
      <c r="EI293" s="173">
        <f t="shared" si="864"/>
        <v>1.0502122571337729</v>
      </c>
      <c r="EK293" s="528">
        <f t="shared" si="865"/>
        <v>4.5014445666055856E-2</v>
      </c>
      <c r="EL293" s="528">
        <f t="shared" si="866"/>
        <v>1.6178084999999995</v>
      </c>
      <c r="EM293" s="528">
        <f t="shared" si="867"/>
        <v>6.8358817620926063E-2</v>
      </c>
      <c r="EN293" s="528">
        <f t="shared" si="868"/>
        <v>0.16386829092613628</v>
      </c>
      <c r="EO293">
        <f t="shared" si="869"/>
        <v>1.6199999999999999E-2</v>
      </c>
      <c r="EP293" s="460">
        <f t="shared" si="870"/>
        <v>84.558817620926064</v>
      </c>
      <c r="EQ293" s="460"/>
      <c r="ER293" s="460">
        <f t="shared" si="871"/>
        <v>1911.2500542131177</v>
      </c>
      <c r="ES293" s="528">
        <f t="shared" si="872"/>
        <v>0.53899999999999992</v>
      </c>
      <c r="EV293" s="460">
        <f t="shared" si="873"/>
        <v>538.99999999999989</v>
      </c>
      <c r="EW293" s="528">
        <f t="shared" si="874"/>
        <v>3.3760834249541891E-2</v>
      </c>
      <c r="EX293" s="528">
        <f t="shared" si="875"/>
        <v>3.3088373551020414E-2</v>
      </c>
      <c r="EY293" s="528">
        <f t="shared" si="876"/>
        <v>2.117583970293655</v>
      </c>
      <c r="EZ293" s="528"/>
      <c r="FA293" s="528">
        <f t="shared" si="877"/>
        <v>0.73919999999999986</v>
      </c>
      <c r="FB293" s="460">
        <f t="shared" si="878"/>
        <v>2923.6331780942173</v>
      </c>
      <c r="FC293" s="173">
        <f t="shared" si="879"/>
        <v>5.3738832323073353</v>
      </c>
      <c r="FD293" s="5">
        <f t="shared" si="880"/>
        <v>18.48</v>
      </c>
      <c r="FE293" s="173">
        <f t="shared" si="881"/>
        <v>0.77471662873619551</v>
      </c>
      <c r="FF293" s="5">
        <f t="shared" si="882"/>
        <v>77.47166287361955</v>
      </c>
      <c r="FI293" s="562">
        <f t="shared" si="836"/>
        <v>-50</v>
      </c>
      <c r="FJ293">
        <f t="shared" si="837"/>
        <v>-50</v>
      </c>
      <c r="FL293">
        <f t="shared" si="838"/>
        <v>0.68779075876694407</v>
      </c>
    </row>
    <row r="294" spans="5:168">
      <c r="E294" s="170">
        <v>78</v>
      </c>
      <c r="F294" s="217">
        <f t="shared" si="839"/>
        <v>0.78</v>
      </c>
      <c r="G294" s="217"/>
      <c r="H294" s="217">
        <f t="shared" si="764"/>
        <v>18.72</v>
      </c>
      <c r="I294" s="541">
        <f t="shared" si="765"/>
        <v>35.877989847104566</v>
      </c>
      <c r="J294" s="172">
        <f t="shared" si="766"/>
        <v>16.364763274962073</v>
      </c>
      <c r="K294" s="172">
        <f t="shared" si="767"/>
        <v>52.242753122066638</v>
      </c>
      <c r="L294" s="443"/>
      <c r="M294" s="217">
        <f t="shared" si="768"/>
        <v>0.31323715573976063</v>
      </c>
      <c r="N294" s="172">
        <f t="shared" si="769"/>
        <v>63.041977549125399</v>
      </c>
      <c r="O294" s="172">
        <f t="shared" si="762"/>
        <v>18.72</v>
      </c>
      <c r="P294" s="217">
        <f t="shared" si="770"/>
        <v>2.6267490645468916</v>
      </c>
      <c r="Q294" s="217">
        <f t="shared" si="771"/>
        <v>24</v>
      </c>
      <c r="R294" s="217"/>
      <c r="S294" s="172">
        <f t="shared" si="772"/>
        <v>201.88403963708708</v>
      </c>
      <c r="T294" s="172">
        <f t="shared" si="773"/>
        <v>24</v>
      </c>
      <c r="U294" s="217">
        <f t="shared" si="774"/>
        <v>3.4055869566254202</v>
      </c>
      <c r="V294" s="217">
        <f t="shared" si="775"/>
        <v>0.94921342336581849</v>
      </c>
      <c r="W294" s="217">
        <f t="shared" si="776"/>
        <v>2.0810487138765614</v>
      </c>
      <c r="X294" s="197">
        <f t="shared" si="777"/>
        <v>350</v>
      </c>
      <c r="Y294" s="443">
        <f t="shared" si="840"/>
        <v>309.57239923992148</v>
      </c>
      <c r="AA294" s="217">
        <f t="shared" si="778"/>
        <v>3.2110253195309326</v>
      </c>
      <c r="AB294" s="173">
        <f t="shared" si="779"/>
        <v>1.9621581232670626</v>
      </c>
      <c r="AC294" s="173">
        <f t="shared" si="780"/>
        <v>0.73543046318480687</v>
      </c>
      <c r="AD294" s="173"/>
      <c r="AE294" s="173">
        <f t="shared" si="781"/>
        <v>1.3579311749789873</v>
      </c>
      <c r="AF294" s="545">
        <f t="shared" si="782"/>
        <v>775.05677939438056</v>
      </c>
      <c r="AG294" s="528">
        <f t="shared" si="783"/>
        <v>0.35223225866538288</v>
      </c>
      <c r="AI294" s="173">
        <f t="shared" si="784"/>
        <v>3.3068936161117279</v>
      </c>
      <c r="AJ294" s="173">
        <f t="shared" si="785"/>
        <v>3.4055869566254202</v>
      </c>
      <c r="AK294" s="173">
        <f t="shared" si="786"/>
        <v>2.0765664699282946</v>
      </c>
      <c r="AM294" s="545">
        <f t="shared" si="787"/>
        <v>780</v>
      </c>
      <c r="AN294" s="460">
        <f t="shared" si="788"/>
        <v>309.57239923992148</v>
      </c>
      <c r="AP294">
        <f t="shared" si="789"/>
        <v>780</v>
      </c>
      <c r="AQ294">
        <f t="shared" si="790"/>
        <v>309.57239923992148</v>
      </c>
      <c r="AS294" s="5">
        <f t="shared" si="763"/>
        <v>3.2302621372423794</v>
      </c>
      <c r="AT294" s="5">
        <f t="shared" si="791"/>
        <v>0.94921342336581849</v>
      </c>
      <c r="AU294" s="5">
        <f t="shared" si="722"/>
        <v>2.2810487138765607</v>
      </c>
      <c r="AV294" s="5"/>
      <c r="AW294" s="173">
        <f t="shared" si="723"/>
        <v>0.2938502768620958</v>
      </c>
      <c r="AX294" s="173">
        <f t="shared" si="792"/>
        <v>17.952138288439695</v>
      </c>
      <c r="AY294" s="173">
        <f t="shared" si="793"/>
        <v>0.80201890456212332</v>
      </c>
      <c r="AZ294" s="173">
        <f t="shared" si="794"/>
        <v>22.383684706585548</v>
      </c>
      <c r="BA294" s="460">
        <f t="shared" si="724"/>
        <v>3.08494362593891</v>
      </c>
      <c r="BB294" s="5">
        <f t="shared" si="725"/>
        <v>0.99181587619926459</v>
      </c>
      <c r="BD294" s="173">
        <f t="shared" si="841"/>
        <v>1.065845850064834</v>
      </c>
      <c r="BE294" s="173">
        <f t="shared" si="842"/>
        <v>1.102060855932889</v>
      </c>
      <c r="BG294" s="528">
        <f t="shared" si="843"/>
        <v>4.5441095044017152E-2</v>
      </c>
      <c r="BH294" s="528">
        <f t="shared" si="795"/>
        <v>1.2392609945143442</v>
      </c>
      <c r="BI294" s="528">
        <f t="shared" si="796"/>
        <v>0.44427341587494817</v>
      </c>
      <c r="BJ294" s="528">
        <f t="shared" si="844"/>
        <v>0.14786057574202133</v>
      </c>
      <c r="BK294">
        <f t="shared" si="845"/>
        <v>1.6145095431197055E-2</v>
      </c>
      <c r="BL294" s="460">
        <f t="shared" si="846"/>
        <v>460.41851130614526</v>
      </c>
      <c r="BM294" s="528">
        <f t="shared" si="797"/>
        <v>1.4606015903215566</v>
      </c>
      <c r="BN294" s="460">
        <f t="shared" si="847"/>
        <v>1460.6015903215566</v>
      </c>
      <c r="BO294" s="528">
        <f t="shared" si="798"/>
        <v>0.54599999999999993</v>
      </c>
      <c r="BR294" s="460">
        <f t="shared" si="848"/>
        <v>545.99999999999989</v>
      </c>
      <c r="BS294" s="528">
        <f t="shared" si="849"/>
        <v>3.408082128301286E-2</v>
      </c>
      <c r="BT294" s="528">
        <f t="shared" si="850"/>
        <v>3.6436143905385958E-2</v>
      </c>
      <c r="BU294" s="528">
        <f t="shared" si="851"/>
        <v>1.8044943289078876</v>
      </c>
      <c r="BV294" s="528"/>
      <c r="BW294" s="528">
        <f t="shared" si="852"/>
        <v>0.71808553153758781</v>
      </c>
      <c r="BX294" s="460">
        <f t="shared" si="853"/>
        <v>2593.0968256338742</v>
      </c>
      <c r="BY294" s="173">
        <f t="shared" si="854"/>
        <v>5.0320780022404019</v>
      </c>
      <c r="BZ294" s="5">
        <f t="shared" si="855"/>
        <v>18.72</v>
      </c>
      <c r="CA294" s="173">
        <f t="shared" si="856"/>
        <v>0.78814156800235513</v>
      </c>
      <c r="CB294" s="5">
        <f t="shared" si="857"/>
        <v>78.814156800235509</v>
      </c>
      <c r="CE294" s="562">
        <f t="shared" si="799"/>
        <v>-50</v>
      </c>
      <c r="CF294">
        <f t="shared" si="800"/>
        <v>-50</v>
      </c>
      <c r="CG294" s="173">
        <f t="shared" si="801"/>
        <v>0.67092015313613862</v>
      </c>
      <c r="CI294" s="170">
        <v>78</v>
      </c>
      <c r="CJ294" s="217">
        <f t="shared" si="858"/>
        <v>0.78</v>
      </c>
      <c r="CK294" s="217"/>
      <c r="CL294" s="217">
        <f t="shared" si="802"/>
        <v>18.72</v>
      </c>
      <c r="CM294" s="541">
        <f t="shared" si="803"/>
        <v>36</v>
      </c>
      <c r="CN294" s="443">
        <f t="shared" si="804"/>
        <v>16.3415</v>
      </c>
      <c r="CO294" s="443">
        <f t="shared" si="805"/>
        <v>52.341499999999996</v>
      </c>
      <c r="CP294" s="443"/>
      <c r="CQ294" s="217">
        <f t="shared" si="806"/>
        <v>0.31220924123305599</v>
      </c>
      <c r="CR294" s="172">
        <f t="shared" si="807"/>
        <v>63.048783011568261</v>
      </c>
      <c r="CS294" s="172">
        <f t="shared" si="808"/>
        <v>18.72</v>
      </c>
      <c r="CT294" s="217">
        <f t="shared" si="809"/>
        <v>2.6270326254820109</v>
      </c>
      <c r="CU294" s="217">
        <f t="shared" si="810"/>
        <v>24</v>
      </c>
      <c r="CV294" s="217"/>
      <c r="CW294" s="172">
        <f t="shared" si="811"/>
        <v>202.57013546019002</v>
      </c>
      <c r="CX294" s="172">
        <f t="shared" si="812"/>
        <v>24</v>
      </c>
      <c r="CY294" s="217">
        <f t="shared" si="813"/>
        <v>3.3310993482850408</v>
      </c>
      <c r="CZ294" s="217">
        <f t="shared" si="814"/>
        <v>0.9253053745236226</v>
      </c>
      <c r="DA294" s="217">
        <f t="shared" si="815"/>
        <v>2.0384293658997286</v>
      </c>
      <c r="DB294" s="197">
        <f t="shared" si="816"/>
        <v>350</v>
      </c>
      <c r="DC294" s="443">
        <f t="shared" si="817"/>
        <v>337.41211261610954</v>
      </c>
      <c r="DE294" s="217">
        <f t="shared" si="818"/>
        <v>3.211295052682861</v>
      </c>
      <c r="DF294" s="173">
        <f t="shared" si="819"/>
        <v>1.96511645361984</v>
      </c>
      <c r="DG294" s="173">
        <f t="shared" si="820"/>
        <v>0.73660113681324435</v>
      </c>
      <c r="DH294" s="173"/>
      <c r="DI294" s="173">
        <f t="shared" si="821"/>
        <v>1.3598642855443031</v>
      </c>
      <c r="DJ294" s="545">
        <f t="shared" si="822"/>
        <v>773.95499999999981</v>
      </c>
      <c r="DK294" s="528">
        <f t="shared" si="823"/>
        <v>0.35273368606701955</v>
      </c>
      <c r="DM294" s="173">
        <f t="shared" si="824"/>
        <v>3.3045423283716611</v>
      </c>
      <c r="DN294" s="173">
        <f t="shared" si="825"/>
        <v>3.3310993482850408</v>
      </c>
      <c r="DO294" s="173">
        <f t="shared" si="826"/>
        <v>2.0213904637502358</v>
      </c>
      <c r="DQ294" s="545">
        <f t="shared" si="827"/>
        <v>780</v>
      </c>
      <c r="DR294" s="460">
        <f t="shared" si="828"/>
        <v>337.41211261610954</v>
      </c>
      <c r="DT294">
        <f t="shared" si="829"/>
        <v>780</v>
      </c>
      <c r="DU294">
        <f t="shared" si="830"/>
        <v>337.41211261610954</v>
      </c>
      <c r="DW294" s="5">
        <f t="shared" si="859"/>
        <v>2.9637347404233516</v>
      </c>
      <c r="DX294" s="5">
        <f t="shared" si="831"/>
        <v>0.9253053745236226</v>
      </c>
      <c r="DY294" s="5">
        <f t="shared" si="832"/>
        <v>2.038429365899729</v>
      </c>
      <c r="DZ294" s="5"/>
      <c r="EA294" s="173">
        <f t="shared" si="833"/>
        <v>0.31220924123305593</v>
      </c>
      <c r="EB294" s="173">
        <f t="shared" si="860"/>
        <v>18.719999999999995</v>
      </c>
      <c r="EC294" s="173">
        <f t="shared" si="861"/>
        <v>0.76408163265306117</v>
      </c>
      <c r="ED294" s="173">
        <f t="shared" si="862"/>
        <v>24.499999999999996</v>
      </c>
      <c r="EE294" s="460">
        <f t="shared" si="834"/>
        <v>3.007242467201773</v>
      </c>
      <c r="EF294" s="5">
        <f t="shared" si="835"/>
        <v>0.8833193918898824</v>
      </c>
      <c r="EH294" s="173">
        <f t="shared" si="863"/>
        <v>1.0746074201332692</v>
      </c>
      <c r="EI294" s="173">
        <f t="shared" si="864"/>
        <v>1.0638513773562892</v>
      </c>
      <c r="EK294" s="528">
        <f t="shared" si="865"/>
        <v>4.6191244296219215E-2</v>
      </c>
      <c r="EL294" s="528">
        <f t="shared" si="866"/>
        <v>1.6178084999999995</v>
      </c>
      <c r="EM294" s="528">
        <f t="shared" si="867"/>
        <v>6.748242252322191E-2</v>
      </c>
      <c r="EN294" s="528">
        <f t="shared" si="868"/>
        <v>0.16176741540144227</v>
      </c>
      <c r="EO294">
        <f t="shared" si="869"/>
        <v>1.6199999999999999E-2</v>
      </c>
      <c r="EP294" s="460">
        <f t="shared" si="870"/>
        <v>83.682422523221916</v>
      </c>
      <c r="EQ294" s="460"/>
      <c r="ER294" s="460">
        <f t="shared" si="871"/>
        <v>1909.449582220883</v>
      </c>
      <c r="ES294" s="528">
        <f t="shared" si="872"/>
        <v>0.54599999999999993</v>
      </c>
      <c r="EV294" s="460">
        <f t="shared" si="873"/>
        <v>545.99999999999989</v>
      </c>
      <c r="EW294" s="528">
        <f t="shared" si="874"/>
        <v>3.4643433222164406E-2</v>
      </c>
      <c r="EX294" s="528">
        <f t="shared" si="875"/>
        <v>3.3953392593086211E-2</v>
      </c>
      <c r="EY294" s="528">
        <f t="shared" si="876"/>
        <v>2.1175839702936572</v>
      </c>
      <c r="EZ294" s="528"/>
      <c r="FA294" s="528">
        <f t="shared" si="877"/>
        <v>0.74879999999999991</v>
      </c>
      <c r="FB294" s="460">
        <f t="shared" si="878"/>
        <v>2934.9807961089082</v>
      </c>
      <c r="FC294" s="173">
        <f t="shared" si="879"/>
        <v>5.3904303783297909</v>
      </c>
      <c r="FD294" s="5">
        <f t="shared" si="880"/>
        <v>18.72</v>
      </c>
      <c r="FE294" s="173">
        <f t="shared" si="881"/>
        <v>0.77642745095190613</v>
      </c>
      <c r="FF294" s="5">
        <f t="shared" si="882"/>
        <v>77.64274509519062</v>
      </c>
      <c r="FI294" s="562">
        <f t="shared" si="836"/>
        <v>-50</v>
      </c>
      <c r="FJ294">
        <f t="shared" si="837"/>
        <v>-50</v>
      </c>
      <c r="FL294">
        <f t="shared" si="838"/>
        <v>0.68779075876694407</v>
      </c>
    </row>
    <row r="295" spans="5:168">
      <c r="E295" s="170">
        <v>79</v>
      </c>
      <c r="F295" s="217">
        <f t="shared" si="839"/>
        <v>0.79</v>
      </c>
      <c r="G295" s="217"/>
      <c r="H295" s="217">
        <f t="shared" si="764"/>
        <v>18.96</v>
      </c>
      <c r="I295" s="541">
        <f t="shared" si="765"/>
        <v>35.876464935233699</v>
      </c>
      <c r="J295" s="172">
        <f t="shared" si="766"/>
        <v>16.365054024898065</v>
      </c>
      <c r="K295" s="172">
        <f t="shared" si="767"/>
        <v>52.241518960131764</v>
      </c>
      <c r="L295" s="443"/>
      <c r="M295" s="217">
        <f t="shared" si="768"/>
        <v>0.31325012372796929</v>
      </c>
      <c r="N295" s="172">
        <f t="shared" si="769"/>
        <v>63.041907915003229</v>
      </c>
      <c r="O295" s="172">
        <f t="shared" si="762"/>
        <v>18.96</v>
      </c>
      <c r="P295" s="217">
        <f t="shared" si="770"/>
        <v>2.6267461631251345</v>
      </c>
      <c r="Q295" s="217">
        <f t="shared" si="771"/>
        <v>24</v>
      </c>
      <c r="R295" s="217"/>
      <c r="S295" s="172">
        <f t="shared" si="772"/>
        <v>198.64305994549824</v>
      </c>
      <c r="T295" s="172">
        <f t="shared" si="773"/>
        <v>24</v>
      </c>
      <c r="U295" s="217">
        <f t="shared" si="774"/>
        <v>3.4493134604738964</v>
      </c>
      <c r="V295" s="217">
        <f t="shared" si="775"/>
        <v>0.96144184403363031</v>
      </c>
      <c r="W295" s="217">
        <f t="shared" si="776"/>
        <v>2.1077311784159427</v>
      </c>
      <c r="X295" s="197">
        <f t="shared" si="777"/>
        <v>350</v>
      </c>
      <c r="Y295" s="443">
        <f t="shared" si="840"/>
        <v>305.88775605725073</v>
      </c>
      <c r="AA295" s="217">
        <f t="shared" si="778"/>
        <v>3.2110217454518324</v>
      </c>
      <c r="AB295" s="173">
        <f t="shared" si="779"/>
        <v>1.9621210785901049</v>
      </c>
      <c r="AC295" s="173">
        <f t="shared" si="780"/>
        <v>0.73541576001687647</v>
      </c>
      <c r="AD295" s="173"/>
      <c r="AE295" s="173">
        <f t="shared" si="781"/>
        <v>1.357907049277868</v>
      </c>
      <c r="AF295" s="545">
        <f t="shared" si="782"/>
        <v>785.00735161411308</v>
      </c>
      <c r="AG295" s="528">
        <f t="shared" si="783"/>
        <v>0.35222600072657589</v>
      </c>
      <c r="AI295" s="173">
        <f t="shared" si="784"/>
        <v>3.3280537058440327</v>
      </c>
      <c r="AJ295" s="173">
        <f t="shared" si="785"/>
        <v>3.4493134604738964</v>
      </c>
      <c r="AK295" s="173">
        <f t="shared" si="786"/>
        <v>2.1089564727790178</v>
      </c>
      <c r="AM295" s="545">
        <f t="shared" si="787"/>
        <v>790</v>
      </c>
      <c r="AN295" s="460">
        <f t="shared" si="788"/>
        <v>305.88775605725073</v>
      </c>
      <c r="AP295">
        <f t="shared" si="789"/>
        <v>790</v>
      </c>
      <c r="AQ295">
        <f t="shared" si="790"/>
        <v>305.88775605725073</v>
      </c>
      <c r="AS295" s="5">
        <f t="shared" si="763"/>
        <v>3.2691730224495728</v>
      </c>
      <c r="AT295" s="5">
        <f t="shared" si="791"/>
        <v>0.96144184403363031</v>
      </c>
      <c r="AU295" s="5">
        <f t="shared" si="722"/>
        <v>2.3077311784159424</v>
      </c>
      <c r="AV295" s="5"/>
      <c r="AW295" s="173">
        <f t="shared" si="723"/>
        <v>0.2940932882509924</v>
      </c>
      <c r="AX295" s="173">
        <f t="shared" si="792"/>
        <v>18.196900664027076</v>
      </c>
      <c r="AY295" s="173">
        <f t="shared" si="793"/>
        <v>0.81203698981201877</v>
      </c>
      <c r="AZ295" s="173">
        <f t="shared" si="794"/>
        <v>22.408955370665492</v>
      </c>
      <c r="BA295" s="460">
        <f t="shared" si="724"/>
        <v>3.1647460699440333</v>
      </c>
      <c r="BB295" s="5">
        <f t="shared" si="725"/>
        <v>1.0163251224666507</v>
      </c>
      <c r="BD295" s="173">
        <f t="shared" si="841"/>
        <v>1.0799772136521826</v>
      </c>
      <c r="BE295" s="173">
        <f t="shared" si="842"/>
        <v>1.11601883783802</v>
      </c>
      <c r="BG295" s="528">
        <f t="shared" si="843"/>
        <v>4.6654031280317282E-2</v>
      </c>
      <c r="BH295" s="528">
        <f t="shared" si="795"/>
        <v>1.2402038373055237</v>
      </c>
      <c r="BI295" s="528">
        <f t="shared" si="796"/>
        <v>0.43896685417221104</v>
      </c>
      <c r="BJ295" s="528">
        <f t="shared" si="844"/>
        <v>0.14609378267564094</v>
      </c>
      <c r="BK295">
        <f t="shared" si="845"/>
        <v>1.6144409220855162E-2</v>
      </c>
      <c r="BL295" s="460">
        <f t="shared" si="846"/>
        <v>455.11126339306617</v>
      </c>
      <c r="BM295" s="528">
        <f t="shared" si="797"/>
        <v>1.4617517547396766</v>
      </c>
      <c r="BN295" s="460">
        <f t="shared" si="847"/>
        <v>1461.7517547396765</v>
      </c>
      <c r="BO295" s="528">
        <f t="shared" si="798"/>
        <v>0.55299999999999994</v>
      </c>
      <c r="BR295" s="460">
        <f t="shared" si="848"/>
        <v>552.99999999999989</v>
      </c>
      <c r="BS295" s="528">
        <f t="shared" si="849"/>
        <v>3.4990523460237954E-2</v>
      </c>
      <c r="BT295" s="528">
        <f t="shared" si="850"/>
        <v>3.7364941392279742E-2</v>
      </c>
      <c r="BU295" s="528">
        <f t="shared" si="851"/>
        <v>1.8080352620931759</v>
      </c>
      <c r="BV295" s="528"/>
      <c r="BW295" s="528">
        <f t="shared" si="852"/>
        <v>0.72787602656108297</v>
      </c>
      <c r="BX295" s="460">
        <f t="shared" si="853"/>
        <v>2608.2667535067767</v>
      </c>
      <c r="BY295" s="173">
        <f t="shared" si="854"/>
        <v>5.0493296681613247</v>
      </c>
      <c r="BZ295" s="5">
        <f t="shared" si="855"/>
        <v>18.96</v>
      </c>
      <c r="CA295" s="173">
        <f t="shared" si="856"/>
        <v>0.78969301775812506</v>
      </c>
      <c r="CB295" s="5">
        <f t="shared" si="857"/>
        <v>78.969301775812511</v>
      </c>
      <c r="CE295" s="562">
        <f t="shared" si="799"/>
        <v>-50</v>
      </c>
      <c r="CF295">
        <f t="shared" si="800"/>
        <v>-50</v>
      </c>
      <c r="CG295" s="173">
        <f t="shared" si="801"/>
        <v>0.67113370510614878</v>
      </c>
      <c r="CI295" s="170">
        <v>79</v>
      </c>
      <c r="CJ295" s="217">
        <f t="shared" si="858"/>
        <v>0.79</v>
      </c>
      <c r="CK295" s="217"/>
      <c r="CL295" s="217">
        <f t="shared" si="802"/>
        <v>18.96</v>
      </c>
      <c r="CM295" s="541">
        <f t="shared" si="803"/>
        <v>36</v>
      </c>
      <c r="CN295" s="443">
        <f t="shared" si="804"/>
        <v>16.3415</v>
      </c>
      <c r="CO295" s="443">
        <f t="shared" si="805"/>
        <v>52.341499999999996</v>
      </c>
      <c r="CP295" s="443"/>
      <c r="CQ295" s="217">
        <f t="shared" si="806"/>
        <v>0.31220924123305599</v>
      </c>
      <c r="CR295" s="172">
        <f t="shared" si="807"/>
        <v>63.048783011568261</v>
      </c>
      <c r="CS295" s="172">
        <f t="shared" si="808"/>
        <v>18.96</v>
      </c>
      <c r="CT295" s="217">
        <f t="shared" si="809"/>
        <v>2.6270326254820109</v>
      </c>
      <c r="CU295" s="217">
        <f t="shared" si="810"/>
        <v>24</v>
      </c>
      <c r="CV295" s="217"/>
      <c r="CW295" s="172">
        <f t="shared" si="811"/>
        <v>199.32659309519366</v>
      </c>
      <c r="CX295" s="172">
        <f t="shared" si="812"/>
        <v>24</v>
      </c>
      <c r="CY295" s="217">
        <f t="shared" si="813"/>
        <v>3.3738057501861318</v>
      </c>
      <c r="CZ295" s="217">
        <f t="shared" si="814"/>
        <v>0.93716826394059227</v>
      </c>
      <c r="DA295" s="217">
        <f t="shared" si="815"/>
        <v>2.0645630757189561</v>
      </c>
      <c r="DB295" s="197">
        <f t="shared" si="816"/>
        <v>350</v>
      </c>
      <c r="DC295" s="443">
        <f t="shared" si="817"/>
        <v>333.14107321590558</v>
      </c>
      <c r="DE295" s="217">
        <f t="shared" si="818"/>
        <v>3.211295052682861</v>
      </c>
      <c r="DF295" s="173">
        <f t="shared" si="819"/>
        <v>1.96511645361984</v>
      </c>
      <c r="DG295" s="173">
        <f t="shared" si="820"/>
        <v>0.73660113681324435</v>
      </c>
      <c r="DH295" s="173"/>
      <c r="DI295" s="173">
        <f t="shared" si="821"/>
        <v>1.3598642855443031</v>
      </c>
      <c r="DJ295" s="545">
        <f t="shared" si="822"/>
        <v>783.87749999999971</v>
      </c>
      <c r="DK295" s="528">
        <f t="shared" si="823"/>
        <v>0.35273368606701955</v>
      </c>
      <c r="DM295" s="173">
        <f t="shared" si="824"/>
        <v>3.3256578296631778</v>
      </c>
      <c r="DN295" s="173">
        <f t="shared" si="825"/>
        <v>3.3738057501861318</v>
      </c>
      <c r="DO295" s="173">
        <f t="shared" si="826"/>
        <v>2.0530248355288219</v>
      </c>
      <c r="DQ295" s="545">
        <f t="shared" si="827"/>
        <v>790</v>
      </c>
      <c r="DR295" s="460">
        <f t="shared" si="828"/>
        <v>333.14107321590558</v>
      </c>
      <c r="DT295">
        <f t="shared" si="829"/>
        <v>790</v>
      </c>
      <c r="DU295">
        <f t="shared" si="830"/>
        <v>333.14107321590558</v>
      </c>
      <c r="DW295" s="5">
        <f t="shared" si="859"/>
        <v>3.0017313396595484</v>
      </c>
      <c r="DX295" s="5">
        <f t="shared" si="831"/>
        <v>0.93716826394059227</v>
      </c>
      <c r="DY295" s="5">
        <f t="shared" si="832"/>
        <v>2.0645630757189561</v>
      </c>
      <c r="DZ295" s="5"/>
      <c r="EA295" s="173">
        <f t="shared" si="833"/>
        <v>0.31220924123305599</v>
      </c>
      <c r="EB295" s="173">
        <f t="shared" si="860"/>
        <v>18.96</v>
      </c>
      <c r="EC295" s="173">
        <f t="shared" si="861"/>
        <v>0.77387755102040845</v>
      </c>
      <c r="ED295" s="173">
        <f t="shared" si="862"/>
        <v>24.499999999999993</v>
      </c>
      <c r="EE295" s="460">
        <f t="shared" si="834"/>
        <v>3.0848455354711164</v>
      </c>
      <c r="EF295" s="5">
        <f t="shared" si="835"/>
        <v>0.90611379434331951</v>
      </c>
      <c r="EH295" s="173">
        <f t="shared" si="863"/>
        <v>1.0883844383401062</v>
      </c>
      <c r="EI295" s="173">
        <f t="shared" si="864"/>
        <v>1.077490497578806</v>
      </c>
      <c r="EK295" s="528">
        <f t="shared" si="865"/>
        <v>4.738322742483634E-2</v>
      </c>
      <c r="EL295" s="528">
        <f t="shared" si="866"/>
        <v>1.6178084999999998</v>
      </c>
      <c r="EM295" s="528">
        <f t="shared" si="867"/>
        <v>6.6628214643181125E-2</v>
      </c>
      <c r="EN295" s="528">
        <f t="shared" si="868"/>
        <v>0.15971972659889233</v>
      </c>
      <c r="EO295">
        <f t="shared" si="869"/>
        <v>1.6199999999999999E-2</v>
      </c>
      <c r="EP295" s="460">
        <f t="shared" si="870"/>
        <v>82.828214643181127</v>
      </c>
      <c r="EQ295" s="460"/>
      <c r="ER295" s="460">
        <f t="shared" si="871"/>
        <v>1907.7396686669094</v>
      </c>
      <c r="ES295" s="528">
        <f t="shared" si="872"/>
        <v>0.55299999999999994</v>
      </c>
      <c r="EV295" s="460">
        <f t="shared" si="873"/>
        <v>552.99999999999989</v>
      </c>
      <c r="EW295" s="528">
        <f t="shared" si="874"/>
        <v>3.553742056862725E-2</v>
      </c>
      <c r="EX295" s="528">
        <f t="shared" si="875"/>
        <v>3.4829573171178685E-2</v>
      </c>
      <c r="EY295" s="528">
        <f t="shared" si="876"/>
        <v>2.1175839702936603</v>
      </c>
      <c r="EZ295" s="528"/>
      <c r="FA295" s="528">
        <f t="shared" si="877"/>
        <v>0.75839999999999996</v>
      </c>
      <c r="FB295" s="460">
        <f t="shared" si="878"/>
        <v>2946.350964033466</v>
      </c>
      <c r="FC295" s="173">
        <f t="shared" si="879"/>
        <v>5.4070906327003758</v>
      </c>
      <c r="FD295" s="5">
        <f t="shared" si="880"/>
        <v>18.96</v>
      </c>
      <c r="FE295" s="173">
        <f t="shared" si="881"/>
        <v>0.77809863663230616</v>
      </c>
      <c r="FF295" s="5">
        <f t="shared" si="882"/>
        <v>77.809863663230615</v>
      </c>
      <c r="FI295" s="562">
        <f t="shared" si="836"/>
        <v>-50</v>
      </c>
      <c r="FJ295">
        <f t="shared" si="837"/>
        <v>-50</v>
      </c>
      <c r="FL295">
        <f t="shared" si="838"/>
        <v>0.68779075876694407</v>
      </c>
    </row>
    <row r="296" spans="5:168">
      <c r="E296" s="170">
        <v>80</v>
      </c>
      <c r="F296" s="217">
        <f t="shared" si="839"/>
        <v>0.8</v>
      </c>
      <c r="G296" s="217"/>
      <c r="H296" s="217">
        <f t="shared" si="764"/>
        <v>19.200000000000003</v>
      </c>
      <c r="I296" s="541">
        <f t="shared" si="765"/>
        <v>35.874939998972515</v>
      </c>
      <c r="J296" s="172">
        <f t="shared" si="766"/>
        <v>16.365344779484481</v>
      </c>
      <c r="K296" s="172">
        <f t="shared" si="767"/>
        <v>52.240284778456996</v>
      </c>
      <c r="L296" s="443"/>
      <c r="M296" s="217">
        <f t="shared" si="768"/>
        <v>0.31326309247508471</v>
      </c>
      <c r="N296" s="172">
        <f t="shared" si="769"/>
        <v>63.041838168886684</v>
      </c>
      <c r="O296" s="172">
        <f t="shared" si="762"/>
        <v>19.200000000000003</v>
      </c>
      <c r="P296" s="217">
        <f t="shared" si="770"/>
        <v>2.6267432570369453</v>
      </c>
      <c r="Q296" s="217">
        <f t="shared" si="771"/>
        <v>24</v>
      </c>
      <c r="R296" s="217"/>
      <c r="S296" s="172">
        <f t="shared" si="772"/>
        <v>195.48323022347449</v>
      </c>
      <c r="T296" s="172">
        <f t="shared" si="773"/>
        <v>24</v>
      </c>
      <c r="U296" s="217">
        <f t="shared" si="774"/>
        <v>3.4930416196003269</v>
      </c>
      <c r="V296" s="217">
        <f t="shared" si="775"/>
        <v>0.97367176633615848</v>
      </c>
      <c r="W296" s="217">
        <f t="shared" si="776"/>
        <v>2.1344137057101222</v>
      </c>
      <c r="X296" s="197">
        <f t="shared" si="777"/>
        <v>350</v>
      </c>
      <c r="Y296" s="443">
        <f t="shared" si="840"/>
        <v>302.28965014662407</v>
      </c>
      <c r="AA296" s="217">
        <f t="shared" si="778"/>
        <v>3.2110181662968058</v>
      </c>
      <c r="AB296" s="173">
        <f t="shared" si="779"/>
        <v>1.9620840315702506</v>
      </c>
      <c r="AC296" s="173">
        <f t="shared" si="780"/>
        <v>0.73540105483921259</v>
      </c>
      <c r="AD296" s="173"/>
      <c r="AE296" s="173">
        <f t="shared" si="781"/>
        <v>1.3578829240481325</v>
      </c>
      <c r="AF296" s="545">
        <f t="shared" si="782"/>
        <v>794.95827714437337</v>
      </c>
      <c r="AG296" s="528">
        <f t="shared" si="783"/>
        <v>0.3522197429100406</v>
      </c>
      <c r="AI296" s="173">
        <f t="shared" si="784"/>
        <v>3.3490808492278719</v>
      </c>
      <c r="AJ296" s="173">
        <f t="shared" si="785"/>
        <v>3.4930416196003269</v>
      </c>
      <c r="AK296" s="173">
        <f t="shared" si="786"/>
        <v>2.1413477017615588</v>
      </c>
      <c r="AM296" s="545">
        <f t="shared" si="787"/>
        <v>800</v>
      </c>
      <c r="AN296" s="460">
        <f t="shared" si="788"/>
        <v>302.28965014662407</v>
      </c>
      <c r="AP296">
        <f t="shared" si="789"/>
        <v>800</v>
      </c>
      <c r="AQ296">
        <f t="shared" si="790"/>
        <v>302.28965014662407</v>
      </c>
      <c r="AS296" s="5">
        <f t="shared" si="763"/>
        <v>3.3080854720462809</v>
      </c>
      <c r="AT296" s="5">
        <f t="shared" si="791"/>
        <v>0.97367176633615848</v>
      </c>
      <c r="AU296" s="5">
        <f t="shared" si="722"/>
        <v>2.3344137057101224</v>
      </c>
      <c r="AV296" s="5"/>
      <c r="AW296" s="173">
        <f t="shared" si="723"/>
        <v>0.29433089760340286</v>
      </c>
      <c r="AX296" s="173">
        <f t="shared" si="792"/>
        <v>18.441693631199769</v>
      </c>
      <c r="AY296" s="173">
        <f t="shared" si="793"/>
        <v>0.82205467003649579</v>
      </c>
      <c r="AZ296" s="173">
        <f t="shared" si="794"/>
        <v>22.433658372600735</v>
      </c>
      <c r="BA296" s="460">
        <f t="shared" si="724"/>
        <v>3.2455725544538616</v>
      </c>
      <c r="BB296" s="5">
        <f t="shared" si="725"/>
        <v>1.0411339863545894</v>
      </c>
      <c r="BD296" s="173">
        <f t="shared" si="841"/>
        <v>1.0941101837298521</v>
      </c>
      <c r="BE296" s="173">
        <f t="shared" si="842"/>
        <v>1.1299767768729301</v>
      </c>
      <c r="BG296" s="528">
        <f t="shared" si="843"/>
        <v>4.7883083765654838E-2</v>
      </c>
      <c r="BH296" s="528">
        <f t="shared" si="795"/>
        <v>1.2411237666287067</v>
      </c>
      <c r="BI296" s="528">
        <f t="shared" si="796"/>
        <v>0.4337849224528213</v>
      </c>
      <c r="BJ296" s="528">
        <f t="shared" si="844"/>
        <v>0.14436848471393379</v>
      </c>
      <c r="BK296">
        <f t="shared" si="845"/>
        <v>1.6143722999537632E-2</v>
      </c>
      <c r="BL296" s="460">
        <f t="shared" si="846"/>
        <v>449.92864545235892</v>
      </c>
      <c r="BM296" s="528">
        <f t="shared" si="797"/>
        <v>1.4629477546162888</v>
      </c>
      <c r="BN296" s="460">
        <f t="shared" si="847"/>
        <v>1462.9477546162889</v>
      </c>
      <c r="BO296" s="528">
        <f t="shared" si="798"/>
        <v>0.55999999999999994</v>
      </c>
      <c r="BR296" s="460">
        <f t="shared" si="848"/>
        <v>559.99999999999989</v>
      </c>
      <c r="BS296" s="528">
        <f t="shared" si="849"/>
        <v>3.5912312824241122E-2</v>
      </c>
      <c r="BT296" s="528">
        <f t="shared" si="850"/>
        <v>3.8305425488164062E-2</v>
      </c>
      <c r="BU296" s="528">
        <f t="shared" si="851"/>
        <v>1.8114969200985147</v>
      </c>
      <c r="BV296" s="528"/>
      <c r="BW296" s="528">
        <f t="shared" si="852"/>
        <v>0.73766774524799072</v>
      </c>
      <c r="BX296" s="460">
        <f t="shared" si="853"/>
        <v>2623.3824036589108</v>
      </c>
      <c r="BY296" s="173">
        <f t="shared" si="854"/>
        <v>5.0666863842195644</v>
      </c>
      <c r="BZ296" s="5">
        <f t="shared" si="855"/>
        <v>19.200000000000003</v>
      </c>
      <c r="CA296" s="173">
        <f t="shared" si="856"/>
        <v>0.79120814832327535</v>
      </c>
      <c r="CB296" s="5">
        <f t="shared" si="857"/>
        <v>79.12081483232754</v>
      </c>
      <c r="CE296" s="562">
        <f t="shared" si="799"/>
        <v>-50</v>
      </c>
      <c r="CF296">
        <f t="shared" si="800"/>
        <v>-50</v>
      </c>
      <c r="CG296" s="173">
        <f t="shared" si="801"/>
        <v>0.6713419182769087</v>
      </c>
      <c r="CI296" s="170">
        <v>80</v>
      </c>
      <c r="CJ296" s="217">
        <f t="shared" si="858"/>
        <v>0.8</v>
      </c>
      <c r="CK296" s="217"/>
      <c r="CL296" s="217">
        <f t="shared" si="802"/>
        <v>19.200000000000003</v>
      </c>
      <c r="CM296" s="541">
        <f t="shared" si="803"/>
        <v>36</v>
      </c>
      <c r="CN296" s="443">
        <f t="shared" si="804"/>
        <v>16.3415</v>
      </c>
      <c r="CO296" s="443">
        <f t="shared" si="805"/>
        <v>52.341499999999996</v>
      </c>
      <c r="CP296" s="443"/>
      <c r="CQ296" s="217">
        <f t="shared" si="806"/>
        <v>0.31220924123305599</v>
      </c>
      <c r="CR296" s="172">
        <f t="shared" si="807"/>
        <v>63.048783011568261</v>
      </c>
      <c r="CS296" s="172">
        <f t="shared" si="808"/>
        <v>19.200000000000003</v>
      </c>
      <c r="CT296" s="217">
        <f t="shared" si="809"/>
        <v>2.6270326254820109</v>
      </c>
      <c r="CU296" s="217">
        <f t="shared" si="810"/>
        <v>24</v>
      </c>
      <c r="CV296" s="217"/>
      <c r="CW296" s="172">
        <f t="shared" si="811"/>
        <v>196.16420774825067</v>
      </c>
      <c r="CX296" s="172">
        <f t="shared" si="812"/>
        <v>24</v>
      </c>
      <c r="CY296" s="217">
        <f t="shared" si="813"/>
        <v>3.4165121520872224</v>
      </c>
      <c r="CZ296" s="217">
        <f t="shared" si="814"/>
        <v>0.94903115335756183</v>
      </c>
      <c r="DA296" s="217">
        <f t="shared" si="815"/>
        <v>2.0906967855381833</v>
      </c>
      <c r="DB296" s="197">
        <f t="shared" si="816"/>
        <v>350</v>
      </c>
      <c r="DC296" s="443">
        <f t="shared" si="817"/>
        <v>328.97680980070675</v>
      </c>
      <c r="DE296" s="217">
        <f t="shared" si="818"/>
        <v>3.211295052682861</v>
      </c>
      <c r="DF296" s="173">
        <f t="shared" si="819"/>
        <v>1.96511645361984</v>
      </c>
      <c r="DG296" s="173">
        <f t="shared" si="820"/>
        <v>0.73660113681324435</v>
      </c>
      <c r="DH296" s="173"/>
      <c r="DI296" s="173">
        <f t="shared" si="821"/>
        <v>1.3598642855443031</v>
      </c>
      <c r="DJ296" s="545">
        <f t="shared" si="822"/>
        <v>793.79999999999973</v>
      </c>
      <c r="DK296" s="528">
        <f t="shared" si="823"/>
        <v>0.35273368606701955</v>
      </c>
      <c r="DM296" s="173">
        <f t="shared" si="824"/>
        <v>3.3466401061363023</v>
      </c>
      <c r="DN296" s="173">
        <f t="shared" si="825"/>
        <v>3.4165121520872224</v>
      </c>
      <c r="DO296" s="173">
        <f t="shared" si="826"/>
        <v>2.0846592073074075</v>
      </c>
      <c r="DQ296" s="545">
        <f t="shared" si="827"/>
        <v>800</v>
      </c>
      <c r="DR296" s="460">
        <f t="shared" si="828"/>
        <v>328.97680980070675</v>
      </c>
      <c r="DT296">
        <f t="shared" si="829"/>
        <v>800</v>
      </c>
      <c r="DU296">
        <f t="shared" si="830"/>
        <v>328.97680980070675</v>
      </c>
      <c r="DW296" s="5">
        <f t="shared" si="859"/>
        <v>3.0397279388957452</v>
      </c>
      <c r="DX296" s="5">
        <f t="shared" si="831"/>
        <v>0.94903115335756183</v>
      </c>
      <c r="DY296" s="5">
        <f t="shared" si="832"/>
        <v>2.0906967855381833</v>
      </c>
      <c r="DZ296" s="5"/>
      <c r="EA296" s="173">
        <f t="shared" si="833"/>
        <v>0.31220924123305599</v>
      </c>
      <c r="EB296" s="173">
        <f t="shared" si="860"/>
        <v>19.200000000000003</v>
      </c>
      <c r="EC296" s="173">
        <f t="shared" si="861"/>
        <v>0.78367346938775528</v>
      </c>
      <c r="ED296" s="173">
        <f t="shared" si="862"/>
        <v>24.499999999999996</v>
      </c>
      <c r="EE296" s="460">
        <f t="shared" si="834"/>
        <v>3.1634371778585395</v>
      </c>
      <c r="EF296" s="5">
        <f t="shared" si="835"/>
        <v>0.9291985713503037</v>
      </c>
      <c r="EH296" s="173">
        <f t="shared" si="863"/>
        <v>1.1021614565469431</v>
      </c>
      <c r="EI296" s="173">
        <f t="shared" si="864"/>
        <v>1.0911296178013226</v>
      </c>
      <c r="EK296" s="528">
        <f t="shared" si="865"/>
        <v>4.8590395051907161E-2</v>
      </c>
      <c r="EL296" s="528">
        <f t="shared" si="866"/>
        <v>1.6178084999999998</v>
      </c>
      <c r="EM296" s="528">
        <f t="shared" si="867"/>
        <v>6.5795361960141352E-2</v>
      </c>
      <c r="EN296" s="528">
        <f t="shared" si="868"/>
        <v>0.15772323001640617</v>
      </c>
      <c r="EO296">
        <f t="shared" si="869"/>
        <v>1.6199999999999999E-2</v>
      </c>
      <c r="EP296" s="460">
        <f t="shared" si="870"/>
        <v>81.995361960141338</v>
      </c>
      <c r="EQ296" s="460"/>
      <c r="ER296" s="460">
        <f t="shared" si="871"/>
        <v>1906.1174870284544</v>
      </c>
      <c r="ES296" s="528">
        <f t="shared" si="872"/>
        <v>0.55999999999999994</v>
      </c>
      <c r="EV296" s="460">
        <f t="shared" si="873"/>
        <v>559.99999999999989</v>
      </c>
      <c r="EW296" s="528">
        <f t="shared" si="874"/>
        <v>3.6442796288930372E-2</v>
      </c>
      <c r="EX296" s="528">
        <f t="shared" si="875"/>
        <v>3.5716915285297808E-2</v>
      </c>
      <c r="EY296" s="528">
        <f t="shared" si="876"/>
        <v>2.1175839702936554</v>
      </c>
      <c r="EZ296" s="528"/>
      <c r="FA296" s="528">
        <f t="shared" si="877"/>
        <v>0.76800000000000013</v>
      </c>
      <c r="FB296" s="460">
        <f t="shared" si="878"/>
        <v>2957.7436818678839</v>
      </c>
      <c r="FC296" s="173">
        <f t="shared" si="879"/>
        <v>5.4238611688963383</v>
      </c>
      <c r="FD296" s="5">
        <f t="shared" si="880"/>
        <v>19.200000000000003</v>
      </c>
      <c r="FE296" s="173">
        <f t="shared" si="881"/>
        <v>0.77973149167412081</v>
      </c>
      <c r="FF296" s="5">
        <f t="shared" si="882"/>
        <v>77.973149167412075</v>
      </c>
      <c r="FI296" s="562">
        <f t="shared" si="836"/>
        <v>-50</v>
      </c>
      <c r="FJ296">
        <f t="shared" si="837"/>
        <v>-50</v>
      </c>
      <c r="FL296">
        <f t="shared" si="838"/>
        <v>0.68779075876694407</v>
      </c>
    </row>
    <row r="297" spans="5:168">
      <c r="E297" s="170">
        <v>81</v>
      </c>
      <c r="F297" s="217">
        <f t="shared" si="839"/>
        <v>0.81</v>
      </c>
      <c r="G297" s="217"/>
      <c r="H297" s="217">
        <f t="shared" si="764"/>
        <v>19.440000000000001</v>
      </c>
      <c r="I297" s="541">
        <f t="shared" si="765"/>
        <v>35.873415039246211</v>
      </c>
      <c r="J297" s="172">
        <f t="shared" si="766"/>
        <v>16.365635538544911</v>
      </c>
      <c r="K297" s="172">
        <f t="shared" si="767"/>
        <v>52.239050577791119</v>
      </c>
      <c r="L297" s="443"/>
      <c r="M297" s="217">
        <f t="shared" si="768"/>
        <v>0.3132760619756304</v>
      </c>
      <c r="N297" s="172">
        <f t="shared" si="769"/>
        <v>63.04176831127478</v>
      </c>
      <c r="O297" s="172">
        <f t="shared" si="762"/>
        <v>19.440000000000001</v>
      </c>
      <c r="P297" s="217">
        <f t="shared" si="770"/>
        <v>2.6267403463031158</v>
      </c>
      <c r="Q297" s="217">
        <f t="shared" si="771"/>
        <v>24</v>
      </c>
      <c r="R297" s="217"/>
      <c r="S297" s="172">
        <f t="shared" si="772"/>
        <v>192.40154560597534</v>
      </c>
      <c r="T297" s="172">
        <f t="shared" si="773"/>
        <v>24</v>
      </c>
      <c r="U297" s="217">
        <f t="shared" si="774"/>
        <v>3.536771434215261</v>
      </c>
      <c r="V297" s="217">
        <f t="shared" si="775"/>
        <v>0.98590319052311159</v>
      </c>
      <c r="W297" s="217">
        <f t="shared" si="776"/>
        <v>2.1610962958849567</v>
      </c>
      <c r="X297" s="197">
        <f t="shared" si="777"/>
        <v>350</v>
      </c>
      <c r="Y297" s="443">
        <f t="shared" si="840"/>
        <v>298.7750682546951</v>
      </c>
      <c r="AA297" s="217">
        <f t="shared" si="778"/>
        <v>3.2110145820674334</v>
      </c>
      <c r="AB297" s="173">
        <f t="shared" si="779"/>
        <v>1.9620469822297713</v>
      </c>
      <c r="AC297" s="173">
        <f t="shared" si="780"/>
        <v>0.73538634766059385</v>
      </c>
      <c r="AD297" s="173"/>
      <c r="AE297" s="173">
        <f t="shared" si="781"/>
        <v>1.3578587993044131</v>
      </c>
      <c r="AF297" s="545">
        <f t="shared" si="782"/>
        <v>804.90955598495623</v>
      </c>
      <c r="AG297" s="528">
        <f t="shared" si="783"/>
        <v>0.35221348521957252</v>
      </c>
      <c r="AI297" s="173">
        <f t="shared" si="784"/>
        <v>3.3699775348399079</v>
      </c>
      <c r="AJ297" s="173">
        <f t="shared" si="785"/>
        <v>3.536771434215261</v>
      </c>
      <c r="AK297" s="173">
        <f t="shared" si="786"/>
        <v>2.1737401570318804</v>
      </c>
      <c r="AM297" s="545">
        <f t="shared" si="787"/>
        <v>810</v>
      </c>
      <c r="AN297" s="460">
        <f t="shared" si="788"/>
        <v>298.7750682546951</v>
      </c>
      <c r="AP297">
        <f t="shared" si="789"/>
        <v>810</v>
      </c>
      <c r="AQ297">
        <f t="shared" si="790"/>
        <v>298.7750682546951</v>
      </c>
      <c r="AS297" s="5">
        <f t="shared" si="763"/>
        <v>3.3469994864080683</v>
      </c>
      <c r="AT297" s="5">
        <f t="shared" si="791"/>
        <v>0.98590319052311159</v>
      </c>
      <c r="AU297" s="5">
        <f t="shared" si="722"/>
        <v>2.3610962958849568</v>
      </c>
      <c r="AV297" s="5"/>
      <c r="AW297" s="173">
        <f t="shared" si="723"/>
        <v>0.29456329304106432</v>
      </c>
      <c r="AX297" s="173">
        <f t="shared" si="792"/>
        <v>18.686516428637425</v>
      </c>
      <c r="AY297" s="173">
        <f t="shared" si="793"/>
        <v>0.83207195933871847</v>
      </c>
      <c r="AZ297" s="173">
        <f t="shared" si="794"/>
        <v>22.457812955851033</v>
      </c>
      <c r="BA297" s="460">
        <f t="shared" si="724"/>
        <v>3.3274232680155018</v>
      </c>
      <c r="BB297" s="5">
        <f t="shared" si="725"/>
        <v>1.0662425072017905</v>
      </c>
      <c r="BD297" s="173">
        <f t="shared" si="841"/>
        <v>1.1082447433293234</v>
      </c>
      <c r="BE297" s="173">
        <f t="shared" si="842"/>
        <v>1.1439346836771955</v>
      </c>
      <c r="BG297" s="528">
        <f t="shared" si="843"/>
        <v>4.9128256444683126E-2</v>
      </c>
      <c r="BH297" s="528">
        <f t="shared" si="795"/>
        <v>1.2420215802684684</v>
      </c>
      <c r="BI297" s="528">
        <f t="shared" si="796"/>
        <v>0.4287232810751917</v>
      </c>
      <c r="BJ297" s="528">
        <f t="shared" si="844"/>
        <v>0.14268323698925531</v>
      </c>
      <c r="BK297">
        <f t="shared" si="845"/>
        <v>1.6143036767660796E-2</v>
      </c>
      <c r="BL297" s="460">
        <f t="shared" si="846"/>
        <v>444.86631784285248</v>
      </c>
      <c r="BM297" s="528">
        <f t="shared" si="797"/>
        <v>1.4641889962139725</v>
      </c>
      <c r="BN297" s="460">
        <f t="shared" si="847"/>
        <v>1464.1889962139724</v>
      </c>
      <c r="BO297" s="528">
        <f t="shared" si="798"/>
        <v>0.56699999999999995</v>
      </c>
      <c r="BR297" s="460">
        <f t="shared" si="848"/>
        <v>567</v>
      </c>
      <c r="BS297" s="528">
        <f t="shared" si="849"/>
        <v>3.6846192333512343E-2</v>
      </c>
      <c r="BT297" s="528">
        <f t="shared" si="850"/>
        <v>3.9257596815589359E-2</v>
      </c>
      <c r="BU297" s="528">
        <f t="shared" si="851"/>
        <v>1.8148819257167301</v>
      </c>
      <c r="BV297" s="528"/>
      <c r="BW297" s="528">
        <f t="shared" si="852"/>
        <v>0.74746065714549692</v>
      </c>
      <c r="BX297" s="460">
        <f t="shared" si="853"/>
        <v>2638.4463720113285</v>
      </c>
      <c r="BY297" s="173">
        <f t="shared" si="854"/>
        <v>5.0841457635565881</v>
      </c>
      <c r="BZ297" s="5">
        <f t="shared" si="855"/>
        <v>19.440000000000001</v>
      </c>
      <c r="CA297" s="173">
        <f t="shared" si="856"/>
        <v>0.79268816077941684</v>
      </c>
      <c r="CB297" s="5">
        <f t="shared" si="857"/>
        <v>79.268816077941679</v>
      </c>
      <c r="CE297" s="562">
        <f t="shared" si="799"/>
        <v>-50</v>
      </c>
      <c r="CF297">
        <f t="shared" si="800"/>
        <v>-50</v>
      </c>
      <c r="CG297" s="173">
        <f t="shared" si="801"/>
        <v>0.67154499038172399</v>
      </c>
      <c r="CI297" s="170">
        <v>81</v>
      </c>
      <c r="CJ297" s="217">
        <f t="shared" si="858"/>
        <v>0.81</v>
      </c>
      <c r="CK297" s="217"/>
      <c r="CL297" s="217">
        <f t="shared" si="802"/>
        <v>19.440000000000001</v>
      </c>
      <c r="CM297" s="541">
        <f t="shared" si="803"/>
        <v>36</v>
      </c>
      <c r="CN297" s="443">
        <f t="shared" si="804"/>
        <v>16.3415</v>
      </c>
      <c r="CO297" s="443">
        <f t="shared" si="805"/>
        <v>52.341499999999996</v>
      </c>
      <c r="CP297" s="443"/>
      <c r="CQ297" s="217">
        <f t="shared" si="806"/>
        <v>0.31220924123305599</v>
      </c>
      <c r="CR297" s="172">
        <f t="shared" si="807"/>
        <v>63.048783011568261</v>
      </c>
      <c r="CS297" s="172">
        <f t="shared" si="808"/>
        <v>19.440000000000001</v>
      </c>
      <c r="CT297" s="217">
        <f t="shared" si="809"/>
        <v>2.6270326254820109</v>
      </c>
      <c r="CU297" s="217">
        <f t="shared" si="810"/>
        <v>24</v>
      </c>
      <c r="CV297" s="217"/>
      <c r="CW297" s="172">
        <f t="shared" si="811"/>
        <v>193.07997428714089</v>
      </c>
      <c r="CX297" s="172">
        <f t="shared" si="812"/>
        <v>24</v>
      </c>
      <c r="CY297" s="217">
        <f t="shared" si="813"/>
        <v>3.4592185539883125</v>
      </c>
      <c r="CZ297" s="217">
        <f t="shared" si="814"/>
        <v>0.96089404277453139</v>
      </c>
      <c r="DA297" s="217">
        <f t="shared" si="815"/>
        <v>2.1168304953574109</v>
      </c>
      <c r="DB297" s="197">
        <f t="shared" si="816"/>
        <v>350</v>
      </c>
      <c r="DC297" s="443">
        <f t="shared" si="817"/>
        <v>324.91536770440172</v>
      </c>
      <c r="DE297" s="217">
        <f t="shared" si="818"/>
        <v>3.211295052682861</v>
      </c>
      <c r="DF297" s="173">
        <f t="shared" si="819"/>
        <v>1.96511645361984</v>
      </c>
      <c r="DG297" s="173">
        <f t="shared" si="820"/>
        <v>0.73660113681324435</v>
      </c>
      <c r="DH297" s="173"/>
      <c r="DI297" s="173">
        <f t="shared" si="821"/>
        <v>1.3598642855443031</v>
      </c>
      <c r="DJ297" s="545">
        <f t="shared" si="822"/>
        <v>803.72249999999974</v>
      </c>
      <c r="DK297" s="528">
        <f t="shared" si="823"/>
        <v>0.35273368606701955</v>
      </c>
      <c r="DM297" s="173">
        <f t="shared" si="824"/>
        <v>3.3674916480965473</v>
      </c>
      <c r="DN297" s="173">
        <f t="shared" si="825"/>
        <v>3.4592185539883125</v>
      </c>
      <c r="DO297" s="173">
        <f t="shared" si="826"/>
        <v>2.1162935790859927</v>
      </c>
      <c r="DQ297" s="545">
        <f t="shared" si="827"/>
        <v>810</v>
      </c>
      <c r="DR297" s="460">
        <f t="shared" si="828"/>
        <v>324.91536770440172</v>
      </c>
      <c r="DT297">
        <f t="shared" si="829"/>
        <v>810</v>
      </c>
      <c r="DU297">
        <f t="shared" si="830"/>
        <v>324.91536770440172</v>
      </c>
      <c r="DW297" s="5">
        <f t="shared" si="859"/>
        <v>3.077724538131942</v>
      </c>
      <c r="DX297" s="5">
        <f t="shared" si="831"/>
        <v>0.96089404277453139</v>
      </c>
      <c r="DY297" s="5">
        <f t="shared" si="832"/>
        <v>2.1168304953574104</v>
      </c>
      <c r="DZ297" s="5"/>
      <c r="EA297" s="173">
        <f t="shared" si="833"/>
        <v>0.31220924123305599</v>
      </c>
      <c r="EB297" s="173">
        <f t="shared" si="860"/>
        <v>19.440000000000001</v>
      </c>
      <c r="EC297" s="173">
        <f t="shared" si="861"/>
        <v>0.79346938775510223</v>
      </c>
      <c r="ED297" s="173">
        <f t="shared" si="862"/>
        <v>24.499999999999996</v>
      </c>
      <c r="EE297" s="460">
        <f t="shared" si="834"/>
        <v>3.2430173943640437</v>
      </c>
      <c r="EF297" s="5">
        <f t="shared" si="835"/>
        <v>0.95257372291083464</v>
      </c>
      <c r="EH297" s="173">
        <f t="shared" si="863"/>
        <v>1.1159384747537799</v>
      </c>
      <c r="EI297" s="173">
        <f t="shared" si="864"/>
        <v>1.1047687380238391</v>
      </c>
      <c r="EK297" s="528">
        <f t="shared" si="865"/>
        <v>4.9812747177431706E-2</v>
      </c>
      <c r="EL297" s="528">
        <f t="shared" si="866"/>
        <v>1.6178084999999998</v>
      </c>
      <c r="EM297" s="528">
        <f t="shared" si="867"/>
        <v>6.4983073540880343E-2</v>
      </c>
      <c r="EN297" s="528">
        <f t="shared" si="868"/>
        <v>0.15577602964583326</v>
      </c>
      <c r="EO297">
        <f t="shared" si="869"/>
        <v>1.6199999999999999E-2</v>
      </c>
      <c r="EP297" s="460">
        <f t="shared" si="870"/>
        <v>81.183073540880329</v>
      </c>
      <c r="EQ297" s="460"/>
      <c r="ER297" s="460">
        <f t="shared" si="871"/>
        <v>1904.580350364145</v>
      </c>
      <c r="ES297" s="528">
        <f t="shared" si="872"/>
        <v>0.56699999999999995</v>
      </c>
      <c r="EV297" s="460">
        <f t="shared" si="873"/>
        <v>567</v>
      </c>
      <c r="EW297" s="528">
        <f t="shared" si="874"/>
        <v>3.7359560383073781E-2</v>
      </c>
      <c r="EX297" s="528">
        <f t="shared" si="875"/>
        <v>3.6615418935443581E-2</v>
      </c>
      <c r="EY297" s="528">
        <f t="shared" si="876"/>
        <v>2.1175839702936576</v>
      </c>
      <c r="EZ297" s="528"/>
      <c r="FA297" s="528">
        <f t="shared" si="877"/>
        <v>0.77760000000000007</v>
      </c>
      <c r="FB297" s="460">
        <f t="shared" si="878"/>
        <v>2969.1589496121746</v>
      </c>
      <c r="FC297" s="173">
        <f t="shared" si="879"/>
        <v>5.44073929997632</v>
      </c>
      <c r="FD297" s="5">
        <f t="shared" si="880"/>
        <v>19.440000000000001</v>
      </c>
      <c r="FE297" s="173">
        <f t="shared" si="881"/>
        <v>0.78132726546507814</v>
      </c>
      <c r="FF297" s="5">
        <f t="shared" si="882"/>
        <v>78.132726546507811</v>
      </c>
      <c r="FI297" s="562">
        <f t="shared" si="836"/>
        <v>-50</v>
      </c>
      <c r="FJ297">
        <f t="shared" si="837"/>
        <v>-50</v>
      </c>
      <c r="FL297">
        <f t="shared" si="838"/>
        <v>0.68779075876694407</v>
      </c>
    </row>
    <row r="298" spans="5:168">
      <c r="E298" s="170">
        <v>82</v>
      </c>
      <c r="F298" s="217">
        <f t="shared" si="839"/>
        <v>0.82</v>
      </c>
      <c r="G298" s="217"/>
      <c r="H298" s="217">
        <f t="shared" si="764"/>
        <v>19.68</v>
      </c>
      <c r="I298" s="541">
        <f t="shared" si="765"/>
        <v>35.871890056933779</v>
      </c>
      <c r="J298" s="172">
        <f t="shared" si="766"/>
        <v>16.365926301911767</v>
      </c>
      <c r="K298" s="172">
        <f t="shared" si="767"/>
        <v>52.237816358845549</v>
      </c>
      <c r="L298" s="443"/>
      <c r="M298" s="217">
        <f t="shared" si="768"/>
        <v>0.31328903222440552</v>
      </c>
      <c r="N298" s="172">
        <f t="shared" si="769"/>
        <v>63.041698342641276</v>
      </c>
      <c r="O298" s="172">
        <f t="shared" si="762"/>
        <v>19.68</v>
      </c>
      <c r="P298" s="217">
        <f t="shared" si="770"/>
        <v>2.6267374309433866</v>
      </c>
      <c r="Q298" s="217">
        <f t="shared" si="771"/>
        <v>24</v>
      </c>
      <c r="R298" s="217"/>
      <c r="S298" s="172">
        <f t="shared" si="772"/>
        <v>189.39514781540487</v>
      </c>
      <c r="T298" s="172">
        <f t="shared" si="773"/>
        <v>24</v>
      </c>
      <c r="U298" s="217">
        <f t="shared" si="774"/>
        <v>3.580502904529316</v>
      </c>
      <c r="V298" s="217">
        <f t="shared" si="775"/>
        <v>0.9981361168442896</v>
      </c>
      <c r="W298" s="217">
        <f t="shared" si="776"/>
        <v>2.1877789490663071</v>
      </c>
      <c r="X298" s="197">
        <f t="shared" si="777"/>
        <v>350</v>
      </c>
      <c r="Y298" s="443">
        <f t="shared" si="840"/>
        <v>295.3411354194921</v>
      </c>
      <c r="AA298" s="217">
        <f t="shared" si="778"/>
        <v>3.211010992765198</v>
      </c>
      <c r="AB298" s="173">
        <f t="shared" si="779"/>
        <v>1.962009930589818</v>
      </c>
      <c r="AC298" s="173">
        <f t="shared" si="780"/>
        <v>0.73537163848935594</v>
      </c>
      <c r="AD298" s="173"/>
      <c r="AE298" s="173">
        <f t="shared" si="781"/>
        <v>1.3578346750606083</v>
      </c>
      <c r="AF298" s="545">
        <f t="shared" si="782"/>
        <v>814.86118813566668</v>
      </c>
      <c r="AG298" s="528">
        <f t="shared" si="783"/>
        <v>0.35220722765877671</v>
      </c>
      <c r="AI298" s="173">
        <f t="shared" si="784"/>
        <v>3.3907461746585792</v>
      </c>
      <c r="AJ298" s="173">
        <f t="shared" si="785"/>
        <v>3.580502904529316</v>
      </c>
      <c r="AK298" s="173">
        <f t="shared" si="786"/>
        <v>2.2061338387459952</v>
      </c>
      <c r="AM298" s="545">
        <f t="shared" si="787"/>
        <v>820</v>
      </c>
      <c r="AN298" s="460">
        <f t="shared" si="788"/>
        <v>295.3411354194921</v>
      </c>
      <c r="AP298">
        <f t="shared" si="789"/>
        <v>820</v>
      </c>
      <c r="AQ298">
        <f t="shared" si="790"/>
        <v>295.3411354194921</v>
      </c>
      <c r="AS298" s="5">
        <f t="shared" si="763"/>
        <v>3.3859150659105968</v>
      </c>
      <c r="AT298" s="5">
        <f t="shared" si="791"/>
        <v>0.9981361168442896</v>
      </c>
      <c r="AU298" s="5">
        <f t="shared" ref="AU298:AU316" si="883">AS298-AT298</f>
        <v>2.3877789490663073</v>
      </c>
      <c r="AV298" s="5"/>
      <c r="AW298" s="173">
        <f t="shared" ref="AW298:AW315" si="884">AT298/AS298</f>
        <v>0.29479065405199528</v>
      </c>
      <c r="AX298" s="173">
        <f t="shared" si="792"/>
        <v>18.931368329960016</v>
      </c>
      <c r="AY298" s="173">
        <f t="shared" si="793"/>
        <v>0.84208887117459474</v>
      </c>
      <c r="AZ298" s="173">
        <f t="shared" si="794"/>
        <v>22.481437503803413</v>
      </c>
      <c r="BA298" s="460">
        <f t="shared" si="724"/>
        <v>3.4102983992179894</v>
      </c>
      <c r="BB298" s="5">
        <f t="shared" si="725"/>
        <v>1.0916507243564706</v>
      </c>
      <c r="BD298" s="173">
        <f t="shared" si="841"/>
        <v>1.1223808762749317</v>
      </c>
      <c r="BE298" s="173">
        <f t="shared" si="842"/>
        <v>1.1578925684069326</v>
      </c>
      <c r="BG298" s="528">
        <f t="shared" si="843"/>
        <v>5.0389553257107339E-2</v>
      </c>
      <c r="BH298" s="528">
        <f t="shared" si="795"/>
        <v>1.2428980393955393</v>
      </c>
      <c r="BI298" s="528">
        <f t="shared" si="796"/>
        <v>0.42377778956232048</v>
      </c>
      <c r="BJ298" s="528">
        <f t="shared" si="844"/>
        <v>0.14103666094505385</v>
      </c>
      <c r="BK298">
        <f t="shared" si="845"/>
        <v>1.61423505256202E-2</v>
      </c>
      <c r="BL298" s="460">
        <f t="shared" si="846"/>
        <v>439.92014008794069</v>
      </c>
      <c r="BM298" s="528">
        <f t="shared" si="797"/>
        <v>1.465474916194683</v>
      </c>
      <c r="BN298" s="460">
        <f t="shared" si="847"/>
        <v>1465.4749161946829</v>
      </c>
      <c r="BO298" s="528">
        <f t="shared" si="798"/>
        <v>0.57399999999999995</v>
      </c>
      <c r="BR298" s="460">
        <f t="shared" si="848"/>
        <v>574</v>
      </c>
      <c r="BS298" s="528">
        <f t="shared" si="849"/>
        <v>3.7792164942830497E-2</v>
      </c>
      <c r="BT298" s="528">
        <f t="shared" si="850"/>
        <v>4.0221455999160091E-2</v>
      </c>
      <c r="BU298" s="528">
        <f t="shared" si="851"/>
        <v>1.8181927875317145</v>
      </c>
      <c r="BV298" s="528"/>
      <c r="BW298" s="528">
        <f t="shared" si="852"/>
        <v>0.75725473319840064</v>
      </c>
      <c r="BX298" s="460">
        <f t="shared" si="853"/>
        <v>2653.4611416721059</v>
      </c>
      <c r="BY298" s="173">
        <f t="shared" si="854"/>
        <v>5.1017055353577465</v>
      </c>
      <c r="BZ298" s="5">
        <f t="shared" si="855"/>
        <v>19.68</v>
      </c>
      <c r="CA298" s="173">
        <f t="shared" si="856"/>
        <v>0.79413420403697421</v>
      </c>
      <c r="CB298" s="5">
        <f t="shared" si="857"/>
        <v>79.413420403697415</v>
      </c>
      <c r="CE298" s="562">
        <f t="shared" si="799"/>
        <v>-50</v>
      </c>
      <c r="CF298">
        <f t="shared" si="800"/>
        <v>-50</v>
      </c>
      <c r="CG298" s="173">
        <f t="shared" si="801"/>
        <v>0.67174310950837302</v>
      </c>
      <c r="CI298" s="170">
        <v>82</v>
      </c>
      <c r="CJ298" s="217">
        <f t="shared" si="858"/>
        <v>0.82</v>
      </c>
      <c r="CK298" s="217"/>
      <c r="CL298" s="217">
        <f t="shared" si="802"/>
        <v>19.68</v>
      </c>
      <c r="CM298" s="541">
        <f t="shared" si="803"/>
        <v>36</v>
      </c>
      <c r="CN298" s="443">
        <f t="shared" si="804"/>
        <v>16.3415</v>
      </c>
      <c r="CO298" s="443">
        <f t="shared" si="805"/>
        <v>52.341499999999996</v>
      </c>
      <c r="CP298" s="443"/>
      <c r="CQ298" s="217">
        <f t="shared" si="806"/>
        <v>0.31220924123305599</v>
      </c>
      <c r="CR298" s="172">
        <f t="shared" si="807"/>
        <v>63.048783011568261</v>
      </c>
      <c r="CS298" s="172">
        <f t="shared" si="808"/>
        <v>19.68</v>
      </c>
      <c r="CT298" s="217">
        <f t="shared" si="809"/>
        <v>2.6270326254820109</v>
      </c>
      <c r="CU298" s="217">
        <f t="shared" si="810"/>
        <v>24</v>
      </c>
      <c r="CV298" s="217"/>
      <c r="CW298" s="172">
        <f t="shared" si="811"/>
        <v>190.07103418044019</v>
      </c>
      <c r="CX298" s="172">
        <f t="shared" si="812"/>
        <v>24</v>
      </c>
      <c r="CY298" s="217">
        <f t="shared" si="813"/>
        <v>3.5019249558894021</v>
      </c>
      <c r="CZ298" s="217">
        <f t="shared" si="814"/>
        <v>0.97275693219150072</v>
      </c>
      <c r="DA298" s="217">
        <f t="shared" si="815"/>
        <v>2.1429642051766375</v>
      </c>
      <c r="DB298" s="197">
        <f t="shared" si="816"/>
        <v>350</v>
      </c>
      <c r="DC298" s="443">
        <f t="shared" si="817"/>
        <v>320.95298517142129</v>
      </c>
      <c r="DE298" s="217">
        <f t="shared" si="818"/>
        <v>3.211295052682861</v>
      </c>
      <c r="DF298" s="173">
        <f t="shared" si="819"/>
        <v>1.96511645361984</v>
      </c>
      <c r="DG298" s="173">
        <f t="shared" si="820"/>
        <v>0.73660113681324435</v>
      </c>
      <c r="DH298" s="173"/>
      <c r="DI298" s="173">
        <f t="shared" si="821"/>
        <v>1.3598642855443031</v>
      </c>
      <c r="DJ298" s="545">
        <f t="shared" si="822"/>
        <v>813.64499999999964</v>
      </c>
      <c r="DK298" s="528">
        <f t="shared" si="823"/>
        <v>0.35273368606701955</v>
      </c>
      <c r="DM298" s="173">
        <f t="shared" si="824"/>
        <v>3.3882148692194827</v>
      </c>
      <c r="DN298" s="173">
        <f t="shared" si="825"/>
        <v>3.5019249558894021</v>
      </c>
      <c r="DO298" s="173">
        <f t="shared" si="826"/>
        <v>2.1479279508645774</v>
      </c>
      <c r="DQ298" s="545">
        <f t="shared" si="827"/>
        <v>820</v>
      </c>
      <c r="DR298" s="460">
        <f t="shared" si="828"/>
        <v>320.95298517142129</v>
      </c>
      <c r="DT298">
        <f t="shared" si="829"/>
        <v>820</v>
      </c>
      <c r="DU298">
        <f t="shared" si="830"/>
        <v>320.95298517142129</v>
      </c>
      <c r="DW298" s="5">
        <f t="shared" si="859"/>
        <v>3.1157211373681384</v>
      </c>
      <c r="DX298" s="5">
        <f t="shared" si="831"/>
        <v>0.97275693219150072</v>
      </c>
      <c r="DY298" s="5">
        <f t="shared" si="832"/>
        <v>2.1429642051766375</v>
      </c>
      <c r="DZ298" s="5"/>
      <c r="EA298" s="173">
        <f t="shared" si="833"/>
        <v>0.31220924123305599</v>
      </c>
      <c r="EB298" s="173">
        <f t="shared" si="860"/>
        <v>19.68</v>
      </c>
      <c r="EC298" s="173">
        <f t="shared" si="861"/>
        <v>0.80326530612244906</v>
      </c>
      <c r="ED298" s="173">
        <f t="shared" si="862"/>
        <v>24.499999999999996</v>
      </c>
      <c r="EE298" s="460">
        <f t="shared" si="834"/>
        <v>3.3235861849876271</v>
      </c>
      <c r="EF298" s="5">
        <f t="shared" si="835"/>
        <v>0.97623924902491244</v>
      </c>
      <c r="EH298" s="173">
        <f t="shared" si="863"/>
        <v>1.1297154929606166</v>
      </c>
      <c r="EI298" s="173">
        <f t="shared" si="864"/>
        <v>1.1184078582463555</v>
      </c>
      <c r="EK298" s="528">
        <f t="shared" si="865"/>
        <v>5.1050283801409961E-2</v>
      </c>
      <c r="EL298" s="528">
        <f t="shared" si="866"/>
        <v>1.6178085</v>
      </c>
      <c r="EM298" s="528">
        <f t="shared" si="867"/>
        <v>6.4190597034284258E-2</v>
      </c>
      <c r="EN298" s="528">
        <f t="shared" si="868"/>
        <v>0.15387632196722559</v>
      </c>
      <c r="EO298">
        <f t="shared" si="869"/>
        <v>1.6199999999999999E-2</v>
      </c>
      <c r="EP298" s="460">
        <f t="shared" si="870"/>
        <v>80.390597034284255</v>
      </c>
      <c r="EQ298" s="460"/>
      <c r="ER298" s="460">
        <f t="shared" si="871"/>
        <v>1903.1257028029197</v>
      </c>
      <c r="ES298" s="528">
        <f t="shared" si="872"/>
        <v>0.57399999999999995</v>
      </c>
      <c r="EV298" s="460">
        <f t="shared" si="873"/>
        <v>574</v>
      </c>
      <c r="EW298" s="528">
        <f t="shared" si="874"/>
        <v>3.8287712851057469E-2</v>
      </c>
      <c r="EX298" s="528">
        <f t="shared" si="875"/>
        <v>3.7525084121615995E-2</v>
      </c>
      <c r="EY298" s="528">
        <f t="shared" si="876"/>
        <v>2.1175839702936554</v>
      </c>
      <c r="EZ298" s="528"/>
      <c r="FA298" s="528">
        <f t="shared" si="877"/>
        <v>0.7871999999999999</v>
      </c>
      <c r="FB298" s="460">
        <f t="shared" si="878"/>
        <v>2980.5967672663292</v>
      </c>
      <c r="FC298" s="173">
        <f t="shared" si="879"/>
        <v>5.4577224700692479</v>
      </c>
      <c r="FD298" s="5">
        <f t="shared" si="880"/>
        <v>19.68</v>
      </c>
      <c r="FE298" s="173">
        <f t="shared" si="881"/>
        <v>0.78288715389520269</v>
      </c>
      <c r="FF298" s="5">
        <f t="shared" si="882"/>
        <v>78.288715389520263</v>
      </c>
      <c r="FI298" s="562">
        <f t="shared" si="836"/>
        <v>-50</v>
      </c>
      <c r="FJ298">
        <f t="shared" si="837"/>
        <v>-50</v>
      </c>
      <c r="FL298">
        <f t="shared" si="838"/>
        <v>0.68779075876694407</v>
      </c>
    </row>
    <row r="299" spans="5:168">
      <c r="E299" s="170">
        <v>83</v>
      </c>
      <c r="F299" s="217">
        <f t="shared" si="839"/>
        <v>0.83</v>
      </c>
      <c r="G299" s="217"/>
      <c r="H299" s="217">
        <f t="shared" si="764"/>
        <v>19.919999999999998</v>
      </c>
      <c r="I299" s="541">
        <f t="shared" si="765"/>
        <v>35.870365052870852</v>
      </c>
      <c r="J299" s="172">
        <f t="shared" si="766"/>
        <v>16.366217069425719</v>
      </c>
      <c r="K299" s="172">
        <f t="shared" si="767"/>
        <v>52.236582122296568</v>
      </c>
      <c r="L299" s="443"/>
      <c r="M299" s="217">
        <f t="shared" si="768"/>
        <v>0.31330200321646801</v>
      </c>
      <c r="N299" s="172">
        <f t="shared" si="769"/>
        <v>63.041628263436237</v>
      </c>
      <c r="O299" s="172">
        <f t="shared" si="762"/>
        <v>19.919999999999998</v>
      </c>
      <c r="P299" s="217">
        <f t="shared" si="770"/>
        <v>2.6267345109765099</v>
      </c>
      <c r="Q299" s="217">
        <f t="shared" si="771"/>
        <v>24</v>
      </c>
      <c r="R299" s="217"/>
      <c r="S299" s="172">
        <f t="shared" si="772"/>
        <v>186.46131633120731</v>
      </c>
      <c r="T299" s="172">
        <f t="shared" si="773"/>
        <v>24</v>
      </c>
      <c r="U299" s="217">
        <f t="shared" si="774"/>
        <v>3.6242360307531749</v>
      </c>
      <c r="V299" s="217">
        <f t="shared" si="775"/>
        <v>1.0103705455495811</v>
      </c>
      <c r="W299" s="217">
        <f t="shared" si="776"/>
        <v>2.2144616653800422</v>
      </c>
      <c r="X299" s="197">
        <f t="shared" si="777"/>
        <v>350</v>
      </c>
      <c r="Y299" s="443">
        <f t="shared" si="840"/>
        <v>291.98510712691638</v>
      </c>
      <c r="AA299" s="217">
        <f t="shared" si="778"/>
        <v>3.2110073983914922</v>
      </c>
      <c r="AB299" s="173">
        <f t="shared" si="779"/>
        <v>1.9619728766704942</v>
      </c>
      <c r="AC299" s="173">
        <f t="shared" si="780"/>
        <v>0.73535692733342128</v>
      </c>
      <c r="AD299" s="173"/>
      <c r="AE299" s="173">
        <f t="shared" si="781"/>
        <v>1.3578105513299288</v>
      </c>
      <c r="AF299" s="545">
        <f t="shared" si="782"/>
        <v>824.81317359631976</v>
      </c>
      <c r="AG299" s="528">
        <f t="shared" si="783"/>
        <v>0.35220097023107994</v>
      </c>
      <c r="AI299" s="173">
        <f t="shared" si="784"/>
        <v>3.4113891073242661</v>
      </c>
      <c r="AJ299" s="173">
        <f t="shared" si="785"/>
        <v>3.6242360307531749</v>
      </c>
      <c r="AK299" s="173">
        <f t="shared" si="786"/>
        <v>2.2385287470599646</v>
      </c>
      <c r="AM299" s="545">
        <f t="shared" si="787"/>
        <v>830</v>
      </c>
      <c r="AN299" s="460">
        <f t="shared" si="788"/>
        <v>291.98510712691638</v>
      </c>
      <c r="AP299">
        <f t="shared" si="789"/>
        <v>830</v>
      </c>
      <c r="AQ299">
        <f t="shared" si="790"/>
        <v>291.98510712691638</v>
      </c>
      <c r="AS299" s="5">
        <f t="shared" si="763"/>
        <v>3.4248322109296234</v>
      </c>
      <c r="AT299" s="5">
        <f t="shared" si="791"/>
        <v>1.0103705455495811</v>
      </c>
      <c r="AU299" s="5">
        <f t="shared" si="883"/>
        <v>2.4144616653800424</v>
      </c>
      <c r="AV299" s="5"/>
      <c r="AW299" s="173">
        <f t="shared" si="884"/>
        <v>0.29501315198017536</v>
      </c>
      <c r="AX299" s="173">
        <f t="shared" si="792"/>
        <v>19.176248641746145</v>
      </c>
      <c r="AY299" s="173">
        <f t="shared" si="793"/>
        <v>0.85210541838948728</v>
      </c>
      <c r="AZ299" s="173">
        <f t="shared" si="794"/>
        <v>22.504549587291685</v>
      </c>
      <c r="BA299" s="460">
        <f t="shared" si="724"/>
        <v>3.4941981366923009</v>
      </c>
      <c r="BB299" s="5">
        <f t="shared" si="725"/>
        <v>1.117358677176354</v>
      </c>
      <c r="BD299" s="173">
        <f t="shared" si="841"/>
        <v>1.1365185671384188</v>
      </c>
      <c r="BE299" s="173">
        <f t="shared" si="842"/>
        <v>1.1718504407620269</v>
      </c>
      <c r="BG299" s="528">
        <f t="shared" si="843"/>
        <v>5.1666978138014581E-2</v>
      </c>
      <c r="BH299" s="528">
        <f t="shared" si="795"/>
        <v>1.2437538706434397</v>
      </c>
      <c r="BI299" s="528">
        <f t="shared" si="796"/>
        <v>0.41894449530576378</v>
      </c>
      <c r="BJ299" s="528">
        <f t="shared" si="844"/>
        <v>0.13942744057490217</v>
      </c>
      <c r="BK299">
        <f t="shared" si="845"/>
        <v>1.6141664273791882E-2</v>
      </c>
      <c r="BL299" s="460">
        <f t="shared" si="846"/>
        <v>435.08615957955567</v>
      </c>
      <c r="BM299" s="528">
        <f t="shared" si="797"/>
        <v>1.4668049799391243</v>
      </c>
      <c r="BN299" s="460">
        <f t="shared" si="847"/>
        <v>1466.8049799391242</v>
      </c>
      <c r="BO299" s="528">
        <f t="shared" si="798"/>
        <v>0.58099999999999996</v>
      </c>
      <c r="BR299" s="460">
        <f t="shared" si="848"/>
        <v>581</v>
      </c>
      <c r="BS299" s="528">
        <f t="shared" si="849"/>
        <v>3.8750233603510938E-2</v>
      </c>
      <c r="BT299" s="528">
        <f t="shared" si="850"/>
        <v>4.1197003665424704E-2</v>
      </c>
      <c r="BU299" s="528">
        <f t="shared" si="851"/>
        <v>1.8214319060541919</v>
      </c>
      <c r="BV299" s="528"/>
      <c r="BW299" s="528">
        <f t="shared" si="852"/>
        <v>0.76704994566984597</v>
      </c>
      <c r="BX299" s="460">
        <f t="shared" si="853"/>
        <v>2668.4290889929734</v>
      </c>
      <c r="BY299" s="173">
        <f t="shared" si="854"/>
        <v>5.1193635379288853</v>
      </c>
      <c r="BZ299" s="5">
        <f t="shared" si="855"/>
        <v>19.919999999999998</v>
      </c>
      <c r="CA299" s="173">
        <f t="shared" si="856"/>
        <v>0.79554737762506511</v>
      </c>
      <c r="CB299" s="5">
        <f t="shared" si="857"/>
        <v>79.554737762506505</v>
      </c>
      <c r="CE299" s="562">
        <f t="shared" si="799"/>
        <v>-50</v>
      </c>
      <c r="CF299">
        <f t="shared" si="800"/>
        <v>-50</v>
      </c>
      <c r="CG299" s="173">
        <f t="shared" si="801"/>
        <v>0.67193645468016305</v>
      </c>
      <c r="CI299" s="170">
        <v>83</v>
      </c>
      <c r="CJ299" s="217">
        <f t="shared" si="858"/>
        <v>0.83</v>
      </c>
      <c r="CK299" s="217"/>
      <c r="CL299" s="217">
        <f t="shared" si="802"/>
        <v>19.919999999999998</v>
      </c>
      <c r="CM299" s="541">
        <f t="shared" si="803"/>
        <v>36</v>
      </c>
      <c r="CN299" s="443">
        <f t="shared" si="804"/>
        <v>16.3415</v>
      </c>
      <c r="CO299" s="443">
        <f t="shared" si="805"/>
        <v>52.341499999999996</v>
      </c>
      <c r="CP299" s="443"/>
      <c r="CQ299" s="217">
        <f t="shared" si="806"/>
        <v>0.31220924123305599</v>
      </c>
      <c r="CR299" s="172">
        <f t="shared" si="807"/>
        <v>63.048783011568261</v>
      </c>
      <c r="CS299" s="172">
        <f t="shared" si="808"/>
        <v>19.919999999999998</v>
      </c>
      <c r="CT299" s="217">
        <f t="shared" si="809"/>
        <v>2.6270326254820109</v>
      </c>
      <c r="CU299" s="217">
        <f t="shared" si="810"/>
        <v>24</v>
      </c>
      <c r="CV299" s="217"/>
      <c r="CW299" s="172">
        <f t="shared" si="811"/>
        <v>187.13466666629284</v>
      </c>
      <c r="CX299" s="172">
        <f t="shared" si="812"/>
        <v>24</v>
      </c>
      <c r="CY299" s="217">
        <f t="shared" si="813"/>
        <v>3.5446313577904922</v>
      </c>
      <c r="CZ299" s="217">
        <f t="shared" si="814"/>
        <v>0.98461982160847017</v>
      </c>
      <c r="DA299" s="217">
        <f t="shared" si="815"/>
        <v>2.1690979149958651</v>
      </c>
      <c r="DB299" s="197">
        <f t="shared" si="816"/>
        <v>350</v>
      </c>
      <c r="DC299" s="443">
        <f t="shared" si="817"/>
        <v>317.08608173562101</v>
      </c>
      <c r="DE299" s="217">
        <f t="shared" si="818"/>
        <v>3.211295052682861</v>
      </c>
      <c r="DF299" s="173">
        <f t="shared" si="819"/>
        <v>1.96511645361984</v>
      </c>
      <c r="DG299" s="173">
        <f t="shared" si="820"/>
        <v>0.73660113681324435</v>
      </c>
      <c r="DH299" s="173"/>
      <c r="DI299" s="173">
        <f t="shared" si="821"/>
        <v>1.3598642855443031</v>
      </c>
      <c r="DJ299" s="545">
        <f t="shared" si="822"/>
        <v>823.56749999999965</v>
      </c>
      <c r="DK299" s="528">
        <f t="shared" si="823"/>
        <v>0.35273368606701955</v>
      </c>
      <c r="DM299" s="173">
        <f t="shared" si="824"/>
        <v>3.408812109811862</v>
      </c>
      <c r="DN299" s="173">
        <f t="shared" si="825"/>
        <v>3.5446313577904922</v>
      </c>
      <c r="DO299" s="173">
        <f t="shared" si="826"/>
        <v>2.1795623226431626</v>
      </c>
      <c r="DQ299" s="545">
        <f t="shared" si="827"/>
        <v>830</v>
      </c>
      <c r="DR299" s="460">
        <f t="shared" si="828"/>
        <v>317.08608173562101</v>
      </c>
      <c r="DT299">
        <f t="shared" si="829"/>
        <v>830</v>
      </c>
      <c r="DU299">
        <f t="shared" si="830"/>
        <v>317.08608173562101</v>
      </c>
      <c r="DW299" s="5">
        <f t="shared" si="859"/>
        <v>3.1537177366043356</v>
      </c>
      <c r="DX299" s="5">
        <f t="shared" si="831"/>
        <v>0.98461982160847017</v>
      </c>
      <c r="DY299" s="5">
        <f t="shared" si="832"/>
        <v>2.1690979149958656</v>
      </c>
      <c r="DZ299" s="5"/>
      <c r="EA299" s="173">
        <f t="shared" si="833"/>
        <v>0.31220924123305593</v>
      </c>
      <c r="EB299" s="173">
        <f t="shared" si="860"/>
        <v>19.919999999999995</v>
      </c>
      <c r="EC299" s="173">
        <f t="shared" si="861"/>
        <v>0.81306122448979601</v>
      </c>
      <c r="ED299" s="173">
        <f t="shared" si="862"/>
        <v>24.499999999999989</v>
      </c>
      <c r="EE299" s="460">
        <f t="shared" si="834"/>
        <v>3.4051435497292921</v>
      </c>
      <c r="EF299" s="5">
        <f t="shared" si="835"/>
        <v>1.0001951496925376</v>
      </c>
      <c r="EH299" s="173">
        <f t="shared" si="863"/>
        <v>1.143492511167453</v>
      </c>
      <c r="EI299" s="173">
        <f t="shared" si="864"/>
        <v>1.132046978468872</v>
      </c>
      <c r="EK299" s="528">
        <f t="shared" si="865"/>
        <v>5.2303004923841899E-2</v>
      </c>
      <c r="EL299" s="528">
        <f t="shared" si="866"/>
        <v>1.6178084999999998</v>
      </c>
      <c r="EM299" s="528">
        <f t="shared" si="867"/>
        <v>6.3417216347124189E-2</v>
      </c>
      <c r="EN299" s="528">
        <f t="shared" si="868"/>
        <v>0.15202239037725901</v>
      </c>
      <c r="EO299">
        <f t="shared" si="869"/>
        <v>1.6199999999999999E-2</v>
      </c>
      <c r="EP299" s="460">
        <f t="shared" si="870"/>
        <v>79.617216347124184</v>
      </c>
      <c r="EQ299" s="460"/>
      <c r="ER299" s="460">
        <f t="shared" si="871"/>
        <v>1901.7511116482251</v>
      </c>
      <c r="ES299" s="528">
        <f t="shared" si="872"/>
        <v>0.58099999999999996</v>
      </c>
      <c r="EV299" s="460">
        <f t="shared" si="873"/>
        <v>581</v>
      </c>
      <c r="EW299" s="528">
        <f t="shared" si="874"/>
        <v>3.9227253692881422E-2</v>
      </c>
      <c r="EX299" s="528">
        <f t="shared" si="875"/>
        <v>3.8445910843815087E-2</v>
      </c>
      <c r="EY299" s="528">
        <f t="shared" si="876"/>
        <v>2.1175839702936554</v>
      </c>
      <c r="EZ299" s="528"/>
      <c r="FA299" s="528">
        <f t="shared" si="877"/>
        <v>0.79679999999999973</v>
      </c>
      <c r="FB299" s="460">
        <f t="shared" si="878"/>
        <v>2992.0571348303515</v>
      </c>
      <c r="FC299" s="173">
        <f t="shared" si="879"/>
        <v>5.4748082464785757</v>
      </c>
      <c r="FD299" s="5">
        <f t="shared" si="880"/>
        <v>19.919999999999998</v>
      </c>
      <c r="FE299" s="173">
        <f t="shared" si="881"/>
        <v>0.78441230217842839</v>
      </c>
      <c r="FF299" s="5">
        <f t="shared" si="882"/>
        <v>78.441230217842843</v>
      </c>
      <c r="FI299" s="562">
        <f t="shared" si="836"/>
        <v>-50</v>
      </c>
      <c r="FJ299">
        <f t="shared" si="837"/>
        <v>-50</v>
      </c>
      <c r="FL299">
        <f t="shared" si="838"/>
        <v>0.68779075876694407</v>
      </c>
    </row>
    <row r="300" spans="5:168">
      <c r="E300" s="170">
        <v>84</v>
      </c>
      <c r="F300" s="217">
        <f t="shared" si="839"/>
        <v>0.84</v>
      </c>
      <c r="G300" s="217"/>
      <c r="H300" s="217">
        <f t="shared" si="764"/>
        <v>20.16</v>
      </c>
      <c r="I300" s="541">
        <f t="shared" si="765"/>
        <v>35.868840027852329</v>
      </c>
      <c r="J300" s="172">
        <f t="shared" si="766"/>
        <v>16.366507840935203</v>
      </c>
      <c r="K300" s="172">
        <f t="shared" si="767"/>
        <v>52.235347868787528</v>
      </c>
      <c r="L300" s="443"/>
      <c r="M300" s="217">
        <f t="shared" si="768"/>
        <v>0.31331497494711869</v>
      </c>
      <c r="N300" s="172">
        <f t="shared" si="769"/>
        <v>63.041558074087384</v>
      </c>
      <c r="O300" s="172">
        <f t="shared" si="762"/>
        <v>20.16</v>
      </c>
      <c r="P300" s="217">
        <f t="shared" si="770"/>
        <v>2.6267315864203078</v>
      </c>
      <c r="Q300" s="217">
        <f t="shared" si="771"/>
        <v>24</v>
      </c>
      <c r="R300" s="217"/>
      <c r="S300" s="172">
        <f t="shared" si="772"/>
        <v>183.59746019020699</v>
      </c>
      <c r="T300" s="172">
        <f t="shared" si="773"/>
        <v>24</v>
      </c>
      <c r="U300" s="217">
        <f t="shared" si="774"/>
        <v>3.6679708130975914</v>
      </c>
      <c r="V300" s="217">
        <f t="shared" si="775"/>
        <v>1.0226064768889638</v>
      </c>
      <c r="W300" s="217">
        <f t="shared" si="776"/>
        <v>2.2411444449520386</v>
      </c>
      <c r="X300" s="197">
        <f t="shared" si="777"/>
        <v>350</v>
      </c>
      <c r="Y300" s="443">
        <f t="shared" si="840"/>
        <v>288.70436199508663</v>
      </c>
      <c r="AA300" s="217">
        <f t="shared" si="778"/>
        <v>3.2110037989476212</v>
      </c>
      <c r="AB300" s="173">
        <f t="shared" si="779"/>
        <v>1.9619358204909159</v>
      </c>
      <c r="AC300" s="173">
        <f t="shared" si="780"/>
        <v>0.73534221420032264</v>
      </c>
      <c r="AD300" s="173"/>
      <c r="AE300" s="173">
        <f t="shared" si="781"/>
        <v>1.3577864281249397</v>
      </c>
      <c r="AF300" s="545">
        <f t="shared" si="782"/>
        <v>834.7655123667397</v>
      </c>
      <c r="AG300" s="528">
        <f t="shared" si="783"/>
        <v>0.35219471293974131</v>
      </c>
      <c r="AI300" s="173">
        <f t="shared" si="784"/>
        <v>3.4319086012231983</v>
      </c>
      <c r="AJ300" s="173">
        <f t="shared" si="785"/>
        <v>3.6679708130975914</v>
      </c>
      <c r="AK300" s="173">
        <f t="shared" si="786"/>
        <v>2.2709248821299028</v>
      </c>
      <c r="AM300" s="545">
        <f t="shared" si="787"/>
        <v>840</v>
      </c>
      <c r="AN300" s="460">
        <f t="shared" si="788"/>
        <v>288.70436199508663</v>
      </c>
      <c r="AP300">
        <f t="shared" si="789"/>
        <v>840</v>
      </c>
      <c r="AQ300">
        <f t="shared" si="790"/>
        <v>288.70436199508663</v>
      </c>
      <c r="AS300" s="5">
        <f t="shared" si="763"/>
        <v>3.4637509218410032</v>
      </c>
      <c r="AT300" s="5">
        <f t="shared" si="791"/>
        <v>1.0226064768889638</v>
      </c>
      <c r="AU300" s="5">
        <f t="shared" si="883"/>
        <v>2.4411444449520392</v>
      </c>
      <c r="AV300" s="5"/>
      <c r="AW300" s="173">
        <f t="shared" si="884"/>
        <v>0.2952309504822716</v>
      </c>
      <c r="AX300" s="173">
        <f t="shared" si="792"/>
        <v>19.421156701684723</v>
      </c>
      <c r="AY300" s="173">
        <f t="shared" si="793"/>
        <v>0.86212161325245384</v>
      </c>
      <c r="AZ300" s="173">
        <f t="shared" si="794"/>
        <v>22.527166008999767</v>
      </c>
      <c r="BA300" s="460">
        <f t="shared" si="724"/>
        <v>3.5791226691113733</v>
      </c>
      <c r="BB300" s="5">
        <f t="shared" si="725"/>
        <v>1.1433664050286776</v>
      </c>
      <c r="BD300" s="173">
        <f t="shared" si="841"/>
        <v>1.1506578011965825</v>
      </c>
      <c r="BE300" s="173">
        <f t="shared" si="842"/>
        <v>1.1858083100115457</v>
      </c>
      <c r="BG300" s="528">
        <f t="shared" si="843"/>
        <v>5.2960535018182153E-2</v>
      </c>
      <c r="BH300" s="528">
        <f t="shared" si="795"/>
        <v>1.2445897680453677</v>
      </c>
      <c r="BI300" s="528">
        <f t="shared" si="796"/>
        <v>0.41421962302979726</v>
      </c>
      <c r="BJ300" s="528">
        <f t="shared" si="844"/>
        <v>0.13785431891463135</v>
      </c>
      <c r="BK300">
        <f t="shared" si="845"/>
        <v>1.6140978012533547E-2</v>
      </c>
      <c r="BL300" s="460">
        <f t="shared" si="846"/>
        <v>430.36060104233081</v>
      </c>
      <c r="BM300" s="528">
        <f t="shared" si="797"/>
        <v>1.4681786799795056</v>
      </c>
      <c r="BN300" s="460">
        <f t="shared" si="847"/>
        <v>1468.1786799795057</v>
      </c>
      <c r="BO300" s="528">
        <f t="shared" si="798"/>
        <v>0.58799999999999997</v>
      </c>
      <c r="BR300" s="460">
        <f t="shared" si="848"/>
        <v>588</v>
      </c>
      <c r="BS300" s="528">
        <f t="shared" si="849"/>
        <v>3.9720401263636615E-2</v>
      </c>
      <c r="BT300" s="528">
        <f t="shared" si="850"/>
        <v>4.2184240442773142E-2</v>
      </c>
      <c r="BU300" s="528">
        <f t="shared" si="851"/>
        <v>1.8246015794671064</v>
      </c>
      <c r="BV300" s="528"/>
      <c r="BW300" s="528">
        <f t="shared" si="852"/>
        <v>0.77684626806738888</v>
      </c>
      <c r="BX300" s="460">
        <f t="shared" si="853"/>
        <v>2683.352489240905</v>
      </c>
      <c r="BY300" s="173">
        <f t="shared" si="854"/>
        <v>5.137117712261416</v>
      </c>
      <c r="BZ300" s="5">
        <f t="shared" si="855"/>
        <v>20.16</v>
      </c>
      <c r="CA300" s="173">
        <f t="shared" si="856"/>
        <v>0.79692873430511513</v>
      </c>
      <c r="CB300" s="5">
        <f t="shared" si="857"/>
        <v>79.692873430511511</v>
      </c>
      <c r="CE300" s="562">
        <f t="shared" si="799"/>
        <v>-50</v>
      </c>
      <c r="CF300">
        <f t="shared" si="800"/>
        <v>-50</v>
      </c>
      <c r="CG300" s="173">
        <f t="shared" si="801"/>
        <v>0.67212519639548185</v>
      </c>
      <c r="CI300" s="170">
        <v>84</v>
      </c>
      <c r="CJ300" s="217">
        <f t="shared" si="858"/>
        <v>0.84</v>
      </c>
      <c r="CK300" s="217"/>
      <c r="CL300" s="217">
        <f t="shared" si="802"/>
        <v>20.16</v>
      </c>
      <c r="CM300" s="541">
        <f t="shared" si="803"/>
        <v>36</v>
      </c>
      <c r="CN300" s="443">
        <f t="shared" si="804"/>
        <v>16.3415</v>
      </c>
      <c r="CO300" s="443">
        <f t="shared" si="805"/>
        <v>52.341499999999996</v>
      </c>
      <c r="CP300" s="443"/>
      <c r="CQ300" s="217">
        <f t="shared" si="806"/>
        <v>0.31220924123305599</v>
      </c>
      <c r="CR300" s="172">
        <f t="shared" si="807"/>
        <v>63.048783011568261</v>
      </c>
      <c r="CS300" s="172">
        <f t="shared" si="808"/>
        <v>20.16</v>
      </c>
      <c r="CT300" s="217">
        <f t="shared" si="809"/>
        <v>2.6270326254820109</v>
      </c>
      <c r="CU300" s="217">
        <f t="shared" si="810"/>
        <v>24</v>
      </c>
      <c r="CV300" s="217"/>
      <c r="CW300" s="172">
        <f t="shared" si="811"/>
        <v>184.26828055198874</v>
      </c>
      <c r="CX300" s="172">
        <f t="shared" si="812"/>
        <v>24</v>
      </c>
      <c r="CY300" s="217">
        <f t="shared" si="813"/>
        <v>3.5873377596915828</v>
      </c>
      <c r="CZ300" s="217">
        <f t="shared" si="814"/>
        <v>0.99648271102543973</v>
      </c>
      <c r="DA300" s="217">
        <f t="shared" si="815"/>
        <v>2.1952316248150923</v>
      </c>
      <c r="DB300" s="197">
        <f t="shared" si="816"/>
        <v>350</v>
      </c>
      <c r="DC300" s="443">
        <f t="shared" si="817"/>
        <v>313.31124742924459</v>
      </c>
      <c r="DE300" s="217">
        <f t="shared" si="818"/>
        <v>3.211295052682861</v>
      </c>
      <c r="DF300" s="173">
        <f t="shared" si="819"/>
        <v>1.96511645361984</v>
      </c>
      <c r="DG300" s="173">
        <f t="shared" si="820"/>
        <v>0.73660113681324435</v>
      </c>
      <c r="DH300" s="173"/>
      <c r="DI300" s="173">
        <f t="shared" si="821"/>
        <v>1.3598642855443031</v>
      </c>
      <c r="DJ300" s="545">
        <f t="shared" si="822"/>
        <v>833.48999999999978</v>
      </c>
      <c r="DK300" s="528">
        <f t="shared" si="823"/>
        <v>0.35273368606701955</v>
      </c>
      <c r="DM300" s="173">
        <f t="shared" si="824"/>
        <v>3.4292856398964489</v>
      </c>
      <c r="DN300" s="173">
        <f t="shared" si="825"/>
        <v>3.5873377596915828</v>
      </c>
      <c r="DO300" s="173">
        <f t="shared" si="826"/>
        <v>2.2111966944217483</v>
      </c>
      <c r="DQ300" s="545">
        <f t="shared" si="827"/>
        <v>840</v>
      </c>
      <c r="DR300" s="460">
        <f t="shared" si="828"/>
        <v>313.31124742924459</v>
      </c>
      <c r="DT300">
        <f t="shared" si="829"/>
        <v>840</v>
      </c>
      <c r="DU300">
        <f t="shared" si="830"/>
        <v>313.31124742924459</v>
      </c>
      <c r="DW300" s="5">
        <f t="shared" si="859"/>
        <v>3.191714335840532</v>
      </c>
      <c r="DX300" s="5">
        <f t="shared" si="831"/>
        <v>0.99648271102543973</v>
      </c>
      <c r="DY300" s="5">
        <f t="shared" si="832"/>
        <v>2.1952316248150923</v>
      </c>
      <c r="DZ300" s="5"/>
      <c r="EA300" s="173">
        <f t="shared" si="833"/>
        <v>0.31220924123305599</v>
      </c>
      <c r="EB300" s="173">
        <f t="shared" si="860"/>
        <v>20.16</v>
      </c>
      <c r="EC300" s="173">
        <f t="shared" si="861"/>
        <v>0.82285714285714284</v>
      </c>
      <c r="ED300" s="173">
        <f t="shared" si="862"/>
        <v>24.5</v>
      </c>
      <c r="EE300" s="460">
        <f t="shared" si="834"/>
        <v>3.487689488589039</v>
      </c>
      <c r="EF300" s="5">
        <f t="shared" si="835"/>
        <v>1.0244414249137097</v>
      </c>
      <c r="EH300" s="173">
        <f t="shared" si="863"/>
        <v>1.1572695293742901</v>
      </c>
      <c r="EI300" s="173">
        <f t="shared" si="864"/>
        <v>1.1456860986913884</v>
      </c>
      <c r="EK300" s="528">
        <f t="shared" si="865"/>
        <v>5.3570910544727637E-2</v>
      </c>
      <c r="EL300" s="528">
        <f t="shared" si="866"/>
        <v>1.6178085</v>
      </c>
      <c r="EM300" s="528">
        <f t="shared" si="867"/>
        <v>6.2662249485848906E-2</v>
      </c>
      <c r="EN300" s="528">
        <f t="shared" si="868"/>
        <v>0.15021260001562495</v>
      </c>
      <c r="EO300">
        <f t="shared" si="869"/>
        <v>1.6199999999999999E-2</v>
      </c>
      <c r="EP300" s="460">
        <f t="shared" si="870"/>
        <v>78.862249485848906</v>
      </c>
      <c r="EQ300" s="460"/>
      <c r="ER300" s="460">
        <f t="shared" si="871"/>
        <v>1900.4542600462016</v>
      </c>
      <c r="ES300" s="528">
        <f t="shared" si="872"/>
        <v>0.58799999999999997</v>
      </c>
      <c r="EV300" s="460">
        <f t="shared" si="873"/>
        <v>588</v>
      </c>
      <c r="EW300" s="528">
        <f t="shared" si="874"/>
        <v>4.0178182908545725E-2</v>
      </c>
      <c r="EX300" s="528">
        <f t="shared" si="875"/>
        <v>3.9377899102040807E-2</v>
      </c>
      <c r="EY300" s="528">
        <f t="shared" si="876"/>
        <v>2.1175839702936572</v>
      </c>
      <c r="EZ300" s="528"/>
      <c r="FA300" s="528">
        <f t="shared" si="877"/>
        <v>0.80639999999999989</v>
      </c>
      <c r="FB300" s="460">
        <f t="shared" si="878"/>
        <v>3003.5400523042435</v>
      </c>
      <c r="FC300" s="173">
        <f t="shared" si="879"/>
        <v>5.4919943123504451</v>
      </c>
      <c r="FD300" s="5">
        <f t="shared" si="880"/>
        <v>20.16</v>
      </c>
      <c r="FE300" s="173">
        <f t="shared" si="881"/>
        <v>0.78590380749826294</v>
      </c>
      <c r="FF300" s="5">
        <f t="shared" si="882"/>
        <v>78.590380749826295</v>
      </c>
      <c r="FI300" s="562">
        <f t="shared" si="836"/>
        <v>-50</v>
      </c>
      <c r="FJ300">
        <f t="shared" si="837"/>
        <v>-50</v>
      </c>
      <c r="FL300">
        <f t="shared" si="838"/>
        <v>0.68779075876694407</v>
      </c>
    </row>
    <row r="301" spans="5:168">
      <c r="E301" s="170">
        <v>85</v>
      </c>
      <c r="F301" s="217">
        <f t="shared" si="839"/>
        <v>0.85</v>
      </c>
      <c r="G301" s="217"/>
      <c r="H301" s="217">
        <f t="shared" si="764"/>
        <v>20.399999999999999</v>
      </c>
      <c r="I301" s="541">
        <f t="shared" si="765"/>
        <v>35.867314982634852</v>
      </c>
      <c r="J301" s="172">
        <f t="shared" si="766"/>
        <v>16.366798616295956</v>
      </c>
      <c r="K301" s="172">
        <f t="shared" si="767"/>
        <v>52.234113598930804</v>
      </c>
      <c r="L301" s="443"/>
      <c r="M301" s="217">
        <f t="shared" si="768"/>
        <v>0.3133279474118868</v>
      </c>
      <c r="N301" s="172">
        <f t="shared" si="769"/>
        <v>63.041487775001599</v>
      </c>
      <c r="O301" s="172">
        <f t="shared" si="762"/>
        <v>20.399999999999999</v>
      </c>
      <c r="P301" s="217">
        <f t="shared" si="770"/>
        <v>2.6267286572917334</v>
      </c>
      <c r="Q301" s="217">
        <f t="shared" si="771"/>
        <v>24</v>
      </c>
      <c r="R301" s="217"/>
      <c r="S301" s="172">
        <f t="shared" si="772"/>
        <v>180.80111036574939</v>
      </c>
      <c r="T301" s="172">
        <f t="shared" si="773"/>
        <v>24</v>
      </c>
      <c r="U301" s="217">
        <f t="shared" si="774"/>
        <v>3.711707251773376</v>
      </c>
      <c r="V301" s="217">
        <f t="shared" si="775"/>
        <v>1.0348439111124985</v>
      </c>
      <c r="W301" s="217">
        <f t="shared" si="776"/>
        <v>2.2678272879081773</v>
      </c>
      <c r="X301" s="197">
        <f t="shared" si="777"/>
        <v>350</v>
      </c>
      <c r="Y301" s="443">
        <f t="shared" si="840"/>
        <v>285.49639494554714</v>
      </c>
      <c r="AA301" s="217">
        <f t="shared" si="778"/>
        <v>3.211000194434813</v>
      </c>
      <c r="AB301" s="173">
        <f t="shared" si="779"/>
        <v>1.9618987620692736</v>
      </c>
      <c r="AC301" s="173">
        <f t="shared" si="780"/>
        <v>0.73532749909722706</v>
      </c>
      <c r="AD301" s="173"/>
      <c r="AE301" s="173">
        <f t="shared" si="781"/>
        <v>1.3577623054575982</v>
      </c>
      <c r="AF301" s="545">
        <f t="shared" si="782"/>
        <v>844.7182044467587</v>
      </c>
      <c r="AG301" s="528">
        <f t="shared" si="783"/>
        <v>0.35218845578786262</v>
      </c>
      <c r="AI301" s="173">
        <f t="shared" si="784"/>
        <v>3.45230685740662</v>
      </c>
      <c r="AJ301" s="173">
        <f t="shared" si="785"/>
        <v>3.711707251773376</v>
      </c>
      <c r="AK301" s="173">
        <f t="shared" si="786"/>
        <v>2.3033222441119658</v>
      </c>
      <c r="AM301" s="545">
        <f t="shared" si="787"/>
        <v>850</v>
      </c>
      <c r="AN301" s="460">
        <f t="shared" si="788"/>
        <v>285.49639494554714</v>
      </c>
      <c r="AP301">
        <f t="shared" si="789"/>
        <v>850</v>
      </c>
      <c r="AQ301">
        <f t="shared" si="790"/>
        <v>285.49639494554714</v>
      </c>
      <c r="AS301" s="5">
        <f t="shared" si="763"/>
        <v>3.5026711990206758</v>
      </c>
      <c r="AT301" s="5">
        <f t="shared" si="791"/>
        <v>1.0348439111124985</v>
      </c>
      <c r="AU301" s="5">
        <f t="shared" si="883"/>
        <v>2.4678272879081771</v>
      </c>
      <c r="AV301" s="5"/>
      <c r="AW301" s="173">
        <f t="shared" si="884"/>
        <v>0.29544420595396853</v>
      </c>
      <c r="AX301" s="173">
        <f t="shared" si="792"/>
        <v>19.666091876849539</v>
      </c>
      <c r="AY301" s="173">
        <f t="shared" si="793"/>
        <v>0.87213746748820797</v>
      </c>
      <c r="AZ301" s="173">
        <f t="shared" si="794"/>
        <v>22.549302844984631</v>
      </c>
      <c r="BA301" s="460">
        <f t="shared" si="724"/>
        <v>3.6650721851900987</v>
      </c>
      <c r="BB301" s="5">
        <f t="shared" si="725"/>
        <v>1.1696739472901878</v>
      </c>
      <c r="BD301" s="173">
        <f t="shared" si="841"/>
        <v>1.1647985643917638</v>
      </c>
      <c r="BE301" s="173">
        <f t="shared" si="842"/>
        <v>1.1997661850174639</v>
      </c>
      <c r="BG301" s="528">
        <f t="shared" si="843"/>
        <v>5.4270227824364553E-2</v>
      </c>
      <c r="BH301" s="528">
        <f t="shared" si="795"/>
        <v>1.2454063948421814</v>
      </c>
      <c r="BI301" s="528">
        <f t="shared" si="796"/>
        <v>0.40959956495674638</v>
      </c>
      <c r="BJ301" s="528">
        <f t="shared" si="844"/>
        <v>0.1363160947679157</v>
      </c>
      <c r="BK301">
        <f t="shared" si="845"/>
        <v>1.6140291742185682E-2</v>
      </c>
      <c r="BL301" s="460">
        <f t="shared" si="846"/>
        <v>425.73985669893204</v>
      </c>
      <c r="BM301" s="528">
        <f t="shared" si="797"/>
        <v>1.4695955345368708</v>
      </c>
      <c r="BN301" s="460">
        <f t="shared" si="847"/>
        <v>1469.5955345368707</v>
      </c>
      <c r="BO301" s="528">
        <f t="shared" si="798"/>
        <v>0.59499999999999997</v>
      </c>
      <c r="BR301" s="460">
        <f t="shared" si="848"/>
        <v>595</v>
      </c>
      <c r="BS301" s="528">
        <f t="shared" si="849"/>
        <v>4.0702670868273415E-2</v>
      </c>
      <c r="BT301" s="528">
        <f t="shared" si="850"/>
        <v>4.318316696134078E-2</v>
      </c>
      <c r="BU301" s="528">
        <f t="shared" si="851"/>
        <v>1.8277040090091425</v>
      </c>
      <c r="BV301" s="528"/>
      <c r="BW301" s="528">
        <f t="shared" si="852"/>
        <v>0.78664367507398147</v>
      </c>
      <c r="BX301" s="460">
        <f t="shared" si="853"/>
        <v>2698.2335219127381</v>
      </c>
      <c r="BY301" s="173">
        <f t="shared" si="854"/>
        <v>5.1549660960461319</v>
      </c>
      <c r="BZ301" s="5">
        <f t="shared" si="855"/>
        <v>20.399999999999999</v>
      </c>
      <c r="CA301" s="173">
        <f t="shared" si="856"/>
        <v>0.79827928252099267</v>
      </c>
      <c r="CB301" s="5">
        <f t="shared" si="857"/>
        <v>79.827928252099269</v>
      </c>
      <c r="CE301" s="562">
        <f t="shared" si="799"/>
        <v>-50</v>
      </c>
      <c r="CF301">
        <f t="shared" si="800"/>
        <v>-50</v>
      </c>
      <c r="CG301" s="173">
        <f t="shared" si="801"/>
        <v>0.6723094971292638</v>
      </c>
      <c r="CI301" s="170">
        <v>85</v>
      </c>
      <c r="CJ301" s="217">
        <f t="shared" si="858"/>
        <v>0.85</v>
      </c>
      <c r="CK301" s="217"/>
      <c r="CL301" s="217">
        <f t="shared" si="802"/>
        <v>20.399999999999999</v>
      </c>
      <c r="CM301" s="541">
        <f t="shared" si="803"/>
        <v>36</v>
      </c>
      <c r="CN301" s="443">
        <f t="shared" si="804"/>
        <v>16.3415</v>
      </c>
      <c r="CO301" s="443">
        <f t="shared" si="805"/>
        <v>52.341499999999996</v>
      </c>
      <c r="CP301" s="443"/>
      <c r="CQ301" s="217">
        <f t="shared" si="806"/>
        <v>0.31220924123305599</v>
      </c>
      <c r="CR301" s="172">
        <f t="shared" si="807"/>
        <v>63.048783011568261</v>
      </c>
      <c r="CS301" s="172">
        <f t="shared" si="808"/>
        <v>20.399999999999999</v>
      </c>
      <c r="CT301" s="217">
        <f t="shared" si="809"/>
        <v>2.6270326254820109</v>
      </c>
      <c r="CU301" s="217">
        <f t="shared" si="810"/>
        <v>24</v>
      </c>
      <c r="CV301" s="217"/>
      <c r="CW301" s="172">
        <f t="shared" si="811"/>
        <v>181.46940659239655</v>
      </c>
      <c r="CX301" s="172">
        <f t="shared" si="812"/>
        <v>24</v>
      </c>
      <c r="CY301" s="217">
        <f t="shared" si="813"/>
        <v>3.6300441615926728</v>
      </c>
      <c r="CZ301" s="217">
        <f t="shared" si="814"/>
        <v>1.0083456004424092</v>
      </c>
      <c r="DA301" s="217">
        <f t="shared" si="815"/>
        <v>2.2213653346343194</v>
      </c>
      <c r="DB301" s="197">
        <f t="shared" si="816"/>
        <v>350</v>
      </c>
      <c r="DC301" s="443">
        <f t="shared" si="817"/>
        <v>309.62523275360644</v>
      </c>
      <c r="DE301" s="217">
        <f t="shared" si="818"/>
        <v>3.211295052682861</v>
      </c>
      <c r="DF301" s="173">
        <f t="shared" si="819"/>
        <v>1.96511645361984</v>
      </c>
      <c r="DG301" s="173">
        <f t="shared" si="820"/>
        <v>0.73660113681324435</v>
      </c>
      <c r="DH301" s="173"/>
      <c r="DI301" s="173">
        <f t="shared" si="821"/>
        <v>1.3598642855443031</v>
      </c>
      <c r="DJ301" s="545">
        <f t="shared" si="822"/>
        <v>843.4124999999998</v>
      </c>
      <c r="DK301" s="528">
        <f t="shared" si="823"/>
        <v>0.35273368606701955</v>
      </c>
      <c r="DM301" s="173">
        <f t="shared" si="824"/>
        <v>3.4496376621320679</v>
      </c>
      <c r="DN301" s="173">
        <f t="shared" si="825"/>
        <v>3.6300441615926728</v>
      </c>
      <c r="DO301" s="173">
        <f t="shared" si="826"/>
        <v>2.2428310662003339</v>
      </c>
      <c r="DQ301" s="545">
        <f t="shared" si="827"/>
        <v>850</v>
      </c>
      <c r="DR301" s="460">
        <f t="shared" si="828"/>
        <v>309.62523275360644</v>
      </c>
      <c r="DT301">
        <f t="shared" si="829"/>
        <v>850</v>
      </c>
      <c r="DU301">
        <f t="shared" si="830"/>
        <v>309.62523275360644</v>
      </c>
      <c r="DW301" s="5">
        <f t="shared" si="859"/>
        <v>3.2297109350767284</v>
      </c>
      <c r="DX301" s="5">
        <f t="shared" si="831"/>
        <v>1.0083456004424092</v>
      </c>
      <c r="DY301" s="5">
        <f t="shared" si="832"/>
        <v>2.221365334634319</v>
      </c>
      <c r="DZ301" s="5"/>
      <c r="EA301" s="173">
        <f t="shared" si="833"/>
        <v>0.31220924123305599</v>
      </c>
      <c r="EB301" s="173">
        <f t="shared" si="860"/>
        <v>20.399999999999999</v>
      </c>
      <c r="EC301" s="173">
        <f t="shared" si="861"/>
        <v>0.8326530612244899</v>
      </c>
      <c r="ED301" s="173">
        <f t="shared" si="862"/>
        <v>24.499999999999996</v>
      </c>
      <c r="EE301" s="460">
        <f t="shared" si="834"/>
        <v>3.5712240015668657</v>
      </c>
      <c r="EF301" s="5">
        <f t="shared" si="835"/>
        <v>1.0489780746884283</v>
      </c>
      <c r="EH301" s="173">
        <f t="shared" si="863"/>
        <v>1.1710465475811269</v>
      </c>
      <c r="EI301" s="173">
        <f t="shared" si="864"/>
        <v>1.1593252189139052</v>
      </c>
      <c r="EK301" s="528">
        <f t="shared" si="865"/>
        <v>5.4854000664067065E-2</v>
      </c>
      <c r="EL301" s="528">
        <f t="shared" si="866"/>
        <v>1.6178085</v>
      </c>
      <c r="EM301" s="528">
        <f t="shared" si="867"/>
        <v>6.1925046550721285E-2</v>
      </c>
      <c r="EN301" s="528">
        <f t="shared" si="868"/>
        <v>0.14844539295661763</v>
      </c>
      <c r="EO301">
        <f t="shared" si="869"/>
        <v>1.6199999999999999E-2</v>
      </c>
      <c r="EP301" s="460">
        <f t="shared" si="870"/>
        <v>78.125046550721279</v>
      </c>
      <c r="EQ301" s="460"/>
      <c r="ER301" s="460">
        <f t="shared" si="871"/>
        <v>1899.232940171406</v>
      </c>
      <c r="ES301" s="528">
        <f t="shared" si="872"/>
        <v>0.59499999999999997</v>
      </c>
      <c r="EV301" s="460">
        <f t="shared" si="873"/>
        <v>595</v>
      </c>
      <c r="EW301" s="528">
        <f t="shared" si="874"/>
        <v>4.1140500498050292E-2</v>
      </c>
      <c r="EX301" s="528">
        <f t="shared" si="875"/>
        <v>4.0321048896293225E-2</v>
      </c>
      <c r="EY301" s="528">
        <f t="shared" si="876"/>
        <v>2.1175839702936567</v>
      </c>
      <c r="EZ301" s="528"/>
      <c r="FA301" s="528">
        <f t="shared" si="877"/>
        <v>0.81599999999999984</v>
      </c>
      <c r="FB301" s="460">
        <f t="shared" si="878"/>
        <v>3015.0455196879998</v>
      </c>
      <c r="FC301" s="173">
        <f t="shared" si="879"/>
        <v>5.5092784598594067</v>
      </c>
      <c r="FD301" s="5">
        <f t="shared" si="880"/>
        <v>20.399999999999999</v>
      </c>
      <c r="FE301" s="173">
        <f t="shared" si="881"/>
        <v>0.78736272149011044</v>
      </c>
      <c r="FF301" s="5">
        <f t="shared" si="882"/>
        <v>78.736272149011043</v>
      </c>
      <c r="FI301" s="562">
        <f t="shared" si="836"/>
        <v>-50</v>
      </c>
      <c r="FJ301">
        <f t="shared" si="837"/>
        <v>-50</v>
      </c>
      <c r="FL301">
        <f t="shared" si="838"/>
        <v>0.68779075876694407</v>
      </c>
    </row>
    <row r="302" spans="5:168">
      <c r="E302" s="170">
        <v>86</v>
      </c>
      <c r="F302" s="217">
        <f t="shared" si="839"/>
        <v>0.86</v>
      </c>
      <c r="G302" s="217"/>
      <c r="H302" s="217">
        <f t="shared" si="764"/>
        <v>20.64</v>
      </c>
      <c r="I302" s="541">
        <f t="shared" si="765"/>
        <v>35.865789917939075</v>
      </c>
      <c r="J302" s="172">
        <f t="shared" si="766"/>
        <v>16.367089395370574</v>
      </c>
      <c r="K302" s="172">
        <f t="shared" si="767"/>
        <v>52.232879313309653</v>
      </c>
      <c r="L302" s="443"/>
      <c r="M302" s="217">
        <f t="shared" si="768"/>
        <v>0.31334092060651614</v>
      </c>
      <c r="N302" s="172">
        <f t="shared" si="769"/>
        <v>63.041417366565987</v>
      </c>
      <c r="O302" s="172">
        <f t="shared" si="762"/>
        <v>20.64</v>
      </c>
      <c r="P302" s="217">
        <f t="shared" si="770"/>
        <v>2.6267257236069161</v>
      </c>
      <c r="Q302" s="217">
        <f t="shared" si="771"/>
        <v>24</v>
      </c>
      <c r="R302" s="217"/>
      <c r="S302" s="172">
        <f t="shared" si="772"/>
        <v>178.06991267853209</v>
      </c>
      <c r="T302" s="172">
        <f t="shared" si="773"/>
        <v>24</v>
      </c>
      <c r="U302" s="217">
        <f t="shared" si="774"/>
        <v>3.7554453469914058</v>
      </c>
      <c r="V302" s="217">
        <f t="shared" si="775"/>
        <v>1.0470828484703292</v>
      </c>
      <c r="W302" s="217">
        <f t="shared" si="776"/>
        <v>2.2945101943743476</v>
      </c>
      <c r="X302" s="197">
        <f t="shared" si="777"/>
        <v>350</v>
      </c>
      <c r="Y302" s="443">
        <f t="shared" si="840"/>
        <v>282.35881082395071</v>
      </c>
      <c r="AA302" s="217">
        <f t="shared" si="778"/>
        <v>3.2109965848542181</v>
      </c>
      <c r="AB302" s="173">
        <f t="shared" si="779"/>
        <v>1.9618617014228859</v>
      </c>
      <c r="AC302" s="173">
        <f t="shared" si="780"/>
        <v>0.73531278203095829</v>
      </c>
      <c r="AD302" s="173"/>
      <c r="AE302" s="173">
        <f t="shared" si="781"/>
        <v>1.3577381833392916</v>
      </c>
      <c r="AF302" s="545">
        <f t="shared" si="782"/>
        <v>854.67124983621716</v>
      </c>
      <c r="AG302" s="528">
        <f t="shared" si="783"/>
        <v>0.3521821987783974</v>
      </c>
      <c r="AI302" s="173">
        <f t="shared" si="784"/>
        <v>3.4725860123558374</v>
      </c>
      <c r="AJ302" s="173">
        <f t="shared" si="785"/>
        <v>3.7554453469914058</v>
      </c>
      <c r="AK302" s="173">
        <f t="shared" si="786"/>
        <v>2.335720833162358</v>
      </c>
      <c r="AM302" s="545">
        <f t="shared" si="787"/>
        <v>860</v>
      </c>
      <c r="AN302" s="460">
        <f t="shared" si="788"/>
        <v>282.35881082395071</v>
      </c>
      <c r="AP302">
        <f t="shared" si="789"/>
        <v>860</v>
      </c>
      <c r="AQ302">
        <f t="shared" si="790"/>
        <v>282.35881082395071</v>
      </c>
      <c r="AS302" s="5">
        <f t="shared" si="763"/>
        <v>3.5415930428446765</v>
      </c>
      <c r="AT302" s="5">
        <f t="shared" si="791"/>
        <v>1.0470828484703292</v>
      </c>
      <c r="AU302" s="5">
        <f t="shared" si="883"/>
        <v>2.4945101943743473</v>
      </c>
      <c r="AV302" s="5"/>
      <c r="AW302" s="173">
        <f t="shared" si="884"/>
        <v>0.29565306792823715</v>
      </c>
      <c r="AX302" s="173">
        <f t="shared" si="792"/>
        <v>19.911053562087556</v>
      </c>
      <c r="AY302" s="173">
        <f t="shared" si="793"/>
        <v>0.88215299230697719</v>
      </c>
      <c r="AZ302" s="173">
        <f t="shared" si="794"/>
        <v>22.570975483534699</v>
      </c>
      <c r="BA302" s="460">
        <f t="shared" si="724"/>
        <v>3.7520468736853463</v>
      </c>
      <c r="BB302" s="5">
        <f t="shared" si="725"/>
        <v>1.1962813433471482</v>
      </c>
      <c r="BD302" s="173">
        <f t="shared" si="841"/>
        <v>1.1789408432949731</v>
      </c>
      <c r="BE302" s="173">
        <f t="shared" si="842"/>
        <v>1.2137240742568451</v>
      </c>
      <c r="BG302" s="528">
        <f t="shared" si="843"/>
        <v>5.5596060479562497E-2</v>
      </c>
      <c r="BH302" s="528">
        <f t="shared" si="795"/>
        <v>1.2462043851713778</v>
      </c>
      <c r="BI302" s="528">
        <f t="shared" si="796"/>
        <v>0.40508087161963668</v>
      </c>
      <c r="BJ302" s="528">
        <f t="shared" si="844"/>
        <v>0.13481161964738034</v>
      </c>
      <c r="BK302">
        <f t="shared" si="845"/>
        <v>1.6139605463072585E-2</v>
      </c>
      <c r="BL302" s="460">
        <f t="shared" si="846"/>
        <v>421.22047708270929</v>
      </c>
      <c r="BM302" s="528">
        <f t="shared" si="797"/>
        <v>1.4710550861549834</v>
      </c>
      <c r="BN302" s="460">
        <f t="shared" si="847"/>
        <v>1471.0550861549834</v>
      </c>
      <c r="BO302" s="528">
        <f t="shared" si="798"/>
        <v>0.60199999999999998</v>
      </c>
      <c r="BR302" s="460">
        <f t="shared" si="848"/>
        <v>602</v>
      </c>
      <c r="BS302" s="528">
        <f t="shared" si="849"/>
        <v>4.1697045359671871E-2</v>
      </c>
      <c r="BT302" s="528">
        <f t="shared" si="850"/>
        <v>4.4193783852919076E-2</v>
      </c>
      <c r="BU302" s="528">
        <f t="shared" si="851"/>
        <v>1.8307413040226868</v>
      </c>
      <c r="BV302" s="528"/>
      <c r="BW302" s="528">
        <f t="shared" si="852"/>
        <v>0.79644214248350231</v>
      </c>
      <c r="BX302" s="460">
        <f t="shared" si="853"/>
        <v>2713.07427571878</v>
      </c>
      <c r="BY302" s="173">
        <f t="shared" si="854"/>
        <v>5.1729068180998095</v>
      </c>
      <c r="BZ302" s="5">
        <f t="shared" si="855"/>
        <v>20.64</v>
      </c>
      <c r="CA302" s="173">
        <f t="shared" si="856"/>
        <v>0.79959998869741367</v>
      </c>
      <c r="CB302" s="5">
        <f t="shared" si="857"/>
        <v>79.959998869741369</v>
      </c>
      <c r="CE302" s="562">
        <f t="shared" si="799"/>
        <v>-50</v>
      </c>
      <c r="CF302">
        <f t="shared" si="800"/>
        <v>-50</v>
      </c>
      <c r="CG302" s="173">
        <f t="shared" si="801"/>
        <v>0.67248951179946936</v>
      </c>
      <c r="CI302" s="170">
        <v>86</v>
      </c>
      <c r="CJ302" s="217">
        <f t="shared" si="858"/>
        <v>0.86</v>
      </c>
      <c r="CK302" s="217"/>
      <c r="CL302" s="217">
        <f t="shared" si="802"/>
        <v>20.64</v>
      </c>
      <c r="CM302" s="541">
        <f t="shared" si="803"/>
        <v>36</v>
      </c>
      <c r="CN302" s="443">
        <f t="shared" si="804"/>
        <v>16.3415</v>
      </c>
      <c r="CO302" s="443">
        <f t="shared" si="805"/>
        <v>52.341499999999996</v>
      </c>
      <c r="CP302" s="443"/>
      <c r="CQ302" s="217">
        <f t="shared" si="806"/>
        <v>0.31220924123305599</v>
      </c>
      <c r="CR302" s="172">
        <f t="shared" si="807"/>
        <v>63.048783011568261</v>
      </c>
      <c r="CS302" s="172">
        <f t="shared" si="808"/>
        <v>20.64</v>
      </c>
      <c r="CT302" s="217">
        <f t="shared" si="809"/>
        <v>2.6270326254820109</v>
      </c>
      <c r="CU302" s="217">
        <f t="shared" si="810"/>
        <v>24</v>
      </c>
      <c r="CV302" s="217"/>
      <c r="CW302" s="172">
        <f t="shared" si="811"/>
        <v>178.7356904001372</v>
      </c>
      <c r="CX302" s="172">
        <f t="shared" si="812"/>
        <v>24</v>
      </c>
      <c r="CY302" s="217">
        <f t="shared" si="813"/>
        <v>3.6727505634937634</v>
      </c>
      <c r="CZ302" s="217">
        <f t="shared" si="814"/>
        <v>1.0202084898593788</v>
      </c>
      <c r="DA302" s="217">
        <f t="shared" si="815"/>
        <v>2.247499044453547</v>
      </c>
      <c r="DB302" s="197">
        <f t="shared" si="816"/>
        <v>350</v>
      </c>
      <c r="DC302" s="443">
        <f t="shared" si="817"/>
        <v>306.02493934949473</v>
      </c>
      <c r="DE302" s="217">
        <f t="shared" si="818"/>
        <v>3.211295052682861</v>
      </c>
      <c r="DF302" s="173">
        <f t="shared" si="819"/>
        <v>1.96511645361984</v>
      </c>
      <c r="DG302" s="173">
        <f t="shared" si="820"/>
        <v>0.73660113681324435</v>
      </c>
      <c r="DH302" s="173"/>
      <c r="DI302" s="173">
        <f t="shared" si="821"/>
        <v>1.3598642855443031</v>
      </c>
      <c r="DJ302" s="545">
        <f t="shared" si="822"/>
        <v>853.33499999999981</v>
      </c>
      <c r="DK302" s="528">
        <f t="shared" si="823"/>
        <v>0.35273368606701955</v>
      </c>
      <c r="DM302" s="173">
        <f t="shared" si="824"/>
        <v>3.4698703145794942</v>
      </c>
      <c r="DN302" s="173">
        <f t="shared" si="825"/>
        <v>3.6727505634937634</v>
      </c>
      <c r="DO302" s="173">
        <f t="shared" si="826"/>
        <v>2.2744654379789191</v>
      </c>
      <c r="DQ302" s="545">
        <f t="shared" si="827"/>
        <v>860</v>
      </c>
      <c r="DR302" s="460">
        <f t="shared" si="828"/>
        <v>306.02493934949473</v>
      </c>
      <c r="DT302">
        <f t="shared" si="829"/>
        <v>860</v>
      </c>
      <c r="DU302">
        <f t="shared" si="830"/>
        <v>306.02493934949473</v>
      </c>
      <c r="DW302" s="5">
        <f t="shared" si="859"/>
        <v>3.2677075343129256</v>
      </c>
      <c r="DX302" s="5">
        <f t="shared" si="831"/>
        <v>1.0202084898593788</v>
      </c>
      <c r="DY302" s="5">
        <f t="shared" si="832"/>
        <v>2.247499044453547</v>
      </c>
      <c r="DZ302" s="5"/>
      <c r="EA302" s="173">
        <f t="shared" si="833"/>
        <v>0.31220924123305599</v>
      </c>
      <c r="EB302" s="173">
        <f t="shared" si="860"/>
        <v>20.64</v>
      </c>
      <c r="EC302" s="173">
        <f t="shared" si="861"/>
        <v>0.84244897959183684</v>
      </c>
      <c r="ED302" s="173">
        <f t="shared" si="862"/>
        <v>24.499999999999996</v>
      </c>
      <c r="EE302" s="460">
        <f t="shared" si="834"/>
        <v>3.6557470886627743</v>
      </c>
      <c r="EF302" s="5">
        <f t="shared" si="835"/>
        <v>1.0738050990166945</v>
      </c>
      <c r="EH302" s="173">
        <f t="shared" si="863"/>
        <v>1.1848235657879638</v>
      </c>
      <c r="EI302" s="173">
        <f t="shared" si="864"/>
        <v>1.1729643391364215</v>
      </c>
      <c r="EK302" s="528">
        <f t="shared" si="865"/>
        <v>5.615227528186021E-2</v>
      </c>
      <c r="EL302" s="528">
        <f t="shared" si="866"/>
        <v>1.6178085</v>
      </c>
      <c r="EM302" s="528">
        <f t="shared" si="867"/>
        <v>6.120498786989894E-2</v>
      </c>
      <c r="EN302" s="528">
        <f t="shared" si="868"/>
        <v>0.14671928373619184</v>
      </c>
      <c r="EO302">
        <f t="shared" si="869"/>
        <v>1.6199999999999999E-2</v>
      </c>
      <c r="EP302" s="460">
        <f t="shared" si="870"/>
        <v>77.404987869898946</v>
      </c>
      <c r="EQ302" s="460"/>
      <c r="ER302" s="460">
        <f t="shared" si="871"/>
        <v>1898.0850468879512</v>
      </c>
      <c r="ES302" s="528">
        <f t="shared" si="872"/>
        <v>0.60199999999999998</v>
      </c>
      <c r="EV302" s="460">
        <f t="shared" si="873"/>
        <v>602</v>
      </c>
      <c r="EW302" s="528">
        <f t="shared" si="874"/>
        <v>4.2114206461395159E-2</v>
      </c>
      <c r="EX302" s="528">
        <f t="shared" si="875"/>
        <v>4.1275360226572258E-2</v>
      </c>
      <c r="EY302" s="528">
        <f t="shared" si="876"/>
        <v>2.1175839702936603</v>
      </c>
      <c r="EZ302" s="528"/>
      <c r="FA302" s="528">
        <f t="shared" si="877"/>
        <v>0.8256</v>
      </c>
      <c r="FB302" s="460">
        <f t="shared" si="878"/>
        <v>3026.573536981628</v>
      </c>
      <c r="FC302" s="173">
        <f t="shared" si="879"/>
        <v>5.5266585838695788</v>
      </c>
      <c r="FD302" s="5">
        <f t="shared" si="880"/>
        <v>20.64</v>
      </c>
      <c r="FE302" s="173">
        <f t="shared" si="881"/>
        <v>0.78879005257184487</v>
      </c>
      <c r="FF302" s="5">
        <f t="shared" si="882"/>
        <v>78.879005257184488</v>
      </c>
      <c r="FI302" s="562">
        <f t="shared" si="836"/>
        <v>-50</v>
      </c>
      <c r="FJ302">
        <f t="shared" si="837"/>
        <v>-50</v>
      </c>
      <c r="FL302">
        <f t="shared" si="838"/>
        <v>0.68779075876694407</v>
      </c>
    </row>
    <row r="303" spans="5:168">
      <c r="E303" s="170">
        <v>87</v>
      </c>
      <c r="F303" s="217">
        <f t="shared" si="839"/>
        <v>0.87</v>
      </c>
      <c r="G303" s="217"/>
      <c r="H303" s="217">
        <f t="shared" si="764"/>
        <v>20.88</v>
      </c>
      <c r="I303" s="541">
        <f t="shared" si="765"/>
        <v>35.86426483445176</v>
      </c>
      <c r="J303" s="172">
        <f t="shared" si="766"/>
        <v>16.36738017802811</v>
      </c>
      <c r="K303" s="172">
        <f t="shared" si="767"/>
        <v>52.231645012479873</v>
      </c>
      <c r="L303" s="443"/>
      <c r="M303" s="217">
        <f t="shared" si="768"/>
        <v>0.31335389452695295</v>
      </c>
      <c r="N303" s="172">
        <f t="shared" si="769"/>
        <v>63.041346849149214</v>
      </c>
      <c r="O303" s="172">
        <f t="shared" si="762"/>
        <v>20.88</v>
      </c>
      <c r="P303" s="217">
        <f t="shared" si="770"/>
        <v>2.6267227853812174</v>
      </c>
      <c r="Q303" s="217">
        <f t="shared" si="771"/>
        <v>24</v>
      </c>
      <c r="R303" s="217"/>
      <c r="S303" s="172">
        <f t="shared" si="772"/>
        <v>175.40162119634482</v>
      </c>
      <c r="T303" s="172">
        <f t="shared" si="773"/>
        <v>24</v>
      </c>
      <c r="U303" s="217">
        <f t="shared" si="774"/>
        <v>3.799185098962615</v>
      </c>
      <c r="V303" s="217">
        <f t="shared" si="775"/>
        <v>1.0593232892126818</v>
      </c>
      <c r="W303" s="217">
        <f t="shared" si="776"/>
        <v>2.3211931644764476</v>
      </c>
      <c r="X303" s="197">
        <f t="shared" si="777"/>
        <v>350</v>
      </c>
      <c r="Y303" s="443">
        <f t="shared" si="840"/>
        <v>279.28931843607796</v>
      </c>
      <c r="AA303" s="217">
        <f t="shared" si="778"/>
        <v>3.2109929702069175</v>
      </c>
      <c r="AB303" s="173">
        <f t="shared" si="779"/>
        <v>1.9618246385682523</v>
      </c>
      <c r="AC303" s="173">
        <f t="shared" si="780"/>
        <v>0.73529806300801637</v>
      </c>
      <c r="AD303" s="173"/>
      <c r="AE303" s="173">
        <f t="shared" si="781"/>
        <v>1.357714061780869</v>
      </c>
      <c r="AF303" s="545">
        <f t="shared" si="782"/>
        <v>864.62464853496294</v>
      </c>
      <c r="AG303" s="528">
        <f t="shared" si="783"/>
        <v>0.35217594191415985</v>
      </c>
      <c r="AI303" s="173">
        <f t="shared" si="784"/>
        <v>3.4927481406029761</v>
      </c>
      <c r="AJ303" s="173">
        <f t="shared" si="785"/>
        <v>3.799185098962615</v>
      </c>
      <c r="AK303" s="173">
        <f t="shared" si="786"/>
        <v>2.3681206494373277</v>
      </c>
      <c r="AM303" s="545">
        <f t="shared" si="787"/>
        <v>870</v>
      </c>
      <c r="AN303" s="460">
        <f t="shared" si="788"/>
        <v>279.28931843607796</v>
      </c>
      <c r="AP303">
        <f t="shared" si="789"/>
        <v>870</v>
      </c>
      <c r="AQ303">
        <f t="shared" si="790"/>
        <v>279.28931843607796</v>
      </c>
      <c r="AS303" s="5">
        <f t="shared" si="763"/>
        <v>3.5805164536891296</v>
      </c>
      <c r="AT303" s="5">
        <f t="shared" si="791"/>
        <v>1.0593232892126818</v>
      </c>
      <c r="AU303" s="5">
        <f t="shared" si="883"/>
        <v>2.5211931644764478</v>
      </c>
      <c r="AV303" s="5"/>
      <c r="AW303" s="173">
        <f t="shared" si="884"/>
        <v>0.29585767944767422</v>
      </c>
      <c r="AX303" s="173">
        <f t="shared" si="792"/>
        <v>20.156041178512002</v>
      </c>
      <c r="AY303" s="173">
        <f t="shared" si="793"/>
        <v>0.89216819843241635</v>
      </c>
      <c r="AZ303" s="173">
        <f t="shared" si="794"/>
        <v>22.592198661560861</v>
      </c>
      <c r="BA303" s="460">
        <f t="shared" si="724"/>
        <v>3.8400469233959713</v>
      </c>
      <c r="BB303" s="5">
        <f t="shared" si="725"/>
        <v>1.2231886325953401</v>
      </c>
      <c r="BD303" s="173">
        <f t="shared" si="841"/>
        <v>1.1930846250714322</v>
      </c>
      <c r="BE303" s="173">
        <f t="shared" si="842"/>
        <v>1.2276819858425849</v>
      </c>
      <c r="BG303" s="528">
        <f t="shared" si="843"/>
        <v>5.6938036903273599E-2</v>
      </c>
      <c r="BH303" s="528">
        <f t="shared" si="795"/>
        <v>1.2469843456461092</v>
      </c>
      <c r="BI303" s="528">
        <f t="shared" si="796"/>
        <v>0.4006602432730012</v>
      </c>
      <c r="BJ303" s="528">
        <f t="shared" si="844"/>
        <v>0.13333979491486261</v>
      </c>
      <c r="BK303">
        <f t="shared" si="845"/>
        <v>1.6138919175503291E-2</v>
      </c>
      <c r="BL303" s="460">
        <f t="shared" si="846"/>
        <v>416.79916244850449</v>
      </c>
      <c r="BM303" s="528">
        <f t="shared" si="797"/>
        <v>1.4725569004234322</v>
      </c>
      <c r="BN303" s="460">
        <f t="shared" si="847"/>
        <v>1472.5569004234321</v>
      </c>
      <c r="BO303" s="528">
        <f t="shared" si="798"/>
        <v>0.60899999999999999</v>
      </c>
      <c r="BR303" s="460">
        <f t="shared" si="848"/>
        <v>609</v>
      </c>
      <c r="BS303" s="528">
        <f t="shared" si="849"/>
        <v>4.2703527677455194E-2</v>
      </c>
      <c r="BT303" s="528">
        <f t="shared" si="850"/>
        <v>4.5216091750871788E-2</v>
      </c>
      <c r="BU303" s="528">
        <f t="shared" si="851"/>
        <v>1.8337154866903256</v>
      </c>
      <c r="BV303" s="528"/>
      <c r="BW303" s="528">
        <f t="shared" si="852"/>
        <v>0.80624164714048019</v>
      </c>
      <c r="BX303" s="460">
        <f t="shared" si="853"/>
        <v>2727.8767532591328</v>
      </c>
      <c r="BY303" s="173">
        <f t="shared" si="854"/>
        <v>5.1909380931718818</v>
      </c>
      <c r="BZ303" s="5">
        <f t="shared" si="855"/>
        <v>20.88</v>
      </c>
      <c r="CA303" s="173">
        <f t="shared" si="856"/>
        <v>0.8008917793974043</v>
      </c>
      <c r="CB303" s="5">
        <f t="shared" si="857"/>
        <v>80.089177939740424</v>
      </c>
      <c r="CE303" s="562">
        <f t="shared" si="799"/>
        <v>-50</v>
      </c>
      <c r="CF303">
        <f t="shared" si="800"/>
        <v>-50</v>
      </c>
      <c r="CG303" s="173">
        <f t="shared" si="801"/>
        <v>0.67266538820139432</v>
      </c>
      <c r="CI303" s="170">
        <v>87</v>
      </c>
      <c r="CJ303" s="217">
        <f t="shared" si="858"/>
        <v>0.87</v>
      </c>
      <c r="CK303" s="217"/>
      <c r="CL303" s="217">
        <f t="shared" si="802"/>
        <v>20.88</v>
      </c>
      <c r="CM303" s="541">
        <f t="shared" si="803"/>
        <v>36</v>
      </c>
      <c r="CN303" s="443">
        <f t="shared" si="804"/>
        <v>16.3415</v>
      </c>
      <c r="CO303" s="443">
        <f t="shared" si="805"/>
        <v>52.341499999999996</v>
      </c>
      <c r="CP303" s="443"/>
      <c r="CQ303" s="217">
        <f t="shared" si="806"/>
        <v>0.31220924123305599</v>
      </c>
      <c r="CR303" s="172">
        <f t="shared" si="807"/>
        <v>63.048783011568261</v>
      </c>
      <c r="CS303" s="172">
        <f t="shared" si="808"/>
        <v>20.88</v>
      </c>
      <c r="CT303" s="217">
        <f t="shared" si="809"/>
        <v>2.6270326254820109</v>
      </c>
      <c r="CU303" s="217">
        <f t="shared" si="810"/>
        <v>24</v>
      </c>
      <c r="CV303" s="217"/>
      <c r="CW303" s="172">
        <f t="shared" si="811"/>
        <v>176.06488584471353</v>
      </c>
      <c r="CX303" s="172">
        <f t="shared" si="812"/>
        <v>24</v>
      </c>
      <c r="CY303" s="217">
        <f t="shared" si="813"/>
        <v>3.7154569653948535</v>
      </c>
      <c r="CZ303" s="217">
        <f t="shared" si="814"/>
        <v>1.0320713792763483</v>
      </c>
      <c r="DA303" s="217">
        <f t="shared" si="815"/>
        <v>2.2736327542727741</v>
      </c>
      <c r="DB303" s="197">
        <f t="shared" si="816"/>
        <v>350</v>
      </c>
      <c r="DC303" s="443">
        <f t="shared" si="817"/>
        <v>302.50741131099477</v>
      </c>
      <c r="DE303" s="217">
        <f t="shared" si="818"/>
        <v>3.211295052682861</v>
      </c>
      <c r="DF303" s="173">
        <f t="shared" si="819"/>
        <v>1.96511645361984</v>
      </c>
      <c r="DG303" s="173">
        <f t="shared" si="820"/>
        <v>0.73660113681324435</v>
      </c>
      <c r="DH303" s="173"/>
      <c r="DI303" s="173">
        <f t="shared" si="821"/>
        <v>1.3598642855443031</v>
      </c>
      <c r="DJ303" s="545">
        <f t="shared" si="822"/>
        <v>863.25749999999982</v>
      </c>
      <c r="DK303" s="528">
        <f t="shared" si="823"/>
        <v>0.35273368606701955</v>
      </c>
      <c r="DM303" s="173">
        <f t="shared" si="824"/>
        <v>3.4899856733230292</v>
      </c>
      <c r="DN303" s="173">
        <f t="shared" si="825"/>
        <v>3.7154569653948535</v>
      </c>
      <c r="DO303" s="173">
        <f t="shared" si="826"/>
        <v>2.3060998097575043</v>
      </c>
      <c r="DQ303" s="545">
        <f t="shared" si="827"/>
        <v>870</v>
      </c>
      <c r="DR303" s="460">
        <f t="shared" si="828"/>
        <v>302.50741131099477</v>
      </c>
      <c r="DT303">
        <f t="shared" si="829"/>
        <v>870</v>
      </c>
      <c r="DU303">
        <f t="shared" si="830"/>
        <v>302.50741131099477</v>
      </c>
      <c r="DW303" s="5">
        <f t="shared" si="859"/>
        <v>3.3057041335491228</v>
      </c>
      <c r="DX303" s="5">
        <f t="shared" si="831"/>
        <v>1.0320713792763483</v>
      </c>
      <c r="DY303" s="5">
        <f t="shared" si="832"/>
        <v>2.2736327542727746</v>
      </c>
      <c r="DZ303" s="5"/>
      <c r="EA303" s="173">
        <f t="shared" si="833"/>
        <v>0.31220924123305593</v>
      </c>
      <c r="EB303" s="173">
        <f t="shared" si="860"/>
        <v>20.88</v>
      </c>
      <c r="EC303" s="173">
        <f t="shared" si="861"/>
        <v>0.85224489795918368</v>
      </c>
      <c r="ED303" s="173">
        <f t="shared" si="862"/>
        <v>24.5</v>
      </c>
      <c r="EE303" s="460">
        <f t="shared" si="834"/>
        <v>3.7412587498767627</v>
      </c>
      <c r="EF303" s="5">
        <f t="shared" si="835"/>
        <v>1.0989224978985075</v>
      </c>
      <c r="EH303" s="173">
        <f t="shared" si="863"/>
        <v>1.1986005839948002</v>
      </c>
      <c r="EI303" s="173">
        <f t="shared" si="864"/>
        <v>1.1866034593589381</v>
      </c>
      <c r="EK303" s="528">
        <f t="shared" si="865"/>
        <v>5.7465734398107038E-2</v>
      </c>
      <c r="EL303" s="528">
        <f t="shared" si="866"/>
        <v>1.6178084999999998</v>
      </c>
      <c r="EM303" s="528">
        <f t="shared" si="867"/>
        <v>6.0501482262198945E-2</v>
      </c>
      <c r="EN303" s="528">
        <f t="shared" si="868"/>
        <v>0.14503285518749995</v>
      </c>
      <c r="EO303">
        <f t="shared" si="869"/>
        <v>1.6199999999999999E-2</v>
      </c>
      <c r="EP303" s="460">
        <f t="shared" si="870"/>
        <v>76.701482262198951</v>
      </c>
      <c r="EQ303" s="460"/>
      <c r="ER303" s="460">
        <f t="shared" si="871"/>
        <v>1897.0085718478058</v>
      </c>
      <c r="ES303" s="528">
        <f t="shared" si="872"/>
        <v>0.60899999999999999</v>
      </c>
      <c r="EV303" s="460">
        <f t="shared" si="873"/>
        <v>609</v>
      </c>
      <c r="EW303" s="528">
        <f t="shared" si="874"/>
        <v>4.3099300798580278E-2</v>
      </c>
      <c r="EX303" s="528">
        <f t="shared" si="875"/>
        <v>4.2240833092877968E-2</v>
      </c>
      <c r="EY303" s="528">
        <f t="shared" si="876"/>
        <v>2.1175839702936572</v>
      </c>
      <c r="EZ303" s="528"/>
      <c r="FA303" s="528">
        <f t="shared" si="877"/>
        <v>0.83520000000000005</v>
      </c>
      <c r="FB303" s="460">
        <f t="shared" si="878"/>
        <v>3038.1241041851154</v>
      </c>
      <c r="FC303" s="173">
        <f t="shared" si="879"/>
        <v>5.5441326760329215</v>
      </c>
      <c r="FD303" s="5">
        <f t="shared" si="880"/>
        <v>20.88</v>
      </c>
      <c r="FE303" s="173">
        <f t="shared" si="881"/>
        <v>0.79018676813330069</v>
      </c>
      <c r="FF303" s="5">
        <f t="shared" si="882"/>
        <v>79.018676813330075</v>
      </c>
      <c r="FI303" s="562">
        <f t="shared" si="836"/>
        <v>-50</v>
      </c>
      <c r="FJ303">
        <f t="shared" si="837"/>
        <v>-50</v>
      </c>
      <c r="FL303">
        <f t="shared" si="838"/>
        <v>0.68779075876694407</v>
      </c>
    </row>
    <row r="304" spans="5:168">
      <c r="E304" s="170">
        <v>88</v>
      </c>
      <c r="F304" s="217">
        <f t="shared" si="839"/>
        <v>0.88</v>
      </c>
      <c r="G304" s="217"/>
      <c r="H304" s="217">
        <f t="shared" si="764"/>
        <v>21.12</v>
      </c>
      <c r="I304" s="541">
        <f t="shared" si="765"/>
        <v>35.86273973282777</v>
      </c>
      <c r="J304" s="172">
        <f t="shared" si="766"/>
        <v>16.367670964143709</v>
      </c>
      <c r="K304" s="172">
        <f t="shared" si="767"/>
        <v>52.230410696971475</v>
      </c>
      <c r="L304" s="443"/>
      <c r="M304" s="217">
        <f t="shared" si="768"/>
        <v>0.31336686916933354</v>
      </c>
      <c r="N304" s="172">
        <f t="shared" si="769"/>
        <v>63.041276223102408</v>
      </c>
      <c r="O304" s="172">
        <f t="shared" si="762"/>
        <v>21.12</v>
      </c>
      <c r="P304" s="217">
        <f t="shared" si="770"/>
        <v>2.6267198426292668</v>
      </c>
      <c r="Q304" s="217">
        <f t="shared" si="771"/>
        <v>24</v>
      </c>
      <c r="R304" s="217"/>
      <c r="S304" s="172">
        <f t="shared" si="772"/>
        <v>172.79409208383049</v>
      </c>
      <c r="T304" s="172">
        <f t="shared" si="773"/>
        <v>24</v>
      </c>
      <c r="U304" s="217">
        <f t="shared" si="774"/>
        <v>3.8429265078980017</v>
      </c>
      <c r="V304" s="217">
        <f t="shared" si="775"/>
        <v>1.0715652335898622</v>
      </c>
      <c r="W304" s="217">
        <f t="shared" si="776"/>
        <v>2.3478761983403844</v>
      </c>
      <c r="X304" s="197">
        <f t="shared" si="777"/>
        <v>350</v>
      </c>
      <c r="Y304" s="443">
        <f t="shared" si="840"/>
        <v>276.28572496798228</v>
      </c>
      <c r="AA304" s="217">
        <f t="shared" si="778"/>
        <v>3.2109893504939255</v>
      </c>
      <c r="AB304" s="173">
        <f t="shared" si="779"/>
        <v>1.9617875735211008</v>
      </c>
      <c r="AC304" s="173">
        <f t="shared" si="780"/>
        <v>0.73528334203459655</v>
      </c>
      <c r="AD304" s="173"/>
      <c r="AE304" s="173">
        <f t="shared" si="781"/>
        <v>1.357689940792673</v>
      </c>
      <c r="AF304" s="545">
        <f t="shared" si="782"/>
        <v>874.57840054285111</v>
      </c>
      <c r="AG304" s="528">
        <f t="shared" si="783"/>
        <v>0.35216968519783282</v>
      </c>
      <c r="AI304" s="173">
        <f t="shared" si="784"/>
        <v>3.5127952572165548</v>
      </c>
      <c r="AJ304" s="173">
        <f t="shared" si="785"/>
        <v>3.8429265078980017</v>
      </c>
      <c r="AK304" s="173">
        <f t="shared" si="786"/>
        <v>2.4005216930931699</v>
      </c>
      <c r="AM304" s="545">
        <f t="shared" si="787"/>
        <v>880</v>
      </c>
      <c r="AN304" s="460">
        <f t="shared" si="788"/>
        <v>276.28572496798228</v>
      </c>
      <c r="AP304">
        <f t="shared" si="789"/>
        <v>880</v>
      </c>
      <c r="AQ304">
        <f t="shared" si="790"/>
        <v>276.28572496798228</v>
      </c>
      <c r="AS304" s="5">
        <f t="shared" si="763"/>
        <v>3.6194414319302464</v>
      </c>
      <c r="AT304" s="5">
        <f t="shared" si="791"/>
        <v>1.0715652335898622</v>
      </c>
      <c r="AU304" s="5">
        <f t="shared" si="883"/>
        <v>2.5478761983403841</v>
      </c>
      <c r="AV304" s="5"/>
      <c r="AW304" s="173">
        <f t="shared" si="884"/>
        <v>0.29605817741286033</v>
      </c>
      <c r="AX304" s="173">
        <f t="shared" si="792"/>
        <v>20.401054172092678</v>
      </c>
      <c r="AY304" s="173">
        <f t="shared" si="793"/>
        <v>0.90218309612772352</v>
      </c>
      <c r="AZ304" s="173">
        <f t="shared" si="794"/>
        <v>22.612986498701222</v>
      </c>
      <c r="BA304" s="460">
        <f t="shared" si="724"/>
        <v>3.9290725231628278</v>
      </c>
      <c r="BB304" s="5">
        <f t="shared" si="725"/>
        <v>1.2503958544400624</v>
      </c>
      <c r="BD304" s="173">
        <f t="shared" si="841"/>
        <v>1.2072298974483671</v>
      </c>
      <c r="BE304" s="173">
        <f t="shared" si="842"/>
        <v>1.2416399275428289</v>
      </c>
      <c r="BG304" s="528">
        <f t="shared" si="843"/>
        <v>5.8296161011727791E-2</v>
      </c>
      <c r="BH304" s="528">
        <f t="shared" si="795"/>
        <v>1.2477468568325027</v>
      </c>
      <c r="BI304" s="528">
        <f t="shared" si="796"/>
        <v>0.39633452185689533</v>
      </c>
      <c r="BJ304" s="528">
        <f t="shared" si="844"/>
        <v>0.13189956910586226</v>
      </c>
      <c r="BK304">
        <f t="shared" si="845"/>
        <v>1.6138232879772497E-2</v>
      </c>
      <c r="BL304" s="460">
        <f t="shared" si="846"/>
        <v>412.47275473666781</v>
      </c>
      <c r="BM304" s="528">
        <f t="shared" si="797"/>
        <v>1.4741005647832666</v>
      </c>
      <c r="BN304" s="460">
        <f t="shared" si="847"/>
        <v>1474.1005647832665</v>
      </c>
      <c r="BO304" s="528">
        <f t="shared" si="798"/>
        <v>0.61599999999999999</v>
      </c>
      <c r="BR304" s="460">
        <f t="shared" si="848"/>
        <v>616</v>
      </c>
      <c r="BS304" s="528">
        <f t="shared" si="849"/>
        <v>4.3722120758795842E-2</v>
      </c>
      <c r="BT304" s="528">
        <f t="shared" si="850"/>
        <v>4.625009129005684E-2</v>
      </c>
      <c r="BU304" s="528">
        <f t="shared" si="851"/>
        <v>1.8366284964819766</v>
      </c>
      <c r="BV304" s="528"/>
      <c r="BW304" s="528">
        <f t="shared" si="852"/>
        <v>0.81604216688370712</v>
      </c>
      <c r="BX304" s="460">
        <f t="shared" si="853"/>
        <v>2742.6428754145363</v>
      </c>
      <c r="BY304" s="173">
        <f t="shared" si="854"/>
        <v>5.2090582171012967</v>
      </c>
      <c r="BZ304" s="5">
        <f t="shared" si="855"/>
        <v>21.12</v>
      </c>
      <c r="CA304" s="173">
        <f t="shared" si="856"/>
        <v>0.80215554334875905</v>
      </c>
      <c r="CB304" s="5">
        <f t="shared" si="857"/>
        <v>80.215554334875904</v>
      </c>
      <c r="CE304" s="562">
        <f t="shared" si="799"/>
        <v>-50</v>
      </c>
      <c r="CF304">
        <f t="shared" si="800"/>
        <v>-50</v>
      </c>
      <c r="CG304" s="173">
        <f t="shared" si="801"/>
        <v>0.67283726741236649</v>
      </c>
      <c r="CI304" s="170">
        <v>88</v>
      </c>
      <c r="CJ304" s="217">
        <f t="shared" si="858"/>
        <v>0.88</v>
      </c>
      <c r="CK304" s="217"/>
      <c r="CL304" s="217">
        <f t="shared" si="802"/>
        <v>21.12</v>
      </c>
      <c r="CM304" s="541">
        <f t="shared" si="803"/>
        <v>36</v>
      </c>
      <c r="CN304" s="443">
        <f t="shared" si="804"/>
        <v>16.3415</v>
      </c>
      <c r="CO304" s="443">
        <f t="shared" si="805"/>
        <v>52.341499999999996</v>
      </c>
      <c r="CP304" s="443"/>
      <c r="CQ304" s="217">
        <f t="shared" si="806"/>
        <v>0.31220924123305599</v>
      </c>
      <c r="CR304" s="172">
        <f t="shared" si="807"/>
        <v>63.048783011568261</v>
      </c>
      <c r="CS304" s="172">
        <f t="shared" si="808"/>
        <v>21.12</v>
      </c>
      <c r="CT304" s="217">
        <f t="shared" si="809"/>
        <v>2.6270326254820109</v>
      </c>
      <c r="CU304" s="217">
        <f t="shared" si="810"/>
        <v>24</v>
      </c>
      <c r="CV304" s="217"/>
      <c r="CW304" s="172">
        <f t="shared" si="811"/>
        <v>173.45484890170255</v>
      </c>
      <c r="CX304" s="172">
        <f t="shared" si="812"/>
        <v>24</v>
      </c>
      <c r="CY304" s="217">
        <f t="shared" si="813"/>
        <v>3.758163367295944</v>
      </c>
      <c r="CZ304" s="217">
        <f t="shared" si="814"/>
        <v>1.043934268693318</v>
      </c>
      <c r="DA304" s="217">
        <f t="shared" si="815"/>
        <v>2.2997664640920017</v>
      </c>
      <c r="DB304" s="197">
        <f t="shared" si="816"/>
        <v>350</v>
      </c>
      <c r="DC304" s="443">
        <f t="shared" si="817"/>
        <v>299.06982709155159</v>
      </c>
      <c r="DE304" s="217">
        <f t="shared" si="818"/>
        <v>3.211295052682861</v>
      </c>
      <c r="DF304" s="173">
        <f t="shared" si="819"/>
        <v>1.96511645361984</v>
      </c>
      <c r="DG304" s="173">
        <f t="shared" si="820"/>
        <v>0.73660113681324435</v>
      </c>
      <c r="DH304" s="173"/>
      <c r="DI304" s="173">
        <f t="shared" si="821"/>
        <v>1.3598642855443031</v>
      </c>
      <c r="DJ304" s="545">
        <f t="shared" si="822"/>
        <v>873.17999999999972</v>
      </c>
      <c r="DK304" s="528">
        <f t="shared" si="823"/>
        <v>0.35273368606701955</v>
      </c>
      <c r="DM304" s="173">
        <f t="shared" si="824"/>
        <v>3.5099857549568485</v>
      </c>
      <c r="DN304" s="173">
        <f t="shared" si="825"/>
        <v>3.758163367295944</v>
      </c>
      <c r="DO304" s="173">
        <f t="shared" si="826"/>
        <v>2.3377341815360899</v>
      </c>
      <c r="DQ304" s="545">
        <f t="shared" si="827"/>
        <v>880</v>
      </c>
      <c r="DR304" s="460">
        <f t="shared" si="828"/>
        <v>299.06982709155159</v>
      </c>
      <c r="DT304">
        <f t="shared" si="829"/>
        <v>880</v>
      </c>
      <c r="DU304">
        <f t="shared" si="830"/>
        <v>299.06982709155159</v>
      </c>
      <c r="DW304" s="5">
        <f t="shared" si="859"/>
        <v>3.3437007327853201</v>
      </c>
      <c r="DX304" s="5">
        <f t="shared" si="831"/>
        <v>1.043934268693318</v>
      </c>
      <c r="DY304" s="5">
        <f t="shared" si="832"/>
        <v>2.2997664640920021</v>
      </c>
      <c r="DZ304" s="5"/>
      <c r="EA304" s="173">
        <f t="shared" si="833"/>
        <v>0.31220924123305593</v>
      </c>
      <c r="EB304" s="173">
        <f t="shared" si="860"/>
        <v>21.119999999999997</v>
      </c>
      <c r="EC304" s="173">
        <f t="shared" si="861"/>
        <v>0.86204081632653073</v>
      </c>
      <c r="ED304" s="173">
        <f t="shared" si="862"/>
        <v>24.499999999999993</v>
      </c>
      <c r="EE304" s="460">
        <f t="shared" si="834"/>
        <v>3.8277589852088325</v>
      </c>
      <c r="EF304" s="5">
        <f t="shared" si="835"/>
        <v>1.1243302713338674</v>
      </c>
      <c r="EH304" s="173">
        <f t="shared" si="863"/>
        <v>1.212377602201637</v>
      </c>
      <c r="EI304" s="173">
        <f t="shared" si="864"/>
        <v>1.2002425795814549</v>
      </c>
      <c r="EK304" s="528">
        <f t="shared" si="865"/>
        <v>5.8794378012807638E-2</v>
      </c>
      <c r="EL304" s="528">
        <f t="shared" si="866"/>
        <v>1.6178084999999995</v>
      </c>
      <c r="EM304" s="528">
        <f t="shared" si="867"/>
        <v>5.9813965418310314E-2</v>
      </c>
      <c r="EN304" s="528">
        <f t="shared" si="868"/>
        <v>0.14338475456036925</v>
      </c>
      <c r="EO304">
        <f t="shared" si="869"/>
        <v>1.6199999999999999E-2</v>
      </c>
      <c r="EP304" s="460">
        <f t="shared" si="870"/>
        <v>76.01396541831032</v>
      </c>
      <c r="EQ304" s="460"/>
      <c r="ER304" s="460">
        <f t="shared" si="871"/>
        <v>1896.0015979914867</v>
      </c>
      <c r="ES304" s="528">
        <f t="shared" si="872"/>
        <v>0.61599999999999999</v>
      </c>
      <c r="EV304" s="460">
        <f t="shared" si="873"/>
        <v>616</v>
      </c>
      <c r="EW304" s="528">
        <f t="shared" si="874"/>
        <v>4.4095783509605725E-2</v>
      </c>
      <c r="EX304" s="528">
        <f t="shared" si="875"/>
        <v>4.3217467495210354E-2</v>
      </c>
      <c r="EY304" s="528">
        <f t="shared" si="876"/>
        <v>2.117583970293655</v>
      </c>
      <c r="EZ304" s="528"/>
      <c r="FA304" s="528">
        <f t="shared" si="877"/>
        <v>0.84479999999999977</v>
      </c>
      <c r="FB304" s="460">
        <f t="shared" si="878"/>
        <v>3049.6972212984706</v>
      </c>
      <c r="FC304" s="173">
        <f t="shared" si="879"/>
        <v>5.5616988192899566</v>
      </c>
      <c r="FD304" s="5">
        <f t="shared" si="880"/>
        <v>21.12</v>
      </c>
      <c r="FE304" s="173">
        <f t="shared" si="881"/>
        <v>0.79155379659450187</v>
      </c>
      <c r="FF304" s="5">
        <f t="shared" si="882"/>
        <v>79.15537965945019</v>
      </c>
      <c r="FI304" s="562">
        <f t="shared" si="836"/>
        <v>-50</v>
      </c>
      <c r="FJ304">
        <f t="shared" si="837"/>
        <v>-50</v>
      </c>
      <c r="FL304">
        <f t="shared" si="838"/>
        <v>0.68779075876694407</v>
      </c>
    </row>
    <row r="305" spans="5:168">
      <c r="E305" s="170">
        <v>89</v>
      </c>
      <c r="F305" s="217">
        <f t="shared" si="839"/>
        <v>0.89</v>
      </c>
      <c r="G305" s="217"/>
      <c r="H305" s="217">
        <f t="shared" si="764"/>
        <v>21.36</v>
      </c>
      <c r="I305" s="541">
        <f t="shared" si="765"/>
        <v>35.861214613691878</v>
      </c>
      <c r="J305" s="172">
        <f t="shared" si="766"/>
        <v>16.367961753598244</v>
      </c>
      <c r="K305" s="172">
        <f t="shared" si="767"/>
        <v>52.229176367290123</v>
      </c>
      <c r="L305" s="443"/>
      <c r="M305" s="217">
        <f t="shared" si="768"/>
        <v>0.31337984452997403</v>
      </c>
      <c r="N305" s="172">
        <f t="shared" si="769"/>
        <v>63.041205488760326</v>
      </c>
      <c r="O305" s="172">
        <f t="shared" si="762"/>
        <v>21.36</v>
      </c>
      <c r="P305" s="217">
        <f t="shared" si="770"/>
        <v>2.6267168953650137</v>
      </c>
      <c r="Q305" s="217">
        <f t="shared" si="771"/>
        <v>24</v>
      </c>
      <c r="R305" s="217"/>
      <c r="S305" s="172">
        <f t="shared" si="772"/>
        <v>170.24527786687017</v>
      </c>
      <c r="T305" s="172">
        <f t="shared" si="773"/>
        <v>24</v>
      </c>
      <c r="U305" s="217">
        <f t="shared" si="774"/>
        <v>3.886669574008617</v>
      </c>
      <c r="V305" s="217">
        <f t="shared" si="775"/>
        <v>1.0838086818522539</v>
      </c>
      <c r="W305" s="217">
        <f t="shared" si="776"/>
        <v>2.3745592960920701</v>
      </c>
      <c r="X305" s="197">
        <f t="shared" si="777"/>
        <v>350</v>
      </c>
      <c r="Y305" s="443">
        <f t="shared" si="840"/>
        <v>273.34593076170285</v>
      </c>
      <c r="AA305" s="217">
        <f t="shared" si="778"/>
        <v>3.2109857257161916</v>
      </c>
      <c r="AB305" s="173">
        <f t="shared" si="779"/>
        <v>1.9617505062964276</v>
      </c>
      <c r="AC305" s="173">
        <f t="shared" si="780"/>
        <v>0.7352686191166059</v>
      </c>
      <c r="AD305" s="173"/>
      <c r="AE305" s="173">
        <f t="shared" si="781"/>
        <v>1.3576658203845702</v>
      </c>
      <c r="AF305" s="545">
        <f t="shared" si="782"/>
        <v>884.53250585974297</v>
      </c>
      <c r="AG305" s="528">
        <f t="shared" si="783"/>
        <v>0.35216342863197547</v>
      </c>
      <c r="AI305" s="173">
        <f t="shared" si="784"/>
        <v>3.5327293201602896</v>
      </c>
      <c r="AJ305" s="173">
        <f t="shared" si="785"/>
        <v>3.886669574008617</v>
      </c>
      <c r="AK305" s="173">
        <f t="shared" si="786"/>
        <v>2.4329239642862186</v>
      </c>
      <c r="AM305" s="545">
        <f t="shared" si="787"/>
        <v>890</v>
      </c>
      <c r="AN305" s="460">
        <f t="shared" si="788"/>
        <v>273.34593076170285</v>
      </c>
      <c r="AP305">
        <f t="shared" si="789"/>
        <v>890</v>
      </c>
      <c r="AQ305">
        <f t="shared" si="790"/>
        <v>273.34593076170285</v>
      </c>
      <c r="AS305" s="5">
        <f t="shared" si="763"/>
        <v>3.6583679779443239</v>
      </c>
      <c r="AT305" s="5">
        <f t="shared" si="791"/>
        <v>1.0838086818522539</v>
      </c>
      <c r="AU305" s="5">
        <f t="shared" si="883"/>
        <v>2.5745592960920698</v>
      </c>
      <c r="AV305" s="5"/>
      <c r="AW305" s="173">
        <f t="shared" si="884"/>
        <v>0.29625469290851864</v>
      </c>
      <c r="AX305" s="173">
        <f t="shared" si="792"/>
        <v>20.64609201233587</v>
      </c>
      <c r="AY305" s="173">
        <f t="shared" si="793"/>
        <v>0.9121976952200912</v>
      </c>
      <c r="AZ305" s="173">
        <f t="shared" si="794"/>
        <v>22.633352529305032</v>
      </c>
      <c r="BA305" s="460">
        <f t="shared" si="724"/>
        <v>4.019123861868775</v>
      </c>
      <c r="BB305" s="5">
        <f t="shared" si="725"/>
        <v>1.2779030482961371</v>
      </c>
      <c r="BD305" s="173">
        <f t="shared" si="841"/>
        <v>1.2213766486848652</v>
      </c>
      <c r="BE305" s="173">
        <f t="shared" si="842"/>
        <v>1.2555979067991581</v>
      </c>
      <c r="BG305" s="528">
        <f t="shared" si="843"/>
        <v>5.9670436718106901E-2</v>
      </c>
      <c r="BH305" s="528">
        <f t="shared" si="795"/>
        <v>1.2484924746328325</v>
      </c>
      <c r="BI305" s="528">
        <f t="shared" si="796"/>
        <v>0.39210068347299148</v>
      </c>
      <c r="BJ305" s="528">
        <f t="shared" si="844"/>
        <v>0.13048993542448595</v>
      </c>
      <c r="BK305">
        <f t="shared" si="845"/>
        <v>1.6137546576161343E-2</v>
      </c>
      <c r="BL305" s="460">
        <f t="shared" si="846"/>
        <v>408.23823004915283</v>
      </c>
      <c r="BM305" s="528">
        <f t="shared" si="797"/>
        <v>1.4756856874090163</v>
      </c>
      <c r="BN305" s="460">
        <f t="shared" si="847"/>
        <v>1475.6856874090163</v>
      </c>
      <c r="BO305" s="528">
        <f t="shared" si="798"/>
        <v>0.623</v>
      </c>
      <c r="BR305" s="460">
        <f t="shared" si="848"/>
        <v>623</v>
      </c>
      <c r="BS305" s="528">
        <f t="shared" si="849"/>
        <v>4.4752827538580175E-2</v>
      </c>
      <c r="BT305" s="528">
        <f t="shared" si="850"/>
        <v>4.7295783106752816E-2</v>
      </c>
      <c r="BU305" s="528">
        <f t="shared" si="851"/>
        <v>1.8394821943330708</v>
      </c>
      <c r="BV305" s="528"/>
      <c r="BW305" s="528">
        <f t="shared" si="852"/>
        <v>0.82584368049343471</v>
      </c>
      <c r="BX305" s="460">
        <f t="shared" si="853"/>
        <v>2757.3744854718389</v>
      </c>
      <c r="BY305" s="173">
        <f t="shared" si="854"/>
        <v>5.2272655622964166</v>
      </c>
      <c r="BZ305" s="5">
        <f t="shared" si="855"/>
        <v>21.36</v>
      </c>
      <c r="CA305" s="173">
        <f t="shared" si="856"/>
        <v>0.80339213334863446</v>
      </c>
      <c r="CB305" s="5">
        <f t="shared" si="857"/>
        <v>80.339213334863445</v>
      </c>
      <c r="CE305" s="562">
        <f t="shared" si="799"/>
        <v>-50</v>
      </c>
      <c r="CF305">
        <f t="shared" si="800"/>
        <v>-50</v>
      </c>
      <c r="CG305" s="173">
        <f t="shared" si="801"/>
        <v>0.6730052841691595</v>
      </c>
      <c r="CI305" s="170">
        <v>89</v>
      </c>
      <c r="CJ305" s="217">
        <f t="shared" si="858"/>
        <v>0.89</v>
      </c>
      <c r="CK305" s="217"/>
      <c r="CL305" s="217">
        <f t="shared" si="802"/>
        <v>21.36</v>
      </c>
      <c r="CM305" s="541">
        <f t="shared" si="803"/>
        <v>36</v>
      </c>
      <c r="CN305" s="443">
        <f t="shared" si="804"/>
        <v>16.3415</v>
      </c>
      <c r="CO305" s="443">
        <f t="shared" si="805"/>
        <v>52.341499999999996</v>
      </c>
      <c r="CP305" s="443"/>
      <c r="CQ305" s="217">
        <f t="shared" si="806"/>
        <v>0.31220924123305599</v>
      </c>
      <c r="CR305" s="172">
        <f t="shared" si="807"/>
        <v>63.048783011568261</v>
      </c>
      <c r="CS305" s="172">
        <f t="shared" si="808"/>
        <v>21.36</v>
      </c>
      <c r="CT305" s="217">
        <f t="shared" si="809"/>
        <v>2.6270326254820109</v>
      </c>
      <c r="CU305" s="217">
        <f t="shared" si="810"/>
        <v>24</v>
      </c>
      <c r="CV305" s="217"/>
      <c r="CW305" s="172">
        <f t="shared" si="811"/>
        <v>170.90353191661134</v>
      </c>
      <c r="CX305" s="172">
        <f t="shared" si="812"/>
        <v>24</v>
      </c>
      <c r="CY305" s="217">
        <f t="shared" si="813"/>
        <v>3.8008697691970341</v>
      </c>
      <c r="CZ305" s="217">
        <f t="shared" si="814"/>
        <v>1.0557971581102872</v>
      </c>
      <c r="DA305" s="217">
        <f t="shared" si="815"/>
        <v>2.3259001739112288</v>
      </c>
      <c r="DB305" s="197">
        <f t="shared" si="816"/>
        <v>350</v>
      </c>
      <c r="DC305" s="443">
        <f t="shared" si="817"/>
        <v>295.70949195569153</v>
      </c>
      <c r="DE305" s="217">
        <f t="shared" si="818"/>
        <v>3.211295052682861</v>
      </c>
      <c r="DF305" s="173">
        <f t="shared" si="819"/>
        <v>1.96511645361984</v>
      </c>
      <c r="DG305" s="173">
        <f t="shared" si="820"/>
        <v>0.73660113681324435</v>
      </c>
      <c r="DH305" s="173"/>
      <c r="DI305" s="173">
        <f t="shared" si="821"/>
        <v>1.3598642855443031</v>
      </c>
      <c r="DJ305" s="545">
        <f t="shared" si="822"/>
        <v>883.10249999999974</v>
      </c>
      <c r="DK305" s="528">
        <f t="shared" si="823"/>
        <v>0.35273368606701955</v>
      </c>
      <c r="DM305" s="173">
        <f t="shared" si="824"/>
        <v>3.5298725189445581</v>
      </c>
      <c r="DN305" s="173">
        <f t="shared" si="825"/>
        <v>3.8008697691970341</v>
      </c>
      <c r="DO305" s="173">
        <f t="shared" si="826"/>
        <v>2.3693685533146756</v>
      </c>
      <c r="DQ305" s="545">
        <f t="shared" si="827"/>
        <v>890</v>
      </c>
      <c r="DR305" s="460">
        <f t="shared" si="828"/>
        <v>295.70949195569153</v>
      </c>
      <c r="DT305">
        <f t="shared" si="829"/>
        <v>890</v>
      </c>
      <c r="DU305">
        <f t="shared" si="830"/>
        <v>295.70949195569153</v>
      </c>
      <c r="DW305" s="5">
        <f t="shared" si="859"/>
        <v>3.381697332021516</v>
      </c>
      <c r="DX305" s="5">
        <f t="shared" si="831"/>
        <v>1.0557971581102872</v>
      </c>
      <c r="DY305" s="5">
        <f t="shared" si="832"/>
        <v>2.3259001739112288</v>
      </c>
      <c r="DZ305" s="5"/>
      <c r="EA305" s="173">
        <f t="shared" si="833"/>
        <v>0.31220924123305593</v>
      </c>
      <c r="EB305" s="173">
        <f t="shared" si="860"/>
        <v>21.36</v>
      </c>
      <c r="EC305" s="173">
        <f t="shared" si="861"/>
        <v>0.87183673469387768</v>
      </c>
      <c r="ED305" s="173">
        <f t="shared" si="862"/>
        <v>24.499999999999996</v>
      </c>
      <c r="EE305" s="460">
        <f t="shared" si="834"/>
        <v>3.9152477946589821</v>
      </c>
      <c r="EF305" s="5">
        <f t="shared" si="835"/>
        <v>1.1500284193227739</v>
      </c>
      <c r="EH305" s="173">
        <f t="shared" si="863"/>
        <v>1.2261546204084739</v>
      </c>
      <c r="EI305" s="173">
        <f t="shared" si="864"/>
        <v>1.2138816998039712</v>
      </c>
      <c r="EK305" s="528">
        <f t="shared" si="865"/>
        <v>6.0138206125961949E-2</v>
      </c>
      <c r="EL305" s="528">
        <f t="shared" si="866"/>
        <v>1.6178084999999998</v>
      </c>
      <c r="EM305" s="528">
        <f t="shared" si="867"/>
        <v>5.9141898391138308E-2</v>
      </c>
      <c r="EN305" s="528">
        <f t="shared" si="868"/>
        <v>0.14177368990238762</v>
      </c>
      <c r="EO305">
        <f t="shared" si="869"/>
        <v>1.6199999999999999E-2</v>
      </c>
      <c r="EP305" s="460">
        <f t="shared" si="870"/>
        <v>75.341898391138301</v>
      </c>
      <c r="EQ305" s="460"/>
      <c r="ER305" s="460">
        <f t="shared" si="871"/>
        <v>1895.0622944194874</v>
      </c>
      <c r="ES305" s="528">
        <f t="shared" si="872"/>
        <v>0.623</v>
      </c>
      <c r="EV305" s="460">
        <f t="shared" si="873"/>
        <v>623</v>
      </c>
      <c r="EW305" s="528">
        <f t="shared" si="874"/>
        <v>4.5103654594471458E-2</v>
      </c>
      <c r="EX305" s="528">
        <f t="shared" si="875"/>
        <v>4.4205263433569349E-2</v>
      </c>
      <c r="EY305" s="528">
        <f t="shared" si="876"/>
        <v>2.1175839702936594</v>
      </c>
      <c r="EZ305" s="528"/>
      <c r="FA305" s="528">
        <f t="shared" si="877"/>
        <v>0.85439999999999994</v>
      </c>
      <c r="FB305" s="460">
        <f t="shared" si="878"/>
        <v>3061.2928883217</v>
      </c>
      <c r="FC305" s="173">
        <f t="shared" si="879"/>
        <v>5.579355182741188</v>
      </c>
      <c r="FD305" s="5">
        <f t="shared" si="880"/>
        <v>21.36</v>
      </c>
      <c r="FE305" s="173">
        <f t="shared" si="881"/>
        <v>0.79289202934168124</v>
      </c>
      <c r="FF305" s="5">
        <f t="shared" si="882"/>
        <v>79.289202934168117</v>
      </c>
      <c r="FI305" s="562">
        <f t="shared" si="836"/>
        <v>-50</v>
      </c>
      <c r="FJ305">
        <f t="shared" si="837"/>
        <v>-50</v>
      </c>
      <c r="FL305">
        <f t="shared" si="838"/>
        <v>0.68779075876694407</v>
      </c>
    </row>
    <row r="306" spans="5:168">
      <c r="E306" s="170">
        <v>90</v>
      </c>
      <c r="F306" s="217">
        <f t="shared" si="839"/>
        <v>0.9</v>
      </c>
      <c r="G306" s="217"/>
      <c r="H306" s="217">
        <f t="shared" si="764"/>
        <v>21.6</v>
      </c>
      <c r="I306" s="541">
        <f t="shared" si="765"/>
        <v>35.859689477640494</v>
      </c>
      <c r="J306" s="172">
        <f t="shared" si="766"/>
        <v>16.368252546278001</v>
      </c>
      <c r="K306" s="172">
        <f t="shared" si="767"/>
        <v>52.227942023918494</v>
      </c>
      <c r="L306" s="443"/>
      <c r="M306" s="217">
        <f t="shared" si="768"/>
        <v>0.31339282060535945</v>
      </c>
      <c r="N306" s="172">
        <f t="shared" si="769"/>
        <v>63.041134646442131</v>
      </c>
      <c r="O306" s="172">
        <f t="shared" si="762"/>
        <v>21.6</v>
      </c>
      <c r="P306" s="217">
        <f t="shared" si="770"/>
        <v>2.6267139436017555</v>
      </c>
      <c r="Q306" s="217">
        <f t="shared" si="771"/>
        <v>24</v>
      </c>
      <c r="R306" s="217"/>
      <c r="S306" s="172">
        <f t="shared" si="772"/>
        <v>167.75322207934516</v>
      </c>
      <c r="T306" s="172">
        <f t="shared" si="773"/>
        <v>24</v>
      </c>
      <c r="U306" s="217">
        <f t="shared" si="774"/>
        <v>3.9304142975055716</v>
      </c>
      <c r="V306" s="217">
        <f t="shared" si="775"/>
        <v>1.0960536342503173</v>
      </c>
      <c r="W306" s="217">
        <f t="shared" si="776"/>
        <v>2.4012424578574296</v>
      </c>
      <c r="X306" s="197">
        <f t="shared" si="777"/>
        <v>350</v>
      </c>
      <c r="Y306" s="443">
        <f t="shared" si="840"/>
        <v>270.46792442038964</v>
      </c>
      <c r="AA306" s="217">
        <f t="shared" si="778"/>
        <v>3.210982095874606</v>
      </c>
      <c r="AB306" s="173">
        <f t="shared" si="779"/>
        <v>1.9617134369085456</v>
      </c>
      <c r="AC306" s="173">
        <f t="shared" si="780"/>
        <v>0.73525389425968124</v>
      </c>
      <c r="AD306" s="173"/>
      <c r="AE306" s="173">
        <f t="shared" si="781"/>
        <v>1.3576417005659758</v>
      </c>
      <c r="AF306" s="545">
        <f t="shared" si="782"/>
        <v>894.48696448550663</v>
      </c>
      <c r="AG306" s="528">
        <f t="shared" si="783"/>
        <v>0.35215717221903009</v>
      </c>
      <c r="AI306" s="173">
        <f t="shared" si="784"/>
        <v>3.5525522325329542</v>
      </c>
      <c r="AJ306" s="173">
        <f t="shared" si="785"/>
        <v>3.9304142975055716</v>
      </c>
      <c r="AK306" s="173">
        <f t="shared" si="786"/>
        <v>2.4653274631728515</v>
      </c>
      <c r="AM306" s="545">
        <f t="shared" si="787"/>
        <v>900</v>
      </c>
      <c r="AN306" s="460">
        <f t="shared" si="788"/>
        <v>270.46792442038964</v>
      </c>
      <c r="AP306">
        <f t="shared" si="789"/>
        <v>900</v>
      </c>
      <c r="AQ306">
        <f t="shared" si="790"/>
        <v>270.46792442038964</v>
      </c>
      <c r="AS306" s="5">
        <f t="shared" si="763"/>
        <v>3.6972960921077469</v>
      </c>
      <c r="AT306" s="5">
        <f t="shared" si="791"/>
        <v>1.0960536342503173</v>
      </c>
      <c r="AU306" s="5">
        <f t="shared" si="883"/>
        <v>2.6012424578574294</v>
      </c>
      <c r="AV306" s="5"/>
      <c r="AW306" s="173">
        <f t="shared" si="884"/>
        <v>0.29644735150910817</v>
      </c>
      <c r="AX306" s="173">
        <f t="shared" si="792"/>
        <v>20.891154191047715</v>
      </c>
      <c r="AY306" s="173">
        <f t="shared" si="793"/>
        <v>0.92221200512361712</v>
      </c>
      <c r="AZ306" s="173">
        <f t="shared" si="794"/>
        <v>22.653309732448538</v>
      </c>
      <c r="BA306" s="460">
        <f t="shared" si="724"/>
        <v>4.1102011284386899</v>
      </c>
      <c r="BB306" s="5">
        <f t="shared" si="725"/>
        <v>1.3057102535879113</v>
      </c>
      <c r="BD306" s="173">
        <f t="shared" si="841"/>
        <v>1.2355248675436576</v>
      </c>
      <c r="BE306" s="173">
        <f t="shared" si="842"/>
        <v>1.2695559307436388</v>
      </c>
      <c r="BG306" s="528">
        <f t="shared" si="843"/>
        <v>6.1060867932750916E-2</v>
      </c>
      <c r="BH306" s="528">
        <f t="shared" si="795"/>
        <v>1.2492217315814804</v>
      </c>
      <c r="BI306" s="528">
        <f t="shared" si="796"/>
        <v>0.38795583133508443</v>
      </c>
      <c r="BJ306" s="528">
        <f t="shared" si="844"/>
        <v>0.12910992939634502</v>
      </c>
      <c r="BK306">
        <f t="shared" si="845"/>
        <v>1.613686026493822E-2</v>
      </c>
      <c r="BL306" s="460">
        <f t="shared" si="846"/>
        <v>404.09269160002265</v>
      </c>
      <c r="BM306" s="528">
        <f t="shared" si="797"/>
        <v>1.4773118961614899</v>
      </c>
      <c r="BN306" s="460">
        <f t="shared" si="847"/>
        <v>1477.31189616149</v>
      </c>
      <c r="BO306" s="528">
        <f t="shared" si="798"/>
        <v>0.63</v>
      </c>
      <c r="BR306" s="460">
        <f t="shared" si="848"/>
        <v>630</v>
      </c>
      <c r="BS306" s="528">
        <f t="shared" si="849"/>
        <v>4.5795650949563185E-2</v>
      </c>
      <c r="BT306" s="528">
        <f t="shared" si="850"/>
        <v>4.8353167838590408E-2</v>
      </c>
      <c r="BU306" s="528">
        <f t="shared" si="851"/>
        <v>1.842278366572488</v>
      </c>
      <c r="BV306" s="528"/>
      <c r="BW306" s="528">
        <f t="shared" si="852"/>
        <v>0.83564616764190858</v>
      </c>
      <c r="BX306" s="460">
        <f t="shared" si="853"/>
        <v>2772.07335300255</v>
      </c>
      <c r="BY306" s="173">
        <f t="shared" si="854"/>
        <v>5.2455585735131489</v>
      </c>
      <c r="BZ306" s="5">
        <f t="shared" si="855"/>
        <v>21.6</v>
      </c>
      <c r="CA306" s="173">
        <f t="shared" si="856"/>
        <v>0.8046023680547062</v>
      </c>
      <c r="CB306" s="5">
        <f t="shared" si="857"/>
        <v>80.460236805470615</v>
      </c>
      <c r="CE306" s="562">
        <f t="shared" si="799"/>
        <v>-50</v>
      </c>
      <c r="CF306">
        <f t="shared" si="800"/>
        <v>-50</v>
      </c>
      <c r="CG306" s="173">
        <f t="shared" si="801"/>
        <v>0.6731695672202459</v>
      </c>
      <c r="CI306" s="170">
        <v>90</v>
      </c>
      <c r="CJ306" s="217">
        <f t="shared" si="858"/>
        <v>0.9</v>
      </c>
      <c r="CK306" s="217"/>
      <c r="CL306" s="217">
        <f t="shared" si="802"/>
        <v>21.6</v>
      </c>
      <c r="CM306" s="541">
        <f t="shared" si="803"/>
        <v>36</v>
      </c>
      <c r="CN306" s="443">
        <f t="shared" si="804"/>
        <v>16.3415</v>
      </c>
      <c r="CO306" s="443">
        <f t="shared" si="805"/>
        <v>52.341499999999996</v>
      </c>
      <c r="CP306" s="443"/>
      <c r="CQ306" s="217">
        <f t="shared" si="806"/>
        <v>0.31220924123305599</v>
      </c>
      <c r="CR306" s="172">
        <f t="shared" si="807"/>
        <v>63.048783011568261</v>
      </c>
      <c r="CS306" s="172">
        <f t="shared" si="808"/>
        <v>21.6</v>
      </c>
      <c r="CT306" s="217">
        <f t="shared" si="809"/>
        <v>2.6270326254820109</v>
      </c>
      <c r="CU306" s="217">
        <f t="shared" si="810"/>
        <v>24</v>
      </c>
      <c r="CV306" s="217"/>
      <c r="CW306" s="172">
        <f t="shared" si="811"/>
        <v>168.40897825114607</v>
      </c>
      <c r="CX306" s="172">
        <f t="shared" si="812"/>
        <v>24</v>
      </c>
      <c r="CY306" s="217">
        <f t="shared" si="813"/>
        <v>3.8435761710981247</v>
      </c>
      <c r="CZ306" s="217">
        <f t="shared" si="814"/>
        <v>1.0676600475272571</v>
      </c>
      <c r="DA306" s="217">
        <f t="shared" si="815"/>
        <v>2.352033883730456</v>
      </c>
      <c r="DB306" s="197">
        <f t="shared" si="816"/>
        <v>350</v>
      </c>
      <c r="DC306" s="443">
        <f t="shared" si="817"/>
        <v>292.4238309339616</v>
      </c>
      <c r="DE306" s="217">
        <f t="shared" si="818"/>
        <v>3.211295052682861</v>
      </c>
      <c r="DF306" s="173">
        <f t="shared" si="819"/>
        <v>1.96511645361984</v>
      </c>
      <c r="DG306" s="173">
        <f t="shared" si="820"/>
        <v>0.73660113681324435</v>
      </c>
      <c r="DH306" s="173"/>
      <c r="DI306" s="173">
        <f t="shared" si="821"/>
        <v>1.3598642855443031</v>
      </c>
      <c r="DJ306" s="545">
        <f t="shared" si="822"/>
        <v>893.02499999999975</v>
      </c>
      <c r="DK306" s="528">
        <f t="shared" si="823"/>
        <v>0.35273368606701955</v>
      </c>
      <c r="DM306" s="173">
        <f t="shared" si="824"/>
        <v>3.5496478698597693</v>
      </c>
      <c r="DN306" s="173">
        <f t="shared" si="825"/>
        <v>3.8435761710981247</v>
      </c>
      <c r="DO306" s="173">
        <f t="shared" si="826"/>
        <v>2.4010029250932607</v>
      </c>
      <c r="DQ306" s="545">
        <f t="shared" si="827"/>
        <v>900</v>
      </c>
      <c r="DR306" s="460">
        <f t="shared" si="828"/>
        <v>292.4238309339616</v>
      </c>
      <c r="DT306">
        <f t="shared" si="829"/>
        <v>900</v>
      </c>
      <c r="DU306">
        <f t="shared" si="830"/>
        <v>292.4238309339616</v>
      </c>
      <c r="DW306" s="5">
        <f t="shared" si="859"/>
        <v>3.4196939312577128</v>
      </c>
      <c r="DX306" s="5">
        <f t="shared" si="831"/>
        <v>1.0676600475272571</v>
      </c>
      <c r="DY306" s="5">
        <f t="shared" si="832"/>
        <v>2.3520338837304555</v>
      </c>
      <c r="DZ306" s="5"/>
      <c r="EA306" s="173">
        <f t="shared" si="833"/>
        <v>0.31220924123305605</v>
      </c>
      <c r="EB306" s="173">
        <f t="shared" si="860"/>
        <v>21.6</v>
      </c>
      <c r="EC306" s="173">
        <f t="shared" si="861"/>
        <v>0.88163265306122462</v>
      </c>
      <c r="ED306" s="173">
        <f t="shared" si="862"/>
        <v>24.499999999999996</v>
      </c>
      <c r="EE306" s="460">
        <f t="shared" si="834"/>
        <v>4.0037251782272136</v>
      </c>
      <c r="EF306" s="5">
        <f t="shared" si="835"/>
        <v>1.1760169418652278</v>
      </c>
      <c r="EH306" s="173">
        <f t="shared" si="863"/>
        <v>1.2399316386153112</v>
      </c>
      <c r="EI306" s="173">
        <f t="shared" si="864"/>
        <v>1.227520820026488</v>
      </c>
      <c r="EK306" s="528">
        <f t="shared" si="865"/>
        <v>6.1497218737570025E-2</v>
      </c>
      <c r="EL306" s="528">
        <f t="shared" si="866"/>
        <v>1.6178084999999998</v>
      </c>
      <c r="EM306" s="528">
        <f t="shared" si="867"/>
        <v>5.8484766186792318E-2</v>
      </c>
      <c r="EN306" s="528">
        <f t="shared" si="868"/>
        <v>0.14019842668124996</v>
      </c>
      <c r="EO306">
        <f t="shared" si="869"/>
        <v>1.6199999999999999E-2</v>
      </c>
      <c r="EP306" s="460">
        <f t="shared" si="870"/>
        <v>74.684766186792316</v>
      </c>
      <c r="EQ306" s="460"/>
      <c r="ER306" s="460">
        <f t="shared" si="871"/>
        <v>1894.1889116056118</v>
      </c>
      <c r="ES306" s="528">
        <f t="shared" si="872"/>
        <v>0.63</v>
      </c>
      <c r="EV306" s="460">
        <f t="shared" si="873"/>
        <v>630</v>
      </c>
      <c r="EW306" s="528">
        <f t="shared" si="874"/>
        <v>4.6122914053177519E-2</v>
      </c>
      <c r="EX306" s="528">
        <f t="shared" si="875"/>
        <v>4.5204220907955048E-2</v>
      </c>
      <c r="EY306" s="528">
        <f t="shared" si="876"/>
        <v>2.1175839702936572</v>
      </c>
      <c r="EZ306" s="528"/>
      <c r="FA306" s="528">
        <f t="shared" si="877"/>
        <v>0.86399999999999999</v>
      </c>
      <c r="FB306" s="460">
        <f t="shared" si="878"/>
        <v>3072.9111052547896</v>
      </c>
      <c r="FC306" s="173">
        <f t="shared" si="879"/>
        <v>5.5971000168604013</v>
      </c>
      <c r="FD306" s="5">
        <f t="shared" si="880"/>
        <v>21.6</v>
      </c>
      <c r="FE306" s="173">
        <f t="shared" si="881"/>
        <v>0.79420232254944201</v>
      </c>
      <c r="FF306" s="5">
        <f t="shared" si="882"/>
        <v>79.420232254944196</v>
      </c>
      <c r="FI306" s="562">
        <f t="shared" si="836"/>
        <v>-50</v>
      </c>
      <c r="FJ306">
        <f t="shared" si="837"/>
        <v>-50</v>
      </c>
      <c r="FL306">
        <f t="shared" si="838"/>
        <v>0.68779075876694395</v>
      </c>
    </row>
    <row r="307" spans="5:168">
      <c r="E307" s="170">
        <v>91</v>
      </c>
      <c r="F307" s="217">
        <f t="shared" si="839"/>
        <v>0.91</v>
      </c>
      <c r="G307" s="217"/>
      <c r="H307" s="217">
        <f t="shared" si="764"/>
        <v>21.84</v>
      </c>
      <c r="I307" s="541">
        <f t="shared" si="765"/>
        <v>35.858164325243258</v>
      </c>
      <c r="J307" s="172">
        <f t="shared" si="766"/>
        <v>16.368543342074368</v>
      </c>
      <c r="K307" s="172">
        <f t="shared" si="767"/>
        <v>52.226707667317626</v>
      </c>
      <c r="L307" s="443"/>
      <c r="M307" s="217">
        <f t="shared" si="768"/>
        <v>0.31340579739213476</v>
      </c>
      <c r="N307" s="172">
        <f t="shared" si="769"/>
        <v>63.04106369645239</v>
      </c>
      <c r="O307" s="172">
        <f t="shared" si="762"/>
        <v>21.84</v>
      </c>
      <c r="P307" s="217">
        <f t="shared" si="770"/>
        <v>2.6267109873521828</v>
      </c>
      <c r="Q307" s="217">
        <f t="shared" si="771"/>
        <v>24</v>
      </c>
      <c r="R307" s="217"/>
      <c r="S307" s="172">
        <f t="shared" si="772"/>
        <v>165.31605426286183</v>
      </c>
      <c r="T307" s="172">
        <f t="shared" si="773"/>
        <v>24</v>
      </c>
      <c r="U307" s="217">
        <f t="shared" si="774"/>
        <v>3.9741606786000294</v>
      </c>
      <c r="V307" s="217">
        <f t="shared" si="775"/>
        <v>1.1083000910345875</v>
      </c>
      <c r="W307" s="217">
        <f t="shared" si="776"/>
        <v>2.4279256837623944</v>
      </c>
      <c r="X307" s="197">
        <f t="shared" si="777"/>
        <v>350</v>
      </c>
      <c r="Y307" s="443">
        <f t="shared" si="840"/>
        <v>267.64977821885981</v>
      </c>
      <c r="AA307" s="217">
        <f t="shared" si="778"/>
        <v>3.2109784609700074</v>
      </c>
      <c r="AB307" s="173">
        <f t="shared" si="779"/>
        <v>1.9616763653711189</v>
      </c>
      <c r="AC307" s="173">
        <f t="shared" si="780"/>
        <v>0.73523916746920426</v>
      </c>
      <c r="AD307" s="173"/>
      <c r="AE307" s="173">
        <f t="shared" si="781"/>
        <v>1.3576175813458808</v>
      </c>
      <c r="AF307" s="545">
        <f t="shared" si="782"/>
        <v>904.44177642001591</v>
      </c>
      <c r="AG307" s="528">
        <f t="shared" si="783"/>
        <v>0.35215091596132886</v>
      </c>
      <c r="AI307" s="173">
        <f t="shared" si="784"/>
        <v>3.5722658446965299</v>
      </c>
      <c r="AJ307" s="173">
        <f t="shared" si="785"/>
        <v>3.9741606786000294</v>
      </c>
      <c r="AK307" s="173">
        <f t="shared" si="786"/>
        <v>2.4977321899094864</v>
      </c>
      <c r="AM307" s="545">
        <f t="shared" si="787"/>
        <v>910</v>
      </c>
      <c r="AN307" s="460">
        <f t="shared" si="788"/>
        <v>267.64977821885981</v>
      </c>
      <c r="AP307">
        <f t="shared" si="789"/>
        <v>910</v>
      </c>
      <c r="AQ307">
        <f t="shared" si="790"/>
        <v>267.64977821885981</v>
      </c>
      <c r="AS307" s="5">
        <f t="shared" si="763"/>
        <v>3.7362257747969823</v>
      </c>
      <c r="AT307" s="5">
        <f t="shared" si="791"/>
        <v>1.1083000910345875</v>
      </c>
      <c r="AU307" s="5">
        <f t="shared" si="883"/>
        <v>2.6279256837623945</v>
      </c>
      <c r="AV307" s="5"/>
      <c r="AW307" s="173">
        <f t="shared" si="884"/>
        <v>0.2966362735653495</v>
      </c>
      <c r="AX307" s="173">
        <f t="shared" si="792"/>
        <v>21.136240221174607</v>
      </c>
      <c r="AY307" s="173">
        <f t="shared" si="793"/>
        <v>0.93222603486078381</v>
      </c>
      <c r="AZ307" s="173">
        <f t="shared" si="794"/>
        <v>22.672870560122295</v>
      </c>
      <c r="BA307" s="460">
        <f t="shared" si="724"/>
        <v>4.2023045118394773</v>
      </c>
      <c r="BB307" s="5">
        <f t="shared" si="725"/>
        <v>1.3338175097492559</v>
      </c>
      <c r="BD307" s="173">
        <f t="shared" si="841"/>
        <v>1.2496745432646781</v>
      </c>
      <c r="BE307" s="173">
        <f t="shared" si="842"/>
        <v>1.2835140062148138</v>
      </c>
      <c r="BG307" s="528">
        <f t="shared" si="843"/>
        <v>6.2467458563351272E-2</v>
      </c>
      <c r="BH307" s="528">
        <f t="shared" si="795"/>
        <v>1.2499351380600352</v>
      </c>
      <c r="BI307" s="528">
        <f t="shared" si="796"/>
        <v>0.38389718915947157</v>
      </c>
      <c r="BJ307" s="528">
        <f t="shared" si="844"/>
        <v>0.12775862666790838</v>
      </c>
      <c r="BK307">
        <f t="shared" si="845"/>
        <v>1.6136173946359467E-2</v>
      </c>
      <c r="BL307" s="460">
        <f t="shared" si="846"/>
        <v>400.03336310583103</v>
      </c>
      <c r="BM307" s="528">
        <f t="shared" si="797"/>
        <v>1.4789788376062067</v>
      </c>
      <c r="BN307" s="460">
        <f t="shared" si="847"/>
        <v>1478.9788376062068</v>
      </c>
      <c r="BO307" s="528">
        <f t="shared" si="798"/>
        <v>0.63700000000000001</v>
      </c>
      <c r="BR307" s="460">
        <f t="shared" si="848"/>
        <v>637</v>
      </c>
      <c r="BS307" s="528">
        <f t="shared" si="849"/>
        <v>4.685059392251345E-2</v>
      </c>
      <c r="BT307" s="528">
        <f t="shared" si="850"/>
        <v>4.9422246124488034E-2</v>
      </c>
      <c r="BU307" s="528">
        <f t="shared" si="851"/>
        <v>1.8450187286175384</v>
      </c>
      <c r="BV307" s="528"/>
      <c r="BW307" s="528">
        <f t="shared" si="852"/>
        <v>0.84544960884698439</v>
      </c>
      <c r="BX307" s="460">
        <f t="shared" si="853"/>
        <v>2786.7411775115243</v>
      </c>
      <c r="BY307" s="173">
        <f t="shared" si="854"/>
        <v>5.263935763908651</v>
      </c>
      <c r="BZ307" s="5">
        <f t="shared" si="855"/>
        <v>21.84</v>
      </c>
      <c r="CA307" s="173">
        <f t="shared" si="856"/>
        <v>0.80578703367065752</v>
      </c>
      <c r="CB307" s="5">
        <f t="shared" si="857"/>
        <v>80.578703367065756</v>
      </c>
      <c r="CE307" s="562">
        <f t="shared" si="799"/>
        <v>-50</v>
      </c>
      <c r="CF307">
        <f t="shared" si="800"/>
        <v>-50</v>
      </c>
      <c r="CG307" s="173">
        <f t="shared" si="801"/>
        <v>0.67333023965482508</v>
      </c>
      <c r="CI307" s="170">
        <v>91</v>
      </c>
      <c r="CJ307" s="217">
        <f t="shared" si="858"/>
        <v>0.91</v>
      </c>
      <c r="CK307" s="217"/>
      <c r="CL307" s="217">
        <f t="shared" si="802"/>
        <v>21.84</v>
      </c>
      <c r="CM307" s="541">
        <f t="shared" si="803"/>
        <v>36</v>
      </c>
      <c r="CN307" s="443">
        <f t="shared" si="804"/>
        <v>16.3415</v>
      </c>
      <c r="CO307" s="443">
        <f t="shared" si="805"/>
        <v>52.341499999999996</v>
      </c>
      <c r="CP307" s="443"/>
      <c r="CQ307" s="217">
        <f t="shared" si="806"/>
        <v>0.31220924123305599</v>
      </c>
      <c r="CR307" s="172">
        <f t="shared" si="807"/>
        <v>63.048783011568261</v>
      </c>
      <c r="CS307" s="172">
        <f t="shared" si="808"/>
        <v>21.84</v>
      </c>
      <c r="CT307" s="217">
        <f t="shared" si="809"/>
        <v>2.6270326254820109</v>
      </c>
      <c r="CU307" s="217">
        <f t="shared" si="810"/>
        <v>24</v>
      </c>
      <c r="CV307" s="217"/>
      <c r="CW307" s="172">
        <f t="shared" si="811"/>
        <v>165.96931728247696</v>
      </c>
      <c r="CX307" s="172">
        <f t="shared" si="812"/>
        <v>24</v>
      </c>
      <c r="CY307" s="217">
        <f t="shared" si="813"/>
        <v>3.8862825729992148</v>
      </c>
      <c r="CZ307" s="217">
        <f t="shared" si="814"/>
        <v>1.0795229369442263</v>
      </c>
      <c r="DA307" s="217">
        <f t="shared" si="815"/>
        <v>2.3781675935496835</v>
      </c>
      <c r="DB307" s="197">
        <f t="shared" si="816"/>
        <v>350</v>
      </c>
      <c r="DC307" s="443">
        <f t="shared" si="817"/>
        <v>289.21038224237958</v>
      </c>
      <c r="DE307" s="217">
        <f t="shared" si="818"/>
        <v>3.211295052682861</v>
      </c>
      <c r="DF307" s="173">
        <f t="shared" si="819"/>
        <v>1.96511645361984</v>
      </c>
      <c r="DG307" s="173">
        <f t="shared" si="820"/>
        <v>0.73660113681324435</v>
      </c>
      <c r="DH307" s="173"/>
      <c r="DI307" s="173">
        <f t="shared" si="821"/>
        <v>1.3598642855443031</v>
      </c>
      <c r="DJ307" s="545">
        <f t="shared" si="822"/>
        <v>902.94749999999976</v>
      </c>
      <c r="DK307" s="528">
        <f t="shared" si="823"/>
        <v>0.35273368606701955</v>
      </c>
      <c r="DM307" s="173">
        <f t="shared" si="824"/>
        <v>3.5693136595149491</v>
      </c>
      <c r="DN307" s="173">
        <f t="shared" si="825"/>
        <v>3.8862825729992148</v>
      </c>
      <c r="DO307" s="173">
        <f t="shared" si="826"/>
        <v>2.4326372968718459</v>
      </c>
      <c r="DQ307" s="545">
        <f t="shared" si="827"/>
        <v>910</v>
      </c>
      <c r="DR307" s="460">
        <f t="shared" si="828"/>
        <v>289.21038224237958</v>
      </c>
      <c r="DT307">
        <f t="shared" si="829"/>
        <v>910</v>
      </c>
      <c r="DU307">
        <f t="shared" si="830"/>
        <v>289.21038224237958</v>
      </c>
      <c r="DW307" s="5">
        <f t="shared" si="859"/>
        <v>3.4576905304939105</v>
      </c>
      <c r="DX307" s="5">
        <f t="shared" si="831"/>
        <v>1.0795229369442263</v>
      </c>
      <c r="DY307" s="5">
        <f t="shared" si="832"/>
        <v>2.3781675935496844</v>
      </c>
      <c r="DZ307" s="5"/>
      <c r="EA307" s="173">
        <f t="shared" si="833"/>
        <v>0.31220924123305588</v>
      </c>
      <c r="EB307" s="173">
        <f t="shared" si="860"/>
        <v>21.84</v>
      </c>
      <c r="EC307" s="173">
        <f t="shared" si="861"/>
        <v>0.89142857142857168</v>
      </c>
      <c r="ED307" s="173">
        <f t="shared" si="862"/>
        <v>24.499999999999993</v>
      </c>
      <c r="EE307" s="460">
        <f t="shared" si="834"/>
        <v>4.0931911359135249</v>
      </c>
      <c r="EF307" s="5">
        <f t="shared" si="835"/>
        <v>1.2022958389612293</v>
      </c>
      <c r="EH307" s="173">
        <f t="shared" si="863"/>
        <v>1.2537086568221474</v>
      </c>
      <c r="EI307" s="173">
        <f t="shared" si="864"/>
        <v>1.2411599402490043</v>
      </c>
      <c r="EK307" s="528">
        <f t="shared" si="865"/>
        <v>6.2871415847631715E-2</v>
      </c>
      <c r="EL307" s="528">
        <f t="shared" si="866"/>
        <v>1.6178084999999995</v>
      </c>
      <c r="EM307" s="528">
        <f t="shared" si="867"/>
        <v>5.7842076448475915E-2</v>
      </c>
      <c r="EN307" s="528">
        <f t="shared" si="868"/>
        <v>0.13865778462980766</v>
      </c>
      <c r="EO307">
        <f t="shared" si="869"/>
        <v>1.6199999999999999E-2</v>
      </c>
      <c r="EP307" s="460">
        <f t="shared" si="870"/>
        <v>74.04207644847591</v>
      </c>
      <c r="EQ307" s="460"/>
      <c r="ER307" s="460">
        <f t="shared" si="871"/>
        <v>1893.3797769259149</v>
      </c>
      <c r="ES307" s="528">
        <f t="shared" si="872"/>
        <v>0.63700000000000001</v>
      </c>
      <c r="EV307" s="460">
        <f t="shared" si="873"/>
        <v>637</v>
      </c>
      <c r="EW307" s="528">
        <f t="shared" si="874"/>
        <v>4.7153561885723783E-2</v>
      </c>
      <c r="EX307" s="528">
        <f t="shared" si="875"/>
        <v>4.6214339918367361E-2</v>
      </c>
      <c r="EY307" s="528">
        <f t="shared" si="876"/>
        <v>2.1175839702936594</v>
      </c>
      <c r="EZ307" s="528"/>
      <c r="FA307" s="528">
        <f t="shared" si="877"/>
        <v>0.87359999999999993</v>
      </c>
      <c r="FB307" s="460">
        <f t="shared" si="878"/>
        <v>3084.5518720977507</v>
      </c>
      <c r="FC307" s="173">
        <f t="shared" si="879"/>
        <v>5.6149316490236654</v>
      </c>
      <c r="FD307" s="5">
        <f t="shared" si="880"/>
        <v>21.84</v>
      </c>
      <c r="FE307" s="173">
        <f t="shared" si="881"/>
        <v>0.79548549889675868</v>
      </c>
      <c r="FF307" s="5">
        <f t="shared" si="882"/>
        <v>79.548549889675868</v>
      </c>
      <c r="FI307" s="562">
        <f t="shared" si="836"/>
        <v>-50</v>
      </c>
      <c r="FJ307">
        <f t="shared" si="837"/>
        <v>-50</v>
      </c>
      <c r="FL307">
        <f t="shared" si="838"/>
        <v>0.68779075876694407</v>
      </c>
    </row>
    <row r="308" spans="5:168">
      <c r="E308" s="170">
        <v>92</v>
      </c>
      <c r="F308" s="217">
        <f t="shared" si="839"/>
        <v>0.92</v>
      </c>
      <c r="G308" s="217"/>
      <c r="H308" s="217">
        <f t="shared" si="764"/>
        <v>22.080000000000002</v>
      </c>
      <c r="I308" s="541">
        <f t="shared" si="765"/>
        <v>35.856639157044491</v>
      </c>
      <c r="J308" s="172">
        <f t="shared" si="766"/>
        <v>16.368834140883557</v>
      </c>
      <c r="K308" s="172">
        <f t="shared" si="767"/>
        <v>52.225473297928048</v>
      </c>
      <c r="L308" s="443"/>
      <c r="M308" s="217">
        <f t="shared" si="768"/>
        <v>0.31341877488709591</v>
      </c>
      <c r="N308" s="172">
        <f t="shared" si="769"/>
        <v>63.0409926390818</v>
      </c>
      <c r="O308" s="172">
        <f t="shared" si="762"/>
        <v>22.080000000000002</v>
      </c>
      <c r="P308" s="217">
        <f t="shared" si="770"/>
        <v>2.6267080266284082</v>
      </c>
      <c r="Q308" s="217">
        <f t="shared" si="771"/>
        <v>24</v>
      </c>
      <c r="R308" s="217"/>
      <c r="S308" s="172">
        <f t="shared" si="772"/>
        <v>162.93198529258373</v>
      </c>
      <c r="T308" s="172">
        <f t="shared" si="773"/>
        <v>24</v>
      </c>
      <c r="U308" s="217">
        <f t="shared" si="774"/>
        <v>4.0179087175032118</v>
      </c>
      <c r="V308" s="217">
        <f t="shared" si="775"/>
        <v>1.1205480524556757</v>
      </c>
      <c r="W308" s="217">
        <f t="shared" si="776"/>
        <v>2.4546089739329067</v>
      </c>
      <c r="X308" s="197">
        <f t="shared" si="777"/>
        <v>350</v>
      </c>
      <c r="Y308" s="443">
        <f t="shared" si="840"/>
        <v>264.88964379757925</v>
      </c>
      <c r="AA308" s="217">
        <f t="shared" si="778"/>
        <v>3.2109748210031741</v>
      </c>
      <c r="AB308" s="173">
        <f t="shared" si="779"/>
        <v>1.9616392916971988</v>
      </c>
      <c r="AC308" s="173">
        <f t="shared" si="780"/>
        <v>0.73522443875031318</v>
      </c>
      <c r="AD308" s="173"/>
      <c r="AE308" s="173">
        <f t="shared" si="781"/>
        <v>1.3575934627328758</v>
      </c>
      <c r="AF308" s="545">
        <f t="shared" si="782"/>
        <v>914.39694166315007</v>
      </c>
      <c r="AG308" s="528">
        <f t="shared" si="783"/>
        <v>0.35214465986109988</v>
      </c>
      <c r="AI308" s="173">
        <f t="shared" si="784"/>
        <v>3.5918719562994021</v>
      </c>
      <c r="AJ308" s="173">
        <f t="shared" si="785"/>
        <v>4.0179087175032118</v>
      </c>
      <c r="AK308" s="173">
        <f t="shared" si="786"/>
        <v>2.530138144652585</v>
      </c>
      <c r="AM308" s="545">
        <f t="shared" si="787"/>
        <v>920</v>
      </c>
      <c r="AN308" s="460">
        <f t="shared" si="788"/>
        <v>264.88964379757925</v>
      </c>
      <c r="AP308">
        <f t="shared" si="789"/>
        <v>920</v>
      </c>
      <c r="AQ308">
        <f t="shared" si="790"/>
        <v>264.88964379757925</v>
      </c>
      <c r="AS308" s="5">
        <f t="shared" si="763"/>
        <v>3.7751570263885821</v>
      </c>
      <c r="AT308" s="5">
        <f t="shared" si="791"/>
        <v>1.1205480524556757</v>
      </c>
      <c r="AU308" s="5">
        <f t="shared" si="883"/>
        <v>2.6546089739329064</v>
      </c>
      <c r="AV308" s="5"/>
      <c r="AW308" s="173">
        <f t="shared" si="884"/>
        <v>0.29682157447305507</v>
      </c>
      <c r="AX308" s="173">
        <f t="shared" si="792"/>
        <v>21.381349635715289</v>
      </c>
      <c r="AY308" s="173">
        <f t="shared" si="793"/>
        <v>0.94223979308261241</v>
      </c>
      <c r="AZ308" s="173">
        <f t="shared" si="794"/>
        <v>22.692046963718759</v>
      </c>
      <c r="BA308" s="460">
        <f t="shared" si="724"/>
        <v>4.2954342010800897</v>
      </c>
      <c r="BB308" s="5">
        <f t="shared" si="725"/>
        <v>1.362224856223573</v>
      </c>
      <c r="BD308" s="173">
        <f t="shared" si="841"/>
        <v>1.2638256655402709</v>
      </c>
      <c r="BE308" s="173">
        <f t="shared" si="842"/>
        <v>1.2974721397727116</v>
      </c>
      <c r="BG308" s="528">
        <f t="shared" si="843"/>
        <v>6.3890212515132355E-2</v>
      </c>
      <c r="BH308" s="528">
        <f t="shared" si="795"/>
        <v>1.2506331834373459</v>
      </c>
      <c r="BI308" s="528">
        <f t="shared" si="796"/>
        <v>0.37992209496351392</v>
      </c>
      <c r="BJ308" s="528">
        <f t="shared" si="844"/>
        <v>0.1264351409417569</v>
      </c>
      <c r="BK308">
        <f t="shared" si="845"/>
        <v>1.6135487620670019E-2</v>
      </c>
      <c r="BL308" s="460">
        <f t="shared" si="846"/>
        <v>396.05758258418393</v>
      </c>
      <c r="BM308" s="528">
        <f t="shared" si="797"/>
        <v>1.4806861760927275</v>
      </c>
      <c r="BN308" s="460">
        <f t="shared" si="847"/>
        <v>1480.6861760927275</v>
      </c>
      <c r="BO308" s="528">
        <f t="shared" si="798"/>
        <v>0.64400000000000002</v>
      </c>
      <c r="BR308" s="460">
        <f t="shared" si="848"/>
        <v>644</v>
      </c>
      <c r="BS308" s="528">
        <f t="shared" si="849"/>
        <v>4.7917659386349259E-2</v>
      </c>
      <c r="BT308" s="528">
        <f t="shared" si="850"/>
        <v>5.0503018604591367E-2</v>
      </c>
      <c r="BU308" s="528">
        <f t="shared" si="851"/>
        <v>1.8477049284519615</v>
      </c>
      <c r="BV308" s="528"/>
      <c r="BW308" s="528">
        <f t="shared" si="852"/>
        <v>0.85525398542861153</v>
      </c>
      <c r="BX308" s="460">
        <f t="shared" si="853"/>
        <v>2801.3795918715136</v>
      </c>
      <c r="BY308" s="173">
        <f t="shared" si="854"/>
        <v>5.2823957113499329</v>
      </c>
      <c r="BZ308" s="5">
        <f t="shared" si="855"/>
        <v>22.080000000000002</v>
      </c>
      <c r="CA308" s="173">
        <f t="shared" si="856"/>
        <v>0.80694688553317018</v>
      </c>
      <c r="CB308" s="5">
        <f t="shared" si="857"/>
        <v>80.694688553317022</v>
      </c>
      <c r="CE308" s="562">
        <f t="shared" si="799"/>
        <v>-50</v>
      </c>
      <c r="CF308">
        <f t="shared" si="800"/>
        <v>-50</v>
      </c>
      <c r="CG308" s="173">
        <f t="shared" si="801"/>
        <v>0.67348741921039157</v>
      </c>
      <c r="CI308" s="170">
        <v>92</v>
      </c>
      <c r="CJ308" s="217">
        <f t="shared" si="858"/>
        <v>0.92</v>
      </c>
      <c r="CK308" s="217"/>
      <c r="CL308" s="217">
        <f t="shared" si="802"/>
        <v>22.080000000000002</v>
      </c>
      <c r="CM308" s="541">
        <f t="shared" si="803"/>
        <v>36</v>
      </c>
      <c r="CN308" s="443">
        <f t="shared" si="804"/>
        <v>16.3415</v>
      </c>
      <c r="CO308" s="443">
        <f t="shared" si="805"/>
        <v>52.341499999999996</v>
      </c>
      <c r="CP308" s="443"/>
      <c r="CQ308" s="217">
        <f t="shared" si="806"/>
        <v>0.31220924123305599</v>
      </c>
      <c r="CR308" s="172">
        <f t="shared" si="807"/>
        <v>63.048783011568261</v>
      </c>
      <c r="CS308" s="172">
        <f t="shared" si="808"/>
        <v>22.080000000000002</v>
      </c>
      <c r="CT308" s="217">
        <f t="shared" si="809"/>
        <v>2.6270326254820109</v>
      </c>
      <c r="CU308" s="217">
        <f t="shared" si="810"/>
        <v>24</v>
      </c>
      <c r="CV308" s="217"/>
      <c r="CW308" s="172">
        <f t="shared" si="811"/>
        <v>163.58275972864124</v>
      </c>
      <c r="CX308" s="172">
        <f t="shared" si="812"/>
        <v>24</v>
      </c>
      <c r="CY308" s="217">
        <f t="shared" si="813"/>
        <v>3.9289889749003053</v>
      </c>
      <c r="CZ308" s="217">
        <f t="shared" si="814"/>
        <v>1.091385826361196</v>
      </c>
      <c r="DA308" s="217">
        <f t="shared" si="815"/>
        <v>2.4043013033689107</v>
      </c>
      <c r="DB308" s="197">
        <f t="shared" si="816"/>
        <v>350</v>
      </c>
      <c r="DC308" s="443">
        <f t="shared" si="817"/>
        <v>286.0667911310494</v>
      </c>
      <c r="DE308" s="217">
        <f t="shared" si="818"/>
        <v>3.211295052682861</v>
      </c>
      <c r="DF308" s="173">
        <f t="shared" si="819"/>
        <v>1.96511645361984</v>
      </c>
      <c r="DG308" s="173">
        <f t="shared" si="820"/>
        <v>0.73660113681324435</v>
      </c>
      <c r="DH308" s="173"/>
      <c r="DI308" s="173">
        <f t="shared" si="821"/>
        <v>1.3598642855443031</v>
      </c>
      <c r="DJ308" s="545">
        <f t="shared" si="822"/>
        <v>912.86999999999978</v>
      </c>
      <c r="DK308" s="528">
        <f t="shared" si="823"/>
        <v>0.35273368606701955</v>
      </c>
      <c r="DM308" s="173">
        <f t="shared" si="824"/>
        <v>3.5888716889852721</v>
      </c>
      <c r="DN308" s="173">
        <f t="shared" si="825"/>
        <v>3.9289889749003053</v>
      </c>
      <c r="DO308" s="173">
        <f t="shared" si="826"/>
        <v>2.464271668650432</v>
      </c>
      <c r="DQ308" s="545">
        <f t="shared" si="827"/>
        <v>920</v>
      </c>
      <c r="DR308" s="460">
        <f t="shared" si="828"/>
        <v>286.0667911310494</v>
      </c>
      <c r="DT308">
        <f t="shared" si="829"/>
        <v>920</v>
      </c>
      <c r="DU308">
        <f t="shared" si="830"/>
        <v>286.0667911310494</v>
      </c>
      <c r="DW308" s="5">
        <f t="shared" si="859"/>
        <v>3.4956871297301069</v>
      </c>
      <c r="DX308" s="5">
        <f t="shared" si="831"/>
        <v>1.091385826361196</v>
      </c>
      <c r="DY308" s="5">
        <f t="shared" si="832"/>
        <v>2.4043013033689107</v>
      </c>
      <c r="DZ308" s="5"/>
      <c r="EA308" s="173">
        <f t="shared" si="833"/>
        <v>0.31220924123305599</v>
      </c>
      <c r="EB308" s="173">
        <f t="shared" si="860"/>
        <v>22.080000000000005</v>
      </c>
      <c r="EC308" s="173">
        <f t="shared" si="861"/>
        <v>0.90122448979591852</v>
      </c>
      <c r="ED308" s="173">
        <f t="shared" si="862"/>
        <v>24.500000000000004</v>
      </c>
      <c r="EE308" s="460">
        <f t="shared" si="834"/>
        <v>4.1836456677179177</v>
      </c>
      <c r="EF308" s="5">
        <f t="shared" si="835"/>
        <v>1.2288651106107766</v>
      </c>
      <c r="EH308" s="173">
        <f t="shared" si="863"/>
        <v>1.2674856750289845</v>
      </c>
      <c r="EI308" s="173">
        <f t="shared" si="864"/>
        <v>1.2547990604715209</v>
      </c>
      <c r="EK308" s="528">
        <f t="shared" si="865"/>
        <v>6.4260797456147212E-2</v>
      </c>
      <c r="EL308" s="528">
        <f t="shared" si="866"/>
        <v>1.6178085</v>
      </c>
      <c r="EM308" s="528">
        <f t="shared" si="867"/>
        <v>5.7213358226209876E-2</v>
      </c>
      <c r="EN308" s="528">
        <f t="shared" si="868"/>
        <v>0.13715063479687498</v>
      </c>
      <c r="EO308">
        <f t="shared" si="869"/>
        <v>1.6199999999999999E-2</v>
      </c>
      <c r="EP308" s="460">
        <f t="shared" si="870"/>
        <v>73.413358226209866</v>
      </c>
      <c r="EQ308" s="460"/>
      <c r="ER308" s="460">
        <f t="shared" si="871"/>
        <v>1892.6332904792321</v>
      </c>
      <c r="ES308" s="528">
        <f t="shared" si="872"/>
        <v>0.64400000000000002</v>
      </c>
      <c r="EV308" s="460">
        <f t="shared" si="873"/>
        <v>644</v>
      </c>
      <c r="EW308" s="528">
        <f t="shared" si="874"/>
        <v>4.8195598092110409E-2</v>
      </c>
      <c r="EX308" s="528">
        <f t="shared" si="875"/>
        <v>4.7235620464806345E-2</v>
      </c>
      <c r="EY308" s="528">
        <f t="shared" si="876"/>
        <v>2.1175839702936554</v>
      </c>
      <c r="EZ308" s="528"/>
      <c r="FA308" s="528">
        <f t="shared" si="877"/>
        <v>0.88320000000000021</v>
      </c>
      <c r="FB308" s="460">
        <f t="shared" si="878"/>
        <v>3096.2151888505723</v>
      </c>
      <c r="FC308" s="173">
        <f t="shared" si="879"/>
        <v>5.6328484793298044</v>
      </c>
      <c r="FD308" s="5">
        <f t="shared" si="880"/>
        <v>22.080000000000002</v>
      </c>
      <c r="FE308" s="173">
        <f t="shared" si="881"/>
        <v>0.79674234918394693</v>
      </c>
      <c r="FF308" s="5">
        <f t="shared" si="882"/>
        <v>79.674234918394689</v>
      </c>
      <c r="FI308" s="562">
        <f t="shared" si="836"/>
        <v>-50</v>
      </c>
      <c r="FJ308">
        <f t="shared" si="837"/>
        <v>-50</v>
      </c>
      <c r="FL308">
        <f t="shared" si="838"/>
        <v>0.68779075876694407</v>
      </c>
    </row>
    <row r="309" spans="5:168">
      <c r="E309" s="170">
        <v>93</v>
      </c>
      <c r="F309" s="217">
        <f t="shared" si="839"/>
        <v>0.93</v>
      </c>
      <c r="G309" s="217"/>
      <c r="H309" s="217">
        <f t="shared" si="764"/>
        <v>22.32</v>
      </c>
      <c r="I309" s="541">
        <f t="shared" si="765"/>
        <v>35.855113973564642</v>
      </c>
      <c r="J309" s="172">
        <f t="shared" si="766"/>
        <v>16.369124942606344</v>
      </c>
      <c r="K309" s="172">
        <f t="shared" si="767"/>
        <v>52.224238916170989</v>
      </c>
      <c r="L309" s="443"/>
      <c r="M309" s="217">
        <f t="shared" si="768"/>
        <v>0.3134317530871813</v>
      </c>
      <c r="N309" s="172">
        <f t="shared" si="769"/>
        <v>63.040921474608012</v>
      </c>
      <c r="O309" s="172">
        <f t="shared" si="762"/>
        <v>22.32</v>
      </c>
      <c r="P309" s="217">
        <f t="shared" si="770"/>
        <v>2.6267050614420007</v>
      </c>
      <c r="Q309" s="217">
        <f t="shared" si="771"/>
        <v>24</v>
      </c>
      <c r="R309" s="217"/>
      <c r="S309" s="172">
        <f t="shared" si="772"/>
        <v>160.59930300462588</v>
      </c>
      <c r="T309" s="172">
        <f t="shared" si="773"/>
        <v>24</v>
      </c>
      <c r="U309" s="217">
        <f t="shared" si="774"/>
        <v>4.0616584144263888</v>
      </c>
      <c r="V309" s="217">
        <f t="shared" si="775"/>
        <v>1.1327975187642634</v>
      </c>
      <c r="W309" s="217">
        <f t="shared" si="776"/>
        <v>2.4812923284949151</v>
      </c>
      <c r="X309" s="197">
        <f t="shared" si="777"/>
        <v>350</v>
      </c>
      <c r="Y309" s="443">
        <f t="shared" si="840"/>
        <v>262.18574811985729</v>
      </c>
      <c r="AA309" s="217">
        <f t="shared" si="778"/>
        <v>3.2109711759748412</v>
      </c>
      <c r="AB309" s="173">
        <f t="shared" si="779"/>
        <v>1.9616022158992577</v>
      </c>
      <c r="AC309" s="173">
        <f t="shared" si="780"/>
        <v>0.73520970810791986</v>
      </c>
      <c r="AD309" s="173"/>
      <c r="AE309" s="173">
        <f t="shared" si="781"/>
        <v>1.3575693447351702</v>
      </c>
      <c r="AF309" s="545">
        <f t="shared" si="782"/>
        <v>924.35246021479441</v>
      </c>
      <c r="AG309" s="528">
        <f t="shared" si="783"/>
        <v>0.3521384039204728</v>
      </c>
      <c r="AI309" s="173">
        <f t="shared" si="784"/>
        <v>3.6113723182008379</v>
      </c>
      <c r="AJ309" s="173">
        <f t="shared" si="785"/>
        <v>4.0616584144263888</v>
      </c>
      <c r="AK309" s="173">
        <f t="shared" si="786"/>
        <v>2.5625453275586416</v>
      </c>
      <c r="AM309" s="545">
        <f t="shared" si="787"/>
        <v>930</v>
      </c>
      <c r="AN309" s="460">
        <f t="shared" si="788"/>
        <v>262.18574811985729</v>
      </c>
      <c r="AP309">
        <f t="shared" si="789"/>
        <v>930</v>
      </c>
      <c r="AQ309">
        <f t="shared" si="790"/>
        <v>262.18574811985729</v>
      </c>
      <c r="AS309" s="5">
        <f t="shared" si="763"/>
        <v>3.8140898472591789</v>
      </c>
      <c r="AT309" s="5">
        <f t="shared" si="791"/>
        <v>1.1327975187642634</v>
      </c>
      <c r="AU309" s="5">
        <f t="shared" si="883"/>
        <v>2.6812923284949157</v>
      </c>
      <c r="AV309" s="5"/>
      <c r="AW309" s="173">
        <f t="shared" si="884"/>
        <v>0.29700336492552648</v>
      </c>
      <c r="AX309" s="173">
        <f t="shared" si="792"/>
        <v>21.626481986699329</v>
      </c>
      <c r="AY309" s="173">
        <f t="shared" si="793"/>
        <v>0.9522532880875848</v>
      </c>
      <c r="AZ309" s="173">
        <f t="shared" si="794"/>
        <v>22.710850418938332</v>
      </c>
      <c r="BA309" s="460">
        <f t="shared" ref="BA309:BA316" si="885">F309*AT309/Vout_ripple*1000</f>
        <v>4.3895903852115206</v>
      </c>
      <c r="BB309" s="5">
        <f t="shared" ref="BB309:BB316" si="886">H309/Efficiency/I309*AU309/Vinripple1</f>
        <v>1.3909323324637937</v>
      </c>
      <c r="BD309" s="173">
        <f t="shared" si="841"/>
        <v>1.2779782244919262</v>
      </c>
      <c r="BE309" s="173">
        <f t="shared" si="842"/>
        <v>1.3114303377129448</v>
      </c>
      <c r="BG309" s="528">
        <f t="shared" si="843"/>
        <v>6.5329133691021446E-2</v>
      </c>
      <c r="BH309" s="528">
        <f t="shared" si="795"/>
        <v>1.2513163371398903</v>
      </c>
      <c r="BI309" s="528">
        <f t="shared" si="796"/>
        <v>0.3760279952432718</v>
      </c>
      <c r="BJ309" s="528">
        <f t="shared" si="844"/>
        <v>0.12513862203804965</v>
      </c>
      <c r="BK309">
        <f t="shared" si="845"/>
        <v>1.613480128810409E-2</v>
      </c>
      <c r="BL309" s="460">
        <f t="shared" si="846"/>
        <v>392.16279653137588</v>
      </c>
      <c r="BM309" s="528">
        <f t="shared" si="797"/>
        <v>1.4824335928905519</v>
      </c>
      <c r="BN309" s="460">
        <f t="shared" si="847"/>
        <v>1482.4335928905518</v>
      </c>
      <c r="BO309" s="528">
        <f t="shared" si="798"/>
        <v>0.65100000000000002</v>
      </c>
      <c r="BR309" s="460">
        <f t="shared" si="848"/>
        <v>651</v>
      </c>
      <c r="BS309" s="528">
        <f t="shared" si="849"/>
        <v>4.8996850268266084E-2</v>
      </c>
      <c r="BT309" s="528">
        <f t="shared" si="850"/>
        <v>5.1595485920216656E-2</v>
      </c>
      <c r="BU309" s="528">
        <f t="shared" si="851"/>
        <v>1.8503385499015219</v>
      </c>
      <c r="BV309" s="528"/>
      <c r="BW309" s="528">
        <f t="shared" si="852"/>
        <v>0.86505927946797323</v>
      </c>
      <c r="BX309" s="460">
        <f t="shared" si="853"/>
        <v>2815.9901655579779</v>
      </c>
      <c r="BY309" s="173">
        <f t="shared" si="854"/>
        <v>5.3009370549583164</v>
      </c>
      <c r="BZ309" s="5">
        <f t="shared" si="855"/>
        <v>22.32</v>
      </c>
      <c r="CA309" s="173">
        <f t="shared" si="856"/>
        <v>0.80808264960704035</v>
      </c>
      <c r="CB309" s="5">
        <f t="shared" si="857"/>
        <v>80.808264960704037</v>
      </c>
      <c r="CE309" s="562">
        <f t="shared" si="799"/>
        <v>-50</v>
      </c>
      <c r="CF309">
        <f t="shared" si="800"/>
        <v>-50</v>
      </c>
      <c r="CG309" s="173">
        <f t="shared" si="801"/>
        <v>0.67364121856046211</v>
      </c>
      <c r="CI309" s="170">
        <v>93</v>
      </c>
      <c r="CJ309" s="217">
        <f t="shared" si="858"/>
        <v>0.93</v>
      </c>
      <c r="CK309" s="217"/>
      <c r="CL309" s="217">
        <f t="shared" si="802"/>
        <v>22.32</v>
      </c>
      <c r="CM309" s="541">
        <f t="shared" si="803"/>
        <v>36</v>
      </c>
      <c r="CN309" s="443">
        <f t="shared" si="804"/>
        <v>16.3415</v>
      </c>
      <c r="CO309" s="443">
        <f t="shared" si="805"/>
        <v>52.341499999999996</v>
      </c>
      <c r="CP309" s="443"/>
      <c r="CQ309" s="217">
        <f t="shared" si="806"/>
        <v>0.31220924123305599</v>
      </c>
      <c r="CR309" s="172">
        <f t="shared" si="807"/>
        <v>63.048783011568261</v>
      </c>
      <c r="CS309" s="172">
        <f t="shared" si="808"/>
        <v>22.32</v>
      </c>
      <c r="CT309" s="217">
        <f t="shared" si="809"/>
        <v>2.6270326254820109</v>
      </c>
      <c r="CU309" s="217">
        <f t="shared" si="810"/>
        <v>24</v>
      </c>
      <c r="CV309" s="217"/>
      <c r="CW309" s="172">
        <f t="shared" si="811"/>
        <v>161.24759327553605</v>
      </c>
      <c r="CX309" s="172">
        <f t="shared" si="812"/>
        <v>24</v>
      </c>
      <c r="CY309" s="217">
        <f t="shared" si="813"/>
        <v>3.9716953768013954</v>
      </c>
      <c r="CZ309" s="217">
        <f t="shared" si="814"/>
        <v>1.1032487157781654</v>
      </c>
      <c r="DA309" s="217">
        <f t="shared" si="815"/>
        <v>2.4304350131881383</v>
      </c>
      <c r="DB309" s="197">
        <f t="shared" si="816"/>
        <v>350</v>
      </c>
      <c r="DC309" s="443">
        <f t="shared" si="817"/>
        <v>282.99080412964025</v>
      </c>
      <c r="DE309" s="217">
        <f t="shared" si="818"/>
        <v>3.211295052682861</v>
      </c>
      <c r="DF309" s="173">
        <f t="shared" si="819"/>
        <v>1.96511645361984</v>
      </c>
      <c r="DG309" s="173">
        <f t="shared" si="820"/>
        <v>0.73660113681324435</v>
      </c>
      <c r="DH309" s="173"/>
      <c r="DI309" s="173">
        <f t="shared" si="821"/>
        <v>1.3598642855443031</v>
      </c>
      <c r="DJ309" s="545">
        <f t="shared" si="822"/>
        <v>922.79249999999979</v>
      </c>
      <c r="DK309" s="528">
        <f t="shared" si="823"/>
        <v>0.35273368606701955</v>
      </c>
      <c r="DM309" s="173">
        <f t="shared" si="824"/>
        <v>3.6083237105337429</v>
      </c>
      <c r="DN309" s="173">
        <f t="shared" si="825"/>
        <v>3.9716953768013954</v>
      </c>
      <c r="DO309" s="173">
        <f t="shared" si="826"/>
        <v>2.4959060404290172</v>
      </c>
      <c r="DQ309" s="545">
        <f t="shared" si="827"/>
        <v>930</v>
      </c>
      <c r="DR309" s="460">
        <f t="shared" si="828"/>
        <v>282.99080412964025</v>
      </c>
      <c r="DT309">
        <f t="shared" si="829"/>
        <v>930</v>
      </c>
      <c r="DU309">
        <f t="shared" si="830"/>
        <v>282.99080412964025</v>
      </c>
      <c r="DW309" s="5">
        <f t="shared" si="859"/>
        <v>3.5336837289663037</v>
      </c>
      <c r="DX309" s="5">
        <f t="shared" si="831"/>
        <v>1.1032487157781654</v>
      </c>
      <c r="DY309" s="5">
        <f t="shared" si="832"/>
        <v>2.4304350131881383</v>
      </c>
      <c r="DZ309" s="5"/>
      <c r="EA309" s="173">
        <f t="shared" si="833"/>
        <v>0.31220924123305593</v>
      </c>
      <c r="EB309" s="173">
        <f t="shared" si="860"/>
        <v>22.32</v>
      </c>
      <c r="EC309" s="173">
        <f t="shared" si="861"/>
        <v>0.91102040816326546</v>
      </c>
      <c r="ED309" s="173">
        <f t="shared" si="862"/>
        <v>24.499999999999996</v>
      </c>
      <c r="EE309" s="460">
        <f t="shared" si="834"/>
        <v>4.275088773640392</v>
      </c>
      <c r="EF309" s="5">
        <f t="shared" si="835"/>
        <v>1.2557247568138712</v>
      </c>
      <c r="EH309" s="173">
        <f t="shared" si="863"/>
        <v>1.2812626932358211</v>
      </c>
      <c r="EI309" s="173">
        <f t="shared" si="864"/>
        <v>1.2684381806940372</v>
      </c>
      <c r="EK309" s="528">
        <f t="shared" si="865"/>
        <v>6.5665363563116391E-2</v>
      </c>
      <c r="EL309" s="528">
        <f t="shared" si="866"/>
        <v>1.6178085</v>
      </c>
      <c r="EM309" s="528">
        <f t="shared" si="867"/>
        <v>5.659816082592805E-2</v>
      </c>
      <c r="EN309" s="528">
        <f t="shared" si="868"/>
        <v>0.13567589678830641</v>
      </c>
      <c r="EO309">
        <f t="shared" si="869"/>
        <v>1.6199999999999999E-2</v>
      </c>
      <c r="EP309" s="460">
        <f t="shared" si="870"/>
        <v>72.798160825928051</v>
      </c>
      <c r="EQ309" s="460"/>
      <c r="ER309" s="460">
        <f t="shared" si="871"/>
        <v>1891.947921177351</v>
      </c>
      <c r="ES309" s="528">
        <f t="shared" si="872"/>
        <v>0.65100000000000002</v>
      </c>
      <c r="EV309" s="460">
        <f t="shared" si="873"/>
        <v>651</v>
      </c>
      <c r="EW309" s="528">
        <f t="shared" si="874"/>
        <v>4.9249022672337293E-2</v>
      </c>
      <c r="EX309" s="528">
        <f t="shared" si="875"/>
        <v>4.8268062547271971E-2</v>
      </c>
      <c r="EY309" s="528">
        <f t="shared" si="876"/>
        <v>2.117583970293655</v>
      </c>
      <c r="EZ309" s="528"/>
      <c r="FA309" s="528">
        <f t="shared" si="877"/>
        <v>0.89280000000000004</v>
      </c>
      <c r="FB309" s="460">
        <f t="shared" si="878"/>
        <v>3107.9010555132641</v>
      </c>
      <c r="FC309" s="173">
        <f t="shared" si="879"/>
        <v>5.6508489766906154</v>
      </c>
      <c r="FD309" s="5">
        <f t="shared" si="880"/>
        <v>22.32</v>
      </c>
      <c r="FE309" s="173">
        <f t="shared" si="881"/>
        <v>0.79797363385717301</v>
      </c>
      <c r="FF309" s="5">
        <f t="shared" si="882"/>
        <v>79.797363385717304</v>
      </c>
      <c r="FI309" s="562">
        <f t="shared" si="836"/>
        <v>-50</v>
      </c>
      <c r="FJ309">
        <f t="shared" si="837"/>
        <v>-50</v>
      </c>
      <c r="FL309">
        <f t="shared" si="838"/>
        <v>0.68779075876694407</v>
      </c>
    </row>
    <row r="310" spans="5:168">
      <c r="E310" s="170">
        <v>94</v>
      </c>
      <c r="F310" s="217">
        <f t="shared" si="839"/>
        <v>0.94</v>
      </c>
      <c r="G310" s="217"/>
      <c r="H310" s="217">
        <f t="shared" si="764"/>
        <v>22.56</v>
      </c>
      <c r="I310" s="541">
        <f t="shared" si="765"/>
        <v>35.853588775301525</v>
      </c>
      <c r="J310" s="172">
        <f t="shared" si="766"/>
        <v>16.369415747147809</v>
      </c>
      <c r="K310" s="172">
        <f t="shared" si="767"/>
        <v>52.22300452244933</v>
      </c>
      <c r="L310" s="443"/>
      <c r="M310" s="217">
        <f t="shared" si="768"/>
        <v>0.31344473198946449</v>
      </c>
      <c r="N310" s="172">
        <f t="shared" si="769"/>
        <v>63.040850203296316</v>
      </c>
      <c r="O310" s="172">
        <f t="shared" si="762"/>
        <v>22.56</v>
      </c>
      <c r="P310" s="217">
        <f t="shared" si="770"/>
        <v>2.6267020918040132</v>
      </c>
      <c r="Q310" s="217">
        <f t="shared" si="771"/>
        <v>24</v>
      </c>
      <c r="R310" s="217"/>
      <c r="S310" s="172">
        <f t="shared" si="772"/>
        <v>158.31636810255327</v>
      </c>
      <c r="T310" s="172">
        <f t="shared" si="773"/>
        <v>24</v>
      </c>
      <c r="U310" s="217">
        <f t="shared" si="774"/>
        <v>4.1054097695808851</v>
      </c>
      <c r="V310" s="217">
        <f t="shared" si="775"/>
        <v>1.1450484902111058</v>
      </c>
      <c r="W310" s="217">
        <f t="shared" si="776"/>
        <v>2.5079757475743802</v>
      </c>
      <c r="X310" s="197">
        <f t="shared" si="777"/>
        <v>350</v>
      </c>
      <c r="Y310" s="443">
        <f t="shared" si="840"/>
        <v>259.53638967367283</v>
      </c>
      <c r="AA310" s="217">
        <f t="shared" si="778"/>
        <v>3.2109675258856925</v>
      </c>
      <c r="AB310" s="173">
        <f t="shared" si="779"/>
        <v>1.9615651379892214</v>
      </c>
      <c r="AC310" s="173">
        <f t="shared" si="780"/>
        <v>0.73519497554671853</v>
      </c>
      <c r="AD310" s="173"/>
      <c r="AE310" s="173">
        <f t="shared" si="781"/>
        <v>1.3575452273606163</v>
      </c>
      <c r="AF310" s="545">
        <f t="shared" si="782"/>
        <v>934.30833207483784</v>
      </c>
      <c r="AG310" s="528">
        <f t="shared" si="783"/>
        <v>0.35213214814148441</v>
      </c>
      <c r="AI310" s="173">
        <f t="shared" si="784"/>
        <v>3.6307686343025845</v>
      </c>
      <c r="AJ310" s="173">
        <f t="shared" si="785"/>
        <v>4.1054097695808851</v>
      </c>
      <c r="AK310" s="173">
        <f t="shared" si="786"/>
        <v>2.594953738784195</v>
      </c>
      <c r="AM310" s="545">
        <f t="shared" si="787"/>
        <v>940</v>
      </c>
      <c r="AN310" s="460">
        <f t="shared" si="788"/>
        <v>259.53638967367283</v>
      </c>
      <c r="AP310">
        <f t="shared" si="789"/>
        <v>940</v>
      </c>
      <c r="AQ310">
        <f t="shared" si="790"/>
        <v>259.53638967367283</v>
      </c>
      <c r="AS310" s="5">
        <f t="shared" si="763"/>
        <v>3.8530242377854855</v>
      </c>
      <c r="AT310" s="5">
        <f t="shared" si="791"/>
        <v>1.1450484902111058</v>
      </c>
      <c r="AU310" s="5">
        <f t="shared" si="883"/>
        <v>2.7079757475743795</v>
      </c>
      <c r="AV310" s="5"/>
      <c r="AW310" s="173">
        <f t="shared" si="884"/>
        <v>0.2971817511506803</v>
      </c>
      <c r="AX310" s="173">
        <f t="shared" si="792"/>
        <v>21.871636844227574</v>
      </c>
      <c r="AY310" s="173">
        <f t="shared" si="793"/>
        <v>0.96226652783942002</v>
      </c>
      <c r="AZ310" s="173">
        <f t="shared" si="794"/>
        <v>22.729291949223285</v>
      </c>
      <c r="BA310" s="460">
        <f t="shared" si="885"/>
        <v>4.4847732533268312</v>
      </c>
      <c r="BB310" s="5">
        <f t="shared" si="886"/>
        <v>1.4199399779323814</v>
      </c>
      <c r="BD310" s="173">
        <f t="shared" si="841"/>
        <v>1.2921322106484403</v>
      </c>
      <c r="BE310" s="173">
        <f t="shared" si="842"/>
        <v>1.3253886060799591</v>
      </c>
      <c r="BG310" s="528">
        <f t="shared" si="843"/>
        <v>6.6784225991809013E-2</v>
      </c>
      <c r="BH310" s="528">
        <f t="shared" si="795"/>
        <v>1.2519850496573748</v>
      </c>
      <c r="BI310" s="528">
        <f t="shared" si="796"/>
        <v>0.37221243950345112</v>
      </c>
      <c r="BJ310" s="528">
        <f t="shared" si="844"/>
        <v>0.12386825407329038</v>
      </c>
      <c r="BK310">
        <f t="shared" si="845"/>
        <v>1.6134114948885687E-2</v>
      </c>
      <c r="BL310" s="460">
        <f t="shared" si="846"/>
        <v>388.34655445233682</v>
      </c>
      <c r="BM310" s="528">
        <f t="shared" si="797"/>
        <v>1.4842207853775924</v>
      </c>
      <c r="BN310" s="460">
        <f t="shared" si="847"/>
        <v>1484.2207853775924</v>
      </c>
      <c r="BO310" s="528">
        <f t="shared" si="798"/>
        <v>0.65799999999999992</v>
      </c>
      <c r="BR310" s="460">
        <f t="shared" si="848"/>
        <v>657.99999999999989</v>
      </c>
      <c r="BS310" s="528">
        <f t="shared" si="849"/>
        <v>5.0088169493856763E-2</v>
      </c>
      <c r="BT310" s="528">
        <f t="shared" si="850"/>
        <v>5.2699648713797308E-2</v>
      </c>
      <c r="BU310" s="528">
        <f t="shared" si="851"/>
        <v>1.852921115720924</v>
      </c>
      <c r="BV310" s="528"/>
      <c r="BW310" s="528">
        <f t="shared" si="852"/>
        <v>0.87486547376910284</v>
      </c>
      <c r="BX310" s="460">
        <f t="shared" si="853"/>
        <v>2830.5744076976807</v>
      </c>
      <c r="BY310" s="173">
        <f t="shared" si="854"/>
        <v>5.3195584918724919</v>
      </c>
      <c r="BZ310" s="5">
        <f t="shared" si="855"/>
        <v>22.56</v>
      </c>
      <c r="CA310" s="173">
        <f t="shared" si="856"/>
        <v>0.80919502389454045</v>
      </c>
      <c r="CB310" s="5">
        <f t="shared" si="857"/>
        <v>80.919502389454038</v>
      </c>
      <c r="CE310" s="562">
        <f t="shared" si="799"/>
        <v>-50</v>
      </c>
      <c r="CF310">
        <f t="shared" si="800"/>
        <v>-50</v>
      </c>
      <c r="CG310" s="173">
        <f t="shared" si="801"/>
        <v>0.67379174558393518</v>
      </c>
      <c r="CI310" s="170">
        <v>94</v>
      </c>
      <c r="CJ310" s="217">
        <f t="shared" si="858"/>
        <v>0.94</v>
      </c>
      <c r="CK310" s="217"/>
      <c r="CL310" s="217">
        <f t="shared" si="802"/>
        <v>22.56</v>
      </c>
      <c r="CM310" s="541">
        <f t="shared" si="803"/>
        <v>36</v>
      </c>
      <c r="CN310" s="443">
        <f t="shared" si="804"/>
        <v>16.3415</v>
      </c>
      <c r="CO310" s="443">
        <f t="shared" si="805"/>
        <v>52.341499999999996</v>
      </c>
      <c r="CP310" s="443"/>
      <c r="CQ310" s="217">
        <f t="shared" si="806"/>
        <v>0.31220924123305599</v>
      </c>
      <c r="CR310" s="172">
        <f t="shared" si="807"/>
        <v>63.048783011568261</v>
      </c>
      <c r="CS310" s="172">
        <f t="shared" si="808"/>
        <v>22.56</v>
      </c>
      <c r="CT310" s="217">
        <f t="shared" si="809"/>
        <v>2.6270326254820109</v>
      </c>
      <c r="CU310" s="217">
        <f t="shared" si="810"/>
        <v>24</v>
      </c>
      <c r="CV310" s="217"/>
      <c r="CW310" s="172">
        <f t="shared" si="811"/>
        <v>158.96217848304263</v>
      </c>
      <c r="CX310" s="172">
        <f t="shared" si="812"/>
        <v>24</v>
      </c>
      <c r="CY310" s="217">
        <f t="shared" si="813"/>
        <v>4.014401778702485</v>
      </c>
      <c r="CZ310" s="217">
        <f t="shared" si="814"/>
        <v>1.1151116051951349</v>
      </c>
      <c r="DA310" s="217">
        <f t="shared" si="815"/>
        <v>2.4565687230073645</v>
      </c>
      <c r="DB310" s="197">
        <f t="shared" si="816"/>
        <v>350</v>
      </c>
      <c r="DC310" s="443">
        <f t="shared" si="817"/>
        <v>279.98026366017609</v>
      </c>
      <c r="DE310" s="217">
        <f t="shared" si="818"/>
        <v>3.211295052682861</v>
      </c>
      <c r="DF310" s="173">
        <f t="shared" si="819"/>
        <v>1.96511645361984</v>
      </c>
      <c r="DG310" s="173">
        <f t="shared" si="820"/>
        <v>0.73660113681324435</v>
      </c>
      <c r="DH310" s="173"/>
      <c r="DI310" s="173">
        <f t="shared" si="821"/>
        <v>1.3598642855443031</v>
      </c>
      <c r="DJ310" s="545">
        <f t="shared" si="822"/>
        <v>932.71499999999969</v>
      </c>
      <c r="DK310" s="528">
        <f t="shared" si="823"/>
        <v>0.35273368606701955</v>
      </c>
      <c r="DM310" s="173">
        <f t="shared" si="824"/>
        <v>3.6276714294434105</v>
      </c>
      <c r="DN310" s="173">
        <f t="shared" si="825"/>
        <v>4.014401778702485</v>
      </c>
      <c r="DO310" s="173">
        <f t="shared" si="826"/>
        <v>2.5275404122076019</v>
      </c>
      <c r="DQ310" s="545">
        <f t="shared" si="827"/>
        <v>940</v>
      </c>
      <c r="DR310" s="460">
        <f t="shared" si="828"/>
        <v>279.98026366017609</v>
      </c>
      <c r="DT310">
        <f t="shared" si="829"/>
        <v>940</v>
      </c>
      <c r="DU310">
        <f t="shared" si="830"/>
        <v>279.98026366017609</v>
      </c>
      <c r="DW310" s="5">
        <f t="shared" si="859"/>
        <v>3.5716803282024991</v>
      </c>
      <c r="DX310" s="5">
        <f t="shared" si="831"/>
        <v>1.1151116051951349</v>
      </c>
      <c r="DY310" s="5">
        <f t="shared" si="832"/>
        <v>2.4565687230073641</v>
      </c>
      <c r="DZ310" s="5"/>
      <c r="EA310" s="173">
        <f t="shared" si="833"/>
        <v>0.31220924123305605</v>
      </c>
      <c r="EB310" s="173">
        <f t="shared" si="860"/>
        <v>22.560000000000002</v>
      </c>
      <c r="EC310" s="173">
        <f t="shared" si="861"/>
        <v>0.92081632653061218</v>
      </c>
      <c r="ED310" s="173">
        <f t="shared" si="862"/>
        <v>24.500000000000004</v>
      </c>
      <c r="EE310" s="460">
        <f t="shared" si="834"/>
        <v>4.3675204536809442</v>
      </c>
      <c r="EF310" s="5">
        <f t="shared" si="835"/>
        <v>1.282874777570512</v>
      </c>
      <c r="EH310" s="173">
        <f t="shared" si="863"/>
        <v>1.2950397114426579</v>
      </c>
      <c r="EI310" s="173">
        <f t="shared" si="864"/>
        <v>1.2820773009165538</v>
      </c>
      <c r="EK310" s="528">
        <f t="shared" si="865"/>
        <v>6.7085114168539323E-2</v>
      </c>
      <c r="EL310" s="528">
        <f t="shared" si="866"/>
        <v>1.6178085</v>
      </c>
      <c r="EM310" s="528">
        <f t="shared" si="867"/>
        <v>5.5996052732035215E-2</v>
      </c>
      <c r="EN310" s="528">
        <f t="shared" si="868"/>
        <v>0.13423253618417552</v>
      </c>
      <c r="EO310">
        <f t="shared" si="869"/>
        <v>1.6199999999999999E-2</v>
      </c>
      <c r="EP310" s="460">
        <f t="shared" si="870"/>
        <v>72.196052732035227</v>
      </c>
      <c r="EQ310" s="460"/>
      <c r="ER310" s="460">
        <f t="shared" si="871"/>
        <v>1891.3222030847501</v>
      </c>
      <c r="ES310" s="528">
        <f t="shared" si="872"/>
        <v>0.65799999999999992</v>
      </c>
      <c r="EV310" s="460">
        <f t="shared" si="873"/>
        <v>657.99999999999989</v>
      </c>
      <c r="EW310" s="528">
        <f t="shared" si="874"/>
        <v>5.0313835626404485E-2</v>
      </c>
      <c r="EX310" s="528">
        <f t="shared" si="875"/>
        <v>4.9311666165764267E-2</v>
      </c>
      <c r="EY310" s="528">
        <f t="shared" si="876"/>
        <v>2.1175839702936572</v>
      </c>
      <c r="EZ310" s="528"/>
      <c r="FA310" s="528">
        <f t="shared" si="877"/>
        <v>0.90239999999999998</v>
      </c>
      <c r="FB310" s="460">
        <f t="shared" si="878"/>
        <v>3119.6094720858259</v>
      </c>
      <c r="FC310" s="173">
        <f t="shared" si="879"/>
        <v>5.6689316751705761</v>
      </c>
      <c r="FD310" s="5">
        <f t="shared" si="880"/>
        <v>22.56</v>
      </c>
      <c r="FE310" s="173">
        <f t="shared" si="881"/>
        <v>0.79918008444659561</v>
      </c>
      <c r="FF310" s="5">
        <f t="shared" si="882"/>
        <v>79.918008444659563</v>
      </c>
      <c r="FI310" s="562">
        <f t="shared" si="836"/>
        <v>-50</v>
      </c>
      <c r="FJ310">
        <f t="shared" si="837"/>
        <v>-50</v>
      </c>
      <c r="FL310">
        <f t="shared" si="838"/>
        <v>0.68779075876694395</v>
      </c>
    </row>
    <row r="311" spans="5:168">
      <c r="E311" s="170">
        <v>95</v>
      </c>
      <c r="F311" s="217">
        <f t="shared" si="839"/>
        <v>0.95</v>
      </c>
      <c r="G311" s="217"/>
      <c r="H311" s="217">
        <f t="shared" si="764"/>
        <v>22.799999999999997</v>
      </c>
      <c r="I311" s="541">
        <f t="shared" si="765"/>
        <v>35.85206356273158</v>
      </c>
      <c r="J311" s="172">
        <f t="shared" si="766"/>
        <v>16.369706554417107</v>
      </c>
      <c r="K311" s="172">
        <f t="shared" si="767"/>
        <v>52.221770117148687</v>
      </c>
      <c r="L311" s="443"/>
      <c r="M311" s="217">
        <f t="shared" si="768"/>
        <v>0.31345771159114627</v>
      </c>
      <c r="N311" s="172">
        <f t="shared" si="769"/>
        <v>63.04077882540026</v>
      </c>
      <c r="O311" s="172">
        <f t="shared" si="762"/>
        <v>22.799999999999997</v>
      </c>
      <c r="P311" s="217">
        <f t="shared" si="770"/>
        <v>2.626699117725011</v>
      </c>
      <c r="Q311" s="217">
        <f t="shared" si="771"/>
        <v>24</v>
      </c>
      <c r="R311" s="217"/>
      <c r="S311" s="172">
        <f t="shared" si="772"/>
        <v>156.08161032241989</v>
      </c>
      <c r="T311" s="172">
        <f t="shared" si="773"/>
        <v>24</v>
      </c>
      <c r="U311" s="217">
        <f t="shared" si="774"/>
        <v>4.1491627831780811</v>
      </c>
      <c r="V311" s="217">
        <f t="shared" si="775"/>
        <v>1.1573009670470291</v>
      </c>
      <c r="W311" s="217">
        <f t="shared" si="776"/>
        <v>2.5346592312972738</v>
      </c>
      <c r="X311" s="197">
        <f t="shared" si="777"/>
        <v>350</v>
      </c>
      <c r="Y311" s="443">
        <f t="shared" si="840"/>
        <v>256.93993490103384</v>
      </c>
      <c r="AA311" s="217">
        <f t="shared" si="778"/>
        <v>3.210963870736367</v>
      </c>
      <c r="AB311" s="173">
        <f t="shared" si="779"/>
        <v>1.9615280579784977</v>
      </c>
      <c r="AC311" s="173">
        <f t="shared" si="780"/>
        <v>0.73518024107120017</v>
      </c>
      <c r="AD311" s="173"/>
      <c r="AE311" s="173">
        <f t="shared" si="781"/>
        <v>1.3575211106167271</v>
      </c>
      <c r="AF311" s="545">
        <f t="shared" si="782"/>
        <v>944.26455724317532</v>
      </c>
      <c r="AG311" s="528">
        <f t="shared" si="783"/>
        <v>0.35212589252608328</v>
      </c>
      <c r="AI311" s="173">
        <f t="shared" si="784"/>
        <v>3.6500625632930039</v>
      </c>
      <c r="AJ311" s="173">
        <f t="shared" si="785"/>
        <v>4.1491627831780811</v>
      </c>
      <c r="AK311" s="173">
        <f t="shared" si="786"/>
        <v>2.6273633784858212</v>
      </c>
      <c r="AM311" s="545">
        <f t="shared" si="787"/>
        <v>950</v>
      </c>
      <c r="AN311" s="460">
        <f t="shared" si="788"/>
        <v>256.93993490103384</v>
      </c>
      <c r="AP311">
        <f t="shared" si="789"/>
        <v>950</v>
      </c>
      <c r="AQ311">
        <f t="shared" si="790"/>
        <v>256.93993490103384</v>
      </c>
      <c r="AS311" s="5">
        <f t="shared" si="763"/>
        <v>3.8919601983443033</v>
      </c>
      <c r="AT311" s="5">
        <f t="shared" si="791"/>
        <v>1.1573009670470291</v>
      </c>
      <c r="AU311" s="5">
        <f t="shared" si="883"/>
        <v>2.7346592312972744</v>
      </c>
      <c r="AV311" s="5"/>
      <c r="AW311" s="173">
        <f t="shared" si="884"/>
        <v>0.29735683513396716</v>
      </c>
      <c r="AX311" s="173">
        <f t="shared" si="792"/>
        <v>22.116813795569943</v>
      </c>
      <c r="AY311" s="173">
        <f t="shared" si="793"/>
        <v>0.97227951998378748</v>
      </c>
      <c r="AZ311" s="173">
        <f t="shared" si="794"/>
        <v>22.747382147819728</v>
      </c>
      <c r="BA311" s="460">
        <f t="shared" si="885"/>
        <v>4.5809829945611567</v>
      </c>
      <c r="BB311" s="5">
        <f t="shared" si="886"/>
        <v>1.4492478321013404</v>
      </c>
      <c r="BD311" s="173">
        <f t="shared" si="841"/>
        <v>1.3062876149253952</v>
      </c>
      <c r="BE311" s="173">
        <f t="shared" si="842"/>
        <v>1.3393469506794988</v>
      </c>
      <c r="BG311" s="528">
        <f t="shared" si="843"/>
        <v>6.8255493316299112E-2</v>
      </c>
      <c r="BH311" s="528">
        <f t="shared" si="795"/>
        <v>1.2526397534880933</v>
      </c>
      <c r="BI311" s="528">
        <f t="shared" si="796"/>
        <v>0.36847307511503918</v>
      </c>
      <c r="BJ311" s="528">
        <f t="shared" si="844"/>
        <v>0.12262325374819699</v>
      </c>
      <c r="BK311">
        <f t="shared" si="845"/>
        <v>1.6133428603229211E-2</v>
      </c>
      <c r="BL311" s="460">
        <f t="shared" si="846"/>
        <v>384.60650371826836</v>
      </c>
      <c r="BM311" s="528">
        <f t="shared" si="797"/>
        <v>1.4860474662775556</v>
      </c>
      <c r="BN311" s="460">
        <f t="shared" si="847"/>
        <v>1486.0474662775555</v>
      </c>
      <c r="BO311" s="528">
        <f t="shared" si="798"/>
        <v>0.66499999999999992</v>
      </c>
      <c r="BR311" s="460">
        <f t="shared" si="848"/>
        <v>664.99999999999989</v>
      </c>
      <c r="BS311" s="528">
        <f t="shared" si="849"/>
        <v>5.1191619987224331E-2</v>
      </c>
      <c r="BT311" s="528">
        <f t="shared" si="850"/>
        <v>5.3815507628834157E-2</v>
      </c>
      <c r="BU311" s="528">
        <f t="shared" si="851"/>
        <v>1.855454090504461</v>
      </c>
      <c r="BV311" s="528"/>
      <c r="BW311" s="528">
        <f t="shared" si="852"/>
        <v>0.88467255182279769</v>
      </c>
      <c r="BX311" s="460">
        <f t="shared" si="853"/>
        <v>2845.133769943317</v>
      </c>
      <c r="BY311" s="173">
        <f t="shared" si="854"/>
        <v>5.3382587742141752</v>
      </c>
      <c r="BZ311" s="5">
        <f t="shared" si="855"/>
        <v>22.799999999999997</v>
      </c>
      <c r="CA311" s="173">
        <f t="shared" si="856"/>
        <v>0.81028467976468599</v>
      </c>
      <c r="CB311" s="5">
        <f t="shared" si="857"/>
        <v>81.028467976468605</v>
      </c>
      <c r="CE311" s="562">
        <f t="shared" si="799"/>
        <v>-50</v>
      </c>
      <c r="CF311">
        <f t="shared" si="800"/>
        <v>-50</v>
      </c>
      <c r="CG311" s="173">
        <f t="shared" si="801"/>
        <v>0.67393910361744058</v>
      </c>
      <c r="CI311" s="170">
        <v>95</v>
      </c>
      <c r="CJ311" s="217">
        <f t="shared" si="858"/>
        <v>0.95</v>
      </c>
      <c r="CK311" s="217"/>
      <c r="CL311" s="217">
        <f t="shared" si="802"/>
        <v>22.799999999999997</v>
      </c>
      <c r="CM311" s="541">
        <f t="shared" si="803"/>
        <v>36</v>
      </c>
      <c r="CN311" s="443">
        <f t="shared" si="804"/>
        <v>16.3415</v>
      </c>
      <c r="CO311" s="443">
        <f t="shared" si="805"/>
        <v>52.341499999999996</v>
      </c>
      <c r="CP311" s="443"/>
      <c r="CQ311" s="217">
        <f t="shared" si="806"/>
        <v>0.31220924123305599</v>
      </c>
      <c r="CR311" s="172">
        <f t="shared" si="807"/>
        <v>63.048783011568261</v>
      </c>
      <c r="CS311" s="172">
        <f t="shared" si="808"/>
        <v>22.799999999999997</v>
      </c>
      <c r="CT311" s="217">
        <f t="shared" si="809"/>
        <v>2.6270326254820109</v>
      </c>
      <c r="CU311" s="217">
        <f t="shared" si="810"/>
        <v>24</v>
      </c>
      <c r="CV311" s="217"/>
      <c r="CW311" s="172">
        <f t="shared" si="811"/>
        <v>156.72494494971437</v>
      </c>
      <c r="CX311" s="172">
        <f t="shared" si="812"/>
        <v>24</v>
      </c>
      <c r="CY311" s="217">
        <f t="shared" si="813"/>
        <v>4.0571081806035751</v>
      </c>
      <c r="CZ311" s="217">
        <f t="shared" si="814"/>
        <v>1.1269744946121043</v>
      </c>
      <c r="DA311" s="217">
        <f t="shared" si="815"/>
        <v>2.4827024328265921</v>
      </c>
      <c r="DB311" s="197">
        <f t="shared" si="816"/>
        <v>350</v>
      </c>
      <c r="DC311" s="443">
        <f t="shared" si="817"/>
        <v>277.03310299006893</v>
      </c>
      <c r="DE311" s="217">
        <f t="shared" si="818"/>
        <v>3.211295052682861</v>
      </c>
      <c r="DF311" s="173">
        <f t="shared" si="819"/>
        <v>1.96511645361984</v>
      </c>
      <c r="DG311" s="173">
        <f t="shared" si="820"/>
        <v>0.73660113681324435</v>
      </c>
      <c r="DH311" s="173"/>
      <c r="DI311" s="173">
        <f t="shared" si="821"/>
        <v>1.3598642855443031</v>
      </c>
      <c r="DJ311" s="545">
        <f t="shared" si="822"/>
        <v>942.6374999999997</v>
      </c>
      <c r="DK311" s="528">
        <f t="shared" si="823"/>
        <v>0.35273368606701955</v>
      </c>
      <c r="DM311" s="173">
        <f t="shared" si="824"/>
        <v>3.6469165057620936</v>
      </c>
      <c r="DN311" s="173">
        <f t="shared" si="825"/>
        <v>4.0571081806035751</v>
      </c>
      <c r="DO311" s="173">
        <f t="shared" si="826"/>
        <v>2.5591747839861876</v>
      </c>
      <c r="DQ311" s="545">
        <f t="shared" si="827"/>
        <v>950</v>
      </c>
      <c r="DR311" s="460">
        <f t="shared" si="828"/>
        <v>277.03310299006893</v>
      </c>
      <c r="DT311">
        <f t="shared" si="829"/>
        <v>950</v>
      </c>
      <c r="DU311">
        <f t="shared" si="830"/>
        <v>277.03310299006893</v>
      </c>
      <c r="DW311" s="5">
        <f t="shared" si="859"/>
        <v>3.6096769274386968</v>
      </c>
      <c r="DX311" s="5">
        <f t="shared" si="831"/>
        <v>1.1269744946121043</v>
      </c>
      <c r="DY311" s="5">
        <f t="shared" si="832"/>
        <v>2.4827024328265925</v>
      </c>
      <c r="DZ311" s="5"/>
      <c r="EA311" s="173">
        <f t="shared" si="833"/>
        <v>0.31220924123305593</v>
      </c>
      <c r="EB311" s="173">
        <f t="shared" si="860"/>
        <v>22.799999999999994</v>
      </c>
      <c r="EC311" s="173">
        <f t="shared" si="861"/>
        <v>0.93061224489795924</v>
      </c>
      <c r="ED311" s="173">
        <f t="shared" si="862"/>
        <v>24.499999999999993</v>
      </c>
      <c r="EE311" s="460">
        <f t="shared" si="834"/>
        <v>4.4609407078395789</v>
      </c>
      <c r="EF311" s="5">
        <f t="shared" si="835"/>
        <v>1.3103151728807012</v>
      </c>
      <c r="EH311" s="173">
        <f t="shared" si="863"/>
        <v>1.3088167296494944</v>
      </c>
      <c r="EI311" s="173">
        <f t="shared" si="864"/>
        <v>1.2957164211390702</v>
      </c>
      <c r="EK311" s="528">
        <f t="shared" si="865"/>
        <v>6.8520049272415909E-2</v>
      </c>
      <c r="EL311" s="528">
        <f t="shared" si="866"/>
        <v>1.6178084999999998</v>
      </c>
      <c r="EM311" s="528">
        <f t="shared" si="867"/>
        <v>5.5406620598013788E-2</v>
      </c>
      <c r="EN311" s="528">
        <f t="shared" si="868"/>
        <v>0.13281956211907894</v>
      </c>
      <c r="EO311">
        <f t="shared" si="869"/>
        <v>1.6199999999999999E-2</v>
      </c>
      <c r="EP311" s="460">
        <f t="shared" si="870"/>
        <v>71.606620598013791</v>
      </c>
      <c r="EQ311" s="460"/>
      <c r="ER311" s="460">
        <f t="shared" si="871"/>
        <v>1890.7547319895082</v>
      </c>
      <c r="ES311" s="528">
        <f t="shared" si="872"/>
        <v>0.66499999999999992</v>
      </c>
      <c r="EV311" s="460">
        <f t="shared" si="873"/>
        <v>664.99999999999989</v>
      </c>
      <c r="EW311" s="528">
        <f t="shared" si="874"/>
        <v>5.1390036954311921E-2</v>
      </c>
      <c r="EX311" s="528">
        <f t="shared" si="875"/>
        <v>5.0366431320283206E-2</v>
      </c>
      <c r="EY311" s="528">
        <f t="shared" si="876"/>
        <v>2.1175839702936594</v>
      </c>
      <c r="EZ311" s="528"/>
      <c r="FA311" s="528">
        <f t="shared" si="877"/>
        <v>0.91199999999999981</v>
      </c>
      <c r="FB311" s="460">
        <f t="shared" si="878"/>
        <v>3131.3404385682543</v>
      </c>
      <c r="FC311" s="173">
        <f t="shared" si="879"/>
        <v>5.6870951705577628</v>
      </c>
      <c r="FD311" s="5">
        <f t="shared" si="880"/>
        <v>22.799999999999997</v>
      </c>
      <c r="FE311" s="173">
        <f t="shared" si="881"/>
        <v>0.80036240492377264</v>
      </c>
      <c r="FF311" s="5">
        <f t="shared" si="882"/>
        <v>80.03624049237726</v>
      </c>
      <c r="FI311" s="562">
        <f t="shared" si="836"/>
        <v>-50</v>
      </c>
      <c r="FJ311">
        <f t="shared" si="837"/>
        <v>-50</v>
      </c>
      <c r="FL311">
        <f t="shared" si="838"/>
        <v>0.68779075876694407</v>
      </c>
    </row>
    <row r="312" spans="5:168">
      <c r="E312" s="170">
        <v>96</v>
      </c>
      <c r="F312" s="217">
        <f t="shared" si="839"/>
        <v>0.96</v>
      </c>
      <c r="G312" s="217"/>
      <c r="H312" s="217">
        <f>F312*Vout</f>
        <v>23.04</v>
      </c>
      <c r="I312" s="541">
        <f t="shared" si="765"/>
        <v>35.85053833631099</v>
      </c>
      <c r="J312" s="172">
        <f t="shared" si="766"/>
        <v>16.369997364327261</v>
      </c>
      <c r="K312" s="172">
        <f t="shared" si="767"/>
        <v>52.220535700638251</v>
      </c>
      <c r="L312" s="443"/>
      <c r="M312" s="217">
        <f t="shared" si="768"/>
        <v>0.31347069188954874</v>
      </c>
      <c r="N312" s="172">
        <f>M312*I312*(Isw_max+VIN_max/Lmag*ILIM_delay)*0.5*Efficiency</f>
        <v>63.040707341162381</v>
      </c>
      <c r="O312" s="172">
        <f t="shared" si="762"/>
        <v>23.04</v>
      </c>
      <c r="P312" s="217">
        <f>N312/Vout</f>
        <v>2.6266961392150994</v>
      </c>
      <c r="Q312" s="217">
        <f t="shared" si="771"/>
        <v>24</v>
      </c>
      <c r="R312" s="217"/>
      <c r="S312" s="172">
        <f t="shared" si="772"/>
        <v>153.89352483749488</v>
      </c>
      <c r="T312" s="172">
        <f>MIN(Vout, S312)</f>
        <v>24</v>
      </c>
      <c r="U312" s="217">
        <f t="shared" si="774"/>
        <v>4.1929174554293995</v>
      </c>
      <c r="V312" s="217">
        <f>L*U312/I312*1000000</f>
        <v>1.169554949522928</v>
      </c>
      <c r="W312" s="217">
        <f t="shared" si="776"/>
        <v>2.5613427797895745</v>
      </c>
      <c r="X312" s="197">
        <f t="shared" si="777"/>
        <v>350</v>
      </c>
      <c r="Y312" s="443">
        <f t="shared" si="840"/>
        <v>254.39481483912729</v>
      </c>
      <c r="AA312" s="217">
        <f t="shared" si="778"/>
        <v>3.2109602105274639</v>
      </c>
      <c r="AB312" s="173">
        <f>L*AA312/J312*1000000</f>
        <v>1.9614909758780044</v>
      </c>
      <c r="AC312" s="173">
        <f>0.5*AB312*AA312*Nps*X312/1000</f>
        <v>0.73516550468566155</v>
      </c>
      <c r="AD312" s="173"/>
      <c r="AE312" s="173">
        <f t="shared" si="781"/>
        <v>1.3574969945106932</v>
      </c>
      <c r="AF312" s="545">
        <f>MAX(12000,F312/(0.5*AE312/1000000*Isw_min*Nps))/1000</f>
        <v>954.22113571970567</v>
      </c>
      <c r="AG312" s="528">
        <f t="shared" si="783"/>
        <v>0.35211963707613486</v>
      </c>
      <c r="AI312" s="173">
        <f t="shared" si="784"/>
        <v>3.6692557203087901</v>
      </c>
      <c r="AJ312" s="173">
        <f>MAX(IF(F312&gt;AC312,U312,AI312),Isw_min)</f>
        <v>4.1929174554293995</v>
      </c>
      <c r="AK312" s="173">
        <f>IF(F312&gt;AG312, (AJ312-Isw_min)/1.08*0.8+1.2, AF312*0.2/350+1)</f>
        <v>2.6597742468201311</v>
      </c>
      <c r="AM312" s="545">
        <f t="shared" si="787"/>
        <v>960</v>
      </c>
      <c r="AN312" s="460">
        <f t="shared" si="788"/>
        <v>254.39481483912729</v>
      </c>
      <c r="AP312">
        <f t="shared" si="789"/>
        <v>960</v>
      </c>
      <c r="AQ312">
        <f t="shared" si="790"/>
        <v>254.39481483912729</v>
      </c>
      <c r="AS312" s="5">
        <f t="shared" si="763"/>
        <v>3.9308977293125027</v>
      </c>
      <c r="AT312" s="5">
        <f t="shared" si="791"/>
        <v>1.169554949522928</v>
      </c>
      <c r="AU312" s="5">
        <f t="shared" si="883"/>
        <v>2.7613427797895747</v>
      </c>
      <c r="AV312" s="5"/>
      <c r="AW312" s="173">
        <f t="shared" si="884"/>
        <v>0.29752871482807014</v>
      </c>
      <c r="AX312" s="173">
        <f t="shared" si="792"/>
        <v>22.362012444316779</v>
      </c>
      <c r="AY312" s="173">
        <f t="shared" si="793"/>
        <v>0.98229227186402546</v>
      </c>
      <c r="AZ312" s="173">
        <f t="shared" si="794"/>
        <v>22.765131198560685</v>
      </c>
      <c r="BA312" s="460">
        <f t="shared" si="885"/>
        <v>4.6782197980917122</v>
      </c>
      <c r="BB312" s="5">
        <f t="shared" si="886"/>
        <v>1.4788559344522061</v>
      </c>
      <c r="BD312" s="173">
        <f t="shared" si="841"/>
        <v>1.3204444286058641</v>
      </c>
      <c r="BE312" s="173">
        <f t="shared" si="842"/>
        <v>1.3533053770903283</v>
      </c>
      <c r="BG312" s="528">
        <f t="shared" si="843"/>
        <v>6.9742939561450681E-2</v>
      </c>
      <c r="BH312" s="528">
        <f t="shared" si="795"/>
        <v>1.2532808640282109</v>
      </c>
      <c r="BI312" s="528">
        <f t="shared" si="796"/>
        <v>0.36480764247795477</v>
      </c>
      <c r="BJ312" s="528">
        <f t="shared" si="844"/>
        <v>0.12140286873712439</v>
      </c>
      <c r="BK312">
        <f t="shared" si="845"/>
        <v>1.6132742251339944E-2</v>
      </c>
      <c r="BL312" s="460">
        <f t="shared" si="846"/>
        <v>380.94038472929469</v>
      </c>
      <c r="BM312" s="528">
        <f t="shared" si="797"/>
        <v>1.4879133629428467</v>
      </c>
      <c r="BN312" s="460">
        <f t="shared" si="847"/>
        <v>1487.9133629428468</v>
      </c>
      <c r="BO312" s="528">
        <f t="shared" si="798"/>
        <v>0.67199999999999993</v>
      </c>
      <c r="BR312" s="460">
        <f t="shared" si="848"/>
        <v>671.99999999999989</v>
      </c>
      <c r="BS312" s="528">
        <f t="shared" si="849"/>
        <v>5.2307204671088001E-2</v>
      </c>
      <c r="BT312" s="528">
        <f t="shared" si="850"/>
        <v>5.4943063309847863E-2</v>
      </c>
      <c r="BU312" s="528">
        <f t="shared" si="851"/>
        <v>1.8579388834320794</v>
      </c>
      <c r="BV312" s="528"/>
      <c r="BW312" s="528">
        <f t="shared" si="852"/>
        <v>0.89448049777267125</v>
      </c>
      <c r="BX312" s="460">
        <f t="shared" si="853"/>
        <v>2859.6696491856869</v>
      </c>
      <c r="BY312" s="173">
        <f t="shared" si="854"/>
        <v>5.3570367062417663</v>
      </c>
      <c r="BZ312" s="5">
        <f t="shared" si="855"/>
        <v>23.04</v>
      </c>
      <c r="CA312" s="173">
        <f t="shared" si="856"/>
        <v>0.81135226320765119</v>
      </c>
      <c r="CB312" s="5">
        <f t="shared" si="857"/>
        <v>81.135226320765113</v>
      </c>
      <c r="CE312" s="562">
        <f t="shared" si="799"/>
        <v>-50</v>
      </c>
      <c r="CF312">
        <f t="shared" si="800"/>
        <v>-50</v>
      </c>
      <c r="CG312" s="173">
        <f t="shared" si="801"/>
        <v>0.67408339169191467</v>
      </c>
      <c r="CI312" s="170">
        <v>96</v>
      </c>
      <c r="CJ312" s="217">
        <f t="shared" si="858"/>
        <v>0.96</v>
      </c>
      <c r="CK312" s="217"/>
      <c r="CL312" s="217">
        <f t="shared" si="802"/>
        <v>23.04</v>
      </c>
      <c r="CM312" s="541">
        <f t="shared" si="803"/>
        <v>36</v>
      </c>
      <c r="CN312" s="443">
        <f t="shared" si="804"/>
        <v>16.3415</v>
      </c>
      <c r="CO312" s="443">
        <f t="shared" si="805"/>
        <v>52.341499999999996</v>
      </c>
      <c r="CP312" s="443"/>
      <c r="CQ312" s="217">
        <f t="shared" si="806"/>
        <v>0.31220924123305599</v>
      </c>
      <c r="CR312" s="172">
        <f t="shared" si="807"/>
        <v>63.048783011568261</v>
      </c>
      <c r="CS312" s="172">
        <f t="shared" si="808"/>
        <v>23.04</v>
      </c>
      <c r="CT312" s="217">
        <f t="shared" si="809"/>
        <v>2.6270326254820109</v>
      </c>
      <c r="CU312" s="217">
        <f t="shared" si="810"/>
        <v>24</v>
      </c>
      <c r="CV312" s="217"/>
      <c r="CW312" s="172">
        <f t="shared" si="811"/>
        <v>154.53438771717481</v>
      </c>
      <c r="CX312" s="172">
        <f t="shared" si="812"/>
        <v>24</v>
      </c>
      <c r="CY312" s="217">
        <f t="shared" si="813"/>
        <v>4.0998145825046661</v>
      </c>
      <c r="CZ312" s="217">
        <f t="shared" si="814"/>
        <v>1.1388373840290738</v>
      </c>
      <c r="DA312" s="217">
        <f t="shared" si="815"/>
        <v>2.5088361426458197</v>
      </c>
      <c r="DB312" s="197">
        <f t="shared" si="816"/>
        <v>350</v>
      </c>
      <c r="DC312" s="443">
        <f t="shared" si="817"/>
        <v>274.14734150058905</v>
      </c>
      <c r="DE312" s="217">
        <f t="shared" si="818"/>
        <v>3.211295052682861</v>
      </c>
      <c r="DF312" s="173">
        <f t="shared" si="819"/>
        <v>1.96511645361984</v>
      </c>
      <c r="DG312" s="173">
        <f t="shared" si="820"/>
        <v>0.73660113681324435</v>
      </c>
      <c r="DH312" s="173"/>
      <c r="DI312" s="173">
        <f t="shared" si="821"/>
        <v>1.3598642855443031</v>
      </c>
      <c r="DJ312" s="545">
        <f t="shared" si="822"/>
        <v>952.5599999999996</v>
      </c>
      <c r="DK312" s="528">
        <f t="shared" si="823"/>
        <v>0.35273368606701955</v>
      </c>
      <c r="DM312" s="173">
        <f t="shared" si="824"/>
        <v>3.6660605559646715</v>
      </c>
      <c r="DN312" s="173">
        <f t="shared" si="825"/>
        <v>4.0998145825046661</v>
      </c>
      <c r="DO312" s="173">
        <f t="shared" si="826"/>
        <v>2.5908091557647732</v>
      </c>
      <c r="DQ312" s="545">
        <f t="shared" si="827"/>
        <v>960</v>
      </c>
      <c r="DR312" s="460">
        <f t="shared" si="828"/>
        <v>274.14734150058905</v>
      </c>
      <c r="DT312">
        <f t="shared" si="829"/>
        <v>960</v>
      </c>
      <c r="DU312">
        <f t="shared" si="830"/>
        <v>274.14734150058905</v>
      </c>
      <c r="DW312" s="5">
        <f t="shared" si="859"/>
        <v>3.6476735266748936</v>
      </c>
      <c r="DX312" s="5">
        <f t="shared" si="831"/>
        <v>1.1388373840290738</v>
      </c>
      <c r="DY312" s="5">
        <f t="shared" si="832"/>
        <v>2.5088361426458201</v>
      </c>
      <c r="DZ312" s="5"/>
      <c r="EA312" s="173">
        <f t="shared" si="833"/>
        <v>0.31220924123305593</v>
      </c>
      <c r="EB312" s="173">
        <f t="shared" si="860"/>
        <v>23.040000000000006</v>
      </c>
      <c r="EC312" s="173">
        <f t="shared" si="861"/>
        <v>0.9404081632653063</v>
      </c>
      <c r="ED312" s="173">
        <f t="shared" si="862"/>
        <v>24.500000000000004</v>
      </c>
      <c r="EE312" s="460">
        <f t="shared" si="834"/>
        <v>4.555349536116295</v>
      </c>
      <c r="EF312" s="5">
        <f t="shared" si="835"/>
        <v>1.3380459427444373</v>
      </c>
      <c r="EH312" s="173">
        <f t="shared" si="863"/>
        <v>1.3225937478563314</v>
      </c>
      <c r="EI312" s="173">
        <f t="shared" si="864"/>
        <v>1.3093555413615869</v>
      </c>
      <c r="EK312" s="528">
        <f t="shared" si="865"/>
        <v>6.9970168874746289E-2</v>
      </c>
      <c r="EL312" s="528">
        <f t="shared" si="866"/>
        <v>1.6178085</v>
      </c>
      <c r="EM312" s="528">
        <f t="shared" si="867"/>
        <v>5.4829468300117805E-2</v>
      </c>
      <c r="EN312" s="528">
        <f t="shared" si="868"/>
        <v>0.13143602501367188</v>
      </c>
      <c r="EO312">
        <f t="shared" si="869"/>
        <v>1.6199999999999999E-2</v>
      </c>
      <c r="EP312" s="460">
        <f t="shared" si="870"/>
        <v>71.029468300117799</v>
      </c>
      <c r="EQ312" s="460"/>
      <c r="ER312" s="460">
        <f t="shared" si="871"/>
        <v>1890.2441621885359</v>
      </c>
      <c r="ES312" s="528">
        <f t="shared" si="872"/>
        <v>0.67199999999999993</v>
      </c>
      <c r="EV312" s="460">
        <f t="shared" si="873"/>
        <v>671.99999999999989</v>
      </c>
      <c r="EW312" s="528">
        <f t="shared" si="874"/>
        <v>5.247762665605972E-2</v>
      </c>
      <c r="EX312" s="528">
        <f t="shared" si="875"/>
        <v>5.1432358010828828E-2</v>
      </c>
      <c r="EY312" s="528">
        <f t="shared" si="876"/>
        <v>2.1175839702936572</v>
      </c>
      <c r="EZ312" s="528"/>
      <c r="FA312" s="528">
        <f t="shared" si="877"/>
        <v>0.9216000000000002</v>
      </c>
      <c r="FB312" s="460">
        <f t="shared" si="878"/>
        <v>3143.0939549605459</v>
      </c>
      <c r="FC312" s="173">
        <f t="shared" si="879"/>
        <v>5.7053381171490809</v>
      </c>
      <c r="FD312" s="5">
        <f t="shared" si="880"/>
        <v>23.04</v>
      </c>
      <c r="FE312" s="173">
        <f t="shared" si="881"/>
        <v>0.80152127298355369</v>
      </c>
      <c r="FF312" s="5">
        <f t="shared" si="882"/>
        <v>80.152127298355367</v>
      </c>
      <c r="FI312" s="562">
        <f t="shared" si="836"/>
        <v>-50</v>
      </c>
      <c r="FJ312">
        <f t="shared" si="837"/>
        <v>-50</v>
      </c>
      <c r="FL312">
        <f t="shared" si="838"/>
        <v>0.68779075876694407</v>
      </c>
    </row>
    <row r="313" spans="5:168">
      <c r="E313" s="170">
        <v>97</v>
      </c>
      <c r="F313" s="217">
        <f>IF(PLOT_TYPE=1, E313/100*Iout_max, min_I*EXP(N313*rr/100))</f>
        <v>0.97</v>
      </c>
      <c r="G313" s="217"/>
      <c r="H313" s="217">
        <f>F313*Vout</f>
        <v>23.28</v>
      </c>
      <c r="I313" s="541">
        <f t="shared" si="765"/>
        <v>35.849013096476739</v>
      </c>
      <c r="J313" s="172">
        <f t="shared" si="766"/>
        <v>16.370288176794958</v>
      </c>
      <c r="K313" s="172">
        <f t="shared" si="767"/>
        <v>52.219301273271697</v>
      </c>
      <c r="L313" s="443"/>
      <c r="M313" s="217">
        <f t="shared" si="768"/>
        <v>0.31348367288210804</v>
      </c>
      <c r="N313" s="172">
        <f>M313*I313*(Isw_max+VIN_max/Lmag*ILIM_delay)*0.5*Efficiency</f>
        <v>63.04063575081463</v>
      </c>
      <c r="O313" s="172">
        <f t="shared" si="762"/>
        <v>23.28</v>
      </c>
      <c r="P313" s="217">
        <f>N313/Vout</f>
        <v>2.6266931562839431</v>
      </c>
      <c r="Q313" s="217">
        <f t="shared" si="771"/>
        <v>24</v>
      </c>
      <c r="R313" s="217"/>
      <c r="S313" s="172">
        <f t="shared" si="772"/>
        <v>151.75066888537995</v>
      </c>
      <c r="T313" s="172">
        <f>MIN(Vout, S313)</f>
        <v>24</v>
      </c>
      <c r="U313" s="217">
        <f t="shared" si="774"/>
        <v>4.2366737865463202</v>
      </c>
      <c r="V313" s="217">
        <f>L*U313/I313*1000000</f>
        <v>1.1818104378897683</v>
      </c>
      <c r="W313" s="217">
        <f t="shared" si="776"/>
        <v>2.5880263931772731</v>
      </c>
      <c r="X313" s="197">
        <f t="shared" si="777"/>
        <v>350</v>
      </c>
      <c r="Y313" s="443">
        <f t="shared" si="840"/>
        <v>251.89952195874326</v>
      </c>
      <c r="AA313" s="217">
        <f t="shared" si="778"/>
        <v>3.2109565452595414</v>
      </c>
      <c r="AB313" s="173">
        <f>L*AA313/J313*1000000</f>
        <v>1.9614538916981952</v>
      </c>
      <c r="AC313" s="173">
        <f>0.5*AB313*AA313*Nps*X313/1000</f>
        <v>0.73515076639421739</v>
      </c>
      <c r="AD313" s="173"/>
      <c r="AE313" s="173">
        <f t="shared" si="781"/>
        <v>1.3574728790494015</v>
      </c>
      <c r="AF313" s="545">
        <f>MAX(12000,F313/(0.5*AE313/1000000*Isw_min*Nps))/1000</f>
        <v>964.17806750433226</v>
      </c>
      <c r="AG313" s="528">
        <f t="shared" si="783"/>
        <v>0.35211338179342533</v>
      </c>
      <c r="AI313" s="173">
        <f t="shared" si="784"/>
        <v>3.6883496785189913</v>
      </c>
      <c r="AJ313" s="173">
        <f>MAX(IF(F313&gt;AC313,U313,AI313),Isw_min)</f>
        <v>4.2366737865463202</v>
      </c>
      <c r="AK313" s="173">
        <f>IF(F313&gt;AG313, (AJ313-Isw_min)/1.08*0.8+1.2, AF313*0.2/350+1)</f>
        <v>2.6921863439437761</v>
      </c>
      <c r="AM313" s="545">
        <f t="shared" si="787"/>
        <v>970</v>
      </c>
      <c r="AN313" s="460">
        <f t="shared" si="788"/>
        <v>251.89952195874326</v>
      </c>
      <c r="AP313">
        <f t="shared" si="789"/>
        <v>970</v>
      </c>
      <c r="AQ313">
        <f t="shared" si="790"/>
        <v>251.89952195874326</v>
      </c>
      <c r="AS313" s="5">
        <f t="shared" si="763"/>
        <v>3.9698368310670418</v>
      </c>
      <c r="AT313" s="5">
        <f t="shared" si="791"/>
        <v>1.1818104378897683</v>
      </c>
      <c r="AU313" s="5">
        <f t="shared" si="883"/>
        <v>2.7880263931772733</v>
      </c>
      <c r="AV313" s="5"/>
      <c r="AW313" s="173">
        <f t="shared" si="884"/>
        <v>0.29769748435028565</v>
      </c>
      <c r="AX313" s="173">
        <f t="shared" si="792"/>
        <v>22.607232409580121</v>
      </c>
      <c r="AY313" s="173">
        <f t="shared" si="793"/>
        <v>0.99230479053594034</v>
      </c>
      <c r="AZ313" s="173">
        <f t="shared" si="794"/>
        <v>22.782548895455836</v>
      </c>
      <c r="BA313" s="460">
        <f t="shared" si="885"/>
        <v>4.7764838531378127</v>
      </c>
      <c r="BB313" s="5">
        <f t="shared" si="886"/>
        <v>1.5087643244760585</v>
      </c>
      <c r="BD313" s="173">
        <f t="shared" si="841"/>
        <v>1.3346026433222649</v>
      </c>
      <c r="BE313" s="173">
        <f t="shared" si="842"/>
        <v>1.3672638906752776</v>
      </c>
      <c r="BG313" s="528">
        <f t="shared" si="843"/>
        <v>7.1246568622511067E-2</v>
      </c>
      <c r="BH313" s="528">
        <f t="shared" si="795"/>
        <v>1.25390878040882</v>
      </c>
      <c r="BI313" s="528">
        <f t="shared" si="796"/>
        <v>0.36121397046780868</v>
      </c>
      <c r="BJ313" s="528">
        <f t="shared" si="844"/>
        <v>0.12020637617208059</v>
      </c>
      <c r="BK313">
        <f t="shared" si="845"/>
        <v>1.6132055893414533E-2</v>
      </c>
      <c r="BL313" s="460">
        <f t="shared" si="846"/>
        <v>377.34602636122321</v>
      </c>
      <c r="BM313" s="528">
        <f t="shared" si="797"/>
        <v>1.4898182166798866</v>
      </c>
      <c r="BN313" s="460">
        <f t="shared" si="847"/>
        <v>1489.8182166798865</v>
      </c>
      <c r="BO313" s="528">
        <f t="shared" si="798"/>
        <v>0.67899999999999994</v>
      </c>
      <c r="BR313" s="460">
        <f t="shared" si="848"/>
        <v>678.99999999999989</v>
      </c>
      <c r="BS313" s="528">
        <f t="shared" si="849"/>
        <v>5.343492646688329E-2</v>
      </c>
      <c r="BT313" s="528">
        <f t="shared" si="850"/>
        <v>5.6082316402334929E-2</v>
      </c>
      <c r="BU313" s="528">
        <f t="shared" si="851"/>
        <v>1.8603768508615701</v>
      </c>
      <c r="BV313" s="528"/>
      <c r="BW313" s="528">
        <f t="shared" si="852"/>
        <v>0.90428929638320499</v>
      </c>
      <c r="BX313" s="460">
        <f t="shared" si="853"/>
        <v>2874.183390113993</v>
      </c>
      <c r="BY313" s="173">
        <f t="shared" si="854"/>
        <v>5.3758911416786272</v>
      </c>
      <c r="BZ313" s="5">
        <f t="shared" si="855"/>
        <v>23.28</v>
      </c>
      <c r="CA313" s="173">
        <f t="shared" si="856"/>
        <v>0.81239839601918185</v>
      </c>
      <c r="CB313" s="5">
        <f t="shared" si="857"/>
        <v>81.239839601918192</v>
      </c>
      <c r="CE313" s="562">
        <f t="shared" si="799"/>
        <v>-50</v>
      </c>
      <c r="CF313">
        <f t="shared" si="800"/>
        <v>-50</v>
      </c>
      <c r="CG313" s="173">
        <f t="shared" si="801"/>
        <v>0.67422470475454377</v>
      </c>
      <c r="CI313" s="170">
        <v>97</v>
      </c>
      <c r="CJ313" s="217">
        <f t="shared" si="858"/>
        <v>0.97</v>
      </c>
      <c r="CK313" s="217"/>
      <c r="CL313" s="217">
        <f t="shared" si="802"/>
        <v>23.28</v>
      </c>
      <c r="CM313" s="541">
        <f t="shared" si="803"/>
        <v>36</v>
      </c>
      <c r="CN313" s="443">
        <f t="shared" si="804"/>
        <v>16.3415</v>
      </c>
      <c r="CO313" s="443">
        <f t="shared" si="805"/>
        <v>52.341499999999996</v>
      </c>
      <c r="CP313" s="443"/>
      <c r="CQ313" s="217">
        <f t="shared" si="806"/>
        <v>0.31220924123305599</v>
      </c>
      <c r="CR313" s="172">
        <f t="shared" si="807"/>
        <v>63.048783011568261</v>
      </c>
      <c r="CS313" s="172">
        <f t="shared" si="808"/>
        <v>23.28</v>
      </c>
      <c r="CT313" s="217">
        <f t="shared" si="809"/>
        <v>2.6270326254820109</v>
      </c>
      <c r="CU313" s="217">
        <f t="shared" si="810"/>
        <v>24</v>
      </c>
      <c r="CV313" s="217"/>
      <c r="CW313" s="172">
        <f t="shared" si="811"/>
        <v>152.3890638969273</v>
      </c>
      <c r="CX313" s="172">
        <f t="shared" si="812"/>
        <v>24</v>
      </c>
      <c r="CY313" s="217">
        <f t="shared" si="813"/>
        <v>4.1425209844057562</v>
      </c>
      <c r="CZ313" s="217">
        <f t="shared" si="814"/>
        <v>1.1507002734460436</v>
      </c>
      <c r="DA313" s="217">
        <f t="shared" si="815"/>
        <v>2.5349698524650472</v>
      </c>
      <c r="DB313" s="197">
        <f t="shared" si="816"/>
        <v>350</v>
      </c>
      <c r="DC313" s="443">
        <f t="shared" si="817"/>
        <v>271.32108024800561</v>
      </c>
      <c r="DE313" s="217">
        <f t="shared" si="818"/>
        <v>3.211295052682861</v>
      </c>
      <c r="DF313" s="173">
        <f t="shared" si="819"/>
        <v>1.96511645361984</v>
      </c>
      <c r="DG313" s="173">
        <f t="shared" si="820"/>
        <v>0.73660113681324435</v>
      </c>
      <c r="DH313" s="173"/>
      <c r="DI313" s="173">
        <f t="shared" si="821"/>
        <v>1.3598642855443031</v>
      </c>
      <c r="DJ313" s="545">
        <f t="shared" si="822"/>
        <v>962.48249999999962</v>
      </c>
      <c r="DK313" s="528">
        <f t="shared" si="823"/>
        <v>0.35273368606701955</v>
      </c>
      <c r="DM313" s="173">
        <f t="shared" si="824"/>
        <v>3.6851051545376556</v>
      </c>
      <c r="DN313" s="173">
        <f t="shared" si="825"/>
        <v>4.1425209844057562</v>
      </c>
      <c r="DO313" s="173">
        <f t="shared" si="826"/>
        <v>2.6224435275433584</v>
      </c>
      <c r="DQ313" s="545">
        <f t="shared" si="827"/>
        <v>970</v>
      </c>
      <c r="DR313" s="460">
        <f t="shared" si="828"/>
        <v>271.32108024800561</v>
      </c>
      <c r="DT313">
        <f t="shared" si="829"/>
        <v>970</v>
      </c>
      <c r="DU313">
        <f t="shared" si="830"/>
        <v>271.32108024800561</v>
      </c>
      <c r="DW313" s="5">
        <f t="shared" si="859"/>
        <v>3.6856701259110909</v>
      </c>
      <c r="DX313" s="5">
        <f t="shared" si="831"/>
        <v>1.1507002734460436</v>
      </c>
      <c r="DY313" s="5">
        <f t="shared" si="832"/>
        <v>2.5349698524650472</v>
      </c>
      <c r="DZ313" s="5"/>
      <c r="EA313" s="173">
        <f t="shared" si="833"/>
        <v>0.31220924123305599</v>
      </c>
      <c r="EB313" s="173">
        <f t="shared" si="860"/>
        <v>23.28</v>
      </c>
      <c r="EC313" s="173">
        <f t="shared" si="861"/>
        <v>0.95020408163265313</v>
      </c>
      <c r="ED313" s="173">
        <f t="shared" si="862"/>
        <v>24.5</v>
      </c>
      <c r="EE313" s="460">
        <f t="shared" si="834"/>
        <v>4.6507469385110936</v>
      </c>
      <c r="EF313" s="5">
        <f t="shared" si="835"/>
        <v>1.3660670871617198</v>
      </c>
      <c r="EH313" s="173">
        <f t="shared" si="863"/>
        <v>1.3363707660631683</v>
      </c>
      <c r="EI313" s="173">
        <f t="shared" si="864"/>
        <v>1.3229946615841035</v>
      </c>
      <c r="EK313" s="528">
        <f t="shared" si="865"/>
        <v>7.1435472975530379E-2</v>
      </c>
      <c r="EL313" s="528">
        <f t="shared" si="866"/>
        <v>1.6178084999999998</v>
      </c>
      <c r="EM313" s="528">
        <f t="shared" si="867"/>
        <v>5.4264216049601126E-2</v>
      </c>
      <c r="EN313" s="528">
        <f t="shared" si="868"/>
        <v>0.13008101444652057</v>
      </c>
      <c r="EO313">
        <f t="shared" si="869"/>
        <v>1.6199999999999999E-2</v>
      </c>
      <c r="EP313" s="460">
        <f t="shared" si="870"/>
        <v>70.46421604960112</v>
      </c>
      <c r="EQ313" s="460"/>
      <c r="ER313" s="460">
        <f t="shared" si="871"/>
        <v>1889.7892034716519</v>
      </c>
      <c r="ES313" s="528">
        <f t="shared" si="872"/>
        <v>0.67899999999999994</v>
      </c>
      <c r="EV313" s="460">
        <f t="shared" si="873"/>
        <v>678.99999999999989</v>
      </c>
      <c r="EW313" s="528">
        <f t="shared" si="874"/>
        <v>5.3576604731647777E-2</v>
      </c>
      <c r="EX313" s="528">
        <f t="shared" si="875"/>
        <v>5.2509446237401093E-2</v>
      </c>
      <c r="EY313" s="528">
        <f t="shared" si="876"/>
        <v>2.1175839702936559</v>
      </c>
      <c r="EZ313" s="528"/>
      <c r="FA313" s="528">
        <f t="shared" si="877"/>
        <v>0.93120000000000003</v>
      </c>
      <c r="FB313" s="460">
        <f t="shared" si="878"/>
        <v>3154.870021262705</v>
      </c>
      <c r="FC313" s="173">
        <f t="shared" si="879"/>
        <v>5.723659224734357</v>
      </c>
      <c r="FD313" s="5">
        <f t="shared" si="880"/>
        <v>23.28</v>
      </c>
      <c r="FE313" s="173">
        <f t="shared" si="881"/>
        <v>0.80265734125529886</v>
      </c>
      <c r="FF313" s="5">
        <f t="shared" si="882"/>
        <v>80.265734125529889</v>
      </c>
      <c r="FI313" s="562">
        <f t="shared" si="836"/>
        <v>-50</v>
      </c>
      <c r="FJ313">
        <f t="shared" si="837"/>
        <v>-50</v>
      </c>
      <c r="FL313">
        <f t="shared" si="838"/>
        <v>0.68779075876694407</v>
      </c>
    </row>
    <row r="314" spans="5:168">
      <c r="E314" s="170">
        <v>98</v>
      </c>
      <c r="F314" s="217">
        <f>IF(PLOT_TYPE=1, E314/100*Iout_max, min_I*EXP(N314*rr/100))</f>
        <v>0.98</v>
      </c>
      <c r="G314" s="217"/>
      <c r="H314" s="217">
        <f>F314*Vout</f>
        <v>23.52</v>
      </c>
      <c r="I314" s="541">
        <f t="shared" si="765"/>
        <v>35.847487843647627</v>
      </c>
      <c r="J314" s="172">
        <f t="shared" si="766"/>
        <v>16.370578991740338</v>
      </c>
      <c r="K314" s="172">
        <f t="shared" si="767"/>
        <v>52.218066835387965</v>
      </c>
      <c r="L314" s="443"/>
      <c r="M314" s="217">
        <f t="shared" si="768"/>
        <v>0.31349665456636922</v>
      </c>
      <c r="N314" s="172">
        <f>M314*I314*(Isw_max+VIN_max/Lmag*ILIM_delay)*0.5*Efficiency</f>
        <v>63.040564054579079</v>
      </c>
      <c r="O314" s="172">
        <f t="shared" si="762"/>
        <v>23.52</v>
      </c>
      <c r="P314" s="217">
        <f>N314/Vout</f>
        <v>2.6266901689407951</v>
      </c>
      <c r="Q314" s="217">
        <f t="shared" si="771"/>
        <v>24</v>
      </c>
      <c r="R314" s="217"/>
      <c r="S314" s="172">
        <f t="shared" si="772"/>
        <v>149.65165860163239</v>
      </c>
      <c r="T314" s="172">
        <f>MIN(Vout, S314)</f>
        <v>24</v>
      </c>
      <c r="U314" s="217">
        <f t="shared" si="774"/>
        <v>4.280431776740369</v>
      </c>
      <c r="V314" s="217">
        <f>L*U314/I314*1000000</f>
        <v>1.1940674323985816</v>
      </c>
      <c r="W314" s="217">
        <f t="shared" si="776"/>
        <v>2.6147100715863689</v>
      </c>
      <c r="X314" s="197">
        <f t="shared" si="777"/>
        <v>350</v>
      </c>
      <c r="Y314" s="443">
        <f t="shared" si="840"/>
        <v>249.45260718659082</v>
      </c>
      <c r="AA314" s="217">
        <f t="shared" si="778"/>
        <v>3.2109528749331151</v>
      </c>
      <c r="AB314" s="173">
        <f>L*AA314/J314*1000000</f>
        <v>1.9614168054490797</v>
      </c>
      <c r="AC314" s="173">
        <f>0.5*AB314*AA314*Nps*X314/1000</f>
        <v>0.73513602620080565</v>
      </c>
      <c r="AD314" s="173"/>
      <c r="AE314" s="173">
        <f t="shared" si="781"/>
        <v>1.3574487642394504</v>
      </c>
      <c r="AF314" s="545">
        <f>MAX(12000,F314/(0.5*AE314/1000000*Isw_min*Nps))/1000</f>
        <v>974.13535259696209</v>
      </c>
      <c r="AG314" s="528">
        <f t="shared" si="783"/>
        <v>0.35210712667966637</v>
      </c>
      <c r="AI314" s="173">
        <f t="shared" si="784"/>
        <v>3.7073459706357172</v>
      </c>
      <c r="AJ314" s="173">
        <f>MAX(IF(F314&gt;AC314,U314,AI314),Isw_min)</f>
        <v>4.280431776740369</v>
      </c>
      <c r="AK314" s="173">
        <f>IF(F314&gt;AG314, (AJ314-Isw_min)/1.08*0.8+1.2, AF314*0.2/350+1)</f>
        <v>2.7245996700134421</v>
      </c>
      <c r="AM314" s="545">
        <f t="shared" si="787"/>
        <v>980</v>
      </c>
      <c r="AN314" s="460">
        <f t="shared" si="788"/>
        <v>249.45260718659082</v>
      </c>
      <c r="AP314">
        <f t="shared" si="789"/>
        <v>980</v>
      </c>
      <c r="AQ314">
        <f t="shared" si="790"/>
        <v>249.45260718659082</v>
      </c>
      <c r="AS314" s="5">
        <f t="shared" si="763"/>
        <v>4.0087775039849509</v>
      </c>
      <c r="AT314" s="5">
        <f t="shared" si="791"/>
        <v>1.1940674323985816</v>
      </c>
      <c r="AU314" s="5">
        <f t="shared" si="883"/>
        <v>2.8147100715863695</v>
      </c>
      <c r="AV314" s="5"/>
      <c r="AW314" s="173">
        <f t="shared" si="884"/>
        <v>0.29786323416842447</v>
      </c>
      <c r="AX314" s="173">
        <f t="shared" si="792"/>
        <v>22.85247332524132</v>
      </c>
      <c r="AY314" s="173">
        <f t="shared" si="793"/>
        <v>1.0023170827817429</v>
      </c>
      <c r="AZ314" s="173">
        <f t="shared" si="794"/>
        <v>22.799644661167072</v>
      </c>
      <c r="BA314" s="460">
        <f t="shared" si="885"/>
        <v>4.8757753489608744</v>
      </c>
      <c r="BB314" s="5">
        <f t="shared" si="886"/>
        <v>1.5389730416735175</v>
      </c>
      <c r="BD314" s="173">
        <f t="shared" si="841"/>
        <v>1.3487622510392749</v>
      </c>
      <c r="BE314" s="173">
        <f t="shared" si="842"/>
        <v>1.381222496591646</v>
      </c>
      <c r="BG314" s="528">
        <f t="shared" si="843"/>
        <v>7.2766384393141287E-2</v>
      </c>
      <c r="BH314" s="528">
        <f t="shared" si="795"/>
        <v>1.254523886284308</v>
      </c>
      <c r="BI314" s="528">
        <f t="shared" si="796"/>
        <v>0.35768997214750087</v>
      </c>
      <c r="BJ314" s="528">
        <f t="shared" si="844"/>
        <v>0.11903308121491944</v>
      </c>
      <c r="BK314">
        <f t="shared" si="845"/>
        <v>1.6131369529641431E-2</v>
      </c>
      <c r="BL314" s="460">
        <f t="shared" si="846"/>
        <v>373.8213416771423</v>
      </c>
      <c r="BM314" s="528">
        <f t="shared" si="797"/>
        <v>1.4917617821139646</v>
      </c>
      <c r="BN314" s="460">
        <f t="shared" si="847"/>
        <v>1491.7617821139645</v>
      </c>
      <c r="BO314" s="528">
        <f t="shared" si="798"/>
        <v>0.68599999999999994</v>
      </c>
      <c r="BR314" s="460">
        <f t="shared" si="848"/>
        <v>686</v>
      </c>
      <c r="BS314" s="528">
        <f t="shared" si="849"/>
        <v>5.4574788294855958E-2</v>
      </c>
      <c r="BT314" s="528">
        <f t="shared" si="850"/>
        <v>5.7233267552725786E-2</v>
      </c>
      <c r="BU314" s="528">
        <f t="shared" si="851"/>
        <v>1.8627692987768456</v>
      </c>
      <c r="BV314" s="528"/>
      <c r="BW314" s="528">
        <f t="shared" si="852"/>
        <v>0.91409893300965273</v>
      </c>
      <c r="BX314" s="460">
        <f t="shared" si="853"/>
        <v>2888.6762876340804</v>
      </c>
      <c r="BY314" s="173">
        <f t="shared" si="854"/>
        <v>5.3948209812035905</v>
      </c>
      <c r="BZ314" s="5">
        <f t="shared" si="855"/>
        <v>23.52</v>
      </c>
      <c r="CA314" s="173">
        <f t="shared" si="856"/>
        <v>0.81342367691950934</v>
      </c>
      <c r="CB314" s="5">
        <f t="shared" si="857"/>
        <v>81.34236769195094</v>
      </c>
      <c r="CE314" s="562">
        <f t="shared" si="799"/>
        <v>-50</v>
      </c>
      <c r="CF314">
        <f t="shared" si="800"/>
        <v>-50</v>
      </c>
      <c r="CG314" s="173">
        <f t="shared" si="801"/>
        <v>0.67436313387711933</v>
      </c>
      <c r="CI314" s="170">
        <v>98</v>
      </c>
      <c r="CJ314" s="217">
        <f t="shared" si="858"/>
        <v>0.98</v>
      </c>
      <c r="CK314" s="217"/>
      <c r="CL314" s="217">
        <f t="shared" si="802"/>
        <v>23.52</v>
      </c>
      <c r="CM314" s="541">
        <f t="shared" si="803"/>
        <v>36</v>
      </c>
      <c r="CN314" s="443">
        <f t="shared" si="804"/>
        <v>16.3415</v>
      </c>
      <c r="CO314" s="443">
        <f t="shared" si="805"/>
        <v>52.341499999999996</v>
      </c>
      <c r="CP314" s="443"/>
      <c r="CQ314" s="217">
        <f t="shared" si="806"/>
        <v>0.31220924123305599</v>
      </c>
      <c r="CR314" s="172">
        <f t="shared" si="807"/>
        <v>63.048783011568261</v>
      </c>
      <c r="CS314" s="172">
        <f t="shared" si="808"/>
        <v>23.52</v>
      </c>
      <c r="CT314" s="217">
        <f t="shared" si="809"/>
        <v>2.6270326254820109</v>
      </c>
      <c r="CU314" s="217">
        <f t="shared" si="810"/>
        <v>24</v>
      </c>
      <c r="CV314" s="217"/>
      <c r="CW314" s="172">
        <f t="shared" si="811"/>
        <v>150.28758950368996</v>
      </c>
      <c r="CX314" s="172">
        <f t="shared" si="812"/>
        <v>24</v>
      </c>
      <c r="CY314" s="217">
        <f t="shared" si="813"/>
        <v>4.1852273863068463</v>
      </c>
      <c r="CZ314" s="217">
        <f t="shared" si="814"/>
        <v>1.1625631628630129</v>
      </c>
      <c r="DA314" s="217">
        <f t="shared" si="815"/>
        <v>2.5611035622842739</v>
      </c>
      <c r="DB314" s="197">
        <f t="shared" si="816"/>
        <v>350</v>
      </c>
      <c r="DC314" s="443">
        <f t="shared" si="817"/>
        <v>268.5524977964954</v>
      </c>
      <c r="DE314" s="217">
        <f t="shared" si="818"/>
        <v>3.211295052682861</v>
      </c>
      <c r="DF314" s="173">
        <f t="shared" si="819"/>
        <v>1.96511645361984</v>
      </c>
      <c r="DG314" s="173">
        <f t="shared" si="820"/>
        <v>0.73660113681324435</v>
      </c>
      <c r="DH314" s="173"/>
      <c r="DI314" s="173">
        <f t="shared" si="821"/>
        <v>1.3598642855443031</v>
      </c>
      <c r="DJ314" s="545">
        <f t="shared" si="822"/>
        <v>972.40499999999963</v>
      </c>
      <c r="DK314" s="528">
        <f t="shared" si="823"/>
        <v>0.35273368606701955</v>
      </c>
      <c r="DM314" s="173">
        <f t="shared" si="824"/>
        <v>3.7040518354904264</v>
      </c>
      <c r="DN314" s="173">
        <f t="shared" si="825"/>
        <v>4.1852273863068463</v>
      </c>
      <c r="DO314" s="173">
        <f t="shared" si="826"/>
        <v>2.654077899321944</v>
      </c>
      <c r="DQ314" s="545">
        <f t="shared" si="827"/>
        <v>980</v>
      </c>
      <c r="DR314" s="460">
        <f t="shared" si="828"/>
        <v>268.5524977964954</v>
      </c>
      <c r="DT314">
        <f t="shared" si="829"/>
        <v>980</v>
      </c>
      <c r="DU314">
        <f t="shared" si="830"/>
        <v>268.5524977964954</v>
      </c>
      <c r="DW314" s="5">
        <f t="shared" si="859"/>
        <v>3.7236667251472868</v>
      </c>
      <c r="DX314" s="5">
        <f t="shared" si="831"/>
        <v>1.1625631628630129</v>
      </c>
      <c r="DY314" s="5">
        <f t="shared" si="832"/>
        <v>2.5611035622842739</v>
      </c>
      <c r="DZ314" s="5"/>
      <c r="EA314" s="173">
        <f t="shared" si="833"/>
        <v>0.31220924123305599</v>
      </c>
      <c r="EB314" s="173">
        <f t="shared" si="860"/>
        <v>23.52</v>
      </c>
      <c r="EC314" s="173">
        <f t="shared" si="861"/>
        <v>0.96000000000000008</v>
      </c>
      <c r="ED314" s="173">
        <f t="shared" si="862"/>
        <v>24.499999999999996</v>
      </c>
      <c r="EE314" s="460">
        <f t="shared" si="834"/>
        <v>4.7471329150239692</v>
      </c>
      <c r="EF314" s="5">
        <f t="shared" si="835"/>
        <v>1.3943786061325489</v>
      </c>
      <c r="EH314" s="173">
        <f t="shared" si="863"/>
        <v>1.3501477842700049</v>
      </c>
      <c r="EI314" s="173">
        <f t="shared" si="864"/>
        <v>1.3366337818066198</v>
      </c>
      <c r="EK314" s="528">
        <f t="shared" si="865"/>
        <v>7.2915961574768151E-2</v>
      </c>
      <c r="EL314" s="528">
        <f t="shared" si="866"/>
        <v>1.6178085</v>
      </c>
      <c r="EM314" s="528">
        <f t="shared" si="867"/>
        <v>5.3710499559299081E-2</v>
      </c>
      <c r="EN314" s="528">
        <f t="shared" si="868"/>
        <v>0.12875365715625001</v>
      </c>
      <c r="EO314">
        <f t="shared" si="869"/>
        <v>1.6199999999999999E-2</v>
      </c>
      <c r="EP314" s="460">
        <f t="shared" si="870"/>
        <v>69.910499559299083</v>
      </c>
      <c r="EQ314" s="460"/>
      <c r="ER314" s="460">
        <f t="shared" si="871"/>
        <v>1889.3886182903173</v>
      </c>
      <c r="ES314" s="528">
        <f t="shared" si="872"/>
        <v>0.68599999999999994</v>
      </c>
      <c r="EV314" s="460">
        <f t="shared" si="873"/>
        <v>686</v>
      </c>
      <c r="EW314" s="528">
        <f t="shared" si="874"/>
        <v>5.4686971181076106E-2</v>
      </c>
      <c r="EX314" s="528">
        <f t="shared" si="875"/>
        <v>5.3597696E-2</v>
      </c>
      <c r="EY314" s="528">
        <f t="shared" si="876"/>
        <v>2.1175839702936594</v>
      </c>
      <c r="EZ314" s="528"/>
      <c r="FA314" s="528">
        <f t="shared" si="877"/>
        <v>0.94079999999999997</v>
      </c>
      <c r="FB314" s="460">
        <f t="shared" si="878"/>
        <v>3166.6686374747351</v>
      </c>
      <c r="FC314" s="173">
        <f t="shared" si="879"/>
        <v>5.7420572557650535</v>
      </c>
      <c r="FD314" s="5">
        <f t="shared" si="880"/>
        <v>23.52</v>
      </c>
      <c r="FE314" s="173">
        <f t="shared" si="881"/>
        <v>0.80377123844791243</v>
      </c>
      <c r="FF314" s="5">
        <f t="shared" si="882"/>
        <v>80.377123844791242</v>
      </c>
      <c r="FI314" s="562">
        <f t="shared" si="836"/>
        <v>-50</v>
      </c>
      <c r="FJ314">
        <f t="shared" si="837"/>
        <v>-50</v>
      </c>
      <c r="FL314">
        <f t="shared" si="838"/>
        <v>0.68779075876694407</v>
      </c>
    </row>
    <row r="315" spans="5:168">
      <c r="E315" s="170">
        <v>99</v>
      </c>
      <c r="F315" s="217">
        <f>IF(PLOT_TYPE=1, E315/100*Iout_max, min_I*EXP(N315*rr/100))</f>
        <v>0.99</v>
      </c>
      <c r="G315" s="217"/>
      <c r="H315" s="217">
        <f>F315*Vout</f>
        <v>23.759999999999998</v>
      </c>
      <c r="I315" s="541">
        <f t="shared" si="765"/>
        <v>35.845962578225198</v>
      </c>
      <c r="J315" s="172">
        <f t="shared" si="766"/>
        <v>16.370869809086845</v>
      </c>
      <c r="K315" s="172">
        <f t="shared" si="767"/>
        <v>52.216832387312039</v>
      </c>
      <c r="L315" s="443"/>
      <c r="M315" s="217">
        <f t="shared" si="768"/>
        <v>0.31350963693998002</v>
      </c>
      <c r="N315" s="172">
        <f>M315*I315*(Isw_max+VIN_max/Lmag*ILIM_delay)*0.5*Efficiency</f>
        <v>63.040492252668336</v>
      </c>
      <c r="O315" s="172">
        <f t="shared" si="762"/>
        <v>23.759999999999998</v>
      </c>
      <c r="P315" s="217">
        <f>N315/Vout</f>
        <v>2.6266871771945142</v>
      </c>
      <c r="Q315" s="217">
        <f t="shared" si="771"/>
        <v>24</v>
      </c>
      <c r="R315" s="217"/>
      <c r="S315" s="172">
        <f t="shared" si="772"/>
        <v>147.59516604529301</v>
      </c>
      <c r="T315" s="172">
        <f>MIN(Vout, S315)</f>
        <v>24</v>
      </c>
      <c r="U315" s="217">
        <f t="shared" si="774"/>
        <v>4.3241914262231207</v>
      </c>
      <c r="V315" s="217">
        <f>L*U315/I315*1000000</f>
        <v>1.2063259333004694</v>
      </c>
      <c r="W315" s="217">
        <f t="shared" si="776"/>
        <v>2.6413938151428749</v>
      </c>
      <c r="X315" s="197">
        <f t="shared" si="777"/>
        <v>350</v>
      </c>
      <c r="Y315" s="443">
        <f t="shared" si="840"/>
        <v>247.05267709914352</v>
      </c>
      <c r="AA315" s="217">
        <f t="shared" si="778"/>
        <v>3.2109491995486716</v>
      </c>
      <c r="AB315" s="173">
        <f>L*AA315/J315*1000000</f>
        <v>1.9613797171402563</v>
      </c>
      <c r="AC315" s="173">
        <f>0.5*AB315*AA315*Nps*X315/1000</f>
        <v>0.73512128410920352</v>
      </c>
      <c r="AD315" s="173"/>
      <c r="AE315" s="173">
        <f t="shared" si="781"/>
        <v>1.3574246500871638</v>
      </c>
      <c r="AF315" s="545">
        <f>MAX(12000,F315/(0.5*AE315/1000000*Isw_min*Nps))/1000</f>
        <v>984.09299099750638</v>
      </c>
      <c r="AG315" s="528">
        <f t="shared" si="783"/>
        <v>0.35210087173649829</v>
      </c>
      <c r="AI315" s="173">
        <f t="shared" si="784"/>
        <v>3.7262460903556471</v>
      </c>
      <c r="AJ315" s="173">
        <f>MAX(IF(F315&gt;AC315,U315,AI315),Isw_min)</f>
        <v>4.3241914262231207</v>
      </c>
      <c r="AK315" s="173">
        <f>IF(F315&gt;AG315, (AJ315-Isw_min)/1.08*0.8+1.2, AF315*0.2/350+1)</f>
        <v>2.7570142251858507</v>
      </c>
      <c r="AM315" s="545">
        <f t="shared" si="787"/>
        <v>990</v>
      </c>
      <c r="AN315" s="460">
        <f t="shared" si="788"/>
        <v>247.05267709914352</v>
      </c>
      <c r="AP315">
        <f t="shared" si="789"/>
        <v>990</v>
      </c>
      <c r="AQ315">
        <f t="shared" si="790"/>
        <v>247.05267709914352</v>
      </c>
      <c r="AS315" s="5">
        <f t="shared" si="763"/>
        <v>4.0477197484433445</v>
      </c>
      <c r="AT315" s="5">
        <f t="shared" si="791"/>
        <v>1.2063259333004694</v>
      </c>
      <c r="AU315" s="5">
        <f t="shared" si="883"/>
        <v>2.841393815142875</v>
      </c>
      <c r="AV315" s="5"/>
      <c r="AW315" s="173">
        <f t="shared" si="884"/>
        <v>0.29802605127600379</v>
      </c>
      <c r="AX315" s="173">
        <f t="shared" si="792"/>
        <v>23.097734839242012</v>
      </c>
      <c r="AY315" s="173">
        <f t="shared" si="793"/>
        <v>1.0123291551231819</v>
      </c>
      <c r="AZ315" s="173">
        <f t="shared" si="794"/>
        <v>22.816427564443149</v>
      </c>
      <c r="BA315" s="460">
        <f t="shared" si="885"/>
        <v>4.9760944748644365</v>
      </c>
      <c r="BB315" s="5">
        <f t="shared" si="886"/>
        <v>1.56948212555475</v>
      </c>
      <c r="BD315" s="173">
        <f t="shared" si="841"/>
        <v>1.3629232440377408</v>
      </c>
      <c r="BE315" s="173">
        <f t="shared" si="842"/>
        <v>1.3951811998010084</v>
      </c>
      <c r="BG315" s="528">
        <f t="shared" si="843"/>
        <v>7.4302390765534368E-2</v>
      </c>
      <c r="BH315" s="528">
        <f t="shared" si="795"/>
        <v>1.2551265505753086</v>
      </c>
      <c r="BI315" s="528">
        <f t="shared" si="796"/>
        <v>0.35423364072585012</v>
      </c>
      <c r="BJ315" s="528">
        <f t="shared" si="844"/>
        <v>0.11788231571178169</v>
      </c>
      <c r="BK315">
        <f t="shared" si="845"/>
        <v>1.6130683160201338E-2</v>
      </c>
      <c r="BL315" s="460">
        <f t="shared" si="846"/>
        <v>370.36432388605147</v>
      </c>
      <c r="BM315" s="528">
        <f t="shared" si="797"/>
        <v>1.4937438265909744</v>
      </c>
      <c r="BN315" s="460">
        <f t="shared" si="847"/>
        <v>1493.7438265909743</v>
      </c>
      <c r="BO315" s="528">
        <f t="shared" si="798"/>
        <v>0.69299999999999995</v>
      </c>
      <c r="BR315" s="460">
        <f t="shared" si="848"/>
        <v>693</v>
      </c>
      <c r="BS315" s="528">
        <f t="shared" si="849"/>
        <v>5.5726793074150772E-2</v>
      </c>
      <c r="BT315" s="528">
        <f t="shared" si="850"/>
        <v>5.8395917408345439E-2</v>
      </c>
      <c r="BU315" s="528">
        <f t="shared" si="851"/>
        <v>1.8651174851015042</v>
      </c>
      <c r="BV315" s="528"/>
      <c r="BW315" s="528">
        <f t="shared" si="852"/>
        <v>0.92390939356968049</v>
      </c>
      <c r="BX315" s="460">
        <f t="shared" si="853"/>
        <v>2903.1495891536811</v>
      </c>
      <c r="BY315" s="173">
        <f t="shared" si="854"/>
        <v>5.4138251700923572</v>
      </c>
      <c r="BZ315" s="5">
        <f t="shared" si="855"/>
        <v>23.759999999999998</v>
      </c>
      <c r="CA315" s="173">
        <f t="shared" si="856"/>
        <v>0.81442868261093304</v>
      </c>
      <c r="CB315" s="5">
        <f t="shared" si="857"/>
        <v>81.442868261093309</v>
      </c>
      <c r="CE315" s="562">
        <f t="shared" si="799"/>
        <v>-50</v>
      </c>
      <c r="CF315">
        <f t="shared" si="800"/>
        <v>-50</v>
      </c>
      <c r="CG315" s="173">
        <f t="shared" si="801"/>
        <v>0.67449876645176399</v>
      </c>
      <c r="CI315" s="170">
        <v>99</v>
      </c>
      <c r="CJ315" s="217">
        <f t="shared" si="858"/>
        <v>0.99</v>
      </c>
      <c r="CK315" s="217"/>
      <c r="CL315" s="217">
        <f t="shared" si="802"/>
        <v>23.759999999999998</v>
      </c>
      <c r="CM315" s="541">
        <f t="shared" si="803"/>
        <v>36</v>
      </c>
      <c r="CN315" s="443">
        <f t="shared" si="804"/>
        <v>16.3415</v>
      </c>
      <c r="CO315" s="443">
        <f t="shared" si="805"/>
        <v>52.341499999999996</v>
      </c>
      <c r="CP315" s="443"/>
      <c r="CQ315" s="217">
        <f t="shared" si="806"/>
        <v>0.31220924123305599</v>
      </c>
      <c r="CR315" s="172">
        <f t="shared" si="807"/>
        <v>63.048783011568261</v>
      </c>
      <c r="CS315" s="172">
        <f t="shared" si="808"/>
        <v>23.759999999999998</v>
      </c>
      <c r="CT315" s="217">
        <f t="shared" si="809"/>
        <v>2.6270326254820109</v>
      </c>
      <c r="CU315" s="217">
        <f t="shared" si="810"/>
        <v>24</v>
      </c>
      <c r="CV315" s="217"/>
      <c r="CW315" s="172">
        <f t="shared" si="811"/>
        <v>148.22863648065282</v>
      </c>
      <c r="CX315" s="172">
        <f t="shared" si="812"/>
        <v>24</v>
      </c>
      <c r="CY315" s="217">
        <f t="shared" si="813"/>
        <v>4.2279337882079364</v>
      </c>
      <c r="CZ315" s="217">
        <f t="shared" si="814"/>
        <v>1.1744260522799825</v>
      </c>
      <c r="DA315" s="217">
        <f t="shared" si="815"/>
        <v>2.5872372721035015</v>
      </c>
      <c r="DB315" s="197">
        <f t="shared" si="816"/>
        <v>350</v>
      </c>
      <c r="DC315" s="443">
        <f t="shared" si="817"/>
        <v>265.83984630360146</v>
      </c>
      <c r="DE315" s="217">
        <f t="shared" si="818"/>
        <v>3.211295052682861</v>
      </c>
      <c r="DF315" s="173">
        <f t="shared" si="819"/>
        <v>1.96511645361984</v>
      </c>
      <c r="DG315" s="173">
        <f t="shared" si="820"/>
        <v>0.73660113681324435</v>
      </c>
      <c r="DH315" s="173"/>
      <c r="DI315" s="173">
        <f t="shared" si="821"/>
        <v>1.3598642855443031</v>
      </c>
      <c r="DJ315" s="545">
        <f t="shared" si="822"/>
        <v>982.32749999999965</v>
      </c>
      <c r="DK315" s="528">
        <f t="shared" si="823"/>
        <v>0.35273368606701955</v>
      </c>
      <c r="DM315" s="173">
        <f t="shared" si="824"/>
        <v>3.7229020937972566</v>
      </c>
      <c r="DN315" s="173">
        <f t="shared" si="825"/>
        <v>4.2279337882079364</v>
      </c>
      <c r="DO315" s="173">
        <f t="shared" si="826"/>
        <v>2.6857122711005292</v>
      </c>
      <c r="DQ315" s="545">
        <f t="shared" si="827"/>
        <v>990</v>
      </c>
      <c r="DR315" s="460">
        <f t="shared" si="828"/>
        <v>265.83984630360146</v>
      </c>
      <c r="DT315">
        <f t="shared" si="829"/>
        <v>990</v>
      </c>
      <c r="DU315">
        <f t="shared" si="830"/>
        <v>265.83984630360146</v>
      </c>
      <c r="DW315" s="5">
        <f t="shared" si="859"/>
        <v>3.7616633243834841</v>
      </c>
      <c r="DX315" s="5">
        <f t="shared" si="831"/>
        <v>1.1744260522799825</v>
      </c>
      <c r="DY315" s="5">
        <f t="shared" si="832"/>
        <v>2.5872372721035015</v>
      </c>
      <c r="DZ315" s="5"/>
      <c r="EA315" s="173">
        <f t="shared" si="833"/>
        <v>0.31220924123305599</v>
      </c>
      <c r="EB315" s="173">
        <f t="shared" si="860"/>
        <v>23.759999999999998</v>
      </c>
      <c r="EC315" s="173">
        <f t="shared" si="861"/>
        <v>0.96979591836734691</v>
      </c>
      <c r="ED315" s="173">
        <f t="shared" si="862"/>
        <v>24.5</v>
      </c>
      <c r="EE315" s="460">
        <f t="shared" si="834"/>
        <v>4.8445074656549281</v>
      </c>
      <c r="EF315" s="5">
        <f t="shared" si="835"/>
        <v>1.4229804996569255</v>
      </c>
      <c r="EH315" s="173">
        <f t="shared" si="863"/>
        <v>1.3639248024768418</v>
      </c>
      <c r="EI315" s="173">
        <f t="shared" si="864"/>
        <v>1.3502729020291364</v>
      </c>
      <c r="EK315" s="528">
        <f t="shared" si="865"/>
        <v>7.4411634672459676E-2</v>
      </c>
      <c r="EL315" s="528">
        <f t="shared" si="866"/>
        <v>1.6178084999999998</v>
      </c>
      <c r="EM315" s="528">
        <f t="shared" si="867"/>
        <v>5.3167969260720288E-2</v>
      </c>
      <c r="EN315" s="528">
        <f t="shared" si="868"/>
        <v>0.12745311516477267</v>
      </c>
      <c r="EO315">
        <f t="shared" si="869"/>
        <v>1.6199999999999999E-2</v>
      </c>
      <c r="EP315" s="460">
        <f t="shared" si="870"/>
        <v>69.367969260720287</v>
      </c>
      <c r="EQ315" s="460"/>
      <c r="ER315" s="460">
        <f t="shared" si="871"/>
        <v>1889.0412190979523</v>
      </c>
      <c r="ES315" s="528">
        <f t="shared" si="872"/>
        <v>0.69299999999999995</v>
      </c>
      <c r="EV315" s="460">
        <f t="shared" si="873"/>
        <v>693</v>
      </c>
      <c r="EW315" s="528">
        <f t="shared" si="874"/>
        <v>5.5808726004344757E-2</v>
      </c>
      <c r="EX315" s="528">
        <f t="shared" si="875"/>
        <v>5.469710729862557E-2</v>
      </c>
      <c r="EY315" s="528">
        <f t="shared" si="876"/>
        <v>2.1175839702936594</v>
      </c>
      <c r="EZ315" s="528"/>
      <c r="FA315" s="528">
        <f t="shared" si="877"/>
        <v>0.9503999999999998</v>
      </c>
      <c r="FB315" s="460">
        <f t="shared" si="878"/>
        <v>3178.4898035966294</v>
      </c>
      <c r="FC315" s="173">
        <f t="shared" si="879"/>
        <v>5.7605310226945825</v>
      </c>
      <c r="FD315" s="5">
        <f t="shared" si="880"/>
        <v>23.759999999999998</v>
      </c>
      <c r="FE315" s="173">
        <f t="shared" si="881"/>
        <v>0.80486357043286105</v>
      </c>
      <c r="FF315" s="5">
        <f t="shared" si="882"/>
        <v>80.486357043286105</v>
      </c>
      <c r="FI315" s="562">
        <f t="shared" si="836"/>
        <v>-50</v>
      </c>
      <c r="FJ315">
        <f t="shared" si="837"/>
        <v>-50</v>
      </c>
      <c r="FL315">
        <f t="shared" si="838"/>
        <v>0.68779075876694407</v>
      </c>
    </row>
    <row r="316" spans="5:168">
      <c r="E316" s="170">
        <v>100</v>
      </c>
      <c r="F316" s="217">
        <f>IF(PLOT_TYPE=1, E316/100*Iout_max, min_I*EXP(N316*rr/100))</f>
        <v>1</v>
      </c>
      <c r="G316" s="217"/>
      <c r="H316" s="217">
        <f>F316*Vout</f>
        <v>24</v>
      </c>
      <c r="I316" s="541">
        <f t="shared" si="765"/>
        <v>35.844437300594628</v>
      </c>
      <c r="J316" s="172">
        <f t="shared" si="766"/>
        <v>16.371160628761039</v>
      </c>
      <c r="K316" s="172">
        <f t="shared" si="767"/>
        <v>52.215597929355667</v>
      </c>
      <c r="L316" s="443"/>
      <c r="M316" s="217">
        <f t="shared" si="768"/>
        <v>0.31352262000068609</v>
      </c>
      <c r="N316" s="172">
        <f>M316*I316*(Isw_max+VIN_max/Lmag*ILIM_delay)*0.5*Efficiency</f>
        <v>63.04042034528608</v>
      </c>
      <c r="O316" s="172">
        <f t="shared" si="762"/>
        <v>24</v>
      </c>
      <c r="P316" s="217">
        <f>N316/Vout</f>
        <v>2.6266841810535868</v>
      </c>
      <c r="Q316" s="217">
        <f t="shared" si="771"/>
        <v>24</v>
      </c>
      <c r="R316" s="217"/>
      <c r="S316" s="172">
        <f t="shared" si="772"/>
        <v>145.57991640288526</v>
      </c>
      <c r="T316" s="172">
        <f>MIN(Vout, S316)</f>
        <v>24</v>
      </c>
      <c r="U316" s="217">
        <f t="shared" si="774"/>
        <v>4.3679527352061971</v>
      </c>
      <c r="V316" s="217">
        <f>L*U316/I316*1000000</f>
        <v>1.2185859408465975</v>
      </c>
      <c r="W316" s="217">
        <f t="shared" si="776"/>
        <v>2.6680776239728101</v>
      </c>
      <c r="X316" s="197">
        <f t="shared" si="777"/>
        <v>350</v>
      </c>
      <c r="Y316" s="443">
        <f t="shared" si="840"/>
        <v>244.69839127659893</v>
      </c>
      <c r="AA316" s="217">
        <f t="shared" si="778"/>
        <v>3.2109455191066587</v>
      </c>
      <c r="AB316" s="173">
        <f>L*AA316/J316*1000000</f>
        <v>1.961342626780922</v>
      </c>
      <c r="AC316" s="173">
        <f>0.5*AB316*AA316*Nps*X316/1000</f>
        <v>0.73510654012302878</v>
      </c>
      <c r="AD316" s="173"/>
      <c r="AE316" s="173">
        <f t="shared" si="781"/>
        <v>1.3574005365986073</v>
      </c>
      <c r="AF316" s="545">
        <f>MAX(12000,F316/(0.5*AE316/1000000*Isw_min*Nps))/1000</f>
        <v>994.05098270587985</v>
      </c>
      <c r="AG316" s="528">
        <f t="shared" si="783"/>
        <v>0.35209461696549438</v>
      </c>
      <c r="AI316" s="173">
        <f t="shared" si="784"/>
        <v>3.7450514937361703</v>
      </c>
      <c r="AJ316" s="173">
        <f>MAX(IF(F316&gt;AC316,U316,AI316),Isw_min)</f>
        <v>4.3679527352061971</v>
      </c>
      <c r="AK316" s="173">
        <f>IF(F316&gt;AG316, (AJ316-Isw_min)/1.08*0.8+1.2, AF316*0.2/350+1)</f>
        <v>2.7894300096177593</v>
      </c>
      <c r="AM316" s="545">
        <f t="shared" si="787"/>
        <v>1000</v>
      </c>
      <c r="AN316" s="460">
        <f t="shared" si="788"/>
        <v>244.69839127659893</v>
      </c>
      <c r="AP316">
        <f t="shared" si="789"/>
        <v>1000</v>
      </c>
      <c r="AQ316">
        <f t="shared" si="790"/>
        <v>244.69839127659893</v>
      </c>
      <c r="AS316" s="5">
        <f t="shared" si="763"/>
        <v>4.086663564819407</v>
      </c>
      <c r="AT316" s="5">
        <f t="shared" si="791"/>
        <v>1.2185859408465975</v>
      </c>
      <c r="AU316" s="5">
        <f t="shared" si="883"/>
        <v>2.8680776239728094</v>
      </c>
      <c r="AV316" s="5"/>
      <c r="AW316" s="173">
        <f>AT316/AS316</f>
        <v>0.29818601935744321</v>
      </c>
      <c r="AX316" s="173">
        <f t="shared" si="792"/>
        <v>23.343016612915644</v>
      </c>
      <c r="AY316" s="173">
        <f t="shared" si="793"/>
        <v>1.0223410138339273</v>
      </c>
      <c r="AZ316" s="173">
        <f t="shared" si="794"/>
        <v>22.832906336581313</v>
      </c>
      <c r="BA316" s="460">
        <f t="shared" si="885"/>
        <v>5.0774414201941562</v>
      </c>
      <c r="BB316" s="5">
        <f t="shared" si="886"/>
        <v>1.6002916156394678</v>
      </c>
      <c r="BD316" s="173">
        <f t="shared" si="841"/>
        <v>1.3770856148995136</v>
      </c>
      <c r="BE316" s="173">
        <f t="shared" si="842"/>
        <v>1.4091400050784677</v>
      </c>
      <c r="BG316" s="528">
        <f t="shared" si="843"/>
        <v>7.5854591630526866E-2</v>
      </c>
      <c r="BH316" s="528">
        <f t="shared" si="795"/>
        <v>1.2557171281692687</v>
      </c>
      <c r="BI316" s="528">
        <f t="shared" si="796"/>
        <v>0.35084304574681685</v>
      </c>
      <c r="BJ316" s="528">
        <f t="shared" si="844"/>
        <v>0.1167534369243111</v>
      </c>
      <c r="BK316">
        <f t="shared" si="845"/>
        <v>1.6129996785267581E-2</v>
      </c>
      <c r="BL316" s="460">
        <f t="shared" si="846"/>
        <v>366.97304253208438</v>
      </c>
      <c r="BM316" s="528">
        <f t="shared" si="797"/>
        <v>1.4957641296135862</v>
      </c>
      <c r="BN316" s="460">
        <f t="shared" si="847"/>
        <v>1495.7641296135862</v>
      </c>
      <c r="BO316" s="528">
        <f t="shared" si="798"/>
        <v>0.7</v>
      </c>
      <c r="BR316" s="460">
        <f t="shared" si="848"/>
        <v>700</v>
      </c>
      <c r="BS316" s="528">
        <f t="shared" si="849"/>
        <v>5.6890943722895146E-2</v>
      </c>
      <c r="BT316" s="528">
        <f t="shared" si="850"/>
        <v>5.9570266617376313E-2</v>
      </c>
      <c r="BU316" s="528">
        <f t="shared" si="851"/>
        <v>1.8674226218862358</v>
      </c>
      <c r="BV316" s="528"/>
      <c r="BW316" s="528">
        <f t="shared" si="852"/>
        <v>0.93372066451662572</v>
      </c>
      <c r="BX316" s="460">
        <f t="shared" si="853"/>
        <v>2917.604496743133</v>
      </c>
      <c r="BY316" s="173">
        <f t="shared" si="854"/>
        <v>5.4329026959993243</v>
      </c>
      <c r="BZ316" s="5">
        <f t="shared" si="855"/>
        <v>24</v>
      </c>
      <c r="CA316" s="173">
        <f t="shared" si="856"/>
        <v>0.81541396877794892</v>
      </c>
      <c r="CB316" s="5">
        <f t="shared" si="857"/>
        <v>81.541396877794895</v>
      </c>
      <c r="CE316" s="562">
        <f t="shared" si="799"/>
        <v>-50</v>
      </c>
      <c r="CF316">
        <f t="shared" si="800"/>
        <v>-50</v>
      </c>
      <c r="CG316" s="173">
        <f t="shared" si="801"/>
        <v>0.67463168637491577</v>
      </c>
      <c r="CI316" s="170">
        <v>100</v>
      </c>
      <c r="CJ316" s="217">
        <f t="shared" si="858"/>
        <v>1</v>
      </c>
      <c r="CK316" s="217"/>
      <c r="CL316" s="217">
        <f t="shared" si="802"/>
        <v>24</v>
      </c>
      <c r="CM316" s="541">
        <f t="shared" si="803"/>
        <v>36</v>
      </c>
      <c r="CN316" s="443">
        <f t="shared" si="804"/>
        <v>16.3415</v>
      </c>
      <c r="CO316" s="443">
        <f t="shared" si="805"/>
        <v>52.341499999999996</v>
      </c>
      <c r="CP316" s="443"/>
      <c r="CQ316" s="217">
        <f t="shared" si="806"/>
        <v>0.31220924123305599</v>
      </c>
      <c r="CR316" s="172">
        <f t="shared" si="807"/>
        <v>63.048783011568261</v>
      </c>
      <c r="CS316" s="172">
        <f t="shared" si="808"/>
        <v>24</v>
      </c>
      <c r="CT316" s="217">
        <f t="shared" si="809"/>
        <v>2.6270326254820109</v>
      </c>
      <c r="CU316" s="217">
        <f t="shared" si="810"/>
        <v>24</v>
      </c>
      <c r="CV316" s="217"/>
      <c r="CW316" s="172">
        <f t="shared" si="811"/>
        <v>146.21092990322313</v>
      </c>
      <c r="CX316" s="172">
        <f t="shared" si="812"/>
        <v>24</v>
      </c>
      <c r="CY316" s="217">
        <f t="shared" si="813"/>
        <v>4.2706401901090274</v>
      </c>
      <c r="CZ316" s="217">
        <f t="shared" si="814"/>
        <v>1.186288941696952</v>
      </c>
      <c r="DA316" s="217">
        <f t="shared" si="815"/>
        <v>2.6133709819227287</v>
      </c>
      <c r="DB316" s="197">
        <f t="shared" si="816"/>
        <v>350</v>
      </c>
      <c r="DC316" s="443">
        <f t="shared" si="817"/>
        <v>263.18144784056551</v>
      </c>
      <c r="DE316" s="217">
        <f t="shared" si="818"/>
        <v>3.211295052682861</v>
      </c>
      <c r="DF316" s="173">
        <f t="shared" si="819"/>
        <v>1.96511645361984</v>
      </c>
      <c r="DG316" s="173">
        <f t="shared" si="820"/>
        <v>0.73660113681324435</v>
      </c>
      <c r="DH316" s="173"/>
      <c r="DI316" s="173">
        <f t="shared" si="821"/>
        <v>1.3598642855443031</v>
      </c>
      <c r="DJ316" s="545">
        <f t="shared" si="822"/>
        <v>992.24999999999966</v>
      </c>
      <c r="DK316" s="528">
        <f t="shared" si="823"/>
        <v>0.35273368606701955</v>
      </c>
      <c r="DM316" s="173">
        <f t="shared" si="824"/>
        <v>3.7416573867739413</v>
      </c>
      <c r="DN316" s="173">
        <f t="shared" si="825"/>
        <v>4.2706401901090274</v>
      </c>
      <c r="DO316" s="173">
        <f t="shared" si="826"/>
        <v>2.7173466428791149</v>
      </c>
      <c r="DQ316" s="545">
        <f t="shared" si="827"/>
        <v>1000</v>
      </c>
      <c r="DR316" s="460">
        <f t="shared" si="828"/>
        <v>263.18144784056551</v>
      </c>
      <c r="DT316">
        <f t="shared" si="829"/>
        <v>1000</v>
      </c>
      <c r="DU316">
        <f t="shared" si="830"/>
        <v>263.18144784056551</v>
      </c>
      <c r="DW316" s="5">
        <f t="shared" si="859"/>
        <v>3.7996599236196804</v>
      </c>
      <c r="DX316" s="5">
        <f t="shared" si="831"/>
        <v>1.186288941696952</v>
      </c>
      <c r="DY316" s="5">
        <f t="shared" si="832"/>
        <v>2.6133709819227287</v>
      </c>
      <c r="DZ316" s="5"/>
      <c r="EA316" s="173">
        <f t="shared" si="833"/>
        <v>0.31220924123305599</v>
      </c>
      <c r="EB316" s="173">
        <f t="shared" si="860"/>
        <v>24.000000000000007</v>
      </c>
      <c r="EC316" s="173">
        <f t="shared" si="861"/>
        <v>0.97959183673469397</v>
      </c>
      <c r="ED316" s="173">
        <f t="shared" si="862"/>
        <v>24.500000000000004</v>
      </c>
      <c r="EE316" s="460">
        <f t="shared" si="834"/>
        <v>4.9428705904039667</v>
      </c>
      <c r="EF316" s="5">
        <f t="shared" si="835"/>
        <v>1.4518727677348491</v>
      </c>
      <c r="EH316" s="173">
        <f t="shared" si="863"/>
        <v>1.3777018206836789</v>
      </c>
      <c r="EI316" s="173">
        <f t="shared" si="864"/>
        <v>1.363912022251653</v>
      </c>
      <c r="EK316" s="528">
        <f t="shared" si="865"/>
        <v>7.5922492268604952E-2</v>
      </c>
      <c r="EL316" s="528">
        <f t="shared" si="866"/>
        <v>1.6178085</v>
      </c>
      <c r="EM316" s="528">
        <f t="shared" si="867"/>
        <v>5.2636289568113101E-2</v>
      </c>
      <c r="EN316" s="528">
        <f t="shared" si="868"/>
        <v>0.12617858401312501</v>
      </c>
      <c r="EO316">
        <f t="shared" si="869"/>
        <v>1.6199999999999999E-2</v>
      </c>
      <c r="EP316" s="460">
        <f t="shared" si="870"/>
        <v>68.836289568113102</v>
      </c>
      <c r="EQ316" s="460"/>
      <c r="ER316" s="460">
        <f t="shared" si="871"/>
        <v>1888.7458658498433</v>
      </c>
      <c r="ES316" s="528">
        <f t="shared" si="872"/>
        <v>0.7</v>
      </c>
      <c r="EV316" s="460">
        <f t="shared" si="873"/>
        <v>700</v>
      </c>
      <c r="EW316" s="528">
        <f t="shared" si="874"/>
        <v>5.6941869201453707E-2</v>
      </c>
      <c r="EX316" s="528">
        <f t="shared" si="875"/>
        <v>5.5807680133277804E-2</v>
      </c>
      <c r="EY316" s="528">
        <f t="shared" si="876"/>
        <v>2.1175839702936594</v>
      </c>
      <c r="EZ316" s="528"/>
      <c r="FA316" s="528">
        <f t="shared" si="877"/>
        <v>0.9600000000000003</v>
      </c>
      <c r="FB316" s="460">
        <f t="shared" si="878"/>
        <v>3190.3335196283915</v>
      </c>
      <c r="FC316" s="173">
        <f t="shared" si="879"/>
        <v>5.7790793854782345</v>
      </c>
      <c r="FD316" s="5">
        <f t="shared" si="880"/>
        <v>24</v>
      </c>
      <c r="FE316" s="173">
        <f t="shared" si="881"/>
        <v>0.80593492126904365</v>
      </c>
      <c r="FF316" s="5">
        <f t="shared" si="882"/>
        <v>80.593492126904366</v>
      </c>
      <c r="FI316" s="562">
        <f t="shared" si="836"/>
        <v>-50</v>
      </c>
      <c r="FJ316">
        <f t="shared" si="837"/>
        <v>-50</v>
      </c>
      <c r="FL316">
        <f t="shared" si="838"/>
        <v>0.68779075876694407</v>
      </c>
    </row>
    <row r="317" spans="5:168">
      <c r="E317" s="170"/>
      <c r="F317" s="217"/>
      <c r="G317" s="217"/>
      <c r="CE317" s="562"/>
      <c r="CI317" s="170"/>
      <c r="CJ317" s="217"/>
      <c r="CK317" s="217"/>
      <c r="FI317" s="562"/>
    </row>
    <row r="318" spans="5:168" ht="45" customHeight="1" thickBot="1">
      <c r="E318" s="241" t="s">
        <v>25</v>
      </c>
      <c r="F318" s="444" t="s">
        <v>194</v>
      </c>
      <c r="G318" s="260"/>
      <c r="H318" s="527" t="s">
        <v>223</v>
      </c>
      <c r="I318" s="242" t="s">
        <v>412</v>
      </c>
      <c r="J318" s="243" t="s">
        <v>418</v>
      </c>
      <c r="K318" s="527" t="s">
        <v>413</v>
      </c>
      <c r="L318" s="527"/>
      <c r="M318" s="244" t="s">
        <v>48</v>
      </c>
      <c r="N318" s="527" t="s">
        <v>402</v>
      </c>
      <c r="O318" s="527" t="s">
        <v>656</v>
      </c>
      <c r="P318" s="527" t="s">
        <v>403</v>
      </c>
      <c r="Q318" s="527" t="s">
        <v>433</v>
      </c>
      <c r="R318" s="527" t="s">
        <v>654</v>
      </c>
      <c r="S318" s="527" t="s">
        <v>657</v>
      </c>
      <c r="T318" s="527" t="s">
        <v>655</v>
      </c>
      <c r="U318" s="527" t="s">
        <v>414</v>
      </c>
      <c r="V318" s="527" t="s">
        <v>466</v>
      </c>
      <c r="W318" s="527" t="s">
        <v>465</v>
      </c>
      <c r="X318" s="546" t="s">
        <v>420</v>
      </c>
      <c r="Y318" s="542" t="s">
        <v>425</v>
      </c>
      <c r="AA318" s="245" t="s">
        <v>417</v>
      </c>
      <c r="AB318" s="245" t="s">
        <v>464</v>
      </c>
      <c r="AC318" s="245" t="s">
        <v>423</v>
      </c>
      <c r="AD318" s="544"/>
      <c r="AE318" s="245" t="s">
        <v>463</v>
      </c>
      <c r="AF318" s="245" t="s">
        <v>681</v>
      </c>
      <c r="AG318" s="245" t="s">
        <v>427</v>
      </c>
      <c r="AH318" s="544"/>
      <c r="AI318" s="245" t="s">
        <v>429</v>
      </c>
      <c r="AJ318" s="547" t="s">
        <v>430</v>
      </c>
      <c r="AK318" s="547" t="s">
        <v>431</v>
      </c>
      <c r="AM318" s="543" t="s">
        <v>275</v>
      </c>
      <c r="AN318" s="543" t="s">
        <v>432</v>
      </c>
      <c r="AP318" s="245" t="s">
        <v>275</v>
      </c>
      <c r="AQ318" s="245" t="s">
        <v>432</v>
      </c>
      <c r="AR318" s="548"/>
      <c r="AS318" s="245" t="s">
        <v>467</v>
      </c>
      <c r="AT318" s="245" t="s">
        <v>461</v>
      </c>
      <c r="AU318" s="245" t="s">
        <v>462</v>
      </c>
      <c r="AV318" s="245" t="s">
        <v>653</v>
      </c>
      <c r="AW318" s="245" t="s">
        <v>48</v>
      </c>
      <c r="AX318" s="548" t="s">
        <v>651</v>
      </c>
      <c r="AY318" s="544" t="s">
        <v>650</v>
      </c>
      <c r="AZ318" s="544" t="s">
        <v>652</v>
      </c>
      <c r="BA318" s="245" t="s">
        <v>481</v>
      </c>
      <c r="BB318" s="245" t="s">
        <v>514</v>
      </c>
      <c r="BC318" s="544"/>
      <c r="BD318" s="557" t="s">
        <v>456</v>
      </c>
      <c r="BE318" s="245" t="s">
        <v>457</v>
      </c>
      <c r="BF318" s="544"/>
      <c r="BG318" s="557" t="s">
        <v>474</v>
      </c>
      <c r="BH318" s="245" t="s">
        <v>475</v>
      </c>
      <c r="BI318" s="245" t="s">
        <v>473</v>
      </c>
      <c r="BJ318" s="245" t="s">
        <v>469</v>
      </c>
      <c r="BK318" s="245" t="s">
        <v>478</v>
      </c>
      <c r="BL318" s="245" t="s">
        <v>777</v>
      </c>
      <c r="BM318" s="245" t="s">
        <v>776</v>
      </c>
      <c r="BN318" s="245" t="s">
        <v>491</v>
      </c>
      <c r="BO318" s="557" t="s">
        <v>476</v>
      </c>
      <c r="BP318" s="245" t="s">
        <v>477</v>
      </c>
      <c r="BQ318" s="245" t="s">
        <v>483</v>
      </c>
      <c r="BR318" s="245" t="s">
        <v>487</v>
      </c>
      <c r="BS318" s="557" t="s">
        <v>458</v>
      </c>
      <c r="BT318" s="245" t="s">
        <v>459</v>
      </c>
      <c r="BU318" s="245" t="s">
        <v>468</v>
      </c>
      <c r="BV318" s="245" t="s">
        <v>666</v>
      </c>
      <c r="BW318" s="245" t="s">
        <v>484</v>
      </c>
      <c r="BX318" s="245" t="s">
        <v>667</v>
      </c>
      <c r="BY318" s="557" t="s">
        <v>482</v>
      </c>
      <c r="BZ318" s="245" t="s">
        <v>223</v>
      </c>
      <c r="CA318" s="245" t="s">
        <v>47</v>
      </c>
      <c r="CB318" s="245" t="s">
        <v>485</v>
      </c>
      <c r="CC318" s="245"/>
      <c r="CE318" s="569" t="s">
        <v>664</v>
      </c>
      <c r="CF318" s="569" t="s">
        <v>665</v>
      </c>
      <c r="CG318" s="781" t="s">
        <v>828</v>
      </c>
      <c r="CI318" s="241" t="s">
        <v>25</v>
      </c>
      <c r="CJ318" s="444" t="s">
        <v>194</v>
      </c>
      <c r="CK318" s="260"/>
      <c r="CL318" s="527" t="s">
        <v>223</v>
      </c>
      <c r="CM318" s="242" t="s">
        <v>412</v>
      </c>
      <c r="CN318" s="243" t="s">
        <v>418</v>
      </c>
      <c r="CO318" s="527" t="s">
        <v>413</v>
      </c>
      <c r="CP318" s="527"/>
      <c r="CQ318" s="244" t="s">
        <v>48</v>
      </c>
      <c r="CR318" s="527" t="s">
        <v>402</v>
      </c>
      <c r="CS318" s="527" t="s">
        <v>656</v>
      </c>
      <c r="CT318" s="527" t="s">
        <v>403</v>
      </c>
      <c r="CU318" s="527" t="s">
        <v>433</v>
      </c>
      <c r="CV318" s="527" t="s">
        <v>654</v>
      </c>
      <c r="CW318" s="527" t="s">
        <v>657</v>
      </c>
      <c r="CX318" s="527" t="s">
        <v>655</v>
      </c>
      <c r="CY318" s="527" t="s">
        <v>414</v>
      </c>
      <c r="CZ318" s="527" t="s">
        <v>466</v>
      </c>
      <c r="DA318" s="527" t="s">
        <v>465</v>
      </c>
      <c r="DB318" s="546" t="s">
        <v>420</v>
      </c>
      <c r="DC318" s="542" t="s">
        <v>425</v>
      </c>
      <c r="DE318" s="245" t="s">
        <v>417</v>
      </c>
      <c r="DF318" s="245" t="s">
        <v>464</v>
      </c>
      <c r="DG318" s="245" t="s">
        <v>423</v>
      </c>
      <c r="DH318" s="544"/>
      <c r="DI318" s="245" t="s">
        <v>463</v>
      </c>
      <c r="DJ318" s="245" t="s">
        <v>681</v>
      </c>
      <c r="DK318" s="245" t="s">
        <v>427</v>
      </c>
      <c r="DL318" s="544"/>
      <c r="DM318" s="245" t="s">
        <v>429</v>
      </c>
      <c r="DN318" s="547" t="s">
        <v>430</v>
      </c>
      <c r="DO318" s="547" t="s">
        <v>431</v>
      </c>
      <c r="DQ318" s="543" t="s">
        <v>275</v>
      </c>
      <c r="DR318" s="543" t="s">
        <v>432</v>
      </c>
      <c r="DT318" s="245" t="s">
        <v>275</v>
      </c>
      <c r="DU318" s="245" t="s">
        <v>432</v>
      </c>
      <c r="DV318" s="548"/>
      <c r="DW318" s="245" t="s">
        <v>467</v>
      </c>
      <c r="DX318" s="245" t="s">
        <v>461</v>
      </c>
      <c r="DY318" s="245" t="s">
        <v>462</v>
      </c>
      <c r="DZ318" s="245" t="s">
        <v>653</v>
      </c>
      <c r="EA318" s="245" t="s">
        <v>48</v>
      </c>
      <c r="EB318" s="548" t="s">
        <v>651</v>
      </c>
      <c r="EC318" s="544" t="s">
        <v>650</v>
      </c>
      <c r="ED318" s="544" t="s">
        <v>652</v>
      </c>
      <c r="EE318" s="245" t="s">
        <v>481</v>
      </c>
      <c r="EF318" s="245" t="s">
        <v>514</v>
      </c>
      <c r="EG318" s="544"/>
      <c r="EH318" s="557" t="s">
        <v>456</v>
      </c>
      <c r="EI318" s="245" t="s">
        <v>457</v>
      </c>
      <c r="EJ318" s="544"/>
      <c r="EK318" s="557" t="s">
        <v>474</v>
      </c>
      <c r="EL318" s="245" t="s">
        <v>475</v>
      </c>
      <c r="EM318" s="245" t="s">
        <v>473</v>
      </c>
      <c r="EN318" s="245" t="s">
        <v>469</v>
      </c>
      <c r="EO318" s="245" t="s">
        <v>478</v>
      </c>
      <c r="EP318" s="245" t="s">
        <v>777</v>
      </c>
      <c r="EQ318" s="245" t="s">
        <v>776</v>
      </c>
      <c r="ER318" s="245" t="s">
        <v>491</v>
      </c>
      <c r="ES318" s="557" t="s">
        <v>476</v>
      </c>
      <c r="ET318" s="245" t="s">
        <v>477</v>
      </c>
      <c r="EU318" s="245" t="s">
        <v>483</v>
      </c>
      <c r="EV318" s="245" t="s">
        <v>487</v>
      </c>
      <c r="EW318" s="557" t="s">
        <v>458</v>
      </c>
      <c r="EX318" s="245" t="s">
        <v>459</v>
      </c>
      <c r="EY318" s="245" t="s">
        <v>468</v>
      </c>
      <c r="EZ318" s="245" t="s">
        <v>666</v>
      </c>
      <c r="FA318" s="245" t="s">
        <v>484</v>
      </c>
      <c r="FB318" s="245" t="s">
        <v>667</v>
      </c>
      <c r="FC318" s="557" t="s">
        <v>482</v>
      </c>
      <c r="FD318" s="245" t="s">
        <v>223</v>
      </c>
      <c r="FE318" s="245" t="s">
        <v>47</v>
      </c>
      <c r="FF318" s="245" t="s">
        <v>485</v>
      </c>
      <c r="FG318" s="245"/>
      <c r="FI318" s="569" t="s">
        <v>664</v>
      </c>
      <c r="FJ318" s="569" t="s">
        <v>665</v>
      </c>
      <c r="FL318" t="s">
        <v>825</v>
      </c>
    </row>
    <row r="319" spans="5:168">
      <c r="CE319" s="562"/>
      <c r="FI319" s="562"/>
    </row>
    <row r="320" spans="5:168">
      <c r="E320" s="76" t="s">
        <v>904</v>
      </c>
      <c r="CE320" s="562"/>
      <c r="FI320" s="562"/>
    </row>
    <row r="321" spans="5:165">
      <c r="F321" s="76" t="s">
        <v>905</v>
      </c>
      <c r="G321" s="76" t="s">
        <v>906</v>
      </c>
      <c r="N321">
        <f>Efficiency</f>
        <v>1</v>
      </c>
      <c r="CE321" s="562"/>
      <c r="FI321" s="562"/>
    </row>
    <row r="322" spans="5:165">
      <c r="F322">
        <f>'Design Converter'!E73</f>
        <v>0.1</v>
      </c>
      <c r="G322" s="884">
        <f>F322*Vout</f>
        <v>2.4000000000000004</v>
      </c>
    </row>
    <row r="323" spans="5:165">
      <c r="E323" t="s">
        <v>907</v>
      </c>
    </row>
    <row r="324" spans="5:165">
      <c r="F324" t="s">
        <v>908</v>
      </c>
      <c r="G324" t="s">
        <v>909</v>
      </c>
      <c r="H324" t="s">
        <v>910</v>
      </c>
      <c r="I324" s="76" t="s">
        <v>660</v>
      </c>
    </row>
    <row r="325" spans="5:165">
      <c r="F325" s="885">
        <v>1.9999999999999999E-7</v>
      </c>
      <c r="G325">
        <f>VIN_max</f>
        <v>36</v>
      </c>
      <c r="H325">
        <f>15000</f>
        <v>15000</v>
      </c>
      <c r="I325">
        <f>L*0.9</f>
        <v>9.0000000000000002E-6</v>
      </c>
    </row>
    <row r="326" spans="5:165">
      <c r="G326" s="76" t="s">
        <v>911</v>
      </c>
    </row>
    <row r="327" spans="5:165">
      <c r="G327" s="884">
        <f>0.5*(G325/I325*F325)^2*H325*I325</f>
        <v>4.3199999999999995E-2</v>
      </c>
    </row>
    <row r="328" spans="5:165">
      <c r="E328" s="76" t="s">
        <v>912</v>
      </c>
    </row>
    <row r="329" spans="5:165">
      <c r="G329" t="str">
        <f>IF(G327&gt;G322, "Yes", "No")</f>
        <v>No</v>
      </c>
      <c r="H329">
        <f>(Vout*1.05)^2/(G327-G322)</f>
        <v>-269.45010183299394</v>
      </c>
    </row>
  </sheetData>
  <sheetProtection algorithmName="SHA-512" hashValue="VK9QLheCludiINuQfxcfr4LD7XKmIutxyBhDX9CBej4SI+A2YK/orixBMJ17m2Jn48eh8hMMGdtnWNAzP5Gq+g==" saltValue="O7wVceKtoOG+YSWrHwWkjA==" spinCount="100000" sheet="1" selectLockedCells="1" selectUnlockedCells="1"/>
  <mergeCells count="2">
    <mergeCell ref="M3:AA3"/>
    <mergeCell ref="CQ3:DE3"/>
  </mergeCells>
  <phoneticPr fontId="83"/>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7030A0"/>
  </sheetPr>
  <dimension ref="A1:FM329"/>
  <sheetViews>
    <sheetView topLeftCell="A67" zoomScale="70" zoomScaleNormal="70" workbookViewId="0">
      <selection activeCell="BG107" sqref="BG107"/>
    </sheetView>
  </sheetViews>
  <sheetFormatPr defaultRowHeight="12.5"/>
  <cols>
    <col min="1" max="1" width="2.81640625" customWidth="1"/>
    <col min="2" max="2" width="3.54296875" customWidth="1"/>
    <col min="3" max="3" width="2.81640625" customWidth="1"/>
    <col min="4" max="4" width="3.7265625" customWidth="1"/>
    <col min="5" max="5" width="6.1796875" customWidth="1"/>
    <col min="6" max="7" width="7.7265625" customWidth="1"/>
    <col min="8" max="9" width="7.81640625" customWidth="1"/>
    <col min="10" max="10" width="6.26953125" customWidth="1"/>
    <col min="11" max="11" width="9.54296875" customWidth="1"/>
    <col min="12" max="12" width="9.26953125" customWidth="1"/>
    <col min="13" max="13" width="7.81640625" customWidth="1"/>
    <col min="14" max="14" width="8.453125" customWidth="1"/>
    <col min="15" max="16" width="9.54296875" customWidth="1"/>
    <col min="17" max="18" width="8.81640625" customWidth="1"/>
    <col min="19" max="19" width="8.54296875" customWidth="1"/>
    <col min="20" max="20" width="7.54296875" customWidth="1"/>
    <col min="21" max="21" width="9" customWidth="1"/>
    <col min="22" max="22" width="8.81640625" customWidth="1"/>
    <col min="23" max="23" width="10" customWidth="1"/>
    <col min="24" max="24" width="9.54296875" customWidth="1"/>
    <col min="25" max="25" width="1.81640625" customWidth="1"/>
    <col min="26" max="26" width="9.81640625" customWidth="1"/>
    <col min="27" max="27" width="10.453125" customWidth="1"/>
    <col min="28" max="28" width="10.1796875" customWidth="1"/>
    <col min="29" max="29" width="2" customWidth="1"/>
    <col min="30" max="30" width="9.1796875" customWidth="1"/>
    <col min="31" max="31" width="9.453125" customWidth="1"/>
    <col min="32" max="32" width="10.453125" customWidth="1"/>
    <col min="33" max="33" width="2.1796875" customWidth="1"/>
    <col min="35" max="35" width="8" customWidth="1"/>
    <col min="37" max="37" width="2.26953125" customWidth="1"/>
    <col min="38" max="38" width="6.54296875" customWidth="1"/>
    <col min="39" max="39" width="7.54296875" customWidth="1"/>
    <col min="40" max="40" width="2" customWidth="1"/>
    <col min="41" max="41" width="6.453125" customWidth="1"/>
    <col min="42" max="42" width="7.54296875" customWidth="1"/>
    <col min="43" max="43" width="2.1796875" customWidth="1"/>
    <col min="44" max="46" width="7" customWidth="1"/>
    <col min="47" max="47" width="8.453125" customWidth="1"/>
    <col min="48" max="48" width="2.1796875" customWidth="1"/>
    <col min="49" max="50" width="9.453125" customWidth="1"/>
    <col min="51" max="51" width="9.81640625" customWidth="1"/>
    <col min="52" max="52" width="2" customWidth="1"/>
    <col min="56" max="56" width="2.1796875" customWidth="1"/>
    <col min="57" max="57" width="9" customWidth="1"/>
    <col min="58" max="59" width="8.1796875" customWidth="1"/>
    <col min="60" max="60" width="8.7265625" customWidth="1"/>
    <col min="61" max="64" width="7.54296875" customWidth="1"/>
    <col min="65" max="66" width="10.26953125" customWidth="1"/>
    <col min="67" max="67" width="9.453125" customWidth="1"/>
    <col min="68" max="68" width="9.54296875" customWidth="1"/>
    <col min="69" max="69" width="10" customWidth="1"/>
    <col min="70" max="70" width="8.7265625" customWidth="1"/>
    <col min="73" max="74" width="9.81640625" customWidth="1"/>
    <col min="75" max="75" width="12.1796875" customWidth="1"/>
    <col min="76" max="76" width="9.1796875" customWidth="1"/>
    <col min="78" max="78" width="7.7265625" customWidth="1"/>
    <col min="79" max="79" width="10.453125" customWidth="1"/>
    <col min="80" max="80" width="12.453125" bestFit="1" customWidth="1"/>
    <col min="81" max="81" width="6.54296875" customWidth="1"/>
    <col min="82" max="82" width="5" customWidth="1"/>
    <col min="83" max="83" width="9.54296875" customWidth="1"/>
    <col min="85" max="85" width="15" customWidth="1"/>
    <col min="86" max="86" width="16.7265625" customWidth="1"/>
    <col min="87" max="87" width="6.1796875" customWidth="1"/>
    <col min="88" max="89" width="7.7265625" customWidth="1"/>
    <col min="90" max="91" width="7.81640625" customWidth="1"/>
    <col min="92" max="92" width="6.26953125" customWidth="1"/>
    <col min="93" max="93" width="9.54296875" customWidth="1"/>
    <col min="94" max="94" width="9.26953125" customWidth="1"/>
    <col min="95" max="95" width="1.81640625" customWidth="1"/>
    <col min="96" max="96" width="8.453125" customWidth="1"/>
    <col min="97" max="98" width="9.54296875" customWidth="1"/>
    <col min="99" max="100" width="8.81640625" customWidth="1"/>
    <col min="101" max="101" width="8.54296875" customWidth="1"/>
    <col min="102" max="102" width="7.54296875" customWidth="1"/>
    <col min="103" max="103" width="9" customWidth="1"/>
    <col min="104" max="104" width="8.81640625" customWidth="1"/>
    <col min="105" max="105" width="10" customWidth="1"/>
    <col min="106" max="106" width="9.54296875" customWidth="1"/>
    <col min="107" max="107" width="1.81640625" customWidth="1"/>
    <col min="108" max="108" width="9.81640625" customWidth="1"/>
    <col min="109" max="109" width="10.453125" customWidth="1"/>
    <col min="110" max="110" width="10.1796875" customWidth="1"/>
    <col min="111" max="111" width="2" customWidth="1"/>
    <col min="113" max="113" width="9.453125" customWidth="1"/>
    <col min="114" max="114" width="10.453125" customWidth="1"/>
    <col min="115" max="115" width="2.1796875" customWidth="1"/>
    <col min="117" max="117" width="8" customWidth="1"/>
    <col min="119" max="119" width="2.26953125" customWidth="1"/>
    <col min="120" max="120" width="6.54296875" customWidth="1"/>
    <col min="121" max="121" width="7.54296875" customWidth="1"/>
    <col min="122" max="122" width="2" customWidth="1"/>
    <col min="123" max="123" width="6.453125" customWidth="1"/>
    <col min="124" max="124" width="7.54296875" customWidth="1"/>
    <col min="125" max="125" width="2.1796875" customWidth="1"/>
    <col min="126" max="128" width="7" customWidth="1"/>
    <col min="129" max="129" width="8.453125" customWidth="1"/>
    <col min="130" max="130" width="2.1796875" customWidth="1"/>
    <col min="131" max="132" width="9.453125" customWidth="1"/>
    <col min="133" max="133" width="9.81640625" customWidth="1"/>
    <col min="134" max="134" width="2" customWidth="1"/>
    <col min="138" max="138" width="2.1796875" customWidth="1"/>
    <col min="139" max="139" width="9" customWidth="1"/>
    <col min="140" max="141" width="8.1796875" customWidth="1"/>
    <col min="142" max="142" width="8.7265625" customWidth="1"/>
    <col min="143" max="146" width="7.54296875" customWidth="1"/>
    <col min="147" max="148" width="10.26953125" customWidth="1"/>
    <col min="149" max="149" width="9.453125" customWidth="1"/>
    <col min="150" max="150" width="9.54296875" customWidth="1"/>
    <col min="151" max="151" width="10" customWidth="1"/>
    <col min="152" max="152" width="8.7265625" customWidth="1"/>
    <col min="155" max="156" width="9.81640625" customWidth="1"/>
    <col min="157" max="157" width="12.1796875" customWidth="1"/>
    <col min="160" max="160" width="7.7265625" customWidth="1"/>
    <col min="161" max="161" width="10.453125" customWidth="1"/>
    <col min="162" max="162" width="12.453125" bestFit="1" customWidth="1"/>
    <col min="163" max="163" width="6.54296875" customWidth="1"/>
    <col min="164" max="164" width="5" customWidth="1"/>
    <col min="165" max="165" width="9.54296875" customWidth="1"/>
    <col min="168" max="168" width="17.453125" customWidth="1"/>
    <col min="169" max="169" width="14.1796875" customWidth="1"/>
  </cols>
  <sheetData>
    <row r="1" spans="2:169" ht="25">
      <c r="B1" s="445" t="s">
        <v>515</v>
      </c>
      <c r="CI1" s="779" t="s">
        <v>823</v>
      </c>
    </row>
    <row r="2" spans="2:169" ht="13" thickBot="1">
      <c r="AW2">
        <f>Vout_ripple</f>
        <v>240</v>
      </c>
      <c r="EA2">
        <f>Vout_ripple</f>
        <v>240</v>
      </c>
    </row>
    <row r="3" spans="2:169" ht="13">
      <c r="E3" s="220" t="s">
        <v>421</v>
      </c>
      <c r="F3" s="540"/>
      <c r="G3" s="540"/>
      <c r="H3" s="540"/>
      <c r="I3" s="540"/>
      <c r="J3" s="221"/>
      <c r="K3" s="222"/>
      <c r="L3" s="524"/>
      <c r="M3" s="524"/>
      <c r="N3" s="947" t="s">
        <v>189</v>
      </c>
      <c r="O3" s="948"/>
      <c r="P3" s="950"/>
      <c r="Q3" s="947"/>
      <c r="R3" s="950"/>
      <c r="S3" s="947"/>
      <c r="T3" s="947"/>
      <c r="U3" s="948"/>
      <c r="V3" s="948"/>
      <c r="W3" s="947"/>
      <c r="X3" s="948"/>
      <c r="Y3" s="947"/>
      <c r="Z3" s="949"/>
      <c r="AA3" s="533"/>
      <c r="AB3" s="533"/>
      <c r="AC3" s="533"/>
      <c r="AD3" s="533"/>
      <c r="AE3" s="533"/>
      <c r="AF3" s="533"/>
      <c r="AG3" s="533"/>
      <c r="AH3" s="533"/>
      <c r="AI3" s="533"/>
      <c r="AJ3" s="533"/>
      <c r="AK3" s="533"/>
      <c r="AL3" s="533"/>
      <c r="AM3" s="533"/>
      <c r="AN3" s="533"/>
      <c r="AO3" s="533"/>
      <c r="AP3" s="533"/>
      <c r="AQ3" s="533"/>
      <c r="AR3" s="533" t="s">
        <v>460</v>
      </c>
      <c r="AS3" s="533"/>
      <c r="AT3" s="533"/>
      <c r="AU3" s="533"/>
      <c r="AV3" s="533"/>
      <c r="AW3" s="533" t="s">
        <v>470</v>
      </c>
      <c r="AX3" s="533" t="s">
        <v>470</v>
      </c>
      <c r="AY3" s="533"/>
      <c r="AZ3" s="533"/>
      <c r="BA3" s="558" t="s">
        <v>471</v>
      </c>
      <c r="BB3" s="533"/>
      <c r="BC3" s="533"/>
      <c r="BD3" s="533"/>
      <c r="BE3" s="558" t="s">
        <v>888</v>
      </c>
      <c r="BF3" s="533"/>
      <c r="BG3" s="533"/>
      <c r="BH3" s="533"/>
      <c r="BI3" s="533"/>
      <c r="BJ3" s="533"/>
      <c r="BK3" s="533"/>
      <c r="BL3" s="533"/>
      <c r="BM3" s="558" t="s">
        <v>489</v>
      </c>
      <c r="BN3" s="533"/>
      <c r="BO3" s="533"/>
      <c r="BP3" s="533"/>
      <c r="BQ3" s="533"/>
      <c r="BR3" s="559" t="s">
        <v>490</v>
      </c>
      <c r="BS3" s="533"/>
      <c r="BT3" s="533"/>
      <c r="BU3" s="533"/>
      <c r="BV3" s="533"/>
      <c r="BW3" s="533"/>
      <c r="BX3" s="533"/>
      <c r="BY3" s="558"/>
      <c r="BZ3" s="533"/>
      <c r="CA3" s="533"/>
      <c r="CB3" s="533"/>
      <c r="CC3" s="533"/>
      <c r="CI3" s="220" t="s">
        <v>421</v>
      </c>
      <c r="CJ3" s="540"/>
      <c r="CK3" s="540"/>
      <c r="CL3" s="540"/>
      <c r="CM3" s="540"/>
      <c r="CN3" s="221"/>
      <c r="CO3" s="222"/>
      <c r="CP3" s="524"/>
      <c r="CQ3" s="524"/>
      <c r="CR3" s="947" t="s">
        <v>189</v>
      </c>
      <c r="CS3" s="948"/>
      <c r="CT3" s="950"/>
      <c r="CU3" s="947"/>
      <c r="CV3" s="950"/>
      <c r="CW3" s="947"/>
      <c r="CX3" s="947"/>
      <c r="CY3" s="948"/>
      <c r="CZ3" s="948"/>
      <c r="DA3" s="947"/>
      <c r="DB3" s="948"/>
      <c r="DC3" s="947"/>
      <c r="DD3" s="949"/>
      <c r="DE3" s="533"/>
      <c r="DF3" s="533"/>
      <c r="DG3" s="533"/>
      <c r="DH3" s="533"/>
      <c r="DI3" s="533"/>
      <c r="DJ3" s="533"/>
      <c r="DK3" s="533"/>
      <c r="DL3" s="533"/>
      <c r="DM3" s="533"/>
      <c r="DN3" s="533"/>
      <c r="DO3" s="533"/>
      <c r="DP3" s="533"/>
      <c r="DQ3" s="533"/>
      <c r="DR3" s="533"/>
      <c r="DS3" s="533"/>
      <c r="DT3" s="533"/>
      <c r="DU3" s="533"/>
      <c r="DV3" s="533" t="s">
        <v>460</v>
      </c>
      <c r="DW3" s="533"/>
      <c r="DX3" s="533"/>
      <c r="DY3" s="533"/>
      <c r="DZ3" s="533"/>
      <c r="EA3" s="533" t="s">
        <v>470</v>
      </c>
      <c r="EB3" s="533" t="s">
        <v>470</v>
      </c>
      <c r="EC3" s="533"/>
      <c r="ED3" s="533"/>
      <c r="EE3" s="558" t="s">
        <v>471</v>
      </c>
      <c r="EF3" s="533"/>
      <c r="EG3" s="533"/>
      <c r="EH3" s="533"/>
      <c r="EI3" s="558" t="s">
        <v>493</v>
      </c>
      <c r="EJ3" s="533"/>
      <c r="EK3" s="533"/>
      <c r="EL3" s="533"/>
      <c r="EM3" s="533"/>
      <c r="EN3" s="533"/>
      <c r="EO3" s="533"/>
      <c r="EP3" s="533"/>
      <c r="EQ3" s="558" t="s">
        <v>489</v>
      </c>
      <c r="ER3" s="533"/>
      <c r="ES3" s="533"/>
      <c r="ET3" s="533"/>
      <c r="EU3" s="533"/>
      <c r="EV3" s="559" t="s">
        <v>490</v>
      </c>
      <c r="EW3" s="533"/>
      <c r="EX3" s="533"/>
      <c r="EY3" s="533"/>
      <c r="EZ3" s="533"/>
      <c r="FA3" s="533"/>
      <c r="FB3" s="533"/>
      <c r="FC3" s="558"/>
      <c r="FD3" s="533"/>
      <c r="FE3" s="533"/>
      <c r="FF3" s="533"/>
      <c r="FG3" s="533"/>
    </row>
    <row r="4" spans="2:169" ht="45" customHeight="1" thickBot="1">
      <c r="E4" s="241" t="s">
        <v>25</v>
      </c>
      <c r="F4" s="602" t="s">
        <v>580</v>
      </c>
      <c r="G4" s="444" t="s">
        <v>579</v>
      </c>
      <c r="H4" s="603" t="s">
        <v>581</v>
      </c>
      <c r="I4" s="604" t="s">
        <v>582</v>
      </c>
      <c r="J4" s="242" t="s">
        <v>412</v>
      </c>
      <c r="K4" s="243" t="s">
        <v>586</v>
      </c>
      <c r="L4" s="605" t="s">
        <v>413</v>
      </c>
      <c r="M4" s="606"/>
      <c r="N4" s="244" t="s">
        <v>48</v>
      </c>
      <c r="O4" s="606" t="s">
        <v>590</v>
      </c>
      <c r="P4" s="606" t="s">
        <v>606</v>
      </c>
      <c r="Q4" s="606" t="s">
        <v>583</v>
      </c>
      <c r="R4" s="606" t="s">
        <v>584</v>
      </c>
      <c r="S4" s="606" t="s">
        <v>585</v>
      </c>
      <c r="T4" s="606" t="s">
        <v>414</v>
      </c>
      <c r="U4" s="606" t="s">
        <v>466</v>
      </c>
      <c r="V4" s="606" t="s">
        <v>465</v>
      </c>
      <c r="W4" s="607" t="s">
        <v>420</v>
      </c>
      <c r="X4" s="608" t="s">
        <v>425</v>
      </c>
      <c r="Z4" s="245" t="s">
        <v>417</v>
      </c>
      <c r="AA4" s="245" t="s">
        <v>464</v>
      </c>
      <c r="AB4" s="245" t="s">
        <v>587</v>
      </c>
      <c r="AC4" s="544"/>
      <c r="AD4" s="245" t="s">
        <v>463</v>
      </c>
      <c r="AE4" s="607" t="s">
        <v>426</v>
      </c>
      <c r="AF4" s="245" t="s">
        <v>588</v>
      </c>
      <c r="AG4" s="544"/>
      <c r="AH4" s="245" t="s">
        <v>429</v>
      </c>
      <c r="AI4" s="547" t="s">
        <v>430</v>
      </c>
      <c r="AJ4" s="547" t="s">
        <v>431</v>
      </c>
      <c r="AL4" s="543" t="s">
        <v>275</v>
      </c>
      <c r="AM4" s="543" t="s">
        <v>432</v>
      </c>
      <c r="AO4" s="245" t="s">
        <v>275</v>
      </c>
      <c r="AP4" s="245" t="s">
        <v>432</v>
      </c>
      <c r="AQ4" s="548"/>
      <c r="AR4" s="245" t="s">
        <v>467</v>
      </c>
      <c r="AS4" s="245" t="s">
        <v>461</v>
      </c>
      <c r="AT4" s="245" t="s">
        <v>462</v>
      </c>
      <c r="AU4" s="245" t="s">
        <v>48</v>
      </c>
      <c r="AV4" s="544"/>
      <c r="AW4" s="245" t="s">
        <v>591</v>
      </c>
      <c r="AX4" s="245" t="s">
        <v>592</v>
      </c>
      <c r="AY4" s="245" t="s">
        <v>514</v>
      </c>
      <c r="AZ4" s="544"/>
      <c r="BA4" s="557" t="s">
        <v>456</v>
      </c>
      <c r="BB4" s="245" t="s">
        <v>599</v>
      </c>
      <c r="BC4" s="245" t="s">
        <v>598</v>
      </c>
      <c r="BD4" s="544"/>
      <c r="BE4" s="557" t="s">
        <v>474</v>
      </c>
      <c r="BF4" s="245" t="s">
        <v>475</v>
      </c>
      <c r="BG4" s="245" t="s">
        <v>473</v>
      </c>
      <c r="BH4" s="245" t="s">
        <v>469</v>
      </c>
      <c r="BI4" s="245" t="s">
        <v>478</v>
      </c>
      <c r="BJ4" s="245" t="s">
        <v>491</v>
      </c>
      <c r="BK4" s="245" t="s">
        <v>776</v>
      </c>
      <c r="BL4" s="245" t="s">
        <v>778</v>
      </c>
      <c r="BM4" s="557" t="s">
        <v>601</v>
      </c>
      <c r="BN4" s="245" t="s">
        <v>600</v>
      </c>
      <c r="BO4" s="245" t="s">
        <v>477</v>
      </c>
      <c r="BP4" s="245" t="s">
        <v>483</v>
      </c>
      <c r="BQ4" s="245" t="s">
        <v>487</v>
      </c>
      <c r="BR4" s="557" t="s">
        <v>458</v>
      </c>
      <c r="BS4" s="245" t="s">
        <v>603</v>
      </c>
      <c r="BT4" s="245" t="s">
        <v>602</v>
      </c>
      <c r="BU4" s="245" t="s">
        <v>468</v>
      </c>
      <c r="BV4" s="245" t="s">
        <v>673</v>
      </c>
      <c r="BW4" s="245" t="s">
        <v>484</v>
      </c>
      <c r="BX4" s="245" t="s">
        <v>667</v>
      </c>
      <c r="BY4" s="557" t="s">
        <v>482</v>
      </c>
      <c r="BZ4" s="245" t="s">
        <v>223</v>
      </c>
      <c r="CA4" s="245" t="s">
        <v>47</v>
      </c>
      <c r="CB4" s="245" t="s">
        <v>485</v>
      </c>
      <c r="CC4" s="245" t="s">
        <v>604</v>
      </c>
      <c r="CE4" s="569" t="s">
        <v>497</v>
      </c>
      <c r="CG4" s="782" t="s">
        <v>829</v>
      </c>
      <c r="CH4" s="783" t="s">
        <v>830</v>
      </c>
      <c r="CI4" s="241" t="s">
        <v>25</v>
      </c>
      <c r="CJ4" s="602" t="s">
        <v>580</v>
      </c>
      <c r="CK4" s="444" t="s">
        <v>579</v>
      </c>
      <c r="CL4" s="603" t="s">
        <v>581</v>
      </c>
      <c r="CM4" s="604" t="s">
        <v>582</v>
      </c>
      <c r="CN4" s="242" t="s">
        <v>412</v>
      </c>
      <c r="CO4" s="243" t="s">
        <v>586</v>
      </c>
      <c r="CP4" s="605" t="s">
        <v>413</v>
      </c>
      <c r="CQ4" s="606"/>
      <c r="CR4" s="244" t="s">
        <v>48</v>
      </c>
      <c r="CS4" s="606" t="s">
        <v>590</v>
      </c>
      <c r="CT4" s="606" t="s">
        <v>606</v>
      </c>
      <c r="CU4" s="606" t="s">
        <v>583</v>
      </c>
      <c r="CV4" s="606" t="s">
        <v>584</v>
      </c>
      <c r="CW4" s="606" t="s">
        <v>585</v>
      </c>
      <c r="CX4" s="606" t="s">
        <v>414</v>
      </c>
      <c r="CY4" s="606" t="s">
        <v>466</v>
      </c>
      <c r="CZ4" s="606" t="s">
        <v>465</v>
      </c>
      <c r="DA4" s="607" t="s">
        <v>420</v>
      </c>
      <c r="DB4" s="608" t="s">
        <v>425</v>
      </c>
      <c r="DD4" s="245" t="s">
        <v>417</v>
      </c>
      <c r="DE4" s="245" t="s">
        <v>464</v>
      </c>
      <c r="DF4" s="245" t="s">
        <v>587</v>
      </c>
      <c r="DG4" s="544"/>
      <c r="DH4" s="245" t="s">
        <v>463</v>
      </c>
      <c r="DI4" s="607" t="s">
        <v>426</v>
      </c>
      <c r="DJ4" s="245" t="s">
        <v>588</v>
      </c>
      <c r="DK4" s="544"/>
      <c r="DL4" s="245" t="s">
        <v>429</v>
      </c>
      <c r="DM4" s="547" t="s">
        <v>430</v>
      </c>
      <c r="DN4" s="547" t="s">
        <v>431</v>
      </c>
      <c r="DP4" s="543" t="s">
        <v>275</v>
      </c>
      <c r="DQ4" s="543" t="s">
        <v>432</v>
      </c>
      <c r="DS4" s="245" t="s">
        <v>275</v>
      </c>
      <c r="DT4" s="245" t="s">
        <v>432</v>
      </c>
      <c r="DU4" s="548"/>
      <c r="DV4" s="245" t="s">
        <v>467</v>
      </c>
      <c r="DW4" s="245" t="s">
        <v>461</v>
      </c>
      <c r="DX4" s="245" t="s">
        <v>462</v>
      </c>
      <c r="DY4" s="245" t="s">
        <v>48</v>
      </c>
      <c r="DZ4" s="544"/>
      <c r="EA4" s="245" t="s">
        <v>591</v>
      </c>
      <c r="EB4" s="245" t="s">
        <v>592</v>
      </c>
      <c r="EC4" s="245" t="s">
        <v>514</v>
      </c>
      <c r="ED4" s="544"/>
      <c r="EE4" s="557" t="s">
        <v>456</v>
      </c>
      <c r="EF4" s="245" t="s">
        <v>599</v>
      </c>
      <c r="EG4" s="245" t="s">
        <v>598</v>
      </c>
      <c r="EH4" s="544"/>
      <c r="EI4" s="557" t="s">
        <v>474</v>
      </c>
      <c r="EJ4" s="245" t="s">
        <v>475</v>
      </c>
      <c r="EK4" s="245" t="s">
        <v>473</v>
      </c>
      <c r="EL4" s="245" t="s">
        <v>469</v>
      </c>
      <c r="EM4" s="245" t="s">
        <v>478</v>
      </c>
      <c r="EN4" s="245" t="s">
        <v>491</v>
      </c>
      <c r="EO4" s="245" t="s">
        <v>776</v>
      </c>
      <c r="EP4" s="245" t="s">
        <v>778</v>
      </c>
      <c r="EQ4" s="557" t="s">
        <v>601</v>
      </c>
      <c r="ER4" s="245" t="s">
        <v>600</v>
      </c>
      <c r="ES4" s="245" t="s">
        <v>477</v>
      </c>
      <c r="ET4" s="245" t="s">
        <v>483</v>
      </c>
      <c r="EU4" s="245" t="s">
        <v>487</v>
      </c>
      <c r="EV4" s="557" t="s">
        <v>458</v>
      </c>
      <c r="EW4" s="245" t="s">
        <v>603</v>
      </c>
      <c r="EX4" s="245" t="s">
        <v>602</v>
      </c>
      <c r="EY4" s="245" t="s">
        <v>468</v>
      </c>
      <c r="EZ4" s="245" t="s">
        <v>673</v>
      </c>
      <c r="FA4" s="245" t="s">
        <v>484</v>
      </c>
      <c r="FB4" s="245" t="s">
        <v>486</v>
      </c>
      <c r="FC4" s="557" t="s">
        <v>482</v>
      </c>
      <c r="FD4" s="245" t="s">
        <v>223</v>
      </c>
      <c r="FE4" s="245" t="s">
        <v>47</v>
      </c>
      <c r="FF4" s="245" t="s">
        <v>485</v>
      </c>
      <c r="FG4" s="245" t="s">
        <v>604</v>
      </c>
      <c r="FI4" s="569" t="s">
        <v>497</v>
      </c>
      <c r="FL4" s="782" t="s">
        <v>876</v>
      </c>
      <c r="FM4" s="782" t="s">
        <v>875</v>
      </c>
    </row>
    <row r="5" spans="2:169">
      <c r="E5" s="170">
        <v>0.1</v>
      </c>
      <c r="F5" s="217">
        <v>1.0000000000000001E-9</v>
      </c>
      <c r="G5" s="217">
        <v>1.0000000000000001E-9</v>
      </c>
      <c r="H5" s="217">
        <f t="shared" ref="H5:H36" si="0">F5*Vout</f>
        <v>2.4000000000000003E-8</v>
      </c>
      <c r="I5" s="217">
        <f>G5*Vout2</f>
        <v>1.8000000000000002E-8</v>
      </c>
      <c r="J5" s="541">
        <f t="shared" ref="J5:J36" si="1">Vin-(F5/CG5/Nps+G5/CH5/(Nps/Nsec1sec2))*(Rdcr_pri+RON/1000)</f>
        <v>23.999954210331143</v>
      </c>
      <c r="K5" s="443">
        <f t="shared" ref="K5:K36" si="2">MAX((S5+Vfwd2+Rdcr_sec*F5/CG5)*Nps,(Vout2+Vfwd22+Rdcr_sec2*G5/CH5)*Nps/Nsec1sec2)</f>
        <v>16.4749046713345</v>
      </c>
      <c r="L5" s="172">
        <f t="shared" ref="L5:L36" si="3">MAX((Vout+Vfwd2+F5/CG5*Rdcr_sec)*Nps+J5, (Vout2+Vfwd22+G5/CH5*Rdcr_sec2)*Nps/Nsec1sec2+J5)</f>
        <v>40.474858881665639</v>
      </c>
      <c r="M5" s="443"/>
      <c r="N5" s="217">
        <f t="shared" ref="N5:N36" si="4">MAX((Vout+Vfwd2+F5/CG5*Rdcr_sec)*Nps/((Vout+Vfwd2+F5/CG5*Rdcr_sec)*Nps+J5), (Vout2+Vfwd22+G5/CH5*Rdcr_sec2)*Nps/Nsec1sec2/((Vout2+Vfwd22+G5/CH5*Rdcr_sec2)*Nps/Nsec1sec2+J5))</f>
        <v>0.4070404474911542</v>
      </c>
      <c r="O5" s="172">
        <f>N5*J5*Isw_max*0.5*Efficiency*(Pout/Pout_total)</f>
        <v>54.271956119668886</v>
      </c>
      <c r="P5" s="172">
        <f t="shared" ref="P5:P36" si="5">N5*J5*Isw_max*0.5*Efficiency*(Pout2/Pout_total)</f>
        <v>4.0703967089751663</v>
      </c>
      <c r="Q5" s="217">
        <f t="shared" ref="Q5:Q68" si="6">O5/Vout</f>
        <v>2.2613315049862037</v>
      </c>
      <c r="R5" s="217">
        <f t="shared" ref="R5:R36" si="7">O5/Vout2</f>
        <v>3.0151086733149381</v>
      </c>
      <c r="S5" s="443">
        <f t="shared" ref="S5:S36" si="8">MIN(Vout,O5/F5)</f>
        <v>24</v>
      </c>
      <c r="T5" s="217">
        <f t="shared" ref="T5:T36" si="9">MIN(2*(Vout*F5+Vout2*G5)/(Efficiency*J5*N5), Isw_max)</f>
        <v>8.5986704742624975E-9</v>
      </c>
      <c r="U5" s="217">
        <f t="shared" ref="U5:U68" si="10">L*T5/J5*1000000</f>
        <v>3.5827861998841106E-9</v>
      </c>
      <c r="V5" s="217">
        <f t="shared" ref="V5:V68" si="11">L*T5/K5*1000000</f>
        <v>5.2192535530865616E-9</v>
      </c>
      <c r="W5" s="197">
        <f t="shared" ref="W5:W68" si="12">IF(1/((350000*L)*(1/J5+1/K5))&gt;Isw_min, 350, 0.001/((Isw_min*L)*(1/J5+1/K5)))</f>
        <v>350</v>
      </c>
      <c r="X5" s="443">
        <f>MIN(1/(U5+V5+0.2)*1000, 350)</f>
        <v>350</v>
      </c>
      <c r="Z5" s="217">
        <f t="shared" ref="Z5:Z68" si="13">1/((W5*1000*L)*(1/J5+1/K5))</f>
        <v>2.7911291718686853</v>
      </c>
      <c r="AA5" s="173">
        <f t="shared" ref="AA5:AA68" si="14">L*Z5/K5*1000000</f>
        <v>1.6941701500252739</v>
      </c>
      <c r="AB5" s="173">
        <f t="shared" ref="AB5:AB36" si="15">0.5*AA5*Z5*Nps*W5/1000*(Pout/Pout_total)</f>
        <v>0.55195140603267134</v>
      </c>
      <c r="AC5" s="173"/>
      <c r="AD5" s="173">
        <f t="shared" ref="AD5:AD68" si="16">L*Isw_min/K5*1000000</f>
        <v>1.3488528562406659</v>
      </c>
      <c r="AE5" s="545">
        <f t="shared" ref="AE5:AE36" si="17">MAX(10, F5/(0.5*AD5/1000000*Isw_min*Nps)/1000*Pout_total/Pout)</f>
        <v>10</v>
      </c>
      <c r="AF5" s="528">
        <f t="shared" ref="AF5:AF36" si="18">0.5*AD5/1000000*Isw_min*Nps*W5*1000*(Pout/Pout_total)</f>
        <v>0.3498774436548705</v>
      </c>
      <c r="AH5" s="173">
        <f t="shared" ref="AH5:AH36" si="19">SQRT((H5+I5)/(0.5*L*Fsw_DCM))</f>
        <v>1.5491933384829666E-4</v>
      </c>
      <c r="AI5" s="173">
        <f t="shared" ref="AI5:AI36" si="20">MAX(IF(F5&gt;AB5,T5,AH5),Isw_min)</f>
        <v>2.2222222222222223</v>
      </c>
      <c r="AJ5" s="173">
        <f t="shared" ref="AJ5:AJ36" si="21">IF(F5&gt;AF5, (AI5-Isw_min)/1.08*0.8+1.2, AE5*0.2/350+1)</f>
        <v>1.0057142857142858</v>
      </c>
      <c r="AL5" s="545">
        <f t="shared" ref="AL5:AL36" si="22">F5*1000</f>
        <v>1.0000000000000002E-6</v>
      </c>
      <c r="AM5" s="460">
        <f t="shared" ref="AM5:AM36" si="23">IF(F5&gt;AF5, X5, AE5)</f>
        <v>10</v>
      </c>
      <c r="AO5">
        <f>IF(H5&gt;O5, "",AL5)</f>
        <v>1.0000000000000002E-6</v>
      </c>
      <c r="AP5" s="460">
        <f t="shared" ref="AP5:AP68" si="24">IF(H5&gt;O5, "",AM5)</f>
        <v>10</v>
      </c>
      <c r="AQ5" s="460"/>
      <c r="AR5" s="5">
        <f>1/AM5*1000</f>
        <v>100</v>
      </c>
      <c r="AS5" s="5">
        <f t="shared" ref="AS5:AS68" si="25">L*AI5/J5*1000000</f>
        <v>0.92592769250602724</v>
      </c>
      <c r="AT5" s="5">
        <f>AR5-AS5</f>
        <v>99.074072307493978</v>
      </c>
      <c r="AU5" s="173">
        <f>AS5/AR5</f>
        <v>9.2592769250602718E-3</v>
      </c>
      <c r="AW5" s="5">
        <f t="shared" ref="AW5:AW36" si="26">F5*AS5/Vout_ripple*1000</f>
        <v>3.858032052108447E-9</v>
      </c>
      <c r="AX5" s="5">
        <f t="shared" ref="AX5:AX36" si="27">G5*AS5/Vout_ripple2*1000</f>
        <v>5.1440427361445957E-9</v>
      </c>
      <c r="AY5" s="5">
        <f t="shared" ref="AY5:AY68" si="28">H5/Efficiency/J5*AT5/Vinripple1</f>
        <v>8.2561884442967855E-8</v>
      </c>
      <c r="AZ5" s="5"/>
      <c r="BA5" s="173">
        <f>AI5*SQRT(AU5/3)</f>
        <v>0.12345690789540738</v>
      </c>
      <c r="BB5" s="173">
        <f t="shared" ref="BB5:BB36" si="29">AI5*Npri_sec1*SQRT((1-AU5)/3)*(Pout/Pout_total)</f>
        <v>0.85179031940220107</v>
      </c>
      <c r="BC5" s="173">
        <f t="shared" ref="BC5:BC36" si="30">AI5*Npri_sec2*SQRT((1-AU5)/3)*(Pout2/Pout_total)</f>
        <v>8.5294138740139316E-2</v>
      </c>
      <c r="BD5" s="173"/>
      <c r="BE5" s="528">
        <f t="shared" ref="BE5:BE68" si="31">Rdson*BA5^2</f>
        <v>6.0966432428380402E-4</v>
      </c>
      <c r="BF5" s="528">
        <f t="shared" ref="BF5:BF36" si="32">0.5*L5*AI5*AM5*1000*Tfall</f>
        <v>2.0237429440832819E-2</v>
      </c>
      <c r="BG5" s="528">
        <f t="shared" ref="BG5:BG36" si="33">Qg*Vdd*AM5*1000*0+Qg*J5*AM5*1000</f>
        <v>9.5999816841324578E-3</v>
      </c>
      <c r="BH5" s="528">
        <f t="shared" ref="BH5:BH68" si="34">0.5*(Coss+Csw)*L5^2*AM5*1000</f>
        <v>2.8668748526088088E-3</v>
      </c>
      <c r="BI5">
        <f t="shared" ref="BI5:BI68" si="35">J5*IQ</f>
        <v>1.0799979394649014E-2</v>
      </c>
      <c r="BJ5" s="460">
        <f>(BG5+BI5)*1000</f>
        <v>20.399961078781473</v>
      </c>
      <c r="BK5">
        <f t="shared" ref="BK5:BK36" si="36">(BF5+BG5*0+BH5+BI5*0+BE5*(1+RdsonTC*(Ta-25)))/(1-BE5*RdsonTC*ThetaJA)</f>
        <v>2.3882037447512633E-2</v>
      </c>
      <c r="BL5" s="460">
        <f>BK5*1000</f>
        <v>23.882037447512634</v>
      </c>
      <c r="BM5" s="173">
        <f t="shared" ref="BM5:BM36" si="37">Vfwd2*F5*(1+Diode_TC/1000*(Ta-25))</f>
        <v>8.679999999999999E-10</v>
      </c>
      <c r="BN5" s="173">
        <f t="shared" ref="BN5:BN36" si="38">Vfwd22*G5*(1+Diode_TC/1000*(Ta-25))</f>
        <v>6.2000000000000003E-10</v>
      </c>
      <c r="BO5" s="528"/>
      <c r="BQ5" s="460">
        <f>SUM(BM5:BP5)*1000</f>
        <v>1.4879999999999998E-6</v>
      </c>
      <c r="BR5" s="528">
        <f t="shared" ref="BR5:BR68" si="39">Rdcr_pri*BA5^2</f>
        <v>4.5724824321285301E-4</v>
      </c>
      <c r="BS5" s="528">
        <f>Rdcr_sec*BB5^2</f>
        <v>2.176640244681911E-2</v>
      </c>
      <c r="BT5" s="528">
        <f t="shared" ref="BT5:BT36" si="40">Rdcr_sec2*BC5^2</f>
        <v>3.6375450517110674E-5</v>
      </c>
      <c r="BU5" s="528">
        <f t="shared" ref="BU5:BU68" si="41">AI5^2.5*AM5^2.5*k_core</f>
        <v>1.1639617797309435E-4</v>
      </c>
      <c r="BV5" s="528">
        <f t="shared" ref="BV5:BV36" si="42">(BU5+(BR5+BS5+BT5)*(1+Ltc*(Ta-25)))/(1-(BR5+BS5+BT5)*Ltc*ThetaCa)</f>
        <v>2.77682784004998E-2</v>
      </c>
      <c r="BW5" s="625">
        <f t="shared" ref="BW5:BW36" si="43">0.5*Lleak*0.000000001*AI5^2*AM5*1000</f>
        <v>9.8765432098765465E-3</v>
      </c>
      <c r="BX5" s="460">
        <f>(BV5+BW5)*1000</f>
        <v>37.644821610376347</v>
      </c>
      <c r="BY5" s="173">
        <f>SUM(BK5,BM5:BP5,BV5:BW5)</f>
        <v>6.1526860545888976E-2</v>
      </c>
      <c r="BZ5" s="5">
        <f>MIN(H5+I5,O5+P5)</f>
        <v>4.2000000000000006E-8</v>
      </c>
      <c r="CA5" s="173">
        <f>BZ5/(BZ5+BY5)</f>
        <v>6.8262822053612889E-7</v>
      </c>
      <c r="CB5" s="5">
        <f>CA5*100</f>
        <v>6.8262822053612889E-5</v>
      </c>
      <c r="CC5">
        <v>0</v>
      </c>
      <c r="CE5" s="562">
        <f t="shared" ref="CE5:CE36" si="44">IF(ABS(F5-Ioutmax_Vinnom)&lt;Iout/200, AM5, -50)</f>
        <v>-50</v>
      </c>
      <c r="CF5">
        <f t="shared" ref="CF5:CF36" si="45">IF(ABS(F5-Ioutmax_Vinnom)&lt;Iout/200, (O5+P5)*CA5, -50)</f>
        <v>-50</v>
      </c>
      <c r="CG5" s="173">
        <f t="shared" ref="CG5:CG36" si="46">MIN(SQRT(2*DT5*1000*Ls1_*(CL5+CJ5*Vfwd1))/(CW5+Vfwd1), 1-DY5)</f>
        <v>4.2835724994645538E-6</v>
      </c>
      <c r="CH5" s="173">
        <f t="shared" ref="CH5:CH36" si="47">MIN(SQRT(2*DT5*1000*Ls2_*(CM5+CK5*Vfwd22))/(Vout2+Vfwd22), 1-DY5)</f>
        <v>3.6921392726500443E-6</v>
      </c>
      <c r="CI5" s="170">
        <v>0.1</v>
      </c>
      <c r="CJ5" s="217">
        <v>1.0000000000000001E-9</v>
      </c>
      <c r="CK5" s="217">
        <v>1.0000000000000001E-9</v>
      </c>
      <c r="CL5" s="217">
        <f t="shared" ref="CL5:CL68" si="48">CJ5*Vout</f>
        <v>2.4000000000000003E-8</v>
      </c>
      <c r="CM5" s="217">
        <f>CK5*Vout2</f>
        <v>1.8000000000000002E-8</v>
      </c>
      <c r="CN5" s="541">
        <f>Vin</f>
        <v>24</v>
      </c>
      <c r="CO5" s="443">
        <f t="shared" ref="CO5:CO36" si="49">(CW5+Vfwd2)*Nps</f>
        <v>16.474900000000002</v>
      </c>
      <c r="CP5" s="443">
        <f t="shared" ref="CP5:CP36" si="50">(Vout+Vfwd2)*Nps+CN5</f>
        <v>40.474900000000005</v>
      </c>
      <c r="CQ5" s="443"/>
      <c r="CR5" s="217">
        <f>(Vout+Vfwd2)*Nps/((Vout+Vfwd2)*Nps+CN5)</f>
        <v>0.40703991856681548</v>
      </c>
      <c r="CS5" s="172">
        <f>CR5*CN5*Isw_max*0.5*Efficiency*(Pout/Pout_total)</f>
        <v>54.271989142242063</v>
      </c>
      <c r="CT5" s="172">
        <f t="shared" ref="CT5:CT68" si="51">CR5*CN5*Isw_max*0.5*Efficiency*(Pout2/Pout_total)</f>
        <v>4.0703991856681547</v>
      </c>
      <c r="CU5" s="217">
        <f t="shared" ref="CU5:CU68" si="52">CS5/Vout</f>
        <v>2.2613328809267528</v>
      </c>
      <c r="CV5" s="217">
        <f t="shared" ref="CV5:CV68" si="53">CS5/Vout2</f>
        <v>3.015110507902337</v>
      </c>
      <c r="CW5" s="443">
        <f t="shared" ref="CW5:CW68" si="54">MIN(Vout,CS5/CJ5)</f>
        <v>24</v>
      </c>
      <c r="CX5" s="217">
        <f t="shared" ref="CX5:CX68" si="55">MIN(2*(Vout*CJ5+Vout2*CK5)/(Efficiency*CN5*CR5), Isw_max)</f>
        <v>8.5986652422776467E-9</v>
      </c>
      <c r="CY5" s="217">
        <f t="shared" ref="CY5:CY68" si="56">L*CX5/CN5*1000000</f>
        <v>3.5827771842823535E-9</v>
      </c>
      <c r="CZ5" s="217">
        <f t="shared" ref="CZ5:CZ68" si="57">L*CX5/CO5*1000000</f>
        <v>5.2192518572359455E-9</v>
      </c>
      <c r="DA5" s="197">
        <f t="shared" ref="DA5:DA68" si="58">IF(1/((350000*L)*(1/CN5+1/CO5))&gt;Isw_min, 350, 0.001/((Isw_min*L)*(1/CN5+1/CO5)))</f>
        <v>350</v>
      </c>
      <c r="DB5" s="443">
        <f>MIN(1/(CY5+CZ5)*1000, 350)</f>
        <v>350</v>
      </c>
      <c r="DD5" s="217">
        <f t="shared" ref="DD5:DD68" si="59">1/((DA5*1000*L)*(1/CN5+1/CO5))</f>
        <v>2.7911308701724487</v>
      </c>
      <c r="DE5" s="173">
        <f t="shared" ref="DE5:DE68" si="60">L*DD5/CO5*1000000</f>
        <v>1.6941716612376698</v>
      </c>
      <c r="DF5" s="173">
        <f t="shared" ref="DF5:DF68" si="61">0.5*DE5*DD5*Nps*DA5/1000*(Pout/Pout_total)</f>
        <v>0.55195223422072148</v>
      </c>
      <c r="DG5" s="173"/>
      <c r="DH5" s="173">
        <f t="shared" ref="DH5:DH68" si="62">L*Isw_min/CO5*1000000</f>
        <v>1.3488532386977903</v>
      </c>
      <c r="DI5" s="545">
        <f t="shared" ref="DI5:DI68" si="63">MAX(10, CJ5/(0.5*DH5/1000000*Isw_min*Nps)/1000*Pout_total/Pout)</f>
        <v>10</v>
      </c>
      <c r="DJ5" s="528">
        <f t="shared" ref="DJ5:DJ68" si="64">0.5*DH5/1000000*Isw_min*Nps*DA5*1000*(Pout/Pout_total)</f>
        <v>0.34987754285999911</v>
      </c>
      <c r="DL5" s="173">
        <f t="shared" ref="DL5:DL68" si="65">SQRT((CL5+CM5)/(0.5*L*Fsw_DCM))</f>
        <v>1.5491933384829666E-4</v>
      </c>
      <c r="DM5" s="173">
        <f t="shared" ref="DM5:DM68" si="66">MAX(IF(CJ5&gt;DF5,CX5,DL5),Isw_min)</f>
        <v>2.2222222222222223</v>
      </c>
      <c r="DN5" s="173">
        <f t="shared" ref="DN5:DN68" si="67">IF(CJ5&gt;DJ5, (DM5-Isw_min)/1.08*0.8+1.2, DI5*0.2/350+1)</f>
        <v>1.0057142857142858</v>
      </c>
      <c r="DP5" s="545">
        <f t="shared" ref="DP5:DP68" si="68">CJ5*1000</f>
        <v>1.0000000000000002E-6</v>
      </c>
      <c r="DQ5" s="460">
        <f t="shared" ref="DQ5:DQ68" si="69">IF(CJ5&gt;DJ5, DB5, DI5)</f>
        <v>10</v>
      </c>
      <c r="DS5">
        <f>IF(CL5&gt;CS5, "",DP5)</f>
        <v>1.0000000000000002E-6</v>
      </c>
      <c r="DT5" s="460">
        <f t="shared" ref="DT5:DT68" si="70">IF(CL5&gt;CS5, "",DQ5)</f>
        <v>10</v>
      </c>
      <c r="DU5" s="460"/>
      <c r="DV5" s="5">
        <f>1/DQ5*1000</f>
        <v>100</v>
      </c>
      <c r="DW5" s="5">
        <f t="shared" ref="DW5:DW68" si="71">L*DM5/CN5*1000000</f>
        <v>0.92592592592592615</v>
      </c>
      <c r="DX5" s="5">
        <f>DV5-DW5</f>
        <v>99.074074074074076</v>
      </c>
      <c r="DY5" s="173">
        <f>DW5/DV5</f>
        <v>9.2592592592592622E-3</v>
      </c>
      <c r="EA5" s="5">
        <f t="shared" ref="EA5:EA68" si="72">CJ5*DW5/Vout_ripple*1000</f>
        <v>3.8580246913580265E-9</v>
      </c>
      <c r="EB5" s="5">
        <f t="shared" ref="EB5:EB68" si="73">CK5*DW5/Vout_ripple2*1000</f>
        <v>5.1440329218107015E-9</v>
      </c>
      <c r="EC5" s="5">
        <f t="shared" ref="EC5:EC68" si="74">CL5/Efficiency/CN5*DX5/Vinripple1</f>
        <v>8.2561728395061726E-8</v>
      </c>
      <c r="ED5" s="5"/>
      <c r="EE5" s="173">
        <f>DM5*SQRT(DY5/3)</f>
        <v>0.12345679012345682</v>
      </c>
      <c r="EF5" s="173">
        <f t="shared" ref="EF5:EF68" si="75">DM5*Npri_sec1*SQRT((1-DY5)/3)*(Pout/Pout_total)</f>
        <v>0.85179032699629587</v>
      </c>
      <c r="EG5" s="173">
        <f t="shared" ref="EG5:EG68" si="76">DM5*Npri_sec2*SQRT((1-DY5)/3)*(Pout2/Pout_total)</f>
        <v>8.5294139500575017E-2</v>
      </c>
      <c r="EH5" s="173"/>
      <c r="EI5" s="528">
        <f t="shared" ref="EI5:EI68" si="77">Rdson*EE5^2</f>
        <v>6.0966316110349066E-4</v>
      </c>
      <c r="EJ5" s="528">
        <f t="shared" ref="EJ5:EJ68" si="78">0.5*CP5*DM5*DQ5*1000*Trise</f>
        <v>2.4734661111111118E-2</v>
      </c>
      <c r="EK5" s="528">
        <f t="shared" ref="EK5:EK68" si="79">Qg*Vdd*DQ5*1000</f>
        <v>2E-3</v>
      </c>
      <c r="EL5" s="528">
        <f t="shared" ref="EL5:EL68" si="80">0.5*(Coss+Csw)*CP5^2*DQ5*1000</f>
        <v>2.8668806775175005E-3</v>
      </c>
      <c r="EM5">
        <f t="shared" ref="EM5:EM68" si="81">CN5*IQ</f>
        <v>1.0800000000000001E-2</v>
      </c>
      <c r="EN5" s="460">
        <f>(EK5+EM5)*1000</f>
        <v>12.8</v>
      </c>
      <c r="EO5">
        <f t="shared" ref="EO5:EO68" si="82">(EJ5+EK5+EL5+EM5+EI5*(1+RdsonTC*(Ta-25)))/(1-EI5*RdsonTC*ThetaJA)</f>
        <v>4.1181779429715341E-2</v>
      </c>
      <c r="EP5" s="460">
        <f>EO5*1000</f>
        <v>41.181779429715341</v>
      </c>
      <c r="EQ5" s="173">
        <f t="shared" ref="EQ5:EQ68" si="83">Vfwd2*CJ5*(1+Diode_TC/1000*(Ta-25))</f>
        <v>8.679999999999999E-10</v>
      </c>
      <c r="ER5" s="173">
        <f t="shared" ref="ER5:ER36" si="84">Vfwd22*CK5*(1+Diode_TC/1000*(Ta-25))</f>
        <v>6.2000000000000003E-10</v>
      </c>
      <c r="ES5" s="528"/>
      <c r="EU5" s="460">
        <f>SUM(EQ5:ET5)*1000</f>
        <v>1.4879999999999998E-6</v>
      </c>
      <c r="EV5" s="528">
        <f t="shared" ref="EV5:EV68" si="85">Rdcr_pri*EE5^2</f>
        <v>4.57247370827618E-4</v>
      </c>
      <c r="EW5" s="528">
        <f>Rdcr_sec*EF5^2</f>
        <v>2.1766402834933696E-2</v>
      </c>
      <c r="EX5" s="528">
        <f t="shared" ref="EX5:EX68" si="86">Rdcr_sec2*EG5^2</f>
        <v>3.6375451165717758E-5</v>
      </c>
      <c r="EY5" s="528">
        <f t="shared" ref="EY5:EY68" si="87">DM5^2.5*DQ5^2.5*k_core</f>
        <v>1.1639617797309435E-4</v>
      </c>
      <c r="EZ5" s="528">
        <f t="shared" ref="EZ5:EZ68" si="88">(EY5+(EV5+EW5+EX5)*(1+Ltc*(Ta-25)))/(1-(EV5+EW5+EX5)*Ltc*ThetaCa)</f>
        <v>2.776827779866237E-2</v>
      </c>
      <c r="FA5" s="625">
        <f t="shared" ref="FA5:FA68" si="89">0.5*Lleak*0.000000001*DM5^2*DQ5*1000</f>
        <v>9.8765432098765465E-3</v>
      </c>
      <c r="FB5" s="460">
        <f>(EZ5+FA5)*1000</f>
        <v>37.644821008538912</v>
      </c>
      <c r="FC5" s="173">
        <f>SUM(EO5,EQ5:ET5,EZ5:FA5)</f>
        <v>7.8826601926254264E-2</v>
      </c>
      <c r="FD5" s="5">
        <f>MIN(CL5+CM5,CS5+CT5)</f>
        <v>4.2000000000000006E-8</v>
      </c>
      <c r="FE5" s="173">
        <f>FD5/(FD5+FC5)</f>
        <v>5.3281476805346197E-7</v>
      </c>
      <c r="FF5" s="5">
        <f>FE5*100</f>
        <v>5.3281476805346196E-5</v>
      </c>
      <c r="FG5">
        <v>0</v>
      </c>
      <c r="FI5" s="562">
        <f t="shared" ref="FI5:FI68" si="90">IF(ABS(CJ5-Ioutmax_Vinnom)&lt;Iout/200, DQ5, -50)</f>
        <v>-50</v>
      </c>
      <c r="FJ5">
        <f t="shared" ref="FJ5:FJ68" si="91">IF(ABS(CJ5-Ioutmax_Vinnom)&lt;Iout/200, (CS5+CT5)*FE5, -50)</f>
        <v>-50</v>
      </c>
      <c r="FL5">
        <f t="shared" ref="FL5:FL68" si="92">MIN(SQRT(2*DQ5*1000*L*CJ5*(Vout+Vfwd1))/(Nps*(Vout+Vfwd1)),1-DY5)</f>
        <v>4.2835724994645538E-6</v>
      </c>
      <c r="FM5">
        <f>MIN(,)</f>
        <v>0</v>
      </c>
    </row>
    <row r="6" spans="2:169">
      <c r="E6" s="170">
        <v>1</v>
      </c>
      <c r="F6" s="217">
        <f>IF(PLOT_TYPE=1, E6/100*Iout, min_I*EXP(O6*rr/100))</f>
        <v>0.01</v>
      </c>
      <c r="G6" s="217">
        <f t="shared" ref="G6:G37" si="93">IF(PLOT_TYPE=1, E6/100*Iout2, min_I*EXP(Q6*rr/100))</f>
        <v>1E-3</v>
      </c>
      <c r="H6" s="217">
        <f t="shared" si="0"/>
        <v>0.24</v>
      </c>
      <c r="I6" s="217">
        <f>G6*Vout2</f>
        <v>1.8000000000000002E-2</v>
      </c>
      <c r="J6" s="541">
        <f t="shared" si="1"/>
        <v>23.901251807891633</v>
      </c>
      <c r="K6" s="443">
        <f t="shared" si="2"/>
        <v>16.489669472300989</v>
      </c>
      <c r="L6" s="172">
        <f t="shared" si="3"/>
        <v>40.390921280192622</v>
      </c>
      <c r="M6" s="443"/>
      <c r="N6" s="217">
        <f t="shared" si="4"/>
        <v>0.40825187813647096</v>
      </c>
      <c r="O6" s="172">
        <f t="shared" ref="O6:O37" si="94">N6*J6*Isw_max*0.5*Efficiency*Pout/(Pout+Pout2)</f>
        <v>50.427550079506361</v>
      </c>
      <c r="P6" s="172">
        <f t="shared" si="5"/>
        <v>4.0657212251602006</v>
      </c>
      <c r="Q6" s="217">
        <f t="shared" si="6"/>
        <v>2.1011479199794318</v>
      </c>
      <c r="R6" s="217">
        <f t="shared" si="7"/>
        <v>2.8015305599725755</v>
      </c>
      <c r="S6" s="443">
        <f t="shared" si="8"/>
        <v>24</v>
      </c>
      <c r="T6" s="217">
        <f t="shared" si="9"/>
        <v>5.2881146564968534E-2</v>
      </c>
      <c r="U6" s="217">
        <f t="shared" si="10"/>
        <v>2.2124843916128453E-2</v>
      </c>
      <c r="V6" s="217">
        <f t="shared" si="11"/>
        <v>3.2069258061113486E-2</v>
      </c>
      <c r="W6" s="197">
        <f t="shared" si="12"/>
        <v>350</v>
      </c>
      <c r="X6" s="443">
        <f t="shared" ref="X6:X69" si="95">MIN(1/(U6+V6+0.2)*1000, 350)</f>
        <v>350</v>
      </c>
      <c r="Z6" s="217">
        <f t="shared" si="13"/>
        <v>2.7879231258241366</v>
      </c>
      <c r="AA6" s="173">
        <f t="shared" si="14"/>
        <v>1.6907089196100828</v>
      </c>
      <c r="AB6" s="173">
        <f t="shared" si="15"/>
        <v>0.55019104924771167</v>
      </c>
      <c r="AC6" s="173"/>
      <c r="AD6" s="173">
        <f t="shared" si="16"/>
        <v>1.3476450974078444</v>
      </c>
      <c r="AE6" s="545">
        <f t="shared" si="17"/>
        <v>10.012467970437628</v>
      </c>
      <c r="AF6" s="528">
        <f t="shared" si="18"/>
        <v>0.34956416443317928</v>
      </c>
      <c r="AH6" s="173">
        <f t="shared" si="19"/>
        <v>0.38396428405331062</v>
      </c>
      <c r="AI6" s="173">
        <f t="shared" si="20"/>
        <v>2.2222222222222223</v>
      </c>
      <c r="AJ6" s="173">
        <f t="shared" si="21"/>
        <v>1.0057214102688214</v>
      </c>
      <c r="AL6" s="545">
        <f t="shared" si="22"/>
        <v>10</v>
      </c>
      <c r="AM6" s="460">
        <f t="shared" si="23"/>
        <v>10.012467970437628</v>
      </c>
      <c r="AO6">
        <f t="shared" ref="AO6:AO69" si="96">IF(H6&gt;O6, "",AL6)</f>
        <v>10</v>
      </c>
      <c r="AP6" s="460">
        <f t="shared" si="24"/>
        <v>10.012467970437628</v>
      </c>
      <c r="AQ6" s="460"/>
      <c r="AR6" s="5">
        <f t="shared" ref="AR6:AR69" si="97">1/AM6*1000</f>
        <v>99.875475552336951</v>
      </c>
      <c r="AS6" s="5">
        <f t="shared" si="25"/>
        <v>0.92975139548485786</v>
      </c>
      <c r="AT6" s="5">
        <f t="shared" ref="AT6:AT69" si="98">AR6-AS6</f>
        <v>98.945724156852094</v>
      </c>
      <c r="AU6" s="173">
        <f t="shared" ref="AU6:AU69" si="99">AS6/AR6</f>
        <v>9.3091060677618267E-3</v>
      </c>
      <c r="AW6" s="5">
        <f t="shared" si="26"/>
        <v>3.8739641478535744E-2</v>
      </c>
      <c r="AX6" s="5">
        <f t="shared" si="27"/>
        <v>5.1652855304714328E-3</v>
      </c>
      <c r="AY6" s="5">
        <f t="shared" si="28"/>
        <v>0.827954326008837</v>
      </c>
      <c r="AZ6" s="5"/>
      <c r="BA6" s="173">
        <f t="shared" ref="BA6:BA69" si="100">AI6*SQRT(AU6/3)</f>
        <v>0.12378865613319448</v>
      </c>
      <c r="BB6" s="173">
        <f t="shared" si="29"/>
        <v>0.85176889880542905</v>
      </c>
      <c r="BC6" s="173">
        <f t="shared" si="30"/>
        <v>8.5291993785786863E-2</v>
      </c>
      <c r="BD6" s="173"/>
      <c r="BE6" s="528">
        <f t="shared" si="31"/>
        <v>6.1294525549049079E-4</v>
      </c>
      <c r="BF6" s="528">
        <f t="shared" si="32"/>
        <v>2.0220640280719814E-2</v>
      </c>
      <c r="BG6" s="528">
        <f t="shared" si="33"/>
        <v>9.5724207271951755E-3</v>
      </c>
      <c r="BH6" s="528">
        <f t="shared" si="34"/>
        <v>2.8585560143477603E-3</v>
      </c>
      <c r="BI6">
        <f t="shared" si="35"/>
        <v>1.0755563313551235E-2</v>
      </c>
      <c r="BJ6" s="460">
        <f t="shared" ref="BJ6:BJ69" si="101">(BG6+BI6)*1000</f>
        <v>20.327984040746411</v>
      </c>
      <c r="BK6">
        <f t="shared" si="36"/>
        <v>2.3861111801472518E-2</v>
      </c>
      <c r="BL6" s="460">
        <f t="shared" ref="BL6:BL69" si="102">BK6*1000</f>
        <v>23.861111801472518</v>
      </c>
      <c r="BM6" s="173">
        <f t="shared" si="37"/>
        <v>8.6799999999999985E-3</v>
      </c>
      <c r="BN6" s="173">
        <f t="shared" si="38"/>
        <v>6.2E-4</v>
      </c>
      <c r="BO6" s="528"/>
      <c r="BQ6" s="460">
        <f t="shared" ref="BQ6:BQ69" si="103">SUM(BM6:BP6)*1000</f>
        <v>9.2999999999999989</v>
      </c>
      <c r="BR6" s="528">
        <f t="shared" si="39"/>
        <v>4.5970894161786801E-4</v>
      </c>
      <c r="BS6" s="528">
        <f t="shared" ref="BS6:BS68" si="104">Rdcr_sec*BB6^2</f>
        <v>2.1765307709166397E-2</v>
      </c>
      <c r="BT6" s="528">
        <f t="shared" si="40"/>
        <v>3.6373621019773521E-5</v>
      </c>
      <c r="BU6" s="528">
        <f t="shared" si="41"/>
        <v>1.1675932332919747E-4</v>
      </c>
      <c r="BV6" s="528">
        <f t="shared" si="42"/>
        <v>2.7770339770094417E-2</v>
      </c>
      <c r="BW6" s="625">
        <f t="shared" si="43"/>
        <v>9.8888572547532159E-3</v>
      </c>
      <c r="BX6" s="460">
        <f t="shared" ref="BX6:BX69" si="105">(BV6+BW6)*1000</f>
        <v>37.659197024847629</v>
      </c>
      <c r="BY6" s="173">
        <f t="shared" ref="BY6:BY69" si="106">SUM(BK6,BM6:BP6,BV6:BW6)</f>
        <v>7.082030882632015E-2</v>
      </c>
      <c r="BZ6" s="5">
        <f t="shared" ref="BZ6:BZ69" si="107">MIN(H6+I6,O6+P6)</f>
        <v>0.25800000000000001</v>
      </c>
      <c r="CA6" s="173">
        <f t="shared" ref="CA6:CA69" si="108">BZ6/(BZ6+BY6)</f>
        <v>0.78462306942322468</v>
      </c>
      <c r="CB6" s="5">
        <f t="shared" ref="CB6:CB69" si="109">CA6*100</f>
        <v>78.462306942322471</v>
      </c>
      <c r="CC6">
        <f t="shared" ref="CC6:CC37" si="110">F6/Iout*100</f>
        <v>1</v>
      </c>
      <c r="CE6" s="562">
        <f t="shared" si="44"/>
        <v>-50</v>
      </c>
      <c r="CF6">
        <f t="shared" si="45"/>
        <v>-50</v>
      </c>
      <c r="CG6" s="173">
        <f t="shared" si="46"/>
        <v>1.3548215936367545E-2</v>
      </c>
      <c r="CH6" s="173">
        <f t="shared" si="47"/>
        <v>3.6927853404967663E-3</v>
      </c>
      <c r="CI6" s="170">
        <v>1</v>
      </c>
      <c r="CJ6" s="217">
        <f>IF(PLOT_TYPE=1, CI6/100*Iout, min_I*EXP(CS6*rr/100))</f>
        <v>0.01</v>
      </c>
      <c r="CK6" s="217">
        <f t="shared" ref="CK6:CK69" si="111">IF(PLOT_TYPE=1, CI6/100*Iout2, min_I*EXP(CU6*rr/100))</f>
        <v>1E-3</v>
      </c>
      <c r="CL6" s="217">
        <f t="shared" si="48"/>
        <v>0.24</v>
      </c>
      <c r="CM6" s="217">
        <f>CK6*Vout2</f>
        <v>1.8000000000000002E-2</v>
      </c>
      <c r="CN6" s="541">
        <f t="shared" ref="CN6:CN69" si="112">Vin</f>
        <v>24</v>
      </c>
      <c r="CO6" s="443">
        <f t="shared" si="49"/>
        <v>16.474900000000002</v>
      </c>
      <c r="CP6" s="443">
        <f t="shared" si="50"/>
        <v>40.474900000000005</v>
      </c>
      <c r="CQ6" s="443"/>
      <c r="CR6" s="217">
        <f t="shared" ref="CR6:CR68" si="113">(Vout+Vfwd1)*Nps/((Vout+Vfwd1)*Nps+CN6)</f>
        <v>0.40507913686898112</v>
      </c>
      <c r="CS6" s="172">
        <f t="shared" ref="CS6:CS69" si="114">CR6*CN6*Isw_max*0.5*Efficiency*Pout/(Pout+Pout2)</f>
        <v>50.242373565144938</v>
      </c>
      <c r="CT6" s="172">
        <f t="shared" si="51"/>
        <v>4.0507913686898105</v>
      </c>
      <c r="CU6" s="217">
        <f t="shared" si="52"/>
        <v>2.0934322318810392</v>
      </c>
      <c r="CV6" s="217">
        <f t="shared" si="53"/>
        <v>2.7912429758413855</v>
      </c>
      <c r="CW6" s="443">
        <f t="shared" si="54"/>
        <v>24</v>
      </c>
      <c r="CX6" s="217">
        <f t="shared" si="55"/>
        <v>5.3076048710338712E-2</v>
      </c>
      <c r="CY6" s="217">
        <f t="shared" si="56"/>
        <v>2.2115020295974463E-2</v>
      </c>
      <c r="CZ6" s="217">
        <f t="shared" si="57"/>
        <v>3.2216310090099919E-2</v>
      </c>
      <c r="DA6" s="197">
        <f t="shared" si="58"/>
        <v>350</v>
      </c>
      <c r="DB6" s="443">
        <f t="shared" ref="DB6:DB69" si="115">MIN(1/(CY6+CZ6)*1000, 350)</f>
        <v>350</v>
      </c>
      <c r="DD6" s="217">
        <f t="shared" si="59"/>
        <v>2.7911308701724487</v>
      </c>
      <c r="DE6" s="173">
        <f t="shared" si="60"/>
        <v>1.6941716612376698</v>
      </c>
      <c r="DF6" s="173">
        <f t="shared" si="61"/>
        <v>0.55195223422072148</v>
      </c>
      <c r="DG6" s="173"/>
      <c r="DH6" s="173">
        <f t="shared" si="62"/>
        <v>1.3488532386977903</v>
      </c>
      <c r="DI6" s="545">
        <f t="shared" si="63"/>
        <v>10.003499999999997</v>
      </c>
      <c r="DJ6" s="528">
        <f t="shared" si="64"/>
        <v>0.34987754285999911</v>
      </c>
      <c r="DL6" s="173">
        <f t="shared" si="65"/>
        <v>0.38396428405331062</v>
      </c>
      <c r="DM6" s="173">
        <f t="shared" si="66"/>
        <v>2.2222222222222223</v>
      </c>
      <c r="DN6" s="173">
        <f t="shared" si="67"/>
        <v>1.0057162857142856</v>
      </c>
      <c r="DP6" s="545">
        <f t="shared" si="68"/>
        <v>10</v>
      </c>
      <c r="DQ6" s="460">
        <f t="shared" si="69"/>
        <v>10.003499999999997</v>
      </c>
      <c r="DS6">
        <f t="shared" ref="DS6:DS69" si="116">IF(CL6&gt;CS6, "",DP6)</f>
        <v>10</v>
      </c>
      <c r="DT6" s="460">
        <f t="shared" si="70"/>
        <v>10.003499999999997</v>
      </c>
      <c r="DU6" s="460"/>
      <c r="DV6" s="5">
        <f t="shared" ref="DV6:DV69" si="117">1/DQ6*1000</f>
        <v>99.965012245714021</v>
      </c>
      <c r="DW6" s="5">
        <f t="shared" si="71"/>
        <v>0.92592592592592615</v>
      </c>
      <c r="DX6" s="5">
        <f t="shared" ref="DX6:DX69" si="118">DV6-DW6</f>
        <v>99.039086319788098</v>
      </c>
      <c r="DY6" s="173">
        <f t="shared" ref="DY6:DY69" si="119">DW6/DV6</f>
        <v>9.2624999999999999E-3</v>
      </c>
      <c r="EA6" s="5">
        <f t="shared" si="72"/>
        <v>3.8580246913580259E-2</v>
      </c>
      <c r="EB6" s="5">
        <f t="shared" si="73"/>
        <v>5.1440329218107005E-3</v>
      </c>
      <c r="EC6" s="5">
        <f t="shared" si="74"/>
        <v>0.82532571933156729</v>
      </c>
      <c r="ED6" s="5"/>
      <c r="EE6" s="173">
        <f t="shared" ref="EE6:EE69" si="120">DM6*SQRT(DY6/3)</f>
        <v>0.12347839317162705</v>
      </c>
      <c r="EF6" s="173">
        <f t="shared" si="75"/>
        <v>0.85178893388013599</v>
      </c>
      <c r="EG6" s="173">
        <f t="shared" si="76"/>
        <v>8.5294000000700101E-2</v>
      </c>
      <c r="EH6" s="173"/>
      <c r="EI6" s="528">
        <f t="shared" si="77"/>
        <v>6.0987654320987658E-4</v>
      </c>
      <c r="EJ6" s="528">
        <f t="shared" si="78"/>
        <v>2.47433182425E-2</v>
      </c>
      <c r="EK6" s="528">
        <f t="shared" si="79"/>
        <v>2.0006999999999994E-3</v>
      </c>
      <c r="EL6" s="528">
        <f t="shared" si="80"/>
        <v>2.8678840857546306E-3</v>
      </c>
      <c r="EM6">
        <f t="shared" si="81"/>
        <v>1.0800000000000001E-2</v>
      </c>
      <c r="EN6" s="460">
        <f t="shared" ref="EN6:EN69" si="121">(EK6+EM6)*1000</f>
        <v>12.800699999999999</v>
      </c>
      <c r="EO6">
        <f t="shared" si="82"/>
        <v>4.1192414593621884E-2</v>
      </c>
      <c r="EP6" s="460">
        <f t="shared" ref="EP6:EP69" si="122">EO6*1000</f>
        <v>41.192414593621884</v>
      </c>
      <c r="EQ6" s="173">
        <f t="shared" si="83"/>
        <v>8.6799999999999985E-3</v>
      </c>
      <c r="ER6" s="173">
        <f t="shared" si="84"/>
        <v>6.2E-4</v>
      </c>
      <c r="ES6" s="528"/>
      <c r="EU6" s="460">
        <f t="shared" ref="EU6:EU69" si="123">SUM(EQ6:ET6)*1000</f>
        <v>9.2999999999999989</v>
      </c>
      <c r="EV6" s="528">
        <f t="shared" si="85"/>
        <v>4.574074074074074E-4</v>
      </c>
      <c r="EW6" s="528">
        <f t="shared" ref="EW6:EW69" si="124">Rdcr_sec*EF6^2</f>
        <v>2.1766331636419761E-2</v>
      </c>
      <c r="EX6" s="528">
        <f t="shared" si="86"/>
        <v>3.6375332180597146E-5</v>
      </c>
      <c r="EY6" s="528">
        <f t="shared" si="87"/>
        <v>1.1649805136512729E-4</v>
      </c>
      <c r="EZ6" s="528">
        <f t="shared" si="88"/>
        <v>2.7768490259152179E-2</v>
      </c>
      <c r="FA6" s="625">
        <f t="shared" si="89"/>
        <v>9.8799999999999999E-3</v>
      </c>
      <c r="FB6" s="460">
        <f t="shared" ref="FB6:FB69" si="125">(EZ6+FA6)*1000</f>
        <v>37.648490259152176</v>
      </c>
      <c r="FC6" s="173">
        <f t="shared" ref="FC6:FC69" si="126">SUM(EO6,EQ6:ET6,EZ6:FA6)</f>
        <v>8.8140904852774066E-2</v>
      </c>
      <c r="FD6" s="5">
        <f t="shared" ref="FD6:FD69" si="127">MIN(CL6+CM6,CS6+CT6)</f>
        <v>0.25800000000000001</v>
      </c>
      <c r="FE6" s="173">
        <f t="shared" ref="FE6:FE69" si="128">FD6/(FD6+FC6)</f>
        <v>0.74536119939287881</v>
      </c>
      <c r="FF6" s="5">
        <f t="shared" ref="FF6:FF69" si="129">FE6*100</f>
        <v>74.536119939287886</v>
      </c>
      <c r="FG6">
        <f t="shared" ref="FG6:FG69" si="130">CJ6/Iout*100</f>
        <v>1</v>
      </c>
      <c r="FI6" s="562">
        <f t="shared" si="90"/>
        <v>-50</v>
      </c>
      <c r="FJ6">
        <f t="shared" si="91"/>
        <v>-50</v>
      </c>
      <c r="FL6">
        <f t="shared" si="92"/>
        <v>1.3548215936367545E-2</v>
      </c>
    </row>
    <row r="7" spans="2:169">
      <c r="E7" s="170">
        <v>2</v>
      </c>
      <c r="F7" s="217">
        <f>IF(PLOT_TYPE=1, E7/100*Iout, min_I*EXP(O7*rr/100))</f>
        <v>0.02</v>
      </c>
      <c r="G7" s="217">
        <f t="shared" si="93"/>
        <v>2E-3</v>
      </c>
      <c r="H7" s="217">
        <f t="shared" si="0"/>
        <v>0.48</v>
      </c>
      <c r="I7" s="217">
        <f>G7*Vout2</f>
        <v>3.6000000000000004E-2</v>
      </c>
      <c r="J7" s="541">
        <f t="shared" si="1"/>
        <v>23.901251807891633</v>
      </c>
      <c r="K7" s="443">
        <f t="shared" si="2"/>
        <v>16.489669472300989</v>
      </c>
      <c r="L7" s="172">
        <f t="shared" si="3"/>
        <v>40.390921280192622</v>
      </c>
      <c r="M7" s="443"/>
      <c r="N7" s="217">
        <f t="shared" si="4"/>
        <v>0.40825187813647096</v>
      </c>
      <c r="O7" s="172">
        <f t="shared" si="94"/>
        <v>50.427550079506361</v>
      </c>
      <c r="P7" s="172">
        <f t="shared" si="5"/>
        <v>4.0657212251602006</v>
      </c>
      <c r="Q7" s="217">
        <f t="shared" si="6"/>
        <v>2.1011479199794318</v>
      </c>
      <c r="R7" s="217">
        <f t="shared" si="7"/>
        <v>2.8015305599725755</v>
      </c>
      <c r="S7" s="443">
        <f t="shared" si="8"/>
        <v>24</v>
      </c>
      <c r="T7" s="217">
        <f t="shared" si="9"/>
        <v>0.10576229312993707</v>
      </c>
      <c r="U7" s="217">
        <f t="shared" si="10"/>
        <v>4.4249687832256905E-2</v>
      </c>
      <c r="V7" s="217">
        <f t="shared" si="11"/>
        <v>6.4138516122226971E-2</v>
      </c>
      <c r="W7" s="197">
        <f t="shared" si="12"/>
        <v>350</v>
      </c>
      <c r="X7" s="443">
        <f t="shared" si="95"/>
        <v>350</v>
      </c>
      <c r="Z7" s="217">
        <f t="shared" si="13"/>
        <v>2.7879231258241366</v>
      </c>
      <c r="AA7" s="173">
        <f t="shared" si="14"/>
        <v>1.6907089196100828</v>
      </c>
      <c r="AB7" s="173">
        <f t="shared" si="15"/>
        <v>0.55019104924771167</v>
      </c>
      <c r="AC7" s="173"/>
      <c r="AD7" s="173">
        <f t="shared" si="16"/>
        <v>1.3476450974078444</v>
      </c>
      <c r="AE7" s="545">
        <f t="shared" si="17"/>
        <v>20.024935940875256</v>
      </c>
      <c r="AF7" s="528">
        <f t="shared" si="18"/>
        <v>0.34956416443317928</v>
      </c>
      <c r="AH7" s="173">
        <f t="shared" si="19"/>
        <v>0.54300749797506742</v>
      </c>
      <c r="AI7" s="173">
        <f t="shared" si="20"/>
        <v>2.2222222222222223</v>
      </c>
      <c r="AJ7" s="173">
        <f t="shared" si="21"/>
        <v>1.0114428205376429</v>
      </c>
      <c r="AL7" s="545">
        <f t="shared" si="22"/>
        <v>20</v>
      </c>
      <c r="AM7" s="460">
        <f t="shared" si="23"/>
        <v>20.024935940875256</v>
      </c>
      <c r="AO7">
        <f t="shared" si="96"/>
        <v>20</v>
      </c>
      <c r="AP7" s="460">
        <f t="shared" si="24"/>
        <v>20.024935940875256</v>
      </c>
      <c r="AQ7" s="460"/>
      <c r="AR7" s="5">
        <f t="shared" si="97"/>
        <v>49.937737776168476</v>
      </c>
      <c r="AS7" s="5">
        <f t="shared" si="25"/>
        <v>0.92975139548485786</v>
      </c>
      <c r="AT7" s="5">
        <f t="shared" si="98"/>
        <v>49.007986380683619</v>
      </c>
      <c r="AU7" s="173">
        <f t="shared" si="99"/>
        <v>1.8618212135523653E-2</v>
      </c>
      <c r="AW7" s="5">
        <f t="shared" si="26"/>
        <v>7.7479282957071488E-2</v>
      </c>
      <c r="AX7" s="5">
        <f t="shared" si="27"/>
        <v>1.0330571060942866E-2</v>
      </c>
      <c r="AY7" s="5">
        <f t="shared" si="28"/>
        <v>0.8201743870921826</v>
      </c>
      <c r="AZ7" s="5"/>
      <c r="BA7" s="173">
        <f t="shared" si="100"/>
        <v>0.17506359637150304</v>
      </c>
      <c r="BB7" s="173">
        <f t="shared" si="29"/>
        <v>0.8477575962077637</v>
      </c>
      <c r="BC7" s="173">
        <f t="shared" si="30"/>
        <v>8.4890321458101728E-2</v>
      </c>
      <c r="BD7" s="173"/>
      <c r="BE7" s="528">
        <f t="shared" si="31"/>
        <v>1.2258905109809814E-3</v>
      </c>
      <c r="BF7" s="528">
        <f t="shared" si="32"/>
        <v>4.0441280561439627E-2</v>
      </c>
      <c r="BG7" s="528">
        <f t="shared" si="33"/>
        <v>1.9144841454390351E-2</v>
      </c>
      <c r="BH7" s="528">
        <f t="shared" si="34"/>
        <v>5.7171120286955207E-3</v>
      </c>
      <c r="BI7">
        <f t="shared" si="35"/>
        <v>1.0755563313551235E-2</v>
      </c>
      <c r="BJ7" s="460">
        <f t="shared" si="101"/>
        <v>29.900404767941584</v>
      </c>
      <c r="BK7">
        <f t="shared" si="36"/>
        <v>4.7729175691755006E-2</v>
      </c>
      <c r="BL7" s="460">
        <f t="shared" si="102"/>
        <v>47.729175691755003</v>
      </c>
      <c r="BM7" s="173">
        <f t="shared" si="37"/>
        <v>1.7359999999999997E-2</v>
      </c>
      <c r="BN7" s="173">
        <f t="shared" si="38"/>
        <v>1.24E-3</v>
      </c>
      <c r="BO7" s="528"/>
      <c r="BQ7" s="460">
        <f t="shared" si="103"/>
        <v>18.599999999999998</v>
      </c>
      <c r="BR7" s="528">
        <f t="shared" si="39"/>
        <v>9.1941788323573592E-4</v>
      </c>
      <c r="BS7" s="528">
        <f t="shared" si="104"/>
        <v>2.156078825783897E-2</v>
      </c>
      <c r="BT7" s="528">
        <f t="shared" si="40"/>
        <v>3.6031833386299235E-5</v>
      </c>
      <c r="BU7" s="528">
        <f t="shared" si="41"/>
        <v>6.6049047434262563E-4</v>
      </c>
      <c r="BV7" s="528">
        <f t="shared" si="42"/>
        <v>2.8632200718282704E-2</v>
      </c>
      <c r="BW7" s="625">
        <f t="shared" si="43"/>
        <v>1.9777714509506432E-2</v>
      </c>
      <c r="BX7" s="460">
        <f t="shared" si="105"/>
        <v>48.409915227789135</v>
      </c>
      <c r="BY7" s="173">
        <f t="shared" si="106"/>
        <v>0.11473909091954415</v>
      </c>
      <c r="BZ7" s="5">
        <f t="shared" si="107"/>
        <v>0.51600000000000001</v>
      </c>
      <c r="CA7" s="173">
        <f t="shared" si="108"/>
        <v>0.81808787092572954</v>
      </c>
      <c r="CB7" s="5">
        <f t="shared" si="109"/>
        <v>81.808787092572956</v>
      </c>
      <c r="CC7">
        <f t="shared" si="110"/>
        <v>2</v>
      </c>
      <c r="CE7" s="562">
        <f t="shared" si="44"/>
        <v>-50</v>
      </c>
      <c r="CF7">
        <f t="shared" si="45"/>
        <v>-50</v>
      </c>
      <c r="CG7" s="173">
        <f t="shared" si="46"/>
        <v>2.709643187273509E-2</v>
      </c>
      <c r="CH7" s="173">
        <f t="shared" si="47"/>
        <v>7.3855706809935326E-3</v>
      </c>
      <c r="CI7" s="170">
        <v>2</v>
      </c>
      <c r="CJ7" s="217">
        <f>IF(PLOT_TYPE=1, CI7/100*Iout, min_I*EXP(CS7*rr/100))</f>
        <v>0.02</v>
      </c>
      <c r="CK7" s="217">
        <f t="shared" si="111"/>
        <v>2E-3</v>
      </c>
      <c r="CL7" s="217">
        <f t="shared" si="48"/>
        <v>0.48</v>
      </c>
      <c r="CM7" s="217">
        <f>CK7*Vout2</f>
        <v>3.6000000000000004E-2</v>
      </c>
      <c r="CN7" s="541">
        <f t="shared" si="112"/>
        <v>24</v>
      </c>
      <c r="CO7" s="443">
        <f t="shared" si="49"/>
        <v>16.474900000000002</v>
      </c>
      <c r="CP7" s="443">
        <f t="shared" si="50"/>
        <v>40.474900000000005</v>
      </c>
      <c r="CQ7" s="443"/>
      <c r="CR7" s="217">
        <f t="shared" si="113"/>
        <v>0.40507913686898112</v>
      </c>
      <c r="CS7" s="172">
        <f t="shared" si="114"/>
        <v>50.242373565144938</v>
      </c>
      <c r="CT7" s="172">
        <f t="shared" si="51"/>
        <v>4.0507913686898105</v>
      </c>
      <c r="CU7" s="217">
        <f t="shared" si="52"/>
        <v>2.0934322318810392</v>
      </c>
      <c r="CV7" s="217">
        <f t="shared" si="53"/>
        <v>2.7912429758413855</v>
      </c>
      <c r="CW7" s="443">
        <f t="shared" si="54"/>
        <v>24</v>
      </c>
      <c r="CX7" s="217">
        <f t="shared" si="55"/>
        <v>0.10615209742067742</v>
      </c>
      <c r="CY7" s="217">
        <f t="shared" si="56"/>
        <v>4.4230040591948926E-2</v>
      </c>
      <c r="CZ7" s="217">
        <f t="shared" si="57"/>
        <v>6.4432620180199837E-2</v>
      </c>
      <c r="DA7" s="197">
        <f t="shared" si="58"/>
        <v>350</v>
      </c>
      <c r="DB7" s="443">
        <f t="shared" si="115"/>
        <v>350</v>
      </c>
      <c r="DD7" s="217">
        <f t="shared" si="59"/>
        <v>2.7911308701724487</v>
      </c>
      <c r="DE7" s="173">
        <f t="shared" si="60"/>
        <v>1.6941716612376698</v>
      </c>
      <c r="DF7" s="173">
        <f t="shared" si="61"/>
        <v>0.55195223422072148</v>
      </c>
      <c r="DG7" s="173"/>
      <c r="DH7" s="173">
        <f t="shared" si="62"/>
        <v>1.3488532386977903</v>
      </c>
      <c r="DI7" s="545">
        <f t="shared" si="63"/>
        <v>20.006999999999994</v>
      </c>
      <c r="DJ7" s="528">
        <f t="shared" si="64"/>
        <v>0.34987754285999911</v>
      </c>
      <c r="DL7" s="173">
        <f t="shared" si="65"/>
        <v>0.54300749797506742</v>
      </c>
      <c r="DM7" s="173">
        <f t="shared" si="66"/>
        <v>2.2222222222222223</v>
      </c>
      <c r="DN7" s="173">
        <f t="shared" si="67"/>
        <v>1.0114325714285715</v>
      </c>
      <c r="DP7" s="545">
        <f t="shared" si="68"/>
        <v>20</v>
      </c>
      <c r="DQ7" s="460">
        <f t="shared" si="69"/>
        <v>20.006999999999994</v>
      </c>
      <c r="DS7">
        <f t="shared" si="116"/>
        <v>20</v>
      </c>
      <c r="DT7" s="460">
        <f t="shared" si="70"/>
        <v>20.006999999999994</v>
      </c>
      <c r="DU7" s="460"/>
      <c r="DV7" s="5">
        <f t="shared" si="117"/>
        <v>49.982506122857011</v>
      </c>
      <c r="DW7" s="5">
        <f t="shared" si="71"/>
        <v>0.92592592592592615</v>
      </c>
      <c r="DX7" s="5">
        <f t="shared" si="118"/>
        <v>49.056580196931087</v>
      </c>
      <c r="DY7" s="173">
        <f t="shared" si="119"/>
        <v>1.8525E-2</v>
      </c>
      <c r="EA7" s="5">
        <f t="shared" si="72"/>
        <v>7.7160493827160517E-2</v>
      </c>
      <c r="EB7" s="5">
        <f t="shared" si="73"/>
        <v>1.0288065843621401E-2</v>
      </c>
      <c r="EC7" s="5">
        <f t="shared" si="74"/>
        <v>0.81760966994885131</v>
      </c>
      <c r="ED7" s="5"/>
      <c r="EE7" s="173">
        <f t="shared" si="120"/>
        <v>0.17462481828335236</v>
      </c>
      <c r="EF7" s="173">
        <f t="shared" si="75"/>
        <v>0.84779785547314046</v>
      </c>
      <c r="EG7" s="173">
        <f t="shared" si="76"/>
        <v>8.4894352825080663E-2</v>
      </c>
      <c r="EH7" s="173"/>
      <c r="EI7" s="528">
        <f t="shared" si="77"/>
        <v>1.2197530864197534E-3</v>
      </c>
      <c r="EJ7" s="528">
        <f t="shared" si="78"/>
        <v>4.9486636484999999E-2</v>
      </c>
      <c r="EK7" s="528">
        <f t="shared" si="79"/>
        <v>4.0013999999999987E-3</v>
      </c>
      <c r="EL7" s="528">
        <f t="shared" si="80"/>
        <v>5.7357681715092612E-3</v>
      </c>
      <c r="EM7">
        <f t="shared" si="81"/>
        <v>1.0800000000000001E-2</v>
      </c>
      <c r="EN7" s="460">
        <f t="shared" si="121"/>
        <v>14.801399999999999</v>
      </c>
      <c r="EO7">
        <f t="shared" si="82"/>
        <v>7.1593639867677861E-2</v>
      </c>
      <c r="EP7" s="460">
        <f t="shared" si="122"/>
        <v>71.593639867677865</v>
      </c>
      <c r="EQ7" s="173">
        <f t="shared" si="83"/>
        <v>1.7359999999999997E-2</v>
      </c>
      <c r="ER7" s="173">
        <f t="shared" si="84"/>
        <v>1.24E-3</v>
      </c>
      <c r="ES7" s="528"/>
      <c r="EU7" s="460">
        <f t="shared" si="123"/>
        <v>18.599999999999998</v>
      </c>
      <c r="EV7" s="528">
        <f t="shared" si="85"/>
        <v>9.1481481481481492E-4</v>
      </c>
      <c r="EW7" s="528">
        <f t="shared" si="124"/>
        <v>2.156283611234568E-2</v>
      </c>
      <c r="EX7" s="528">
        <f t="shared" si="86"/>
        <v>3.6035255707946404E-5</v>
      </c>
      <c r="EY7" s="528">
        <f t="shared" si="87"/>
        <v>6.5901249692240096E-4</v>
      </c>
      <c r="EZ7" s="528">
        <f t="shared" si="88"/>
        <v>2.8627544287541339E-2</v>
      </c>
      <c r="FA7" s="625">
        <f t="shared" si="89"/>
        <v>1.976E-2</v>
      </c>
      <c r="FB7" s="460">
        <f t="shared" si="125"/>
        <v>48.387544287541346</v>
      </c>
      <c r="FC7" s="173">
        <f t="shared" si="126"/>
        <v>0.13858118415521919</v>
      </c>
      <c r="FD7" s="5">
        <f t="shared" si="127"/>
        <v>0.51600000000000001</v>
      </c>
      <c r="FE7" s="173">
        <f t="shared" si="128"/>
        <v>0.78829030300639114</v>
      </c>
      <c r="FF7" s="5">
        <f t="shared" si="129"/>
        <v>78.829030300639118</v>
      </c>
      <c r="FG7">
        <f t="shared" si="130"/>
        <v>2</v>
      </c>
      <c r="FI7" s="562">
        <f t="shared" si="90"/>
        <v>-50</v>
      </c>
      <c r="FJ7">
        <f t="shared" si="91"/>
        <v>-50</v>
      </c>
      <c r="FL7">
        <f t="shared" si="92"/>
        <v>2.709643187273509E-2</v>
      </c>
    </row>
    <row r="8" spans="2:169">
      <c r="E8" s="170">
        <v>3</v>
      </c>
      <c r="F8" s="217">
        <f t="shared" ref="F8:F39" si="131">IF(PLOT_TYPE=1, E8/100*Iout_max, min_I*EXP(O8*rr/100))</f>
        <v>0.03</v>
      </c>
      <c r="G8" s="217">
        <f t="shared" si="93"/>
        <v>3.0000000000000001E-3</v>
      </c>
      <c r="H8" s="217">
        <f t="shared" si="0"/>
        <v>0.72</v>
      </c>
      <c r="I8" s="217">
        <f t="shared" ref="I8:I39" si="132">Vout2*G8</f>
        <v>5.3999999999999999E-2</v>
      </c>
      <c r="J8" s="541">
        <f t="shared" si="1"/>
        <v>23.901251807891633</v>
      </c>
      <c r="K8" s="443">
        <f t="shared" si="2"/>
        <v>16.489669472300989</v>
      </c>
      <c r="L8" s="172">
        <f t="shared" si="3"/>
        <v>40.390921280192622</v>
      </c>
      <c r="M8" s="443"/>
      <c r="N8" s="217">
        <f t="shared" si="4"/>
        <v>0.40825187813647096</v>
      </c>
      <c r="O8" s="172">
        <f t="shared" si="94"/>
        <v>50.427550079506361</v>
      </c>
      <c r="P8" s="172">
        <f t="shared" si="5"/>
        <v>4.0657212251602006</v>
      </c>
      <c r="Q8" s="217">
        <f t="shared" si="6"/>
        <v>2.1011479199794318</v>
      </c>
      <c r="R8" s="217">
        <f t="shared" si="7"/>
        <v>2.8015305599725755</v>
      </c>
      <c r="S8" s="443">
        <f t="shared" si="8"/>
        <v>24</v>
      </c>
      <c r="T8" s="217">
        <f t="shared" si="9"/>
        <v>0.1586434396949056</v>
      </c>
      <c r="U8" s="217">
        <f t="shared" si="10"/>
        <v>6.6374531748385368E-2</v>
      </c>
      <c r="V8" s="217">
        <f t="shared" si="11"/>
        <v>9.620777418334045E-2</v>
      </c>
      <c r="W8" s="197">
        <f t="shared" si="12"/>
        <v>350</v>
      </c>
      <c r="X8" s="443">
        <f t="shared" si="95"/>
        <v>350</v>
      </c>
      <c r="Z8" s="217">
        <f t="shared" si="13"/>
        <v>2.7879231258241366</v>
      </c>
      <c r="AA8" s="173">
        <f t="shared" si="14"/>
        <v>1.6907089196100828</v>
      </c>
      <c r="AB8" s="173">
        <f t="shared" si="15"/>
        <v>0.55019104924771167</v>
      </c>
      <c r="AC8" s="173"/>
      <c r="AD8" s="173">
        <f t="shared" si="16"/>
        <v>1.3476450974078444</v>
      </c>
      <c r="AE8" s="545">
        <f t="shared" si="17"/>
        <v>30.037403911312889</v>
      </c>
      <c r="AF8" s="528">
        <f t="shared" si="18"/>
        <v>0.34956416443317928</v>
      </c>
      <c r="AH8" s="173">
        <f t="shared" si="19"/>
        <v>0.66504564827214241</v>
      </c>
      <c r="AI8" s="173">
        <f t="shared" si="20"/>
        <v>2.2222222222222223</v>
      </c>
      <c r="AJ8" s="173">
        <f t="shared" si="21"/>
        <v>1.0171642308064646</v>
      </c>
      <c r="AL8" s="545">
        <f t="shared" si="22"/>
        <v>30</v>
      </c>
      <c r="AM8" s="460">
        <f t="shared" si="23"/>
        <v>30.037403911312889</v>
      </c>
      <c r="AO8">
        <f t="shared" si="96"/>
        <v>30</v>
      </c>
      <c r="AP8" s="460">
        <f t="shared" si="24"/>
        <v>30.037403911312889</v>
      </c>
      <c r="AQ8" s="460"/>
      <c r="AR8" s="5">
        <f t="shared" si="97"/>
        <v>33.291825184112305</v>
      </c>
      <c r="AS8" s="5">
        <f t="shared" si="25"/>
        <v>0.92975139548485786</v>
      </c>
      <c r="AT8" s="5">
        <f t="shared" si="98"/>
        <v>32.362073788627448</v>
      </c>
      <c r="AU8" s="173">
        <f t="shared" si="99"/>
        <v>2.7927318203285489E-2</v>
      </c>
      <c r="AW8" s="5">
        <f t="shared" si="26"/>
        <v>0.11621892443560722</v>
      </c>
      <c r="AX8" s="5">
        <f t="shared" si="27"/>
        <v>1.5495856591414298E-2</v>
      </c>
      <c r="AY8" s="5">
        <f t="shared" si="28"/>
        <v>0.81239444817552808</v>
      </c>
      <c r="AZ8" s="5"/>
      <c r="BA8" s="173">
        <f t="shared" si="100"/>
        <v>0.2144082418233656</v>
      </c>
      <c r="BB8" s="173">
        <f t="shared" si="29"/>
        <v>0.84372722303106817</v>
      </c>
      <c r="BC8" s="173">
        <f t="shared" si="30"/>
        <v>8.4486739495408303E-2</v>
      </c>
      <c r="BD8" s="173"/>
      <c r="BE8" s="528">
        <f t="shared" si="31"/>
        <v>1.8388357664714727E-3</v>
      </c>
      <c r="BF8" s="528">
        <f t="shared" si="32"/>
        <v>6.0661920842159447E-2</v>
      </c>
      <c r="BG8" s="528">
        <f t="shared" si="33"/>
        <v>2.8717262181585535E-2</v>
      </c>
      <c r="BH8" s="528">
        <f t="shared" si="34"/>
        <v>8.5756680430432823E-3</v>
      </c>
      <c r="BI8">
        <f t="shared" si="35"/>
        <v>1.0755563313551235E-2</v>
      </c>
      <c r="BJ8" s="460">
        <f t="shared" si="101"/>
        <v>39.472825495136767</v>
      </c>
      <c r="BK8">
        <f t="shared" si="36"/>
        <v>7.1604194709594018E-2</v>
      </c>
      <c r="BL8" s="460">
        <f t="shared" si="102"/>
        <v>71.604194709594012</v>
      </c>
      <c r="BM8" s="173">
        <f t="shared" si="37"/>
        <v>2.6039999999999997E-2</v>
      </c>
      <c r="BN8" s="173">
        <f t="shared" si="38"/>
        <v>1.8600000000000001E-3</v>
      </c>
      <c r="BO8" s="528"/>
      <c r="BQ8" s="460">
        <f t="shared" si="103"/>
        <v>27.9</v>
      </c>
      <c r="BR8" s="528">
        <f t="shared" si="39"/>
        <v>1.3791268248536045E-3</v>
      </c>
      <c r="BS8" s="528">
        <f t="shared" si="104"/>
        <v>2.1356268806511536E-2</v>
      </c>
      <c r="BT8" s="528">
        <f t="shared" si="40"/>
        <v>3.5690045752824922E-5</v>
      </c>
      <c r="BU8" s="528">
        <f t="shared" si="41"/>
        <v>1.8200977223717916E-3</v>
      </c>
      <c r="BV8" s="528">
        <f t="shared" si="42"/>
        <v>3.0111096951479198E-2</v>
      </c>
      <c r="BW8" s="625">
        <f t="shared" si="43"/>
        <v>2.9666571764259655E-2</v>
      </c>
      <c r="BX8" s="460">
        <f t="shared" si="105"/>
        <v>59.777668715738848</v>
      </c>
      <c r="BY8" s="173">
        <f t="shared" si="106"/>
        <v>0.15928186342533288</v>
      </c>
      <c r="BZ8" s="5">
        <f t="shared" si="107"/>
        <v>0.77400000000000002</v>
      </c>
      <c r="CA8" s="173">
        <f t="shared" si="108"/>
        <v>0.82933144887147348</v>
      </c>
      <c r="CB8" s="5">
        <f t="shared" si="109"/>
        <v>82.93314488714735</v>
      </c>
      <c r="CC8">
        <f t="shared" si="110"/>
        <v>3</v>
      </c>
      <c r="CE8" s="562">
        <f t="shared" si="44"/>
        <v>-50</v>
      </c>
      <c r="CF8">
        <f t="shared" si="45"/>
        <v>-50</v>
      </c>
      <c r="CG8" s="173">
        <f t="shared" si="46"/>
        <v>4.0644647809102638E-2</v>
      </c>
      <c r="CH8" s="173">
        <f t="shared" si="47"/>
        <v>1.1078356021490297E-2</v>
      </c>
      <c r="CI8" s="170">
        <v>3</v>
      </c>
      <c r="CJ8" s="217">
        <f t="shared" ref="CJ8:CJ71" si="133">IF(PLOT_TYPE=1, CI8/100*Iout_max, min_I*EXP(CS8*rr/100))</f>
        <v>0.03</v>
      </c>
      <c r="CK8" s="217">
        <f t="shared" si="111"/>
        <v>3.0000000000000001E-3</v>
      </c>
      <c r="CL8" s="217">
        <f t="shared" si="48"/>
        <v>0.72</v>
      </c>
      <c r="CM8" s="217">
        <f t="shared" ref="CM8:CM71" si="134">Vout2*CK8</f>
        <v>5.3999999999999999E-2</v>
      </c>
      <c r="CN8" s="541">
        <f t="shared" si="112"/>
        <v>24</v>
      </c>
      <c r="CO8" s="443">
        <f t="shared" si="49"/>
        <v>16.474900000000002</v>
      </c>
      <c r="CP8" s="443">
        <f t="shared" si="50"/>
        <v>40.474900000000005</v>
      </c>
      <c r="CQ8" s="443"/>
      <c r="CR8" s="217">
        <f t="shared" si="113"/>
        <v>0.40507913686898112</v>
      </c>
      <c r="CS8" s="172">
        <f t="shared" si="114"/>
        <v>50.242373565144938</v>
      </c>
      <c r="CT8" s="172">
        <f t="shared" si="51"/>
        <v>4.0507913686898105</v>
      </c>
      <c r="CU8" s="217">
        <f t="shared" si="52"/>
        <v>2.0934322318810392</v>
      </c>
      <c r="CV8" s="217">
        <f t="shared" si="53"/>
        <v>2.7912429758413855</v>
      </c>
      <c r="CW8" s="443">
        <f t="shared" si="54"/>
        <v>24</v>
      </c>
      <c r="CX8" s="217">
        <f t="shared" si="55"/>
        <v>0.15922814613101613</v>
      </c>
      <c r="CY8" s="217">
        <f t="shared" si="56"/>
        <v>6.6345060887923399E-2</v>
      </c>
      <c r="CZ8" s="217">
        <f t="shared" si="57"/>
        <v>9.6648930270299749E-2</v>
      </c>
      <c r="DA8" s="197">
        <f t="shared" si="58"/>
        <v>350</v>
      </c>
      <c r="DB8" s="443">
        <f t="shared" si="115"/>
        <v>350</v>
      </c>
      <c r="DD8" s="217">
        <f t="shared" si="59"/>
        <v>2.7911308701724487</v>
      </c>
      <c r="DE8" s="173">
        <f t="shared" si="60"/>
        <v>1.6941716612376698</v>
      </c>
      <c r="DF8" s="173">
        <f t="shared" si="61"/>
        <v>0.55195223422072148</v>
      </c>
      <c r="DG8" s="173"/>
      <c r="DH8" s="173">
        <f t="shared" si="62"/>
        <v>1.3488532386977903</v>
      </c>
      <c r="DI8" s="545">
        <f t="shared" si="63"/>
        <v>30.01049999999999</v>
      </c>
      <c r="DJ8" s="528">
        <f t="shared" si="64"/>
        <v>0.34987754285999911</v>
      </c>
      <c r="DL8" s="173">
        <f t="shared" si="65"/>
        <v>0.66504564827214241</v>
      </c>
      <c r="DM8" s="173">
        <f t="shared" si="66"/>
        <v>2.2222222222222223</v>
      </c>
      <c r="DN8" s="173">
        <f t="shared" si="67"/>
        <v>1.0171488571428571</v>
      </c>
      <c r="DP8" s="545">
        <f t="shared" si="68"/>
        <v>30</v>
      </c>
      <c r="DQ8" s="460">
        <f t="shared" si="69"/>
        <v>30.01049999999999</v>
      </c>
      <c r="DS8">
        <f t="shared" si="116"/>
        <v>30</v>
      </c>
      <c r="DT8" s="460">
        <f t="shared" si="70"/>
        <v>30.01049999999999</v>
      </c>
      <c r="DU8" s="460"/>
      <c r="DV8" s="5">
        <f t="shared" si="117"/>
        <v>33.321670748571343</v>
      </c>
      <c r="DW8" s="5">
        <f t="shared" si="71"/>
        <v>0.92592592592592615</v>
      </c>
      <c r="DX8" s="5">
        <f t="shared" si="118"/>
        <v>32.395744822645419</v>
      </c>
      <c r="DY8" s="173">
        <f t="shared" si="119"/>
        <v>2.77875E-2</v>
      </c>
      <c r="EA8" s="5">
        <f t="shared" si="72"/>
        <v>0.11574074074074076</v>
      </c>
      <c r="EB8" s="5">
        <f t="shared" si="73"/>
        <v>1.5432098765432103E-2</v>
      </c>
      <c r="EC8" s="5">
        <f t="shared" si="74"/>
        <v>0.80989362056613534</v>
      </c>
      <c r="ED8" s="5"/>
      <c r="EE8" s="173">
        <f t="shared" si="120"/>
        <v>0.21387085061022398</v>
      </c>
      <c r="EF8" s="173">
        <f t="shared" si="75"/>
        <v>0.84378789965787837</v>
      </c>
      <c r="EG8" s="173">
        <f t="shared" si="76"/>
        <v>8.4492815357633491E-2</v>
      </c>
      <c r="EH8" s="173"/>
      <c r="EI8" s="528">
        <f t="shared" si="77"/>
        <v>1.8296296296296296E-3</v>
      </c>
      <c r="EJ8" s="528">
        <f t="shared" si="78"/>
        <v>7.4229954727499992E-2</v>
      </c>
      <c r="EK8" s="528">
        <f t="shared" si="79"/>
        <v>6.0020999999999981E-3</v>
      </c>
      <c r="EL8" s="528">
        <f t="shared" si="80"/>
        <v>8.6036522572638923E-3</v>
      </c>
      <c r="EM8">
        <f t="shared" si="81"/>
        <v>1.0800000000000001E-2</v>
      </c>
      <c r="EN8" s="460">
        <f t="shared" si="121"/>
        <v>16.802099999999999</v>
      </c>
      <c r="EO8">
        <f t="shared" si="82"/>
        <v>0.10200367965401272</v>
      </c>
      <c r="EP8" s="460">
        <f t="shared" si="122"/>
        <v>102.00367965401271</v>
      </c>
      <c r="EQ8" s="173">
        <f t="shared" si="83"/>
        <v>2.6039999999999997E-2</v>
      </c>
      <c r="ER8" s="173">
        <f t="shared" si="84"/>
        <v>1.8600000000000001E-3</v>
      </c>
      <c r="ES8" s="528"/>
      <c r="EU8" s="460">
        <f t="shared" si="123"/>
        <v>27.9</v>
      </c>
      <c r="EV8" s="528">
        <f t="shared" si="85"/>
        <v>1.3722222222222222E-3</v>
      </c>
      <c r="EW8" s="528">
        <f t="shared" si="124"/>
        <v>2.1359340588271613E-2</v>
      </c>
      <c r="EX8" s="528">
        <f t="shared" si="86"/>
        <v>3.569517923529573E-5</v>
      </c>
      <c r="EY8" s="528">
        <f t="shared" si="87"/>
        <v>1.8160248955245227E-3</v>
      </c>
      <c r="EZ8" s="528">
        <f t="shared" si="88"/>
        <v>3.010225246261972E-2</v>
      </c>
      <c r="FA8" s="625">
        <f t="shared" si="89"/>
        <v>2.9639999999999996E-2</v>
      </c>
      <c r="FB8" s="460">
        <f t="shared" si="125"/>
        <v>59.742252462619717</v>
      </c>
      <c r="FC8" s="173">
        <f t="shared" si="126"/>
        <v>0.18964593211663244</v>
      </c>
      <c r="FD8" s="5">
        <f t="shared" si="127"/>
        <v>0.77400000000000002</v>
      </c>
      <c r="FE8" s="173">
        <f t="shared" si="128"/>
        <v>0.80319957175549095</v>
      </c>
      <c r="FF8" s="5">
        <f t="shared" si="129"/>
        <v>80.319957175549092</v>
      </c>
      <c r="FG8">
        <f t="shared" si="130"/>
        <v>3</v>
      </c>
      <c r="FI8" s="562">
        <f t="shared" si="90"/>
        <v>-50</v>
      </c>
      <c r="FJ8">
        <f t="shared" si="91"/>
        <v>-50</v>
      </c>
      <c r="FL8">
        <f t="shared" si="92"/>
        <v>4.0644647809102638E-2</v>
      </c>
    </row>
    <row r="9" spans="2:169">
      <c r="E9" s="170">
        <v>4</v>
      </c>
      <c r="F9" s="217">
        <f t="shared" si="131"/>
        <v>0.04</v>
      </c>
      <c r="G9" s="217">
        <f t="shared" si="93"/>
        <v>4.0000000000000001E-3</v>
      </c>
      <c r="H9" s="217">
        <f t="shared" si="0"/>
        <v>0.96</v>
      </c>
      <c r="I9" s="217">
        <f t="shared" si="132"/>
        <v>7.2000000000000008E-2</v>
      </c>
      <c r="J9" s="541">
        <f t="shared" si="1"/>
        <v>23.901251807891633</v>
      </c>
      <c r="K9" s="443">
        <f t="shared" si="2"/>
        <v>16.489669472300989</v>
      </c>
      <c r="L9" s="172">
        <f t="shared" si="3"/>
        <v>40.390921280192622</v>
      </c>
      <c r="M9" s="443"/>
      <c r="N9" s="217">
        <f t="shared" si="4"/>
        <v>0.40825187813647096</v>
      </c>
      <c r="O9" s="172">
        <f t="shared" si="94"/>
        <v>50.427550079506361</v>
      </c>
      <c r="P9" s="172">
        <f t="shared" si="5"/>
        <v>4.0657212251602006</v>
      </c>
      <c r="Q9" s="217">
        <f t="shared" si="6"/>
        <v>2.1011479199794318</v>
      </c>
      <c r="R9" s="217">
        <f t="shared" si="7"/>
        <v>2.8015305599725755</v>
      </c>
      <c r="S9" s="443">
        <f t="shared" si="8"/>
        <v>24</v>
      </c>
      <c r="T9" s="217">
        <f t="shared" si="9"/>
        <v>0.21152458625987414</v>
      </c>
      <c r="U9" s="217">
        <f t="shared" si="10"/>
        <v>8.849937566451381E-2</v>
      </c>
      <c r="V9" s="217">
        <f t="shared" si="11"/>
        <v>0.12827703224445394</v>
      </c>
      <c r="W9" s="197">
        <f t="shared" si="12"/>
        <v>350</v>
      </c>
      <c r="X9" s="443">
        <f t="shared" si="95"/>
        <v>350</v>
      </c>
      <c r="Z9" s="217">
        <f t="shared" si="13"/>
        <v>2.7879231258241366</v>
      </c>
      <c r="AA9" s="173">
        <f t="shared" si="14"/>
        <v>1.6907089196100828</v>
      </c>
      <c r="AB9" s="173">
        <f t="shared" si="15"/>
        <v>0.55019104924771167</v>
      </c>
      <c r="AC9" s="173"/>
      <c r="AD9" s="173">
        <f t="shared" si="16"/>
        <v>1.3476450974078444</v>
      </c>
      <c r="AE9" s="545">
        <f t="shared" si="17"/>
        <v>40.049871881750512</v>
      </c>
      <c r="AF9" s="528">
        <f t="shared" si="18"/>
        <v>0.34956416443317928</v>
      </c>
      <c r="AH9" s="173">
        <f t="shared" si="19"/>
        <v>0.76792856810662125</v>
      </c>
      <c r="AI9" s="173">
        <f t="shared" si="20"/>
        <v>2.2222222222222223</v>
      </c>
      <c r="AJ9" s="173">
        <f t="shared" si="21"/>
        <v>1.022885641075286</v>
      </c>
      <c r="AL9" s="545">
        <f t="shared" si="22"/>
        <v>40</v>
      </c>
      <c r="AM9" s="460">
        <f t="shared" si="23"/>
        <v>40.049871881750512</v>
      </c>
      <c r="AO9">
        <f t="shared" si="96"/>
        <v>40</v>
      </c>
      <c r="AP9" s="460">
        <f t="shared" si="24"/>
        <v>40.049871881750512</v>
      </c>
      <c r="AQ9" s="460"/>
      <c r="AR9" s="5">
        <f t="shared" si="97"/>
        <v>24.968868888084238</v>
      </c>
      <c r="AS9" s="5">
        <f t="shared" si="25"/>
        <v>0.92975139548485786</v>
      </c>
      <c r="AT9" s="5">
        <f t="shared" si="98"/>
        <v>24.039117492599381</v>
      </c>
      <c r="AU9" s="173">
        <f t="shared" si="99"/>
        <v>3.7236424271047307E-2</v>
      </c>
      <c r="AW9" s="5">
        <f t="shared" si="26"/>
        <v>0.15495856591414298</v>
      </c>
      <c r="AX9" s="5">
        <f t="shared" si="27"/>
        <v>2.0661142121885731E-2</v>
      </c>
      <c r="AY9" s="5">
        <f t="shared" si="28"/>
        <v>0.8046145092588739</v>
      </c>
      <c r="AZ9" s="5"/>
      <c r="BA9" s="173">
        <f t="shared" si="100"/>
        <v>0.24757731226638896</v>
      </c>
      <c r="BB9" s="173">
        <f t="shared" si="29"/>
        <v>0.83967750466442181</v>
      </c>
      <c r="BC9" s="173">
        <f t="shared" si="30"/>
        <v>8.4081220399504927E-2</v>
      </c>
      <c r="BD9" s="173"/>
      <c r="BE9" s="528">
        <f t="shared" si="31"/>
        <v>2.4517810219619632E-3</v>
      </c>
      <c r="BF9" s="528">
        <f t="shared" si="32"/>
        <v>8.0882561122879254E-2</v>
      </c>
      <c r="BG9" s="528">
        <f t="shared" si="33"/>
        <v>3.8289682908780702E-2</v>
      </c>
      <c r="BH9" s="528">
        <f t="shared" si="34"/>
        <v>1.1434224057391041E-2</v>
      </c>
      <c r="BI9">
        <f t="shared" si="35"/>
        <v>1.0755563313551235E-2</v>
      </c>
      <c r="BJ9" s="460">
        <f t="shared" si="101"/>
        <v>49.04524622233194</v>
      </c>
      <c r="BK9">
        <f t="shared" si="36"/>
        <v>9.5486171895507288E-2</v>
      </c>
      <c r="BL9" s="460">
        <f t="shared" si="102"/>
        <v>95.486171895507283</v>
      </c>
      <c r="BM9" s="173">
        <f t="shared" si="37"/>
        <v>3.4719999999999994E-2</v>
      </c>
      <c r="BN9" s="173">
        <f t="shared" si="38"/>
        <v>2.48E-3</v>
      </c>
      <c r="BO9" s="528"/>
      <c r="BQ9" s="460">
        <f t="shared" si="103"/>
        <v>37.199999999999996</v>
      </c>
      <c r="BR9" s="528">
        <f t="shared" si="39"/>
        <v>1.838835766471472E-3</v>
      </c>
      <c r="BS9" s="528">
        <f t="shared" si="104"/>
        <v>2.1151749355184102E-2</v>
      </c>
      <c r="BT9" s="528">
        <f t="shared" si="40"/>
        <v>3.5348258119350622E-5</v>
      </c>
      <c r="BU9" s="528">
        <f t="shared" si="41"/>
        <v>3.7362983465343211E-3</v>
      </c>
      <c r="BV9" s="528">
        <f t="shared" si="42"/>
        <v>3.2348043248559825E-2</v>
      </c>
      <c r="BW9" s="625">
        <f t="shared" si="43"/>
        <v>3.9555429019012864E-2</v>
      </c>
      <c r="BX9" s="460">
        <f t="shared" si="105"/>
        <v>71.903472267572681</v>
      </c>
      <c r="BY9" s="173">
        <f t="shared" si="106"/>
        <v>0.20458964416308001</v>
      </c>
      <c r="BZ9" s="5">
        <f t="shared" si="107"/>
        <v>1.032</v>
      </c>
      <c r="CA9" s="173">
        <f t="shared" si="108"/>
        <v>0.83455332564947549</v>
      </c>
      <c r="CB9" s="5">
        <f t="shared" si="109"/>
        <v>83.455332564947554</v>
      </c>
      <c r="CC9">
        <f t="shared" si="110"/>
        <v>4</v>
      </c>
      <c r="CE9" s="562">
        <f t="shared" si="44"/>
        <v>-50</v>
      </c>
      <c r="CF9">
        <f t="shared" si="45"/>
        <v>-50</v>
      </c>
      <c r="CG9" s="173">
        <f t="shared" si="46"/>
        <v>5.4192863745470179E-2</v>
      </c>
      <c r="CH9" s="173">
        <f t="shared" si="47"/>
        <v>1.4771141361987065E-2</v>
      </c>
      <c r="CI9" s="170">
        <v>4</v>
      </c>
      <c r="CJ9" s="217">
        <f t="shared" si="133"/>
        <v>0.04</v>
      </c>
      <c r="CK9" s="217">
        <f t="shared" si="111"/>
        <v>4.0000000000000001E-3</v>
      </c>
      <c r="CL9" s="217">
        <f t="shared" si="48"/>
        <v>0.96</v>
      </c>
      <c r="CM9" s="217">
        <f t="shared" si="134"/>
        <v>7.2000000000000008E-2</v>
      </c>
      <c r="CN9" s="541">
        <f t="shared" si="112"/>
        <v>24</v>
      </c>
      <c r="CO9" s="443">
        <f t="shared" si="49"/>
        <v>16.474900000000002</v>
      </c>
      <c r="CP9" s="443">
        <f t="shared" si="50"/>
        <v>40.474900000000005</v>
      </c>
      <c r="CQ9" s="443"/>
      <c r="CR9" s="217">
        <f t="shared" si="113"/>
        <v>0.40507913686898112</v>
      </c>
      <c r="CS9" s="172">
        <f t="shared" si="114"/>
        <v>50.242373565144938</v>
      </c>
      <c r="CT9" s="172">
        <f t="shared" si="51"/>
        <v>4.0507913686898105</v>
      </c>
      <c r="CU9" s="217">
        <f t="shared" si="52"/>
        <v>2.0934322318810392</v>
      </c>
      <c r="CV9" s="217">
        <f t="shared" si="53"/>
        <v>2.7912429758413855</v>
      </c>
      <c r="CW9" s="443">
        <f t="shared" si="54"/>
        <v>24</v>
      </c>
      <c r="CX9" s="217">
        <f t="shared" si="55"/>
        <v>0.21230419484135485</v>
      </c>
      <c r="CY9" s="217">
        <f t="shared" si="56"/>
        <v>8.8460081183897851E-2</v>
      </c>
      <c r="CZ9" s="217">
        <f t="shared" si="57"/>
        <v>0.12886524036039967</v>
      </c>
      <c r="DA9" s="197">
        <f t="shared" si="58"/>
        <v>350</v>
      </c>
      <c r="DB9" s="443">
        <f t="shared" si="115"/>
        <v>350</v>
      </c>
      <c r="DD9" s="217">
        <f t="shared" si="59"/>
        <v>2.7911308701724487</v>
      </c>
      <c r="DE9" s="173">
        <f t="shared" si="60"/>
        <v>1.6941716612376698</v>
      </c>
      <c r="DF9" s="173">
        <f t="shared" si="61"/>
        <v>0.55195223422072148</v>
      </c>
      <c r="DG9" s="173"/>
      <c r="DH9" s="173">
        <f t="shared" si="62"/>
        <v>1.3488532386977903</v>
      </c>
      <c r="DI9" s="545">
        <f t="shared" si="63"/>
        <v>40.013999999999989</v>
      </c>
      <c r="DJ9" s="528">
        <f t="shared" si="64"/>
        <v>0.34987754285999911</v>
      </c>
      <c r="DL9" s="173">
        <f t="shared" si="65"/>
        <v>0.76792856810662125</v>
      </c>
      <c r="DM9" s="173">
        <f t="shared" si="66"/>
        <v>2.2222222222222223</v>
      </c>
      <c r="DN9" s="173">
        <f t="shared" si="67"/>
        <v>1.0228651428571429</v>
      </c>
      <c r="DP9" s="545">
        <f t="shared" si="68"/>
        <v>40</v>
      </c>
      <c r="DQ9" s="460">
        <f t="shared" si="69"/>
        <v>40.013999999999989</v>
      </c>
      <c r="DS9">
        <f t="shared" si="116"/>
        <v>40</v>
      </c>
      <c r="DT9" s="460">
        <f t="shared" si="70"/>
        <v>40.013999999999989</v>
      </c>
      <c r="DU9" s="460"/>
      <c r="DV9" s="5">
        <f t="shared" si="117"/>
        <v>24.991253061428505</v>
      </c>
      <c r="DW9" s="5">
        <f t="shared" si="71"/>
        <v>0.92592592592592615</v>
      </c>
      <c r="DX9" s="5">
        <f t="shared" si="118"/>
        <v>24.065327135502578</v>
      </c>
      <c r="DY9" s="173">
        <f t="shared" si="119"/>
        <v>3.705E-2</v>
      </c>
      <c r="EA9" s="5">
        <f t="shared" si="72"/>
        <v>0.15432098765432103</v>
      </c>
      <c r="EB9" s="5">
        <f t="shared" si="73"/>
        <v>2.0576131687242802E-2</v>
      </c>
      <c r="EC9" s="5">
        <f t="shared" si="74"/>
        <v>0.80217757118341915</v>
      </c>
      <c r="ED9" s="5"/>
      <c r="EE9" s="173">
        <f t="shared" si="120"/>
        <v>0.2469567863432541</v>
      </c>
      <c r="EF9" s="173">
        <f t="shared" si="75"/>
        <v>0.83975879600826531</v>
      </c>
      <c r="EG9" s="173">
        <f t="shared" si="76"/>
        <v>8.4089360519206013E-2</v>
      </c>
      <c r="EH9" s="173"/>
      <c r="EI9" s="528">
        <f t="shared" si="77"/>
        <v>2.4395061728395063E-3</v>
      </c>
      <c r="EJ9" s="528">
        <f t="shared" si="78"/>
        <v>9.8973272969999998E-2</v>
      </c>
      <c r="EK9" s="528">
        <f t="shared" si="79"/>
        <v>8.0027999999999974E-3</v>
      </c>
      <c r="EL9" s="528">
        <f t="shared" si="80"/>
        <v>1.1471536343018522E-2</v>
      </c>
      <c r="EM9">
        <f t="shared" si="81"/>
        <v>1.0800000000000001E-2</v>
      </c>
      <c r="EN9" s="460">
        <f t="shared" si="121"/>
        <v>18.802799999999998</v>
      </c>
      <c r="EO9">
        <f t="shared" si="82"/>
        <v>0.13242253778669352</v>
      </c>
      <c r="EP9" s="460">
        <f t="shared" si="122"/>
        <v>132.42253778669351</v>
      </c>
      <c r="EQ9" s="173">
        <f t="shared" si="83"/>
        <v>3.4719999999999994E-2</v>
      </c>
      <c r="ER9" s="173">
        <f t="shared" si="84"/>
        <v>2.48E-3</v>
      </c>
      <c r="ES9" s="528"/>
      <c r="EU9" s="460">
        <f t="shared" si="123"/>
        <v>37.199999999999996</v>
      </c>
      <c r="EV9" s="528">
        <f t="shared" si="85"/>
        <v>1.8296296296296296E-3</v>
      </c>
      <c r="EW9" s="528">
        <f t="shared" si="124"/>
        <v>2.1155845064197539E-2</v>
      </c>
      <c r="EX9" s="528">
        <f t="shared" si="86"/>
        <v>3.5355102762645015E-5</v>
      </c>
      <c r="EY9" s="528">
        <f t="shared" si="87"/>
        <v>3.7279376436840689E-3</v>
      </c>
      <c r="EZ9" s="528">
        <f t="shared" si="88"/>
        <v>3.2333313768497386E-2</v>
      </c>
      <c r="FA9" s="625">
        <f t="shared" si="89"/>
        <v>3.952E-2</v>
      </c>
      <c r="FB9" s="460">
        <f t="shared" si="125"/>
        <v>71.853313768497372</v>
      </c>
      <c r="FC9" s="173">
        <f t="shared" si="126"/>
        <v>0.24147585155519091</v>
      </c>
      <c r="FD9" s="5">
        <f t="shared" si="127"/>
        <v>1.032</v>
      </c>
      <c r="FE9" s="173">
        <f t="shared" si="128"/>
        <v>0.81038050210351742</v>
      </c>
      <c r="FF9" s="5">
        <f t="shared" si="129"/>
        <v>81.038050210351741</v>
      </c>
      <c r="FG9">
        <f t="shared" si="130"/>
        <v>4</v>
      </c>
      <c r="FI9" s="562">
        <f t="shared" si="90"/>
        <v>-50</v>
      </c>
      <c r="FJ9">
        <f t="shared" si="91"/>
        <v>-50</v>
      </c>
      <c r="FL9">
        <f t="shared" si="92"/>
        <v>5.4192863745470179E-2</v>
      </c>
    </row>
    <row r="10" spans="2:169">
      <c r="E10" s="170">
        <v>5</v>
      </c>
      <c r="F10" s="217">
        <f t="shared" si="131"/>
        <v>0.05</v>
      </c>
      <c r="G10" s="217">
        <f t="shared" si="93"/>
        <v>5.000000000000001E-3</v>
      </c>
      <c r="H10" s="217">
        <f t="shared" si="0"/>
        <v>1.2000000000000002</v>
      </c>
      <c r="I10" s="217">
        <f t="shared" si="132"/>
        <v>9.0000000000000024E-2</v>
      </c>
      <c r="J10" s="541">
        <f t="shared" si="1"/>
        <v>23.901251807891633</v>
      </c>
      <c r="K10" s="443">
        <f t="shared" si="2"/>
        <v>16.489669472300989</v>
      </c>
      <c r="L10" s="172">
        <f t="shared" si="3"/>
        <v>40.390921280192622</v>
      </c>
      <c r="M10" s="443"/>
      <c r="N10" s="217">
        <f t="shared" si="4"/>
        <v>0.40825187813647096</v>
      </c>
      <c r="O10" s="172">
        <f t="shared" si="94"/>
        <v>50.427550079506361</v>
      </c>
      <c r="P10" s="172">
        <f t="shared" si="5"/>
        <v>4.0657212251602006</v>
      </c>
      <c r="Q10" s="217">
        <f t="shared" si="6"/>
        <v>2.1011479199794318</v>
      </c>
      <c r="R10" s="217">
        <f t="shared" si="7"/>
        <v>2.8015305599725755</v>
      </c>
      <c r="S10" s="443">
        <f t="shared" si="8"/>
        <v>24</v>
      </c>
      <c r="T10" s="217">
        <f t="shared" si="9"/>
        <v>0.2644057328248427</v>
      </c>
      <c r="U10" s="217">
        <f t="shared" si="10"/>
        <v>0.11062421958064228</v>
      </c>
      <c r="V10" s="217">
        <f t="shared" si="11"/>
        <v>0.16034629030556741</v>
      </c>
      <c r="W10" s="197">
        <f t="shared" si="12"/>
        <v>350</v>
      </c>
      <c r="X10" s="443">
        <f t="shared" si="95"/>
        <v>350</v>
      </c>
      <c r="Z10" s="217">
        <f t="shared" si="13"/>
        <v>2.7879231258241366</v>
      </c>
      <c r="AA10" s="173">
        <f t="shared" si="14"/>
        <v>1.6907089196100828</v>
      </c>
      <c r="AB10" s="173">
        <f t="shared" si="15"/>
        <v>0.55019104924771167</v>
      </c>
      <c r="AC10" s="173"/>
      <c r="AD10" s="173">
        <f t="shared" si="16"/>
        <v>1.3476450974078444</v>
      </c>
      <c r="AE10" s="545">
        <f t="shared" si="17"/>
        <v>50.062339852188153</v>
      </c>
      <c r="AF10" s="528">
        <f t="shared" si="18"/>
        <v>0.34956416443317928</v>
      </c>
      <c r="AH10" s="173">
        <f t="shared" si="19"/>
        <v>0.85857024007524119</v>
      </c>
      <c r="AI10" s="173">
        <f t="shared" si="20"/>
        <v>2.2222222222222223</v>
      </c>
      <c r="AJ10" s="173">
        <f t="shared" si="21"/>
        <v>1.0286070513441075</v>
      </c>
      <c r="AL10" s="545">
        <f t="shared" si="22"/>
        <v>50</v>
      </c>
      <c r="AM10" s="460">
        <f t="shared" si="23"/>
        <v>50.062339852188153</v>
      </c>
      <c r="AO10">
        <f t="shared" si="96"/>
        <v>50</v>
      </c>
      <c r="AP10" s="460">
        <f t="shared" si="24"/>
        <v>50.062339852188153</v>
      </c>
      <c r="AQ10" s="460"/>
      <c r="AR10" s="5">
        <f t="shared" si="97"/>
        <v>19.975095110467382</v>
      </c>
      <c r="AS10" s="5">
        <f t="shared" si="25"/>
        <v>0.92975139548485786</v>
      </c>
      <c r="AT10" s="5">
        <f t="shared" si="98"/>
        <v>19.045343714982526</v>
      </c>
      <c r="AU10" s="173">
        <f t="shared" si="99"/>
        <v>4.6545530338809149E-2</v>
      </c>
      <c r="AW10" s="5">
        <f t="shared" si="26"/>
        <v>0.19369820739267876</v>
      </c>
      <c r="AX10" s="5">
        <f t="shared" si="27"/>
        <v>2.5826427652357167E-2</v>
      </c>
      <c r="AY10" s="5">
        <f t="shared" si="28"/>
        <v>0.79683457034221949</v>
      </c>
      <c r="AZ10" s="5"/>
      <c r="BA10" s="173">
        <f t="shared" si="100"/>
        <v>0.27679984995716916</v>
      </c>
      <c r="BB10" s="173">
        <f t="shared" si="29"/>
        <v>0.83560815984241221</v>
      </c>
      <c r="BC10" s="173">
        <f t="shared" si="30"/>
        <v>8.3673736005841534E-2</v>
      </c>
      <c r="BD10" s="173"/>
      <c r="BE10" s="528">
        <f t="shared" si="31"/>
        <v>3.0647262774524549E-3</v>
      </c>
      <c r="BF10" s="528">
        <f t="shared" si="32"/>
        <v>0.10110320140359909</v>
      </c>
      <c r="BG10" s="528">
        <f t="shared" si="33"/>
        <v>4.7862103635975893E-2</v>
      </c>
      <c r="BH10" s="528">
        <f t="shared" si="34"/>
        <v>1.4292780071738806E-2</v>
      </c>
      <c r="BI10">
        <f t="shared" si="35"/>
        <v>1.0755563313551235E-2</v>
      </c>
      <c r="BJ10" s="460">
        <f t="shared" si="101"/>
        <v>58.617666949527127</v>
      </c>
      <c r="BK10">
        <f t="shared" si="36"/>
        <v>0.1193751102917852</v>
      </c>
      <c r="BL10" s="460">
        <f t="shared" si="102"/>
        <v>119.37511029178521</v>
      </c>
      <c r="BM10" s="173">
        <f t="shared" si="37"/>
        <v>4.3399999999999994E-2</v>
      </c>
      <c r="BN10" s="173">
        <f t="shared" si="38"/>
        <v>3.1000000000000008E-3</v>
      </c>
      <c r="BO10" s="528"/>
      <c r="BQ10" s="460">
        <f t="shared" si="103"/>
        <v>46.499999999999993</v>
      </c>
      <c r="BR10" s="528">
        <f t="shared" si="39"/>
        <v>2.2985447080893411E-3</v>
      </c>
      <c r="BS10" s="528">
        <f t="shared" si="104"/>
        <v>2.0947229903856668E-2</v>
      </c>
      <c r="BT10" s="528">
        <f t="shared" si="40"/>
        <v>3.5006470485876309E-5</v>
      </c>
      <c r="BU10" s="528">
        <f t="shared" si="41"/>
        <v>6.5270445992740636E-3</v>
      </c>
      <c r="BV10" s="528">
        <f t="shared" si="42"/>
        <v>3.5461258404996338E-2</v>
      </c>
      <c r="BW10" s="625">
        <f t="shared" si="43"/>
        <v>4.944428627376609E-2</v>
      </c>
      <c r="BX10" s="460">
        <f t="shared" si="105"/>
        <v>84.905544678762439</v>
      </c>
      <c r="BY10" s="173">
        <f t="shared" si="106"/>
        <v>0.25078065497054763</v>
      </c>
      <c r="BZ10" s="5">
        <f t="shared" si="107"/>
        <v>1.2900000000000003</v>
      </c>
      <c r="CA10" s="173">
        <f t="shared" si="108"/>
        <v>0.83723792600748792</v>
      </c>
      <c r="CB10" s="5">
        <f t="shared" si="109"/>
        <v>83.723792600748794</v>
      </c>
      <c r="CC10">
        <f t="shared" si="110"/>
        <v>5</v>
      </c>
      <c r="CE10" s="562">
        <f t="shared" si="44"/>
        <v>-50</v>
      </c>
      <c r="CF10">
        <f t="shared" si="45"/>
        <v>-50</v>
      </c>
      <c r="CG10" s="173">
        <f t="shared" si="46"/>
        <v>6.7741079681837735E-2</v>
      </c>
      <c r="CH10" s="173">
        <f t="shared" si="47"/>
        <v>1.8463926702483834E-2</v>
      </c>
      <c r="CI10" s="170">
        <v>5</v>
      </c>
      <c r="CJ10" s="217">
        <f t="shared" si="133"/>
        <v>0.05</v>
      </c>
      <c r="CK10" s="217">
        <f t="shared" si="111"/>
        <v>5.000000000000001E-3</v>
      </c>
      <c r="CL10" s="217">
        <f t="shared" si="48"/>
        <v>1.2000000000000002</v>
      </c>
      <c r="CM10" s="217">
        <f t="shared" si="134"/>
        <v>9.0000000000000024E-2</v>
      </c>
      <c r="CN10" s="541">
        <f t="shared" si="112"/>
        <v>24</v>
      </c>
      <c r="CO10" s="443">
        <f t="shared" si="49"/>
        <v>16.474900000000002</v>
      </c>
      <c r="CP10" s="443">
        <f t="shared" si="50"/>
        <v>40.474900000000005</v>
      </c>
      <c r="CQ10" s="443"/>
      <c r="CR10" s="217">
        <f t="shared" si="113"/>
        <v>0.40507913686898112</v>
      </c>
      <c r="CS10" s="172">
        <f t="shared" si="114"/>
        <v>50.242373565144938</v>
      </c>
      <c r="CT10" s="172">
        <f t="shared" si="51"/>
        <v>4.0507913686898105</v>
      </c>
      <c r="CU10" s="217">
        <f t="shared" si="52"/>
        <v>2.0934322318810392</v>
      </c>
      <c r="CV10" s="217">
        <f t="shared" si="53"/>
        <v>2.7912429758413855</v>
      </c>
      <c r="CW10" s="443">
        <f t="shared" si="54"/>
        <v>24</v>
      </c>
      <c r="CX10" s="217">
        <f t="shared" si="55"/>
        <v>0.2653802435516936</v>
      </c>
      <c r="CY10" s="217">
        <f t="shared" si="56"/>
        <v>0.11057510147987233</v>
      </c>
      <c r="CZ10" s="217">
        <f t="shared" si="57"/>
        <v>0.1610815504504996</v>
      </c>
      <c r="DA10" s="197">
        <f t="shared" si="58"/>
        <v>350</v>
      </c>
      <c r="DB10" s="443">
        <f t="shared" si="115"/>
        <v>350</v>
      </c>
      <c r="DD10" s="217">
        <f t="shared" si="59"/>
        <v>2.7911308701724487</v>
      </c>
      <c r="DE10" s="173">
        <f t="shared" si="60"/>
        <v>1.6941716612376698</v>
      </c>
      <c r="DF10" s="173">
        <f t="shared" si="61"/>
        <v>0.55195223422072148</v>
      </c>
      <c r="DG10" s="173"/>
      <c r="DH10" s="173">
        <f t="shared" si="62"/>
        <v>1.3488532386977903</v>
      </c>
      <c r="DI10" s="545">
        <f t="shared" si="63"/>
        <v>50.017499999999984</v>
      </c>
      <c r="DJ10" s="528">
        <f t="shared" si="64"/>
        <v>0.34987754285999911</v>
      </c>
      <c r="DL10" s="173">
        <f t="shared" si="65"/>
        <v>0.85857024007524119</v>
      </c>
      <c r="DM10" s="173">
        <f t="shared" si="66"/>
        <v>2.2222222222222223</v>
      </c>
      <c r="DN10" s="173">
        <f t="shared" si="67"/>
        <v>1.0285814285714285</v>
      </c>
      <c r="DP10" s="545">
        <f t="shared" si="68"/>
        <v>50</v>
      </c>
      <c r="DQ10" s="460">
        <f t="shared" si="69"/>
        <v>50.017499999999984</v>
      </c>
      <c r="DS10">
        <f t="shared" si="116"/>
        <v>50</v>
      </c>
      <c r="DT10" s="460">
        <f t="shared" si="70"/>
        <v>50.017499999999984</v>
      </c>
      <c r="DU10" s="460"/>
      <c r="DV10" s="5">
        <f t="shared" si="117"/>
        <v>19.993002449142807</v>
      </c>
      <c r="DW10" s="5">
        <f t="shared" si="71"/>
        <v>0.92592592592592615</v>
      </c>
      <c r="DX10" s="5">
        <f t="shared" si="118"/>
        <v>19.06707652321688</v>
      </c>
      <c r="DY10" s="173">
        <f t="shared" si="119"/>
        <v>4.6312499999999993E-2</v>
      </c>
      <c r="EA10" s="5">
        <f t="shared" si="72"/>
        <v>0.19290123456790129</v>
      </c>
      <c r="EB10" s="5">
        <f t="shared" si="73"/>
        <v>2.5720164609053513E-2</v>
      </c>
      <c r="EC10" s="5">
        <f t="shared" si="74"/>
        <v>0.7944615218007034</v>
      </c>
      <c r="ED10" s="5"/>
      <c r="EE10" s="173">
        <f t="shared" si="120"/>
        <v>0.27610608088420391</v>
      </c>
      <c r="EF10" s="173">
        <f t="shared" si="75"/>
        <v>0.83571026757929012</v>
      </c>
      <c r="EG10" s="173">
        <f t="shared" si="76"/>
        <v>8.3683960577872155E-2</v>
      </c>
      <c r="EH10" s="173"/>
      <c r="EI10" s="528">
        <f t="shared" si="77"/>
        <v>3.0493827160493819E-3</v>
      </c>
      <c r="EJ10" s="528">
        <f t="shared" si="78"/>
        <v>0.12371659121249998</v>
      </c>
      <c r="EK10" s="528">
        <f t="shared" si="79"/>
        <v>1.0003499999999997E-2</v>
      </c>
      <c r="EL10" s="528">
        <f t="shared" si="80"/>
        <v>1.4339420428773154E-2</v>
      </c>
      <c r="EM10">
        <f t="shared" si="81"/>
        <v>1.0800000000000001E-2</v>
      </c>
      <c r="EN10" s="460">
        <f t="shared" si="121"/>
        <v>20.803499999999996</v>
      </c>
      <c r="EO10">
        <f t="shared" si="82"/>
        <v>0.16285021810201136</v>
      </c>
      <c r="EP10" s="460">
        <f t="shared" si="122"/>
        <v>162.85021810201135</v>
      </c>
      <c r="EQ10" s="173">
        <f t="shared" si="83"/>
        <v>4.3399999999999994E-2</v>
      </c>
      <c r="ER10" s="173">
        <f t="shared" si="84"/>
        <v>3.1000000000000008E-3</v>
      </c>
      <c r="ES10" s="528"/>
      <c r="EU10" s="460">
        <f t="shared" si="123"/>
        <v>46.499999999999993</v>
      </c>
      <c r="EV10" s="528">
        <f t="shared" si="85"/>
        <v>2.2870370370370362E-3</v>
      </c>
      <c r="EW10" s="528">
        <f t="shared" si="124"/>
        <v>2.0952349540123458E-2</v>
      </c>
      <c r="EX10" s="528">
        <f t="shared" si="86"/>
        <v>3.5015026289994307E-5</v>
      </c>
      <c r="EY10" s="528">
        <f t="shared" si="87"/>
        <v>6.5124390524671583E-3</v>
      </c>
      <c r="EZ10" s="528">
        <f t="shared" si="88"/>
        <v>3.5438682170436303E-2</v>
      </c>
      <c r="FA10" s="625">
        <f t="shared" si="89"/>
        <v>4.9399999999999993E-2</v>
      </c>
      <c r="FB10" s="460">
        <f t="shared" si="125"/>
        <v>84.8386821704363</v>
      </c>
      <c r="FC10" s="173">
        <f t="shared" si="126"/>
        <v>0.29418890027244765</v>
      </c>
      <c r="FD10" s="5">
        <f t="shared" si="127"/>
        <v>1.2900000000000003</v>
      </c>
      <c r="FE10" s="173">
        <f t="shared" si="128"/>
        <v>0.81429683024426369</v>
      </c>
      <c r="FF10" s="5">
        <f t="shared" si="129"/>
        <v>81.429683024426367</v>
      </c>
      <c r="FG10">
        <f t="shared" si="130"/>
        <v>5</v>
      </c>
      <c r="FI10" s="562">
        <f t="shared" si="90"/>
        <v>-50</v>
      </c>
      <c r="FJ10">
        <f t="shared" si="91"/>
        <v>-50</v>
      </c>
      <c r="FL10">
        <f t="shared" si="92"/>
        <v>6.7741079681837735E-2</v>
      </c>
    </row>
    <row r="11" spans="2:169">
      <c r="E11" s="170">
        <v>6</v>
      </c>
      <c r="F11" s="217">
        <f t="shared" si="131"/>
        <v>0.06</v>
      </c>
      <c r="G11" s="217">
        <f t="shared" si="93"/>
        <v>6.0000000000000001E-3</v>
      </c>
      <c r="H11" s="217">
        <f t="shared" si="0"/>
        <v>1.44</v>
      </c>
      <c r="I11" s="217">
        <f t="shared" si="132"/>
        <v>0.108</v>
      </c>
      <c r="J11" s="541">
        <f t="shared" si="1"/>
        <v>23.901251807891633</v>
      </c>
      <c r="K11" s="443">
        <f t="shared" si="2"/>
        <v>16.489669472300989</v>
      </c>
      <c r="L11" s="172">
        <f t="shared" si="3"/>
        <v>40.390921280192622</v>
      </c>
      <c r="M11" s="443"/>
      <c r="N11" s="217">
        <f t="shared" si="4"/>
        <v>0.40825187813647096</v>
      </c>
      <c r="O11" s="172">
        <f t="shared" si="94"/>
        <v>50.427550079506361</v>
      </c>
      <c r="P11" s="172">
        <f t="shared" si="5"/>
        <v>4.0657212251602006</v>
      </c>
      <c r="Q11" s="217">
        <f t="shared" si="6"/>
        <v>2.1011479199794318</v>
      </c>
      <c r="R11" s="217">
        <f t="shared" si="7"/>
        <v>2.8015305599725755</v>
      </c>
      <c r="S11" s="443">
        <f t="shared" si="8"/>
        <v>24</v>
      </c>
      <c r="T11" s="217">
        <f t="shared" si="9"/>
        <v>0.3172868793898112</v>
      </c>
      <c r="U11" s="217">
        <f t="shared" si="10"/>
        <v>0.13274906349677074</v>
      </c>
      <c r="V11" s="217">
        <f t="shared" si="11"/>
        <v>0.1924155483666809</v>
      </c>
      <c r="W11" s="197">
        <f t="shared" si="12"/>
        <v>350</v>
      </c>
      <c r="X11" s="443">
        <f t="shared" si="95"/>
        <v>350</v>
      </c>
      <c r="Z11" s="217">
        <f t="shared" si="13"/>
        <v>2.7879231258241366</v>
      </c>
      <c r="AA11" s="173">
        <f t="shared" si="14"/>
        <v>1.6907089196100828</v>
      </c>
      <c r="AB11" s="173">
        <f t="shared" si="15"/>
        <v>0.55019104924771167</v>
      </c>
      <c r="AC11" s="173"/>
      <c r="AD11" s="173">
        <f t="shared" si="16"/>
        <v>1.3476450974078444</v>
      </c>
      <c r="AE11" s="545">
        <f t="shared" si="17"/>
        <v>60.074807822625779</v>
      </c>
      <c r="AF11" s="528">
        <f t="shared" si="18"/>
        <v>0.34956416443317928</v>
      </c>
      <c r="AH11" s="173">
        <f t="shared" si="19"/>
        <v>0.94051657538367095</v>
      </c>
      <c r="AI11" s="173">
        <f t="shared" si="20"/>
        <v>2.2222222222222223</v>
      </c>
      <c r="AJ11" s="173">
        <f t="shared" si="21"/>
        <v>1.0343284616129291</v>
      </c>
      <c r="AL11" s="545">
        <f t="shared" si="22"/>
        <v>60</v>
      </c>
      <c r="AM11" s="460">
        <f t="shared" si="23"/>
        <v>60.074807822625779</v>
      </c>
      <c r="AO11">
        <f t="shared" si="96"/>
        <v>60</v>
      </c>
      <c r="AP11" s="460">
        <f t="shared" si="24"/>
        <v>60.074807822625779</v>
      </c>
      <c r="AQ11" s="460"/>
      <c r="AR11" s="5">
        <f t="shared" si="97"/>
        <v>16.645912592056153</v>
      </c>
      <c r="AS11" s="5">
        <f t="shared" si="25"/>
        <v>0.92975139548485786</v>
      </c>
      <c r="AT11" s="5">
        <f t="shared" si="98"/>
        <v>15.716161196571294</v>
      </c>
      <c r="AU11" s="173">
        <f t="shared" si="99"/>
        <v>5.5854636406570977E-2</v>
      </c>
      <c r="AW11" s="5">
        <f t="shared" si="26"/>
        <v>0.23243784887121444</v>
      </c>
      <c r="AX11" s="5">
        <f t="shared" si="27"/>
        <v>3.0991713182828597E-2</v>
      </c>
      <c r="AY11" s="5">
        <f t="shared" si="28"/>
        <v>0.78905463142556487</v>
      </c>
      <c r="AZ11" s="5"/>
      <c r="BA11" s="173">
        <f t="shared" si="100"/>
        <v>0.3032190434711739</v>
      </c>
      <c r="BB11" s="173">
        <f t="shared" si="29"/>
        <v>0.83151890041716714</v>
      </c>
      <c r="BC11" s="173">
        <f t="shared" si="30"/>
        <v>8.3264257460691993E-2</v>
      </c>
      <c r="BD11" s="173"/>
      <c r="BE11" s="528">
        <f t="shared" si="31"/>
        <v>3.6776715329429463E-3</v>
      </c>
      <c r="BF11" s="528">
        <f t="shared" si="32"/>
        <v>0.12132384168431889</v>
      </c>
      <c r="BG11" s="528">
        <f t="shared" si="33"/>
        <v>5.743452436317107E-2</v>
      </c>
      <c r="BH11" s="528">
        <f t="shared" si="34"/>
        <v>1.7151336086086565E-2</v>
      </c>
      <c r="BI11">
        <f t="shared" si="35"/>
        <v>1.0755563313551235E-2</v>
      </c>
      <c r="BJ11" s="460">
        <f t="shared" si="101"/>
        <v>68.1900876767223</v>
      </c>
      <c r="BK11">
        <f t="shared" si="36"/>
        <v>0.14327101294249178</v>
      </c>
      <c r="BL11" s="460">
        <f t="shared" si="102"/>
        <v>143.27101294249178</v>
      </c>
      <c r="BM11" s="173">
        <f t="shared" si="37"/>
        <v>5.2079999999999994E-2</v>
      </c>
      <c r="BN11" s="173">
        <f t="shared" si="38"/>
        <v>3.7200000000000002E-3</v>
      </c>
      <c r="BO11" s="528"/>
      <c r="BQ11" s="460">
        <f t="shared" si="103"/>
        <v>55.8</v>
      </c>
      <c r="BR11" s="528">
        <f t="shared" si="39"/>
        <v>2.7582536497072095E-3</v>
      </c>
      <c r="BS11" s="528">
        <f t="shared" si="104"/>
        <v>2.0742710452529241E-2</v>
      </c>
      <c r="BT11" s="528">
        <f t="shared" si="40"/>
        <v>3.4664682852402009E-5</v>
      </c>
      <c r="BU11" s="528">
        <f t="shared" si="41"/>
        <v>1.0296027535290245E-2</v>
      </c>
      <c r="BV11" s="528">
        <f t="shared" si="42"/>
        <v>3.9554682775241226E-2</v>
      </c>
      <c r="BW11" s="625">
        <f t="shared" si="43"/>
        <v>5.933314352851931E-2</v>
      </c>
      <c r="BX11" s="460">
        <f t="shared" si="105"/>
        <v>98.887826303760534</v>
      </c>
      <c r="BY11" s="173">
        <f t="shared" si="106"/>
        <v>0.29795883924625233</v>
      </c>
      <c r="BZ11" s="5">
        <f t="shared" si="107"/>
        <v>1.548</v>
      </c>
      <c r="CA11" s="173">
        <f t="shared" si="108"/>
        <v>0.83858857905633699</v>
      </c>
      <c r="CB11" s="5">
        <f t="shared" si="109"/>
        <v>83.858857905633698</v>
      </c>
      <c r="CC11">
        <f t="shared" si="110"/>
        <v>6</v>
      </c>
      <c r="CE11" s="562">
        <f t="shared" si="44"/>
        <v>-50</v>
      </c>
      <c r="CF11">
        <f t="shared" si="45"/>
        <v>-50</v>
      </c>
      <c r="CG11" s="173">
        <f t="shared" si="46"/>
        <v>8.1289295618205276E-2</v>
      </c>
      <c r="CH11" s="173">
        <f t="shared" si="47"/>
        <v>2.2156712042980593E-2</v>
      </c>
      <c r="CI11" s="170">
        <v>6</v>
      </c>
      <c r="CJ11" s="217">
        <f t="shared" si="133"/>
        <v>0.06</v>
      </c>
      <c r="CK11" s="217">
        <f t="shared" si="111"/>
        <v>6.0000000000000001E-3</v>
      </c>
      <c r="CL11" s="217">
        <f t="shared" si="48"/>
        <v>1.44</v>
      </c>
      <c r="CM11" s="217">
        <f t="shared" si="134"/>
        <v>0.108</v>
      </c>
      <c r="CN11" s="541">
        <f t="shared" si="112"/>
        <v>24</v>
      </c>
      <c r="CO11" s="443">
        <f t="shared" si="49"/>
        <v>16.474900000000002</v>
      </c>
      <c r="CP11" s="443">
        <f t="shared" si="50"/>
        <v>40.474900000000005</v>
      </c>
      <c r="CQ11" s="443"/>
      <c r="CR11" s="217">
        <f t="shared" si="113"/>
        <v>0.40507913686898112</v>
      </c>
      <c r="CS11" s="172">
        <f t="shared" si="114"/>
        <v>50.242373565144938</v>
      </c>
      <c r="CT11" s="172">
        <f t="shared" si="51"/>
        <v>4.0507913686898105</v>
      </c>
      <c r="CU11" s="217">
        <f t="shared" si="52"/>
        <v>2.0934322318810392</v>
      </c>
      <c r="CV11" s="217">
        <f t="shared" si="53"/>
        <v>2.7912429758413855</v>
      </c>
      <c r="CW11" s="443">
        <f t="shared" si="54"/>
        <v>24</v>
      </c>
      <c r="CX11" s="217">
        <f t="shared" si="55"/>
        <v>0.31845629226203226</v>
      </c>
      <c r="CY11" s="217">
        <f t="shared" si="56"/>
        <v>0.1326901217758468</v>
      </c>
      <c r="CZ11" s="217">
        <f t="shared" si="57"/>
        <v>0.1932978605405995</v>
      </c>
      <c r="DA11" s="197">
        <f t="shared" si="58"/>
        <v>350</v>
      </c>
      <c r="DB11" s="443">
        <f t="shared" si="115"/>
        <v>350</v>
      </c>
      <c r="DD11" s="217">
        <f t="shared" si="59"/>
        <v>2.7911308701724487</v>
      </c>
      <c r="DE11" s="173">
        <f t="shared" si="60"/>
        <v>1.6941716612376698</v>
      </c>
      <c r="DF11" s="173">
        <f t="shared" si="61"/>
        <v>0.55195223422072148</v>
      </c>
      <c r="DG11" s="173"/>
      <c r="DH11" s="173">
        <f t="shared" si="62"/>
        <v>1.3488532386977903</v>
      </c>
      <c r="DI11" s="545">
        <f t="shared" si="63"/>
        <v>60.020999999999979</v>
      </c>
      <c r="DJ11" s="528">
        <f t="shared" si="64"/>
        <v>0.34987754285999911</v>
      </c>
      <c r="DL11" s="173">
        <f t="shared" si="65"/>
        <v>0.94051657538367095</v>
      </c>
      <c r="DM11" s="173">
        <f t="shared" si="66"/>
        <v>2.2222222222222223</v>
      </c>
      <c r="DN11" s="173">
        <f t="shared" si="67"/>
        <v>1.0342977142857144</v>
      </c>
      <c r="DP11" s="545">
        <f t="shared" si="68"/>
        <v>60</v>
      </c>
      <c r="DQ11" s="460">
        <f t="shared" si="69"/>
        <v>60.020999999999979</v>
      </c>
      <c r="DS11">
        <f t="shared" si="116"/>
        <v>60</v>
      </c>
      <c r="DT11" s="460">
        <f t="shared" si="70"/>
        <v>60.020999999999979</v>
      </c>
      <c r="DU11" s="460"/>
      <c r="DV11" s="5">
        <f t="shared" si="117"/>
        <v>16.660835374285671</v>
      </c>
      <c r="DW11" s="5">
        <f t="shared" si="71"/>
        <v>0.92592592592592615</v>
      </c>
      <c r="DX11" s="5">
        <f t="shared" si="118"/>
        <v>15.734909448359746</v>
      </c>
      <c r="DY11" s="173">
        <f t="shared" si="119"/>
        <v>5.5574999999999999E-2</v>
      </c>
      <c r="EA11" s="5">
        <f t="shared" si="72"/>
        <v>0.23148148148148151</v>
      </c>
      <c r="EB11" s="5">
        <f t="shared" si="73"/>
        <v>3.0864197530864206E-2</v>
      </c>
      <c r="EC11" s="5">
        <f t="shared" si="74"/>
        <v>0.78674547241798709</v>
      </c>
      <c r="ED11" s="5"/>
      <c r="EE11" s="173">
        <f t="shared" si="120"/>
        <v>0.3024590575292489</v>
      </c>
      <c r="EF11" s="173">
        <f t="shared" si="75"/>
        <v>0.83164203068486509</v>
      </c>
      <c r="EG11" s="173">
        <f t="shared" si="76"/>
        <v>8.327658712668716E-2</v>
      </c>
      <c r="EH11" s="173"/>
      <c r="EI11" s="528">
        <f t="shared" si="77"/>
        <v>3.6592592592592601E-3</v>
      </c>
      <c r="EJ11" s="528">
        <f t="shared" si="78"/>
        <v>0.14845990945499998</v>
      </c>
      <c r="EK11" s="528">
        <f t="shared" si="79"/>
        <v>1.2004199999999996E-2</v>
      </c>
      <c r="EL11" s="528">
        <f t="shared" si="80"/>
        <v>1.7207304514527785E-2</v>
      </c>
      <c r="EM11">
        <f t="shared" si="81"/>
        <v>1.0800000000000001E-2</v>
      </c>
      <c r="EN11" s="460">
        <f t="shared" si="121"/>
        <v>22.804199999999998</v>
      </c>
      <c r="EO11">
        <f t="shared" si="82"/>
        <v>0.19328672443848283</v>
      </c>
      <c r="EP11" s="460">
        <f t="shared" si="122"/>
        <v>193.28672443848282</v>
      </c>
      <c r="EQ11" s="173">
        <f t="shared" si="83"/>
        <v>5.2079999999999994E-2</v>
      </c>
      <c r="ER11" s="173">
        <f t="shared" si="84"/>
        <v>3.7200000000000002E-3</v>
      </c>
      <c r="ES11" s="528"/>
      <c r="EU11" s="460">
        <f t="shared" si="123"/>
        <v>55.8</v>
      </c>
      <c r="EV11" s="528">
        <f t="shared" si="85"/>
        <v>2.7444444444444448E-3</v>
      </c>
      <c r="EW11" s="528">
        <f t="shared" si="124"/>
        <v>2.0748854016049381E-2</v>
      </c>
      <c r="EX11" s="528">
        <f t="shared" si="86"/>
        <v>3.4674949817343592E-5</v>
      </c>
      <c r="EY11" s="528">
        <f t="shared" si="87"/>
        <v>1.0272988147431845E-2</v>
      </c>
      <c r="EZ11" s="528">
        <f t="shared" si="88"/>
        <v>3.9522065103968634E-2</v>
      </c>
      <c r="FA11" s="625">
        <f t="shared" si="89"/>
        <v>5.9279999999999992E-2</v>
      </c>
      <c r="FB11" s="460">
        <f t="shared" si="125"/>
        <v>98.80206510396863</v>
      </c>
      <c r="FC11" s="173">
        <f t="shared" si="126"/>
        <v>0.34788878954245145</v>
      </c>
      <c r="FD11" s="5">
        <f t="shared" si="127"/>
        <v>1.548</v>
      </c>
      <c r="FE11" s="173">
        <f t="shared" si="128"/>
        <v>0.81650358846923199</v>
      </c>
      <c r="FF11" s="5">
        <f t="shared" si="129"/>
        <v>81.650358846923197</v>
      </c>
      <c r="FG11">
        <f t="shared" si="130"/>
        <v>6</v>
      </c>
      <c r="FI11" s="562">
        <f t="shared" si="90"/>
        <v>-50</v>
      </c>
      <c r="FJ11">
        <f t="shared" si="91"/>
        <v>-50</v>
      </c>
      <c r="FL11">
        <f t="shared" si="92"/>
        <v>8.1289295618205276E-2</v>
      </c>
    </row>
    <row r="12" spans="2:169">
      <c r="E12" s="170">
        <v>7</v>
      </c>
      <c r="F12" s="217">
        <f t="shared" si="131"/>
        <v>7.0000000000000007E-2</v>
      </c>
      <c r="G12" s="217">
        <f t="shared" si="93"/>
        <v>7.000000000000001E-3</v>
      </c>
      <c r="H12" s="217">
        <f t="shared" si="0"/>
        <v>1.6800000000000002</v>
      </c>
      <c r="I12" s="217">
        <f t="shared" si="132"/>
        <v>0.12600000000000003</v>
      </c>
      <c r="J12" s="541">
        <f t="shared" si="1"/>
        <v>23.901251807891633</v>
      </c>
      <c r="K12" s="443">
        <f t="shared" si="2"/>
        <v>16.489669472300989</v>
      </c>
      <c r="L12" s="172">
        <f t="shared" si="3"/>
        <v>40.390921280192622</v>
      </c>
      <c r="M12" s="443"/>
      <c r="N12" s="217">
        <f t="shared" si="4"/>
        <v>0.40825187813647096</v>
      </c>
      <c r="O12" s="172">
        <f t="shared" si="94"/>
        <v>50.427550079506361</v>
      </c>
      <c r="P12" s="172">
        <f t="shared" si="5"/>
        <v>4.0657212251602006</v>
      </c>
      <c r="Q12" s="217">
        <f t="shared" si="6"/>
        <v>2.1011479199794318</v>
      </c>
      <c r="R12" s="217">
        <f t="shared" si="7"/>
        <v>2.8015305599725755</v>
      </c>
      <c r="S12" s="443">
        <f t="shared" si="8"/>
        <v>24</v>
      </c>
      <c r="T12" s="217">
        <f t="shared" si="9"/>
        <v>0.37016802595477977</v>
      </c>
      <c r="U12" s="217">
        <f t="shared" si="10"/>
        <v>0.15487390741289916</v>
      </c>
      <c r="V12" s="217">
        <f t="shared" si="11"/>
        <v>0.22448480642779439</v>
      </c>
      <c r="W12" s="197">
        <f t="shared" si="12"/>
        <v>350</v>
      </c>
      <c r="X12" s="443">
        <f t="shared" si="95"/>
        <v>350</v>
      </c>
      <c r="Z12" s="217">
        <f t="shared" si="13"/>
        <v>2.7879231258241366</v>
      </c>
      <c r="AA12" s="173">
        <f t="shared" si="14"/>
        <v>1.6907089196100828</v>
      </c>
      <c r="AB12" s="173">
        <f t="shared" si="15"/>
        <v>0.55019104924771167</v>
      </c>
      <c r="AC12" s="173"/>
      <c r="AD12" s="173">
        <f t="shared" si="16"/>
        <v>1.3476450974078444</v>
      </c>
      <c r="AE12" s="545">
        <f t="shared" si="17"/>
        <v>70.087275793063412</v>
      </c>
      <c r="AF12" s="528">
        <f t="shared" si="18"/>
        <v>0.34956416443317928</v>
      </c>
      <c r="AH12" s="173">
        <f t="shared" si="19"/>
        <v>1.0158740079360236</v>
      </c>
      <c r="AI12" s="173">
        <f t="shared" si="20"/>
        <v>2.2222222222222223</v>
      </c>
      <c r="AJ12" s="173">
        <f t="shared" si="21"/>
        <v>1.0400498718817506</v>
      </c>
      <c r="AL12" s="545">
        <f t="shared" si="22"/>
        <v>70</v>
      </c>
      <c r="AM12" s="460">
        <f t="shared" si="23"/>
        <v>70.087275793063412</v>
      </c>
      <c r="AO12">
        <f t="shared" si="96"/>
        <v>70</v>
      </c>
      <c r="AP12" s="460">
        <f t="shared" si="24"/>
        <v>70.087275793063412</v>
      </c>
      <c r="AQ12" s="460"/>
      <c r="AR12" s="5">
        <f t="shared" si="97"/>
        <v>14.267925078905273</v>
      </c>
      <c r="AS12" s="5">
        <f t="shared" si="25"/>
        <v>0.92975139548485786</v>
      </c>
      <c r="AT12" s="5">
        <f t="shared" si="98"/>
        <v>13.338173683420415</v>
      </c>
      <c r="AU12" s="173">
        <f t="shared" si="99"/>
        <v>6.5163742474332806E-2</v>
      </c>
      <c r="AW12" s="5">
        <f t="shared" si="26"/>
        <v>0.27117749034975019</v>
      </c>
      <c r="AX12" s="5">
        <f t="shared" si="27"/>
        <v>3.6156998713300033E-2</v>
      </c>
      <c r="AY12" s="5">
        <f t="shared" si="28"/>
        <v>0.78127469250891068</v>
      </c>
      <c r="AZ12" s="5"/>
      <c r="BA12" s="173">
        <f t="shared" si="100"/>
        <v>0.32751399925932312</v>
      </c>
      <c r="BB12" s="173">
        <f t="shared" si="29"/>
        <v>0.82740943112024468</v>
      </c>
      <c r="BC12" s="173">
        <f t="shared" si="30"/>
        <v>8.2852755197310987E-2</v>
      </c>
      <c r="BD12" s="173"/>
      <c r="BE12" s="528">
        <f t="shared" si="31"/>
        <v>4.2906167884334363E-3</v>
      </c>
      <c r="BF12" s="528">
        <f t="shared" si="32"/>
        <v>0.14154448196503872</v>
      </c>
      <c r="BG12" s="528">
        <f t="shared" si="33"/>
        <v>6.7006945090366254E-2</v>
      </c>
      <c r="BH12" s="528">
        <f t="shared" si="34"/>
        <v>2.0009892100434329E-2</v>
      </c>
      <c r="BI12">
        <f t="shared" si="35"/>
        <v>1.0755563313551235E-2</v>
      </c>
      <c r="BJ12" s="460">
        <f t="shared" si="101"/>
        <v>77.762508403917494</v>
      </c>
      <c r="BK12">
        <f t="shared" si="36"/>
        <v>0.16717388289346632</v>
      </c>
      <c r="BL12" s="460">
        <f t="shared" si="102"/>
        <v>167.17388289346633</v>
      </c>
      <c r="BM12" s="173">
        <f t="shared" si="37"/>
        <v>6.0760000000000002E-2</v>
      </c>
      <c r="BN12" s="173">
        <f t="shared" si="38"/>
        <v>4.340000000000001E-3</v>
      </c>
      <c r="BO12" s="528"/>
      <c r="BQ12" s="460">
        <f t="shared" si="103"/>
        <v>65.100000000000009</v>
      </c>
      <c r="BR12" s="528">
        <f t="shared" si="39"/>
        <v>3.217962591325077E-3</v>
      </c>
      <c r="BS12" s="528">
        <f t="shared" si="104"/>
        <v>2.0538191001201807E-2</v>
      </c>
      <c r="BT12" s="528">
        <f t="shared" si="40"/>
        <v>3.4322895218927716E-5</v>
      </c>
      <c r="BU12" s="528">
        <f t="shared" si="41"/>
        <v>1.5136890506084714E-2</v>
      </c>
      <c r="BV12" s="528">
        <f t="shared" si="42"/>
        <v>4.472219834354331E-2</v>
      </c>
      <c r="BW12" s="625">
        <f t="shared" si="43"/>
        <v>6.9222000783272536E-2</v>
      </c>
      <c r="BX12" s="460">
        <f t="shared" si="105"/>
        <v>113.94419912681585</v>
      </c>
      <c r="BY12" s="173">
        <f t="shared" si="106"/>
        <v>0.34621808202028215</v>
      </c>
      <c r="BZ12" s="5">
        <f t="shared" si="107"/>
        <v>1.8060000000000003</v>
      </c>
      <c r="CA12" s="173">
        <f t="shared" si="108"/>
        <v>0.83913429363287939</v>
      </c>
      <c r="CB12" s="5">
        <f t="shared" si="109"/>
        <v>83.913429363287946</v>
      </c>
      <c r="CC12">
        <f t="shared" si="110"/>
        <v>7.0000000000000009</v>
      </c>
      <c r="CE12" s="562">
        <f t="shared" si="44"/>
        <v>-50</v>
      </c>
      <c r="CF12">
        <f t="shared" si="45"/>
        <v>-50</v>
      </c>
      <c r="CG12" s="173">
        <f t="shared" si="46"/>
        <v>9.4837511554572818E-2</v>
      </c>
      <c r="CH12" s="173">
        <f t="shared" si="47"/>
        <v>2.5849497383477367E-2</v>
      </c>
      <c r="CI12" s="170">
        <v>7</v>
      </c>
      <c r="CJ12" s="217">
        <f t="shared" si="133"/>
        <v>7.0000000000000007E-2</v>
      </c>
      <c r="CK12" s="217">
        <f t="shared" si="111"/>
        <v>7.000000000000001E-3</v>
      </c>
      <c r="CL12" s="217">
        <f t="shared" si="48"/>
        <v>1.6800000000000002</v>
      </c>
      <c r="CM12" s="217">
        <f t="shared" si="134"/>
        <v>0.12600000000000003</v>
      </c>
      <c r="CN12" s="541">
        <f t="shared" si="112"/>
        <v>24</v>
      </c>
      <c r="CO12" s="443">
        <f t="shared" si="49"/>
        <v>16.474900000000002</v>
      </c>
      <c r="CP12" s="443">
        <f t="shared" si="50"/>
        <v>40.474900000000005</v>
      </c>
      <c r="CQ12" s="443"/>
      <c r="CR12" s="217">
        <f t="shared" si="113"/>
        <v>0.40507913686898112</v>
      </c>
      <c r="CS12" s="172">
        <f t="shared" si="114"/>
        <v>50.242373565144938</v>
      </c>
      <c r="CT12" s="172">
        <f t="shared" si="51"/>
        <v>4.0507913686898105</v>
      </c>
      <c r="CU12" s="217">
        <f t="shared" si="52"/>
        <v>2.0934322318810392</v>
      </c>
      <c r="CV12" s="217">
        <f t="shared" si="53"/>
        <v>2.7912429758413855</v>
      </c>
      <c r="CW12" s="443">
        <f t="shared" si="54"/>
        <v>24</v>
      </c>
      <c r="CX12" s="217">
        <f t="shared" si="55"/>
        <v>0.37153234097237103</v>
      </c>
      <c r="CY12" s="217">
        <f t="shared" si="56"/>
        <v>0.15480514207182128</v>
      </c>
      <c r="CZ12" s="217">
        <f t="shared" si="57"/>
        <v>0.22551417063069945</v>
      </c>
      <c r="DA12" s="197">
        <f t="shared" si="58"/>
        <v>350</v>
      </c>
      <c r="DB12" s="443">
        <f t="shared" si="115"/>
        <v>350</v>
      </c>
      <c r="DD12" s="217">
        <f t="shared" si="59"/>
        <v>2.7911308701724487</v>
      </c>
      <c r="DE12" s="173">
        <f t="shared" si="60"/>
        <v>1.6941716612376698</v>
      </c>
      <c r="DF12" s="173">
        <f t="shared" si="61"/>
        <v>0.55195223422072148</v>
      </c>
      <c r="DG12" s="173"/>
      <c r="DH12" s="173">
        <f t="shared" si="62"/>
        <v>1.3488532386977903</v>
      </c>
      <c r="DI12" s="545">
        <f t="shared" si="63"/>
        <v>70.024499999999989</v>
      </c>
      <c r="DJ12" s="528">
        <f t="shared" si="64"/>
        <v>0.34987754285999911</v>
      </c>
      <c r="DL12" s="173">
        <f t="shared" si="65"/>
        <v>1.0158740079360236</v>
      </c>
      <c r="DM12" s="173">
        <f t="shared" si="66"/>
        <v>2.2222222222222223</v>
      </c>
      <c r="DN12" s="173">
        <f t="shared" si="67"/>
        <v>1.040014</v>
      </c>
      <c r="DP12" s="545">
        <f t="shared" si="68"/>
        <v>70</v>
      </c>
      <c r="DQ12" s="460">
        <f t="shared" si="69"/>
        <v>70.024499999999989</v>
      </c>
      <c r="DS12">
        <f t="shared" si="116"/>
        <v>70</v>
      </c>
      <c r="DT12" s="460">
        <f t="shared" si="70"/>
        <v>70.024499999999989</v>
      </c>
      <c r="DU12" s="460"/>
      <c r="DV12" s="5">
        <f t="shared" si="117"/>
        <v>14.280716035102001</v>
      </c>
      <c r="DW12" s="5">
        <f t="shared" si="71"/>
        <v>0.92592592592592615</v>
      </c>
      <c r="DX12" s="5">
        <f t="shared" si="118"/>
        <v>13.354790109176076</v>
      </c>
      <c r="DY12" s="173">
        <f t="shared" si="119"/>
        <v>6.4837500000000006E-2</v>
      </c>
      <c r="EA12" s="5">
        <f t="shared" si="72"/>
        <v>0.27006172839506182</v>
      </c>
      <c r="EB12" s="5">
        <f t="shared" si="73"/>
        <v>3.6008230452674914E-2</v>
      </c>
      <c r="EC12" s="5">
        <f t="shared" si="74"/>
        <v>0.77902942303527101</v>
      </c>
      <c r="ED12" s="5"/>
      <c r="EE12" s="173">
        <f t="shared" si="120"/>
        <v>0.3266931206219813</v>
      </c>
      <c r="EF12" s="173">
        <f t="shared" si="75"/>
        <v>0.82755379466584755</v>
      </c>
      <c r="EG12" s="173">
        <f t="shared" si="76"/>
        <v>8.2867211060458523E-2</v>
      </c>
      <c r="EH12" s="173"/>
      <c r="EI12" s="528">
        <f t="shared" si="77"/>
        <v>4.2691358024691374E-3</v>
      </c>
      <c r="EJ12" s="528">
        <f t="shared" si="78"/>
        <v>0.17320322769750002</v>
      </c>
      <c r="EK12" s="528">
        <f t="shared" si="79"/>
        <v>1.4004899999999997E-2</v>
      </c>
      <c r="EL12" s="528">
        <f t="shared" si="80"/>
        <v>2.0075188600282418E-2</v>
      </c>
      <c r="EM12">
        <f t="shared" si="81"/>
        <v>1.0800000000000001E-2</v>
      </c>
      <c r="EN12" s="460">
        <f t="shared" si="121"/>
        <v>24.804899999999996</v>
      </c>
      <c r="EO12">
        <f t="shared" si="82"/>
        <v>0.22373206063685172</v>
      </c>
      <c r="EP12" s="460">
        <f t="shared" si="122"/>
        <v>223.73206063685171</v>
      </c>
      <c r="EQ12" s="173">
        <f t="shared" si="83"/>
        <v>6.0760000000000002E-2</v>
      </c>
      <c r="ER12" s="173">
        <f t="shared" si="84"/>
        <v>4.340000000000001E-3</v>
      </c>
      <c r="ES12" s="528"/>
      <c r="EU12" s="460">
        <f t="shared" si="123"/>
        <v>65.100000000000009</v>
      </c>
      <c r="EV12" s="528">
        <f t="shared" si="85"/>
        <v>3.2018518518518529E-3</v>
      </c>
      <c r="EW12" s="528">
        <f t="shared" si="124"/>
        <v>2.0545358491975314E-2</v>
      </c>
      <c r="EX12" s="528">
        <f t="shared" si="86"/>
        <v>3.4334873344692897E-5</v>
      </c>
      <c r="EY12" s="528">
        <f t="shared" si="87"/>
        <v>1.5103018734652016E-2</v>
      </c>
      <c r="EZ12" s="528">
        <f t="shared" si="88"/>
        <v>4.467713410673977E-2</v>
      </c>
      <c r="FA12" s="625">
        <f t="shared" si="89"/>
        <v>6.9160000000000013E-2</v>
      </c>
      <c r="FB12" s="460">
        <f t="shared" si="125"/>
        <v>113.8371341067398</v>
      </c>
      <c r="FC12" s="173">
        <f t="shared" si="126"/>
        <v>0.40266919474359153</v>
      </c>
      <c r="FD12" s="5">
        <f t="shared" si="127"/>
        <v>1.8060000000000003</v>
      </c>
      <c r="FE12" s="173">
        <f t="shared" si="128"/>
        <v>0.81768696022840204</v>
      </c>
      <c r="FF12" s="5">
        <f t="shared" si="129"/>
        <v>81.768696022840203</v>
      </c>
      <c r="FG12">
        <f t="shared" si="130"/>
        <v>7.0000000000000009</v>
      </c>
      <c r="FI12" s="562">
        <f t="shared" si="90"/>
        <v>-50</v>
      </c>
      <c r="FJ12">
        <f t="shared" si="91"/>
        <v>-50</v>
      </c>
      <c r="FL12">
        <f t="shared" si="92"/>
        <v>9.4837511554572831E-2</v>
      </c>
    </row>
    <row r="13" spans="2:169" s="76" customFormat="1">
      <c r="E13" s="189">
        <v>8</v>
      </c>
      <c r="F13" s="217">
        <f t="shared" si="131"/>
        <v>0.08</v>
      </c>
      <c r="G13" s="217">
        <f t="shared" si="93"/>
        <v>8.0000000000000002E-3</v>
      </c>
      <c r="H13" s="217">
        <f t="shared" si="0"/>
        <v>1.92</v>
      </c>
      <c r="I13" s="217">
        <f t="shared" si="132"/>
        <v>0.14400000000000002</v>
      </c>
      <c r="J13" s="541">
        <f t="shared" si="1"/>
        <v>23.901251807891633</v>
      </c>
      <c r="K13" s="443">
        <f t="shared" si="2"/>
        <v>16.489669472300989</v>
      </c>
      <c r="L13" s="172">
        <f t="shared" si="3"/>
        <v>40.390921280192622</v>
      </c>
      <c r="M13" s="443"/>
      <c r="N13" s="217">
        <f t="shared" si="4"/>
        <v>0.40825187813647096</v>
      </c>
      <c r="O13" s="172">
        <f t="shared" si="94"/>
        <v>50.427550079506361</v>
      </c>
      <c r="P13" s="172">
        <f t="shared" si="5"/>
        <v>4.0657212251602006</v>
      </c>
      <c r="Q13" s="329">
        <f t="shared" si="6"/>
        <v>2.1011479199794318</v>
      </c>
      <c r="R13" s="217">
        <f t="shared" si="7"/>
        <v>2.8015305599725755</v>
      </c>
      <c r="S13" s="443">
        <f t="shared" si="8"/>
        <v>24</v>
      </c>
      <c r="T13" s="217">
        <f t="shared" si="9"/>
        <v>0.42304917251974827</v>
      </c>
      <c r="U13" s="329">
        <f t="shared" si="10"/>
        <v>0.17699875132902762</v>
      </c>
      <c r="V13" s="217">
        <f t="shared" si="11"/>
        <v>0.25655406448890788</v>
      </c>
      <c r="W13" s="537">
        <f t="shared" si="12"/>
        <v>350</v>
      </c>
      <c r="X13" s="443">
        <f t="shared" si="95"/>
        <v>350</v>
      </c>
      <c r="Z13" s="329">
        <f t="shared" si="13"/>
        <v>2.7879231258241366</v>
      </c>
      <c r="AA13" s="173">
        <f t="shared" si="14"/>
        <v>1.6907089196100828</v>
      </c>
      <c r="AB13" s="173">
        <f t="shared" si="15"/>
        <v>0.55019104924771167</v>
      </c>
      <c r="AC13" s="538"/>
      <c r="AD13" s="173">
        <f t="shared" si="16"/>
        <v>1.3476450974078444</v>
      </c>
      <c r="AE13" s="545">
        <f t="shared" si="17"/>
        <v>80.099743763501024</v>
      </c>
      <c r="AF13" s="528">
        <f t="shared" si="18"/>
        <v>0.34956416443317928</v>
      </c>
      <c r="AG13"/>
      <c r="AH13" s="173">
        <f t="shared" si="19"/>
        <v>1.0860149959501348</v>
      </c>
      <c r="AI13" s="173">
        <f t="shared" si="20"/>
        <v>2.2222222222222223</v>
      </c>
      <c r="AJ13" s="173">
        <f t="shared" si="21"/>
        <v>1.045771282150572</v>
      </c>
      <c r="AL13" s="545">
        <f t="shared" si="22"/>
        <v>80</v>
      </c>
      <c r="AM13" s="460">
        <f t="shared" si="23"/>
        <v>80.099743763501024</v>
      </c>
      <c r="AO13">
        <f t="shared" si="96"/>
        <v>80</v>
      </c>
      <c r="AP13" s="460">
        <f t="shared" si="24"/>
        <v>80.099743763501024</v>
      </c>
      <c r="AQ13" s="460"/>
      <c r="AR13" s="5">
        <f t="shared" si="97"/>
        <v>12.484434444042119</v>
      </c>
      <c r="AS13" s="5">
        <f t="shared" si="25"/>
        <v>0.92975139548485786</v>
      </c>
      <c r="AT13" s="5">
        <f t="shared" si="98"/>
        <v>11.55468304855726</v>
      </c>
      <c r="AU13" s="173">
        <f t="shared" si="99"/>
        <v>7.4472848542094613E-2</v>
      </c>
      <c r="AW13" s="5">
        <f t="shared" si="26"/>
        <v>0.30991713182828595</v>
      </c>
      <c r="AX13" s="5">
        <f t="shared" si="27"/>
        <v>4.1322284243771462E-2</v>
      </c>
      <c r="AY13" s="5">
        <f t="shared" si="28"/>
        <v>0.77349475359225639</v>
      </c>
      <c r="AZ13" s="5"/>
      <c r="BA13" s="173">
        <f t="shared" si="100"/>
        <v>0.35012719274300608</v>
      </c>
      <c r="BB13" s="173">
        <f t="shared" si="29"/>
        <v>0.82327944931382768</v>
      </c>
      <c r="BC13" s="173">
        <f t="shared" si="30"/>
        <v>8.2439198911019765E-2</v>
      </c>
      <c r="BD13" s="173"/>
      <c r="BE13" s="528">
        <f t="shared" si="31"/>
        <v>4.9035620439239255E-3</v>
      </c>
      <c r="BF13" s="528">
        <f t="shared" si="32"/>
        <v>0.16176512224575851</v>
      </c>
      <c r="BG13" s="528">
        <f t="shared" si="33"/>
        <v>7.6579365817561404E-2</v>
      </c>
      <c r="BH13" s="528">
        <f t="shared" si="34"/>
        <v>2.2868448114782083E-2</v>
      </c>
      <c r="BI13">
        <f t="shared" si="35"/>
        <v>1.0755563313551235E-2</v>
      </c>
      <c r="BJ13" s="460">
        <f t="shared" si="101"/>
        <v>87.334929131112645</v>
      </c>
      <c r="BK13">
        <f t="shared" si="36"/>
        <v>0.19108372319232439</v>
      </c>
      <c r="BL13" s="460">
        <f t="shared" si="102"/>
        <v>191.08372319232438</v>
      </c>
      <c r="BM13" s="173">
        <f t="shared" si="37"/>
        <v>6.9439999999999988E-2</v>
      </c>
      <c r="BN13" s="173">
        <f t="shared" si="38"/>
        <v>4.96E-3</v>
      </c>
      <c r="BO13" s="528"/>
      <c r="BQ13" s="460">
        <f t="shared" si="103"/>
        <v>74.399999999999991</v>
      </c>
      <c r="BR13" s="528">
        <f t="shared" si="39"/>
        <v>3.6776715329429437E-3</v>
      </c>
      <c r="BS13" s="528">
        <f t="shared" si="104"/>
        <v>2.033367154987438E-2</v>
      </c>
      <c r="BT13" s="528">
        <f t="shared" si="40"/>
        <v>3.3981107585453416E-5</v>
      </c>
      <c r="BU13" s="528">
        <f t="shared" si="41"/>
        <v>2.113569517896401E-2</v>
      </c>
      <c r="BV13" s="528">
        <f t="shared" si="42"/>
        <v>5.1050098468473568E-2</v>
      </c>
      <c r="BW13" s="625">
        <f t="shared" si="43"/>
        <v>7.9110858038025728E-2</v>
      </c>
      <c r="BX13" s="460">
        <f t="shared" si="105"/>
        <v>130.16095650649928</v>
      </c>
      <c r="BY13" s="173">
        <f t="shared" si="106"/>
        <v>0.39564467969882366</v>
      </c>
      <c r="BZ13" s="5">
        <f t="shared" si="107"/>
        <v>2.0640000000000001</v>
      </c>
      <c r="CA13" s="173">
        <f t="shared" si="108"/>
        <v>0.83914559571780534</v>
      </c>
      <c r="CB13" s="5">
        <f t="shared" si="109"/>
        <v>83.914559571780529</v>
      </c>
      <c r="CC13">
        <f t="shared" si="110"/>
        <v>8</v>
      </c>
      <c r="CE13" s="562">
        <f t="shared" si="44"/>
        <v>-50</v>
      </c>
      <c r="CF13">
        <f t="shared" si="45"/>
        <v>-50</v>
      </c>
      <c r="CG13" s="173">
        <f t="shared" si="46"/>
        <v>0.10838572749094036</v>
      </c>
      <c r="CH13" s="173">
        <f t="shared" si="47"/>
        <v>2.954228272397413E-2</v>
      </c>
      <c r="CI13" s="189">
        <v>8</v>
      </c>
      <c r="CJ13" s="217">
        <f t="shared" si="133"/>
        <v>0.08</v>
      </c>
      <c r="CK13" s="217">
        <f t="shared" si="111"/>
        <v>8.0000000000000002E-3</v>
      </c>
      <c r="CL13" s="217">
        <f t="shared" si="48"/>
        <v>1.92</v>
      </c>
      <c r="CM13" s="217">
        <f t="shared" si="134"/>
        <v>0.14400000000000002</v>
      </c>
      <c r="CN13" s="541">
        <f t="shared" si="112"/>
        <v>24</v>
      </c>
      <c r="CO13" s="443">
        <f t="shared" si="49"/>
        <v>16.474900000000002</v>
      </c>
      <c r="CP13" s="443">
        <f t="shared" si="50"/>
        <v>40.474900000000005</v>
      </c>
      <c r="CQ13" s="535"/>
      <c r="CR13" s="329">
        <f t="shared" si="113"/>
        <v>0.40507913686898112</v>
      </c>
      <c r="CS13" s="172">
        <f t="shared" si="114"/>
        <v>50.242373565144938</v>
      </c>
      <c r="CT13" s="172">
        <f t="shared" si="51"/>
        <v>4.0507913686898105</v>
      </c>
      <c r="CU13" s="329">
        <f t="shared" si="52"/>
        <v>2.0934322318810392</v>
      </c>
      <c r="CV13" s="217">
        <f t="shared" si="53"/>
        <v>2.7912429758413855</v>
      </c>
      <c r="CW13" s="443">
        <f t="shared" si="54"/>
        <v>24</v>
      </c>
      <c r="CX13" s="217">
        <f t="shared" si="55"/>
        <v>0.4246083896827097</v>
      </c>
      <c r="CY13" s="329">
        <f t="shared" si="56"/>
        <v>0.1769201623677957</v>
      </c>
      <c r="CZ13" s="217">
        <f t="shared" si="57"/>
        <v>0.25773048072079935</v>
      </c>
      <c r="DA13" s="537">
        <f t="shared" si="58"/>
        <v>350</v>
      </c>
      <c r="DB13" s="535">
        <f t="shared" si="115"/>
        <v>350</v>
      </c>
      <c r="DD13" s="329">
        <f t="shared" si="59"/>
        <v>2.7911308701724487</v>
      </c>
      <c r="DE13" s="173">
        <f t="shared" si="60"/>
        <v>1.6941716612376698</v>
      </c>
      <c r="DF13" s="173">
        <f t="shared" si="61"/>
        <v>0.55195223422072148</v>
      </c>
      <c r="DG13" s="538"/>
      <c r="DH13" s="173">
        <f t="shared" si="62"/>
        <v>1.3488532386977903</v>
      </c>
      <c r="DI13" s="545">
        <f t="shared" si="63"/>
        <v>80.027999999999977</v>
      </c>
      <c r="DJ13" s="528">
        <f t="shared" si="64"/>
        <v>0.34987754285999911</v>
      </c>
      <c r="DK13"/>
      <c r="DL13" s="173">
        <f t="shared" si="65"/>
        <v>1.0860149959501348</v>
      </c>
      <c r="DM13" s="173">
        <f t="shared" si="66"/>
        <v>2.2222222222222223</v>
      </c>
      <c r="DN13" s="173">
        <f t="shared" si="67"/>
        <v>1.0457302857142856</v>
      </c>
      <c r="DP13" s="545">
        <f t="shared" si="68"/>
        <v>80</v>
      </c>
      <c r="DQ13" s="460">
        <f t="shared" si="69"/>
        <v>80.027999999999977</v>
      </c>
      <c r="DS13">
        <f t="shared" si="116"/>
        <v>80</v>
      </c>
      <c r="DT13" s="460">
        <f t="shared" si="70"/>
        <v>80.027999999999977</v>
      </c>
      <c r="DU13" s="460"/>
      <c r="DV13" s="5">
        <f t="shared" si="117"/>
        <v>12.495626530714253</v>
      </c>
      <c r="DW13" s="5">
        <f t="shared" si="71"/>
        <v>0.92592592592592615</v>
      </c>
      <c r="DX13" s="5">
        <f t="shared" si="118"/>
        <v>11.569700604788327</v>
      </c>
      <c r="DY13" s="173">
        <f t="shared" si="119"/>
        <v>7.4099999999999999E-2</v>
      </c>
      <c r="EA13" s="5">
        <f t="shared" si="72"/>
        <v>0.30864197530864207</v>
      </c>
      <c r="EB13" s="5">
        <f t="shared" si="73"/>
        <v>4.1152263374485604E-2</v>
      </c>
      <c r="EC13" s="5">
        <f t="shared" si="74"/>
        <v>0.77131337365255503</v>
      </c>
      <c r="ED13" s="5"/>
      <c r="EE13" s="173">
        <f t="shared" si="120"/>
        <v>0.34924963656670471</v>
      </c>
      <c r="EF13" s="173">
        <f t="shared" si="75"/>
        <v>0.82344526164769516</v>
      </c>
      <c r="EG13" s="173">
        <f t="shared" si="76"/>
        <v>8.2455802551478649E-2</v>
      </c>
      <c r="EH13" s="173"/>
      <c r="EI13" s="528">
        <f t="shared" si="77"/>
        <v>4.8790123456790135E-3</v>
      </c>
      <c r="EJ13" s="528">
        <f t="shared" si="78"/>
        <v>0.19794654594</v>
      </c>
      <c r="EK13" s="528">
        <f t="shared" si="79"/>
        <v>1.6005599999999995E-2</v>
      </c>
      <c r="EL13" s="528">
        <f t="shared" si="80"/>
        <v>2.2943072686037045E-2</v>
      </c>
      <c r="EM13">
        <f t="shared" si="81"/>
        <v>1.0800000000000001E-2</v>
      </c>
      <c r="EN13" s="460">
        <f t="shared" si="121"/>
        <v>26.805599999999995</v>
      </c>
      <c r="EO13">
        <f t="shared" si="82"/>
        <v>0.25418623054009043</v>
      </c>
      <c r="EP13" s="460">
        <f t="shared" si="122"/>
        <v>254.18623054009043</v>
      </c>
      <c r="EQ13" s="173">
        <f t="shared" si="83"/>
        <v>6.9439999999999988E-2</v>
      </c>
      <c r="ER13" s="173">
        <f t="shared" si="84"/>
        <v>4.96E-3</v>
      </c>
      <c r="ES13" s="528"/>
      <c r="EU13" s="460">
        <f t="shared" si="123"/>
        <v>74.399999999999991</v>
      </c>
      <c r="EV13" s="528">
        <f t="shared" si="85"/>
        <v>3.6592592592592597E-3</v>
      </c>
      <c r="EW13" s="528">
        <f t="shared" si="124"/>
        <v>2.0341862967901234E-2</v>
      </c>
      <c r="EX13" s="528">
        <f t="shared" si="86"/>
        <v>3.3994796872042169E-5</v>
      </c>
      <c r="EY13" s="528">
        <f t="shared" si="87"/>
        <v>2.1088399901516858E-2</v>
      </c>
      <c r="EZ13" s="528">
        <f t="shared" si="88"/>
        <v>5.0989989039606894E-2</v>
      </c>
      <c r="FA13" s="625">
        <f t="shared" si="89"/>
        <v>7.9039999999999999E-2</v>
      </c>
      <c r="FB13" s="460">
        <f t="shared" si="125"/>
        <v>130.02998903960687</v>
      </c>
      <c r="FC13" s="173">
        <f t="shared" si="126"/>
        <v>0.45861621957969734</v>
      </c>
      <c r="FD13" s="5">
        <f t="shared" si="127"/>
        <v>2.0640000000000001</v>
      </c>
      <c r="FE13" s="173">
        <f t="shared" si="128"/>
        <v>0.81819818011948364</v>
      </c>
      <c r="FF13" s="5">
        <f t="shared" si="129"/>
        <v>81.819818011948371</v>
      </c>
      <c r="FG13">
        <f t="shared" si="130"/>
        <v>8</v>
      </c>
      <c r="FI13" s="562">
        <f t="shared" si="90"/>
        <v>-50</v>
      </c>
      <c r="FJ13">
        <f t="shared" si="91"/>
        <v>-50</v>
      </c>
      <c r="FL13">
        <f t="shared" si="92"/>
        <v>0.10838572749094036</v>
      </c>
    </row>
    <row r="14" spans="2:169">
      <c r="E14" s="170">
        <v>9</v>
      </c>
      <c r="F14" s="217">
        <f t="shared" si="131"/>
        <v>0.09</v>
      </c>
      <c r="G14" s="217">
        <f t="shared" si="93"/>
        <v>8.9999999999999993E-3</v>
      </c>
      <c r="H14" s="217">
        <f t="shared" si="0"/>
        <v>2.16</v>
      </c>
      <c r="I14" s="217">
        <f t="shared" si="132"/>
        <v>0.16199999999999998</v>
      </c>
      <c r="J14" s="541">
        <f t="shared" si="1"/>
        <v>23.901251807891633</v>
      </c>
      <c r="K14" s="443">
        <f t="shared" si="2"/>
        <v>16.489669472300989</v>
      </c>
      <c r="L14" s="172">
        <f t="shared" si="3"/>
        <v>40.390921280192622</v>
      </c>
      <c r="M14" s="443"/>
      <c r="N14" s="217">
        <f t="shared" si="4"/>
        <v>0.40825187813647096</v>
      </c>
      <c r="O14" s="172">
        <f t="shared" si="94"/>
        <v>50.427550079506361</v>
      </c>
      <c r="P14" s="172">
        <f t="shared" si="5"/>
        <v>4.0657212251602006</v>
      </c>
      <c r="Q14" s="217">
        <f t="shared" si="6"/>
        <v>2.1011479199794318</v>
      </c>
      <c r="R14" s="217">
        <f t="shared" si="7"/>
        <v>2.8015305599725755</v>
      </c>
      <c r="S14" s="443">
        <f t="shared" si="8"/>
        <v>24</v>
      </c>
      <c r="T14" s="217">
        <f t="shared" si="9"/>
        <v>0.47593031908471678</v>
      </c>
      <c r="U14" s="217">
        <f t="shared" si="10"/>
        <v>0.19912359524515605</v>
      </c>
      <c r="V14" s="217">
        <f t="shared" si="11"/>
        <v>0.28862332255002132</v>
      </c>
      <c r="W14" s="197">
        <f t="shared" si="12"/>
        <v>350</v>
      </c>
      <c r="X14" s="443">
        <f t="shared" si="95"/>
        <v>350</v>
      </c>
      <c r="Z14" s="217">
        <f t="shared" si="13"/>
        <v>2.7879231258241366</v>
      </c>
      <c r="AA14" s="173">
        <f t="shared" si="14"/>
        <v>1.6907089196100828</v>
      </c>
      <c r="AB14" s="173">
        <f t="shared" si="15"/>
        <v>0.55019104924771167</v>
      </c>
      <c r="AC14" s="173"/>
      <c r="AD14" s="173">
        <f t="shared" si="16"/>
        <v>1.3476450974078444</v>
      </c>
      <c r="AE14" s="545">
        <f t="shared" si="17"/>
        <v>90.112211733938651</v>
      </c>
      <c r="AF14" s="528">
        <f t="shared" si="18"/>
        <v>0.34956416443317928</v>
      </c>
      <c r="AH14" s="173">
        <f t="shared" si="19"/>
        <v>1.1518928521599319</v>
      </c>
      <c r="AI14" s="173">
        <f t="shared" si="20"/>
        <v>2.2222222222222223</v>
      </c>
      <c r="AJ14" s="173">
        <f t="shared" si="21"/>
        <v>1.0514926924193935</v>
      </c>
      <c r="AL14" s="545">
        <f t="shared" si="22"/>
        <v>90</v>
      </c>
      <c r="AM14" s="460">
        <f t="shared" si="23"/>
        <v>90.112211733938651</v>
      </c>
      <c r="AO14">
        <f t="shared" si="96"/>
        <v>90</v>
      </c>
      <c r="AP14" s="460">
        <f t="shared" si="24"/>
        <v>90.112211733938651</v>
      </c>
      <c r="AQ14" s="460"/>
      <c r="AR14" s="5">
        <f t="shared" si="97"/>
        <v>11.097275061370771</v>
      </c>
      <c r="AS14" s="5">
        <f t="shared" si="25"/>
        <v>0.92975139548485786</v>
      </c>
      <c r="AT14" s="5">
        <f t="shared" si="98"/>
        <v>10.167523665885913</v>
      </c>
      <c r="AU14" s="173">
        <f t="shared" si="99"/>
        <v>8.3781954609856449E-2</v>
      </c>
      <c r="AW14" s="5">
        <f t="shared" si="26"/>
        <v>0.34865677330682165</v>
      </c>
      <c r="AX14" s="5">
        <f t="shared" si="27"/>
        <v>4.6487569774242885E-2</v>
      </c>
      <c r="AY14" s="5">
        <f t="shared" si="28"/>
        <v>0.7657148146756021</v>
      </c>
      <c r="AZ14" s="5"/>
      <c r="BA14" s="173">
        <f t="shared" si="100"/>
        <v>0.37136596839958341</v>
      </c>
      <c r="BB14" s="173">
        <f t="shared" si="29"/>
        <v>0.81912864473062563</v>
      </c>
      <c r="BC14" s="173">
        <f t="shared" si="30"/>
        <v>8.2023557533161276E-2</v>
      </c>
      <c r="BD14" s="173"/>
      <c r="BE14" s="528">
        <f t="shared" si="31"/>
        <v>5.5165072994144164E-3</v>
      </c>
      <c r="BF14" s="528">
        <f t="shared" si="32"/>
        <v>0.1819857625264783</v>
      </c>
      <c r="BG14" s="528">
        <f t="shared" si="33"/>
        <v>8.6151786544756581E-2</v>
      </c>
      <c r="BH14" s="528">
        <f t="shared" si="34"/>
        <v>2.5727004129129843E-2</v>
      </c>
      <c r="BI14">
        <f t="shared" si="35"/>
        <v>1.0755563313551235E-2</v>
      </c>
      <c r="BJ14" s="460">
        <f t="shared" si="101"/>
        <v>96.907349858307811</v>
      </c>
      <c r="BK14">
        <f t="shared" si="36"/>
        <v>0.21500053688845935</v>
      </c>
      <c r="BL14" s="460">
        <f t="shared" si="102"/>
        <v>215.00053688845935</v>
      </c>
      <c r="BM14" s="173">
        <f t="shared" si="37"/>
        <v>7.8119999999999995E-2</v>
      </c>
      <c r="BN14" s="173">
        <f t="shared" si="38"/>
        <v>5.5799999999999999E-3</v>
      </c>
      <c r="BO14" s="528"/>
      <c r="BQ14" s="460">
        <f t="shared" si="103"/>
        <v>83.7</v>
      </c>
      <c r="BR14" s="528">
        <f t="shared" si="39"/>
        <v>4.1373804745608121E-3</v>
      </c>
      <c r="BS14" s="528">
        <f t="shared" si="104"/>
        <v>2.0129152098546946E-2</v>
      </c>
      <c r="BT14" s="528">
        <f t="shared" si="40"/>
        <v>3.363931995197909E-5</v>
      </c>
      <c r="BU14" s="528">
        <f t="shared" si="41"/>
        <v>2.8372515568995001E-2</v>
      </c>
      <c r="BV14" s="528">
        <f t="shared" si="42"/>
        <v>5.8618684244652282E-2</v>
      </c>
      <c r="BW14" s="625">
        <f t="shared" si="43"/>
        <v>8.8999715292778933E-2</v>
      </c>
      <c r="BX14" s="460">
        <f t="shared" si="105"/>
        <v>147.61839953743123</v>
      </c>
      <c r="BY14" s="173">
        <f t="shared" si="106"/>
        <v>0.44631893642589054</v>
      </c>
      <c r="BZ14" s="5">
        <f t="shared" si="107"/>
        <v>2.3220000000000001</v>
      </c>
      <c r="CA14" s="173">
        <f t="shared" si="108"/>
        <v>0.83877618631539541</v>
      </c>
      <c r="CB14" s="5">
        <f t="shared" si="109"/>
        <v>83.877618631539548</v>
      </c>
      <c r="CC14">
        <f t="shared" si="110"/>
        <v>9</v>
      </c>
      <c r="CE14" s="562">
        <f t="shared" si="44"/>
        <v>-50</v>
      </c>
      <c r="CF14">
        <f t="shared" si="45"/>
        <v>-50</v>
      </c>
      <c r="CG14" s="173">
        <f t="shared" si="46"/>
        <v>0.12193394342730793</v>
      </c>
      <c r="CH14" s="173">
        <f t="shared" si="47"/>
        <v>3.3235068064470893E-2</v>
      </c>
      <c r="CI14" s="170">
        <v>9</v>
      </c>
      <c r="CJ14" s="217">
        <f t="shared" si="133"/>
        <v>0.09</v>
      </c>
      <c r="CK14" s="217">
        <f t="shared" si="111"/>
        <v>8.9999999999999993E-3</v>
      </c>
      <c r="CL14" s="217">
        <f t="shared" si="48"/>
        <v>2.16</v>
      </c>
      <c r="CM14" s="217">
        <f t="shared" si="134"/>
        <v>0.16199999999999998</v>
      </c>
      <c r="CN14" s="541">
        <f t="shared" si="112"/>
        <v>24</v>
      </c>
      <c r="CO14" s="443">
        <f t="shared" si="49"/>
        <v>16.474900000000002</v>
      </c>
      <c r="CP14" s="443">
        <f t="shared" si="50"/>
        <v>40.474900000000005</v>
      </c>
      <c r="CQ14" s="443"/>
      <c r="CR14" s="217">
        <f t="shared" si="113"/>
        <v>0.40507913686898112</v>
      </c>
      <c r="CS14" s="172">
        <f t="shared" si="114"/>
        <v>50.242373565144938</v>
      </c>
      <c r="CT14" s="172">
        <f t="shared" si="51"/>
        <v>4.0507913686898105</v>
      </c>
      <c r="CU14" s="217">
        <f t="shared" si="52"/>
        <v>2.0934322318810392</v>
      </c>
      <c r="CV14" s="217">
        <f t="shared" si="53"/>
        <v>2.7912429758413855</v>
      </c>
      <c r="CW14" s="443">
        <f t="shared" si="54"/>
        <v>24</v>
      </c>
      <c r="CX14" s="217">
        <f t="shared" si="55"/>
        <v>0.47768443839304836</v>
      </c>
      <c r="CY14" s="217">
        <f t="shared" si="56"/>
        <v>0.19903518266377015</v>
      </c>
      <c r="CZ14" s="217">
        <f t="shared" si="57"/>
        <v>0.28994679081089919</v>
      </c>
      <c r="DA14" s="197">
        <f t="shared" si="58"/>
        <v>350</v>
      </c>
      <c r="DB14" s="443">
        <f t="shared" si="115"/>
        <v>350</v>
      </c>
      <c r="DD14" s="217">
        <f t="shared" si="59"/>
        <v>2.7911308701724487</v>
      </c>
      <c r="DE14" s="173">
        <f t="shared" si="60"/>
        <v>1.6941716612376698</v>
      </c>
      <c r="DF14" s="173">
        <f t="shared" si="61"/>
        <v>0.55195223422072148</v>
      </c>
      <c r="DG14" s="173"/>
      <c r="DH14" s="173">
        <f t="shared" si="62"/>
        <v>1.3488532386977903</v>
      </c>
      <c r="DI14" s="545">
        <f t="shared" si="63"/>
        <v>90.03149999999998</v>
      </c>
      <c r="DJ14" s="528">
        <f t="shared" si="64"/>
        <v>0.34987754285999911</v>
      </c>
      <c r="DL14" s="173">
        <f t="shared" si="65"/>
        <v>1.1518928521599319</v>
      </c>
      <c r="DM14" s="173">
        <f t="shared" si="66"/>
        <v>2.2222222222222223</v>
      </c>
      <c r="DN14" s="173">
        <f t="shared" si="67"/>
        <v>1.0514465714285715</v>
      </c>
      <c r="DP14" s="545">
        <f t="shared" si="68"/>
        <v>90</v>
      </c>
      <c r="DQ14" s="460">
        <f t="shared" si="69"/>
        <v>90.03149999999998</v>
      </c>
      <c r="DS14">
        <f t="shared" si="116"/>
        <v>90</v>
      </c>
      <c r="DT14" s="460">
        <f t="shared" si="70"/>
        <v>90.03149999999998</v>
      </c>
      <c r="DU14" s="460"/>
      <c r="DV14" s="5">
        <f t="shared" si="117"/>
        <v>11.107223582857115</v>
      </c>
      <c r="DW14" s="5">
        <f t="shared" si="71"/>
        <v>0.92592592592592615</v>
      </c>
      <c r="DX14" s="5">
        <f t="shared" si="118"/>
        <v>10.181297656931189</v>
      </c>
      <c r="DY14" s="173">
        <f t="shared" si="119"/>
        <v>8.3362499999999992E-2</v>
      </c>
      <c r="EA14" s="5">
        <f t="shared" si="72"/>
        <v>0.34722222222222232</v>
      </c>
      <c r="EB14" s="5">
        <f t="shared" si="73"/>
        <v>4.6296296296296308E-2</v>
      </c>
      <c r="EC14" s="5">
        <f t="shared" si="74"/>
        <v>0.76359732426983917</v>
      </c>
      <c r="ED14" s="5"/>
      <c r="EE14" s="173">
        <f t="shared" si="120"/>
        <v>0.37043517951488114</v>
      </c>
      <c r="EF14" s="173">
        <f t="shared" si="75"/>
        <v>0.81931612628718509</v>
      </c>
      <c r="EG14" s="173">
        <f t="shared" si="76"/>
        <v>8.204233102416271E-2</v>
      </c>
      <c r="EH14" s="173"/>
      <c r="EI14" s="528">
        <f t="shared" si="77"/>
        <v>5.4888888888888886E-3</v>
      </c>
      <c r="EJ14" s="528">
        <f t="shared" si="78"/>
        <v>0.2226898641825</v>
      </c>
      <c r="EK14" s="528">
        <f t="shared" si="79"/>
        <v>1.8006299999999992E-2</v>
      </c>
      <c r="EL14" s="528">
        <f t="shared" si="80"/>
        <v>2.5810956771791679E-2</v>
      </c>
      <c r="EM14">
        <f t="shared" si="81"/>
        <v>1.0800000000000001E-2</v>
      </c>
      <c r="EN14" s="460">
        <f t="shared" si="121"/>
        <v>28.806299999999993</v>
      </c>
      <c r="EO14">
        <f t="shared" si="82"/>
        <v>0.28464923799340203</v>
      </c>
      <c r="EP14" s="460">
        <f t="shared" si="122"/>
        <v>284.64923799340204</v>
      </c>
      <c r="EQ14" s="173">
        <f t="shared" si="83"/>
        <v>7.8119999999999995E-2</v>
      </c>
      <c r="ER14" s="173">
        <f t="shared" si="84"/>
        <v>5.5799999999999999E-3</v>
      </c>
      <c r="ES14" s="528"/>
      <c r="EU14" s="460">
        <f t="shared" si="123"/>
        <v>83.7</v>
      </c>
      <c r="EV14" s="528">
        <f t="shared" si="85"/>
        <v>4.116666666666666E-3</v>
      </c>
      <c r="EW14" s="528">
        <f t="shared" si="124"/>
        <v>2.0138367443827156E-2</v>
      </c>
      <c r="EX14" s="528">
        <f t="shared" si="86"/>
        <v>3.365472039939146E-5</v>
      </c>
      <c r="EY14" s="528">
        <f t="shared" si="87"/>
        <v>2.8309026481725903E-2</v>
      </c>
      <c r="EZ14" s="528">
        <f t="shared" si="88"/>
        <v>5.8540750878594852E-2</v>
      </c>
      <c r="FA14" s="625">
        <f t="shared" si="89"/>
        <v>8.8920000000000013E-2</v>
      </c>
      <c r="FB14" s="460">
        <f t="shared" si="125"/>
        <v>147.46075087859487</v>
      </c>
      <c r="FC14" s="173">
        <f t="shared" si="126"/>
        <v>0.51580998887199681</v>
      </c>
      <c r="FD14" s="5">
        <f t="shared" si="127"/>
        <v>2.3220000000000001</v>
      </c>
      <c r="FE14" s="173">
        <f t="shared" si="128"/>
        <v>0.81823660114854047</v>
      </c>
      <c r="FF14" s="5">
        <f t="shared" si="129"/>
        <v>81.82366011485405</v>
      </c>
      <c r="FG14">
        <f t="shared" si="130"/>
        <v>9</v>
      </c>
      <c r="FI14" s="562">
        <f t="shared" si="90"/>
        <v>-50</v>
      </c>
      <c r="FJ14">
        <f t="shared" si="91"/>
        <v>-50</v>
      </c>
      <c r="FL14">
        <f t="shared" si="92"/>
        <v>0.12193394342730793</v>
      </c>
    </row>
    <row r="15" spans="2:169">
      <c r="E15" s="170">
        <v>10</v>
      </c>
      <c r="F15" s="217">
        <f t="shared" si="131"/>
        <v>0.1</v>
      </c>
      <c r="G15" s="217">
        <f t="shared" si="93"/>
        <v>1.0000000000000002E-2</v>
      </c>
      <c r="H15" s="217">
        <f t="shared" si="0"/>
        <v>2.4000000000000004</v>
      </c>
      <c r="I15" s="217">
        <f t="shared" si="132"/>
        <v>0.18000000000000005</v>
      </c>
      <c r="J15" s="541">
        <f t="shared" si="1"/>
        <v>23.901251807891633</v>
      </c>
      <c r="K15" s="443">
        <f t="shared" si="2"/>
        <v>16.489669472300989</v>
      </c>
      <c r="L15" s="172">
        <f t="shared" si="3"/>
        <v>40.390921280192622</v>
      </c>
      <c r="M15" s="443"/>
      <c r="N15" s="217">
        <f t="shared" si="4"/>
        <v>0.40825187813647096</v>
      </c>
      <c r="O15" s="172">
        <f t="shared" si="94"/>
        <v>50.427550079506361</v>
      </c>
      <c r="P15" s="172">
        <f t="shared" si="5"/>
        <v>4.0657212251602006</v>
      </c>
      <c r="Q15" s="217">
        <f t="shared" si="6"/>
        <v>2.1011479199794318</v>
      </c>
      <c r="R15" s="217">
        <f t="shared" si="7"/>
        <v>2.8015305599725755</v>
      </c>
      <c r="S15" s="443">
        <f t="shared" si="8"/>
        <v>24</v>
      </c>
      <c r="T15" s="217">
        <f t="shared" si="9"/>
        <v>0.5288114656496854</v>
      </c>
      <c r="U15" s="217">
        <f t="shared" si="10"/>
        <v>0.22124843916128456</v>
      </c>
      <c r="V15" s="217">
        <f t="shared" si="11"/>
        <v>0.32069258061113481</v>
      </c>
      <c r="W15" s="197">
        <f t="shared" si="12"/>
        <v>350</v>
      </c>
      <c r="X15" s="443">
        <f t="shared" si="95"/>
        <v>350</v>
      </c>
      <c r="Z15" s="217">
        <f t="shared" si="13"/>
        <v>2.7879231258241366</v>
      </c>
      <c r="AA15" s="173">
        <f t="shared" si="14"/>
        <v>1.6907089196100828</v>
      </c>
      <c r="AB15" s="173">
        <f t="shared" si="15"/>
        <v>0.55019104924771167</v>
      </c>
      <c r="AC15" s="173"/>
      <c r="AD15" s="173">
        <f t="shared" si="16"/>
        <v>1.3476450974078444</v>
      </c>
      <c r="AE15" s="545">
        <f t="shared" si="17"/>
        <v>100.12467970437631</v>
      </c>
      <c r="AF15" s="528">
        <f t="shared" si="18"/>
        <v>0.34956416443317928</v>
      </c>
      <c r="AH15" s="173">
        <f t="shared" si="19"/>
        <v>1.2142016777643303</v>
      </c>
      <c r="AI15" s="173">
        <f t="shared" si="20"/>
        <v>2.2222222222222223</v>
      </c>
      <c r="AJ15" s="173">
        <f t="shared" si="21"/>
        <v>1.0572141026882151</v>
      </c>
      <c r="AL15" s="545">
        <f t="shared" si="22"/>
        <v>100</v>
      </c>
      <c r="AM15" s="460">
        <f t="shared" si="23"/>
        <v>100.12467970437631</v>
      </c>
      <c r="AO15">
        <f t="shared" si="96"/>
        <v>100</v>
      </c>
      <c r="AP15" s="460">
        <f t="shared" si="24"/>
        <v>100.12467970437631</v>
      </c>
      <c r="AQ15" s="460"/>
      <c r="AR15" s="5">
        <f t="shared" si="97"/>
        <v>9.9875475552336912</v>
      </c>
      <c r="AS15" s="5">
        <f t="shared" si="25"/>
        <v>0.92975139548485786</v>
      </c>
      <c r="AT15" s="5">
        <f t="shared" si="98"/>
        <v>9.0577961597488326</v>
      </c>
      <c r="AU15" s="173">
        <f t="shared" si="99"/>
        <v>9.3091060677618298E-2</v>
      </c>
      <c r="AW15" s="5">
        <f t="shared" si="26"/>
        <v>0.38739641478535752</v>
      </c>
      <c r="AX15" s="5">
        <f t="shared" si="27"/>
        <v>5.1652855304714335E-2</v>
      </c>
      <c r="AY15" s="5">
        <f t="shared" si="28"/>
        <v>0.75793487575894758</v>
      </c>
      <c r="AZ15" s="5"/>
      <c r="BA15" s="173">
        <f t="shared" si="100"/>
        <v>0.39145410187226642</v>
      </c>
      <c r="BB15" s="173">
        <f t="shared" si="29"/>
        <v>0.81495669920185565</v>
      </c>
      <c r="BC15" s="173">
        <f t="shared" si="30"/>
        <v>8.1605799203861476E-2</v>
      </c>
      <c r="BD15" s="173"/>
      <c r="BE15" s="528">
        <f t="shared" si="31"/>
        <v>6.1294525549049099E-3</v>
      </c>
      <c r="BF15" s="528">
        <f t="shared" si="32"/>
        <v>0.20220640280719818</v>
      </c>
      <c r="BG15" s="528">
        <f t="shared" si="33"/>
        <v>9.5724207271951786E-2</v>
      </c>
      <c r="BH15" s="528">
        <f t="shared" si="34"/>
        <v>2.8585560143477611E-2</v>
      </c>
      <c r="BI15">
        <f t="shared" si="35"/>
        <v>1.0755563313551235E-2</v>
      </c>
      <c r="BJ15" s="460">
        <f t="shared" si="101"/>
        <v>106.47977058550302</v>
      </c>
      <c r="BK15">
        <f t="shared" si="36"/>
        <v>0.23892432703304359</v>
      </c>
      <c r="BL15" s="460">
        <f t="shared" si="102"/>
        <v>238.9243270330436</v>
      </c>
      <c r="BM15" s="173">
        <f t="shared" si="37"/>
        <v>8.6799999999999988E-2</v>
      </c>
      <c r="BN15" s="173">
        <f t="shared" si="38"/>
        <v>6.2000000000000015E-3</v>
      </c>
      <c r="BO15" s="528"/>
      <c r="BQ15" s="460">
        <f t="shared" si="103"/>
        <v>92.999999999999986</v>
      </c>
      <c r="BR15" s="528">
        <f t="shared" si="39"/>
        <v>4.5970894161786822E-3</v>
      </c>
      <c r="BS15" s="528">
        <f t="shared" si="104"/>
        <v>1.9924632647219515E-2</v>
      </c>
      <c r="BT15" s="528">
        <f t="shared" si="40"/>
        <v>3.3297532318504797E-5</v>
      </c>
      <c r="BU15" s="528">
        <f t="shared" si="41"/>
        <v>3.6922539978029821E-2</v>
      </c>
      <c r="BV15" s="528">
        <f t="shared" si="42"/>
        <v>6.7503367998637209E-2</v>
      </c>
      <c r="BW15" s="625">
        <f t="shared" si="43"/>
        <v>9.888857254753218E-2</v>
      </c>
      <c r="BX15" s="460">
        <f t="shared" si="105"/>
        <v>166.39194054616939</v>
      </c>
      <c r="BY15" s="173">
        <f t="shared" si="106"/>
        <v>0.49831626757921293</v>
      </c>
      <c r="BZ15" s="5">
        <f t="shared" si="107"/>
        <v>2.5800000000000005</v>
      </c>
      <c r="CA15" s="173">
        <f t="shared" si="108"/>
        <v>0.83812050995946275</v>
      </c>
      <c r="CB15" s="5">
        <f t="shared" si="109"/>
        <v>83.812050995946279</v>
      </c>
      <c r="CC15">
        <f t="shared" si="110"/>
        <v>10</v>
      </c>
      <c r="CE15" s="562">
        <f t="shared" si="44"/>
        <v>-50</v>
      </c>
      <c r="CF15">
        <f t="shared" si="45"/>
        <v>-50</v>
      </c>
      <c r="CG15" s="173">
        <f t="shared" si="46"/>
        <v>0.13548215936367547</v>
      </c>
      <c r="CH15" s="173">
        <f t="shared" si="47"/>
        <v>3.6927853404967667E-2</v>
      </c>
      <c r="CI15" s="170">
        <v>10</v>
      </c>
      <c r="CJ15" s="217">
        <f t="shared" si="133"/>
        <v>0.1</v>
      </c>
      <c r="CK15" s="217">
        <f t="shared" si="111"/>
        <v>1.0000000000000002E-2</v>
      </c>
      <c r="CL15" s="217">
        <f t="shared" si="48"/>
        <v>2.4000000000000004</v>
      </c>
      <c r="CM15" s="217">
        <f t="shared" si="134"/>
        <v>0.18000000000000005</v>
      </c>
      <c r="CN15" s="541">
        <f t="shared" si="112"/>
        <v>24</v>
      </c>
      <c r="CO15" s="443">
        <f t="shared" si="49"/>
        <v>16.474900000000002</v>
      </c>
      <c r="CP15" s="443">
        <f t="shared" si="50"/>
        <v>40.474900000000005</v>
      </c>
      <c r="CQ15" s="443"/>
      <c r="CR15" s="217">
        <f t="shared" si="113"/>
        <v>0.40507913686898112</v>
      </c>
      <c r="CS15" s="172">
        <f t="shared" si="114"/>
        <v>50.242373565144938</v>
      </c>
      <c r="CT15" s="172">
        <f t="shared" si="51"/>
        <v>4.0507913686898105</v>
      </c>
      <c r="CU15" s="217">
        <f t="shared" si="52"/>
        <v>2.0934322318810392</v>
      </c>
      <c r="CV15" s="217">
        <f t="shared" si="53"/>
        <v>2.7912429758413855</v>
      </c>
      <c r="CW15" s="443">
        <f t="shared" si="54"/>
        <v>24</v>
      </c>
      <c r="CX15" s="217">
        <f t="shared" si="55"/>
        <v>0.53076048710338719</v>
      </c>
      <c r="CY15" s="217">
        <f t="shared" si="56"/>
        <v>0.22115020295974466</v>
      </c>
      <c r="CZ15" s="217">
        <f t="shared" si="57"/>
        <v>0.3221631009009992</v>
      </c>
      <c r="DA15" s="197">
        <f t="shared" si="58"/>
        <v>350</v>
      </c>
      <c r="DB15" s="443">
        <f t="shared" si="115"/>
        <v>350</v>
      </c>
      <c r="DD15" s="217">
        <f t="shared" si="59"/>
        <v>2.7911308701724487</v>
      </c>
      <c r="DE15" s="173">
        <f t="shared" si="60"/>
        <v>1.6941716612376698</v>
      </c>
      <c r="DF15" s="173">
        <f t="shared" si="61"/>
        <v>0.55195223422072148</v>
      </c>
      <c r="DG15" s="173"/>
      <c r="DH15" s="173">
        <f t="shared" si="62"/>
        <v>1.3488532386977903</v>
      </c>
      <c r="DI15" s="545">
        <f t="shared" si="63"/>
        <v>100.03499999999997</v>
      </c>
      <c r="DJ15" s="528">
        <f t="shared" si="64"/>
        <v>0.34987754285999911</v>
      </c>
      <c r="DL15" s="173">
        <f t="shared" si="65"/>
        <v>1.2142016777643303</v>
      </c>
      <c r="DM15" s="173">
        <f t="shared" si="66"/>
        <v>2.2222222222222223</v>
      </c>
      <c r="DN15" s="173">
        <f t="shared" si="67"/>
        <v>1.0571628571428571</v>
      </c>
      <c r="DP15" s="545">
        <f t="shared" si="68"/>
        <v>100</v>
      </c>
      <c r="DQ15" s="460">
        <f t="shared" si="69"/>
        <v>100.03499999999997</v>
      </c>
      <c r="DS15">
        <f t="shared" si="116"/>
        <v>100</v>
      </c>
      <c r="DT15" s="460">
        <f t="shared" si="70"/>
        <v>100.03499999999997</v>
      </c>
      <c r="DU15" s="460"/>
      <c r="DV15" s="5">
        <f t="shared" si="117"/>
        <v>9.9965012245714036</v>
      </c>
      <c r="DW15" s="5">
        <f t="shared" si="71"/>
        <v>0.92592592592592615</v>
      </c>
      <c r="DX15" s="5">
        <f t="shared" si="118"/>
        <v>9.070575298645478</v>
      </c>
      <c r="DY15" s="173">
        <f t="shared" si="119"/>
        <v>9.2624999999999985E-2</v>
      </c>
      <c r="EA15" s="5">
        <f t="shared" si="72"/>
        <v>0.38580246913580257</v>
      </c>
      <c r="EB15" s="5">
        <f t="shared" si="73"/>
        <v>5.1440329218107025E-2</v>
      </c>
      <c r="EC15" s="5">
        <f t="shared" si="74"/>
        <v>0.7558812748871232</v>
      </c>
      <c r="ED15" s="5"/>
      <c r="EE15" s="173">
        <f t="shared" si="120"/>
        <v>0.39047296424012395</v>
      </c>
      <c r="EF15" s="173">
        <f t="shared" si="75"/>
        <v>0.81516607550758413</v>
      </c>
      <c r="EG15" s="173">
        <f t="shared" si="76"/>
        <v>8.1626765128529691E-2</v>
      </c>
      <c r="EH15" s="173"/>
      <c r="EI15" s="528">
        <f t="shared" si="77"/>
        <v>6.0987654320987655E-3</v>
      </c>
      <c r="EJ15" s="528">
        <f t="shared" si="78"/>
        <v>0.24743318242499995</v>
      </c>
      <c r="EK15" s="528">
        <f t="shared" si="79"/>
        <v>2.0006999999999994E-2</v>
      </c>
      <c r="EL15" s="528">
        <f t="shared" si="80"/>
        <v>2.8678840857546309E-2</v>
      </c>
      <c r="EM15">
        <f t="shared" si="81"/>
        <v>1.0800000000000001E-2</v>
      </c>
      <c r="EN15" s="460">
        <f t="shared" si="121"/>
        <v>30.806999999999995</v>
      </c>
      <c r="EO15">
        <f t="shared" si="82"/>
        <v>0.31512108684422141</v>
      </c>
      <c r="EP15" s="460">
        <f t="shared" si="122"/>
        <v>315.1210868442214</v>
      </c>
      <c r="EQ15" s="173">
        <f t="shared" si="83"/>
        <v>8.6799999999999988E-2</v>
      </c>
      <c r="ER15" s="173">
        <f t="shared" si="84"/>
        <v>6.2000000000000015E-3</v>
      </c>
      <c r="ES15" s="528"/>
      <c r="EU15" s="460">
        <f t="shared" si="123"/>
        <v>92.999999999999986</v>
      </c>
      <c r="EV15" s="528">
        <f t="shared" si="85"/>
        <v>4.5740740740740733E-3</v>
      </c>
      <c r="EW15" s="528">
        <f t="shared" si="124"/>
        <v>1.993487191975309E-2</v>
      </c>
      <c r="EX15" s="528">
        <f t="shared" si="86"/>
        <v>3.3314643926740752E-5</v>
      </c>
      <c r="EY15" s="528">
        <f t="shared" si="87"/>
        <v>3.6839918528509083E-2</v>
      </c>
      <c r="EZ15" s="528">
        <f t="shared" si="88"/>
        <v>6.7404662743423854E-2</v>
      </c>
      <c r="FA15" s="625">
        <f t="shared" si="89"/>
        <v>9.8799999999999985E-2</v>
      </c>
      <c r="FB15" s="460">
        <f t="shared" si="125"/>
        <v>166.20466274342382</v>
      </c>
      <c r="FC15" s="173">
        <f t="shared" si="126"/>
        <v>0.57432574958764526</v>
      </c>
      <c r="FD15" s="5">
        <f t="shared" si="127"/>
        <v>2.5800000000000005</v>
      </c>
      <c r="FE15" s="173">
        <f t="shared" si="128"/>
        <v>0.81792440122497656</v>
      </c>
      <c r="FF15" s="5">
        <f t="shared" si="129"/>
        <v>81.792440122497652</v>
      </c>
      <c r="FG15">
        <f t="shared" si="130"/>
        <v>10</v>
      </c>
      <c r="FI15" s="562">
        <f t="shared" si="90"/>
        <v>-50</v>
      </c>
      <c r="FJ15">
        <f t="shared" si="91"/>
        <v>-50</v>
      </c>
      <c r="FL15">
        <f t="shared" si="92"/>
        <v>0.13548215936367547</v>
      </c>
    </row>
    <row r="16" spans="2:169">
      <c r="E16" s="170">
        <v>11</v>
      </c>
      <c r="F16" s="217">
        <f t="shared" si="131"/>
        <v>0.11</v>
      </c>
      <c r="G16" s="217">
        <f t="shared" si="93"/>
        <v>1.1000000000000001E-2</v>
      </c>
      <c r="H16" s="217">
        <f t="shared" si="0"/>
        <v>2.64</v>
      </c>
      <c r="I16" s="217">
        <f t="shared" si="132"/>
        <v>0.19800000000000001</v>
      </c>
      <c r="J16" s="541">
        <f t="shared" si="1"/>
        <v>23.901251807891633</v>
      </c>
      <c r="K16" s="443">
        <f t="shared" si="2"/>
        <v>16.489669472300989</v>
      </c>
      <c r="L16" s="172">
        <f t="shared" si="3"/>
        <v>40.390921280192622</v>
      </c>
      <c r="M16" s="443"/>
      <c r="N16" s="217">
        <f t="shared" si="4"/>
        <v>0.40825187813647096</v>
      </c>
      <c r="O16" s="172">
        <f t="shared" si="94"/>
        <v>50.427550079506361</v>
      </c>
      <c r="P16" s="172">
        <f t="shared" si="5"/>
        <v>4.0657212251602006</v>
      </c>
      <c r="Q16" s="217">
        <f t="shared" si="6"/>
        <v>2.1011479199794318</v>
      </c>
      <c r="R16" s="217">
        <f t="shared" si="7"/>
        <v>2.8015305599725755</v>
      </c>
      <c r="S16" s="443">
        <f t="shared" si="8"/>
        <v>24</v>
      </c>
      <c r="T16" s="217">
        <f t="shared" si="9"/>
        <v>0.58169261221465385</v>
      </c>
      <c r="U16" s="217">
        <f t="shared" si="10"/>
        <v>0.24337328307741296</v>
      </c>
      <c r="V16" s="217">
        <f t="shared" si="11"/>
        <v>0.35276183867224831</v>
      </c>
      <c r="W16" s="197">
        <f t="shared" si="12"/>
        <v>350</v>
      </c>
      <c r="X16" s="443">
        <f t="shared" si="95"/>
        <v>350</v>
      </c>
      <c r="Z16" s="217">
        <f t="shared" si="13"/>
        <v>2.7879231258241366</v>
      </c>
      <c r="AA16" s="173">
        <f t="shared" si="14"/>
        <v>1.6907089196100828</v>
      </c>
      <c r="AB16" s="173">
        <f t="shared" si="15"/>
        <v>0.55019104924771167</v>
      </c>
      <c r="AC16" s="173"/>
      <c r="AD16" s="173">
        <f t="shared" si="16"/>
        <v>1.3476450974078444</v>
      </c>
      <c r="AE16" s="545">
        <f t="shared" si="17"/>
        <v>110.13714767481393</v>
      </c>
      <c r="AF16" s="528">
        <f t="shared" si="18"/>
        <v>0.34956416443317928</v>
      </c>
      <c r="AH16" s="173">
        <f t="shared" si="19"/>
        <v>1.2734654631022726</v>
      </c>
      <c r="AI16" s="173">
        <f t="shared" si="20"/>
        <v>2.2222222222222223</v>
      </c>
      <c r="AJ16" s="173">
        <f t="shared" si="21"/>
        <v>1.0629355129570366</v>
      </c>
      <c r="AL16" s="545">
        <f t="shared" si="22"/>
        <v>110</v>
      </c>
      <c r="AM16" s="460">
        <f t="shared" si="23"/>
        <v>110.13714767481393</v>
      </c>
      <c r="AO16">
        <f t="shared" si="96"/>
        <v>110</v>
      </c>
      <c r="AP16" s="460">
        <f t="shared" si="24"/>
        <v>110.13714767481393</v>
      </c>
      <c r="AQ16" s="460"/>
      <c r="AR16" s="5">
        <f t="shared" si="97"/>
        <v>9.0795886865760842</v>
      </c>
      <c r="AS16" s="5">
        <f t="shared" si="25"/>
        <v>0.92975139548485786</v>
      </c>
      <c r="AT16" s="5">
        <f t="shared" si="98"/>
        <v>8.1498372910912256</v>
      </c>
      <c r="AU16" s="173">
        <f t="shared" si="99"/>
        <v>0.10240016674538012</v>
      </c>
      <c r="AW16" s="5">
        <f t="shared" si="26"/>
        <v>0.42613605626389323</v>
      </c>
      <c r="AX16" s="5">
        <f t="shared" si="27"/>
        <v>5.6818140835185764E-2</v>
      </c>
      <c r="AY16" s="5">
        <f t="shared" si="28"/>
        <v>0.75015493684229317</v>
      </c>
      <c r="AZ16" s="5"/>
      <c r="BA16" s="173">
        <f t="shared" si="100"/>
        <v>0.41056052569613288</v>
      </c>
      <c r="BB16" s="173">
        <f t="shared" si="29"/>
        <v>0.81076328637262307</v>
      </c>
      <c r="BC16" s="173">
        <f t="shared" si="30"/>
        <v>8.118589124352886E-2</v>
      </c>
      <c r="BD16" s="173"/>
      <c r="BE16" s="528">
        <f t="shared" si="31"/>
        <v>6.7423978103953999E-3</v>
      </c>
      <c r="BF16" s="528">
        <f t="shared" si="32"/>
        <v>0.22242704308791797</v>
      </c>
      <c r="BG16" s="528">
        <f t="shared" si="33"/>
        <v>0.10529662799914696</v>
      </c>
      <c r="BH16" s="528">
        <f t="shared" si="34"/>
        <v>3.1444116157825372E-2</v>
      </c>
      <c r="BI16">
        <f t="shared" si="35"/>
        <v>1.0755563313551235E-2</v>
      </c>
      <c r="BJ16" s="460">
        <f t="shared" si="101"/>
        <v>116.0521913126982</v>
      </c>
      <c r="BK16">
        <f t="shared" si="36"/>
        <v>0.26285509667902951</v>
      </c>
      <c r="BL16" s="460">
        <f t="shared" si="102"/>
        <v>262.85509667902949</v>
      </c>
      <c r="BM16" s="173">
        <f t="shared" si="37"/>
        <v>9.5479999999999995E-2</v>
      </c>
      <c r="BN16" s="173">
        <f t="shared" si="38"/>
        <v>6.8200000000000005E-3</v>
      </c>
      <c r="BO16" s="528"/>
      <c r="BQ16" s="460">
        <f t="shared" si="103"/>
        <v>102.3</v>
      </c>
      <c r="BR16" s="528">
        <f t="shared" si="39"/>
        <v>5.0567983577965497E-3</v>
      </c>
      <c r="BS16" s="528">
        <f t="shared" si="104"/>
        <v>1.9720113195892078E-2</v>
      </c>
      <c r="BT16" s="528">
        <f t="shared" si="40"/>
        <v>3.2955744685030477E-5</v>
      </c>
      <c r="BU16" s="528">
        <f t="shared" si="41"/>
        <v>4.6856870817307349E-2</v>
      </c>
      <c r="BV16" s="528">
        <f t="shared" si="42"/>
        <v>7.7775474202813874E-2</v>
      </c>
      <c r="BW16" s="625">
        <f t="shared" si="43"/>
        <v>0.10877742980228539</v>
      </c>
      <c r="BX16" s="460">
        <f t="shared" si="105"/>
        <v>186.55290400509926</v>
      </c>
      <c r="BY16" s="173">
        <f t="shared" si="106"/>
        <v>0.55170800068412884</v>
      </c>
      <c r="BZ16" s="5">
        <f t="shared" si="107"/>
        <v>2.8380000000000001</v>
      </c>
      <c r="CA16" s="173">
        <f t="shared" si="108"/>
        <v>0.83724025769394295</v>
      </c>
      <c r="CB16" s="5">
        <f t="shared" si="109"/>
        <v>83.724025769394288</v>
      </c>
      <c r="CC16">
        <f t="shared" si="110"/>
        <v>11</v>
      </c>
      <c r="CE16" s="562">
        <f t="shared" si="44"/>
        <v>-50</v>
      </c>
      <c r="CF16">
        <f t="shared" si="45"/>
        <v>-50</v>
      </c>
      <c r="CG16" s="173">
        <f t="shared" si="46"/>
        <v>0.14903037530004304</v>
      </c>
      <c r="CH16" s="173">
        <f t="shared" si="47"/>
        <v>4.062063874546442E-2</v>
      </c>
      <c r="CI16" s="170">
        <v>11</v>
      </c>
      <c r="CJ16" s="217">
        <f t="shared" si="133"/>
        <v>0.11</v>
      </c>
      <c r="CK16" s="217">
        <f t="shared" si="111"/>
        <v>1.1000000000000001E-2</v>
      </c>
      <c r="CL16" s="217">
        <f t="shared" si="48"/>
        <v>2.64</v>
      </c>
      <c r="CM16" s="217">
        <f t="shared" si="134"/>
        <v>0.19800000000000001</v>
      </c>
      <c r="CN16" s="541">
        <f t="shared" si="112"/>
        <v>24</v>
      </c>
      <c r="CO16" s="443">
        <f t="shared" si="49"/>
        <v>16.474900000000002</v>
      </c>
      <c r="CP16" s="443">
        <f t="shared" si="50"/>
        <v>40.474900000000005</v>
      </c>
      <c r="CQ16" s="443"/>
      <c r="CR16" s="217">
        <f t="shared" si="113"/>
        <v>0.40507913686898112</v>
      </c>
      <c r="CS16" s="172">
        <f t="shared" si="114"/>
        <v>50.242373565144938</v>
      </c>
      <c r="CT16" s="172">
        <f t="shared" si="51"/>
        <v>4.0507913686898105</v>
      </c>
      <c r="CU16" s="217">
        <f t="shared" si="52"/>
        <v>2.0934322318810392</v>
      </c>
      <c r="CV16" s="217">
        <f t="shared" si="53"/>
        <v>2.7912429758413855</v>
      </c>
      <c r="CW16" s="443">
        <f t="shared" si="54"/>
        <v>24</v>
      </c>
      <c r="CX16" s="217">
        <f t="shared" si="55"/>
        <v>0.58383653581372585</v>
      </c>
      <c r="CY16" s="217">
        <f t="shared" si="56"/>
        <v>0.24326522325571912</v>
      </c>
      <c r="CZ16" s="217">
        <f t="shared" si="57"/>
        <v>0.35437941099109904</v>
      </c>
      <c r="DA16" s="197">
        <f t="shared" si="58"/>
        <v>350</v>
      </c>
      <c r="DB16" s="443">
        <f t="shared" si="115"/>
        <v>350</v>
      </c>
      <c r="DD16" s="217">
        <f t="shared" si="59"/>
        <v>2.7911308701724487</v>
      </c>
      <c r="DE16" s="173">
        <f t="shared" si="60"/>
        <v>1.6941716612376698</v>
      </c>
      <c r="DF16" s="173">
        <f t="shared" si="61"/>
        <v>0.55195223422072148</v>
      </c>
      <c r="DG16" s="173"/>
      <c r="DH16" s="173">
        <f t="shared" si="62"/>
        <v>1.3488532386977903</v>
      </c>
      <c r="DI16" s="545">
        <f t="shared" si="63"/>
        <v>110.03849999999996</v>
      </c>
      <c r="DJ16" s="528">
        <f t="shared" si="64"/>
        <v>0.34987754285999911</v>
      </c>
      <c r="DL16" s="173">
        <f t="shared" si="65"/>
        <v>1.2734654631022726</v>
      </c>
      <c r="DM16" s="173">
        <f t="shared" si="66"/>
        <v>2.2222222222222223</v>
      </c>
      <c r="DN16" s="173">
        <f t="shared" si="67"/>
        <v>1.0628791428571429</v>
      </c>
      <c r="DP16" s="545">
        <f t="shared" si="68"/>
        <v>110</v>
      </c>
      <c r="DQ16" s="460">
        <f t="shared" si="69"/>
        <v>110.03849999999996</v>
      </c>
      <c r="DS16">
        <f t="shared" si="116"/>
        <v>110</v>
      </c>
      <c r="DT16" s="460">
        <f t="shared" si="70"/>
        <v>110.03849999999996</v>
      </c>
      <c r="DU16" s="460"/>
      <c r="DV16" s="5">
        <f t="shared" si="117"/>
        <v>9.087728385974005</v>
      </c>
      <c r="DW16" s="5">
        <f t="shared" si="71"/>
        <v>0.92592592592592615</v>
      </c>
      <c r="DX16" s="5">
        <f t="shared" si="118"/>
        <v>8.1618024600480794</v>
      </c>
      <c r="DY16" s="173">
        <f t="shared" si="119"/>
        <v>0.10188749999999996</v>
      </c>
      <c r="EA16" s="5">
        <f t="shared" si="72"/>
        <v>0.42438271604938282</v>
      </c>
      <c r="EB16" s="5">
        <f t="shared" si="73"/>
        <v>5.6584362139917715E-2</v>
      </c>
      <c r="EC16" s="5">
        <f t="shared" si="74"/>
        <v>0.74816522550440712</v>
      </c>
      <c r="ED16" s="5"/>
      <c r="EE16" s="173">
        <f t="shared" si="120"/>
        <v>0.40953149986626913</v>
      </c>
      <c r="EF16" s="173">
        <f t="shared" si="75"/>
        <v>0.8109947882216223</v>
      </c>
      <c r="EG16" s="173">
        <f t="shared" si="76"/>
        <v>8.1209072712462443E-2</v>
      </c>
      <c r="EH16" s="173"/>
      <c r="EI16" s="528">
        <f t="shared" si="77"/>
        <v>6.7086419753086407E-3</v>
      </c>
      <c r="EJ16" s="528">
        <f t="shared" si="78"/>
        <v>0.27217650066749999</v>
      </c>
      <c r="EK16" s="528">
        <f t="shared" si="79"/>
        <v>2.2007699999999988E-2</v>
      </c>
      <c r="EL16" s="528">
        <f t="shared" si="80"/>
        <v>3.1546724943300936E-2</v>
      </c>
      <c r="EM16">
        <f t="shared" si="81"/>
        <v>1.0800000000000001E-2</v>
      </c>
      <c r="EN16" s="460">
        <f t="shared" si="121"/>
        <v>32.80769999999999</v>
      </c>
      <c r="EO16">
        <f t="shared" si="82"/>
        <v>0.34560178094221722</v>
      </c>
      <c r="EP16" s="460">
        <f t="shared" si="122"/>
        <v>345.6017809422172</v>
      </c>
      <c r="EQ16" s="173">
        <f t="shared" si="83"/>
        <v>9.5479999999999995E-2</v>
      </c>
      <c r="ER16" s="173">
        <f t="shared" si="84"/>
        <v>6.8200000000000005E-3</v>
      </c>
      <c r="ES16" s="528"/>
      <c r="EU16" s="460">
        <f t="shared" si="123"/>
        <v>102.3</v>
      </c>
      <c r="EV16" s="528">
        <f t="shared" si="85"/>
        <v>5.0314814814814797E-3</v>
      </c>
      <c r="EW16" s="528">
        <f t="shared" si="124"/>
        <v>1.9731376395679019E-2</v>
      </c>
      <c r="EX16" s="528">
        <f t="shared" si="86"/>
        <v>3.2974567454090064E-5</v>
      </c>
      <c r="EY16" s="528">
        <f t="shared" si="87"/>
        <v>4.6752019347467005E-2</v>
      </c>
      <c r="EZ16" s="528">
        <f t="shared" si="88"/>
        <v>7.7652889020789068E-2</v>
      </c>
      <c r="FA16" s="625">
        <f t="shared" si="89"/>
        <v>0.10867999999999998</v>
      </c>
      <c r="FB16" s="460">
        <f t="shared" si="125"/>
        <v>186.33288902078903</v>
      </c>
      <c r="FC16" s="173">
        <f t="shared" si="126"/>
        <v>0.63423466996300626</v>
      </c>
      <c r="FD16" s="5">
        <f t="shared" si="127"/>
        <v>2.8380000000000001</v>
      </c>
      <c r="FE16" s="173">
        <f t="shared" si="128"/>
        <v>0.81734106987366628</v>
      </c>
      <c r="FF16" s="5">
        <f t="shared" si="129"/>
        <v>81.73410698736663</v>
      </c>
      <c r="FG16">
        <f t="shared" si="130"/>
        <v>11</v>
      </c>
      <c r="FI16" s="562">
        <f t="shared" si="90"/>
        <v>-50</v>
      </c>
      <c r="FJ16">
        <f t="shared" si="91"/>
        <v>-50</v>
      </c>
      <c r="FL16">
        <f t="shared" si="92"/>
        <v>0.14903037530004301</v>
      </c>
    </row>
    <row r="17" spans="5:168">
      <c r="E17" s="170">
        <v>12</v>
      </c>
      <c r="F17" s="217">
        <f t="shared" si="131"/>
        <v>0.12</v>
      </c>
      <c r="G17" s="217">
        <f t="shared" si="93"/>
        <v>1.2E-2</v>
      </c>
      <c r="H17" s="217">
        <f t="shared" si="0"/>
        <v>2.88</v>
      </c>
      <c r="I17" s="217">
        <f t="shared" si="132"/>
        <v>0.216</v>
      </c>
      <c r="J17" s="541">
        <f t="shared" si="1"/>
        <v>23.901251807891633</v>
      </c>
      <c r="K17" s="443">
        <f t="shared" si="2"/>
        <v>16.489669472300989</v>
      </c>
      <c r="L17" s="172">
        <f t="shared" si="3"/>
        <v>40.390921280192622</v>
      </c>
      <c r="M17" s="443"/>
      <c r="N17" s="217">
        <f t="shared" si="4"/>
        <v>0.40825187813647096</v>
      </c>
      <c r="O17" s="172">
        <f t="shared" si="94"/>
        <v>50.427550079506361</v>
      </c>
      <c r="P17" s="172">
        <f t="shared" si="5"/>
        <v>4.0657212251602006</v>
      </c>
      <c r="Q17" s="217">
        <f t="shared" si="6"/>
        <v>2.1011479199794318</v>
      </c>
      <c r="R17" s="217">
        <f t="shared" si="7"/>
        <v>2.8015305599725755</v>
      </c>
      <c r="S17" s="443">
        <f t="shared" si="8"/>
        <v>24</v>
      </c>
      <c r="T17" s="217">
        <f t="shared" si="9"/>
        <v>0.63457375877962241</v>
      </c>
      <c r="U17" s="217">
        <f t="shared" si="10"/>
        <v>0.26549812699354147</v>
      </c>
      <c r="V17" s="217">
        <f t="shared" si="11"/>
        <v>0.3848310967333618</v>
      </c>
      <c r="W17" s="197">
        <f t="shared" si="12"/>
        <v>350</v>
      </c>
      <c r="X17" s="443">
        <f t="shared" si="95"/>
        <v>350</v>
      </c>
      <c r="Z17" s="217">
        <f t="shared" si="13"/>
        <v>2.7879231258241366</v>
      </c>
      <c r="AA17" s="173">
        <f t="shared" si="14"/>
        <v>1.6907089196100828</v>
      </c>
      <c r="AB17" s="173">
        <f t="shared" si="15"/>
        <v>0.55019104924771167</v>
      </c>
      <c r="AC17" s="173"/>
      <c r="AD17" s="173">
        <f t="shared" si="16"/>
        <v>1.3476450974078444</v>
      </c>
      <c r="AE17" s="545">
        <f t="shared" si="17"/>
        <v>120.14961564525156</v>
      </c>
      <c r="AF17" s="528">
        <f t="shared" si="18"/>
        <v>0.34956416443317928</v>
      </c>
      <c r="AH17" s="173">
        <f t="shared" si="19"/>
        <v>1.3300912965442848</v>
      </c>
      <c r="AI17" s="173">
        <f t="shared" si="20"/>
        <v>2.2222222222222223</v>
      </c>
      <c r="AJ17" s="173">
        <f t="shared" si="21"/>
        <v>1.068656923225858</v>
      </c>
      <c r="AL17" s="545">
        <f t="shared" si="22"/>
        <v>120</v>
      </c>
      <c r="AM17" s="460">
        <f t="shared" si="23"/>
        <v>120.14961564525156</v>
      </c>
      <c r="AO17">
        <f t="shared" si="96"/>
        <v>120</v>
      </c>
      <c r="AP17" s="460">
        <f t="shared" si="24"/>
        <v>120.14961564525156</v>
      </c>
      <c r="AQ17" s="460"/>
      <c r="AR17" s="5">
        <f t="shared" si="97"/>
        <v>8.3229562960280763</v>
      </c>
      <c r="AS17" s="5">
        <f t="shared" si="25"/>
        <v>0.92975139548485786</v>
      </c>
      <c r="AT17" s="5">
        <f t="shared" si="98"/>
        <v>7.3932049005432185</v>
      </c>
      <c r="AU17" s="173">
        <f t="shared" si="99"/>
        <v>0.11170927281314195</v>
      </c>
      <c r="AW17" s="5">
        <f t="shared" si="26"/>
        <v>0.46487569774242887</v>
      </c>
      <c r="AX17" s="5">
        <f t="shared" si="27"/>
        <v>6.1983426365657193E-2</v>
      </c>
      <c r="AY17" s="5">
        <f t="shared" si="28"/>
        <v>0.74237499792563877</v>
      </c>
      <c r="AZ17" s="5"/>
      <c r="BA17" s="173">
        <f t="shared" si="100"/>
        <v>0.42881648364673119</v>
      </c>
      <c r="BB17" s="173">
        <f t="shared" si="29"/>
        <v>0.80654807140398543</v>
      </c>
      <c r="BC17" s="173">
        <f t="shared" si="30"/>
        <v>8.0763800123020701E-2</v>
      </c>
      <c r="BD17" s="173"/>
      <c r="BE17" s="528">
        <f t="shared" si="31"/>
        <v>7.3553430658858908E-3</v>
      </c>
      <c r="BF17" s="528">
        <f t="shared" si="32"/>
        <v>0.24264768336863779</v>
      </c>
      <c r="BG17" s="528">
        <f t="shared" si="33"/>
        <v>0.11486904872634214</v>
      </c>
      <c r="BH17" s="528">
        <f t="shared" si="34"/>
        <v>3.4302672172173129E-2</v>
      </c>
      <c r="BI17">
        <f t="shared" si="35"/>
        <v>1.0755563313551235E-2</v>
      </c>
      <c r="BJ17" s="460">
        <f t="shared" si="101"/>
        <v>125.62461203989336</v>
      </c>
      <c r="BK17">
        <f t="shared" si="36"/>
        <v>0.28679284888115164</v>
      </c>
      <c r="BL17" s="460">
        <f t="shared" si="102"/>
        <v>286.79284888115166</v>
      </c>
      <c r="BM17" s="173">
        <f t="shared" si="37"/>
        <v>0.10415999999999999</v>
      </c>
      <c r="BN17" s="173">
        <f t="shared" si="38"/>
        <v>7.4400000000000004E-3</v>
      </c>
      <c r="BO17" s="528"/>
      <c r="BQ17" s="460">
        <f t="shared" si="103"/>
        <v>111.6</v>
      </c>
      <c r="BR17" s="528">
        <f t="shared" si="39"/>
        <v>5.5165072994144181E-3</v>
      </c>
      <c r="BS17" s="528">
        <f t="shared" si="104"/>
        <v>1.9515593744564654E-2</v>
      </c>
      <c r="BT17" s="528">
        <f t="shared" si="40"/>
        <v>3.2613957051556197E-5</v>
      </c>
      <c r="BU17" s="528">
        <f t="shared" si="41"/>
        <v>5.8243127115897249E-2</v>
      </c>
      <c r="BV17" s="528">
        <f t="shared" si="42"/>
        <v>8.9502842776853928E-2</v>
      </c>
      <c r="BW17" s="625">
        <f t="shared" si="43"/>
        <v>0.11866628705703862</v>
      </c>
      <c r="BX17" s="460">
        <f t="shared" si="105"/>
        <v>208.16912983389255</v>
      </c>
      <c r="BY17" s="173">
        <f t="shared" si="106"/>
        <v>0.60656197871504414</v>
      </c>
      <c r="BZ17" s="5">
        <f t="shared" si="107"/>
        <v>3.0960000000000001</v>
      </c>
      <c r="CA17" s="173">
        <f t="shared" si="108"/>
        <v>0.83617776496328944</v>
      </c>
      <c r="CB17" s="5">
        <f t="shared" si="109"/>
        <v>83.617776496328943</v>
      </c>
      <c r="CC17">
        <f t="shared" si="110"/>
        <v>12</v>
      </c>
      <c r="CE17" s="562">
        <f t="shared" si="44"/>
        <v>-50</v>
      </c>
      <c r="CF17">
        <f t="shared" si="45"/>
        <v>-50</v>
      </c>
      <c r="CG17" s="173">
        <f t="shared" si="46"/>
        <v>0.16257859123641055</v>
      </c>
      <c r="CH17" s="173">
        <f t="shared" si="47"/>
        <v>4.4313424085961187E-2</v>
      </c>
      <c r="CI17" s="170">
        <v>12</v>
      </c>
      <c r="CJ17" s="217">
        <f t="shared" si="133"/>
        <v>0.12</v>
      </c>
      <c r="CK17" s="217">
        <f t="shared" si="111"/>
        <v>1.2E-2</v>
      </c>
      <c r="CL17" s="217">
        <f t="shared" si="48"/>
        <v>2.88</v>
      </c>
      <c r="CM17" s="217">
        <f t="shared" si="134"/>
        <v>0.216</v>
      </c>
      <c r="CN17" s="541">
        <f t="shared" si="112"/>
        <v>24</v>
      </c>
      <c r="CO17" s="443">
        <f t="shared" si="49"/>
        <v>16.474900000000002</v>
      </c>
      <c r="CP17" s="443">
        <f t="shared" si="50"/>
        <v>40.474900000000005</v>
      </c>
      <c r="CQ17" s="443"/>
      <c r="CR17" s="217">
        <f t="shared" si="113"/>
        <v>0.40507913686898112</v>
      </c>
      <c r="CS17" s="172">
        <f t="shared" si="114"/>
        <v>50.242373565144938</v>
      </c>
      <c r="CT17" s="172">
        <f t="shared" si="51"/>
        <v>4.0507913686898105</v>
      </c>
      <c r="CU17" s="217">
        <f t="shared" si="52"/>
        <v>2.0934322318810392</v>
      </c>
      <c r="CV17" s="217">
        <f t="shared" si="53"/>
        <v>2.7912429758413855</v>
      </c>
      <c r="CW17" s="443">
        <f t="shared" si="54"/>
        <v>24</v>
      </c>
      <c r="CX17" s="217">
        <f t="shared" si="55"/>
        <v>0.63691258452406452</v>
      </c>
      <c r="CY17" s="217">
        <f t="shared" si="56"/>
        <v>0.2653802435516936</v>
      </c>
      <c r="CZ17" s="217">
        <f t="shared" si="57"/>
        <v>0.386595721081199</v>
      </c>
      <c r="DA17" s="197">
        <f t="shared" si="58"/>
        <v>350</v>
      </c>
      <c r="DB17" s="443">
        <f t="shared" si="115"/>
        <v>350</v>
      </c>
      <c r="DD17" s="217">
        <f t="shared" si="59"/>
        <v>2.7911308701724487</v>
      </c>
      <c r="DE17" s="173">
        <f t="shared" si="60"/>
        <v>1.6941716612376698</v>
      </c>
      <c r="DF17" s="173">
        <f t="shared" si="61"/>
        <v>0.55195223422072148</v>
      </c>
      <c r="DG17" s="173"/>
      <c r="DH17" s="173">
        <f t="shared" si="62"/>
        <v>1.3488532386977903</v>
      </c>
      <c r="DI17" s="545">
        <f t="shared" si="63"/>
        <v>120.04199999999996</v>
      </c>
      <c r="DJ17" s="528">
        <f t="shared" si="64"/>
        <v>0.34987754285999911</v>
      </c>
      <c r="DL17" s="173">
        <f t="shared" si="65"/>
        <v>1.3300912965442848</v>
      </c>
      <c r="DM17" s="173">
        <f t="shared" si="66"/>
        <v>2.2222222222222223</v>
      </c>
      <c r="DN17" s="173">
        <f t="shared" si="67"/>
        <v>1.0685954285714285</v>
      </c>
      <c r="DP17" s="545">
        <f t="shared" si="68"/>
        <v>120</v>
      </c>
      <c r="DQ17" s="460">
        <f t="shared" si="69"/>
        <v>120.04199999999996</v>
      </c>
      <c r="DS17">
        <f t="shared" si="116"/>
        <v>120</v>
      </c>
      <c r="DT17" s="460">
        <f t="shared" si="70"/>
        <v>120.04199999999996</v>
      </c>
      <c r="DU17" s="460"/>
      <c r="DV17" s="5">
        <f t="shared" si="117"/>
        <v>8.3304176871428357</v>
      </c>
      <c r="DW17" s="5">
        <f t="shared" si="71"/>
        <v>0.92592592592592615</v>
      </c>
      <c r="DX17" s="5">
        <f t="shared" si="118"/>
        <v>7.4044917612169092</v>
      </c>
      <c r="DY17" s="173">
        <f t="shared" si="119"/>
        <v>0.11115</v>
      </c>
      <c r="EA17" s="5">
        <f t="shared" si="72"/>
        <v>0.46296296296296302</v>
      </c>
      <c r="EB17" s="5">
        <f t="shared" si="73"/>
        <v>6.1728395061728412E-2</v>
      </c>
      <c r="EC17" s="5">
        <f t="shared" si="74"/>
        <v>0.74044917612169081</v>
      </c>
      <c r="ED17" s="5"/>
      <c r="EE17" s="173">
        <f t="shared" si="120"/>
        <v>0.42774170122044797</v>
      </c>
      <c r="EF17" s="173">
        <f t="shared" si="75"/>
        <v>0.80680193504157605</v>
      </c>
      <c r="EG17" s="173">
        <f t="shared" si="76"/>
        <v>8.0789220792676725E-2</v>
      </c>
      <c r="EH17" s="173"/>
      <c r="EI17" s="528">
        <f t="shared" si="77"/>
        <v>7.3185185185185185E-3</v>
      </c>
      <c r="EJ17" s="528">
        <f t="shared" si="78"/>
        <v>0.29691981890999997</v>
      </c>
      <c r="EK17" s="528">
        <f t="shared" si="79"/>
        <v>2.4008399999999992E-2</v>
      </c>
      <c r="EL17" s="528">
        <f t="shared" si="80"/>
        <v>3.4414609029055569E-2</v>
      </c>
      <c r="EM17">
        <f t="shared" si="81"/>
        <v>1.0800000000000001E-2</v>
      </c>
      <c r="EN17" s="460">
        <f t="shared" si="121"/>
        <v>34.808399999999992</v>
      </c>
      <c r="EO17">
        <f t="shared" si="82"/>
        <v>0.37609132413929336</v>
      </c>
      <c r="EP17" s="460">
        <f t="shared" si="122"/>
        <v>376.09132413929336</v>
      </c>
      <c r="EQ17" s="173">
        <f t="shared" si="83"/>
        <v>0.10415999999999999</v>
      </c>
      <c r="ER17" s="173">
        <f t="shared" si="84"/>
        <v>7.4400000000000004E-3</v>
      </c>
      <c r="ES17" s="528"/>
      <c r="EU17" s="460">
        <f t="shared" si="123"/>
        <v>111.6</v>
      </c>
      <c r="EV17" s="528">
        <f t="shared" si="85"/>
        <v>5.4888888888888886E-3</v>
      </c>
      <c r="EW17" s="528">
        <f t="shared" si="124"/>
        <v>1.9527880871604945E-2</v>
      </c>
      <c r="EX17" s="528">
        <f t="shared" si="86"/>
        <v>3.2634490981439349E-5</v>
      </c>
      <c r="EY17" s="528">
        <f t="shared" si="87"/>
        <v>5.8112796656784649E-2</v>
      </c>
      <c r="EZ17" s="528">
        <f t="shared" si="88"/>
        <v>8.9353117317158559E-2</v>
      </c>
      <c r="FA17" s="625">
        <f t="shared" si="89"/>
        <v>0.11855999999999998</v>
      </c>
      <c r="FB17" s="460">
        <f t="shared" si="125"/>
        <v>207.91311731715857</v>
      </c>
      <c r="FC17" s="173">
        <f t="shared" si="126"/>
        <v>0.69560444145645195</v>
      </c>
      <c r="FD17" s="5">
        <f t="shared" si="127"/>
        <v>3.0960000000000001</v>
      </c>
      <c r="FE17" s="173">
        <f t="shared" si="128"/>
        <v>0.81654087281603338</v>
      </c>
      <c r="FF17" s="5">
        <f t="shared" si="129"/>
        <v>81.654087281603339</v>
      </c>
      <c r="FG17">
        <f t="shared" si="130"/>
        <v>12</v>
      </c>
      <c r="FI17" s="562">
        <f t="shared" si="90"/>
        <v>-50</v>
      </c>
      <c r="FJ17">
        <f t="shared" si="91"/>
        <v>-50</v>
      </c>
      <c r="FL17">
        <f t="shared" si="92"/>
        <v>0.16257859123641055</v>
      </c>
    </row>
    <row r="18" spans="5:168">
      <c r="E18" s="170">
        <v>13</v>
      </c>
      <c r="F18" s="217">
        <f t="shared" si="131"/>
        <v>0.13</v>
      </c>
      <c r="G18" s="217">
        <f t="shared" si="93"/>
        <v>1.3000000000000001E-2</v>
      </c>
      <c r="H18" s="217">
        <f t="shared" si="0"/>
        <v>3.12</v>
      </c>
      <c r="I18" s="217">
        <f t="shared" si="132"/>
        <v>0.23400000000000001</v>
      </c>
      <c r="J18" s="541">
        <f t="shared" si="1"/>
        <v>23.901251807891633</v>
      </c>
      <c r="K18" s="443">
        <f t="shared" si="2"/>
        <v>16.489669472300989</v>
      </c>
      <c r="L18" s="172">
        <f t="shared" si="3"/>
        <v>40.390921280192622</v>
      </c>
      <c r="M18" s="443"/>
      <c r="N18" s="217">
        <f t="shared" si="4"/>
        <v>0.40825187813647096</v>
      </c>
      <c r="O18" s="172">
        <f t="shared" si="94"/>
        <v>50.427550079506361</v>
      </c>
      <c r="P18" s="172">
        <f t="shared" si="5"/>
        <v>4.0657212251602006</v>
      </c>
      <c r="Q18" s="217">
        <f t="shared" si="6"/>
        <v>2.1011479199794318</v>
      </c>
      <c r="R18" s="217">
        <f t="shared" si="7"/>
        <v>2.8015305599725755</v>
      </c>
      <c r="S18" s="443">
        <f t="shared" si="8"/>
        <v>24</v>
      </c>
      <c r="T18" s="217">
        <f t="shared" si="9"/>
        <v>0.68745490534459097</v>
      </c>
      <c r="U18" s="217">
        <f t="shared" si="10"/>
        <v>0.28762297090966993</v>
      </c>
      <c r="V18" s="217">
        <f t="shared" si="11"/>
        <v>0.41690035479447529</v>
      </c>
      <c r="W18" s="197">
        <f t="shared" si="12"/>
        <v>350</v>
      </c>
      <c r="X18" s="443">
        <f t="shared" si="95"/>
        <v>350</v>
      </c>
      <c r="Z18" s="217">
        <f t="shared" si="13"/>
        <v>2.7879231258241366</v>
      </c>
      <c r="AA18" s="173">
        <f t="shared" si="14"/>
        <v>1.6907089196100828</v>
      </c>
      <c r="AB18" s="173">
        <f t="shared" si="15"/>
        <v>0.55019104924771167</v>
      </c>
      <c r="AC18" s="173"/>
      <c r="AD18" s="173">
        <f t="shared" si="16"/>
        <v>1.3476450974078444</v>
      </c>
      <c r="AE18" s="545">
        <f t="shared" si="17"/>
        <v>130.16208361568917</v>
      </c>
      <c r="AF18" s="528">
        <f t="shared" si="18"/>
        <v>0.34956416443317928</v>
      </c>
      <c r="AH18" s="173">
        <f t="shared" si="19"/>
        <v>1.3844029141010317</v>
      </c>
      <c r="AI18" s="173">
        <f t="shared" si="20"/>
        <v>2.2222222222222223</v>
      </c>
      <c r="AJ18" s="173">
        <f t="shared" si="21"/>
        <v>1.0743783334946795</v>
      </c>
      <c r="AL18" s="545">
        <f t="shared" si="22"/>
        <v>130</v>
      </c>
      <c r="AM18" s="460">
        <f t="shared" si="23"/>
        <v>130.16208361568917</v>
      </c>
      <c r="AO18">
        <f t="shared" si="96"/>
        <v>130</v>
      </c>
      <c r="AP18" s="460">
        <f t="shared" si="24"/>
        <v>130.16208361568917</v>
      </c>
      <c r="AQ18" s="460"/>
      <c r="AR18" s="5">
        <f t="shared" si="97"/>
        <v>7.6827288886413028</v>
      </c>
      <c r="AS18" s="5">
        <f t="shared" si="25"/>
        <v>0.92975139548485786</v>
      </c>
      <c r="AT18" s="5">
        <f t="shared" si="98"/>
        <v>6.752977493156445</v>
      </c>
      <c r="AU18" s="173">
        <f t="shared" si="99"/>
        <v>0.12101837888090376</v>
      </c>
      <c r="AW18" s="5">
        <f t="shared" si="26"/>
        <v>0.50361533922096469</v>
      </c>
      <c r="AX18" s="5">
        <f t="shared" si="27"/>
        <v>6.7148711896128629E-2</v>
      </c>
      <c r="AY18" s="5">
        <f t="shared" si="28"/>
        <v>0.7345950590089847</v>
      </c>
      <c r="AZ18" s="5"/>
      <c r="BA18" s="173">
        <f t="shared" si="100"/>
        <v>0.44632634700901258</v>
      </c>
      <c r="BB18" s="173">
        <f t="shared" si="29"/>
        <v>0.8023107106609263</v>
      </c>
      <c r="BC18" s="173">
        <f t="shared" si="30"/>
        <v>8.0339491432398158E-2</v>
      </c>
      <c r="BD18" s="173"/>
      <c r="BE18" s="528">
        <f t="shared" si="31"/>
        <v>7.9682883213763808E-3</v>
      </c>
      <c r="BF18" s="528">
        <f t="shared" si="32"/>
        <v>0.26286832364935753</v>
      </c>
      <c r="BG18" s="528">
        <f t="shared" si="33"/>
        <v>0.1244414694535373</v>
      </c>
      <c r="BH18" s="528">
        <f t="shared" si="34"/>
        <v>3.7161228186520887E-2</v>
      </c>
      <c r="BI18">
        <f t="shared" si="35"/>
        <v>1.0755563313551235E-2</v>
      </c>
      <c r="BJ18" s="460">
        <f t="shared" si="101"/>
        <v>135.19703276708853</v>
      </c>
      <c r="BK18">
        <f t="shared" si="36"/>
        <v>0.31073758669592666</v>
      </c>
      <c r="BL18" s="460">
        <f t="shared" si="102"/>
        <v>310.73758669592667</v>
      </c>
      <c r="BM18" s="173">
        <f t="shared" si="37"/>
        <v>0.11284</v>
      </c>
      <c r="BN18" s="173">
        <f t="shared" si="38"/>
        <v>8.0600000000000012E-3</v>
      </c>
      <c r="BO18" s="528"/>
      <c r="BQ18" s="460">
        <f t="shared" si="103"/>
        <v>120.89999999999999</v>
      </c>
      <c r="BR18" s="528">
        <f t="shared" si="39"/>
        <v>5.9762162410322847E-3</v>
      </c>
      <c r="BS18" s="528">
        <f t="shared" si="104"/>
        <v>1.9311074293237217E-2</v>
      </c>
      <c r="BT18" s="528">
        <f t="shared" si="40"/>
        <v>3.2272169418081884E-5</v>
      </c>
      <c r="BU18" s="528">
        <f t="shared" si="41"/>
        <v>7.1145911888671073E-2</v>
      </c>
      <c r="BV18" s="528">
        <f t="shared" si="42"/>
        <v>0.10275029704835877</v>
      </c>
      <c r="BW18" s="625">
        <f t="shared" si="43"/>
        <v>0.1285551443117918</v>
      </c>
      <c r="BX18" s="460">
        <f t="shared" si="105"/>
        <v>231.30544136015058</v>
      </c>
      <c r="BY18" s="173">
        <f t="shared" si="106"/>
        <v>0.6629430280560773</v>
      </c>
      <c r="BZ18" s="5">
        <f t="shared" si="107"/>
        <v>3.3540000000000001</v>
      </c>
      <c r="CA18" s="173">
        <f t="shared" si="108"/>
        <v>0.83496329835255434</v>
      </c>
      <c r="CB18" s="5">
        <f t="shared" si="109"/>
        <v>83.496329835255438</v>
      </c>
      <c r="CC18">
        <f t="shared" si="110"/>
        <v>13</v>
      </c>
      <c r="CE18" s="562">
        <f t="shared" si="44"/>
        <v>-50</v>
      </c>
      <c r="CF18">
        <f t="shared" si="45"/>
        <v>-50</v>
      </c>
      <c r="CG18" s="173">
        <f t="shared" si="46"/>
        <v>0.17612680717277812</v>
      </c>
      <c r="CH18" s="173">
        <f t="shared" si="47"/>
        <v>4.800620942645796E-2</v>
      </c>
      <c r="CI18" s="170">
        <v>13</v>
      </c>
      <c r="CJ18" s="217">
        <f t="shared" si="133"/>
        <v>0.13</v>
      </c>
      <c r="CK18" s="217">
        <f t="shared" si="111"/>
        <v>1.3000000000000001E-2</v>
      </c>
      <c r="CL18" s="217">
        <f t="shared" si="48"/>
        <v>3.12</v>
      </c>
      <c r="CM18" s="217">
        <f t="shared" si="134"/>
        <v>0.23400000000000001</v>
      </c>
      <c r="CN18" s="541">
        <f t="shared" si="112"/>
        <v>24</v>
      </c>
      <c r="CO18" s="443">
        <f t="shared" si="49"/>
        <v>16.474900000000002</v>
      </c>
      <c r="CP18" s="443">
        <f t="shared" si="50"/>
        <v>40.474900000000005</v>
      </c>
      <c r="CQ18" s="443"/>
      <c r="CR18" s="217">
        <f t="shared" si="113"/>
        <v>0.40507913686898112</v>
      </c>
      <c r="CS18" s="172">
        <f t="shared" si="114"/>
        <v>50.242373565144938</v>
      </c>
      <c r="CT18" s="172">
        <f t="shared" si="51"/>
        <v>4.0507913686898105</v>
      </c>
      <c r="CU18" s="217">
        <f t="shared" si="52"/>
        <v>2.0934322318810392</v>
      </c>
      <c r="CV18" s="217">
        <f t="shared" si="53"/>
        <v>2.7912429758413855</v>
      </c>
      <c r="CW18" s="443">
        <f t="shared" si="54"/>
        <v>24</v>
      </c>
      <c r="CX18" s="217">
        <f t="shared" si="55"/>
        <v>0.68998863323440318</v>
      </c>
      <c r="CY18" s="217">
        <f t="shared" si="56"/>
        <v>0.28749526384766805</v>
      </c>
      <c r="CZ18" s="217">
        <f t="shared" si="57"/>
        <v>0.41881203117129884</v>
      </c>
      <c r="DA18" s="197">
        <f t="shared" si="58"/>
        <v>350</v>
      </c>
      <c r="DB18" s="443">
        <f t="shared" si="115"/>
        <v>350</v>
      </c>
      <c r="DD18" s="217">
        <f t="shared" si="59"/>
        <v>2.7911308701724487</v>
      </c>
      <c r="DE18" s="173">
        <f t="shared" si="60"/>
        <v>1.6941716612376698</v>
      </c>
      <c r="DF18" s="173">
        <f t="shared" si="61"/>
        <v>0.55195223422072148</v>
      </c>
      <c r="DG18" s="173"/>
      <c r="DH18" s="173">
        <f t="shared" si="62"/>
        <v>1.3488532386977903</v>
      </c>
      <c r="DI18" s="545">
        <f t="shared" si="63"/>
        <v>130.04549999999995</v>
      </c>
      <c r="DJ18" s="528">
        <f t="shared" si="64"/>
        <v>0.34987754285999911</v>
      </c>
      <c r="DL18" s="173">
        <f t="shared" si="65"/>
        <v>1.3844029141010317</v>
      </c>
      <c r="DM18" s="173">
        <f t="shared" si="66"/>
        <v>2.2222222222222223</v>
      </c>
      <c r="DN18" s="173">
        <f t="shared" si="67"/>
        <v>1.0743117142857144</v>
      </c>
      <c r="DP18" s="545">
        <f t="shared" si="68"/>
        <v>130</v>
      </c>
      <c r="DQ18" s="460">
        <f t="shared" si="69"/>
        <v>130.04549999999995</v>
      </c>
      <c r="DS18">
        <f t="shared" si="116"/>
        <v>130</v>
      </c>
      <c r="DT18" s="460">
        <f t="shared" si="70"/>
        <v>130.04549999999995</v>
      </c>
      <c r="DU18" s="460"/>
      <c r="DV18" s="5">
        <f t="shared" si="117"/>
        <v>7.6896163265933879</v>
      </c>
      <c r="DW18" s="5">
        <f t="shared" si="71"/>
        <v>0.92592592592592615</v>
      </c>
      <c r="DX18" s="5">
        <f t="shared" si="118"/>
        <v>6.7636904006674614</v>
      </c>
      <c r="DY18" s="173">
        <f t="shared" si="119"/>
        <v>0.12041249999999998</v>
      </c>
      <c r="EA18" s="5">
        <f t="shared" si="72"/>
        <v>0.50154320987654333</v>
      </c>
      <c r="EB18" s="5">
        <f t="shared" si="73"/>
        <v>6.6872427983539123E-2</v>
      </c>
      <c r="EC18" s="5">
        <f t="shared" si="74"/>
        <v>0.73273312673897495</v>
      </c>
      <c r="ED18" s="5"/>
      <c r="EE18" s="173">
        <f t="shared" si="120"/>
        <v>0.44520767799220379</v>
      </c>
      <c r="EF18" s="173">
        <f t="shared" si="75"/>
        <v>0.80258717797571921</v>
      </c>
      <c r="EG18" s="173">
        <f t="shared" si="76"/>
        <v>8.0367175524325388E-2</v>
      </c>
      <c r="EH18" s="173"/>
      <c r="EI18" s="528">
        <f t="shared" si="77"/>
        <v>7.9283950617283928E-3</v>
      </c>
      <c r="EJ18" s="528">
        <f t="shared" si="78"/>
        <v>0.32166313715249994</v>
      </c>
      <c r="EK18" s="528">
        <f t="shared" si="79"/>
        <v>2.6009099999999986E-2</v>
      </c>
      <c r="EL18" s="528">
        <f t="shared" si="80"/>
        <v>3.7282493114810196E-2</v>
      </c>
      <c r="EM18">
        <f t="shared" si="81"/>
        <v>1.0800000000000001E-2</v>
      </c>
      <c r="EN18" s="460">
        <f t="shared" si="121"/>
        <v>36.809099999999987</v>
      </c>
      <c r="EO18">
        <f t="shared" si="82"/>
        <v>0.40658972028959045</v>
      </c>
      <c r="EP18" s="460">
        <f t="shared" si="122"/>
        <v>406.58972028959045</v>
      </c>
      <c r="EQ18" s="173">
        <f t="shared" si="83"/>
        <v>0.11284</v>
      </c>
      <c r="ER18" s="173">
        <f t="shared" si="84"/>
        <v>8.0600000000000012E-3</v>
      </c>
      <c r="ES18" s="528"/>
      <c r="EU18" s="460">
        <f t="shared" si="123"/>
        <v>120.89999999999999</v>
      </c>
      <c r="EV18" s="528">
        <f t="shared" si="85"/>
        <v>5.9462962962962941E-3</v>
      </c>
      <c r="EW18" s="528">
        <f t="shared" si="124"/>
        <v>1.9324385347530865E-2</v>
      </c>
      <c r="EX18" s="528">
        <f t="shared" si="86"/>
        <v>3.2294414508788628E-5</v>
      </c>
      <c r="EY18" s="528">
        <f t="shared" si="87"/>
        <v>7.0986708909374016E-2</v>
      </c>
      <c r="EZ18" s="528">
        <f t="shared" si="88"/>
        <v>0.10257002537341671</v>
      </c>
      <c r="FA18" s="625">
        <f t="shared" si="89"/>
        <v>0.12843999999999997</v>
      </c>
      <c r="FB18" s="460">
        <f t="shared" si="125"/>
        <v>231.01002537341668</v>
      </c>
      <c r="FC18" s="173">
        <f t="shared" si="126"/>
        <v>0.75849974566300715</v>
      </c>
      <c r="FD18" s="5">
        <f t="shared" si="127"/>
        <v>3.3540000000000001</v>
      </c>
      <c r="FE18" s="173">
        <f t="shared" si="128"/>
        <v>0.81556236046873631</v>
      </c>
      <c r="FF18" s="5">
        <f t="shared" si="129"/>
        <v>81.556236046873636</v>
      </c>
      <c r="FG18">
        <f t="shared" si="130"/>
        <v>13</v>
      </c>
      <c r="FI18" s="562">
        <f t="shared" si="90"/>
        <v>-50</v>
      </c>
      <c r="FJ18">
        <f t="shared" si="91"/>
        <v>-50</v>
      </c>
      <c r="FL18">
        <f t="shared" si="92"/>
        <v>0.17612680717277812</v>
      </c>
    </row>
    <row r="19" spans="5:168">
      <c r="E19" s="170">
        <v>14</v>
      </c>
      <c r="F19" s="217">
        <f t="shared" si="131"/>
        <v>0.14000000000000001</v>
      </c>
      <c r="G19" s="217">
        <f t="shared" si="93"/>
        <v>1.4000000000000002E-2</v>
      </c>
      <c r="H19" s="217">
        <f t="shared" si="0"/>
        <v>3.3600000000000003</v>
      </c>
      <c r="I19" s="217">
        <f t="shared" si="132"/>
        <v>0.25200000000000006</v>
      </c>
      <c r="J19" s="541">
        <f t="shared" si="1"/>
        <v>23.901251807891633</v>
      </c>
      <c r="K19" s="443">
        <f t="shared" si="2"/>
        <v>16.489669472300989</v>
      </c>
      <c r="L19" s="172">
        <f t="shared" si="3"/>
        <v>40.390921280192622</v>
      </c>
      <c r="M19" s="443"/>
      <c r="N19" s="217">
        <f t="shared" si="4"/>
        <v>0.40825187813647096</v>
      </c>
      <c r="O19" s="172">
        <f t="shared" si="94"/>
        <v>50.427550079506361</v>
      </c>
      <c r="P19" s="172">
        <f t="shared" si="5"/>
        <v>4.0657212251602006</v>
      </c>
      <c r="Q19" s="217">
        <f t="shared" si="6"/>
        <v>2.1011479199794318</v>
      </c>
      <c r="R19" s="217">
        <f t="shared" si="7"/>
        <v>2.8015305599725755</v>
      </c>
      <c r="S19" s="443">
        <f t="shared" si="8"/>
        <v>24</v>
      </c>
      <c r="T19" s="217">
        <f t="shared" si="9"/>
        <v>0.74033605190955953</v>
      </c>
      <c r="U19" s="217">
        <f t="shared" si="10"/>
        <v>0.30974781482579833</v>
      </c>
      <c r="V19" s="217">
        <f t="shared" si="11"/>
        <v>0.44896961285558878</v>
      </c>
      <c r="W19" s="197">
        <f t="shared" si="12"/>
        <v>350</v>
      </c>
      <c r="X19" s="443">
        <f t="shared" si="95"/>
        <v>350</v>
      </c>
      <c r="Z19" s="217">
        <f t="shared" si="13"/>
        <v>2.7879231258241366</v>
      </c>
      <c r="AA19" s="173">
        <f t="shared" si="14"/>
        <v>1.6907089196100828</v>
      </c>
      <c r="AB19" s="173">
        <f t="shared" si="15"/>
        <v>0.55019104924771167</v>
      </c>
      <c r="AC19" s="173"/>
      <c r="AD19" s="173">
        <f t="shared" si="16"/>
        <v>1.3476450974078444</v>
      </c>
      <c r="AE19" s="545">
        <f t="shared" si="17"/>
        <v>140.17455158612682</v>
      </c>
      <c r="AF19" s="528">
        <f t="shared" si="18"/>
        <v>0.34956416443317928</v>
      </c>
      <c r="AH19" s="173">
        <f t="shared" si="19"/>
        <v>1.4366627996854378</v>
      </c>
      <c r="AI19" s="173">
        <f t="shared" si="20"/>
        <v>2.2222222222222223</v>
      </c>
      <c r="AJ19" s="173">
        <f t="shared" si="21"/>
        <v>1.0800997437635012</v>
      </c>
      <c r="AL19" s="545">
        <f t="shared" si="22"/>
        <v>140</v>
      </c>
      <c r="AM19" s="460">
        <f t="shared" si="23"/>
        <v>140.17455158612682</v>
      </c>
      <c r="AO19">
        <f t="shared" si="96"/>
        <v>140</v>
      </c>
      <c r="AP19" s="460">
        <f t="shared" si="24"/>
        <v>140.17455158612682</v>
      </c>
      <c r="AQ19" s="460"/>
      <c r="AR19" s="5">
        <f t="shared" si="97"/>
        <v>7.1339625394526367</v>
      </c>
      <c r="AS19" s="5">
        <f t="shared" si="25"/>
        <v>0.92975139548485786</v>
      </c>
      <c r="AT19" s="5">
        <f t="shared" si="98"/>
        <v>6.204211143967779</v>
      </c>
      <c r="AU19" s="173">
        <f t="shared" si="99"/>
        <v>0.13032748494866561</v>
      </c>
      <c r="AW19" s="5">
        <f t="shared" si="26"/>
        <v>0.54235498069950039</v>
      </c>
      <c r="AX19" s="5">
        <f t="shared" si="27"/>
        <v>7.2313997426600066E-2</v>
      </c>
      <c r="AY19" s="5">
        <f t="shared" si="28"/>
        <v>0.72681512009233029</v>
      </c>
      <c r="AZ19" s="5"/>
      <c r="BA19" s="173">
        <f t="shared" si="100"/>
        <v>0.46317473961958655</v>
      </c>
      <c r="BB19" s="173">
        <f t="shared" si="29"/>
        <v>0.79805085138541931</v>
      </c>
      <c r="BC19" s="173">
        <f t="shared" si="30"/>
        <v>7.9912929848188596E-2</v>
      </c>
      <c r="BD19" s="173"/>
      <c r="BE19" s="528">
        <f t="shared" si="31"/>
        <v>8.5812335768668726E-3</v>
      </c>
      <c r="BF19" s="528">
        <f t="shared" si="32"/>
        <v>0.28308896393007743</v>
      </c>
      <c r="BG19" s="528">
        <f t="shared" si="33"/>
        <v>0.13401389018073251</v>
      </c>
      <c r="BH19" s="528">
        <f t="shared" si="34"/>
        <v>4.0019784200868658E-2</v>
      </c>
      <c r="BI19">
        <f t="shared" si="35"/>
        <v>1.0755563313551235E-2</v>
      </c>
      <c r="BJ19" s="460">
        <f t="shared" si="101"/>
        <v>144.76945349428374</v>
      </c>
      <c r="BK19">
        <f t="shared" si="36"/>
        <v>0.33468931318165629</v>
      </c>
      <c r="BL19" s="460">
        <f t="shared" si="102"/>
        <v>334.6893131816563</v>
      </c>
      <c r="BM19" s="173">
        <f t="shared" si="37"/>
        <v>0.12152</v>
      </c>
      <c r="BN19" s="173">
        <f t="shared" si="38"/>
        <v>8.680000000000002E-3</v>
      </c>
      <c r="BO19" s="528"/>
      <c r="BQ19" s="460">
        <f t="shared" si="103"/>
        <v>130.20000000000002</v>
      </c>
      <c r="BR19" s="528">
        <f t="shared" si="39"/>
        <v>6.435925182650154E-3</v>
      </c>
      <c r="BS19" s="528">
        <f t="shared" si="104"/>
        <v>1.9106554841909776E-2</v>
      </c>
      <c r="BT19" s="528">
        <f t="shared" si="40"/>
        <v>3.1930381784607557E-5</v>
      </c>
      <c r="BU19" s="528">
        <f t="shared" si="41"/>
        <v>8.562718338344627E-2</v>
      </c>
      <c r="BV19" s="528">
        <f t="shared" si="42"/>
        <v>0.11758001545297578</v>
      </c>
      <c r="BW19" s="625">
        <f t="shared" si="43"/>
        <v>0.13844400156654507</v>
      </c>
      <c r="BX19" s="460">
        <f t="shared" si="105"/>
        <v>256.02401701952084</v>
      </c>
      <c r="BY19" s="173">
        <f t="shared" si="106"/>
        <v>0.7209133302011772</v>
      </c>
      <c r="BZ19" s="5">
        <f t="shared" si="107"/>
        <v>3.6120000000000005</v>
      </c>
      <c r="CA19" s="173">
        <f t="shared" si="108"/>
        <v>0.83361925908457868</v>
      </c>
      <c r="CB19" s="5">
        <f t="shared" si="109"/>
        <v>83.361925908457863</v>
      </c>
      <c r="CC19">
        <f t="shared" si="110"/>
        <v>14.000000000000002</v>
      </c>
      <c r="CE19" s="562">
        <f t="shared" si="44"/>
        <v>-50</v>
      </c>
      <c r="CF19">
        <f t="shared" si="45"/>
        <v>-50</v>
      </c>
      <c r="CG19" s="173">
        <f t="shared" si="46"/>
        <v>0.18967502310914564</v>
      </c>
      <c r="CH19" s="173">
        <f t="shared" si="47"/>
        <v>5.1698994766954734E-2</v>
      </c>
      <c r="CI19" s="170">
        <v>14</v>
      </c>
      <c r="CJ19" s="217">
        <f t="shared" si="133"/>
        <v>0.14000000000000001</v>
      </c>
      <c r="CK19" s="217">
        <f t="shared" si="111"/>
        <v>1.4000000000000002E-2</v>
      </c>
      <c r="CL19" s="217">
        <f t="shared" si="48"/>
        <v>3.3600000000000003</v>
      </c>
      <c r="CM19" s="217">
        <f t="shared" si="134"/>
        <v>0.25200000000000006</v>
      </c>
      <c r="CN19" s="541">
        <f t="shared" si="112"/>
        <v>24</v>
      </c>
      <c r="CO19" s="443">
        <f t="shared" si="49"/>
        <v>16.474900000000002</v>
      </c>
      <c r="CP19" s="443">
        <f t="shared" si="50"/>
        <v>40.474900000000005</v>
      </c>
      <c r="CQ19" s="443"/>
      <c r="CR19" s="217">
        <f t="shared" si="113"/>
        <v>0.40507913686898112</v>
      </c>
      <c r="CS19" s="172">
        <f t="shared" si="114"/>
        <v>50.242373565144938</v>
      </c>
      <c r="CT19" s="172">
        <f t="shared" si="51"/>
        <v>4.0507913686898105</v>
      </c>
      <c r="CU19" s="217">
        <f t="shared" si="52"/>
        <v>2.0934322318810392</v>
      </c>
      <c r="CV19" s="217">
        <f t="shared" si="53"/>
        <v>2.7912429758413855</v>
      </c>
      <c r="CW19" s="443">
        <f t="shared" si="54"/>
        <v>24</v>
      </c>
      <c r="CX19" s="217">
        <f t="shared" si="55"/>
        <v>0.74306468194474207</v>
      </c>
      <c r="CY19" s="217">
        <f t="shared" si="56"/>
        <v>0.30961028414364256</v>
      </c>
      <c r="CZ19" s="217">
        <f t="shared" si="57"/>
        <v>0.4510283412613989</v>
      </c>
      <c r="DA19" s="197">
        <f t="shared" si="58"/>
        <v>350</v>
      </c>
      <c r="DB19" s="443">
        <f t="shared" si="115"/>
        <v>350</v>
      </c>
      <c r="DD19" s="217">
        <f t="shared" si="59"/>
        <v>2.7911308701724487</v>
      </c>
      <c r="DE19" s="173">
        <f t="shared" si="60"/>
        <v>1.6941716612376698</v>
      </c>
      <c r="DF19" s="173">
        <f t="shared" si="61"/>
        <v>0.55195223422072148</v>
      </c>
      <c r="DG19" s="173"/>
      <c r="DH19" s="173">
        <f t="shared" si="62"/>
        <v>1.3488532386977903</v>
      </c>
      <c r="DI19" s="545">
        <f t="shared" si="63"/>
        <v>140.04899999999998</v>
      </c>
      <c r="DJ19" s="528">
        <f t="shared" si="64"/>
        <v>0.34987754285999911</v>
      </c>
      <c r="DL19" s="173">
        <f t="shared" si="65"/>
        <v>1.4366627996854378</v>
      </c>
      <c r="DM19" s="173">
        <f t="shared" si="66"/>
        <v>2.2222222222222223</v>
      </c>
      <c r="DN19" s="173">
        <f t="shared" si="67"/>
        <v>1.080028</v>
      </c>
      <c r="DP19" s="545">
        <f t="shared" si="68"/>
        <v>140</v>
      </c>
      <c r="DQ19" s="460">
        <f t="shared" si="69"/>
        <v>140.04899999999998</v>
      </c>
      <c r="DS19">
        <f t="shared" si="116"/>
        <v>140</v>
      </c>
      <c r="DT19" s="460">
        <f t="shared" si="70"/>
        <v>140.04899999999998</v>
      </c>
      <c r="DU19" s="460"/>
      <c r="DV19" s="5">
        <f t="shared" si="117"/>
        <v>7.1403580175510006</v>
      </c>
      <c r="DW19" s="5">
        <f t="shared" si="71"/>
        <v>0.92592592592592615</v>
      </c>
      <c r="DX19" s="5">
        <f t="shared" si="118"/>
        <v>6.2144320916250742</v>
      </c>
      <c r="DY19" s="173">
        <f t="shared" si="119"/>
        <v>0.12967500000000001</v>
      </c>
      <c r="EA19" s="5">
        <f t="shared" si="72"/>
        <v>0.54012345679012363</v>
      </c>
      <c r="EB19" s="5">
        <f t="shared" si="73"/>
        <v>7.2016460905349827E-2</v>
      </c>
      <c r="EC19" s="5">
        <f t="shared" si="74"/>
        <v>0.72501707735625864</v>
      </c>
      <c r="ED19" s="5"/>
      <c r="EE19" s="173">
        <f t="shared" si="120"/>
        <v>0.46201384191759542</v>
      </c>
      <c r="EF19" s="173">
        <f t="shared" si="75"/>
        <v>0.79835017011035103</v>
      </c>
      <c r="EG19" s="173">
        <f t="shared" si="76"/>
        <v>7.9942902169158114E-2</v>
      </c>
      <c r="EH19" s="173"/>
      <c r="EI19" s="528">
        <f t="shared" si="77"/>
        <v>8.5382716049382749E-3</v>
      </c>
      <c r="EJ19" s="528">
        <f t="shared" si="78"/>
        <v>0.34640645539500003</v>
      </c>
      <c r="EK19" s="528">
        <f t="shared" si="79"/>
        <v>2.8009799999999994E-2</v>
      </c>
      <c r="EL19" s="528">
        <f t="shared" si="80"/>
        <v>4.0150377200564837E-2</v>
      </c>
      <c r="EM19">
        <f t="shared" si="81"/>
        <v>1.0800000000000001E-2</v>
      </c>
      <c r="EN19" s="460">
        <f t="shared" si="121"/>
        <v>38.809799999999989</v>
      </c>
      <c r="EO19">
        <f t="shared" si="82"/>
        <v>0.43709697324948787</v>
      </c>
      <c r="EP19" s="460">
        <f t="shared" si="122"/>
        <v>437.09697324948786</v>
      </c>
      <c r="EQ19" s="173">
        <f t="shared" si="83"/>
        <v>0.12152</v>
      </c>
      <c r="ER19" s="173">
        <f t="shared" si="84"/>
        <v>8.680000000000002E-3</v>
      </c>
      <c r="ES19" s="528"/>
      <c r="EU19" s="460">
        <f t="shared" si="123"/>
        <v>130.20000000000002</v>
      </c>
      <c r="EV19" s="528">
        <f t="shared" si="85"/>
        <v>6.4037037037037057E-3</v>
      </c>
      <c r="EW19" s="528">
        <f t="shared" si="124"/>
        <v>1.9120889823456794E-2</v>
      </c>
      <c r="EX19" s="528">
        <f t="shared" si="86"/>
        <v>3.1954338036137926E-5</v>
      </c>
      <c r="EY19" s="528">
        <f t="shared" si="87"/>
        <v>8.5435575709279385E-2</v>
      </c>
      <c r="EZ19" s="528">
        <f t="shared" si="88"/>
        <v>0.11736565193423421</v>
      </c>
      <c r="FA19" s="625">
        <f t="shared" si="89"/>
        <v>0.13832000000000003</v>
      </c>
      <c r="FB19" s="460">
        <f t="shared" si="125"/>
        <v>255.68565193423422</v>
      </c>
      <c r="FC19" s="173">
        <f t="shared" si="126"/>
        <v>0.82298262518372212</v>
      </c>
      <c r="FD19" s="5">
        <f t="shared" si="127"/>
        <v>3.6120000000000005</v>
      </c>
      <c r="FE19" s="173">
        <f t="shared" si="128"/>
        <v>0.81443385583734296</v>
      </c>
      <c r="FF19" s="5">
        <f t="shared" si="129"/>
        <v>81.443385583734297</v>
      </c>
      <c r="FG19">
        <f t="shared" si="130"/>
        <v>14.000000000000002</v>
      </c>
      <c r="FI19" s="562">
        <f t="shared" si="90"/>
        <v>-50</v>
      </c>
      <c r="FJ19">
        <f t="shared" si="91"/>
        <v>-50</v>
      </c>
      <c r="FL19">
        <f t="shared" si="92"/>
        <v>0.18967502310914566</v>
      </c>
    </row>
    <row r="20" spans="5:168">
      <c r="E20" s="170">
        <v>15</v>
      </c>
      <c r="F20" s="217">
        <f t="shared" si="131"/>
        <v>0.15</v>
      </c>
      <c r="G20" s="217">
        <f t="shared" si="93"/>
        <v>1.4999999999999999E-2</v>
      </c>
      <c r="H20" s="217">
        <f t="shared" si="0"/>
        <v>3.5999999999999996</v>
      </c>
      <c r="I20" s="217">
        <f t="shared" si="132"/>
        <v>0.27</v>
      </c>
      <c r="J20" s="541">
        <f t="shared" si="1"/>
        <v>23.901251807891633</v>
      </c>
      <c r="K20" s="443">
        <f t="shared" si="2"/>
        <v>16.489669472300989</v>
      </c>
      <c r="L20" s="172">
        <f t="shared" si="3"/>
        <v>40.390921280192622</v>
      </c>
      <c r="M20" s="443"/>
      <c r="N20" s="217">
        <f t="shared" si="4"/>
        <v>0.40825187813647096</v>
      </c>
      <c r="O20" s="172">
        <f t="shared" si="94"/>
        <v>50.427550079506361</v>
      </c>
      <c r="P20" s="172">
        <f t="shared" si="5"/>
        <v>4.0657212251602006</v>
      </c>
      <c r="Q20" s="217">
        <f t="shared" si="6"/>
        <v>2.1011479199794318</v>
      </c>
      <c r="R20" s="217">
        <f t="shared" si="7"/>
        <v>2.8015305599725755</v>
      </c>
      <c r="S20" s="443">
        <f t="shared" si="8"/>
        <v>24</v>
      </c>
      <c r="T20" s="217">
        <f t="shared" si="9"/>
        <v>0.79321719847452787</v>
      </c>
      <c r="U20" s="217">
        <f t="shared" si="10"/>
        <v>0.33187265874192673</v>
      </c>
      <c r="V20" s="217">
        <f t="shared" si="11"/>
        <v>0.48103887091670217</v>
      </c>
      <c r="W20" s="197">
        <f t="shared" si="12"/>
        <v>350</v>
      </c>
      <c r="X20" s="443">
        <f t="shared" si="95"/>
        <v>350</v>
      </c>
      <c r="Z20" s="217">
        <f t="shared" si="13"/>
        <v>2.7879231258241366</v>
      </c>
      <c r="AA20" s="173">
        <f t="shared" si="14"/>
        <v>1.6907089196100828</v>
      </c>
      <c r="AB20" s="173">
        <f t="shared" si="15"/>
        <v>0.55019104924771167</v>
      </c>
      <c r="AC20" s="173"/>
      <c r="AD20" s="173">
        <f t="shared" si="16"/>
        <v>1.3476450974078444</v>
      </c>
      <c r="AE20" s="545">
        <f t="shared" si="17"/>
        <v>150.18701955656442</v>
      </c>
      <c r="AF20" s="528">
        <f t="shared" si="18"/>
        <v>0.34956416443317928</v>
      </c>
      <c r="AH20" s="173">
        <f t="shared" si="19"/>
        <v>1.4870872776769259</v>
      </c>
      <c r="AI20" s="173">
        <f t="shared" si="20"/>
        <v>2.2222222222222223</v>
      </c>
      <c r="AJ20" s="173">
        <f t="shared" si="21"/>
        <v>1.0858211540323226</v>
      </c>
      <c r="AL20" s="545">
        <f t="shared" si="22"/>
        <v>150</v>
      </c>
      <c r="AM20" s="460">
        <f t="shared" si="23"/>
        <v>150.18701955656442</v>
      </c>
      <c r="AO20">
        <f t="shared" si="96"/>
        <v>150</v>
      </c>
      <c r="AP20" s="460">
        <f t="shared" si="24"/>
        <v>150.18701955656442</v>
      </c>
      <c r="AQ20" s="460"/>
      <c r="AR20" s="5">
        <f t="shared" si="97"/>
        <v>6.6583650368224632</v>
      </c>
      <c r="AS20" s="5">
        <f t="shared" si="25"/>
        <v>0.92975139548485786</v>
      </c>
      <c r="AT20" s="5">
        <f t="shared" si="98"/>
        <v>5.7286136413376054</v>
      </c>
      <c r="AU20" s="173">
        <f t="shared" si="99"/>
        <v>0.13963659101642739</v>
      </c>
      <c r="AW20" s="5">
        <f t="shared" si="26"/>
        <v>0.58109462217803609</v>
      </c>
      <c r="AX20" s="5">
        <f t="shared" si="27"/>
        <v>7.7479282957071474E-2</v>
      </c>
      <c r="AY20" s="5">
        <f t="shared" si="28"/>
        <v>0.71903518117567589</v>
      </c>
      <c r="AZ20" s="5"/>
      <c r="BA20" s="173">
        <f t="shared" si="100"/>
        <v>0.47943140365325881</v>
      </c>
      <c r="BB20" s="173">
        <f t="shared" si="29"/>
        <v>0.79376813135370028</v>
      </c>
      <c r="BC20" s="173">
        <f t="shared" si="30"/>
        <v>7.9484079099066463E-2</v>
      </c>
      <c r="BD20" s="173"/>
      <c r="BE20" s="528">
        <f t="shared" si="31"/>
        <v>9.1941788323573592E-3</v>
      </c>
      <c r="BF20" s="528">
        <f t="shared" si="32"/>
        <v>0.30330960421079717</v>
      </c>
      <c r="BG20" s="528">
        <f t="shared" si="33"/>
        <v>0.14358631090792764</v>
      </c>
      <c r="BH20" s="528">
        <f t="shared" si="34"/>
        <v>4.2878340215216401E-2</v>
      </c>
      <c r="BI20">
        <f t="shared" si="35"/>
        <v>1.0755563313551235E-2</v>
      </c>
      <c r="BJ20" s="460">
        <f t="shared" si="101"/>
        <v>154.34187422147889</v>
      </c>
      <c r="BK20">
        <f t="shared" si="36"/>
        <v>0.35864803139842688</v>
      </c>
      <c r="BL20" s="460">
        <f t="shared" si="102"/>
        <v>358.64803139842689</v>
      </c>
      <c r="BM20" s="173">
        <f t="shared" si="37"/>
        <v>0.13019999999999998</v>
      </c>
      <c r="BN20" s="173">
        <f t="shared" si="38"/>
        <v>9.2999999999999992E-3</v>
      </c>
      <c r="BO20" s="528"/>
      <c r="BQ20" s="460">
        <f t="shared" si="103"/>
        <v>139.49999999999997</v>
      </c>
      <c r="BR20" s="528">
        <f t="shared" si="39"/>
        <v>6.8956341242680189E-3</v>
      </c>
      <c r="BS20" s="528">
        <f t="shared" si="104"/>
        <v>1.8902035390582352E-2</v>
      </c>
      <c r="BT20" s="528">
        <f t="shared" si="40"/>
        <v>3.1588594151133271E-5</v>
      </c>
      <c r="BU20" s="528">
        <f t="shared" si="41"/>
        <v>0.10174655582289643</v>
      </c>
      <c r="BV20" s="528">
        <f t="shared" si="42"/>
        <v>0.13405183262885473</v>
      </c>
      <c r="BW20" s="625">
        <f t="shared" si="43"/>
        <v>0.14833285882129824</v>
      </c>
      <c r="BX20" s="460">
        <f t="shared" si="105"/>
        <v>282.38469145015301</v>
      </c>
      <c r="BY20" s="173">
        <f t="shared" si="106"/>
        <v>0.78053272284857977</v>
      </c>
      <c r="BZ20" s="5">
        <f t="shared" si="107"/>
        <v>3.8699999999999997</v>
      </c>
      <c r="CA20" s="173">
        <f t="shared" si="108"/>
        <v>0.83216272858080609</v>
      </c>
      <c r="CB20" s="5">
        <f t="shared" si="109"/>
        <v>83.216272858080615</v>
      </c>
      <c r="CC20">
        <f t="shared" si="110"/>
        <v>15</v>
      </c>
      <c r="CE20" s="562">
        <f t="shared" si="44"/>
        <v>-50</v>
      </c>
      <c r="CF20">
        <f t="shared" si="45"/>
        <v>-50</v>
      </c>
      <c r="CG20" s="173">
        <f t="shared" si="46"/>
        <v>0.20322323904551318</v>
      </c>
      <c r="CH20" s="173">
        <f t="shared" si="47"/>
        <v>5.5391780107451487E-2</v>
      </c>
      <c r="CI20" s="170">
        <v>15</v>
      </c>
      <c r="CJ20" s="217">
        <f t="shared" si="133"/>
        <v>0.15</v>
      </c>
      <c r="CK20" s="217">
        <f t="shared" si="111"/>
        <v>1.4999999999999999E-2</v>
      </c>
      <c r="CL20" s="217">
        <f t="shared" si="48"/>
        <v>3.5999999999999996</v>
      </c>
      <c r="CM20" s="217">
        <f t="shared" si="134"/>
        <v>0.27</v>
      </c>
      <c r="CN20" s="541">
        <f t="shared" si="112"/>
        <v>24</v>
      </c>
      <c r="CO20" s="443">
        <f t="shared" si="49"/>
        <v>16.474900000000002</v>
      </c>
      <c r="CP20" s="443">
        <f t="shared" si="50"/>
        <v>40.474900000000005</v>
      </c>
      <c r="CQ20" s="443"/>
      <c r="CR20" s="217">
        <f t="shared" si="113"/>
        <v>0.40507913686898112</v>
      </c>
      <c r="CS20" s="172">
        <f t="shared" si="114"/>
        <v>50.242373565144938</v>
      </c>
      <c r="CT20" s="172">
        <f t="shared" si="51"/>
        <v>4.0507913686898105</v>
      </c>
      <c r="CU20" s="217">
        <f t="shared" si="52"/>
        <v>2.0934322318810392</v>
      </c>
      <c r="CV20" s="217">
        <f t="shared" si="53"/>
        <v>2.7912429758413855</v>
      </c>
      <c r="CW20" s="443">
        <f t="shared" si="54"/>
        <v>24</v>
      </c>
      <c r="CX20" s="217">
        <f t="shared" si="55"/>
        <v>0.79614073065508051</v>
      </c>
      <c r="CY20" s="217">
        <f t="shared" si="56"/>
        <v>0.3317253044396169</v>
      </c>
      <c r="CZ20" s="217">
        <f t="shared" si="57"/>
        <v>0.48324465135149863</v>
      </c>
      <c r="DA20" s="197">
        <f t="shared" si="58"/>
        <v>350</v>
      </c>
      <c r="DB20" s="443">
        <f t="shared" si="115"/>
        <v>350</v>
      </c>
      <c r="DD20" s="217">
        <f t="shared" si="59"/>
        <v>2.7911308701724487</v>
      </c>
      <c r="DE20" s="173">
        <f t="shared" si="60"/>
        <v>1.6941716612376698</v>
      </c>
      <c r="DF20" s="173">
        <f t="shared" si="61"/>
        <v>0.55195223422072148</v>
      </c>
      <c r="DG20" s="173"/>
      <c r="DH20" s="173">
        <f t="shared" si="62"/>
        <v>1.3488532386977903</v>
      </c>
      <c r="DI20" s="545">
        <f t="shared" si="63"/>
        <v>150.05249999999995</v>
      </c>
      <c r="DJ20" s="528">
        <f t="shared" si="64"/>
        <v>0.34987754285999911</v>
      </c>
      <c r="DL20" s="173">
        <f t="shared" si="65"/>
        <v>1.4870872776769259</v>
      </c>
      <c r="DM20" s="173">
        <f t="shared" si="66"/>
        <v>2.2222222222222223</v>
      </c>
      <c r="DN20" s="173">
        <f t="shared" si="67"/>
        <v>1.0857442857142856</v>
      </c>
      <c r="DP20" s="545">
        <f t="shared" si="68"/>
        <v>150</v>
      </c>
      <c r="DQ20" s="460">
        <f t="shared" si="69"/>
        <v>150.05249999999995</v>
      </c>
      <c r="DS20">
        <f t="shared" si="116"/>
        <v>150</v>
      </c>
      <c r="DT20" s="460">
        <f t="shared" si="70"/>
        <v>150.05249999999995</v>
      </c>
      <c r="DU20" s="460"/>
      <c r="DV20" s="5">
        <f t="shared" si="117"/>
        <v>6.6643341497142687</v>
      </c>
      <c r="DW20" s="5">
        <f t="shared" si="71"/>
        <v>0.92592592592592615</v>
      </c>
      <c r="DX20" s="5">
        <f t="shared" si="118"/>
        <v>5.7384082237883423</v>
      </c>
      <c r="DY20" s="173">
        <f t="shared" si="119"/>
        <v>0.13893749999999999</v>
      </c>
      <c r="EA20" s="5">
        <f t="shared" si="72"/>
        <v>0.57870370370370394</v>
      </c>
      <c r="EB20" s="5">
        <f t="shared" si="73"/>
        <v>7.7160493827160503E-2</v>
      </c>
      <c r="EC20" s="5">
        <f t="shared" si="74"/>
        <v>0.71730102797354267</v>
      </c>
      <c r="ED20" s="5"/>
      <c r="EE20" s="173">
        <f t="shared" si="120"/>
        <v>0.47822976037016324</v>
      </c>
      <c r="EF20" s="173">
        <f t="shared" si="75"/>
        <v>0.79409055527655281</v>
      </c>
      <c r="EG20" s="173">
        <f t="shared" si="76"/>
        <v>7.9516365062152095E-2</v>
      </c>
      <c r="EH20" s="173"/>
      <c r="EI20" s="528">
        <f t="shared" si="77"/>
        <v>9.14814814814815E-3</v>
      </c>
      <c r="EJ20" s="528">
        <f t="shared" si="78"/>
        <v>0.37114977363750001</v>
      </c>
      <c r="EK20" s="528">
        <f t="shared" si="79"/>
        <v>3.0010499999999989E-2</v>
      </c>
      <c r="EL20" s="528">
        <f t="shared" si="80"/>
        <v>4.3018261286319463E-2</v>
      </c>
      <c r="EM20">
        <f t="shared" si="81"/>
        <v>1.0800000000000001E-2</v>
      </c>
      <c r="EN20" s="460">
        <f t="shared" si="121"/>
        <v>40.810499999999983</v>
      </c>
      <c r="EO20">
        <f t="shared" si="82"/>
        <v>0.46761308687760478</v>
      </c>
      <c r="EP20" s="460">
        <f t="shared" si="122"/>
        <v>467.61308687760476</v>
      </c>
      <c r="EQ20" s="173">
        <f t="shared" si="83"/>
        <v>0.13019999999999998</v>
      </c>
      <c r="ER20" s="173">
        <f t="shared" si="84"/>
        <v>9.2999999999999992E-3</v>
      </c>
      <c r="ES20" s="528"/>
      <c r="EU20" s="460">
        <f t="shared" si="123"/>
        <v>139.49999999999997</v>
      </c>
      <c r="EV20" s="528">
        <f t="shared" si="85"/>
        <v>6.8611111111111121E-3</v>
      </c>
      <c r="EW20" s="528">
        <f t="shared" si="124"/>
        <v>1.8917394299382717E-2</v>
      </c>
      <c r="EX20" s="528">
        <f t="shared" si="86"/>
        <v>3.1614261563487211E-5</v>
      </c>
      <c r="EY20" s="528">
        <f t="shared" si="87"/>
        <v>0.10151887788061946</v>
      </c>
      <c r="EZ20" s="528">
        <f t="shared" si="88"/>
        <v>0.13379969716965323</v>
      </c>
      <c r="FA20" s="625">
        <f t="shared" si="89"/>
        <v>0.1482</v>
      </c>
      <c r="FB20" s="460">
        <f t="shared" si="125"/>
        <v>281.99969716965325</v>
      </c>
      <c r="FC20" s="173">
        <f t="shared" si="126"/>
        <v>0.88911278404725802</v>
      </c>
      <c r="FD20" s="5">
        <f t="shared" si="127"/>
        <v>3.8699999999999997</v>
      </c>
      <c r="FE20" s="173">
        <f t="shared" si="128"/>
        <v>0.81317677802728261</v>
      </c>
      <c r="FF20" s="5">
        <f t="shared" si="129"/>
        <v>81.317677802728255</v>
      </c>
      <c r="FG20">
        <f t="shared" si="130"/>
        <v>15</v>
      </c>
      <c r="FI20" s="562">
        <f t="shared" si="90"/>
        <v>-50</v>
      </c>
      <c r="FJ20">
        <f t="shared" si="91"/>
        <v>-50</v>
      </c>
      <c r="FL20">
        <f t="shared" si="92"/>
        <v>0.2032232390455132</v>
      </c>
    </row>
    <row r="21" spans="5:168" s="76" customFormat="1">
      <c r="E21" s="189">
        <v>16</v>
      </c>
      <c r="F21" s="329">
        <f t="shared" si="131"/>
        <v>0.16</v>
      </c>
      <c r="G21" s="217">
        <f t="shared" si="93"/>
        <v>1.6E-2</v>
      </c>
      <c r="H21" s="217">
        <f t="shared" si="0"/>
        <v>3.84</v>
      </c>
      <c r="I21" s="217">
        <f t="shared" si="132"/>
        <v>0.28800000000000003</v>
      </c>
      <c r="J21" s="541">
        <f t="shared" si="1"/>
        <v>23.901251807891633</v>
      </c>
      <c r="K21" s="443">
        <f t="shared" si="2"/>
        <v>16.489669472300989</v>
      </c>
      <c r="L21" s="172">
        <f t="shared" si="3"/>
        <v>40.390921280192622</v>
      </c>
      <c r="M21" s="443"/>
      <c r="N21" s="217">
        <f t="shared" si="4"/>
        <v>0.40825187813647096</v>
      </c>
      <c r="O21" s="172">
        <f t="shared" si="94"/>
        <v>50.427550079506361</v>
      </c>
      <c r="P21" s="172">
        <f t="shared" si="5"/>
        <v>4.0657212251602006</v>
      </c>
      <c r="Q21" s="329">
        <f t="shared" si="6"/>
        <v>2.1011479199794318</v>
      </c>
      <c r="R21" s="217">
        <f t="shared" si="7"/>
        <v>2.8015305599725755</v>
      </c>
      <c r="S21" s="443">
        <f t="shared" si="8"/>
        <v>24</v>
      </c>
      <c r="T21" s="217">
        <f t="shared" si="9"/>
        <v>0.84609834503949655</v>
      </c>
      <c r="U21" s="329">
        <f t="shared" si="10"/>
        <v>0.35399750265805524</v>
      </c>
      <c r="V21" s="217">
        <f t="shared" si="11"/>
        <v>0.51310812897781577</v>
      </c>
      <c r="W21" s="537">
        <f t="shared" si="12"/>
        <v>350</v>
      </c>
      <c r="X21" s="443">
        <f t="shared" si="95"/>
        <v>350</v>
      </c>
      <c r="Z21" s="329">
        <f t="shared" si="13"/>
        <v>2.7879231258241366</v>
      </c>
      <c r="AA21" s="173">
        <f t="shared" si="14"/>
        <v>1.6907089196100828</v>
      </c>
      <c r="AB21" s="173">
        <f t="shared" si="15"/>
        <v>0.55019104924771167</v>
      </c>
      <c r="AC21" s="538"/>
      <c r="AD21" s="173">
        <f t="shared" si="16"/>
        <v>1.3476450974078444</v>
      </c>
      <c r="AE21" s="545">
        <f t="shared" si="17"/>
        <v>160.19948752700205</v>
      </c>
      <c r="AF21" s="528">
        <f t="shared" si="18"/>
        <v>0.34956416443317928</v>
      </c>
      <c r="AG21"/>
      <c r="AH21" s="173">
        <f t="shared" si="19"/>
        <v>1.5358571362132425</v>
      </c>
      <c r="AI21" s="173">
        <f t="shared" si="20"/>
        <v>2.2222222222222223</v>
      </c>
      <c r="AJ21" s="173">
        <f t="shared" si="21"/>
        <v>1.091542564301144</v>
      </c>
      <c r="AL21" s="545">
        <f t="shared" si="22"/>
        <v>160</v>
      </c>
      <c r="AM21" s="460">
        <f t="shared" si="23"/>
        <v>160.19948752700205</v>
      </c>
      <c r="AO21">
        <f t="shared" si="96"/>
        <v>160</v>
      </c>
      <c r="AP21" s="460">
        <f t="shared" si="24"/>
        <v>160.19948752700205</v>
      </c>
      <c r="AQ21" s="460"/>
      <c r="AR21" s="5">
        <f t="shared" si="97"/>
        <v>6.2422172220210594</v>
      </c>
      <c r="AS21" s="5">
        <f t="shared" si="25"/>
        <v>0.92975139548485786</v>
      </c>
      <c r="AT21" s="5">
        <f t="shared" si="98"/>
        <v>5.3124658265362017</v>
      </c>
      <c r="AU21" s="173">
        <f t="shared" si="99"/>
        <v>0.14894569708418923</v>
      </c>
      <c r="AW21" s="5">
        <f t="shared" si="26"/>
        <v>0.6198342636565719</v>
      </c>
      <c r="AX21" s="5">
        <f t="shared" si="27"/>
        <v>8.2644568487542924E-2</v>
      </c>
      <c r="AY21" s="5">
        <f t="shared" si="28"/>
        <v>0.71125524225902159</v>
      </c>
      <c r="AZ21" s="5"/>
      <c r="BA21" s="173">
        <f t="shared" si="100"/>
        <v>0.49515462453277792</v>
      </c>
      <c r="BB21" s="173">
        <f t="shared" si="29"/>
        <v>0.78946217851680356</v>
      </c>
      <c r="BC21" s="173">
        <f t="shared" si="30"/>
        <v>7.9052901929858296E-2</v>
      </c>
      <c r="BD21" s="173"/>
      <c r="BE21" s="528">
        <f t="shared" si="31"/>
        <v>9.8071240878478527E-3</v>
      </c>
      <c r="BF21" s="528">
        <f t="shared" si="32"/>
        <v>0.32353024449151702</v>
      </c>
      <c r="BG21" s="528">
        <f t="shared" si="33"/>
        <v>0.15315873163512281</v>
      </c>
      <c r="BH21" s="528">
        <f t="shared" si="34"/>
        <v>4.5736896229564165E-2</v>
      </c>
      <c r="BI21">
        <f t="shared" si="35"/>
        <v>1.0755563313551235E-2</v>
      </c>
      <c r="BJ21" s="460">
        <f t="shared" si="101"/>
        <v>163.91429494867404</v>
      </c>
      <c r="BK21">
        <f t="shared" si="36"/>
        <v>0.38261374440811241</v>
      </c>
      <c r="BL21" s="460">
        <f t="shared" si="102"/>
        <v>382.61374440811244</v>
      </c>
      <c r="BM21" s="173">
        <f t="shared" si="37"/>
        <v>0.13887999999999998</v>
      </c>
      <c r="BN21" s="173">
        <f t="shared" si="38"/>
        <v>9.92E-3</v>
      </c>
      <c r="BO21" s="528"/>
      <c r="BQ21" s="460">
        <f t="shared" si="103"/>
        <v>148.79999999999998</v>
      </c>
      <c r="BR21" s="528">
        <f t="shared" si="39"/>
        <v>7.3553430658858882E-3</v>
      </c>
      <c r="BS21" s="528">
        <f t="shared" si="104"/>
        <v>1.8697515939254922E-2</v>
      </c>
      <c r="BT21" s="528">
        <f t="shared" si="40"/>
        <v>3.1246806517658972E-5</v>
      </c>
      <c r="BU21" s="528">
        <f t="shared" si="41"/>
        <v>0.11956154708909808</v>
      </c>
      <c r="BV21" s="528">
        <f t="shared" si="42"/>
        <v>0.15222348737970112</v>
      </c>
      <c r="BW21" s="625">
        <f t="shared" si="43"/>
        <v>0.15822171607605146</v>
      </c>
      <c r="BX21" s="460">
        <f t="shared" si="105"/>
        <v>310.44520345575256</v>
      </c>
      <c r="BY21" s="173">
        <f t="shared" si="106"/>
        <v>0.84185894786386495</v>
      </c>
      <c r="BZ21" s="5">
        <f t="shared" si="107"/>
        <v>4.1280000000000001</v>
      </c>
      <c r="CA21" s="173">
        <f t="shared" si="108"/>
        <v>0.8306070742257764</v>
      </c>
      <c r="CB21" s="5">
        <f t="shared" si="109"/>
        <v>83.060707422577636</v>
      </c>
      <c r="CC21">
        <f t="shared" si="110"/>
        <v>16</v>
      </c>
      <c r="CE21" s="562">
        <f t="shared" si="44"/>
        <v>-50</v>
      </c>
      <c r="CF21">
        <f t="shared" si="45"/>
        <v>-50</v>
      </c>
      <c r="CG21" s="173">
        <f t="shared" si="46"/>
        <v>0.21677145498188072</v>
      </c>
      <c r="CH21" s="173">
        <f t="shared" si="47"/>
        <v>5.908456544794826E-2</v>
      </c>
      <c r="CI21" s="189">
        <v>16</v>
      </c>
      <c r="CJ21" s="329">
        <f t="shared" si="133"/>
        <v>0.16</v>
      </c>
      <c r="CK21" s="217">
        <f t="shared" si="111"/>
        <v>1.6E-2</v>
      </c>
      <c r="CL21" s="217">
        <f t="shared" si="48"/>
        <v>3.84</v>
      </c>
      <c r="CM21" s="217">
        <f t="shared" si="134"/>
        <v>0.28800000000000003</v>
      </c>
      <c r="CN21" s="541">
        <f t="shared" si="112"/>
        <v>24</v>
      </c>
      <c r="CO21" s="443">
        <f t="shared" si="49"/>
        <v>16.474900000000002</v>
      </c>
      <c r="CP21" s="443">
        <f t="shared" si="50"/>
        <v>40.474900000000005</v>
      </c>
      <c r="CQ21" s="535"/>
      <c r="CR21" s="329">
        <f t="shared" si="113"/>
        <v>0.40507913686898112</v>
      </c>
      <c r="CS21" s="172">
        <f t="shared" si="114"/>
        <v>50.242373565144938</v>
      </c>
      <c r="CT21" s="172">
        <f t="shared" si="51"/>
        <v>4.0507913686898105</v>
      </c>
      <c r="CU21" s="329">
        <f t="shared" si="52"/>
        <v>2.0934322318810392</v>
      </c>
      <c r="CV21" s="217">
        <f t="shared" si="53"/>
        <v>2.7912429758413855</v>
      </c>
      <c r="CW21" s="443">
        <f t="shared" si="54"/>
        <v>24</v>
      </c>
      <c r="CX21" s="217">
        <f t="shared" si="55"/>
        <v>0.84921677936541939</v>
      </c>
      <c r="CY21" s="329">
        <f t="shared" si="56"/>
        <v>0.3538403247355914</v>
      </c>
      <c r="CZ21" s="217">
        <f t="shared" si="57"/>
        <v>0.5154609614415987</v>
      </c>
      <c r="DA21" s="537">
        <f t="shared" si="58"/>
        <v>350</v>
      </c>
      <c r="DB21" s="535">
        <f t="shared" si="115"/>
        <v>350</v>
      </c>
      <c r="DD21" s="329">
        <f t="shared" si="59"/>
        <v>2.7911308701724487</v>
      </c>
      <c r="DE21" s="173">
        <f t="shared" si="60"/>
        <v>1.6941716612376698</v>
      </c>
      <c r="DF21" s="173">
        <f t="shared" si="61"/>
        <v>0.55195223422072148</v>
      </c>
      <c r="DG21" s="538"/>
      <c r="DH21" s="173">
        <f t="shared" si="62"/>
        <v>1.3488532386977903</v>
      </c>
      <c r="DI21" s="545">
        <f t="shared" si="63"/>
        <v>160.05599999999995</v>
      </c>
      <c r="DJ21" s="528">
        <f t="shared" si="64"/>
        <v>0.34987754285999911</v>
      </c>
      <c r="DK21"/>
      <c r="DL21" s="173">
        <f t="shared" si="65"/>
        <v>1.5358571362132425</v>
      </c>
      <c r="DM21" s="173">
        <f t="shared" si="66"/>
        <v>2.2222222222222223</v>
      </c>
      <c r="DN21" s="173">
        <f t="shared" si="67"/>
        <v>1.0914605714285714</v>
      </c>
      <c r="DP21" s="545">
        <f t="shared" si="68"/>
        <v>160</v>
      </c>
      <c r="DQ21" s="460">
        <f t="shared" si="69"/>
        <v>160.05599999999995</v>
      </c>
      <c r="DS21">
        <f t="shared" si="116"/>
        <v>160</v>
      </c>
      <c r="DT21" s="460">
        <f t="shared" si="70"/>
        <v>160.05599999999995</v>
      </c>
      <c r="DU21" s="460"/>
      <c r="DV21" s="5">
        <f t="shared" si="117"/>
        <v>6.2478132653571263</v>
      </c>
      <c r="DW21" s="5">
        <f t="shared" si="71"/>
        <v>0.92592592592592615</v>
      </c>
      <c r="DX21" s="5">
        <f t="shared" si="118"/>
        <v>5.3218873394311998</v>
      </c>
      <c r="DY21" s="173">
        <f t="shared" si="119"/>
        <v>0.1482</v>
      </c>
      <c r="EA21" s="5">
        <f t="shared" si="72"/>
        <v>0.61728395061728414</v>
      </c>
      <c r="EB21" s="5">
        <f t="shared" si="73"/>
        <v>8.2304526748971207E-2</v>
      </c>
      <c r="EC21" s="5">
        <f t="shared" si="74"/>
        <v>0.70958497859082659</v>
      </c>
      <c r="ED21" s="5"/>
      <c r="EE21" s="173">
        <f t="shared" si="120"/>
        <v>0.49391357268650821</v>
      </c>
      <c r="EF21" s="173">
        <f t="shared" si="75"/>
        <v>0.78980796770077055</v>
      </c>
      <c r="EG21" s="173">
        <f t="shared" si="76"/>
        <v>7.9087527576523098E-2</v>
      </c>
      <c r="EH21" s="173"/>
      <c r="EI21" s="528">
        <f t="shared" si="77"/>
        <v>9.7580246913580252E-3</v>
      </c>
      <c r="EJ21" s="528">
        <f t="shared" si="78"/>
        <v>0.39589309187999999</v>
      </c>
      <c r="EK21" s="528">
        <f t="shared" si="79"/>
        <v>3.201119999999999E-2</v>
      </c>
      <c r="EL21" s="528">
        <f t="shared" si="80"/>
        <v>4.588614537207409E-2</v>
      </c>
      <c r="EM21">
        <f t="shared" si="81"/>
        <v>1.0800000000000001E-2</v>
      </c>
      <c r="EN21" s="460">
        <f t="shared" si="121"/>
        <v>42.811199999999992</v>
      </c>
      <c r="EO21">
        <f t="shared" si="82"/>
        <v>0.49813806503480235</v>
      </c>
      <c r="EP21" s="460">
        <f t="shared" si="122"/>
        <v>498.13806503480237</v>
      </c>
      <c r="EQ21" s="173">
        <f t="shared" si="83"/>
        <v>0.13887999999999998</v>
      </c>
      <c r="ER21" s="173">
        <f t="shared" si="84"/>
        <v>9.92E-3</v>
      </c>
      <c r="ES21" s="528"/>
      <c r="EU21" s="460">
        <f t="shared" si="123"/>
        <v>148.79999999999998</v>
      </c>
      <c r="EV21" s="528">
        <f t="shared" si="85"/>
        <v>7.3185185185185185E-3</v>
      </c>
      <c r="EW21" s="528">
        <f t="shared" si="124"/>
        <v>1.871389877530864E-2</v>
      </c>
      <c r="EX21" s="528">
        <f t="shared" si="86"/>
        <v>3.1274185090836503E-5</v>
      </c>
      <c r="EY21" s="528">
        <f t="shared" si="87"/>
        <v>0.11929400459789005</v>
      </c>
      <c r="EZ21" s="528">
        <f t="shared" si="88"/>
        <v>0.15192977008406308</v>
      </c>
      <c r="FA21" s="625">
        <f t="shared" si="89"/>
        <v>0.15808</v>
      </c>
      <c r="FB21" s="460">
        <f t="shared" si="125"/>
        <v>310.00977008406306</v>
      </c>
      <c r="FC21" s="173">
        <f t="shared" si="126"/>
        <v>0.95694783511886539</v>
      </c>
      <c r="FD21" s="5">
        <f t="shared" si="127"/>
        <v>4.1280000000000001</v>
      </c>
      <c r="FE21" s="173">
        <f t="shared" si="128"/>
        <v>0.81180773802441664</v>
      </c>
      <c r="FF21" s="5">
        <f t="shared" si="129"/>
        <v>81.180773802441664</v>
      </c>
      <c r="FG21">
        <f t="shared" si="130"/>
        <v>16</v>
      </c>
      <c r="FI21" s="562">
        <f t="shared" si="90"/>
        <v>-50</v>
      </c>
      <c r="FJ21">
        <f t="shared" si="91"/>
        <v>-50</v>
      </c>
      <c r="FL21">
        <f t="shared" si="92"/>
        <v>0.21677145498188072</v>
      </c>
    </row>
    <row r="22" spans="5:168">
      <c r="E22" s="170">
        <v>17</v>
      </c>
      <c r="F22" s="217">
        <f t="shared" si="131"/>
        <v>0.17</v>
      </c>
      <c r="G22" s="217">
        <f t="shared" si="93"/>
        <v>1.7000000000000001E-2</v>
      </c>
      <c r="H22" s="217">
        <f t="shared" si="0"/>
        <v>4.08</v>
      </c>
      <c r="I22" s="217">
        <f t="shared" si="132"/>
        <v>0.30600000000000005</v>
      </c>
      <c r="J22" s="541">
        <f t="shared" si="1"/>
        <v>23.901251807891633</v>
      </c>
      <c r="K22" s="443">
        <f t="shared" si="2"/>
        <v>16.489669472300989</v>
      </c>
      <c r="L22" s="172">
        <f t="shared" si="3"/>
        <v>40.390921280192622</v>
      </c>
      <c r="M22" s="443"/>
      <c r="N22" s="217">
        <f t="shared" si="4"/>
        <v>0.40825187813647096</v>
      </c>
      <c r="O22" s="172">
        <f t="shared" si="94"/>
        <v>50.427550079506361</v>
      </c>
      <c r="P22" s="172">
        <f t="shared" si="5"/>
        <v>4.0657212251602006</v>
      </c>
      <c r="Q22" s="217">
        <f t="shared" si="6"/>
        <v>2.1011479199794318</v>
      </c>
      <c r="R22" s="217">
        <f t="shared" si="7"/>
        <v>2.8015305599725755</v>
      </c>
      <c r="S22" s="443">
        <f t="shared" si="8"/>
        <v>24</v>
      </c>
      <c r="T22" s="217">
        <f t="shared" si="9"/>
        <v>0.89897949160446511</v>
      </c>
      <c r="U22" s="217">
        <f t="shared" si="10"/>
        <v>0.37612234657418375</v>
      </c>
      <c r="V22" s="217">
        <f t="shared" si="11"/>
        <v>0.54517738703892926</v>
      </c>
      <c r="W22" s="197">
        <f t="shared" si="12"/>
        <v>350</v>
      </c>
      <c r="X22" s="443">
        <f t="shared" si="95"/>
        <v>350</v>
      </c>
      <c r="Z22" s="217">
        <f t="shared" si="13"/>
        <v>2.7879231258241366</v>
      </c>
      <c r="AA22" s="173">
        <f t="shared" si="14"/>
        <v>1.6907089196100828</v>
      </c>
      <c r="AB22" s="173">
        <f t="shared" si="15"/>
        <v>0.55019104924771167</v>
      </c>
      <c r="AC22" s="173"/>
      <c r="AD22" s="173">
        <f t="shared" si="16"/>
        <v>1.3476450974078444</v>
      </c>
      <c r="AE22" s="545">
        <f t="shared" si="17"/>
        <v>170.21195549743973</v>
      </c>
      <c r="AF22" s="528">
        <f t="shared" si="18"/>
        <v>0.34956416443317928</v>
      </c>
      <c r="AH22" s="173">
        <f t="shared" si="19"/>
        <v>1.5831252996164624</v>
      </c>
      <c r="AI22" s="173">
        <f t="shared" si="20"/>
        <v>2.2222222222222223</v>
      </c>
      <c r="AJ22" s="173">
        <f t="shared" si="21"/>
        <v>1.0972639745699655</v>
      </c>
      <c r="AL22" s="545">
        <f t="shared" si="22"/>
        <v>170</v>
      </c>
      <c r="AM22" s="460">
        <f t="shared" si="23"/>
        <v>170.21195549743973</v>
      </c>
      <c r="AO22">
        <f t="shared" si="96"/>
        <v>170</v>
      </c>
      <c r="AP22" s="460">
        <f t="shared" si="24"/>
        <v>170.21195549743973</v>
      </c>
      <c r="AQ22" s="460"/>
      <c r="AR22" s="5">
        <f t="shared" si="97"/>
        <v>5.8750279736668771</v>
      </c>
      <c r="AS22" s="5">
        <f t="shared" si="25"/>
        <v>0.92975139548485786</v>
      </c>
      <c r="AT22" s="5">
        <f t="shared" si="98"/>
        <v>4.9452765781820194</v>
      </c>
      <c r="AU22" s="173">
        <f t="shared" si="99"/>
        <v>0.15825480315195112</v>
      </c>
      <c r="AW22" s="5">
        <f t="shared" si="26"/>
        <v>0.65857390513510783</v>
      </c>
      <c r="AX22" s="5">
        <f t="shared" si="27"/>
        <v>8.7809854018014374E-2</v>
      </c>
      <c r="AY22" s="5">
        <f t="shared" si="28"/>
        <v>0.70347530334236708</v>
      </c>
      <c r="AZ22" s="5"/>
      <c r="BA22" s="173">
        <f t="shared" si="100"/>
        <v>0.51039370449042443</v>
      </c>
      <c r="BB22" s="173">
        <f t="shared" si="29"/>
        <v>0.78513261062335804</v>
      </c>
      <c r="BC22" s="173">
        <f t="shared" si="30"/>
        <v>7.861936006377139E-2</v>
      </c>
      <c r="BD22" s="173"/>
      <c r="BE22" s="528">
        <f t="shared" si="31"/>
        <v>1.0420069343338348E-2</v>
      </c>
      <c r="BF22" s="528">
        <f t="shared" si="32"/>
        <v>0.34375088477223686</v>
      </c>
      <c r="BG22" s="528">
        <f t="shared" si="33"/>
        <v>0.16273115236231805</v>
      </c>
      <c r="BH22" s="528">
        <f t="shared" si="34"/>
        <v>4.8595452243911944E-2</v>
      </c>
      <c r="BI22">
        <f t="shared" si="35"/>
        <v>1.0755563313551235E-2</v>
      </c>
      <c r="BJ22" s="460">
        <f t="shared" si="101"/>
        <v>173.48671567586928</v>
      </c>
      <c r="BK22">
        <f t="shared" si="36"/>
        <v>0.40658645527437431</v>
      </c>
      <c r="BL22" s="460">
        <f t="shared" si="102"/>
        <v>406.58645527437432</v>
      </c>
      <c r="BM22" s="173">
        <f t="shared" si="37"/>
        <v>0.14756</v>
      </c>
      <c r="BN22" s="173">
        <f t="shared" si="38"/>
        <v>1.0540000000000001E-2</v>
      </c>
      <c r="BO22" s="528"/>
      <c r="BQ22" s="460">
        <f t="shared" si="103"/>
        <v>158.1</v>
      </c>
      <c r="BR22" s="528">
        <f t="shared" si="39"/>
        <v>7.8150520075037609E-3</v>
      </c>
      <c r="BS22" s="528">
        <f t="shared" si="104"/>
        <v>1.8492996487927484E-2</v>
      </c>
      <c r="BT22" s="528">
        <f t="shared" si="40"/>
        <v>3.0905018884184658E-5</v>
      </c>
      <c r="BU22" s="528">
        <f t="shared" si="41"/>
        <v>0.13912778560709665</v>
      </c>
      <c r="BV22" s="528">
        <f t="shared" si="42"/>
        <v>0.1721508297810922</v>
      </c>
      <c r="BW22" s="625">
        <f t="shared" si="43"/>
        <v>0.16811057333080473</v>
      </c>
      <c r="BX22" s="460">
        <f t="shared" si="105"/>
        <v>340.26140311189693</v>
      </c>
      <c r="BY22" s="173">
        <f t="shared" si="106"/>
        <v>0.90494785838627123</v>
      </c>
      <c r="BZ22" s="5">
        <f t="shared" si="107"/>
        <v>4.3860000000000001</v>
      </c>
      <c r="CA22" s="173">
        <f t="shared" si="108"/>
        <v>0.82896299819853481</v>
      </c>
      <c r="CB22" s="5">
        <f t="shared" si="109"/>
        <v>82.896299819853482</v>
      </c>
      <c r="CC22">
        <f t="shared" si="110"/>
        <v>17</v>
      </c>
      <c r="CE22" s="562">
        <f t="shared" si="44"/>
        <v>-50</v>
      </c>
      <c r="CF22">
        <f t="shared" si="45"/>
        <v>-50</v>
      </c>
      <c r="CG22" s="173">
        <f t="shared" si="46"/>
        <v>0.23031967091824829</v>
      </c>
      <c r="CH22" s="173">
        <f t="shared" si="47"/>
        <v>6.2777350788445027E-2</v>
      </c>
      <c r="CI22" s="170">
        <v>17</v>
      </c>
      <c r="CJ22" s="217">
        <f t="shared" si="133"/>
        <v>0.17</v>
      </c>
      <c r="CK22" s="217">
        <f t="shared" si="111"/>
        <v>1.7000000000000001E-2</v>
      </c>
      <c r="CL22" s="217">
        <f t="shared" si="48"/>
        <v>4.08</v>
      </c>
      <c r="CM22" s="217">
        <f t="shared" si="134"/>
        <v>0.30600000000000005</v>
      </c>
      <c r="CN22" s="541">
        <f t="shared" si="112"/>
        <v>24</v>
      </c>
      <c r="CO22" s="443">
        <f t="shared" si="49"/>
        <v>16.474900000000002</v>
      </c>
      <c r="CP22" s="443">
        <f t="shared" si="50"/>
        <v>40.474900000000005</v>
      </c>
      <c r="CQ22" s="443"/>
      <c r="CR22" s="217">
        <f t="shared" si="113"/>
        <v>0.40507913686898112</v>
      </c>
      <c r="CS22" s="172">
        <f t="shared" si="114"/>
        <v>50.242373565144938</v>
      </c>
      <c r="CT22" s="172">
        <f t="shared" si="51"/>
        <v>4.0507913686898105</v>
      </c>
      <c r="CU22" s="217">
        <f t="shared" si="52"/>
        <v>2.0934322318810392</v>
      </c>
      <c r="CV22" s="217">
        <f t="shared" si="53"/>
        <v>2.7912429758413855</v>
      </c>
      <c r="CW22" s="443">
        <f t="shared" si="54"/>
        <v>24</v>
      </c>
      <c r="CX22" s="217">
        <f t="shared" si="55"/>
        <v>0.90229282807575806</v>
      </c>
      <c r="CY22" s="217">
        <f t="shared" si="56"/>
        <v>0.37595534503156591</v>
      </c>
      <c r="CZ22" s="217">
        <f t="shared" si="57"/>
        <v>0.54767727153169854</v>
      </c>
      <c r="DA22" s="197">
        <f t="shared" si="58"/>
        <v>350</v>
      </c>
      <c r="DB22" s="443">
        <f t="shared" si="115"/>
        <v>350</v>
      </c>
      <c r="DD22" s="217">
        <f t="shared" si="59"/>
        <v>2.7911308701724487</v>
      </c>
      <c r="DE22" s="173">
        <f t="shared" si="60"/>
        <v>1.6941716612376698</v>
      </c>
      <c r="DF22" s="173">
        <f t="shared" si="61"/>
        <v>0.55195223422072148</v>
      </c>
      <c r="DG22" s="173"/>
      <c r="DH22" s="173">
        <f t="shared" si="62"/>
        <v>1.3488532386977903</v>
      </c>
      <c r="DI22" s="545">
        <f t="shared" si="63"/>
        <v>170.05949999999993</v>
      </c>
      <c r="DJ22" s="528">
        <f t="shared" si="64"/>
        <v>0.34987754285999911</v>
      </c>
      <c r="DL22" s="173">
        <f t="shared" si="65"/>
        <v>1.5831252996164624</v>
      </c>
      <c r="DM22" s="173">
        <f t="shared" si="66"/>
        <v>2.2222222222222223</v>
      </c>
      <c r="DN22" s="173">
        <f t="shared" si="67"/>
        <v>1.0971768571428571</v>
      </c>
      <c r="DP22" s="545">
        <f t="shared" si="68"/>
        <v>170</v>
      </c>
      <c r="DQ22" s="460">
        <f t="shared" si="69"/>
        <v>170.05949999999993</v>
      </c>
      <c r="DS22">
        <f t="shared" si="116"/>
        <v>170</v>
      </c>
      <c r="DT22" s="460">
        <f t="shared" si="70"/>
        <v>170.05949999999993</v>
      </c>
      <c r="DU22" s="460"/>
      <c r="DV22" s="5">
        <f t="shared" si="117"/>
        <v>5.880294837983179</v>
      </c>
      <c r="DW22" s="5">
        <f t="shared" si="71"/>
        <v>0.92592592592592615</v>
      </c>
      <c r="DX22" s="5">
        <f t="shared" si="118"/>
        <v>4.9543689120572525</v>
      </c>
      <c r="DY22" s="173">
        <f t="shared" si="119"/>
        <v>0.15746249999999998</v>
      </c>
      <c r="EA22" s="5">
        <f t="shared" si="72"/>
        <v>0.65586419753086445</v>
      </c>
      <c r="EB22" s="5">
        <f t="shared" si="73"/>
        <v>8.7448559670781925E-2</v>
      </c>
      <c r="EC22" s="5">
        <f t="shared" si="74"/>
        <v>0.70186892920811073</v>
      </c>
      <c r="ED22" s="5"/>
      <c r="EE22" s="173">
        <f t="shared" si="120"/>
        <v>0.50911445752816475</v>
      </c>
      <c r="EF22" s="173">
        <f t="shared" si="75"/>
        <v>0.7855020316382505</v>
      </c>
      <c r="EG22" s="173">
        <f t="shared" si="76"/>
        <v>7.8656352087019391E-2</v>
      </c>
      <c r="EH22" s="173"/>
      <c r="EI22" s="528">
        <f t="shared" si="77"/>
        <v>1.03679012345679E-2</v>
      </c>
      <c r="EJ22" s="528">
        <f t="shared" si="78"/>
        <v>0.42063641012249992</v>
      </c>
      <c r="EK22" s="528">
        <f t="shared" si="79"/>
        <v>3.4011899999999984E-2</v>
      </c>
      <c r="EL22" s="528">
        <f t="shared" si="80"/>
        <v>4.8754029457828724E-2</v>
      </c>
      <c r="EM22">
        <f t="shared" si="81"/>
        <v>1.0800000000000001E-2</v>
      </c>
      <c r="EN22" s="460">
        <f t="shared" si="121"/>
        <v>44.811899999999987</v>
      </c>
      <c r="EO22">
        <f t="shared" si="82"/>
        <v>0.52867191158418525</v>
      </c>
      <c r="EP22" s="460">
        <f t="shared" si="122"/>
        <v>528.6719115841853</v>
      </c>
      <c r="EQ22" s="173">
        <f t="shared" si="83"/>
        <v>0.14756</v>
      </c>
      <c r="ER22" s="173">
        <f t="shared" si="84"/>
        <v>1.0540000000000001E-2</v>
      </c>
      <c r="ES22" s="528"/>
      <c r="EU22" s="460">
        <f t="shared" si="123"/>
        <v>158.1</v>
      </c>
      <c r="EV22" s="528">
        <f t="shared" si="85"/>
        <v>7.7759259259259248E-3</v>
      </c>
      <c r="EW22" s="528">
        <f t="shared" si="124"/>
        <v>1.8510403251234573E-2</v>
      </c>
      <c r="EX22" s="528">
        <f t="shared" si="86"/>
        <v>3.0934108618185795E-5</v>
      </c>
      <c r="EY22" s="528">
        <f t="shared" si="87"/>
        <v>0.13881645980658786</v>
      </c>
      <c r="EZ22" s="528">
        <f t="shared" si="88"/>
        <v>0.171811595159783</v>
      </c>
      <c r="FA22" s="625">
        <f t="shared" si="89"/>
        <v>0.16796</v>
      </c>
      <c r="FB22" s="460">
        <f t="shared" si="125"/>
        <v>339.77159515978298</v>
      </c>
      <c r="FC22" s="173">
        <f t="shared" si="126"/>
        <v>1.0265435067439683</v>
      </c>
      <c r="FD22" s="5">
        <f t="shared" si="127"/>
        <v>4.3860000000000001</v>
      </c>
      <c r="FE22" s="173">
        <f t="shared" si="128"/>
        <v>0.81033990665111388</v>
      </c>
      <c r="FF22" s="5">
        <f t="shared" si="129"/>
        <v>81.033990665111389</v>
      </c>
      <c r="FG22">
        <f t="shared" si="130"/>
        <v>17</v>
      </c>
      <c r="FI22" s="562">
        <f t="shared" si="90"/>
        <v>-50</v>
      </c>
      <c r="FJ22">
        <f t="shared" si="91"/>
        <v>-50</v>
      </c>
      <c r="FL22">
        <f t="shared" si="92"/>
        <v>0.23031967091824831</v>
      </c>
    </row>
    <row r="23" spans="5:168">
      <c r="E23" s="170">
        <v>18</v>
      </c>
      <c r="F23" s="217">
        <f t="shared" si="131"/>
        <v>0.18</v>
      </c>
      <c r="G23" s="217">
        <f t="shared" si="93"/>
        <v>1.7999999999999999E-2</v>
      </c>
      <c r="H23" s="217">
        <f t="shared" si="0"/>
        <v>4.32</v>
      </c>
      <c r="I23" s="217">
        <f t="shared" si="132"/>
        <v>0.32399999999999995</v>
      </c>
      <c r="J23" s="541">
        <f t="shared" si="1"/>
        <v>23.901251807891633</v>
      </c>
      <c r="K23" s="443">
        <f t="shared" si="2"/>
        <v>16.489669472300989</v>
      </c>
      <c r="L23" s="172">
        <f t="shared" si="3"/>
        <v>40.390921280192622</v>
      </c>
      <c r="M23" s="443"/>
      <c r="N23" s="217">
        <f t="shared" si="4"/>
        <v>0.40825187813647096</v>
      </c>
      <c r="O23" s="172">
        <f t="shared" si="94"/>
        <v>50.427550079506361</v>
      </c>
      <c r="P23" s="172">
        <f t="shared" si="5"/>
        <v>4.0657212251602006</v>
      </c>
      <c r="Q23" s="217">
        <f t="shared" si="6"/>
        <v>2.1011479199794318</v>
      </c>
      <c r="R23" s="217">
        <f t="shared" si="7"/>
        <v>2.8015305599725755</v>
      </c>
      <c r="S23" s="443">
        <f t="shared" si="8"/>
        <v>24</v>
      </c>
      <c r="T23" s="217">
        <f t="shared" si="9"/>
        <v>0.95186063816943356</v>
      </c>
      <c r="U23" s="217">
        <f t="shared" si="10"/>
        <v>0.3982471904903121</v>
      </c>
      <c r="V23" s="217">
        <f t="shared" si="11"/>
        <v>0.57724664510004264</v>
      </c>
      <c r="W23" s="197">
        <f t="shared" si="12"/>
        <v>350</v>
      </c>
      <c r="X23" s="443">
        <f t="shared" si="95"/>
        <v>350</v>
      </c>
      <c r="Z23" s="217">
        <f t="shared" si="13"/>
        <v>2.7879231258241366</v>
      </c>
      <c r="AA23" s="173">
        <f t="shared" si="14"/>
        <v>1.6907089196100828</v>
      </c>
      <c r="AB23" s="173">
        <f t="shared" si="15"/>
        <v>0.55019104924771167</v>
      </c>
      <c r="AC23" s="173"/>
      <c r="AD23" s="173">
        <f t="shared" si="16"/>
        <v>1.3476450974078444</v>
      </c>
      <c r="AE23" s="545">
        <f t="shared" si="17"/>
        <v>180.2244234678773</v>
      </c>
      <c r="AF23" s="528">
        <f t="shared" si="18"/>
        <v>0.34956416443317928</v>
      </c>
      <c r="AH23" s="173">
        <f t="shared" si="19"/>
        <v>1.6290224939252023</v>
      </c>
      <c r="AI23" s="173">
        <f t="shared" si="20"/>
        <v>2.2222222222222223</v>
      </c>
      <c r="AJ23" s="173">
        <f t="shared" si="21"/>
        <v>1.1029853848387869</v>
      </c>
      <c r="AL23" s="545">
        <f t="shared" si="22"/>
        <v>180</v>
      </c>
      <c r="AM23" s="460">
        <f t="shared" si="23"/>
        <v>180.2244234678773</v>
      </c>
      <c r="AO23">
        <f t="shared" si="96"/>
        <v>180</v>
      </c>
      <c r="AP23" s="460">
        <f t="shared" si="24"/>
        <v>180.2244234678773</v>
      </c>
      <c r="AQ23" s="460"/>
      <c r="AR23" s="5">
        <f t="shared" si="97"/>
        <v>5.5486375306853857</v>
      </c>
      <c r="AS23" s="5">
        <f t="shared" si="25"/>
        <v>0.92975139548485786</v>
      </c>
      <c r="AT23" s="5">
        <f t="shared" si="98"/>
        <v>4.6188861352005279</v>
      </c>
      <c r="AU23" s="173">
        <f t="shared" si="99"/>
        <v>0.1675639092197129</v>
      </c>
      <c r="AW23" s="5">
        <f t="shared" si="26"/>
        <v>0.69731354661364331</v>
      </c>
      <c r="AX23" s="5">
        <f t="shared" si="27"/>
        <v>9.2975139548485769E-2</v>
      </c>
      <c r="AY23" s="5">
        <f t="shared" si="28"/>
        <v>0.69569536442571289</v>
      </c>
      <c r="AZ23" s="5"/>
      <c r="BA23" s="173">
        <f t="shared" si="100"/>
        <v>0.52519078911450912</v>
      </c>
      <c r="BB23" s="173">
        <f t="shared" si="29"/>
        <v>0.78077903482355493</v>
      </c>
      <c r="BC23" s="173">
        <f t="shared" si="30"/>
        <v>7.8183414162737039E-2</v>
      </c>
      <c r="BD23" s="173"/>
      <c r="BE23" s="528">
        <f t="shared" si="31"/>
        <v>1.1033014598828833E-2</v>
      </c>
      <c r="BF23" s="528">
        <f t="shared" si="32"/>
        <v>0.3639715250529566</v>
      </c>
      <c r="BG23" s="528">
        <f t="shared" si="33"/>
        <v>0.17230357308951316</v>
      </c>
      <c r="BH23" s="528">
        <f t="shared" si="34"/>
        <v>5.1454008258259687E-2</v>
      </c>
      <c r="BI23">
        <f t="shared" si="35"/>
        <v>1.0755563313551235E-2</v>
      </c>
      <c r="BJ23" s="460">
        <f t="shared" si="101"/>
        <v>183.0591364030644</v>
      </c>
      <c r="BK23">
        <f t="shared" si="36"/>
        <v>0.4305661670626636</v>
      </c>
      <c r="BL23" s="460">
        <f t="shared" si="102"/>
        <v>430.56616706266362</v>
      </c>
      <c r="BM23" s="173">
        <f t="shared" si="37"/>
        <v>0.15623999999999999</v>
      </c>
      <c r="BN23" s="173">
        <f t="shared" si="38"/>
        <v>1.116E-2</v>
      </c>
      <c r="BO23" s="528"/>
      <c r="BQ23" s="460">
        <f t="shared" si="103"/>
        <v>167.4</v>
      </c>
      <c r="BR23" s="528">
        <f t="shared" si="39"/>
        <v>8.2747609491216241E-3</v>
      </c>
      <c r="BS23" s="528">
        <f t="shared" si="104"/>
        <v>1.8288477036600057E-2</v>
      </c>
      <c r="BT23" s="528">
        <f t="shared" si="40"/>
        <v>3.0563231250710352E-5</v>
      </c>
      <c r="BU23" s="528">
        <f t="shared" si="41"/>
        <v>0.16049918526525803</v>
      </c>
      <c r="BV23" s="528">
        <f t="shared" si="42"/>
        <v>0.19388799628081974</v>
      </c>
      <c r="BW23" s="625">
        <f t="shared" si="43"/>
        <v>0.17799943058555787</v>
      </c>
      <c r="BX23" s="460">
        <f t="shared" si="105"/>
        <v>371.88742686637761</v>
      </c>
      <c r="BY23" s="173">
        <f t="shared" si="106"/>
        <v>0.96985359392904125</v>
      </c>
      <c r="BZ23" s="5">
        <f t="shared" si="107"/>
        <v>4.6440000000000001</v>
      </c>
      <c r="CA23" s="173">
        <f t="shared" si="108"/>
        <v>0.82723924347121114</v>
      </c>
      <c r="CB23" s="5">
        <f t="shared" si="109"/>
        <v>82.723924347121113</v>
      </c>
      <c r="CC23">
        <f t="shared" si="110"/>
        <v>18</v>
      </c>
      <c r="CE23" s="562">
        <f t="shared" si="44"/>
        <v>-50</v>
      </c>
      <c r="CF23">
        <f t="shared" si="45"/>
        <v>-50</v>
      </c>
      <c r="CG23" s="173">
        <f t="shared" si="46"/>
        <v>0.24386788685461586</v>
      </c>
      <c r="CH23" s="173">
        <f t="shared" si="47"/>
        <v>6.6470136128941787E-2</v>
      </c>
      <c r="CI23" s="170">
        <v>18</v>
      </c>
      <c r="CJ23" s="217">
        <f t="shared" si="133"/>
        <v>0.18</v>
      </c>
      <c r="CK23" s="217">
        <f t="shared" si="111"/>
        <v>1.7999999999999999E-2</v>
      </c>
      <c r="CL23" s="217">
        <f t="shared" si="48"/>
        <v>4.32</v>
      </c>
      <c r="CM23" s="217">
        <f t="shared" si="134"/>
        <v>0.32399999999999995</v>
      </c>
      <c r="CN23" s="541">
        <f t="shared" si="112"/>
        <v>24</v>
      </c>
      <c r="CO23" s="443">
        <f t="shared" si="49"/>
        <v>16.474900000000002</v>
      </c>
      <c r="CP23" s="443">
        <f t="shared" si="50"/>
        <v>40.474900000000005</v>
      </c>
      <c r="CQ23" s="443"/>
      <c r="CR23" s="217">
        <f t="shared" si="113"/>
        <v>0.40507913686898112</v>
      </c>
      <c r="CS23" s="172">
        <f t="shared" si="114"/>
        <v>50.242373565144938</v>
      </c>
      <c r="CT23" s="172">
        <f t="shared" si="51"/>
        <v>4.0507913686898105</v>
      </c>
      <c r="CU23" s="217">
        <f t="shared" si="52"/>
        <v>2.0934322318810392</v>
      </c>
      <c r="CV23" s="217">
        <f t="shared" si="53"/>
        <v>2.7912429758413855</v>
      </c>
      <c r="CW23" s="443">
        <f t="shared" si="54"/>
        <v>24</v>
      </c>
      <c r="CX23" s="217">
        <f t="shared" si="55"/>
        <v>0.95536887678609672</v>
      </c>
      <c r="CY23" s="217">
        <f t="shared" si="56"/>
        <v>0.39807036532754031</v>
      </c>
      <c r="CZ23" s="217">
        <f t="shared" si="57"/>
        <v>0.57989358162179838</v>
      </c>
      <c r="DA23" s="197">
        <f t="shared" si="58"/>
        <v>350</v>
      </c>
      <c r="DB23" s="443">
        <f t="shared" si="115"/>
        <v>350</v>
      </c>
      <c r="DD23" s="217">
        <f t="shared" si="59"/>
        <v>2.7911308701724487</v>
      </c>
      <c r="DE23" s="173">
        <f t="shared" si="60"/>
        <v>1.6941716612376698</v>
      </c>
      <c r="DF23" s="173">
        <f t="shared" si="61"/>
        <v>0.55195223422072148</v>
      </c>
      <c r="DG23" s="173"/>
      <c r="DH23" s="173">
        <f t="shared" si="62"/>
        <v>1.3488532386977903</v>
      </c>
      <c r="DI23" s="545">
        <f t="shared" si="63"/>
        <v>180.06299999999996</v>
      </c>
      <c r="DJ23" s="528">
        <f t="shared" si="64"/>
        <v>0.34987754285999911</v>
      </c>
      <c r="DL23" s="173">
        <f t="shared" si="65"/>
        <v>1.6290224939252023</v>
      </c>
      <c r="DM23" s="173">
        <f t="shared" si="66"/>
        <v>2.2222222222222223</v>
      </c>
      <c r="DN23" s="173">
        <f t="shared" si="67"/>
        <v>1.1028931428571429</v>
      </c>
      <c r="DP23" s="545">
        <f t="shared" si="68"/>
        <v>180</v>
      </c>
      <c r="DQ23" s="460">
        <f t="shared" si="69"/>
        <v>180.06299999999996</v>
      </c>
      <c r="DS23">
        <f t="shared" si="116"/>
        <v>180</v>
      </c>
      <c r="DT23" s="460">
        <f t="shared" si="70"/>
        <v>180.06299999999996</v>
      </c>
      <c r="DU23" s="460"/>
      <c r="DV23" s="5">
        <f t="shared" si="117"/>
        <v>5.5536117914285574</v>
      </c>
      <c r="DW23" s="5">
        <f t="shared" si="71"/>
        <v>0.92592592592592615</v>
      </c>
      <c r="DX23" s="5">
        <f t="shared" si="118"/>
        <v>4.6276858655026309</v>
      </c>
      <c r="DY23" s="173">
        <f t="shared" si="119"/>
        <v>0.16672499999999998</v>
      </c>
      <c r="EA23" s="5">
        <f t="shared" si="72"/>
        <v>0.69444444444444464</v>
      </c>
      <c r="EB23" s="5">
        <f t="shared" si="73"/>
        <v>9.2592592592592615E-2</v>
      </c>
      <c r="EC23" s="5">
        <f t="shared" si="74"/>
        <v>0.69415287982539453</v>
      </c>
      <c r="ED23" s="5"/>
      <c r="EE23" s="173">
        <f t="shared" si="120"/>
        <v>0.52387445485005701</v>
      </c>
      <c r="EF23" s="173">
        <f t="shared" si="75"/>
        <v>0.78117236098828824</v>
      </c>
      <c r="EG23" s="173">
        <f t="shared" si="76"/>
        <v>7.822279993139479E-2</v>
      </c>
      <c r="EH23" s="173"/>
      <c r="EI23" s="528">
        <f t="shared" si="77"/>
        <v>1.0977777777777777E-2</v>
      </c>
      <c r="EJ23" s="528">
        <f t="shared" si="78"/>
        <v>0.445379728365</v>
      </c>
      <c r="EK23" s="528">
        <f t="shared" si="79"/>
        <v>3.6012599999999985E-2</v>
      </c>
      <c r="EL23" s="528">
        <f t="shared" si="80"/>
        <v>5.1621913543583357E-2</v>
      </c>
      <c r="EM23">
        <f t="shared" si="81"/>
        <v>1.0800000000000001E-2</v>
      </c>
      <c r="EN23" s="460">
        <f t="shared" si="121"/>
        <v>46.812599999999982</v>
      </c>
      <c r="EO23">
        <f t="shared" si="82"/>
        <v>0.55921463039110297</v>
      </c>
      <c r="EP23" s="460">
        <f t="shared" si="122"/>
        <v>559.21463039110301</v>
      </c>
      <c r="EQ23" s="173">
        <f t="shared" si="83"/>
        <v>0.15623999999999999</v>
      </c>
      <c r="ER23" s="173">
        <f t="shared" si="84"/>
        <v>1.116E-2</v>
      </c>
      <c r="ES23" s="528"/>
      <c r="EU23" s="460">
        <f t="shared" si="123"/>
        <v>167.4</v>
      </c>
      <c r="EV23" s="528">
        <f t="shared" si="85"/>
        <v>8.2333333333333321E-3</v>
      </c>
      <c r="EW23" s="528">
        <f t="shared" si="124"/>
        <v>1.8306907727160496E-2</v>
      </c>
      <c r="EX23" s="528">
        <f t="shared" si="86"/>
        <v>3.059403214553508E-5</v>
      </c>
      <c r="EY23" s="528">
        <f t="shared" si="87"/>
        <v>0.16014003675214369</v>
      </c>
      <c r="EZ23" s="528">
        <f t="shared" si="88"/>
        <v>0.19349918706622421</v>
      </c>
      <c r="FA23" s="625">
        <f t="shared" si="89"/>
        <v>0.17784000000000003</v>
      </c>
      <c r="FB23" s="460">
        <f t="shared" si="125"/>
        <v>371.33918706622427</v>
      </c>
      <c r="FC23" s="173">
        <f t="shared" si="126"/>
        <v>1.0979538174573271</v>
      </c>
      <c r="FD23" s="5">
        <f t="shared" si="127"/>
        <v>4.6440000000000001</v>
      </c>
      <c r="FE23" s="173">
        <f t="shared" si="128"/>
        <v>0.80878393446509345</v>
      </c>
      <c r="FF23" s="5">
        <f t="shared" si="129"/>
        <v>80.878393446509349</v>
      </c>
      <c r="FG23">
        <f t="shared" si="130"/>
        <v>18</v>
      </c>
      <c r="FI23" s="562">
        <f t="shared" si="90"/>
        <v>-50</v>
      </c>
      <c r="FJ23">
        <f t="shared" si="91"/>
        <v>-50</v>
      </c>
      <c r="FL23">
        <f t="shared" si="92"/>
        <v>0.24386788685461586</v>
      </c>
    </row>
    <row r="24" spans="5:168">
      <c r="E24" s="170">
        <v>19</v>
      </c>
      <c r="F24" s="217">
        <f t="shared" si="131"/>
        <v>0.19</v>
      </c>
      <c r="G24" s="217">
        <f t="shared" si="93"/>
        <v>1.9000000000000003E-2</v>
      </c>
      <c r="H24" s="217">
        <f t="shared" si="0"/>
        <v>4.5600000000000005</v>
      </c>
      <c r="I24" s="217">
        <f t="shared" si="132"/>
        <v>0.34200000000000008</v>
      </c>
      <c r="J24" s="541">
        <f t="shared" si="1"/>
        <v>23.901251807891633</v>
      </c>
      <c r="K24" s="443">
        <f t="shared" si="2"/>
        <v>16.489669472300989</v>
      </c>
      <c r="L24" s="172">
        <f t="shared" si="3"/>
        <v>40.390921280192622</v>
      </c>
      <c r="M24" s="443"/>
      <c r="N24" s="217">
        <f t="shared" si="4"/>
        <v>0.40825187813647096</v>
      </c>
      <c r="O24" s="172">
        <f t="shared" si="94"/>
        <v>50.427550079506361</v>
      </c>
      <c r="P24" s="172">
        <f t="shared" si="5"/>
        <v>4.0657212251602006</v>
      </c>
      <c r="Q24" s="217">
        <f t="shared" si="6"/>
        <v>2.1011479199794318</v>
      </c>
      <c r="R24" s="217">
        <f t="shared" si="7"/>
        <v>2.8015305599725755</v>
      </c>
      <c r="S24" s="443">
        <f t="shared" si="8"/>
        <v>24</v>
      </c>
      <c r="T24" s="217">
        <f t="shared" si="9"/>
        <v>1.0047417847344022</v>
      </c>
      <c r="U24" s="217">
        <f t="shared" si="10"/>
        <v>0.42037203440644061</v>
      </c>
      <c r="V24" s="217">
        <f t="shared" si="11"/>
        <v>0.60931590316115614</v>
      </c>
      <c r="W24" s="197">
        <f t="shared" si="12"/>
        <v>350</v>
      </c>
      <c r="X24" s="443">
        <f t="shared" si="95"/>
        <v>350</v>
      </c>
      <c r="Z24" s="217">
        <f t="shared" si="13"/>
        <v>2.7879231258241366</v>
      </c>
      <c r="AA24" s="173">
        <f t="shared" si="14"/>
        <v>1.6907089196100828</v>
      </c>
      <c r="AB24" s="173">
        <f t="shared" si="15"/>
        <v>0.55019104924771167</v>
      </c>
      <c r="AC24" s="173"/>
      <c r="AD24" s="173">
        <f t="shared" si="16"/>
        <v>1.3476450974078444</v>
      </c>
      <c r="AE24" s="545">
        <f t="shared" si="17"/>
        <v>190.23689143831496</v>
      </c>
      <c r="AF24" s="528">
        <f t="shared" si="18"/>
        <v>0.34956416443317928</v>
      </c>
      <c r="AH24" s="173">
        <f t="shared" si="19"/>
        <v>1.6736615121173268</v>
      </c>
      <c r="AI24" s="173">
        <f t="shared" si="20"/>
        <v>2.2222222222222223</v>
      </c>
      <c r="AJ24" s="173">
        <f t="shared" si="21"/>
        <v>1.1087067951076086</v>
      </c>
      <c r="AL24" s="545">
        <f t="shared" si="22"/>
        <v>190</v>
      </c>
      <c r="AM24" s="460">
        <f t="shared" si="23"/>
        <v>190.23689143831496</v>
      </c>
      <c r="AO24">
        <f t="shared" si="96"/>
        <v>190</v>
      </c>
      <c r="AP24" s="460">
        <f t="shared" si="24"/>
        <v>190.23689143831496</v>
      </c>
      <c r="AQ24" s="460"/>
      <c r="AR24" s="5">
        <f t="shared" si="97"/>
        <v>5.256603976438786</v>
      </c>
      <c r="AS24" s="5">
        <f t="shared" si="25"/>
        <v>0.92975139548485786</v>
      </c>
      <c r="AT24" s="5">
        <f t="shared" si="98"/>
        <v>4.3268525809539282</v>
      </c>
      <c r="AU24" s="173">
        <f t="shared" si="99"/>
        <v>0.17687301528747473</v>
      </c>
      <c r="AW24" s="5">
        <f t="shared" si="26"/>
        <v>0.73605318809217912</v>
      </c>
      <c r="AX24" s="5">
        <f t="shared" si="27"/>
        <v>9.8140425078957233E-2</v>
      </c>
      <c r="AY24" s="5">
        <f t="shared" si="28"/>
        <v>0.68791542550905849</v>
      </c>
      <c r="AZ24" s="5"/>
      <c r="BA24" s="173">
        <f t="shared" si="100"/>
        <v>0.53958224244130115</v>
      </c>
      <c r="BB24" s="173">
        <f t="shared" si="29"/>
        <v>0.77640104725312831</v>
      </c>
      <c r="BC24" s="173">
        <f t="shared" si="30"/>
        <v>7.7745023785752432E-2</v>
      </c>
      <c r="BD24" s="173"/>
      <c r="BE24" s="528">
        <f t="shared" si="31"/>
        <v>1.1645959854319323E-2</v>
      </c>
      <c r="BF24" s="528">
        <f t="shared" si="32"/>
        <v>0.38419216533367651</v>
      </c>
      <c r="BG24" s="528">
        <f t="shared" si="33"/>
        <v>0.18187599381670835</v>
      </c>
      <c r="BH24" s="528">
        <f t="shared" si="34"/>
        <v>5.4312564272607451E-2</v>
      </c>
      <c r="BI24">
        <f t="shared" si="35"/>
        <v>1.0755563313551235E-2</v>
      </c>
      <c r="BJ24" s="460">
        <f t="shared" si="101"/>
        <v>192.63155713025958</v>
      </c>
      <c r="BK24">
        <f t="shared" si="36"/>
        <v>0.45455288284022233</v>
      </c>
      <c r="BL24" s="460">
        <f t="shared" si="102"/>
        <v>454.55288284022231</v>
      </c>
      <c r="BM24" s="173">
        <f t="shared" si="37"/>
        <v>0.16491999999999998</v>
      </c>
      <c r="BN24" s="173">
        <f t="shared" si="38"/>
        <v>1.1780000000000002E-2</v>
      </c>
      <c r="BO24" s="528"/>
      <c r="BQ24" s="460">
        <f t="shared" si="103"/>
        <v>176.7</v>
      </c>
      <c r="BR24" s="528">
        <f t="shared" si="39"/>
        <v>8.7344698907394925E-3</v>
      </c>
      <c r="BS24" s="528">
        <f t="shared" si="104"/>
        <v>1.808395758527263E-2</v>
      </c>
      <c r="BT24" s="528">
        <f t="shared" si="40"/>
        <v>3.0221443617236056E-5</v>
      </c>
      <c r="BU24" s="528">
        <f t="shared" si="41"/>
        <v>0.18372809489004682</v>
      </c>
      <c r="BV24" s="528">
        <f t="shared" si="42"/>
        <v>0.21748755932035357</v>
      </c>
      <c r="BW24" s="625">
        <f t="shared" si="43"/>
        <v>0.18788828784031111</v>
      </c>
      <c r="BX24" s="460">
        <f t="shared" si="105"/>
        <v>405.37584716066465</v>
      </c>
      <c r="BY24" s="173">
        <f t="shared" si="106"/>
        <v>1.036628730000887</v>
      </c>
      <c r="BZ24" s="5">
        <f t="shared" si="107"/>
        <v>4.902000000000001</v>
      </c>
      <c r="CA24" s="173">
        <f t="shared" si="108"/>
        <v>0.82544308170604697</v>
      </c>
      <c r="CB24" s="5">
        <f t="shared" si="109"/>
        <v>82.544308170604694</v>
      </c>
      <c r="CC24">
        <f t="shared" si="110"/>
        <v>19</v>
      </c>
      <c r="CE24" s="562">
        <f t="shared" si="44"/>
        <v>-50</v>
      </c>
      <c r="CF24">
        <f t="shared" si="45"/>
        <v>-50</v>
      </c>
      <c r="CG24" s="173">
        <f t="shared" si="46"/>
        <v>0.25741610279098337</v>
      </c>
      <c r="CH24" s="173">
        <f t="shared" si="47"/>
        <v>7.0162921469438561E-2</v>
      </c>
      <c r="CI24" s="170">
        <v>19</v>
      </c>
      <c r="CJ24" s="217">
        <f t="shared" si="133"/>
        <v>0.19</v>
      </c>
      <c r="CK24" s="217">
        <f t="shared" si="111"/>
        <v>1.9000000000000003E-2</v>
      </c>
      <c r="CL24" s="217">
        <f t="shared" si="48"/>
        <v>4.5600000000000005</v>
      </c>
      <c r="CM24" s="217">
        <f t="shared" si="134"/>
        <v>0.34200000000000008</v>
      </c>
      <c r="CN24" s="541">
        <f t="shared" si="112"/>
        <v>24</v>
      </c>
      <c r="CO24" s="443">
        <f t="shared" si="49"/>
        <v>16.474900000000002</v>
      </c>
      <c r="CP24" s="443">
        <f t="shared" si="50"/>
        <v>40.474900000000005</v>
      </c>
      <c r="CQ24" s="443"/>
      <c r="CR24" s="217">
        <f t="shared" si="113"/>
        <v>0.40507913686898112</v>
      </c>
      <c r="CS24" s="172">
        <f t="shared" si="114"/>
        <v>50.242373565144938</v>
      </c>
      <c r="CT24" s="172">
        <f t="shared" si="51"/>
        <v>4.0507913686898105</v>
      </c>
      <c r="CU24" s="217">
        <f t="shared" si="52"/>
        <v>2.0934322318810392</v>
      </c>
      <c r="CV24" s="217">
        <f t="shared" si="53"/>
        <v>2.7912429758413855</v>
      </c>
      <c r="CW24" s="443">
        <f t="shared" si="54"/>
        <v>24</v>
      </c>
      <c r="CX24" s="217">
        <f t="shared" si="55"/>
        <v>1.0084449254964356</v>
      </c>
      <c r="CY24" s="217">
        <f t="shared" si="56"/>
        <v>0.42018538562351493</v>
      </c>
      <c r="CZ24" s="217">
        <f t="shared" si="57"/>
        <v>0.61210989171189845</v>
      </c>
      <c r="DA24" s="197">
        <f t="shared" si="58"/>
        <v>350</v>
      </c>
      <c r="DB24" s="443">
        <f t="shared" si="115"/>
        <v>350</v>
      </c>
      <c r="DD24" s="217">
        <f t="shared" si="59"/>
        <v>2.7911308701724487</v>
      </c>
      <c r="DE24" s="173">
        <f t="shared" si="60"/>
        <v>1.6941716612376698</v>
      </c>
      <c r="DF24" s="173">
        <f t="shared" si="61"/>
        <v>0.55195223422072148</v>
      </c>
      <c r="DG24" s="173"/>
      <c r="DH24" s="173">
        <f t="shared" si="62"/>
        <v>1.3488532386977903</v>
      </c>
      <c r="DI24" s="545">
        <f t="shared" si="63"/>
        <v>190.06649999999993</v>
      </c>
      <c r="DJ24" s="528">
        <f t="shared" si="64"/>
        <v>0.34987754285999911</v>
      </c>
      <c r="DL24" s="173">
        <f t="shared" si="65"/>
        <v>1.6736615121173268</v>
      </c>
      <c r="DM24" s="173">
        <f t="shared" si="66"/>
        <v>2.2222222222222223</v>
      </c>
      <c r="DN24" s="173">
        <f t="shared" si="67"/>
        <v>1.1086094285714285</v>
      </c>
      <c r="DP24" s="545">
        <f t="shared" si="68"/>
        <v>190</v>
      </c>
      <c r="DQ24" s="460">
        <f t="shared" si="69"/>
        <v>190.06649999999993</v>
      </c>
      <c r="DS24">
        <f t="shared" si="116"/>
        <v>190</v>
      </c>
      <c r="DT24" s="460">
        <f t="shared" si="70"/>
        <v>190.06649999999993</v>
      </c>
      <c r="DU24" s="460"/>
      <c r="DV24" s="5">
        <f t="shared" si="117"/>
        <v>5.2613164339849492</v>
      </c>
      <c r="DW24" s="5">
        <f t="shared" si="71"/>
        <v>0.92592592592592615</v>
      </c>
      <c r="DX24" s="5">
        <f t="shared" si="118"/>
        <v>4.3353905080590227</v>
      </c>
      <c r="DY24" s="173">
        <f t="shared" si="119"/>
        <v>0.17598749999999999</v>
      </c>
      <c r="EA24" s="5">
        <f t="shared" si="72"/>
        <v>0.73302469135802484</v>
      </c>
      <c r="EB24" s="5">
        <f t="shared" si="73"/>
        <v>9.7736625514403333E-2</v>
      </c>
      <c r="EC24" s="5">
        <f t="shared" si="74"/>
        <v>0.68643683044267856</v>
      </c>
      <c r="ED24" s="5"/>
      <c r="EE24" s="173">
        <f t="shared" si="120"/>
        <v>0.53822983754590503</v>
      </c>
      <c r="EF24" s="173">
        <f t="shared" si="75"/>
        <v>0.77681855889017881</v>
      </c>
      <c r="EG24" s="173">
        <f t="shared" si="76"/>
        <v>7.7786831369948975E-2</v>
      </c>
      <c r="EH24" s="173"/>
      <c r="EI24" s="528">
        <f t="shared" si="77"/>
        <v>1.1587654320987652E-2</v>
      </c>
      <c r="EJ24" s="528">
        <f t="shared" si="78"/>
        <v>0.47012304660749993</v>
      </c>
      <c r="EK24" s="528">
        <f t="shared" si="79"/>
        <v>3.8013299999999986E-2</v>
      </c>
      <c r="EL24" s="528">
        <f t="shared" si="80"/>
        <v>5.4489797629337984E-2</v>
      </c>
      <c r="EM24">
        <f t="shared" si="81"/>
        <v>1.0800000000000001E-2</v>
      </c>
      <c r="EN24" s="460">
        <f t="shared" si="121"/>
        <v>48.813299999999991</v>
      </c>
      <c r="EO24">
        <f t="shared" si="82"/>
        <v>0.58976622532315137</v>
      </c>
      <c r="EP24" s="460">
        <f t="shared" si="122"/>
        <v>589.76622532315139</v>
      </c>
      <c r="EQ24" s="173">
        <f t="shared" si="83"/>
        <v>0.16491999999999998</v>
      </c>
      <c r="ER24" s="173">
        <f t="shared" si="84"/>
        <v>1.1780000000000002E-2</v>
      </c>
      <c r="ES24" s="528"/>
      <c r="EU24" s="460">
        <f t="shared" si="123"/>
        <v>176.7</v>
      </c>
      <c r="EV24" s="528">
        <f t="shared" si="85"/>
        <v>8.6907407407407385E-3</v>
      </c>
      <c r="EW24" s="528">
        <f t="shared" si="124"/>
        <v>1.8103412203086425E-2</v>
      </c>
      <c r="EX24" s="528">
        <f t="shared" si="86"/>
        <v>3.0253955672884392E-5</v>
      </c>
      <c r="EY24" s="528">
        <f t="shared" si="87"/>
        <v>0.18331696712021991</v>
      </c>
      <c r="EZ24" s="528">
        <f t="shared" si="88"/>
        <v>0.21704499994712667</v>
      </c>
      <c r="FA24" s="625">
        <f t="shared" si="89"/>
        <v>0.18771999999999997</v>
      </c>
      <c r="FB24" s="460">
        <f t="shared" si="125"/>
        <v>404.76499994712668</v>
      </c>
      <c r="FC24" s="173">
        <f t="shared" si="126"/>
        <v>1.1712312252702779</v>
      </c>
      <c r="FD24" s="5">
        <f t="shared" si="127"/>
        <v>4.902000000000001</v>
      </c>
      <c r="FE24" s="173">
        <f t="shared" si="128"/>
        <v>0.80714858667049116</v>
      </c>
      <c r="FF24" s="5">
        <f t="shared" si="129"/>
        <v>80.714858667049114</v>
      </c>
      <c r="FG24">
        <f t="shared" si="130"/>
        <v>19</v>
      </c>
      <c r="FI24" s="562">
        <f t="shared" si="90"/>
        <v>-50</v>
      </c>
      <c r="FJ24">
        <f t="shared" si="91"/>
        <v>-50</v>
      </c>
      <c r="FL24">
        <f t="shared" si="92"/>
        <v>0.25741610279098343</v>
      </c>
    </row>
    <row r="25" spans="5:168">
      <c r="E25" s="170">
        <v>20</v>
      </c>
      <c r="F25" s="217">
        <f t="shared" si="131"/>
        <v>0.2</v>
      </c>
      <c r="G25" s="217">
        <f t="shared" si="93"/>
        <v>2.0000000000000004E-2</v>
      </c>
      <c r="H25" s="217">
        <f t="shared" si="0"/>
        <v>4.8000000000000007</v>
      </c>
      <c r="I25" s="217">
        <f t="shared" si="132"/>
        <v>0.3600000000000001</v>
      </c>
      <c r="J25" s="541">
        <f t="shared" si="1"/>
        <v>23.901251807891633</v>
      </c>
      <c r="K25" s="443">
        <f t="shared" si="2"/>
        <v>16.489669472300989</v>
      </c>
      <c r="L25" s="172">
        <f t="shared" si="3"/>
        <v>40.390921280192622</v>
      </c>
      <c r="M25" s="443"/>
      <c r="N25" s="217">
        <f t="shared" si="4"/>
        <v>0.40825187813647096</v>
      </c>
      <c r="O25" s="172">
        <f t="shared" si="94"/>
        <v>50.427550079506361</v>
      </c>
      <c r="P25" s="172">
        <f t="shared" si="5"/>
        <v>4.0657212251602006</v>
      </c>
      <c r="Q25" s="217">
        <f t="shared" si="6"/>
        <v>2.1011479199794318</v>
      </c>
      <c r="R25" s="217">
        <f t="shared" si="7"/>
        <v>2.8015305599725755</v>
      </c>
      <c r="S25" s="443">
        <f t="shared" si="8"/>
        <v>24</v>
      </c>
      <c r="T25" s="217">
        <f t="shared" si="9"/>
        <v>1.0576229312993708</v>
      </c>
      <c r="U25" s="217">
        <f t="shared" si="10"/>
        <v>0.44249687832256912</v>
      </c>
      <c r="V25" s="217">
        <f t="shared" si="11"/>
        <v>0.64138516122226963</v>
      </c>
      <c r="W25" s="197">
        <f t="shared" si="12"/>
        <v>350</v>
      </c>
      <c r="X25" s="443">
        <f t="shared" si="95"/>
        <v>350</v>
      </c>
      <c r="Z25" s="217">
        <f t="shared" si="13"/>
        <v>2.7879231258241366</v>
      </c>
      <c r="AA25" s="173">
        <f t="shared" si="14"/>
        <v>1.6907089196100828</v>
      </c>
      <c r="AB25" s="173">
        <f t="shared" si="15"/>
        <v>0.55019104924771167</v>
      </c>
      <c r="AC25" s="173"/>
      <c r="AD25" s="173">
        <f t="shared" si="16"/>
        <v>1.3476450974078444</v>
      </c>
      <c r="AE25" s="545">
        <f t="shared" si="17"/>
        <v>200.24935940875261</v>
      </c>
      <c r="AF25" s="528">
        <f t="shared" si="18"/>
        <v>0.34956416443317928</v>
      </c>
      <c r="AH25" s="173">
        <f t="shared" si="19"/>
        <v>1.7171404801504824</v>
      </c>
      <c r="AI25" s="173">
        <f t="shared" si="20"/>
        <v>2.2222222222222223</v>
      </c>
      <c r="AJ25" s="173">
        <f t="shared" si="21"/>
        <v>1.1144282053764301</v>
      </c>
      <c r="AL25" s="545">
        <f t="shared" si="22"/>
        <v>200</v>
      </c>
      <c r="AM25" s="460">
        <f t="shared" si="23"/>
        <v>200.24935940875261</v>
      </c>
      <c r="AO25">
        <f t="shared" si="96"/>
        <v>200</v>
      </c>
      <c r="AP25" s="460">
        <f t="shared" si="24"/>
        <v>200.24935940875261</v>
      </c>
      <c r="AQ25" s="460"/>
      <c r="AR25" s="5">
        <f t="shared" si="97"/>
        <v>4.9937737776168456</v>
      </c>
      <c r="AS25" s="5">
        <f t="shared" si="25"/>
        <v>0.92975139548485786</v>
      </c>
      <c r="AT25" s="5">
        <f t="shared" si="98"/>
        <v>4.0640223821319879</v>
      </c>
      <c r="AU25" s="173">
        <f t="shared" si="99"/>
        <v>0.1861821213552366</v>
      </c>
      <c r="AW25" s="5">
        <f t="shared" si="26"/>
        <v>0.77479282957071505</v>
      </c>
      <c r="AX25" s="5">
        <f t="shared" si="27"/>
        <v>0.10330571060942867</v>
      </c>
      <c r="AY25" s="5">
        <f t="shared" si="28"/>
        <v>0.68013548659240397</v>
      </c>
      <c r="AZ25" s="5"/>
      <c r="BA25" s="173">
        <f t="shared" si="100"/>
        <v>0.55359969991433833</v>
      </c>
      <c r="BB25" s="173">
        <f t="shared" si="29"/>
        <v>0.77199823259610278</v>
      </c>
      <c r="BC25" s="173">
        <f t="shared" si="30"/>
        <v>7.7304147345096233E-2</v>
      </c>
      <c r="BD25" s="173"/>
      <c r="BE25" s="528">
        <f t="shared" si="31"/>
        <v>1.225890510980982E-2</v>
      </c>
      <c r="BF25" s="528">
        <f t="shared" si="32"/>
        <v>0.40441280561439635</v>
      </c>
      <c r="BG25" s="528">
        <f t="shared" si="33"/>
        <v>0.19144841454390357</v>
      </c>
      <c r="BH25" s="528">
        <f t="shared" si="34"/>
        <v>5.7171120286955222E-2</v>
      </c>
      <c r="BI25">
        <f t="shared" si="35"/>
        <v>1.0755563313551235E-2</v>
      </c>
      <c r="BJ25" s="460">
        <f t="shared" si="101"/>
        <v>202.20397785745482</v>
      </c>
      <c r="BK25">
        <f t="shared" si="36"/>
        <v>0.47854660567608409</v>
      </c>
      <c r="BL25" s="460">
        <f t="shared" si="102"/>
        <v>478.54660567608408</v>
      </c>
      <c r="BM25" s="173">
        <f t="shared" si="37"/>
        <v>0.17359999999999998</v>
      </c>
      <c r="BN25" s="173">
        <f t="shared" si="38"/>
        <v>1.2400000000000003E-2</v>
      </c>
      <c r="BO25" s="528"/>
      <c r="BQ25" s="460">
        <f t="shared" si="103"/>
        <v>185.99999999999997</v>
      </c>
      <c r="BR25" s="528">
        <f t="shared" si="39"/>
        <v>9.1941788323573644E-3</v>
      </c>
      <c r="BS25" s="528">
        <f t="shared" si="104"/>
        <v>1.7879438133945193E-2</v>
      </c>
      <c r="BT25" s="528">
        <f t="shared" si="40"/>
        <v>2.9879655983761746E-5</v>
      </c>
      <c r="BU25" s="528">
        <f t="shared" si="41"/>
        <v>0.20886542717677051</v>
      </c>
      <c r="BV25" s="528">
        <f t="shared" si="42"/>
        <v>0.24300065638597118</v>
      </c>
      <c r="BW25" s="625">
        <f t="shared" si="43"/>
        <v>0.19777714509506436</v>
      </c>
      <c r="BX25" s="460">
        <f t="shared" si="105"/>
        <v>440.77780148103551</v>
      </c>
      <c r="BY25" s="173">
        <f t="shared" si="106"/>
        <v>1.1053244071571195</v>
      </c>
      <c r="BZ25" s="5">
        <f t="shared" si="107"/>
        <v>5.160000000000001</v>
      </c>
      <c r="CA25" s="173">
        <f t="shared" si="108"/>
        <v>0.82358065834636351</v>
      </c>
      <c r="CB25" s="5">
        <f t="shared" si="109"/>
        <v>82.358065834636349</v>
      </c>
      <c r="CC25">
        <f t="shared" si="110"/>
        <v>20</v>
      </c>
      <c r="CE25" s="562">
        <f t="shared" si="44"/>
        <v>-50</v>
      </c>
      <c r="CF25">
        <f t="shared" si="45"/>
        <v>-50</v>
      </c>
      <c r="CG25" s="173">
        <f t="shared" si="46"/>
        <v>0.27096431872735094</v>
      </c>
      <c r="CH25" s="173">
        <f t="shared" si="47"/>
        <v>7.3855706809935334E-2</v>
      </c>
      <c r="CI25" s="170">
        <v>20</v>
      </c>
      <c r="CJ25" s="217">
        <f t="shared" si="133"/>
        <v>0.2</v>
      </c>
      <c r="CK25" s="217">
        <f t="shared" si="111"/>
        <v>2.0000000000000004E-2</v>
      </c>
      <c r="CL25" s="217">
        <f t="shared" si="48"/>
        <v>4.8000000000000007</v>
      </c>
      <c r="CM25" s="217">
        <f t="shared" si="134"/>
        <v>0.3600000000000001</v>
      </c>
      <c r="CN25" s="541">
        <f t="shared" si="112"/>
        <v>24</v>
      </c>
      <c r="CO25" s="443">
        <f t="shared" si="49"/>
        <v>16.474900000000002</v>
      </c>
      <c r="CP25" s="443">
        <f t="shared" si="50"/>
        <v>40.474900000000005</v>
      </c>
      <c r="CQ25" s="443"/>
      <c r="CR25" s="217">
        <f t="shared" si="113"/>
        <v>0.40507913686898112</v>
      </c>
      <c r="CS25" s="172">
        <f t="shared" si="114"/>
        <v>50.242373565144938</v>
      </c>
      <c r="CT25" s="172">
        <f t="shared" si="51"/>
        <v>4.0507913686898105</v>
      </c>
      <c r="CU25" s="217">
        <f t="shared" si="52"/>
        <v>2.0934322318810392</v>
      </c>
      <c r="CV25" s="217">
        <f t="shared" si="53"/>
        <v>2.7912429758413855</v>
      </c>
      <c r="CW25" s="443">
        <f t="shared" si="54"/>
        <v>24</v>
      </c>
      <c r="CX25" s="217">
        <f t="shared" si="55"/>
        <v>1.0615209742067744</v>
      </c>
      <c r="CY25" s="217">
        <f t="shared" si="56"/>
        <v>0.44230040591948933</v>
      </c>
      <c r="CZ25" s="217">
        <f t="shared" si="57"/>
        <v>0.6443262018019984</v>
      </c>
      <c r="DA25" s="197">
        <f t="shared" si="58"/>
        <v>350</v>
      </c>
      <c r="DB25" s="443">
        <f t="shared" si="115"/>
        <v>350</v>
      </c>
      <c r="DD25" s="217">
        <f t="shared" si="59"/>
        <v>2.7911308701724487</v>
      </c>
      <c r="DE25" s="173">
        <f t="shared" si="60"/>
        <v>1.6941716612376698</v>
      </c>
      <c r="DF25" s="173">
        <f t="shared" si="61"/>
        <v>0.55195223422072148</v>
      </c>
      <c r="DG25" s="173"/>
      <c r="DH25" s="173">
        <f t="shared" si="62"/>
        <v>1.3488532386977903</v>
      </c>
      <c r="DI25" s="545">
        <f t="shared" si="63"/>
        <v>200.06999999999994</v>
      </c>
      <c r="DJ25" s="528">
        <f t="shared" si="64"/>
        <v>0.34987754285999911</v>
      </c>
      <c r="DL25" s="173">
        <f t="shared" si="65"/>
        <v>1.7171404801504824</v>
      </c>
      <c r="DM25" s="173">
        <f t="shared" si="66"/>
        <v>2.2222222222222223</v>
      </c>
      <c r="DN25" s="173">
        <f t="shared" si="67"/>
        <v>1.1143257142857141</v>
      </c>
      <c r="DP25" s="545">
        <f t="shared" si="68"/>
        <v>200</v>
      </c>
      <c r="DQ25" s="460">
        <f t="shared" si="69"/>
        <v>200.06999999999994</v>
      </c>
      <c r="DS25">
        <f t="shared" si="116"/>
        <v>200</v>
      </c>
      <c r="DT25" s="460">
        <f t="shared" si="70"/>
        <v>200.06999999999994</v>
      </c>
      <c r="DU25" s="460"/>
      <c r="DV25" s="5">
        <f t="shared" si="117"/>
        <v>4.9982506122857018</v>
      </c>
      <c r="DW25" s="5">
        <f t="shared" si="71"/>
        <v>0.92592592592592615</v>
      </c>
      <c r="DX25" s="5">
        <f t="shared" si="118"/>
        <v>4.0723246863597753</v>
      </c>
      <c r="DY25" s="173">
        <f t="shared" si="119"/>
        <v>0.18524999999999997</v>
      </c>
      <c r="EA25" s="5">
        <f t="shared" si="72"/>
        <v>0.77160493827160515</v>
      </c>
      <c r="EB25" s="5">
        <f t="shared" si="73"/>
        <v>0.10288065843621405</v>
      </c>
      <c r="EC25" s="5">
        <f t="shared" si="74"/>
        <v>0.67872078105996259</v>
      </c>
      <c r="ED25" s="5"/>
      <c r="EE25" s="173">
        <f t="shared" si="120"/>
        <v>0.55221216176840782</v>
      </c>
      <c r="EF25" s="173">
        <f t="shared" si="75"/>
        <v>0.77244021729866674</v>
      </c>
      <c r="EG25" s="173">
        <f t="shared" si="76"/>
        <v>7.7348405543015142E-2</v>
      </c>
      <c r="EH25" s="173"/>
      <c r="EI25" s="528">
        <f t="shared" si="77"/>
        <v>1.2197530864197528E-2</v>
      </c>
      <c r="EJ25" s="528">
        <f t="shared" si="78"/>
        <v>0.49486636484999991</v>
      </c>
      <c r="EK25" s="528">
        <f t="shared" si="79"/>
        <v>4.0013999999999987E-2</v>
      </c>
      <c r="EL25" s="528">
        <f t="shared" si="80"/>
        <v>5.7357681715092618E-2</v>
      </c>
      <c r="EM25">
        <f t="shared" si="81"/>
        <v>1.0800000000000001E-2</v>
      </c>
      <c r="EN25" s="460">
        <f t="shared" si="121"/>
        <v>50.813999999999986</v>
      </c>
      <c r="EO25">
        <f t="shared" si="82"/>
        <v>0.62032670025017511</v>
      </c>
      <c r="EP25" s="460">
        <f t="shared" si="122"/>
        <v>620.32670025017512</v>
      </c>
      <c r="EQ25" s="173">
        <f t="shared" si="83"/>
        <v>0.17359999999999998</v>
      </c>
      <c r="ER25" s="173">
        <f t="shared" si="84"/>
        <v>1.2400000000000003E-2</v>
      </c>
      <c r="ES25" s="528"/>
      <c r="EU25" s="460">
        <f t="shared" si="123"/>
        <v>185.99999999999997</v>
      </c>
      <c r="EV25" s="528">
        <f t="shared" si="85"/>
        <v>9.1481481481481448E-3</v>
      </c>
      <c r="EW25" s="528">
        <f t="shared" si="124"/>
        <v>1.7899916679012345E-2</v>
      </c>
      <c r="EX25" s="528">
        <f t="shared" si="86"/>
        <v>2.9913879200233677E-5</v>
      </c>
      <c r="EY25" s="528">
        <f t="shared" si="87"/>
        <v>0.20839804967894915</v>
      </c>
      <c r="EZ25" s="528">
        <f t="shared" si="88"/>
        <v>0.24250005618344658</v>
      </c>
      <c r="FA25" s="625">
        <f t="shared" si="89"/>
        <v>0.19759999999999997</v>
      </c>
      <c r="FB25" s="460">
        <f t="shared" si="125"/>
        <v>440.10005618344655</v>
      </c>
      <c r="FC25" s="173">
        <f t="shared" si="126"/>
        <v>1.2464267564336216</v>
      </c>
      <c r="FD25" s="5">
        <f t="shared" si="127"/>
        <v>5.160000000000001</v>
      </c>
      <c r="FE25" s="173">
        <f t="shared" si="128"/>
        <v>0.80544119150634108</v>
      </c>
      <c r="FF25" s="5">
        <f t="shared" si="129"/>
        <v>80.544119150634103</v>
      </c>
      <c r="FG25">
        <f t="shared" si="130"/>
        <v>20</v>
      </c>
      <c r="FI25" s="562">
        <f t="shared" si="90"/>
        <v>-50</v>
      </c>
      <c r="FJ25">
        <f t="shared" si="91"/>
        <v>-50</v>
      </c>
      <c r="FL25">
        <f t="shared" si="92"/>
        <v>0.27096431872735094</v>
      </c>
    </row>
    <row r="26" spans="5:168">
      <c r="E26" s="170">
        <v>21</v>
      </c>
      <c r="F26" s="217">
        <f t="shared" si="131"/>
        <v>0.21</v>
      </c>
      <c r="G26" s="217">
        <f t="shared" si="93"/>
        <v>2.1000000000000001E-2</v>
      </c>
      <c r="H26" s="217">
        <f t="shared" si="0"/>
        <v>5.04</v>
      </c>
      <c r="I26" s="217">
        <f t="shared" si="132"/>
        <v>0.378</v>
      </c>
      <c r="J26" s="541">
        <f t="shared" si="1"/>
        <v>23.901251807891633</v>
      </c>
      <c r="K26" s="443">
        <f t="shared" si="2"/>
        <v>16.489669472300989</v>
      </c>
      <c r="L26" s="172">
        <f t="shared" si="3"/>
        <v>40.390921280192622</v>
      </c>
      <c r="M26" s="443"/>
      <c r="N26" s="217">
        <f t="shared" si="4"/>
        <v>0.40825187813647096</v>
      </c>
      <c r="O26" s="172">
        <f t="shared" si="94"/>
        <v>50.427550079506361</v>
      </c>
      <c r="P26" s="172">
        <f t="shared" si="5"/>
        <v>4.0657212251602006</v>
      </c>
      <c r="Q26" s="217">
        <f t="shared" si="6"/>
        <v>2.1011479199794318</v>
      </c>
      <c r="R26" s="217">
        <f t="shared" si="7"/>
        <v>2.8015305599725755</v>
      </c>
      <c r="S26" s="443">
        <f t="shared" si="8"/>
        <v>24</v>
      </c>
      <c r="T26" s="217">
        <f t="shared" si="9"/>
        <v>1.1105040778643391</v>
      </c>
      <c r="U26" s="217">
        <f t="shared" si="10"/>
        <v>0.46462172223869747</v>
      </c>
      <c r="V26" s="217">
        <f t="shared" si="11"/>
        <v>0.67345441928338301</v>
      </c>
      <c r="W26" s="197">
        <f t="shared" si="12"/>
        <v>350</v>
      </c>
      <c r="X26" s="443">
        <f t="shared" si="95"/>
        <v>350</v>
      </c>
      <c r="Z26" s="217">
        <f t="shared" si="13"/>
        <v>2.7879231258241366</v>
      </c>
      <c r="AA26" s="173">
        <f t="shared" si="14"/>
        <v>1.6907089196100828</v>
      </c>
      <c r="AB26" s="173">
        <f t="shared" si="15"/>
        <v>0.55019104924771167</v>
      </c>
      <c r="AC26" s="173"/>
      <c r="AD26" s="173">
        <f t="shared" si="16"/>
        <v>1.3476450974078444</v>
      </c>
      <c r="AE26" s="545">
        <f t="shared" si="17"/>
        <v>210.26182737919018</v>
      </c>
      <c r="AF26" s="528">
        <f t="shared" si="18"/>
        <v>0.34956416443317928</v>
      </c>
      <c r="AH26" s="173">
        <f t="shared" si="19"/>
        <v>1.7595453958338214</v>
      </c>
      <c r="AI26" s="173">
        <f t="shared" si="20"/>
        <v>2.2222222222222223</v>
      </c>
      <c r="AJ26" s="173">
        <f t="shared" si="21"/>
        <v>1.1201496156452515</v>
      </c>
      <c r="AL26" s="545">
        <f t="shared" si="22"/>
        <v>210</v>
      </c>
      <c r="AM26" s="460">
        <f t="shared" si="23"/>
        <v>210.26182737919018</v>
      </c>
      <c r="AO26">
        <f t="shared" si="96"/>
        <v>210</v>
      </c>
      <c r="AP26" s="460">
        <f t="shared" si="24"/>
        <v>210.26182737919018</v>
      </c>
      <c r="AQ26" s="460"/>
      <c r="AR26" s="5">
        <f t="shared" si="97"/>
        <v>4.7559750263017593</v>
      </c>
      <c r="AS26" s="5">
        <f t="shared" si="25"/>
        <v>0.92975139548485786</v>
      </c>
      <c r="AT26" s="5">
        <f t="shared" si="98"/>
        <v>3.8262236308169015</v>
      </c>
      <c r="AU26" s="173">
        <f t="shared" si="99"/>
        <v>0.19549122742299838</v>
      </c>
      <c r="AW26" s="5">
        <f t="shared" si="26"/>
        <v>0.81353247104925053</v>
      </c>
      <c r="AX26" s="5">
        <f t="shared" si="27"/>
        <v>0.10847099613990009</v>
      </c>
      <c r="AY26" s="5">
        <f t="shared" si="28"/>
        <v>0.6723555476757499</v>
      </c>
      <c r="AZ26" s="5"/>
      <c r="BA26" s="173">
        <f t="shared" si="100"/>
        <v>0.56727088690722316</v>
      </c>
      <c r="BB26" s="173">
        <f t="shared" si="29"/>
        <v>0.76757016362496711</v>
      </c>
      <c r="BC26" s="173">
        <f t="shared" si="30"/>
        <v>7.6860742060283857E-2</v>
      </c>
      <c r="BD26" s="173"/>
      <c r="BE26" s="528">
        <f t="shared" si="31"/>
        <v>1.2871850365300305E-2</v>
      </c>
      <c r="BF26" s="528">
        <f t="shared" si="32"/>
        <v>0.42463344589511604</v>
      </c>
      <c r="BG26" s="528">
        <f t="shared" si="33"/>
        <v>0.20102083527109871</v>
      </c>
      <c r="BH26" s="528">
        <f t="shared" si="34"/>
        <v>6.0029676301302966E-2</v>
      </c>
      <c r="BI26">
        <f t="shared" si="35"/>
        <v>1.0755563313551235E-2</v>
      </c>
      <c r="BJ26" s="460">
        <f t="shared" si="101"/>
        <v>211.77639858464994</v>
      </c>
      <c r="BK26">
        <f t="shared" si="36"/>
        <v>0.50254733864107592</v>
      </c>
      <c r="BL26" s="460">
        <f t="shared" si="102"/>
        <v>502.54733864107595</v>
      </c>
      <c r="BM26" s="173">
        <f t="shared" si="37"/>
        <v>0.18228</v>
      </c>
      <c r="BN26" s="173">
        <f t="shared" si="38"/>
        <v>1.302E-2</v>
      </c>
      <c r="BO26" s="528"/>
      <c r="BQ26" s="460">
        <f t="shared" si="103"/>
        <v>195.3</v>
      </c>
      <c r="BR26" s="528">
        <f t="shared" si="39"/>
        <v>9.6538877739752275E-3</v>
      </c>
      <c r="BS26" s="528">
        <f t="shared" si="104"/>
        <v>1.7674918682617762E-2</v>
      </c>
      <c r="BT26" s="528">
        <f t="shared" si="40"/>
        <v>2.9537868350287439E-5</v>
      </c>
      <c r="BU26" s="528">
        <f t="shared" si="41"/>
        <v>0.23596077082631076</v>
      </c>
      <c r="BV26" s="528">
        <f t="shared" si="42"/>
        <v>0.2704771022448586</v>
      </c>
      <c r="BW26" s="625">
        <f t="shared" si="43"/>
        <v>0.20766600234981752</v>
      </c>
      <c r="BX26" s="460">
        <f t="shared" si="105"/>
        <v>478.14310459467612</v>
      </c>
      <c r="BY26" s="173">
        <f t="shared" si="106"/>
        <v>1.1759904432357522</v>
      </c>
      <c r="BZ26" s="5">
        <f t="shared" si="107"/>
        <v>5.4180000000000001</v>
      </c>
      <c r="CA26" s="173">
        <f t="shared" si="108"/>
        <v>0.82165724179322908</v>
      </c>
      <c r="CB26" s="5">
        <f t="shared" si="109"/>
        <v>82.165724179322908</v>
      </c>
      <c r="CC26">
        <f t="shared" si="110"/>
        <v>21</v>
      </c>
      <c r="CE26" s="562">
        <f t="shared" si="44"/>
        <v>-50</v>
      </c>
      <c r="CF26">
        <f t="shared" si="45"/>
        <v>-50</v>
      </c>
      <c r="CG26" s="173">
        <f t="shared" si="46"/>
        <v>0.28451253466371845</v>
      </c>
      <c r="CH26" s="173">
        <f t="shared" si="47"/>
        <v>7.754849215043208E-2</v>
      </c>
      <c r="CI26" s="170">
        <v>21</v>
      </c>
      <c r="CJ26" s="217">
        <f t="shared" si="133"/>
        <v>0.21</v>
      </c>
      <c r="CK26" s="217">
        <f t="shared" si="111"/>
        <v>2.1000000000000001E-2</v>
      </c>
      <c r="CL26" s="217">
        <f t="shared" si="48"/>
        <v>5.04</v>
      </c>
      <c r="CM26" s="217">
        <f t="shared" si="134"/>
        <v>0.378</v>
      </c>
      <c r="CN26" s="541">
        <f t="shared" si="112"/>
        <v>24</v>
      </c>
      <c r="CO26" s="443">
        <f t="shared" si="49"/>
        <v>16.474900000000002</v>
      </c>
      <c r="CP26" s="443">
        <f t="shared" si="50"/>
        <v>40.474900000000005</v>
      </c>
      <c r="CQ26" s="443"/>
      <c r="CR26" s="217">
        <f t="shared" si="113"/>
        <v>0.40507913686898112</v>
      </c>
      <c r="CS26" s="172">
        <f t="shared" si="114"/>
        <v>50.242373565144938</v>
      </c>
      <c r="CT26" s="172">
        <f t="shared" si="51"/>
        <v>4.0507913686898105</v>
      </c>
      <c r="CU26" s="217">
        <f t="shared" si="52"/>
        <v>2.0934322318810392</v>
      </c>
      <c r="CV26" s="217">
        <f t="shared" si="53"/>
        <v>2.7912429758413855</v>
      </c>
      <c r="CW26" s="443">
        <f t="shared" si="54"/>
        <v>24</v>
      </c>
      <c r="CX26" s="217">
        <f t="shared" si="55"/>
        <v>1.1145970229171129</v>
      </c>
      <c r="CY26" s="217">
        <f t="shared" si="56"/>
        <v>0.46441542621546372</v>
      </c>
      <c r="CZ26" s="217">
        <f t="shared" si="57"/>
        <v>0.67654251189209824</v>
      </c>
      <c r="DA26" s="197">
        <f t="shared" si="58"/>
        <v>350</v>
      </c>
      <c r="DB26" s="443">
        <f t="shared" si="115"/>
        <v>350</v>
      </c>
      <c r="DD26" s="217">
        <f t="shared" si="59"/>
        <v>2.7911308701724487</v>
      </c>
      <c r="DE26" s="173">
        <f t="shared" si="60"/>
        <v>1.6941716612376698</v>
      </c>
      <c r="DF26" s="173">
        <f t="shared" si="61"/>
        <v>0.55195223422072148</v>
      </c>
      <c r="DG26" s="173"/>
      <c r="DH26" s="173">
        <f t="shared" si="62"/>
        <v>1.3488532386977903</v>
      </c>
      <c r="DI26" s="545">
        <f t="shared" si="63"/>
        <v>210.07349999999988</v>
      </c>
      <c r="DJ26" s="528">
        <f t="shared" si="64"/>
        <v>0.34987754285999911</v>
      </c>
      <c r="DL26" s="173">
        <f t="shared" si="65"/>
        <v>1.7595453958338214</v>
      </c>
      <c r="DM26" s="173">
        <f t="shared" si="66"/>
        <v>2.2222222222222223</v>
      </c>
      <c r="DN26" s="173">
        <f t="shared" si="67"/>
        <v>1.120042</v>
      </c>
      <c r="DP26" s="545">
        <f t="shared" si="68"/>
        <v>210</v>
      </c>
      <c r="DQ26" s="460">
        <f t="shared" si="69"/>
        <v>210.07349999999988</v>
      </c>
      <c r="DS26">
        <f t="shared" si="116"/>
        <v>210</v>
      </c>
      <c r="DT26" s="460">
        <f t="shared" si="70"/>
        <v>210.07349999999988</v>
      </c>
      <c r="DU26" s="460"/>
      <c r="DV26" s="5">
        <f t="shared" si="117"/>
        <v>4.7602386783673358</v>
      </c>
      <c r="DW26" s="5">
        <f t="shared" si="71"/>
        <v>0.92592592592592615</v>
      </c>
      <c r="DX26" s="5">
        <f t="shared" si="118"/>
        <v>3.8343127524414098</v>
      </c>
      <c r="DY26" s="173">
        <f t="shared" si="119"/>
        <v>0.19451249999999995</v>
      </c>
      <c r="EA26" s="5">
        <f t="shared" si="72"/>
        <v>0.81018518518518523</v>
      </c>
      <c r="EB26" s="5">
        <f t="shared" si="73"/>
        <v>0.10802469135802474</v>
      </c>
      <c r="EC26" s="5">
        <f t="shared" si="74"/>
        <v>0.67100473167724661</v>
      </c>
      <c r="ED26" s="5"/>
      <c r="EE26" s="173">
        <f t="shared" si="120"/>
        <v>0.56584908340049922</v>
      </c>
      <c r="EF26" s="173">
        <f t="shared" si="75"/>
        <v>0.76803691653761608</v>
      </c>
      <c r="EG26" s="173">
        <f t="shared" si="76"/>
        <v>7.6907480426266689E-2</v>
      </c>
      <c r="EH26" s="173"/>
      <c r="EI26" s="528">
        <f t="shared" si="77"/>
        <v>1.2807407407407406E-2</v>
      </c>
      <c r="EJ26" s="528">
        <f t="shared" si="78"/>
        <v>0.51960968309249989</v>
      </c>
      <c r="EK26" s="528">
        <f t="shared" si="79"/>
        <v>4.2014699999999974E-2</v>
      </c>
      <c r="EL26" s="528">
        <f t="shared" si="80"/>
        <v>6.0225565800847237E-2</v>
      </c>
      <c r="EM26">
        <f t="shared" si="81"/>
        <v>1.0800000000000001E-2</v>
      </c>
      <c r="EN26" s="460">
        <f t="shared" si="121"/>
        <v>52.814699999999981</v>
      </c>
      <c r="EO26">
        <f t="shared" si="82"/>
        <v>0.65089605904426862</v>
      </c>
      <c r="EP26" s="460">
        <f t="shared" si="122"/>
        <v>650.89605904426867</v>
      </c>
      <c r="EQ26" s="173">
        <f t="shared" si="83"/>
        <v>0.18228</v>
      </c>
      <c r="ER26" s="173">
        <f t="shared" si="84"/>
        <v>1.302E-2</v>
      </c>
      <c r="ES26" s="528"/>
      <c r="EU26" s="460">
        <f t="shared" si="123"/>
        <v>195.3</v>
      </c>
      <c r="EV26" s="528">
        <f t="shared" si="85"/>
        <v>9.6055555555555529E-3</v>
      </c>
      <c r="EW26" s="528">
        <f t="shared" si="124"/>
        <v>1.7696421154938271E-2</v>
      </c>
      <c r="EX26" s="528">
        <f t="shared" si="86"/>
        <v>2.9573802727582969E-5</v>
      </c>
      <c r="EY26" s="528">
        <f t="shared" si="87"/>
        <v>0.23543276216473705</v>
      </c>
      <c r="EZ26" s="528">
        <f t="shared" si="88"/>
        <v>0.26991405837879623</v>
      </c>
      <c r="FA26" s="625">
        <f t="shared" si="89"/>
        <v>0.20747999999999994</v>
      </c>
      <c r="FB26" s="460">
        <f t="shared" si="125"/>
        <v>477.39405837879616</v>
      </c>
      <c r="FC26" s="173">
        <f t="shared" si="126"/>
        <v>1.3235901174230649</v>
      </c>
      <c r="FD26" s="5">
        <f t="shared" si="127"/>
        <v>5.4180000000000001</v>
      </c>
      <c r="FE26" s="173">
        <f t="shared" si="128"/>
        <v>0.80366796343753388</v>
      </c>
      <c r="FF26" s="5">
        <f t="shared" si="129"/>
        <v>80.366796343753393</v>
      </c>
      <c r="FG26">
        <f t="shared" si="130"/>
        <v>21</v>
      </c>
      <c r="FI26" s="562">
        <f t="shared" si="90"/>
        <v>-50</v>
      </c>
      <c r="FJ26">
        <f t="shared" si="91"/>
        <v>-50</v>
      </c>
      <c r="FL26">
        <f t="shared" si="92"/>
        <v>0.2845125346637184</v>
      </c>
    </row>
    <row r="27" spans="5:168">
      <c r="E27" s="170">
        <v>22</v>
      </c>
      <c r="F27" s="217">
        <f t="shared" si="131"/>
        <v>0.22</v>
      </c>
      <c r="G27" s="217">
        <f t="shared" si="93"/>
        <v>2.2000000000000002E-2</v>
      </c>
      <c r="H27" s="217">
        <f t="shared" si="0"/>
        <v>5.28</v>
      </c>
      <c r="I27" s="217">
        <f t="shared" si="132"/>
        <v>0.39600000000000002</v>
      </c>
      <c r="J27" s="541">
        <f t="shared" si="1"/>
        <v>23.901251807891633</v>
      </c>
      <c r="K27" s="443">
        <f t="shared" si="2"/>
        <v>16.489669472300989</v>
      </c>
      <c r="L27" s="172">
        <f t="shared" si="3"/>
        <v>40.390921280192622</v>
      </c>
      <c r="M27" s="443"/>
      <c r="N27" s="217">
        <f t="shared" si="4"/>
        <v>0.40825187813647096</v>
      </c>
      <c r="O27" s="172">
        <f t="shared" si="94"/>
        <v>50.427550079506361</v>
      </c>
      <c r="P27" s="172">
        <f t="shared" si="5"/>
        <v>4.0657212251602006</v>
      </c>
      <c r="Q27" s="217">
        <f t="shared" si="6"/>
        <v>2.1011479199794318</v>
      </c>
      <c r="R27" s="217">
        <f t="shared" si="7"/>
        <v>2.8015305599725755</v>
      </c>
      <c r="S27" s="443">
        <f t="shared" si="8"/>
        <v>24</v>
      </c>
      <c r="T27" s="217">
        <f t="shared" si="9"/>
        <v>1.1633852244293077</v>
      </c>
      <c r="U27" s="217">
        <f t="shared" si="10"/>
        <v>0.48674656615482592</v>
      </c>
      <c r="V27" s="217">
        <f t="shared" si="11"/>
        <v>0.70552367734449661</v>
      </c>
      <c r="W27" s="197">
        <f t="shared" si="12"/>
        <v>350</v>
      </c>
      <c r="X27" s="443">
        <f t="shared" si="95"/>
        <v>350</v>
      </c>
      <c r="Z27" s="217">
        <f t="shared" si="13"/>
        <v>2.7879231258241366</v>
      </c>
      <c r="AA27" s="173">
        <f t="shared" si="14"/>
        <v>1.6907089196100828</v>
      </c>
      <c r="AB27" s="173">
        <f t="shared" si="15"/>
        <v>0.55019104924771167</v>
      </c>
      <c r="AC27" s="173"/>
      <c r="AD27" s="173">
        <f t="shared" si="16"/>
        <v>1.3476450974078444</v>
      </c>
      <c r="AE27" s="545">
        <f t="shared" si="17"/>
        <v>220.27429534962786</v>
      </c>
      <c r="AF27" s="528">
        <f t="shared" si="18"/>
        <v>0.34956416443317928</v>
      </c>
      <c r="AH27" s="173">
        <f t="shared" si="19"/>
        <v>1.8009521291329682</v>
      </c>
      <c r="AI27" s="173">
        <f t="shared" si="20"/>
        <v>2.2222222222222223</v>
      </c>
      <c r="AJ27" s="173">
        <f t="shared" si="21"/>
        <v>1.1258710259140732</v>
      </c>
      <c r="AL27" s="545">
        <f t="shared" si="22"/>
        <v>220</v>
      </c>
      <c r="AM27" s="460">
        <f t="shared" si="23"/>
        <v>220.27429534962786</v>
      </c>
      <c r="AO27">
        <f t="shared" si="96"/>
        <v>220</v>
      </c>
      <c r="AP27" s="460">
        <f t="shared" si="24"/>
        <v>220.27429534962786</v>
      </c>
      <c r="AQ27" s="460"/>
      <c r="AR27" s="5">
        <f t="shared" si="97"/>
        <v>4.5397943432880421</v>
      </c>
      <c r="AS27" s="5">
        <f t="shared" si="25"/>
        <v>0.92975139548485786</v>
      </c>
      <c r="AT27" s="5">
        <f t="shared" si="98"/>
        <v>3.6100429478031844</v>
      </c>
      <c r="AU27" s="173">
        <f t="shared" si="99"/>
        <v>0.20480033349076024</v>
      </c>
      <c r="AW27" s="5">
        <f t="shared" si="26"/>
        <v>0.85227211252778645</v>
      </c>
      <c r="AX27" s="5">
        <f t="shared" si="27"/>
        <v>0.11363628167037153</v>
      </c>
      <c r="AY27" s="5">
        <f t="shared" si="28"/>
        <v>0.66457560875909527</v>
      </c>
      <c r="AZ27" s="5"/>
      <c r="BA27" s="173">
        <f t="shared" si="100"/>
        <v>0.5806202636144987</v>
      </c>
      <c r="BB27" s="173">
        <f t="shared" si="29"/>
        <v>0.76311640071683107</v>
      </c>
      <c r="BC27" s="173">
        <f t="shared" si="30"/>
        <v>7.6414763909617808E-2</v>
      </c>
      <c r="BD27" s="173"/>
      <c r="BE27" s="528">
        <f t="shared" si="31"/>
        <v>1.34847956207908E-2</v>
      </c>
      <c r="BF27" s="528">
        <f t="shared" si="32"/>
        <v>0.44485408617583594</v>
      </c>
      <c r="BG27" s="528">
        <f t="shared" si="33"/>
        <v>0.21059325599829393</v>
      </c>
      <c r="BH27" s="528">
        <f t="shared" si="34"/>
        <v>6.2888232315650744E-2</v>
      </c>
      <c r="BI27">
        <f t="shared" si="35"/>
        <v>1.0755563313551235E-2</v>
      </c>
      <c r="BJ27" s="460">
        <f t="shared" si="101"/>
        <v>221.34881931184518</v>
      </c>
      <c r="BK27">
        <f t="shared" si="36"/>
        <v>0.52655508480781998</v>
      </c>
      <c r="BL27" s="460">
        <f t="shared" si="102"/>
        <v>526.55508480781998</v>
      </c>
      <c r="BM27" s="173">
        <f t="shared" si="37"/>
        <v>0.19095999999999999</v>
      </c>
      <c r="BN27" s="173">
        <f t="shared" si="38"/>
        <v>1.3640000000000001E-2</v>
      </c>
      <c r="BO27" s="528"/>
      <c r="BQ27" s="460">
        <f t="shared" si="103"/>
        <v>204.6</v>
      </c>
      <c r="BR27" s="528">
        <f t="shared" si="39"/>
        <v>1.0113596715593099E-2</v>
      </c>
      <c r="BS27" s="528">
        <f t="shared" si="104"/>
        <v>1.7470399231290332E-2</v>
      </c>
      <c r="BT27" s="528">
        <f t="shared" si="40"/>
        <v>2.9196080716813143E-5</v>
      </c>
      <c r="BU27" s="528">
        <f t="shared" si="41"/>
        <v>0.2650624888008008</v>
      </c>
      <c r="BV27" s="528">
        <f t="shared" si="42"/>
        <v>0.29996548728318539</v>
      </c>
      <c r="BW27" s="625">
        <f t="shared" si="43"/>
        <v>0.21755485960457077</v>
      </c>
      <c r="BX27" s="460">
        <f t="shared" si="105"/>
        <v>517.5203468877562</v>
      </c>
      <c r="BY27" s="173">
        <f t="shared" si="106"/>
        <v>1.2486754316955762</v>
      </c>
      <c r="BZ27" s="5">
        <f t="shared" si="107"/>
        <v>5.6760000000000002</v>
      </c>
      <c r="CA27" s="173">
        <f t="shared" si="108"/>
        <v>0.81967740668679612</v>
      </c>
      <c r="CB27" s="5">
        <f t="shared" si="109"/>
        <v>81.96774066867961</v>
      </c>
      <c r="CC27">
        <f t="shared" si="110"/>
        <v>22</v>
      </c>
      <c r="CE27" s="562">
        <f t="shared" si="44"/>
        <v>-50</v>
      </c>
      <c r="CF27">
        <f t="shared" si="45"/>
        <v>-50</v>
      </c>
      <c r="CG27" s="173">
        <f t="shared" si="46"/>
        <v>0.29806075060008608</v>
      </c>
      <c r="CH27" s="173">
        <f t="shared" si="47"/>
        <v>8.124127749092884E-2</v>
      </c>
      <c r="CI27" s="170">
        <v>22</v>
      </c>
      <c r="CJ27" s="217">
        <f t="shared" si="133"/>
        <v>0.22</v>
      </c>
      <c r="CK27" s="217">
        <f t="shared" si="111"/>
        <v>2.2000000000000002E-2</v>
      </c>
      <c r="CL27" s="217">
        <f t="shared" si="48"/>
        <v>5.28</v>
      </c>
      <c r="CM27" s="217">
        <f t="shared" si="134"/>
        <v>0.39600000000000002</v>
      </c>
      <c r="CN27" s="541">
        <f t="shared" si="112"/>
        <v>24</v>
      </c>
      <c r="CO27" s="443">
        <f t="shared" si="49"/>
        <v>16.474900000000002</v>
      </c>
      <c r="CP27" s="443">
        <f t="shared" si="50"/>
        <v>40.474900000000005</v>
      </c>
      <c r="CQ27" s="443"/>
      <c r="CR27" s="217">
        <f t="shared" si="113"/>
        <v>0.40507913686898112</v>
      </c>
      <c r="CS27" s="172">
        <f t="shared" si="114"/>
        <v>50.242373565144938</v>
      </c>
      <c r="CT27" s="172">
        <f t="shared" si="51"/>
        <v>4.0507913686898105</v>
      </c>
      <c r="CU27" s="217">
        <f t="shared" si="52"/>
        <v>2.0934322318810392</v>
      </c>
      <c r="CV27" s="217">
        <f t="shared" si="53"/>
        <v>2.7912429758413855</v>
      </c>
      <c r="CW27" s="443">
        <f t="shared" si="54"/>
        <v>24</v>
      </c>
      <c r="CX27" s="217">
        <f t="shared" si="55"/>
        <v>1.1676730716274517</v>
      </c>
      <c r="CY27" s="217">
        <f t="shared" si="56"/>
        <v>0.48653044651143823</v>
      </c>
      <c r="CZ27" s="217">
        <f t="shared" si="57"/>
        <v>0.70875882198219808</v>
      </c>
      <c r="DA27" s="197">
        <f t="shared" si="58"/>
        <v>350</v>
      </c>
      <c r="DB27" s="443">
        <f t="shared" si="115"/>
        <v>350</v>
      </c>
      <c r="DD27" s="217">
        <f t="shared" si="59"/>
        <v>2.7911308701724487</v>
      </c>
      <c r="DE27" s="173">
        <f t="shared" si="60"/>
        <v>1.6941716612376698</v>
      </c>
      <c r="DF27" s="173">
        <f t="shared" si="61"/>
        <v>0.55195223422072148</v>
      </c>
      <c r="DG27" s="173"/>
      <c r="DH27" s="173">
        <f t="shared" si="62"/>
        <v>1.3488532386977903</v>
      </c>
      <c r="DI27" s="545">
        <f t="shared" si="63"/>
        <v>220.07699999999991</v>
      </c>
      <c r="DJ27" s="528">
        <f t="shared" si="64"/>
        <v>0.34987754285999911</v>
      </c>
      <c r="DL27" s="173">
        <f t="shared" si="65"/>
        <v>1.8009521291329682</v>
      </c>
      <c r="DM27" s="173">
        <f t="shared" si="66"/>
        <v>2.2222222222222223</v>
      </c>
      <c r="DN27" s="173">
        <f t="shared" si="67"/>
        <v>1.1257582857142856</v>
      </c>
      <c r="DP27" s="545">
        <f t="shared" si="68"/>
        <v>220</v>
      </c>
      <c r="DQ27" s="460">
        <f t="shared" si="69"/>
        <v>220.07699999999991</v>
      </c>
      <c r="DS27">
        <f t="shared" si="116"/>
        <v>220</v>
      </c>
      <c r="DT27" s="460">
        <f t="shared" si="70"/>
        <v>220.07699999999991</v>
      </c>
      <c r="DU27" s="460"/>
      <c r="DV27" s="5">
        <f t="shared" si="117"/>
        <v>4.5438641929870025</v>
      </c>
      <c r="DW27" s="5">
        <f t="shared" si="71"/>
        <v>0.92592592592592615</v>
      </c>
      <c r="DX27" s="5">
        <f t="shared" si="118"/>
        <v>3.6179382670610765</v>
      </c>
      <c r="DY27" s="173">
        <f t="shared" si="119"/>
        <v>0.20377499999999993</v>
      </c>
      <c r="EA27" s="5">
        <f t="shared" si="72"/>
        <v>0.84876543209876565</v>
      </c>
      <c r="EB27" s="5">
        <f t="shared" si="73"/>
        <v>0.11316872427983543</v>
      </c>
      <c r="EC27" s="5">
        <f t="shared" si="74"/>
        <v>0.66328868229453064</v>
      </c>
      <c r="ED27" s="5"/>
      <c r="EE27" s="173">
        <f t="shared" si="120"/>
        <v>0.57916500132987314</v>
      </c>
      <c r="EF27" s="173">
        <f t="shared" si="75"/>
        <v>0.76360822483051261</v>
      </c>
      <c r="EG27" s="173">
        <f t="shared" si="76"/>
        <v>7.646401278370403E-2</v>
      </c>
      <c r="EH27" s="173"/>
      <c r="EI27" s="528">
        <f t="shared" si="77"/>
        <v>1.3417283950617278E-2</v>
      </c>
      <c r="EJ27" s="528">
        <f t="shared" si="78"/>
        <v>0.54435300133499998</v>
      </c>
      <c r="EK27" s="528">
        <f t="shared" si="79"/>
        <v>4.4015399999999975E-2</v>
      </c>
      <c r="EL27" s="528">
        <f t="shared" si="80"/>
        <v>6.3093449886601871E-2</v>
      </c>
      <c r="EM27">
        <f t="shared" si="81"/>
        <v>1.0800000000000001E-2</v>
      </c>
      <c r="EN27" s="460">
        <f t="shared" si="121"/>
        <v>54.815399999999975</v>
      </c>
      <c r="EO27">
        <f t="shared" si="82"/>
        <v>0.68147430557977773</v>
      </c>
      <c r="EP27" s="460">
        <f t="shared" si="122"/>
        <v>681.47430557977771</v>
      </c>
      <c r="EQ27" s="173">
        <f t="shared" si="83"/>
        <v>0.19095999999999999</v>
      </c>
      <c r="ER27" s="173">
        <f t="shared" si="84"/>
        <v>1.3640000000000001E-2</v>
      </c>
      <c r="ES27" s="528"/>
      <c r="EU27" s="460">
        <f t="shared" si="123"/>
        <v>204.6</v>
      </c>
      <c r="EV27" s="528">
        <f t="shared" si="85"/>
        <v>1.0062962962962958E-2</v>
      </c>
      <c r="EW27" s="528">
        <f t="shared" si="124"/>
        <v>1.7492925630864201E-2</v>
      </c>
      <c r="EX27" s="528">
        <f t="shared" si="86"/>
        <v>2.9233726254932267E-5</v>
      </c>
      <c r="EY27" s="528">
        <f t="shared" si="87"/>
        <v>0.26446935931806853</v>
      </c>
      <c r="EZ27" s="528">
        <f t="shared" si="88"/>
        <v>0.29933548747791594</v>
      </c>
      <c r="FA27" s="625">
        <f t="shared" si="89"/>
        <v>0.21735999999999997</v>
      </c>
      <c r="FB27" s="460">
        <f t="shared" si="125"/>
        <v>516.69548747791589</v>
      </c>
      <c r="FC27" s="173">
        <f t="shared" si="126"/>
        <v>1.4027697930576937</v>
      </c>
      <c r="FD27" s="5">
        <f t="shared" si="127"/>
        <v>5.6760000000000002</v>
      </c>
      <c r="FE27" s="173">
        <f t="shared" si="128"/>
        <v>0.80183424040241835</v>
      </c>
      <c r="FF27" s="5">
        <f t="shared" si="129"/>
        <v>80.183424040241832</v>
      </c>
      <c r="FG27">
        <f t="shared" si="130"/>
        <v>22</v>
      </c>
      <c r="FI27" s="562">
        <f t="shared" si="90"/>
        <v>-50</v>
      </c>
      <c r="FJ27">
        <f t="shared" si="91"/>
        <v>-50</v>
      </c>
      <c r="FL27">
        <f t="shared" si="92"/>
        <v>0.29806075060008602</v>
      </c>
    </row>
    <row r="28" spans="5:168">
      <c r="E28" s="170">
        <v>23</v>
      </c>
      <c r="F28" s="217">
        <f t="shared" si="131"/>
        <v>0.23</v>
      </c>
      <c r="G28" s="217">
        <f t="shared" si="93"/>
        <v>2.3000000000000003E-2</v>
      </c>
      <c r="H28" s="217">
        <f t="shared" si="0"/>
        <v>5.5200000000000005</v>
      </c>
      <c r="I28" s="217">
        <f t="shared" si="132"/>
        <v>0.41400000000000003</v>
      </c>
      <c r="J28" s="541">
        <f t="shared" si="1"/>
        <v>23.901251807891633</v>
      </c>
      <c r="K28" s="443">
        <f t="shared" si="2"/>
        <v>16.489669472300989</v>
      </c>
      <c r="L28" s="172">
        <f t="shared" si="3"/>
        <v>40.390921280192622</v>
      </c>
      <c r="M28" s="443"/>
      <c r="N28" s="217">
        <f t="shared" si="4"/>
        <v>0.40825187813647096</v>
      </c>
      <c r="O28" s="172">
        <f t="shared" si="94"/>
        <v>50.427550079506361</v>
      </c>
      <c r="P28" s="172">
        <f t="shared" si="5"/>
        <v>4.0657212251602006</v>
      </c>
      <c r="Q28" s="217">
        <f t="shared" si="6"/>
        <v>2.1011479199794318</v>
      </c>
      <c r="R28" s="217">
        <f t="shared" si="7"/>
        <v>2.8015305599725755</v>
      </c>
      <c r="S28" s="443">
        <f t="shared" si="8"/>
        <v>24</v>
      </c>
      <c r="T28" s="217">
        <f t="shared" si="9"/>
        <v>1.2162663709942763</v>
      </c>
      <c r="U28" s="217">
        <f t="shared" si="10"/>
        <v>0.50887141007095438</v>
      </c>
      <c r="V28" s="217">
        <f t="shared" si="11"/>
        <v>0.73759293540561011</v>
      </c>
      <c r="W28" s="197">
        <f t="shared" si="12"/>
        <v>350</v>
      </c>
      <c r="X28" s="443">
        <f t="shared" si="95"/>
        <v>350</v>
      </c>
      <c r="Z28" s="217">
        <f t="shared" si="13"/>
        <v>2.7879231258241366</v>
      </c>
      <c r="AA28" s="173">
        <f t="shared" si="14"/>
        <v>1.6907089196100828</v>
      </c>
      <c r="AB28" s="173">
        <f t="shared" si="15"/>
        <v>0.55019104924771167</v>
      </c>
      <c r="AC28" s="173"/>
      <c r="AD28" s="173">
        <f t="shared" si="16"/>
        <v>1.3476450974078444</v>
      </c>
      <c r="AE28" s="545">
        <f t="shared" si="17"/>
        <v>230.28676332006549</v>
      </c>
      <c r="AF28" s="528">
        <f t="shared" si="18"/>
        <v>0.34956416443317928</v>
      </c>
      <c r="AH28" s="173">
        <f t="shared" si="19"/>
        <v>1.8414280172890665</v>
      </c>
      <c r="AI28" s="173">
        <f t="shared" si="20"/>
        <v>2.2222222222222223</v>
      </c>
      <c r="AJ28" s="173">
        <f t="shared" si="21"/>
        <v>1.1315924361828946</v>
      </c>
      <c r="AL28" s="545">
        <f t="shared" si="22"/>
        <v>230</v>
      </c>
      <c r="AM28" s="460">
        <f t="shared" si="23"/>
        <v>230.28676332006549</v>
      </c>
      <c r="AO28">
        <f t="shared" si="96"/>
        <v>230</v>
      </c>
      <c r="AP28" s="460">
        <f t="shared" si="24"/>
        <v>230.28676332006549</v>
      </c>
      <c r="AQ28" s="460"/>
      <c r="AR28" s="5">
        <f t="shared" si="97"/>
        <v>4.3424119805363883</v>
      </c>
      <c r="AS28" s="5">
        <f t="shared" si="25"/>
        <v>0.92975139548485786</v>
      </c>
      <c r="AT28" s="5">
        <f t="shared" si="98"/>
        <v>3.4126605850515306</v>
      </c>
      <c r="AU28" s="173">
        <f t="shared" si="99"/>
        <v>0.21410943955852205</v>
      </c>
      <c r="AW28" s="5">
        <f t="shared" si="26"/>
        <v>0.89101175400632215</v>
      </c>
      <c r="AX28" s="5">
        <f t="shared" si="27"/>
        <v>0.11880156720084296</v>
      </c>
      <c r="AY28" s="5">
        <f t="shared" si="28"/>
        <v>0.65679566984244109</v>
      </c>
      <c r="AZ28" s="5"/>
      <c r="BA28" s="173">
        <f t="shared" si="100"/>
        <v>0.59366953931209254</v>
      </c>
      <c r="BB28" s="173">
        <f t="shared" si="29"/>
        <v>0.75863649134401878</v>
      </c>
      <c r="BC28" s="173">
        <f t="shared" si="30"/>
        <v>7.5966167579178095E-2</v>
      </c>
      <c r="BD28" s="173"/>
      <c r="BE28" s="528">
        <f t="shared" si="31"/>
        <v>1.4097740876281288E-2</v>
      </c>
      <c r="BF28" s="528">
        <f t="shared" si="32"/>
        <v>0.46507472645655579</v>
      </c>
      <c r="BG28" s="528">
        <f t="shared" si="33"/>
        <v>0.22016567672548909</v>
      </c>
      <c r="BH28" s="528">
        <f t="shared" si="34"/>
        <v>6.5746788329998501E-2</v>
      </c>
      <c r="BI28">
        <f t="shared" si="35"/>
        <v>1.0755563313551235E-2</v>
      </c>
      <c r="BJ28" s="460">
        <f t="shared" si="101"/>
        <v>230.92124003904033</v>
      </c>
      <c r="BK28">
        <f t="shared" si="36"/>
        <v>0.55056984725073377</v>
      </c>
      <c r="BL28" s="460">
        <f t="shared" si="102"/>
        <v>550.5698472507338</v>
      </c>
      <c r="BM28" s="173">
        <f t="shared" si="37"/>
        <v>0.19964000000000001</v>
      </c>
      <c r="BN28" s="173">
        <f t="shared" si="38"/>
        <v>1.4260000000000002E-2</v>
      </c>
      <c r="BO28" s="528"/>
      <c r="BQ28" s="460">
        <f t="shared" si="103"/>
        <v>213.9</v>
      </c>
      <c r="BR28" s="528">
        <f t="shared" si="39"/>
        <v>1.0573305657210966E-2</v>
      </c>
      <c r="BS28" s="528">
        <f t="shared" si="104"/>
        <v>1.7265879779962905E-2</v>
      </c>
      <c r="BT28" s="528">
        <f t="shared" si="40"/>
        <v>2.8854293083338847E-5</v>
      </c>
      <c r="BU28" s="528">
        <f t="shared" si="41"/>
        <v>0.2962178049918357</v>
      </c>
      <c r="BV28" s="528">
        <f t="shared" si="42"/>
        <v>0.3315132642428768</v>
      </c>
      <c r="BW28" s="625">
        <f t="shared" si="43"/>
        <v>0.22744371685932399</v>
      </c>
      <c r="BX28" s="460">
        <f t="shared" si="105"/>
        <v>558.95698110220087</v>
      </c>
      <c r="BY28" s="173">
        <f t="shared" si="106"/>
        <v>1.3234268283529347</v>
      </c>
      <c r="BZ28" s="5">
        <f t="shared" si="107"/>
        <v>5.9340000000000002</v>
      </c>
      <c r="CA28" s="173">
        <f t="shared" si="108"/>
        <v>0.81764517098778866</v>
      </c>
      <c r="CB28" s="5">
        <f t="shared" si="109"/>
        <v>81.764517098778867</v>
      </c>
      <c r="CC28">
        <f t="shared" si="110"/>
        <v>23</v>
      </c>
      <c r="CE28" s="562">
        <f t="shared" si="44"/>
        <v>-50</v>
      </c>
      <c r="CF28">
        <f t="shared" si="45"/>
        <v>-50</v>
      </c>
      <c r="CG28" s="173">
        <f t="shared" si="46"/>
        <v>0.31160896653645359</v>
      </c>
      <c r="CH28" s="173">
        <f t="shared" si="47"/>
        <v>8.4934062831425627E-2</v>
      </c>
      <c r="CI28" s="170">
        <v>23</v>
      </c>
      <c r="CJ28" s="217">
        <f t="shared" si="133"/>
        <v>0.23</v>
      </c>
      <c r="CK28" s="217">
        <f t="shared" si="111"/>
        <v>2.3000000000000003E-2</v>
      </c>
      <c r="CL28" s="217">
        <f t="shared" si="48"/>
        <v>5.5200000000000005</v>
      </c>
      <c r="CM28" s="217">
        <f t="shared" si="134"/>
        <v>0.41400000000000003</v>
      </c>
      <c r="CN28" s="541">
        <f t="shared" si="112"/>
        <v>24</v>
      </c>
      <c r="CO28" s="443">
        <f t="shared" si="49"/>
        <v>16.474900000000002</v>
      </c>
      <c r="CP28" s="443">
        <f t="shared" si="50"/>
        <v>40.474900000000005</v>
      </c>
      <c r="CQ28" s="443"/>
      <c r="CR28" s="217">
        <f t="shared" si="113"/>
        <v>0.40507913686898112</v>
      </c>
      <c r="CS28" s="172">
        <f t="shared" si="114"/>
        <v>50.242373565144938</v>
      </c>
      <c r="CT28" s="172">
        <f t="shared" si="51"/>
        <v>4.0507913686898105</v>
      </c>
      <c r="CU28" s="217">
        <f t="shared" si="52"/>
        <v>2.0934322318810392</v>
      </c>
      <c r="CV28" s="217">
        <f t="shared" si="53"/>
        <v>2.7912429758413855</v>
      </c>
      <c r="CW28" s="443">
        <f t="shared" si="54"/>
        <v>24</v>
      </c>
      <c r="CX28" s="217">
        <f t="shared" si="55"/>
        <v>1.2207491203377903</v>
      </c>
      <c r="CY28" s="217">
        <f t="shared" si="56"/>
        <v>0.50864546680741263</v>
      </c>
      <c r="CZ28" s="217">
        <f t="shared" si="57"/>
        <v>0.74097513207229793</v>
      </c>
      <c r="DA28" s="197">
        <f t="shared" si="58"/>
        <v>350</v>
      </c>
      <c r="DB28" s="443">
        <f t="shared" si="115"/>
        <v>350</v>
      </c>
      <c r="DD28" s="217">
        <f t="shared" si="59"/>
        <v>2.7911308701724487</v>
      </c>
      <c r="DE28" s="173">
        <f t="shared" si="60"/>
        <v>1.6941716612376698</v>
      </c>
      <c r="DF28" s="173">
        <f t="shared" si="61"/>
        <v>0.55195223422072148</v>
      </c>
      <c r="DG28" s="173"/>
      <c r="DH28" s="173">
        <f t="shared" si="62"/>
        <v>1.3488532386977903</v>
      </c>
      <c r="DI28" s="545">
        <f t="shared" si="63"/>
        <v>230.08049999999994</v>
      </c>
      <c r="DJ28" s="528">
        <f t="shared" si="64"/>
        <v>0.34987754285999911</v>
      </c>
      <c r="DL28" s="173">
        <f t="shared" si="65"/>
        <v>1.8414280172890665</v>
      </c>
      <c r="DM28" s="173">
        <f t="shared" si="66"/>
        <v>2.2222222222222223</v>
      </c>
      <c r="DN28" s="173">
        <f t="shared" si="67"/>
        <v>1.1314745714285714</v>
      </c>
      <c r="DP28" s="545">
        <f t="shared" si="68"/>
        <v>230</v>
      </c>
      <c r="DQ28" s="460">
        <f t="shared" si="69"/>
        <v>230.08049999999994</v>
      </c>
      <c r="DS28">
        <f t="shared" si="116"/>
        <v>230</v>
      </c>
      <c r="DT28" s="460">
        <f t="shared" si="70"/>
        <v>230.08049999999994</v>
      </c>
      <c r="DU28" s="460"/>
      <c r="DV28" s="5">
        <f t="shared" si="117"/>
        <v>4.3463048802484359</v>
      </c>
      <c r="DW28" s="5">
        <f t="shared" si="71"/>
        <v>0.92592592592592615</v>
      </c>
      <c r="DX28" s="5">
        <f t="shared" si="118"/>
        <v>3.4203789543225098</v>
      </c>
      <c r="DY28" s="173">
        <f t="shared" si="119"/>
        <v>0.21303749999999999</v>
      </c>
      <c r="EA28" s="5">
        <f t="shared" si="72"/>
        <v>0.88734567901234596</v>
      </c>
      <c r="EB28" s="5">
        <f t="shared" si="73"/>
        <v>0.11831275720164612</v>
      </c>
      <c r="EC28" s="5">
        <f t="shared" si="74"/>
        <v>0.65557263291181433</v>
      </c>
      <c r="ED28" s="5"/>
      <c r="EE28" s="173">
        <f t="shared" si="120"/>
        <v>0.59218157042049102</v>
      </c>
      <c r="EF28" s="173">
        <f t="shared" si="75"/>
        <v>0.75915369780631659</v>
      </c>
      <c r="EG28" s="173">
        <f t="shared" si="76"/>
        <v>7.6017958118173051E-2</v>
      </c>
      <c r="EH28" s="173"/>
      <c r="EI28" s="528">
        <f t="shared" si="77"/>
        <v>1.4027160493827158E-2</v>
      </c>
      <c r="EJ28" s="528">
        <f t="shared" si="78"/>
        <v>0.56909631957750006</v>
      </c>
      <c r="EK28" s="528">
        <f t="shared" si="79"/>
        <v>4.601609999999999E-2</v>
      </c>
      <c r="EL28" s="528">
        <f t="shared" si="80"/>
        <v>6.5961333972356512E-2</v>
      </c>
      <c r="EM28">
        <f t="shared" si="81"/>
        <v>1.0800000000000001E-2</v>
      </c>
      <c r="EN28" s="460">
        <f t="shared" si="121"/>
        <v>56.816099999999992</v>
      </c>
      <c r="EO28">
        <f t="shared" si="82"/>
        <v>0.71206144373330171</v>
      </c>
      <c r="EP28" s="460">
        <f t="shared" si="122"/>
        <v>712.06144373330176</v>
      </c>
      <c r="EQ28" s="173">
        <f t="shared" si="83"/>
        <v>0.19964000000000001</v>
      </c>
      <c r="ER28" s="173">
        <f t="shared" si="84"/>
        <v>1.4260000000000002E-2</v>
      </c>
      <c r="ES28" s="528"/>
      <c r="EU28" s="460">
        <f t="shared" si="123"/>
        <v>213.9</v>
      </c>
      <c r="EV28" s="528">
        <f t="shared" si="85"/>
        <v>1.0520370370370367E-2</v>
      </c>
      <c r="EW28" s="528">
        <f t="shared" si="124"/>
        <v>1.7289430106790127E-2</v>
      </c>
      <c r="EX28" s="528">
        <f t="shared" si="86"/>
        <v>2.8893649782281562E-5</v>
      </c>
      <c r="EY28" s="528">
        <f t="shared" si="87"/>
        <v>0.29555495935779103</v>
      </c>
      <c r="EZ28" s="528">
        <f t="shared" si="88"/>
        <v>0.33081168930978505</v>
      </c>
      <c r="FA28" s="625">
        <f t="shared" si="89"/>
        <v>0.22724</v>
      </c>
      <c r="FB28" s="460">
        <f t="shared" si="125"/>
        <v>558.05168930978516</v>
      </c>
      <c r="FC28" s="173">
        <f t="shared" si="126"/>
        <v>1.4840131330430868</v>
      </c>
      <c r="FD28" s="5">
        <f t="shared" si="127"/>
        <v>5.9340000000000002</v>
      </c>
      <c r="FE28" s="173">
        <f t="shared" si="128"/>
        <v>0.79994466086442462</v>
      </c>
      <c r="FF28" s="5">
        <f t="shared" si="129"/>
        <v>79.994466086442458</v>
      </c>
      <c r="FG28">
        <f t="shared" si="130"/>
        <v>23</v>
      </c>
      <c r="FI28" s="562">
        <f t="shared" si="90"/>
        <v>-50</v>
      </c>
      <c r="FJ28">
        <f t="shared" si="91"/>
        <v>-50</v>
      </c>
      <c r="FL28">
        <f t="shared" si="92"/>
        <v>0.31160896653645354</v>
      </c>
    </row>
    <row r="29" spans="5:168">
      <c r="E29" s="170">
        <v>24</v>
      </c>
      <c r="F29" s="217">
        <f t="shared" si="131"/>
        <v>0.24</v>
      </c>
      <c r="G29" s="217">
        <f t="shared" si="93"/>
        <v>2.4E-2</v>
      </c>
      <c r="H29" s="217">
        <f t="shared" si="0"/>
        <v>5.76</v>
      </c>
      <c r="I29" s="217">
        <f t="shared" si="132"/>
        <v>0.432</v>
      </c>
      <c r="J29" s="541">
        <f t="shared" si="1"/>
        <v>23.901251807891633</v>
      </c>
      <c r="K29" s="443">
        <f t="shared" si="2"/>
        <v>16.489669472300989</v>
      </c>
      <c r="L29" s="172">
        <f t="shared" si="3"/>
        <v>40.390921280192622</v>
      </c>
      <c r="M29" s="443"/>
      <c r="N29" s="217">
        <f t="shared" si="4"/>
        <v>0.40825187813647096</v>
      </c>
      <c r="O29" s="172">
        <f t="shared" si="94"/>
        <v>50.427550079506361</v>
      </c>
      <c r="P29" s="172">
        <f t="shared" si="5"/>
        <v>4.0657212251602006</v>
      </c>
      <c r="Q29" s="217">
        <f t="shared" si="6"/>
        <v>2.1011479199794318</v>
      </c>
      <c r="R29" s="217">
        <f t="shared" si="7"/>
        <v>2.8015305599725755</v>
      </c>
      <c r="S29" s="443">
        <f t="shared" si="8"/>
        <v>24</v>
      </c>
      <c r="T29" s="217">
        <f t="shared" si="9"/>
        <v>1.2691475175592448</v>
      </c>
      <c r="U29" s="217">
        <f t="shared" si="10"/>
        <v>0.53099625398708294</v>
      </c>
      <c r="V29" s="217">
        <f t="shared" si="11"/>
        <v>0.7696621934667236</v>
      </c>
      <c r="W29" s="197">
        <f t="shared" si="12"/>
        <v>350</v>
      </c>
      <c r="X29" s="443">
        <f t="shared" si="95"/>
        <v>350</v>
      </c>
      <c r="Z29" s="217">
        <f t="shared" si="13"/>
        <v>2.7879231258241366</v>
      </c>
      <c r="AA29" s="173">
        <f t="shared" si="14"/>
        <v>1.6907089196100828</v>
      </c>
      <c r="AB29" s="173">
        <f t="shared" si="15"/>
        <v>0.55019104924771167</v>
      </c>
      <c r="AC29" s="173"/>
      <c r="AD29" s="173">
        <f t="shared" si="16"/>
        <v>1.3476450974078444</v>
      </c>
      <c r="AE29" s="545">
        <f t="shared" si="17"/>
        <v>240.29923129050312</v>
      </c>
      <c r="AF29" s="528">
        <f t="shared" si="18"/>
        <v>0.34956416443317928</v>
      </c>
      <c r="AH29" s="173">
        <f t="shared" si="19"/>
        <v>1.8810331507673419</v>
      </c>
      <c r="AI29" s="173">
        <f t="shared" si="20"/>
        <v>2.2222222222222223</v>
      </c>
      <c r="AJ29" s="173">
        <f t="shared" si="21"/>
        <v>1.1373138464517161</v>
      </c>
      <c r="AL29" s="545">
        <f t="shared" si="22"/>
        <v>240</v>
      </c>
      <c r="AM29" s="460">
        <f t="shared" si="23"/>
        <v>240.29923129050312</v>
      </c>
      <c r="AO29">
        <f t="shared" si="96"/>
        <v>240</v>
      </c>
      <c r="AP29" s="460">
        <f t="shared" si="24"/>
        <v>240.29923129050312</v>
      </c>
      <c r="AQ29" s="460"/>
      <c r="AR29" s="5">
        <f t="shared" si="97"/>
        <v>4.1614781480140381</v>
      </c>
      <c r="AS29" s="5">
        <f t="shared" si="25"/>
        <v>0.92975139548485786</v>
      </c>
      <c r="AT29" s="5">
        <f t="shared" si="98"/>
        <v>3.2317267525291804</v>
      </c>
      <c r="AU29" s="173">
        <f t="shared" si="99"/>
        <v>0.22341854562628391</v>
      </c>
      <c r="AW29" s="5">
        <f t="shared" si="26"/>
        <v>0.92975139548485775</v>
      </c>
      <c r="AX29" s="5">
        <f t="shared" si="27"/>
        <v>0.12396685273131439</v>
      </c>
      <c r="AY29" s="5">
        <f t="shared" si="28"/>
        <v>0.64901573092578646</v>
      </c>
      <c r="AZ29" s="5"/>
      <c r="BA29" s="173">
        <f t="shared" si="100"/>
        <v>0.6064380869423478</v>
      </c>
      <c r="BB29" s="173">
        <f t="shared" si="29"/>
        <v>0.75412996953742373</v>
      </c>
      <c r="BC29" s="173">
        <f t="shared" si="30"/>
        <v>7.5514906409085258E-2</v>
      </c>
      <c r="BD29" s="173"/>
      <c r="BE29" s="528">
        <f t="shared" si="31"/>
        <v>1.4710686131771785E-2</v>
      </c>
      <c r="BF29" s="528">
        <f t="shared" si="32"/>
        <v>0.48529536673727558</v>
      </c>
      <c r="BG29" s="528">
        <f t="shared" si="33"/>
        <v>0.22973809745268428</v>
      </c>
      <c r="BH29" s="528">
        <f t="shared" si="34"/>
        <v>6.8605344344346259E-2</v>
      </c>
      <c r="BI29">
        <f t="shared" si="35"/>
        <v>1.0755563313551235E-2</v>
      </c>
      <c r="BJ29" s="460">
        <f t="shared" si="101"/>
        <v>240.49366076623551</v>
      </c>
      <c r="BK29">
        <f t="shared" si="36"/>
        <v>0.57459162904603234</v>
      </c>
      <c r="BL29" s="460">
        <f t="shared" si="102"/>
        <v>574.59162904603238</v>
      </c>
      <c r="BM29" s="173">
        <f t="shared" si="37"/>
        <v>0.20831999999999998</v>
      </c>
      <c r="BN29" s="173">
        <f t="shared" si="38"/>
        <v>1.4880000000000001E-2</v>
      </c>
      <c r="BO29" s="528"/>
      <c r="BQ29" s="460">
        <f t="shared" si="103"/>
        <v>223.2</v>
      </c>
      <c r="BR29" s="528">
        <f t="shared" si="39"/>
        <v>1.1033014598828838E-2</v>
      </c>
      <c r="BS29" s="528">
        <f t="shared" si="104"/>
        <v>1.7061360328635467E-2</v>
      </c>
      <c r="BT29" s="528">
        <f t="shared" si="40"/>
        <v>2.8512505449864527E-5</v>
      </c>
      <c r="BU29" s="528">
        <f t="shared" si="41"/>
        <v>0.32947288112928858</v>
      </c>
      <c r="BV29" s="528">
        <f t="shared" si="42"/>
        <v>0.36516682518762106</v>
      </c>
      <c r="BW29" s="625">
        <f t="shared" si="43"/>
        <v>0.23733257411407724</v>
      </c>
      <c r="BX29" s="460">
        <f t="shared" si="105"/>
        <v>602.4993993016983</v>
      </c>
      <c r="BY29" s="173">
        <f t="shared" si="106"/>
        <v>1.4002910283477306</v>
      </c>
      <c r="BZ29" s="5">
        <f t="shared" si="107"/>
        <v>6.1920000000000002</v>
      </c>
      <c r="CA29" s="173">
        <f t="shared" si="108"/>
        <v>0.81556410006947955</v>
      </c>
      <c r="CB29" s="5">
        <f t="shared" si="109"/>
        <v>81.556410006947957</v>
      </c>
      <c r="CC29">
        <f t="shared" si="110"/>
        <v>24</v>
      </c>
      <c r="CE29" s="562">
        <f t="shared" si="44"/>
        <v>-50</v>
      </c>
      <c r="CF29">
        <f t="shared" si="45"/>
        <v>-50</v>
      </c>
      <c r="CG29" s="173">
        <f t="shared" si="46"/>
        <v>0.3251571824728211</v>
      </c>
      <c r="CH29" s="173">
        <f t="shared" si="47"/>
        <v>8.8626848171922373E-2</v>
      </c>
      <c r="CI29" s="170">
        <v>24</v>
      </c>
      <c r="CJ29" s="217">
        <f t="shared" si="133"/>
        <v>0.24</v>
      </c>
      <c r="CK29" s="217">
        <f t="shared" si="111"/>
        <v>2.4E-2</v>
      </c>
      <c r="CL29" s="217">
        <f t="shared" si="48"/>
        <v>5.76</v>
      </c>
      <c r="CM29" s="217">
        <f t="shared" si="134"/>
        <v>0.432</v>
      </c>
      <c r="CN29" s="541">
        <f t="shared" si="112"/>
        <v>24</v>
      </c>
      <c r="CO29" s="443">
        <f t="shared" si="49"/>
        <v>16.474900000000002</v>
      </c>
      <c r="CP29" s="443">
        <f t="shared" si="50"/>
        <v>40.474900000000005</v>
      </c>
      <c r="CQ29" s="443"/>
      <c r="CR29" s="217">
        <f t="shared" si="113"/>
        <v>0.40507913686898112</v>
      </c>
      <c r="CS29" s="172">
        <f t="shared" si="114"/>
        <v>50.242373565144938</v>
      </c>
      <c r="CT29" s="172">
        <f t="shared" si="51"/>
        <v>4.0507913686898105</v>
      </c>
      <c r="CU29" s="217">
        <f t="shared" si="52"/>
        <v>2.0934322318810392</v>
      </c>
      <c r="CV29" s="217">
        <f t="shared" si="53"/>
        <v>2.7912429758413855</v>
      </c>
      <c r="CW29" s="443">
        <f t="shared" si="54"/>
        <v>24</v>
      </c>
      <c r="CX29" s="217">
        <f t="shared" si="55"/>
        <v>1.273825169048129</v>
      </c>
      <c r="CY29" s="217">
        <f t="shared" si="56"/>
        <v>0.53076048710338719</v>
      </c>
      <c r="CZ29" s="217">
        <f t="shared" si="57"/>
        <v>0.77319144216239799</v>
      </c>
      <c r="DA29" s="197">
        <f t="shared" si="58"/>
        <v>350</v>
      </c>
      <c r="DB29" s="443">
        <f t="shared" si="115"/>
        <v>350</v>
      </c>
      <c r="DD29" s="217">
        <f t="shared" si="59"/>
        <v>2.7911308701724487</v>
      </c>
      <c r="DE29" s="173">
        <f t="shared" si="60"/>
        <v>1.6941716612376698</v>
      </c>
      <c r="DF29" s="173">
        <f t="shared" si="61"/>
        <v>0.55195223422072148</v>
      </c>
      <c r="DG29" s="173"/>
      <c r="DH29" s="173">
        <f t="shared" si="62"/>
        <v>1.3488532386977903</v>
      </c>
      <c r="DI29" s="545">
        <f t="shared" si="63"/>
        <v>240.08399999999992</v>
      </c>
      <c r="DJ29" s="528">
        <f t="shared" si="64"/>
        <v>0.34987754285999911</v>
      </c>
      <c r="DL29" s="173">
        <f t="shared" si="65"/>
        <v>1.8810331507673419</v>
      </c>
      <c r="DM29" s="173">
        <f t="shared" si="66"/>
        <v>2.2222222222222223</v>
      </c>
      <c r="DN29" s="173">
        <f t="shared" si="67"/>
        <v>1.1371908571428571</v>
      </c>
      <c r="DP29" s="545">
        <f t="shared" si="68"/>
        <v>240</v>
      </c>
      <c r="DQ29" s="460">
        <f t="shared" si="69"/>
        <v>240.08399999999992</v>
      </c>
      <c r="DS29">
        <f t="shared" si="116"/>
        <v>240</v>
      </c>
      <c r="DT29" s="460">
        <f t="shared" si="70"/>
        <v>240.08399999999992</v>
      </c>
      <c r="DU29" s="460"/>
      <c r="DV29" s="5">
        <f t="shared" si="117"/>
        <v>4.1652088435714179</v>
      </c>
      <c r="DW29" s="5">
        <f t="shared" si="71"/>
        <v>0.92592592592592615</v>
      </c>
      <c r="DX29" s="5">
        <f t="shared" si="118"/>
        <v>3.2392829176454918</v>
      </c>
      <c r="DY29" s="173">
        <f t="shared" si="119"/>
        <v>0.2223</v>
      </c>
      <c r="EA29" s="5">
        <f t="shared" si="72"/>
        <v>0.92592592592592604</v>
      </c>
      <c r="EB29" s="5">
        <f t="shared" si="73"/>
        <v>0.12345679012345682</v>
      </c>
      <c r="EC29" s="5">
        <f t="shared" si="74"/>
        <v>0.64785658352909825</v>
      </c>
      <c r="ED29" s="5"/>
      <c r="EE29" s="173">
        <f t="shared" si="120"/>
        <v>0.6049181150584978</v>
      </c>
      <c r="EF29" s="173">
        <f t="shared" si="75"/>
        <v>0.75467287797906302</v>
      </c>
      <c r="EG29" s="173">
        <f t="shared" si="76"/>
        <v>7.5569270619254822E-2</v>
      </c>
      <c r="EH29" s="173"/>
      <c r="EI29" s="528">
        <f t="shared" si="77"/>
        <v>1.463703703703704E-2</v>
      </c>
      <c r="EJ29" s="528">
        <f t="shared" si="78"/>
        <v>0.59383963781999993</v>
      </c>
      <c r="EK29" s="528">
        <f t="shared" si="79"/>
        <v>4.8016799999999984E-2</v>
      </c>
      <c r="EL29" s="528">
        <f t="shared" si="80"/>
        <v>6.8829218058111138E-2</v>
      </c>
      <c r="EM29">
        <f t="shared" si="81"/>
        <v>1.0800000000000001E-2</v>
      </c>
      <c r="EN29" s="460">
        <f t="shared" si="121"/>
        <v>58.816799999999986</v>
      </c>
      <c r="EO29">
        <f t="shared" si="82"/>
        <v>0.74265747738369403</v>
      </c>
      <c r="EP29" s="460">
        <f t="shared" si="122"/>
        <v>742.65747738369407</v>
      </c>
      <c r="EQ29" s="173">
        <f t="shared" si="83"/>
        <v>0.20831999999999998</v>
      </c>
      <c r="ER29" s="173">
        <f t="shared" si="84"/>
        <v>1.4880000000000001E-2</v>
      </c>
      <c r="ES29" s="528"/>
      <c r="EU29" s="460">
        <f t="shared" si="123"/>
        <v>223.2</v>
      </c>
      <c r="EV29" s="528">
        <f t="shared" si="85"/>
        <v>1.0977777777777779E-2</v>
      </c>
      <c r="EW29" s="528">
        <f t="shared" si="124"/>
        <v>1.7085934582716053E-2</v>
      </c>
      <c r="EX29" s="528">
        <f t="shared" si="86"/>
        <v>2.8553573309630847E-5</v>
      </c>
      <c r="EY29" s="528">
        <f t="shared" si="87"/>
        <v>0.32873562071781914</v>
      </c>
      <c r="EZ29" s="528">
        <f t="shared" si="88"/>
        <v>0.36438895138177996</v>
      </c>
      <c r="FA29" s="625">
        <f t="shared" si="89"/>
        <v>0.23711999999999997</v>
      </c>
      <c r="FB29" s="460">
        <f t="shared" si="125"/>
        <v>601.50895138177998</v>
      </c>
      <c r="FC29" s="173">
        <f t="shared" si="126"/>
        <v>1.5673664287654741</v>
      </c>
      <c r="FD29" s="5">
        <f t="shared" si="127"/>
        <v>6.1920000000000002</v>
      </c>
      <c r="FE29" s="173">
        <f t="shared" si="128"/>
        <v>0.79800329792971969</v>
      </c>
      <c r="FF29" s="5">
        <f t="shared" si="129"/>
        <v>79.800329792971965</v>
      </c>
      <c r="FG29">
        <f t="shared" si="130"/>
        <v>24</v>
      </c>
      <c r="FI29" s="562">
        <f t="shared" si="90"/>
        <v>-50</v>
      </c>
      <c r="FJ29">
        <f t="shared" si="91"/>
        <v>-50</v>
      </c>
      <c r="FL29">
        <f t="shared" si="92"/>
        <v>0.3251571824728211</v>
      </c>
    </row>
    <row r="30" spans="5:168">
      <c r="E30" s="170">
        <v>25</v>
      </c>
      <c r="F30" s="217">
        <f t="shared" si="131"/>
        <v>0.25</v>
      </c>
      <c r="G30" s="217">
        <f t="shared" si="93"/>
        <v>2.5000000000000001E-2</v>
      </c>
      <c r="H30" s="217">
        <f t="shared" si="0"/>
        <v>6</v>
      </c>
      <c r="I30" s="217">
        <f t="shared" si="132"/>
        <v>0.45</v>
      </c>
      <c r="J30" s="541">
        <f t="shared" si="1"/>
        <v>23.901251807891633</v>
      </c>
      <c r="K30" s="443">
        <f t="shared" si="2"/>
        <v>16.489669472300989</v>
      </c>
      <c r="L30" s="172">
        <f t="shared" si="3"/>
        <v>40.390921280192622</v>
      </c>
      <c r="M30" s="443"/>
      <c r="N30" s="217">
        <f t="shared" si="4"/>
        <v>0.40825187813647096</v>
      </c>
      <c r="O30" s="172">
        <f t="shared" si="94"/>
        <v>50.427550079506361</v>
      </c>
      <c r="P30" s="172">
        <f t="shared" si="5"/>
        <v>4.0657212251602006</v>
      </c>
      <c r="Q30" s="217">
        <f t="shared" si="6"/>
        <v>2.1011479199794318</v>
      </c>
      <c r="R30" s="217">
        <f t="shared" si="7"/>
        <v>2.8015305599725755</v>
      </c>
      <c r="S30" s="443">
        <f t="shared" si="8"/>
        <v>24</v>
      </c>
      <c r="T30" s="217">
        <f t="shared" si="9"/>
        <v>1.3220286641242134</v>
      </c>
      <c r="U30" s="217">
        <f t="shared" si="10"/>
        <v>0.5531210979032114</v>
      </c>
      <c r="V30" s="217">
        <f t="shared" si="11"/>
        <v>0.80173145152783709</v>
      </c>
      <c r="W30" s="197">
        <f t="shared" si="12"/>
        <v>350</v>
      </c>
      <c r="X30" s="443">
        <f t="shared" si="95"/>
        <v>350</v>
      </c>
      <c r="Z30" s="217">
        <f t="shared" si="13"/>
        <v>2.7879231258241366</v>
      </c>
      <c r="AA30" s="173">
        <f t="shared" si="14"/>
        <v>1.6907089196100828</v>
      </c>
      <c r="AB30" s="173">
        <f t="shared" si="15"/>
        <v>0.55019104924771167</v>
      </c>
      <c r="AC30" s="173"/>
      <c r="AD30" s="173">
        <f t="shared" si="16"/>
        <v>1.3476450974078444</v>
      </c>
      <c r="AE30" s="545">
        <f t="shared" si="17"/>
        <v>250.31169926094071</v>
      </c>
      <c r="AF30" s="528">
        <f t="shared" si="18"/>
        <v>0.34956416443317928</v>
      </c>
      <c r="AH30" s="173">
        <f t="shared" si="19"/>
        <v>1.9198214202665531</v>
      </c>
      <c r="AI30" s="173">
        <f t="shared" si="20"/>
        <v>2.2222222222222223</v>
      </c>
      <c r="AJ30" s="173">
        <f t="shared" si="21"/>
        <v>1.1430352567205375</v>
      </c>
      <c r="AL30" s="545">
        <f t="shared" si="22"/>
        <v>250</v>
      </c>
      <c r="AM30" s="460">
        <f t="shared" si="23"/>
        <v>250.31169926094071</v>
      </c>
      <c r="AO30">
        <f t="shared" si="96"/>
        <v>250</v>
      </c>
      <c r="AP30" s="460">
        <f t="shared" si="24"/>
        <v>250.31169926094071</v>
      </c>
      <c r="AQ30" s="460"/>
      <c r="AR30" s="5">
        <f t="shared" si="97"/>
        <v>3.9950190220934778</v>
      </c>
      <c r="AS30" s="5">
        <f t="shared" si="25"/>
        <v>0.92975139548485786</v>
      </c>
      <c r="AT30" s="5">
        <f t="shared" si="98"/>
        <v>3.0652676266086201</v>
      </c>
      <c r="AU30" s="173">
        <f t="shared" si="99"/>
        <v>0.23272765169404566</v>
      </c>
      <c r="AW30" s="5">
        <f t="shared" si="26"/>
        <v>0.96849103696339367</v>
      </c>
      <c r="AX30" s="5">
        <f t="shared" si="27"/>
        <v>0.12913213826178582</v>
      </c>
      <c r="AY30" s="5">
        <f t="shared" si="28"/>
        <v>0.64123579200913239</v>
      </c>
      <c r="AZ30" s="5"/>
      <c r="BA30" s="173">
        <f t="shared" si="100"/>
        <v>0.61894328066597237</v>
      </c>
      <c r="BB30" s="173">
        <f t="shared" si="29"/>
        <v>0.74959635532082736</v>
      </c>
      <c r="BC30" s="173">
        <f t="shared" si="30"/>
        <v>7.5060932336855804E-2</v>
      </c>
      <c r="BD30" s="173"/>
      <c r="BE30" s="528">
        <f t="shared" si="31"/>
        <v>1.5323631387262266E-2</v>
      </c>
      <c r="BF30" s="528">
        <f t="shared" si="32"/>
        <v>0.50551600701799526</v>
      </c>
      <c r="BG30" s="528">
        <f t="shared" si="33"/>
        <v>0.23931051817987942</v>
      </c>
      <c r="BH30" s="528">
        <f t="shared" si="34"/>
        <v>7.1463900358694016E-2</v>
      </c>
      <c r="BI30">
        <f t="shared" si="35"/>
        <v>1.0755563313551235E-2</v>
      </c>
      <c r="BJ30" s="460">
        <f t="shared" si="101"/>
        <v>250.06608149343063</v>
      </c>
      <c r="BK30">
        <f t="shared" si="36"/>
        <v>0.59862043327172887</v>
      </c>
      <c r="BL30" s="460">
        <f t="shared" si="102"/>
        <v>598.62043327172887</v>
      </c>
      <c r="BM30" s="173">
        <f t="shared" si="37"/>
        <v>0.217</v>
      </c>
      <c r="BN30" s="173">
        <f t="shared" si="38"/>
        <v>1.55E-2</v>
      </c>
      <c r="BO30" s="528"/>
      <c r="BQ30" s="460">
        <f t="shared" si="103"/>
        <v>232.49999999999997</v>
      </c>
      <c r="BR30" s="528">
        <f t="shared" si="39"/>
        <v>1.1492723540446699E-2</v>
      </c>
      <c r="BS30" s="528">
        <f t="shared" si="104"/>
        <v>1.6856840877308044E-2</v>
      </c>
      <c r="BT30" s="528">
        <f t="shared" si="40"/>
        <v>2.8170717816390227E-5</v>
      </c>
      <c r="BU30" s="528">
        <f t="shared" si="41"/>
        <v>0.36487288540374202</v>
      </c>
      <c r="BV30" s="528">
        <f t="shared" si="42"/>
        <v>0.40097157017307145</v>
      </c>
      <c r="BW30" s="625">
        <f t="shared" si="43"/>
        <v>0.2472214313688304</v>
      </c>
      <c r="BX30" s="460">
        <f t="shared" si="105"/>
        <v>648.19300154190182</v>
      </c>
      <c r="BY30" s="173">
        <f t="shared" si="106"/>
        <v>1.4793134348136305</v>
      </c>
      <c r="BZ30" s="5">
        <f t="shared" si="107"/>
        <v>6.45</v>
      </c>
      <c r="CA30" s="173">
        <f t="shared" si="108"/>
        <v>0.81343738685890399</v>
      </c>
      <c r="CB30" s="5">
        <f t="shared" si="109"/>
        <v>81.343738685890401</v>
      </c>
      <c r="CC30">
        <f t="shared" si="110"/>
        <v>25</v>
      </c>
      <c r="CE30" s="562">
        <f t="shared" si="44"/>
        <v>-50</v>
      </c>
      <c r="CF30">
        <f t="shared" si="45"/>
        <v>-50</v>
      </c>
      <c r="CG30" s="173">
        <f t="shared" si="46"/>
        <v>0.33870539840918867</v>
      </c>
      <c r="CH30" s="173">
        <f t="shared" si="47"/>
        <v>9.2319633512419161E-2</v>
      </c>
      <c r="CI30" s="170">
        <v>25</v>
      </c>
      <c r="CJ30" s="217">
        <f t="shared" si="133"/>
        <v>0.25</v>
      </c>
      <c r="CK30" s="217">
        <f t="shared" si="111"/>
        <v>2.5000000000000001E-2</v>
      </c>
      <c r="CL30" s="217">
        <f t="shared" si="48"/>
        <v>6</v>
      </c>
      <c r="CM30" s="217">
        <f t="shared" si="134"/>
        <v>0.45</v>
      </c>
      <c r="CN30" s="541">
        <f t="shared" si="112"/>
        <v>24</v>
      </c>
      <c r="CO30" s="443">
        <f t="shared" si="49"/>
        <v>16.474900000000002</v>
      </c>
      <c r="CP30" s="443">
        <f t="shared" si="50"/>
        <v>40.474900000000005</v>
      </c>
      <c r="CQ30" s="443"/>
      <c r="CR30" s="217">
        <f t="shared" si="113"/>
        <v>0.40507913686898112</v>
      </c>
      <c r="CS30" s="172">
        <f t="shared" si="114"/>
        <v>50.242373565144938</v>
      </c>
      <c r="CT30" s="172">
        <f t="shared" si="51"/>
        <v>4.0507913686898105</v>
      </c>
      <c r="CU30" s="217">
        <f t="shared" si="52"/>
        <v>2.0934322318810392</v>
      </c>
      <c r="CV30" s="217">
        <f t="shared" si="53"/>
        <v>2.7912429758413855</v>
      </c>
      <c r="CW30" s="443">
        <f t="shared" si="54"/>
        <v>24</v>
      </c>
      <c r="CX30" s="217">
        <f t="shared" si="55"/>
        <v>1.3269012177584678</v>
      </c>
      <c r="CY30" s="217">
        <f t="shared" si="56"/>
        <v>0.55287550739936164</v>
      </c>
      <c r="CZ30" s="217">
        <f t="shared" si="57"/>
        <v>0.80540775225249794</v>
      </c>
      <c r="DA30" s="197">
        <f t="shared" si="58"/>
        <v>350</v>
      </c>
      <c r="DB30" s="443">
        <f t="shared" si="115"/>
        <v>350</v>
      </c>
      <c r="DD30" s="217">
        <f t="shared" si="59"/>
        <v>2.7911308701724487</v>
      </c>
      <c r="DE30" s="173">
        <f t="shared" si="60"/>
        <v>1.6941716612376698</v>
      </c>
      <c r="DF30" s="173">
        <f t="shared" si="61"/>
        <v>0.55195223422072148</v>
      </c>
      <c r="DG30" s="173"/>
      <c r="DH30" s="173">
        <f t="shared" si="62"/>
        <v>1.3488532386977903</v>
      </c>
      <c r="DI30" s="545">
        <f t="shared" si="63"/>
        <v>250.08749999999995</v>
      </c>
      <c r="DJ30" s="528">
        <f t="shared" si="64"/>
        <v>0.34987754285999911</v>
      </c>
      <c r="DL30" s="173">
        <f t="shared" si="65"/>
        <v>1.9198214202665531</v>
      </c>
      <c r="DM30" s="173">
        <f t="shared" si="66"/>
        <v>2.2222222222222223</v>
      </c>
      <c r="DN30" s="173">
        <f t="shared" si="67"/>
        <v>1.1429071428571429</v>
      </c>
      <c r="DP30" s="545">
        <f t="shared" si="68"/>
        <v>250</v>
      </c>
      <c r="DQ30" s="460">
        <f t="shared" si="69"/>
        <v>250.08749999999995</v>
      </c>
      <c r="DS30">
        <f t="shared" si="116"/>
        <v>250</v>
      </c>
      <c r="DT30" s="460">
        <f t="shared" si="70"/>
        <v>250.08749999999995</v>
      </c>
      <c r="DU30" s="460"/>
      <c r="DV30" s="5">
        <f t="shared" si="117"/>
        <v>3.998600489828561</v>
      </c>
      <c r="DW30" s="5">
        <f t="shared" si="71"/>
        <v>0.92592592592592615</v>
      </c>
      <c r="DX30" s="5">
        <f t="shared" si="118"/>
        <v>3.0726745639026349</v>
      </c>
      <c r="DY30" s="173">
        <f t="shared" si="119"/>
        <v>0.2315625</v>
      </c>
      <c r="EA30" s="5">
        <f t="shared" si="72"/>
        <v>0.96450617283950646</v>
      </c>
      <c r="EB30" s="5">
        <f t="shared" si="73"/>
        <v>0.12860082304526751</v>
      </c>
      <c r="EC30" s="5">
        <f t="shared" si="74"/>
        <v>0.64014053414638217</v>
      </c>
      <c r="ED30" s="5"/>
      <c r="EE30" s="173">
        <f t="shared" si="120"/>
        <v>0.61739196585813527</v>
      </c>
      <c r="EF30" s="173">
        <f t="shared" si="75"/>
        <v>0.75016529419948463</v>
      </c>
      <c r="EG30" s="173">
        <f t="shared" si="76"/>
        <v>7.5117903108353784E-2</v>
      </c>
      <c r="EH30" s="173"/>
      <c r="EI30" s="528">
        <f t="shared" si="77"/>
        <v>1.5246913580246916E-2</v>
      </c>
      <c r="EJ30" s="528">
        <f t="shared" si="78"/>
        <v>0.61858295606249991</v>
      </c>
      <c r="EK30" s="528">
        <f t="shared" si="79"/>
        <v>5.0017499999999986E-2</v>
      </c>
      <c r="EL30" s="528">
        <f t="shared" si="80"/>
        <v>7.1697102143865779E-2</v>
      </c>
      <c r="EM30">
        <f t="shared" si="81"/>
        <v>1.0800000000000001E-2</v>
      </c>
      <c r="EN30" s="460">
        <f t="shared" si="121"/>
        <v>60.817499999999981</v>
      </c>
      <c r="EO30">
        <f t="shared" si="82"/>
        <v>0.77326241041206534</v>
      </c>
      <c r="EP30" s="460">
        <f t="shared" si="122"/>
        <v>773.26241041206538</v>
      </c>
      <c r="EQ30" s="173">
        <f t="shared" si="83"/>
        <v>0.217</v>
      </c>
      <c r="ER30" s="173">
        <f t="shared" si="84"/>
        <v>1.55E-2</v>
      </c>
      <c r="ES30" s="528"/>
      <c r="EU30" s="460">
        <f t="shared" si="123"/>
        <v>232.49999999999997</v>
      </c>
      <c r="EV30" s="528">
        <f t="shared" si="85"/>
        <v>1.1435185185185185E-2</v>
      </c>
      <c r="EW30" s="528">
        <f t="shared" si="124"/>
        <v>1.6882439058641979E-2</v>
      </c>
      <c r="EX30" s="528">
        <f t="shared" si="86"/>
        <v>2.8213496836980136E-5</v>
      </c>
      <c r="EY30" s="528">
        <f t="shared" si="87"/>
        <v>0.36405641051602272</v>
      </c>
      <c r="EZ30" s="528">
        <f t="shared" si="88"/>
        <v>0.4001125713965909</v>
      </c>
      <c r="FA30" s="625">
        <f t="shared" si="89"/>
        <v>0.24700000000000005</v>
      </c>
      <c r="FB30" s="460">
        <f t="shared" si="125"/>
        <v>647.11257139659097</v>
      </c>
      <c r="FC30" s="173">
        <f t="shared" si="126"/>
        <v>1.6528749818086563</v>
      </c>
      <c r="FD30" s="5">
        <f t="shared" si="127"/>
        <v>6.45</v>
      </c>
      <c r="FE30" s="173">
        <f t="shared" si="128"/>
        <v>0.79601376233504273</v>
      </c>
      <c r="FF30" s="5">
        <f t="shared" si="129"/>
        <v>79.601376233504268</v>
      </c>
      <c r="FG30">
        <f t="shared" si="130"/>
        <v>25</v>
      </c>
      <c r="FI30" s="562">
        <f t="shared" si="90"/>
        <v>-50</v>
      </c>
      <c r="FJ30">
        <f t="shared" si="91"/>
        <v>-50</v>
      </c>
      <c r="FL30">
        <f t="shared" si="92"/>
        <v>0.33870539840918867</v>
      </c>
    </row>
    <row r="31" spans="5:168">
      <c r="E31" s="170">
        <v>26</v>
      </c>
      <c r="F31" s="217">
        <f t="shared" si="131"/>
        <v>0.26</v>
      </c>
      <c r="G31" s="217">
        <f t="shared" si="93"/>
        <v>2.6000000000000002E-2</v>
      </c>
      <c r="H31" s="217">
        <f t="shared" si="0"/>
        <v>6.24</v>
      </c>
      <c r="I31" s="217">
        <f t="shared" si="132"/>
        <v>0.46800000000000003</v>
      </c>
      <c r="J31" s="541">
        <f t="shared" si="1"/>
        <v>23.901251807891633</v>
      </c>
      <c r="K31" s="443">
        <f t="shared" si="2"/>
        <v>16.489669472300989</v>
      </c>
      <c r="L31" s="172">
        <f t="shared" si="3"/>
        <v>40.390921280192622</v>
      </c>
      <c r="M31" s="443"/>
      <c r="N31" s="217">
        <f t="shared" si="4"/>
        <v>0.40825187813647096</v>
      </c>
      <c r="O31" s="172">
        <f t="shared" si="94"/>
        <v>50.427550079506361</v>
      </c>
      <c r="P31" s="172">
        <f t="shared" si="5"/>
        <v>4.0657212251602006</v>
      </c>
      <c r="Q31" s="217">
        <f t="shared" si="6"/>
        <v>2.1011479199794318</v>
      </c>
      <c r="R31" s="217">
        <f t="shared" si="7"/>
        <v>2.8015305599725755</v>
      </c>
      <c r="S31" s="443">
        <f t="shared" si="8"/>
        <v>24</v>
      </c>
      <c r="T31" s="217">
        <f t="shared" si="9"/>
        <v>1.3749098106891819</v>
      </c>
      <c r="U31" s="217">
        <f t="shared" si="10"/>
        <v>0.57524594181933986</v>
      </c>
      <c r="V31" s="217">
        <f t="shared" si="11"/>
        <v>0.83380070958895058</v>
      </c>
      <c r="W31" s="197">
        <f t="shared" si="12"/>
        <v>350</v>
      </c>
      <c r="X31" s="443">
        <f t="shared" si="95"/>
        <v>350</v>
      </c>
      <c r="Z31" s="217">
        <f t="shared" si="13"/>
        <v>2.7879231258241366</v>
      </c>
      <c r="AA31" s="173">
        <f t="shared" si="14"/>
        <v>1.6907089196100828</v>
      </c>
      <c r="AB31" s="173">
        <f t="shared" si="15"/>
        <v>0.55019104924771167</v>
      </c>
      <c r="AC31" s="173"/>
      <c r="AD31" s="173">
        <f t="shared" si="16"/>
        <v>1.3476450974078444</v>
      </c>
      <c r="AE31" s="545">
        <f t="shared" si="17"/>
        <v>260.32416723137834</v>
      </c>
      <c r="AF31" s="528">
        <f t="shared" si="18"/>
        <v>0.34956416443317928</v>
      </c>
      <c r="AH31" s="173">
        <f t="shared" si="19"/>
        <v>1.9578413769105139</v>
      </c>
      <c r="AI31" s="173">
        <f t="shared" si="20"/>
        <v>2.2222222222222223</v>
      </c>
      <c r="AJ31" s="173">
        <f t="shared" si="21"/>
        <v>1.148756666989359</v>
      </c>
      <c r="AL31" s="545">
        <f t="shared" si="22"/>
        <v>260</v>
      </c>
      <c r="AM31" s="460">
        <f t="shared" si="23"/>
        <v>260.32416723137834</v>
      </c>
      <c r="AO31">
        <f t="shared" si="96"/>
        <v>260</v>
      </c>
      <c r="AP31" s="460">
        <f t="shared" si="24"/>
        <v>260.32416723137834</v>
      </c>
      <c r="AQ31" s="460"/>
      <c r="AR31" s="5">
        <f t="shared" si="97"/>
        <v>3.8413644443206514</v>
      </c>
      <c r="AS31" s="5">
        <f t="shared" si="25"/>
        <v>0.92975139548485786</v>
      </c>
      <c r="AT31" s="5">
        <f t="shared" si="98"/>
        <v>2.9116130488357936</v>
      </c>
      <c r="AU31" s="173">
        <f t="shared" si="99"/>
        <v>0.24203675776180752</v>
      </c>
      <c r="AW31" s="5">
        <f t="shared" si="26"/>
        <v>1.0072306784419294</v>
      </c>
      <c r="AX31" s="5">
        <f t="shared" si="27"/>
        <v>0.13429742379225726</v>
      </c>
      <c r="AY31" s="5">
        <f t="shared" si="28"/>
        <v>0.63345585309247798</v>
      </c>
      <c r="AZ31" s="5"/>
      <c r="BA31" s="173">
        <f t="shared" si="100"/>
        <v>0.63120077318458589</v>
      </c>
      <c r="BB31" s="173">
        <f t="shared" si="29"/>
        <v>0.74503515411423393</v>
      </c>
      <c r="BC31" s="173">
        <f t="shared" si="30"/>
        <v>7.4604195837655041E-2</v>
      </c>
      <c r="BD31" s="173"/>
      <c r="BE31" s="528">
        <f t="shared" si="31"/>
        <v>1.5936576642752762E-2</v>
      </c>
      <c r="BF31" s="528">
        <f t="shared" si="32"/>
        <v>0.52573664729871505</v>
      </c>
      <c r="BG31" s="528">
        <f t="shared" si="33"/>
        <v>0.24888293890707461</v>
      </c>
      <c r="BH31" s="528">
        <f t="shared" si="34"/>
        <v>7.4322456373041773E-2</v>
      </c>
      <c r="BI31">
        <f t="shared" si="35"/>
        <v>1.0755563313551235E-2</v>
      </c>
      <c r="BJ31" s="460">
        <f t="shared" si="101"/>
        <v>259.63850222062587</v>
      </c>
      <c r="BK31">
        <f t="shared" si="36"/>
        <v>0.62265626300763754</v>
      </c>
      <c r="BL31" s="460">
        <f t="shared" si="102"/>
        <v>622.65626300763756</v>
      </c>
      <c r="BM31" s="173">
        <f t="shared" si="37"/>
        <v>0.22567999999999999</v>
      </c>
      <c r="BN31" s="173">
        <f t="shared" si="38"/>
        <v>1.6120000000000002E-2</v>
      </c>
      <c r="BO31" s="528"/>
      <c r="BQ31" s="460">
        <f t="shared" si="103"/>
        <v>241.79999999999998</v>
      </c>
      <c r="BR31" s="528">
        <f t="shared" si="39"/>
        <v>1.1952432482064571E-2</v>
      </c>
      <c r="BS31" s="528">
        <f t="shared" si="104"/>
        <v>1.665232142598061E-2</v>
      </c>
      <c r="BT31" s="528">
        <f t="shared" si="40"/>
        <v>2.7828930182915931E-5</v>
      </c>
      <c r="BU31" s="528">
        <f t="shared" si="41"/>
        <v>0.40246205400143986</v>
      </c>
      <c r="BV31" s="528">
        <f t="shared" si="42"/>
        <v>0.43897196882171857</v>
      </c>
      <c r="BW31" s="625">
        <f t="shared" si="43"/>
        <v>0.25711028862358359</v>
      </c>
      <c r="BX31" s="460">
        <f t="shared" si="105"/>
        <v>696.08225744530216</v>
      </c>
      <c r="BY31" s="173">
        <f t="shared" si="106"/>
        <v>1.5605385204529398</v>
      </c>
      <c r="BZ31" s="5">
        <f t="shared" si="107"/>
        <v>6.7080000000000002</v>
      </c>
      <c r="CA31" s="173">
        <f t="shared" si="108"/>
        <v>0.81126791432454304</v>
      </c>
      <c r="CB31" s="5">
        <f t="shared" si="109"/>
        <v>81.126791432454297</v>
      </c>
      <c r="CC31">
        <f t="shared" si="110"/>
        <v>26</v>
      </c>
      <c r="CE31" s="562">
        <f t="shared" si="44"/>
        <v>-50</v>
      </c>
      <c r="CF31">
        <f t="shared" si="45"/>
        <v>-50</v>
      </c>
      <c r="CG31" s="173">
        <f t="shared" si="46"/>
        <v>0.35225361434555624</v>
      </c>
      <c r="CH31" s="173">
        <f t="shared" si="47"/>
        <v>9.6012418852915921E-2</v>
      </c>
      <c r="CI31" s="170">
        <v>26</v>
      </c>
      <c r="CJ31" s="217">
        <f t="shared" si="133"/>
        <v>0.26</v>
      </c>
      <c r="CK31" s="217">
        <f t="shared" si="111"/>
        <v>2.6000000000000002E-2</v>
      </c>
      <c r="CL31" s="217">
        <f t="shared" si="48"/>
        <v>6.24</v>
      </c>
      <c r="CM31" s="217">
        <f t="shared" si="134"/>
        <v>0.46800000000000003</v>
      </c>
      <c r="CN31" s="541">
        <f t="shared" si="112"/>
        <v>24</v>
      </c>
      <c r="CO31" s="443">
        <f t="shared" si="49"/>
        <v>16.474900000000002</v>
      </c>
      <c r="CP31" s="443">
        <f t="shared" si="50"/>
        <v>40.474900000000005</v>
      </c>
      <c r="CQ31" s="443"/>
      <c r="CR31" s="217">
        <f t="shared" si="113"/>
        <v>0.40507913686898112</v>
      </c>
      <c r="CS31" s="172">
        <f t="shared" si="114"/>
        <v>50.242373565144938</v>
      </c>
      <c r="CT31" s="172">
        <f t="shared" si="51"/>
        <v>4.0507913686898105</v>
      </c>
      <c r="CU31" s="217">
        <f t="shared" si="52"/>
        <v>2.0934322318810392</v>
      </c>
      <c r="CV31" s="217">
        <f t="shared" si="53"/>
        <v>2.7912429758413855</v>
      </c>
      <c r="CW31" s="443">
        <f t="shared" si="54"/>
        <v>24</v>
      </c>
      <c r="CX31" s="217">
        <f t="shared" si="55"/>
        <v>1.3799772664688064</v>
      </c>
      <c r="CY31" s="217">
        <f t="shared" si="56"/>
        <v>0.5749905276953361</v>
      </c>
      <c r="CZ31" s="217">
        <f t="shared" si="57"/>
        <v>0.83762406234259768</v>
      </c>
      <c r="DA31" s="197">
        <f t="shared" si="58"/>
        <v>350</v>
      </c>
      <c r="DB31" s="443">
        <f t="shared" si="115"/>
        <v>350</v>
      </c>
      <c r="DD31" s="217">
        <f t="shared" si="59"/>
        <v>2.7911308701724487</v>
      </c>
      <c r="DE31" s="173">
        <f t="shared" si="60"/>
        <v>1.6941716612376698</v>
      </c>
      <c r="DF31" s="173">
        <f t="shared" si="61"/>
        <v>0.55195223422072148</v>
      </c>
      <c r="DG31" s="173"/>
      <c r="DH31" s="173">
        <f t="shared" si="62"/>
        <v>1.3488532386977903</v>
      </c>
      <c r="DI31" s="545">
        <f t="shared" si="63"/>
        <v>260.09099999999989</v>
      </c>
      <c r="DJ31" s="528">
        <f t="shared" si="64"/>
        <v>0.34987754285999911</v>
      </c>
      <c r="DL31" s="173">
        <f t="shared" si="65"/>
        <v>1.9578413769105139</v>
      </c>
      <c r="DM31" s="173">
        <f t="shared" si="66"/>
        <v>2.2222222222222223</v>
      </c>
      <c r="DN31" s="173">
        <f t="shared" si="67"/>
        <v>1.1486234285714285</v>
      </c>
      <c r="DP31" s="545">
        <f t="shared" si="68"/>
        <v>260</v>
      </c>
      <c r="DQ31" s="460">
        <f t="shared" si="69"/>
        <v>260.09099999999989</v>
      </c>
      <c r="DS31">
        <f t="shared" si="116"/>
        <v>260</v>
      </c>
      <c r="DT31" s="460">
        <f t="shared" si="70"/>
        <v>260.09099999999989</v>
      </c>
      <c r="DU31" s="460"/>
      <c r="DV31" s="5">
        <f t="shared" si="117"/>
        <v>3.8448081632966939</v>
      </c>
      <c r="DW31" s="5">
        <f t="shared" si="71"/>
        <v>0.92592592592592615</v>
      </c>
      <c r="DX31" s="5">
        <f t="shared" si="118"/>
        <v>2.9188822373707679</v>
      </c>
      <c r="DY31" s="173">
        <f t="shared" si="119"/>
        <v>0.24082499999999996</v>
      </c>
      <c r="EA31" s="5">
        <f t="shared" si="72"/>
        <v>1.0030864197530867</v>
      </c>
      <c r="EB31" s="5">
        <f t="shared" si="73"/>
        <v>0.13374485596707825</v>
      </c>
      <c r="EC31" s="5">
        <f t="shared" si="74"/>
        <v>0.63242448476366631</v>
      </c>
      <c r="ED31" s="5"/>
      <c r="EE31" s="173">
        <f t="shared" si="120"/>
        <v>0.62961873628920828</v>
      </c>
      <c r="EF31" s="173">
        <f t="shared" si="75"/>
        <v>0.74563046107679698</v>
      </c>
      <c r="EG31" s="173">
        <f t="shared" si="76"/>
        <v>7.4663806980798178E-2</v>
      </c>
      <c r="EH31" s="173"/>
      <c r="EI31" s="528">
        <f t="shared" si="77"/>
        <v>1.5856790123456782E-2</v>
      </c>
      <c r="EJ31" s="528">
        <f t="shared" si="78"/>
        <v>0.64332627430499989</v>
      </c>
      <c r="EK31" s="528">
        <f t="shared" si="79"/>
        <v>5.2018199999999973E-2</v>
      </c>
      <c r="EL31" s="528">
        <f t="shared" si="80"/>
        <v>7.4564986229620392E-2</v>
      </c>
      <c r="EM31">
        <f t="shared" si="81"/>
        <v>1.0800000000000001E-2</v>
      </c>
      <c r="EN31" s="460">
        <f t="shared" si="121"/>
        <v>62.818199999999976</v>
      </c>
      <c r="EO31">
        <f t="shared" si="82"/>
        <v>0.80387624670178415</v>
      </c>
      <c r="EP31" s="460">
        <f t="shared" si="122"/>
        <v>803.87624670178411</v>
      </c>
      <c r="EQ31" s="173">
        <f t="shared" si="83"/>
        <v>0.22567999999999999</v>
      </c>
      <c r="ER31" s="173">
        <f t="shared" si="84"/>
        <v>1.6120000000000002E-2</v>
      </c>
      <c r="ES31" s="528"/>
      <c r="EU31" s="460">
        <f t="shared" si="123"/>
        <v>241.79999999999998</v>
      </c>
      <c r="EV31" s="528">
        <f t="shared" si="85"/>
        <v>1.1892592592592587E-2</v>
      </c>
      <c r="EW31" s="528">
        <f t="shared" si="124"/>
        <v>1.6678943534567905E-2</v>
      </c>
      <c r="EX31" s="528">
        <f t="shared" si="86"/>
        <v>2.7873420364329434E-5</v>
      </c>
      <c r="EY31" s="528">
        <f t="shared" si="87"/>
        <v>0.40156146595147074</v>
      </c>
      <c r="EZ31" s="528">
        <f t="shared" si="88"/>
        <v>0.43802691868963717</v>
      </c>
      <c r="FA31" s="625">
        <f t="shared" si="89"/>
        <v>0.25687999999999994</v>
      </c>
      <c r="FB31" s="460">
        <f t="shared" si="125"/>
        <v>694.90691868963711</v>
      </c>
      <c r="FC31" s="173">
        <f t="shared" si="126"/>
        <v>1.7405831653914212</v>
      </c>
      <c r="FD31" s="5">
        <f t="shared" si="127"/>
        <v>6.7080000000000002</v>
      </c>
      <c r="FE31" s="173">
        <f t="shared" si="128"/>
        <v>0.79397928252378402</v>
      </c>
      <c r="FF31" s="5">
        <f t="shared" si="129"/>
        <v>79.397928252378406</v>
      </c>
      <c r="FG31">
        <f t="shared" si="130"/>
        <v>26</v>
      </c>
      <c r="FI31" s="562">
        <f t="shared" si="90"/>
        <v>-50</v>
      </c>
      <c r="FJ31">
        <f t="shared" si="91"/>
        <v>-50</v>
      </c>
      <c r="FL31">
        <f t="shared" si="92"/>
        <v>0.35225361434555624</v>
      </c>
    </row>
    <row r="32" spans="5:168">
      <c r="E32" s="170">
        <v>27</v>
      </c>
      <c r="F32" s="217">
        <f t="shared" si="131"/>
        <v>0.27</v>
      </c>
      <c r="G32" s="217">
        <f t="shared" si="93"/>
        <v>2.7000000000000003E-2</v>
      </c>
      <c r="H32" s="217">
        <f t="shared" si="0"/>
        <v>6.48</v>
      </c>
      <c r="I32" s="217">
        <f t="shared" si="132"/>
        <v>0.48600000000000004</v>
      </c>
      <c r="J32" s="541">
        <f t="shared" si="1"/>
        <v>23.901251807891633</v>
      </c>
      <c r="K32" s="443">
        <f t="shared" si="2"/>
        <v>16.489669472300989</v>
      </c>
      <c r="L32" s="172">
        <f t="shared" si="3"/>
        <v>40.390921280192622</v>
      </c>
      <c r="M32" s="443"/>
      <c r="N32" s="217">
        <f t="shared" si="4"/>
        <v>0.40825187813647096</v>
      </c>
      <c r="O32" s="172">
        <f t="shared" si="94"/>
        <v>50.427550079506361</v>
      </c>
      <c r="P32" s="172">
        <f t="shared" si="5"/>
        <v>4.0657212251602006</v>
      </c>
      <c r="Q32" s="217">
        <f t="shared" si="6"/>
        <v>2.1011479199794318</v>
      </c>
      <c r="R32" s="217">
        <f t="shared" si="7"/>
        <v>2.8015305599725755</v>
      </c>
      <c r="S32" s="443">
        <f t="shared" si="8"/>
        <v>24</v>
      </c>
      <c r="T32" s="217">
        <f t="shared" si="9"/>
        <v>1.4277909572541503</v>
      </c>
      <c r="U32" s="217">
        <f t="shared" si="10"/>
        <v>0.5973707857354682</v>
      </c>
      <c r="V32" s="217">
        <f t="shared" si="11"/>
        <v>0.86586996765006397</v>
      </c>
      <c r="W32" s="197">
        <f t="shared" si="12"/>
        <v>350</v>
      </c>
      <c r="X32" s="443">
        <f t="shared" si="95"/>
        <v>350</v>
      </c>
      <c r="Z32" s="217">
        <f t="shared" si="13"/>
        <v>2.7879231258241366</v>
      </c>
      <c r="AA32" s="173">
        <f t="shared" si="14"/>
        <v>1.6907089196100828</v>
      </c>
      <c r="AB32" s="173">
        <f t="shared" si="15"/>
        <v>0.55019104924771167</v>
      </c>
      <c r="AC32" s="173"/>
      <c r="AD32" s="173">
        <f t="shared" si="16"/>
        <v>1.3476450974078444</v>
      </c>
      <c r="AE32" s="545">
        <f t="shared" si="17"/>
        <v>270.33663520181597</v>
      </c>
      <c r="AF32" s="528">
        <f t="shared" si="18"/>
        <v>0.34956416443317928</v>
      </c>
      <c r="AH32" s="173">
        <f t="shared" si="19"/>
        <v>1.9951369448164273</v>
      </c>
      <c r="AI32" s="173">
        <f t="shared" si="20"/>
        <v>2.2222222222222223</v>
      </c>
      <c r="AJ32" s="173">
        <f t="shared" si="21"/>
        <v>1.1544780772581806</v>
      </c>
      <c r="AL32" s="545">
        <f t="shared" si="22"/>
        <v>270</v>
      </c>
      <c r="AM32" s="460">
        <f t="shared" si="23"/>
        <v>270.33663520181597</v>
      </c>
      <c r="AO32">
        <f t="shared" si="96"/>
        <v>270</v>
      </c>
      <c r="AP32" s="460">
        <f t="shared" si="24"/>
        <v>270.33663520181597</v>
      </c>
      <c r="AQ32" s="460"/>
      <c r="AR32" s="5">
        <f t="shared" si="97"/>
        <v>3.6990916871235906</v>
      </c>
      <c r="AS32" s="5">
        <f t="shared" si="25"/>
        <v>0.92975139548485786</v>
      </c>
      <c r="AT32" s="5">
        <f t="shared" si="98"/>
        <v>2.7693402916387329</v>
      </c>
      <c r="AU32" s="173">
        <f t="shared" si="99"/>
        <v>0.2513458638295693</v>
      </c>
      <c r="AW32" s="5">
        <f t="shared" si="26"/>
        <v>1.0459703199204651</v>
      </c>
      <c r="AX32" s="5">
        <f t="shared" si="27"/>
        <v>0.1394627093227287</v>
      </c>
      <c r="AY32" s="5">
        <f t="shared" si="28"/>
        <v>0.62567591417582358</v>
      </c>
      <c r="AZ32" s="5"/>
      <c r="BA32" s="173">
        <f t="shared" si="100"/>
        <v>0.64322472547009668</v>
      </c>
      <c r="BB32" s="173">
        <f t="shared" si="29"/>
        <v>0.74044585610412628</v>
      </c>
      <c r="BC32" s="173">
        <f t="shared" si="30"/>
        <v>7.4144645861237507E-2</v>
      </c>
      <c r="BD32" s="173"/>
      <c r="BE32" s="528">
        <f t="shared" si="31"/>
        <v>1.6549521898243248E-2</v>
      </c>
      <c r="BF32" s="528">
        <f t="shared" si="32"/>
        <v>0.54595728757943496</v>
      </c>
      <c r="BG32" s="528">
        <f t="shared" si="33"/>
        <v>0.2584553596342698</v>
      </c>
      <c r="BH32" s="528">
        <f t="shared" si="34"/>
        <v>7.718101238738953E-2</v>
      </c>
      <c r="BI32">
        <f t="shared" si="35"/>
        <v>1.0755563313551235E-2</v>
      </c>
      <c r="BJ32" s="460">
        <f t="shared" si="101"/>
        <v>269.21092294782102</v>
      </c>
      <c r="BK32">
        <f t="shared" si="36"/>
        <v>0.64669912133537255</v>
      </c>
      <c r="BL32" s="460">
        <f t="shared" si="102"/>
        <v>646.69912133537252</v>
      </c>
      <c r="BM32" s="173">
        <f t="shared" si="37"/>
        <v>0.23436000000000001</v>
      </c>
      <c r="BN32" s="173">
        <f t="shared" si="38"/>
        <v>1.6740000000000001E-2</v>
      </c>
      <c r="BO32" s="528"/>
      <c r="BQ32" s="460">
        <f t="shared" si="103"/>
        <v>251.1</v>
      </c>
      <c r="BR32" s="528">
        <f t="shared" si="39"/>
        <v>1.2412141423682436E-2</v>
      </c>
      <c r="BS32" s="528">
        <f t="shared" si="104"/>
        <v>1.6447801974653172E-2</v>
      </c>
      <c r="BT32" s="528">
        <f t="shared" si="40"/>
        <v>2.7487142549441621E-5</v>
      </c>
      <c r="BU32" s="528">
        <f t="shared" si="41"/>
        <v>0.44228374653634484</v>
      </c>
      <c r="BV32" s="528">
        <f t="shared" si="42"/>
        <v>0.47921161578827981</v>
      </c>
      <c r="BW32" s="625">
        <f t="shared" si="43"/>
        <v>0.26699914587833684</v>
      </c>
      <c r="BX32" s="460">
        <f t="shared" si="105"/>
        <v>746.21076166661669</v>
      </c>
      <c r="BY32" s="173">
        <f t="shared" si="106"/>
        <v>1.6440098830019894</v>
      </c>
      <c r="BZ32" s="5">
        <f t="shared" si="107"/>
        <v>6.9660000000000002</v>
      </c>
      <c r="CA32" s="173">
        <f t="shared" si="108"/>
        <v>0.80905830477063467</v>
      </c>
      <c r="CB32" s="5">
        <f t="shared" si="109"/>
        <v>80.905830477063461</v>
      </c>
      <c r="CC32">
        <f t="shared" si="110"/>
        <v>27</v>
      </c>
      <c r="CE32" s="562">
        <f t="shared" si="44"/>
        <v>-50</v>
      </c>
      <c r="CF32">
        <f t="shared" si="45"/>
        <v>-50</v>
      </c>
      <c r="CG32" s="173">
        <f t="shared" si="46"/>
        <v>0.36580183028192381</v>
      </c>
      <c r="CH32" s="173">
        <f t="shared" si="47"/>
        <v>9.9705204193412694E-2</v>
      </c>
      <c r="CI32" s="170">
        <v>27</v>
      </c>
      <c r="CJ32" s="217">
        <f t="shared" si="133"/>
        <v>0.27</v>
      </c>
      <c r="CK32" s="217">
        <f t="shared" si="111"/>
        <v>2.7000000000000003E-2</v>
      </c>
      <c r="CL32" s="217">
        <f t="shared" si="48"/>
        <v>6.48</v>
      </c>
      <c r="CM32" s="217">
        <f t="shared" si="134"/>
        <v>0.48600000000000004</v>
      </c>
      <c r="CN32" s="541">
        <f t="shared" si="112"/>
        <v>24</v>
      </c>
      <c r="CO32" s="443">
        <f t="shared" si="49"/>
        <v>16.474900000000002</v>
      </c>
      <c r="CP32" s="443">
        <f t="shared" si="50"/>
        <v>40.474900000000005</v>
      </c>
      <c r="CQ32" s="443"/>
      <c r="CR32" s="217">
        <f t="shared" si="113"/>
        <v>0.40507913686898112</v>
      </c>
      <c r="CS32" s="172">
        <f t="shared" si="114"/>
        <v>50.242373565144938</v>
      </c>
      <c r="CT32" s="172">
        <f t="shared" si="51"/>
        <v>4.0507913686898105</v>
      </c>
      <c r="CU32" s="217">
        <f t="shared" si="52"/>
        <v>2.0934322318810392</v>
      </c>
      <c r="CV32" s="217">
        <f t="shared" si="53"/>
        <v>2.7912429758413855</v>
      </c>
      <c r="CW32" s="443">
        <f t="shared" si="54"/>
        <v>24</v>
      </c>
      <c r="CX32" s="217">
        <f t="shared" si="55"/>
        <v>1.4330533151791451</v>
      </c>
      <c r="CY32" s="217">
        <f t="shared" si="56"/>
        <v>0.59710554799131055</v>
      </c>
      <c r="CZ32" s="217">
        <f t="shared" si="57"/>
        <v>0.86984037243269774</v>
      </c>
      <c r="DA32" s="197">
        <f t="shared" si="58"/>
        <v>350</v>
      </c>
      <c r="DB32" s="443">
        <f t="shared" si="115"/>
        <v>350</v>
      </c>
      <c r="DD32" s="217">
        <f t="shared" si="59"/>
        <v>2.7911308701724487</v>
      </c>
      <c r="DE32" s="173">
        <f t="shared" si="60"/>
        <v>1.6941716612376698</v>
      </c>
      <c r="DF32" s="173">
        <f t="shared" si="61"/>
        <v>0.55195223422072148</v>
      </c>
      <c r="DG32" s="173"/>
      <c r="DH32" s="173">
        <f t="shared" si="62"/>
        <v>1.3488532386977903</v>
      </c>
      <c r="DI32" s="545">
        <f t="shared" si="63"/>
        <v>270.09449999999993</v>
      </c>
      <c r="DJ32" s="528">
        <f t="shared" si="64"/>
        <v>0.34987754285999911</v>
      </c>
      <c r="DL32" s="173">
        <f t="shared" si="65"/>
        <v>1.9951369448164273</v>
      </c>
      <c r="DM32" s="173">
        <f t="shared" si="66"/>
        <v>2.2222222222222223</v>
      </c>
      <c r="DN32" s="173">
        <f t="shared" si="67"/>
        <v>1.1543397142857144</v>
      </c>
      <c r="DP32" s="545">
        <f t="shared" si="68"/>
        <v>270</v>
      </c>
      <c r="DQ32" s="460">
        <f t="shared" si="69"/>
        <v>270.09449999999993</v>
      </c>
      <c r="DS32">
        <f t="shared" si="116"/>
        <v>270</v>
      </c>
      <c r="DT32" s="460">
        <f t="shared" si="70"/>
        <v>270.09449999999993</v>
      </c>
      <c r="DU32" s="460"/>
      <c r="DV32" s="5">
        <f t="shared" si="117"/>
        <v>3.7024078609523716</v>
      </c>
      <c r="DW32" s="5">
        <f t="shared" si="71"/>
        <v>0.92592592592592615</v>
      </c>
      <c r="DX32" s="5">
        <f t="shared" si="118"/>
        <v>2.7764819350264456</v>
      </c>
      <c r="DY32" s="173">
        <f t="shared" si="119"/>
        <v>0.25008749999999996</v>
      </c>
      <c r="EA32" s="5">
        <f t="shared" si="72"/>
        <v>1.041666666666667</v>
      </c>
      <c r="EB32" s="5">
        <f t="shared" si="73"/>
        <v>0.13888888888888895</v>
      </c>
      <c r="EC32" s="5">
        <f t="shared" si="74"/>
        <v>0.62470843538095022</v>
      </c>
      <c r="ED32" s="5"/>
      <c r="EE32" s="173">
        <f t="shared" si="120"/>
        <v>0.64161255183067201</v>
      </c>
      <c r="EF32" s="173">
        <f t="shared" si="75"/>
        <v>0.74106787836863797</v>
      </c>
      <c r="EG32" s="173">
        <f t="shared" si="76"/>
        <v>7.4206932144751436E-2</v>
      </c>
      <c r="EH32" s="173"/>
      <c r="EI32" s="528">
        <f t="shared" si="77"/>
        <v>1.6466666666666671E-2</v>
      </c>
      <c r="EJ32" s="528">
        <f t="shared" si="78"/>
        <v>0.66806959254749998</v>
      </c>
      <c r="EK32" s="528">
        <f t="shared" si="79"/>
        <v>5.4018899999999988E-2</v>
      </c>
      <c r="EL32" s="528">
        <f t="shared" si="80"/>
        <v>7.7432870315375033E-2</v>
      </c>
      <c r="EM32">
        <f t="shared" si="81"/>
        <v>1.0800000000000001E-2</v>
      </c>
      <c r="EN32" s="460">
        <f t="shared" si="121"/>
        <v>64.818899999999985</v>
      </c>
      <c r="EO32">
        <f t="shared" si="82"/>
        <v>0.83449899013847872</v>
      </c>
      <c r="EP32" s="460">
        <f t="shared" si="122"/>
        <v>834.49899013847869</v>
      </c>
      <c r="EQ32" s="173">
        <f t="shared" si="83"/>
        <v>0.23436000000000001</v>
      </c>
      <c r="ER32" s="173">
        <f t="shared" si="84"/>
        <v>1.6740000000000001E-2</v>
      </c>
      <c r="ES32" s="528"/>
      <c r="EU32" s="460">
        <f t="shared" si="123"/>
        <v>251.1</v>
      </c>
      <c r="EV32" s="528">
        <f t="shared" si="85"/>
        <v>1.2350000000000003E-2</v>
      </c>
      <c r="EW32" s="528">
        <f t="shared" si="124"/>
        <v>1.6475448010493832E-2</v>
      </c>
      <c r="EX32" s="528">
        <f t="shared" si="86"/>
        <v>2.7533343891678719E-5</v>
      </c>
      <c r="EY32" s="528">
        <f t="shared" si="87"/>
        <v>0.44129404961245922</v>
      </c>
      <c r="EZ32" s="528">
        <f t="shared" si="88"/>
        <v>0.4781754895706738</v>
      </c>
      <c r="FA32" s="625">
        <f t="shared" si="89"/>
        <v>0.26676</v>
      </c>
      <c r="FB32" s="460">
        <f t="shared" si="125"/>
        <v>744.93548957067378</v>
      </c>
      <c r="FC32" s="173">
        <f t="shared" si="126"/>
        <v>1.8305344797091525</v>
      </c>
      <c r="FD32" s="5">
        <f t="shared" si="127"/>
        <v>6.9660000000000002</v>
      </c>
      <c r="FE32" s="173">
        <f t="shared" si="128"/>
        <v>0.79190276762608947</v>
      </c>
      <c r="FF32" s="5">
        <f t="shared" si="129"/>
        <v>79.190276762608946</v>
      </c>
      <c r="FG32">
        <f t="shared" si="130"/>
        <v>27</v>
      </c>
      <c r="FI32" s="562">
        <f t="shared" si="90"/>
        <v>-50</v>
      </c>
      <c r="FJ32">
        <f t="shared" si="91"/>
        <v>-50</v>
      </c>
      <c r="FL32">
        <f t="shared" si="92"/>
        <v>0.36580183028192376</v>
      </c>
    </row>
    <row r="33" spans="5:168">
      <c r="E33" s="170">
        <v>28</v>
      </c>
      <c r="F33" s="217">
        <f t="shared" si="131"/>
        <v>0.28000000000000003</v>
      </c>
      <c r="G33" s="217">
        <f t="shared" si="93"/>
        <v>2.8000000000000004E-2</v>
      </c>
      <c r="H33" s="217">
        <f t="shared" si="0"/>
        <v>6.7200000000000006</v>
      </c>
      <c r="I33" s="217">
        <f t="shared" si="132"/>
        <v>0.50400000000000011</v>
      </c>
      <c r="J33" s="541">
        <f t="shared" si="1"/>
        <v>23.901251807891633</v>
      </c>
      <c r="K33" s="443">
        <f t="shared" si="2"/>
        <v>16.489669472300989</v>
      </c>
      <c r="L33" s="172">
        <f t="shared" si="3"/>
        <v>40.390921280192622</v>
      </c>
      <c r="M33" s="443"/>
      <c r="N33" s="217">
        <f t="shared" si="4"/>
        <v>0.40825187813647096</v>
      </c>
      <c r="O33" s="172">
        <f t="shared" si="94"/>
        <v>50.427550079506361</v>
      </c>
      <c r="P33" s="172">
        <f t="shared" si="5"/>
        <v>4.0657212251602006</v>
      </c>
      <c r="Q33" s="217">
        <f t="shared" si="6"/>
        <v>2.1011479199794318</v>
      </c>
      <c r="R33" s="217">
        <f t="shared" si="7"/>
        <v>2.8015305599725755</v>
      </c>
      <c r="S33" s="443">
        <f t="shared" si="8"/>
        <v>24</v>
      </c>
      <c r="T33" s="217">
        <f t="shared" si="9"/>
        <v>1.4806721038191191</v>
      </c>
      <c r="U33" s="217">
        <f t="shared" si="10"/>
        <v>0.61949562965159666</v>
      </c>
      <c r="V33" s="217">
        <f t="shared" si="11"/>
        <v>0.89793922571117757</v>
      </c>
      <c r="W33" s="197">
        <f t="shared" si="12"/>
        <v>350</v>
      </c>
      <c r="X33" s="443">
        <f t="shared" si="95"/>
        <v>350</v>
      </c>
      <c r="Z33" s="217">
        <f t="shared" si="13"/>
        <v>2.7879231258241366</v>
      </c>
      <c r="AA33" s="173">
        <f t="shared" si="14"/>
        <v>1.6907089196100828</v>
      </c>
      <c r="AB33" s="173">
        <f t="shared" si="15"/>
        <v>0.55019104924771167</v>
      </c>
      <c r="AC33" s="173"/>
      <c r="AD33" s="173">
        <f t="shared" si="16"/>
        <v>1.3476450974078444</v>
      </c>
      <c r="AE33" s="545">
        <f t="shared" si="17"/>
        <v>280.34910317225365</v>
      </c>
      <c r="AF33" s="528">
        <f t="shared" si="18"/>
        <v>0.34956416443317928</v>
      </c>
      <c r="AH33" s="173">
        <f t="shared" si="19"/>
        <v>2.0317480158720471</v>
      </c>
      <c r="AI33" s="173">
        <f t="shared" si="20"/>
        <v>2.2222222222222223</v>
      </c>
      <c r="AJ33" s="173">
        <f t="shared" si="21"/>
        <v>1.1601994875270021</v>
      </c>
      <c r="AL33" s="545">
        <f t="shared" si="22"/>
        <v>280</v>
      </c>
      <c r="AM33" s="460">
        <f t="shared" si="23"/>
        <v>280.34910317225365</v>
      </c>
      <c r="AO33">
        <f t="shared" si="96"/>
        <v>280</v>
      </c>
      <c r="AP33" s="460">
        <f t="shared" si="24"/>
        <v>280.34910317225365</v>
      </c>
      <c r="AQ33" s="460"/>
      <c r="AR33" s="5">
        <f t="shared" si="97"/>
        <v>3.5669812697263183</v>
      </c>
      <c r="AS33" s="5">
        <f t="shared" si="25"/>
        <v>0.92975139548485786</v>
      </c>
      <c r="AT33" s="5">
        <f t="shared" si="98"/>
        <v>2.6372298742414606</v>
      </c>
      <c r="AU33" s="173">
        <f t="shared" si="99"/>
        <v>0.26065496989733122</v>
      </c>
      <c r="AW33" s="5">
        <f t="shared" si="26"/>
        <v>1.0847099613990008</v>
      </c>
      <c r="AX33" s="5">
        <f t="shared" si="27"/>
        <v>0.14462799485320013</v>
      </c>
      <c r="AY33" s="5">
        <f t="shared" si="28"/>
        <v>0.61789597525916917</v>
      </c>
      <c r="AZ33" s="5"/>
      <c r="BA33" s="173">
        <f t="shared" si="100"/>
        <v>0.65502799851864624</v>
      </c>
      <c r="BB33" s="173">
        <f t="shared" si="29"/>
        <v>0.73582793557836923</v>
      </c>
      <c r="BC33" s="173">
        <f t="shared" si="30"/>
        <v>7.3682229765347509E-2</v>
      </c>
      <c r="BD33" s="173"/>
      <c r="BE33" s="528">
        <f t="shared" si="31"/>
        <v>1.7162467153733745E-2</v>
      </c>
      <c r="BF33" s="528">
        <f t="shared" si="32"/>
        <v>0.56617792786015486</v>
      </c>
      <c r="BG33" s="528">
        <f t="shared" si="33"/>
        <v>0.26802778036146502</v>
      </c>
      <c r="BH33" s="528">
        <f t="shared" si="34"/>
        <v>8.0039568401737315E-2</v>
      </c>
      <c r="BI33">
        <f t="shared" si="35"/>
        <v>1.0755563313551235E-2</v>
      </c>
      <c r="BJ33" s="460">
        <f t="shared" si="101"/>
        <v>278.78334367501623</v>
      </c>
      <c r="BK33">
        <f t="shared" si="36"/>
        <v>0.67074901133835141</v>
      </c>
      <c r="BL33" s="460">
        <f t="shared" si="102"/>
        <v>670.74901133835147</v>
      </c>
      <c r="BM33" s="173">
        <f t="shared" si="37"/>
        <v>0.24304000000000001</v>
      </c>
      <c r="BN33" s="173">
        <f t="shared" si="38"/>
        <v>1.7360000000000004E-2</v>
      </c>
      <c r="BO33" s="528"/>
      <c r="BQ33" s="460">
        <f t="shared" si="103"/>
        <v>260.40000000000003</v>
      </c>
      <c r="BR33" s="528">
        <f t="shared" si="39"/>
        <v>1.2871850365300308E-2</v>
      </c>
      <c r="BS33" s="528">
        <f t="shared" si="104"/>
        <v>1.6243282523325742E-2</v>
      </c>
      <c r="BT33" s="528">
        <f t="shared" si="40"/>
        <v>2.7145354915967314E-5</v>
      </c>
      <c r="BU33" s="528">
        <f t="shared" si="41"/>
        <v>0.48438049619471091</v>
      </c>
      <c r="BV33" s="528">
        <f t="shared" si="42"/>
        <v>0.52173328093205007</v>
      </c>
      <c r="BW33" s="625">
        <f t="shared" si="43"/>
        <v>0.27688800313309014</v>
      </c>
      <c r="BX33" s="460">
        <f t="shared" si="105"/>
        <v>798.62128406514023</v>
      </c>
      <c r="BY33" s="173">
        <f t="shared" si="106"/>
        <v>1.7297702954034917</v>
      </c>
      <c r="BZ33" s="5">
        <f t="shared" si="107"/>
        <v>7.2240000000000011</v>
      </c>
      <c r="CA33" s="173">
        <f t="shared" si="108"/>
        <v>0.80681095914516743</v>
      </c>
      <c r="CB33" s="5">
        <f t="shared" si="109"/>
        <v>80.681095914516746</v>
      </c>
      <c r="CC33">
        <f t="shared" si="110"/>
        <v>28.000000000000004</v>
      </c>
      <c r="CE33" s="562">
        <f t="shared" si="44"/>
        <v>-50</v>
      </c>
      <c r="CF33">
        <f t="shared" si="45"/>
        <v>-50</v>
      </c>
      <c r="CG33" s="173">
        <f t="shared" si="46"/>
        <v>0.37935004621829127</v>
      </c>
      <c r="CH33" s="173">
        <f t="shared" si="47"/>
        <v>0.10339798953390947</v>
      </c>
      <c r="CI33" s="170">
        <v>28</v>
      </c>
      <c r="CJ33" s="217">
        <f t="shared" si="133"/>
        <v>0.28000000000000003</v>
      </c>
      <c r="CK33" s="217">
        <f t="shared" si="111"/>
        <v>2.8000000000000004E-2</v>
      </c>
      <c r="CL33" s="217">
        <f t="shared" si="48"/>
        <v>6.7200000000000006</v>
      </c>
      <c r="CM33" s="217">
        <f t="shared" si="134"/>
        <v>0.50400000000000011</v>
      </c>
      <c r="CN33" s="541">
        <f t="shared" si="112"/>
        <v>24</v>
      </c>
      <c r="CO33" s="443">
        <f t="shared" si="49"/>
        <v>16.474900000000002</v>
      </c>
      <c r="CP33" s="443">
        <f t="shared" si="50"/>
        <v>40.474900000000005</v>
      </c>
      <c r="CQ33" s="443"/>
      <c r="CR33" s="217">
        <f t="shared" si="113"/>
        <v>0.40507913686898112</v>
      </c>
      <c r="CS33" s="172">
        <f t="shared" si="114"/>
        <v>50.242373565144938</v>
      </c>
      <c r="CT33" s="172">
        <f t="shared" si="51"/>
        <v>4.0507913686898105</v>
      </c>
      <c r="CU33" s="217">
        <f t="shared" si="52"/>
        <v>2.0934322318810392</v>
      </c>
      <c r="CV33" s="217">
        <f t="shared" si="53"/>
        <v>2.7912429758413855</v>
      </c>
      <c r="CW33" s="443">
        <f t="shared" si="54"/>
        <v>24</v>
      </c>
      <c r="CX33" s="217">
        <f t="shared" si="55"/>
        <v>1.4861293638894841</v>
      </c>
      <c r="CY33" s="217">
        <f t="shared" si="56"/>
        <v>0.61922056828728511</v>
      </c>
      <c r="CZ33" s="217">
        <f t="shared" si="57"/>
        <v>0.9020566825227978</v>
      </c>
      <c r="DA33" s="197">
        <f t="shared" si="58"/>
        <v>350</v>
      </c>
      <c r="DB33" s="443">
        <f t="shared" si="115"/>
        <v>350</v>
      </c>
      <c r="DD33" s="217">
        <f t="shared" si="59"/>
        <v>2.7911308701724487</v>
      </c>
      <c r="DE33" s="173">
        <f t="shared" si="60"/>
        <v>1.6941716612376698</v>
      </c>
      <c r="DF33" s="173">
        <f t="shared" si="61"/>
        <v>0.55195223422072148</v>
      </c>
      <c r="DG33" s="173"/>
      <c r="DH33" s="173">
        <f t="shared" si="62"/>
        <v>1.3488532386977903</v>
      </c>
      <c r="DI33" s="545">
        <f t="shared" si="63"/>
        <v>280.09799999999996</v>
      </c>
      <c r="DJ33" s="528">
        <f t="shared" si="64"/>
        <v>0.34987754285999911</v>
      </c>
      <c r="DL33" s="173">
        <f t="shared" si="65"/>
        <v>2.0317480158720471</v>
      </c>
      <c r="DM33" s="173">
        <f t="shared" si="66"/>
        <v>2.2222222222222223</v>
      </c>
      <c r="DN33" s="173">
        <f t="shared" si="67"/>
        <v>1.160056</v>
      </c>
      <c r="DP33" s="545">
        <f t="shared" si="68"/>
        <v>280</v>
      </c>
      <c r="DQ33" s="460">
        <f t="shared" si="69"/>
        <v>280.09799999999996</v>
      </c>
      <c r="DS33">
        <f t="shared" si="116"/>
        <v>280</v>
      </c>
      <c r="DT33" s="460">
        <f t="shared" si="70"/>
        <v>280.09799999999996</v>
      </c>
      <c r="DU33" s="460"/>
      <c r="DV33" s="5">
        <f t="shared" si="117"/>
        <v>3.5701790087755003</v>
      </c>
      <c r="DW33" s="5">
        <f t="shared" si="71"/>
        <v>0.92592592592592615</v>
      </c>
      <c r="DX33" s="5">
        <f t="shared" si="118"/>
        <v>2.6442530828495743</v>
      </c>
      <c r="DY33" s="173">
        <f t="shared" si="119"/>
        <v>0.25935000000000002</v>
      </c>
      <c r="EA33" s="5">
        <f t="shared" si="72"/>
        <v>1.0802469135802473</v>
      </c>
      <c r="EB33" s="5">
        <f t="shared" si="73"/>
        <v>0.14403292181069965</v>
      </c>
      <c r="EC33" s="5">
        <f t="shared" si="74"/>
        <v>0.61699238599823392</v>
      </c>
      <c r="ED33" s="5"/>
      <c r="EE33" s="173">
        <f t="shared" si="120"/>
        <v>0.65338624124396261</v>
      </c>
      <c r="EF33" s="173">
        <f t="shared" si="75"/>
        <v>0.73647703033699008</v>
      </c>
      <c r="EG33" s="173">
        <f t="shared" si="76"/>
        <v>7.374722695671751E-2</v>
      </c>
      <c r="EH33" s="173"/>
      <c r="EI33" s="528">
        <f t="shared" si="77"/>
        <v>1.707654320987655E-2</v>
      </c>
      <c r="EJ33" s="528">
        <f t="shared" si="78"/>
        <v>0.69281291079000007</v>
      </c>
      <c r="EK33" s="528">
        <f t="shared" si="79"/>
        <v>5.6019599999999989E-2</v>
      </c>
      <c r="EL33" s="528">
        <f t="shared" si="80"/>
        <v>8.0300754401129673E-2</v>
      </c>
      <c r="EM33">
        <f t="shared" si="81"/>
        <v>1.0800000000000001E-2</v>
      </c>
      <c r="EN33" s="460">
        <f t="shared" si="121"/>
        <v>66.819599999999994</v>
      </c>
      <c r="EO33">
        <f t="shared" si="82"/>
        <v>0.86513064461003852</v>
      </c>
      <c r="EP33" s="460">
        <f t="shared" si="122"/>
        <v>865.13064461003853</v>
      </c>
      <c r="EQ33" s="173">
        <f t="shared" si="83"/>
        <v>0.24304000000000001</v>
      </c>
      <c r="ER33" s="173">
        <f t="shared" si="84"/>
        <v>1.7360000000000004E-2</v>
      </c>
      <c r="ES33" s="528"/>
      <c r="EU33" s="460">
        <f t="shared" si="123"/>
        <v>260.40000000000003</v>
      </c>
      <c r="EV33" s="528">
        <f t="shared" si="85"/>
        <v>1.2807407407407411E-2</v>
      </c>
      <c r="EW33" s="528">
        <f t="shared" si="124"/>
        <v>1.6271952486419751E-2</v>
      </c>
      <c r="EX33" s="528">
        <f t="shared" si="86"/>
        <v>2.7193267419028008E-5</v>
      </c>
      <c r="EY33" s="528">
        <f t="shared" si="87"/>
        <v>0.48329659950886478</v>
      </c>
      <c r="EZ33" s="528">
        <f t="shared" si="88"/>
        <v>0.5206009573841619</v>
      </c>
      <c r="FA33" s="625">
        <f t="shared" si="89"/>
        <v>0.27664000000000005</v>
      </c>
      <c r="FB33" s="460">
        <f t="shared" si="125"/>
        <v>797.2409573841619</v>
      </c>
      <c r="FC33" s="173">
        <f t="shared" si="126"/>
        <v>1.9227716019942005</v>
      </c>
      <c r="FD33" s="5">
        <f t="shared" si="127"/>
        <v>7.2240000000000011</v>
      </c>
      <c r="FE33" s="173">
        <f t="shared" si="128"/>
        <v>0.78978685752085542</v>
      </c>
      <c r="FF33" s="5">
        <f t="shared" si="129"/>
        <v>78.978685752085539</v>
      </c>
      <c r="FG33">
        <f t="shared" si="130"/>
        <v>28.000000000000004</v>
      </c>
      <c r="FI33" s="562">
        <f t="shared" si="90"/>
        <v>-50</v>
      </c>
      <c r="FJ33">
        <f t="shared" si="91"/>
        <v>-50</v>
      </c>
      <c r="FL33">
        <f t="shared" si="92"/>
        <v>0.37935004621829133</v>
      </c>
    </row>
    <row r="34" spans="5:168">
      <c r="E34" s="170">
        <v>29</v>
      </c>
      <c r="F34" s="217">
        <f t="shared" si="131"/>
        <v>0.28999999999999998</v>
      </c>
      <c r="G34" s="217">
        <f t="shared" si="93"/>
        <v>2.8999999999999998E-2</v>
      </c>
      <c r="H34" s="217">
        <f t="shared" si="0"/>
        <v>6.9599999999999991</v>
      </c>
      <c r="I34" s="217">
        <f t="shared" si="132"/>
        <v>0.52200000000000002</v>
      </c>
      <c r="J34" s="541">
        <f t="shared" si="1"/>
        <v>23.901251807891633</v>
      </c>
      <c r="K34" s="443">
        <f t="shared" si="2"/>
        <v>16.489669472300989</v>
      </c>
      <c r="L34" s="172">
        <f t="shared" si="3"/>
        <v>40.390921280192622</v>
      </c>
      <c r="M34" s="443"/>
      <c r="N34" s="217">
        <f t="shared" si="4"/>
        <v>0.40825187813647096</v>
      </c>
      <c r="O34" s="172">
        <f t="shared" si="94"/>
        <v>50.427550079506361</v>
      </c>
      <c r="P34" s="172">
        <f t="shared" si="5"/>
        <v>4.0657212251602006</v>
      </c>
      <c r="Q34" s="217">
        <f t="shared" si="6"/>
        <v>2.1011479199794318</v>
      </c>
      <c r="R34" s="217">
        <f t="shared" si="7"/>
        <v>2.8015305599725755</v>
      </c>
      <c r="S34" s="443">
        <f t="shared" si="8"/>
        <v>24</v>
      </c>
      <c r="T34" s="217">
        <f t="shared" si="9"/>
        <v>1.5335532503840872</v>
      </c>
      <c r="U34" s="217">
        <f t="shared" si="10"/>
        <v>0.641620473567725</v>
      </c>
      <c r="V34" s="217">
        <f t="shared" si="11"/>
        <v>0.93000848377229073</v>
      </c>
      <c r="W34" s="197">
        <f t="shared" si="12"/>
        <v>350</v>
      </c>
      <c r="X34" s="443">
        <f t="shared" si="95"/>
        <v>350</v>
      </c>
      <c r="Z34" s="217">
        <f t="shared" si="13"/>
        <v>2.7879231258241366</v>
      </c>
      <c r="AA34" s="173">
        <f t="shared" si="14"/>
        <v>1.6907089196100828</v>
      </c>
      <c r="AB34" s="173">
        <f t="shared" si="15"/>
        <v>0.55019104924771167</v>
      </c>
      <c r="AC34" s="173"/>
      <c r="AD34" s="173">
        <f t="shared" si="16"/>
        <v>1.3476450974078444</v>
      </c>
      <c r="AE34" s="545">
        <f t="shared" si="17"/>
        <v>290.36157114269122</v>
      </c>
      <c r="AF34" s="528">
        <f t="shared" si="18"/>
        <v>0.34956416443317928</v>
      </c>
      <c r="AH34" s="173">
        <f t="shared" si="19"/>
        <v>2.0677109496804844</v>
      </c>
      <c r="AI34" s="173">
        <f t="shared" si="20"/>
        <v>2.2222222222222223</v>
      </c>
      <c r="AJ34" s="173">
        <f t="shared" si="21"/>
        <v>1.1659208977958235</v>
      </c>
      <c r="AL34" s="545">
        <f t="shared" si="22"/>
        <v>290</v>
      </c>
      <c r="AM34" s="460">
        <f t="shared" si="23"/>
        <v>290.36157114269122</v>
      </c>
      <c r="AO34">
        <f t="shared" si="96"/>
        <v>290</v>
      </c>
      <c r="AP34" s="460">
        <f t="shared" si="24"/>
        <v>290.36157114269122</v>
      </c>
      <c r="AQ34" s="460"/>
      <c r="AR34" s="5">
        <f t="shared" si="97"/>
        <v>3.4439819155978255</v>
      </c>
      <c r="AS34" s="5">
        <f t="shared" si="25"/>
        <v>0.92975139548485786</v>
      </c>
      <c r="AT34" s="5">
        <f t="shared" si="98"/>
        <v>2.5142305201129678</v>
      </c>
      <c r="AU34" s="173">
        <f t="shared" si="99"/>
        <v>0.26996407596509298</v>
      </c>
      <c r="AW34" s="5">
        <f t="shared" si="26"/>
        <v>1.1234496028775367</v>
      </c>
      <c r="AX34" s="5">
        <f t="shared" si="27"/>
        <v>0.14979328038367154</v>
      </c>
      <c r="AY34" s="5">
        <f t="shared" si="28"/>
        <v>0.61011603634251488</v>
      </c>
      <c r="AZ34" s="5"/>
      <c r="BA34" s="173">
        <f t="shared" si="100"/>
        <v>0.66662231453095366</v>
      </c>
      <c r="BB34" s="173">
        <f t="shared" si="29"/>
        <v>0.73118085022330626</v>
      </c>
      <c r="BC34" s="173">
        <f t="shared" si="30"/>
        <v>7.3216893245333772E-2</v>
      </c>
      <c r="BD34" s="173"/>
      <c r="BE34" s="528">
        <f t="shared" si="31"/>
        <v>1.7775412409224228E-2</v>
      </c>
      <c r="BF34" s="528">
        <f t="shared" si="32"/>
        <v>0.58639856814087454</v>
      </c>
      <c r="BG34" s="528">
        <f t="shared" si="33"/>
        <v>0.27760020108866013</v>
      </c>
      <c r="BH34" s="528">
        <f t="shared" si="34"/>
        <v>8.2898124416085045E-2</v>
      </c>
      <c r="BI34">
        <f t="shared" si="35"/>
        <v>1.0755563313551235E-2</v>
      </c>
      <c r="BJ34" s="460">
        <f t="shared" si="101"/>
        <v>288.35576440221132</v>
      </c>
      <c r="BK34">
        <f t="shared" si="36"/>
        <v>0.69480593610179442</v>
      </c>
      <c r="BL34" s="460">
        <f t="shared" si="102"/>
        <v>694.80593610179437</v>
      </c>
      <c r="BM34" s="173">
        <f t="shared" si="37"/>
        <v>0.25172</v>
      </c>
      <c r="BN34" s="173">
        <f t="shared" si="38"/>
        <v>1.7979999999999999E-2</v>
      </c>
      <c r="BO34" s="528"/>
      <c r="BQ34" s="460">
        <f t="shared" si="103"/>
        <v>269.7</v>
      </c>
      <c r="BR34" s="528">
        <f t="shared" si="39"/>
        <v>1.3331559306918171E-2</v>
      </c>
      <c r="BS34" s="528">
        <f t="shared" si="104"/>
        <v>1.6038763071998311E-2</v>
      </c>
      <c r="BT34" s="528">
        <f t="shared" si="40"/>
        <v>2.6803567282493011E-5</v>
      </c>
      <c r="BU34" s="528">
        <f t="shared" si="41"/>
        <v>0.52879405527257262</v>
      </c>
      <c r="BV34" s="528">
        <f t="shared" si="42"/>
        <v>0.56657895487745924</v>
      </c>
      <c r="BW34" s="625">
        <f t="shared" si="43"/>
        <v>0.28677686038784328</v>
      </c>
      <c r="BX34" s="460">
        <f t="shared" si="105"/>
        <v>853.35581526530245</v>
      </c>
      <c r="BY34" s="173">
        <f t="shared" si="106"/>
        <v>1.8178617513670969</v>
      </c>
      <c r="BZ34" s="5">
        <f t="shared" si="107"/>
        <v>7.4819999999999993</v>
      </c>
      <c r="CA34" s="173">
        <f t="shared" si="108"/>
        <v>0.80452808869982739</v>
      </c>
      <c r="CB34" s="5">
        <f t="shared" si="109"/>
        <v>80.452808869982732</v>
      </c>
      <c r="CC34">
        <f t="shared" si="110"/>
        <v>28.999999999999996</v>
      </c>
      <c r="CE34" s="562">
        <f t="shared" si="44"/>
        <v>-50</v>
      </c>
      <c r="CF34">
        <f t="shared" si="45"/>
        <v>-50</v>
      </c>
      <c r="CG34" s="173">
        <f t="shared" si="46"/>
        <v>0.39289826215465878</v>
      </c>
      <c r="CH34" s="173">
        <f t="shared" si="47"/>
        <v>0.1070907748744062</v>
      </c>
      <c r="CI34" s="170">
        <v>29</v>
      </c>
      <c r="CJ34" s="217">
        <f t="shared" si="133"/>
        <v>0.28999999999999998</v>
      </c>
      <c r="CK34" s="217">
        <f t="shared" si="111"/>
        <v>2.8999999999999998E-2</v>
      </c>
      <c r="CL34" s="217">
        <f t="shared" si="48"/>
        <v>6.9599999999999991</v>
      </c>
      <c r="CM34" s="217">
        <f t="shared" si="134"/>
        <v>0.52200000000000002</v>
      </c>
      <c r="CN34" s="541">
        <f t="shared" si="112"/>
        <v>24</v>
      </c>
      <c r="CO34" s="443">
        <f t="shared" si="49"/>
        <v>16.474900000000002</v>
      </c>
      <c r="CP34" s="443">
        <f t="shared" si="50"/>
        <v>40.474900000000005</v>
      </c>
      <c r="CQ34" s="443"/>
      <c r="CR34" s="217">
        <f t="shared" si="113"/>
        <v>0.40507913686898112</v>
      </c>
      <c r="CS34" s="172">
        <f t="shared" si="114"/>
        <v>50.242373565144938</v>
      </c>
      <c r="CT34" s="172">
        <f t="shared" si="51"/>
        <v>4.0507913686898105</v>
      </c>
      <c r="CU34" s="217">
        <f t="shared" si="52"/>
        <v>2.0934322318810392</v>
      </c>
      <c r="CV34" s="217">
        <f t="shared" si="53"/>
        <v>2.7912429758413855</v>
      </c>
      <c r="CW34" s="443">
        <f t="shared" si="54"/>
        <v>24</v>
      </c>
      <c r="CX34" s="217">
        <f t="shared" si="55"/>
        <v>1.5392054125998225</v>
      </c>
      <c r="CY34" s="217">
        <f t="shared" si="56"/>
        <v>0.64133558858325945</v>
      </c>
      <c r="CZ34" s="217">
        <f t="shared" si="57"/>
        <v>0.93427299261289753</v>
      </c>
      <c r="DA34" s="197">
        <f t="shared" si="58"/>
        <v>350</v>
      </c>
      <c r="DB34" s="443">
        <f t="shared" si="115"/>
        <v>350</v>
      </c>
      <c r="DD34" s="217">
        <f t="shared" si="59"/>
        <v>2.7911308701724487</v>
      </c>
      <c r="DE34" s="173">
        <f t="shared" si="60"/>
        <v>1.6941716612376698</v>
      </c>
      <c r="DF34" s="173">
        <f t="shared" si="61"/>
        <v>0.55195223422072148</v>
      </c>
      <c r="DG34" s="173"/>
      <c r="DH34" s="173">
        <f t="shared" si="62"/>
        <v>1.3488532386977903</v>
      </c>
      <c r="DI34" s="545">
        <f t="shared" si="63"/>
        <v>290.10149999999987</v>
      </c>
      <c r="DJ34" s="528">
        <f t="shared" si="64"/>
        <v>0.34987754285999911</v>
      </c>
      <c r="DL34" s="173">
        <f t="shared" si="65"/>
        <v>2.0677109496804844</v>
      </c>
      <c r="DM34" s="173">
        <f t="shared" si="66"/>
        <v>2.2222222222222223</v>
      </c>
      <c r="DN34" s="173">
        <f t="shared" si="67"/>
        <v>1.1657722857142856</v>
      </c>
      <c r="DP34" s="545">
        <f t="shared" si="68"/>
        <v>290</v>
      </c>
      <c r="DQ34" s="460">
        <f t="shared" si="69"/>
        <v>290.10149999999987</v>
      </c>
      <c r="DS34">
        <f t="shared" si="116"/>
        <v>290</v>
      </c>
      <c r="DT34" s="460">
        <f t="shared" si="70"/>
        <v>290.10149999999987</v>
      </c>
      <c r="DU34" s="460"/>
      <c r="DV34" s="5">
        <f t="shared" si="117"/>
        <v>3.4470693877832428</v>
      </c>
      <c r="DW34" s="5">
        <f t="shared" si="71"/>
        <v>0.92592592592592615</v>
      </c>
      <c r="DX34" s="5">
        <f t="shared" si="118"/>
        <v>2.5211434618573167</v>
      </c>
      <c r="DY34" s="173">
        <f t="shared" si="119"/>
        <v>0.26861249999999998</v>
      </c>
      <c r="EA34" s="5">
        <f t="shared" si="72"/>
        <v>1.1188271604938271</v>
      </c>
      <c r="EB34" s="5">
        <f t="shared" si="73"/>
        <v>0.1491769547325103</v>
      </c>
      <c r="EC34" s="5">
        <f t="shared" si="74"/>
        <v>0.60927633661551805</v>
      </c>
      <c r="ED34" s="5"/>
      <c r="EE34" s="173">
        <f t="shared" si="120"/>
        <v>0.66495149734936354</v>
      </c>
      <c r="EF34" s="173">
        <f t="shared" si="75"/>
        <v>0.73185738506773945</v>
      </c>
      <c r="EG34" s="173">
        <f t="shared" si="76"/>
        <v>7.3284638153404719E-2</v>
      </c>
      <c r="EH34" s="173"/>
      <c r="EI34" s="528">
        <f t="shared" si="77"/>
        <v>1.7686419753086425E-2</v>
      </c>
      <c r="EJ34" s="528">
        <f t="shared" si="78"/>
        <v>0.71755622903249983</v>
      </c>
      <c r="EK34" s="528">
        <f t="shared" si="79"/>
        <v>5.8020299999999969E-2</v>
      </c>
      <c r="EL34" s="528">
        <f t="shared" si="80"/>
        <v>8.3168638486884286E-2</v>
      </c>
      <c r="EM34">
        <f t="shared" si="81"/>
        <v>1.0800000000000001E-2</v>
      </c>
      <c r="EN34" s="460">
        <f t="shared" si="121"/>
        <v>68.820299999999975</v>
      </c>
      <c r="EO34">
        <f t="shared" si="82"/>
        <v>0.89577121400661575</v>
      </c>
      <c r="EP34" s="460">
        <f t="shared" si="122"/>
        <v>895.77121400661576</v>
      </c>
      <c r="EQ34" s="173">
        <f t="shared" si="83"/>
        <v>0.25172</v>
      </c>
      <c r="ER34" s="173">
        <f t="shared" si="84"/>
        <v>1.7979999999999999E-2</v>
      </c>
      <c r="ES34" s="528"/>
      <c r="EU34" s="460">
        <f t="shared" si="123"/>
        <v>269.7</v>
      </c>
      <c r="EV34" s="528">
        <f t="shared" si="85"/>
        <v>1.3264814814814818E-2</v>
      </c>
      <c r="EW34" s="528">
        <f t="shared" si="124"/>
        <v>1.6068456962345684E-2</v>
      </c>
      <c r="EX34" s="528">
        <f t="shared" si="86"/>
        <v>2.6853190946377317E-5</v>
      </c>
      <c r="EY34" s="528">
        <f t="shared" si="87"/>
        <v>0.52761077450774441</v>
      </c>
      <c r="EZ34" s="528">
        <f t="shared" si="88"/>
        <v>0.56534521796817028</v>
      </c>
      <c r="FA34" s="625">
        <f t="shared" si="89"/>
        <v>0.28651999999999994</v>
      </c>
      <c r="FB34" s="460">
        <f t="shared" si="125"/>
        <v>851.86521796817033</v>
      </c>
      <c r="FC34" s="173">
        <f t="shared" si="126"/>
        <v>2.017336431974786</v>
      </c>
      <c r="FD34" s="5">
        <f t="shared" si="127"/>
        <v>7.4819999999999993</v>
      </c>
      <c r="FE34" s="173">
        <f t="shared" si="128"/>
        <v>0.78763396302246669</v>
      </c>
      <c r="FF34" s="5">
        <f t="shared" si="129"/>
        <v>78.763396302246662</v>
      </c>
      <c r="FG34">
        <f t="shared" si="130"/>
        <v>28.999999999999996</v>
      </c>
      <c r="FI34" s="562">
        <f t="shared" si="90"/>
        <v>-50</v>
      </c>
      <c r="FJ34">
        <f t="shared" si="91"/>
        <v>-50</v>
      </c>
      <c r="FL34">
        <f t="shared" si="92"/>
        <v>0.39289826215465884</v>
      </c>
    </row>
    <row r="35" spans="5:168">
      <c r="E35" s="170">
        <v>30</v>
      </c>
      <c r="F35" s="217">
        <f t="shared" si="131"/>
        <v>0.3</v>
      </c>
      <c r="G35" s="217">
        <f t="shared" si="93"/>
        <v>0.03</v>
      </c>
      <c r="H35" s="217">
        <f t="shared" si="0"/>
        <v>7.1999999999999993</v>
      </c>
      <c r="I35" s="217">
        <f t="shared" si="132"/>
        <v>0.54</v>
      </c>
      <c r="J35" s="541">
        <f t="shared" si="1"/>
        <v>23.901251807891633</v>
      </c>
      <c r="K35" s="443">
        <f t="shared" si="2"/>
        <v>16.489669472300989</v>
      </c>
      <c r="L35" s="172">
        <f t="shared" si="3"/>
        <v>40.390921280192622</v>
      </c>
      <c r="M35" s="443"/>
      <c r="N35" s="217">
        <f t="shared" si="4"/>
        <v>0.40825187813647096</v>
      </c>
      <c r="O35" s="172">
        <f t="shared" si="94"/>
        <v>50.427550079506361</v>
      </c>
      <c r="P35" s="172">
        <f t="shared" si="5"/>
        <v>4.0657212251602006</v>
      </c>
      <c r="Q35" s="217">
        <f t="shared" si="6"/>
        <v>2.1011479199794318</v>
      </c>
      <c r="R35" s="217">
        <f t="shared" si="7"/>
        <v>2.8015305599725755</v>
      </c>
      <c r="S35" s="443">
        <f t="shared" si="8"/>
        <v>24</v>
      </c>
      <c r="T35" s="217">
        <f t="shared" si="9"/>
        <v>1.5864343969490557</v>
      </c>
      <c r="U35" s="217">
        <f t="shared" si="10"/>
        <v>0.66374531748385346</v>
      </c>
      <c r="V35" s="217">
        <f t="shared" si="11"/>
        <v>0.96207774183340433</v>
      </c>
      <c r="W35" s="197">
        <f t="shared" si="12"/>
        <v>350</v>
      </c>
      <c r="X35" s="443">
        <f t="shared" si="95"/>
        <v>350</v>
      </c>
      <c r="Z35" s="217">
        <f t="shared" si="13"/>
        <v>2.7879231258241366</v>
      </c>
      <c r="AA35" s="173">
        <f t="shared" si="14"/>
        <v>1.6907089196100828</v>
      </c>
      <c r="AB35" s="173">
        <f t="shared" si="15"/>
        <v>0.55019104924771167</v>
      </c>
      <c r="AC35" s="173"/>
      <c r="AD35" s="173">
        <f t="shared" si="16"/>
        <v>1.3476450974078444</v>
      </c>
      <c r="AE35" s="545">
        <f t="shared" si="17"/>
        <v>300.37403911312884</v>
      </c>
      <c r="AF35" s="528">
        <f t="shared" si="18"/>
        <v>0.34956416443317928</v>
      </c>
      <c r="AH35" s="173">
        <f t="shared" si="19"/>
        <v>2.1030589965231936</v>
      </c>
      <c r="AI35" s="173">
        <f t="shared" si="20"/>
        <v>2.2222222222222223</v>
      </c>
      <c r="AJ35" s="173">
        <f t="shared" si="21"/>
        <v>1.171642308064645</v>
      </c>
      <c r="AL35" s="545">
        <f t="shared" si="22"/>
        <v>300</v>
      </c>
      <c r="AM35" s="460">
        <f t="shared" si="23"/>
        <v>300.37403911312884</v>
      </c>
      <c r="AO35">
        <f t="shared" si="96"/>
        <v>300</v>
      </c>
      <c r="AP35" s="460">
        <f t="shared" si="24"/>
        <v>300.37403911312884</v>
      </c>
      <c r="AQ35" s="460"/>
      <c r="AR35" s="5">
        <f t="shared" si="97"/>
        <v>3.3291825184112316</v>
      </c>
      <c r="AS35" s="5">
        <f t="shared" si="25"/>
        <v>0.92975139548485786</v>
      </c>
      <c r="AT35" s="5">
        <f t="shared" si="98"/>
        <v>2.3994311229263738</v>
      </c>
      <c r="AU35" s="173">
        <f t="shared" si="99"/>
        <v>0.27927318203285478</v>
      </c>
      <c r="AW35" s="5">
        <f t="shared" si="26"/>
        <v>1.1621892443560722</v>
      </c>
      <c r="AX35" s="5">
        <f t="shared" si="27"/>
        <v>0.15495856591414295</v>
      </c>
      <c r="AY35" s="5">
        <f t="shared" si="28"/>
        <v>0.60233609742586047</v>
      </c>
      <c r="AZ35" s="5"/>
      <c r="BA35" s="173">
        <f t="shared" si="100"/>
        <v>0.67801839327400848</v>
      </c>
      <c r="BB35" s="173">
        <f t="shared" si="29"/>
        <v>0.72650404038038863</v>
      </c>
      <c r="BC35" s="173">
        <f t="shared" si="30"/>
        <v>7.2748580259711884E-2</v>
      </c>
      <c r="BD35" s="173"/>
      <c r="BE35" s="528">
        <f t="shared" si="31"/>
        <v>1.8388357664714722E-2</v>
      </c>
      <c r="BF35" s="528">
        <f t="shared" si="32"/>
        <v>0.60661920842159434</v>
      </c>
      <c r="BG35" s="528">
        <f t="shared" si="33"/>
        <v>0.28717262181585529</v>
      </c>
      <c r="BH35" s="528">
        <f t="shared" si="34"/>
        <v>8.5756680430432802E-2</v>
      </c>
      <c r="BI35">
        <f t="shared" si="35"/>
        <v>1.0755563313551235E-2</v>
      </c>
      <c r="BJ35" s="460">
        <f t="shared" si="101"/>
        <v>297.92818512940647</v>
      </c>
      <c r="BK35">
        <f t="shared" si="36"/>
        <v>0.71886989871272866</v>
      </c>
      <c r="BL35" s="460">
        <f t="shared" si="102"/>
        <v>718.86989871272863</v>
      </c>
      <c r="BM35" s="173">
        <f t="shared" si="37"/>
        <v>0.26039999999999996</v>
      </c>
      <c r="BN35" s="173">
        <f t="shared" si="38"/>
        <v>1.8599999999999998E-2</v>
      </c>
      <c r="BO35" s="528"/>
      <c r="BQ35" s="460">
        <f t="shared" si="103"/>
        <v>278.99999999999994</v>
      </c>
      <c r="BR35" s="528">
        <f t="shared" si="39"/>
        <v>1.379126824853604E-2</v>
      </c>
      <c r="BS35" s="528">
        <f t="shared" si="104"/>
        <v>1.5834243620670881E-2</v>
      </c>
      <c r="BT35" s="528">
        <f t="shared" si="40"/>
        <v>2.6461779649018708E-5</v>
      </c>
      <c r="BU35" s="528">
        <f t="shared" si="41"/>
        <v>0.575565436677966</v>
      </c>
      <c r="BV35" s="528">
        <f t="shared" si="42"/>
        <v>0.61378989053535449</v>
      </c>
      <c r="BW35" s="625">
        <f t="shared" si="43"/>
        <v>0.29666571764259647</v>
      </c>
      <c r="BX35" s="460">
        <f t="shared" si="105"/>
        <v>910.45560817795092</v>
      </c>
      <c r="BY35" s="173">
        <f t="shared" si="106"/>
        <v>1.9083255068906795</v>
      </c>
      <c r="BZ35" s="5">
        <f t="shared" si="107"/>
        <v>7.7399999999999993</v>
      </c>
      <c r="CA35" s="173">
        <f t="shared" si="108"/>
        <v>0.80221174072871149</v>
      </c>
      <c r="CB35" s="5">
        <f t="shared" si="109"/>
        <v>80.22117407287115</v>
      </c>
      <c r="CC35">
        <f t="shared" si="110"/>
        <v>30</v>
      </c>
      <c r="CE35" s="562">
        <f t="shared" si="44"/>
        <v>-50</v>
      </c>
      <c r="CF35">
        <f t="shared" si="45"/>
        <v>-50</v>
      </c>
      <c r="CG35" s="173">
        <f t="shared" si="46"/>
        <v>0.40644647809102635</v>
      </c>
      <c r="CH35" s="173">
        <f t="shared" si="47"/>
        <v>0.11078356021490297</v>
      </c>
      <c r="CI35" s="170">
        <v>30</v>
      </c>
      <c r="CJ35" s="217">
        <f t="shared" si="133"/>
        <v>0.3</v>
      </c>
      <c r="CK35" s="217">
        <f t="shared" si="111"/>
        <v>0.03</v>
      </c>
      <c r="CL35" s="217">
        <f t="shared" si="48"/>
        <v>7.1999999999999993</v>
      </c>
      <c r="CM35" s="217">
        <f t="shared" si="134"/>
        <v>0.54</v>
      </c>
      <c r="CN35" s="541">
        <f t="shared" si="112"/>
        <v>24</v>
      </c>
      <c r="CO35" s="443">
        <f t="shared" si="49"/>
        <v>16.474900000000002</v>
      </c>
      <c r="CP35" s="443">
        <f t="shared" si="50"/>
        <v>40.474900000000005</v>
      </c>
      <c r="CQ35" s="443"/>
      <c r="CR35" s="217">
        <f t="shared" si="113"/>
        <v>0.40507913686898112</v>
      </c>
      <c r="CS35" s="172">
        <f t="shared" si="114"/>
        <v>50.242373565144938</v>
      </c>
      <c r="CT35" s="172">
        <f t="shared" si="51"/>
        <v>4.0507913686898105</v>
      </c>
      <c r="CU35" s="217">
        <f t="shared" si="52"/>
        <v>2.0934322318810392</v>
      </c>
      <c r="CV35" s="217">
        <f t="shared" si="53"/>
        <v>2.7912429758413855</v>
      </c>
      <c r="CW35" s="443">
        <f t="shared" si="54"/>
        <v>24</v>
      </c>
      <c r="CX35" s="217">
        <f t="shared" si="55"/>
        <v>1.592281461310161</v>
      </c>
      <c r="CY35" s="217">
        <f t="shared" si="56"/>
        <v>0.66345060887923379</v>
      </c>
      <c r="CZ35" s="217">
        <f t="shared" si="57"/>
        <v>0.96648930270299727</v>
      </c>
      <c r="DA35" s="197">
        <f t="shared" si="58"/>
        <v>350</v>
      </c>
      <c r="DB35" s="443">
        <f t="shared" si="115"/>
        <v>350</v>
      </c>
      <c r="DD35" s="217">
        <f t="shared" si="59"/>
        <v>2.7911308701724487</v>
      </c>
      <c r="DE35" s="173">
        <f t="shared" si="60"/>
        <v>1.6941716612376698</v>
      </c>
      <c r="DF35" s="173">
        <f t="shared" si="61"/>
        <v>0.55195223422072148</v>
      </c>
      <c r="DG35" s="173"/>
      <c r="DH35" s="173">
        <f t="shared" si="62"/>
        <v>1.3488532386977903</v>
      </c>
      <c r="DI35" s="545">
        <f t="shared" si="63"/>
        <v>300.1049999999999</v>
      </c>
      <c r="DJ35" s="528">
        <f t="shared" si="64"/>
        <v>0.34987754285999911</v>
      </c>
      <c r="DL35" s="173">
        <f t="shared" si="65"/>
        <v>2.1030589965231936</v>
      </c>
      <c r="DM35" s="173">
        <f t="shared" si="66"/>
        <v>2.2222222222222223</v>
      </c>
      <c r="DN35" s="173">
        <f t="shared" si="67"/>
        <v>1.1714885714285714</v>
      </c>
      <c r="DP35" s="545">
        <f t="shared" si="68"/>
        <v>300</v>
      </c>
      <c r="DQ35" s="460">
        <f t="shared" si="69"/>
        <v>300.1049999999999</v>
      </c>
      <c r="DS35">
        <f t="shared" si="116"/>
        <v>300</v>
      </c>
      <c r="DT35" s="460">
        <f t="shared" si="70"/>
        <v>300.1049999999999</v>
      </c>
      <c r="DU35" s="460"/>
      <c r="DV35" s="5">
        <f t="shared" si="117"/>
        <v>3.3321670748571344</v>
      </c>
      <c r="DW35" s="5">
        <f t="shared" si="71"/>
        <v>0.92592592592592615</v>
      </c>
      <c r="DX35" s="5">
        <f t="shared" si="118"/>
        <v>2.4062411489312083</v>
      </c>
      <c r="DY35" s="173">
        <f t="shared" si="119"/>
        <v>0.27787499999999998</v>
      </c>
      <c r="EA35" s="5">
        <f t="shared" si="72"/>
        <v>1.1574074074074079</v>
      </c>
      <c r="EB35" s="5">
        <f t="shared" si="73"/>
        <v>0.15432098765432101</v>
      </c>
      <c r="EC35" s="5">
        <f t="shared" si="74"/>
        <v>0.60156028723280197</v>
      </c>
      <c r="ED35" s="5"/>
      <c r="EE35" s="173">
        <f t="shared" si="120"/>
        <v>0.67631901304592013</v>
      </c>
      <c r="EF35" s="173">
        <f t="shared" si="75"/>
        <v>0.72720839375132829</v>
      </c>
      <c r="EG35" s="173">
        <f t="shared" si="76"/>
        <v>7.2819110779693802E-2</v>
      </c>
      <c r="EH35" s="173"/>
      <c r="EI35" s="528">
        <f t="shared" si="77"/>
        <v>1.82962962962963E-2</v>
      </c>
      <c r="EJ35" s="528">
        <f t="shared" si="78"/>
        <v>0.74229954727500003</v>
      </c>
      <c r="EK35" s="528">
        <f t="shared" si="79"/>
        <v>6.0020999999999977E-2</v>
      </c>
      <c r="EL35" s="528">
        <f t="shared" si="80"/>
        <v>8.6036522572638927E-2</v>
      </c>
      <c r="EM35">
        <f t="shared" si="81"/>
        <v>1.0800000000000001E-2</v>
      </c>
      <c r="EN35" s="460">
        <f t="shared" si="121"/>
        <v>70.820999999999984</v>
      </c>
      <c r="EO35">
        <f t="shared" si="82"/>
        <v>0.92642070222062878</v>
      </c>
      <c r="EP35" s="460">
        <f t="shared" si="122"/>
        <v>926.42070222062875</v>
      </c>
      <c r="EQ35" s="173">
        <f t="shared" si="83"/>
        <v>0.26039999999999996</v>
      </c>
      <c r="ER35" s="173">
        <f t="shared" si="84"/>
        <v>1.8599999999999998E-2</v>
      </c>
      <c r="ES35" s="528"/>
      <c r="EU35" s="460">
        <f t="shared" si="123"/>
        <v>278.99999999999994</v>
      </c>
      <c r="EV35" s="528">
        <f t="shared" si="85"/>
        <v>1.3722222222222224E-2</v>
      </c>
      <c r="EW35" s="528">
        <f t="shared" si="124"/>
        <v>1.5864961438271607E-2</v>
      </c>
      <c r="EX35" s="528">
        <f t="shared" si="86"/>
        <v>2.6513114473726588E-5</v>
      </c>
      <c r="EY35" s="528">
        <f t="shared" si="87"/>
        <v>0.57427749574268083</v>
      </c>
      <c r="EZ35" s="528">
        <f t="shared" si="88"/>
        <v>0.61244943108300809</v>
      </c>
      <c r="FA35" s="625">
        <f t="shared" si="89"/>
        <v>0.2964</v>
      </c>
      <c r="FB35" s="460">
        <f t="shared" si="125"/>
        <v>908.84943108300808</v>
      </c>
      <c r="FC35" s="173">
        <f t="shared" si="126"/>
        <v>2.1142701333036369</v>
      </c>
      <c r="FD35" s="5">
        <f t="shared" si="127"/>
        <v>7.7399999999999993</v>
      </c>
      <c r="FE35" s="173">
        <f t="shared" si="128"/>
        <v>0.78544629843683522</v>
      </c>
      <c r="FF35" s="5">
        <f t="shared" si="129"/>
        <v>78.544629843683524</v>
      </c>
      <c r="FG35">
        <f t="shared" si="130"/>
        <v>30</v>
      </c>
      <c r="FI35" s="562">
        <f t="shared" si="90"/>
        <v>-50</v>
      </c>
      <c r="FJ35">
        <f t="shared" si="91"/>
        <v>-50</v>
      </c>
      <c r="FL35">
        <f t="shared" si="92"/>
        <v>0.40644647809102641</v>
      </c>
    </row>
    <row r="36" spans="5:168">
      <c r="E36" s="170">
        <v>31</v>
      </c>
      <c r="F36" s="217">
        <f t="shared" si="131"/>
        <v>0.31</v>
      </c>
      <c r="G36" s="217">
        <f t="shared" si="93"/>
        <v>3.1E-2</v>
      </c>
      <c r="H36" s="217">
        <f t="shared" si="0"/>
        <v>7.4399999999999995</v>
      </c>
      <c r="I36" s="217">
        <f t="shared" si="132"/>
        <v>0.55800000000000005</v>
      </c>
      <c r="J36" s="541">
        <f t="shared" si="1"/>
        <v>23.901251807891633</v>
      </c>
      <c r="K36" s="443">
        <f t="shared" si="2"/>
        <v>16.489669472300989</v>
      </c>
      <c r="L36" s="172">
        <f t="shared" si="3"/>
        <v>40.390921280192622</v>
      </c>
      <c r="M36" s="443"/>
      <c r="N36" s="217">
        <f t="shared" si="4"/>
        <v>0.40825187813647096</v>
      </c>
      <c r="O36" s="172">
        <f t="shared" si="94"/>
        <v>50.427550079506361</v>
      </c>
      <c r="P36" s="172">
        <f t="shared" si="5"/>
        <v>4.0657212251602006</v>
      </c>
      <c r="Q36" s="217">
        <f t="shared" si="6"/>
        <v>2.1011479199794318</v>
      </c>
      <c r="R36" s="217">
        <f t="shared" si="7"/>
        <v>2.8015305599725755</v>
      </c>
      <c r="S36" s="443">
        <f t="shared" si="8"/>
        <v>24</v>
      </c>
      <c r="T36" s="217">
        <f t="shared" si="9"/>
        <v>1.6393155435140243</v>
      </c>
      <c r="U36" s="217">
        <f t="shared" si="10"/>
        <v>0.68587016139998191</v>
      </c>
      <c r="V36" s="217">
        <f t="shared" si="11"/>
        <v>0.99414699989451771</v>
      </c>
      <c r="W36" s="197">
        <f t="shared" si="12"/>
        <v>350</v>
      </c>
      <c r="X36" s="443">
        <f t="shared" si="95"/>
        <v>350</v>
      </c>
      <c r="Z36" s="217">
        <f t="shared" si="13"/>
        <v>2.7879231258241366</v>
      </c>
      <c r="AA36" s="173">
        <f t="shared" si="14"/>
        <v>1.6907089196100828</v>
      </c>
      <c r="AB36" s="173">
        <f t="shared" si="15"/>
        <v>0.55019104924771167</v>
      </c>
      <c r="AC36" s="173"/>
      <c r="AD36" s="173">
        <f t="shared" si="16"/>
        <v>1.3476450974078444</v>
      </c>
      <c r="AE36" s="545">
        <f t="shared" si="17"/>
        <v>310.38650708356653</v>
      </c>
      <c r="AF36" s="528">
        <f t="shared" si="18"/>
        <v>0.34956416443317928</v>
      </c>
      <c r="AH36" s="173">
        <f t="shared" si="19"/>
        <v>2.1378226573515664</v>
      </c>
      <c r="AI36" s="173">
        <f t="shared" si="20"/>
        <v>2.2222222222222223</v>
      </c>
      <c r="AJ36" s="173">
        <f t="shared" si="21"/>
        <v>1.1773637183334666</v>
      </c>
      <c r="AL36" s="545">
        <f t="shared" si="22"/>
        <v>310</v>
      </c>
      <c r="AM36" s="460">
        <f t="shared" si="23"/>
        <v>310.38650708356653</v>
      </c>
      <c r="AO36">
        <f t="shared" si="96"/>
        <v>310</v>
      </c>
      <c r="AP36" s="460">
        <f t="shared" si="24"/>
        <v>310.38650708356653</v>
      </c>
      <c r="AQ36" s="460"/>
      <c r="AR36" s="5">
        <f t="shared" si="97"/>
        <v>3.2217895339463527</v>
      </c>
      <c r="AS36" s="5">
        <f t="shared" si="25"/>
        <v>0.92975139548485786</v>
      </c>
      <c r="AT36" s="5">
        <f t="shared" si="98"/>
        <v>2.292038138461495</v>
      </c>
      <c r="AU36" s="173">
        <f t="shared" si="99"/>
        <v>0.28858228810061665</v>
      </c>
      <c r="AW36" s="5">
        <f t="shared" si="26"/>
        <v>1.2009288858346081</v>
      </c>
      <c r="AX36" s="5">
        <f t="shared" si="27"/>
        <v>0.16012385144461441</v>
      </c>
      <c r="AY36" s="5">
        <f t="shared" si="28"/>
        <v>0.59455615850920607</v>
      </c>
      <c r="AZ36" s="5"/>
      <c r="BA36" s="173">
        <f t="shared" si="100"/>
        <v>0.68922606814102028</v>
      </c>
      <c r="BB36" s="173">
        <f t="shared" si="29"/>
        <v>0.72179692825945274</v>
      </c>
      <c r="BC36" s="173">
        <f t="shared" si="30"/>
        <v>7.2277232951385731E-2</v>
      </c>
      <c r="BD36" s="173"/>
      <c r="BE36" s="528">
        <f t="shared" si="31"/>
        <v>1.9001302920205212E-2</v>
      </c>
      <c r="BF36" s="528">
        <f t="shared" si="32"/>
        <v>0.62683984870231424</v>
      </c>
      <c r="BG36" s="528">
        <f t="shared" si="33"/>
        <v>0.29674504254305051</v>
      </c>
      <c r="BH36" s="528">
        <f t="shared" si="34"/>
        <v>8.8615236444780587E-2</v>
      </c>
      <c r="BI36">
        <f t="shared" si="35"/>
        <v>1.0755563313551235E-2</v>
      </c>
      <c r="BJ36" s="460">
        <f t="shared" si="101"/>
        <v>307.50060585660174</v>
      </c>
      <c r="BK36">
        <f t="shared" si="36"/>
        <v>0.74294090225998655</v>
      </c>
      <c r="BL36" s="460">
        <f t="shared" si="102"/>
        <v>742.9409022599865</v>
      </c>
      <c r="BM36" s="173">
        <f t="shared" si="37"/>
        <v>0.26907999999999999</v>
      </c>
      <c r="BN36" s="173">
        <f t="shared" si="38"/>
        <v>1.9220000000000001E-2</v>
      </c>
      <c r="BO36" s="528"/>
      <c r="BQ36" s="460">
        <f t="shared" si="103"/>
        <v>288.3</v>
      </c>
      <c r="BR36" s="528">
        <f t="shared" si="39"/>
        <v>1.4250977190153908E-2</v>
      </c>
      <c r="BS36" s="528">
        <f t="shared" si="104"/>
        <v>1.5629724169343447E-2</v>
      </c>
      <c r="BT36" s="528">
        <f t="shared" si="40"/>
        <v>2.6119992015544398E-5</v>
      </c>
      <c r="BU36" s="528">
        <f t="shared" si="41"/>
        <v>0.62473495188149686</v>
      </c>
      <c r="BV36" s="528">
        <f t="shared" si="42"/>
        <v>0.663406641069202</v>
      </c>
      <c r="BW36" s="625">
        <f t="shared" si="43"/>
        <v>0.30655457489734972</v>
      </c>
      <c r="BX36" s="460">
        <f t="shared" si="105"/>
        <v>969.96121596655166</v>
      </c>
      <c r="BY36" s="173">
        <f t="shared" si="106"/>
        <v>2.001202118226538</v>
      </c>
      <c r="BZ36" s="5">
        <f t="shared" si="107"/>
        <v>7.9979999999999993</v>
      </c>
      <c r="CA36" s="173">
        <f t="shared" si="108"/>
        <v>0.79986381967629705</v>
      </c>
      <c r="CB36" s="5">
        <f t="shared" si="109"/>
        <v>79.986381967629711</v>
      </c>
      <c r="CC36">
        <f t="shared" si="110"/>
        <v>31</v>
      </c>
      <c r="CE36" s="562">
        <f t="shared" si="44"/>
        <v>-50</v>
      </c>
      <c r="CF36">
        <f t="shared" si="45"/>
        <v>-50</v>
      </c>
      <c r="CG36" s="173">
        <f t="shared" si="46"/>
        <v>0.41999469402739392</v>
      </c>
      <c r="CH36" s="173">
        <f t="shared" si="47"/>
        <v>0.11447634555539976</v>
      </c>
      <c r="CI36" s="170">
        <v>31</v>
      </c>
      <c r="CJ36" s="217">
        <f t="shared" si="133"/>
        <v>0.31</v>
      </c>
      <c r="CK36" s="217">
        <f t="shared" si="111"/>
        <v>3.1E-2</v>
      </c>
      <c r="CL36" s="217">
        <f t="shared" si="48"/>
        <v>7.4399999999999995</v>
      </c>
      <c r="CM36" s="217">
        <f t="shared" si="134"/>
        <v>0.55800000000000005</v>
      </c>
      <c r="CN36" s="541">
        <f t="shared" si="112"/>
        <v>24</v>
      </c>
      <c r="CO36" s="443">
        <f t="shared" si="49"/>
        <v>16.474900000000002</v>
      </c>
      <c r="CP36" s="443">
        <f t="shared" si="50"/>
        <v>40.474900000000005</v>
      </c>
      <c r="CQ36" s="443"/>
      <c r="CR36" s="217">
        <f t="shared" si="113"/>
        <v>0.40507913686898112</v>
      </c>
      <c r="CS36" s="172">
        <f t="shared" si="114"/>
        <v>50.242373565144938</v>
      </c>
      <c r="CT36" s="172">
        <f t="shared" si="51"/>
        <v>4.0507913686898105</v>
      </c>
      <c r="CU36" s="217">
        <f t="shared" si="52"/>
        <v>2.0934322318810392</v>
      </c>
      <c r="CV36" s="217">
        <f t="shared" si="53"/>
        <v>2.7912429758413855</v>
      </c>
      <c r="CW36" s="443">
        <f t="shared" si="54"/>
        <v>24</v>
      </c>
      <c r="CX36" s="217">
        <f t="shared" si="55"/>
        <v>1.6453575100204998</v>
      </c>
      <c r="CY36" s="217">
        <f t="shared" si="56"/>
        <v>0.68556562917520836</v>
      </c>
      <c r="CZ36" s="217">
        <f t="shared" si="57"/>
        <v>0.99870561279309733</v>
      </c>
      <c r="DA36" s="197">
        <f t="shared" si="58"/>
        <v>350</v>
      </c>
      <c r="DB36" s="443">
        <f t="shared" si="115"/>
        <v>350</v>
      </c>
      <c r="DD36" s="217">
        <f t="shared" si="59"/>
        <v>2.7911308701724487</v>
      </c>
      <c r="DE36" s="173">
        <f t="shared" si="60"/>
        <v>1.6941716612376698</v>
      </c>
      <c r="DF36" s="173">
        <f t="shared" si="61"/>
        <v>0.55195223422072148</v>
      </c>
      <c r="DG36" s="173"/>
      <c r="DH36" s="173">
        <f t="shared" si="62"/>
        <v>1.3488532386977903</v>
      </c>
      <c r="DI36" s="545">
        <f t="shared" si="63"/>
        <v>310.10849999999988</v>
      </c>
      <c r="DJ36" s="528">
        <f t="shared" si="64"/>
        <v>0.34987754285999911</v>
      </c>
      <c r="DL36" s="173">
        <f t="shared" si="65"/>
        <v>2.1378226573515664</v>
      </c>
      <c r="DM36" s="173">
        <f t="shared" si="66"/>
        <v>2.2222222222222223</v>
      </c>
      <c r="DN36" s="173">
        <f t="shared" si="67"/>
        <v>1.1772048571428571</v>
      </c>
      <c r="DP36" s="545">
        <f t="shared" si="68"/>
        <v>310</v>
      </c>
      <c r="DQ36" s="460">
        <f t="shared" si="69"/>
        <v>310.10849999999988</v>
      </c>
      <c r="DS36">
        <f t="shared" si="116"/>
        <v>310</v>
      </c>
      <c r="DT36" s="460">
        <f t="shared" si="70"/>
        <v>310.10849999999988</v>
      </c>
      <c r="DU36" s="460"/>
      <c r="DV36" s="5">
        <f t="shared" si="117"/>
        <v>3.2246778143778725</v>
      </c>
      <c r="DW36" s="5">
        <f t="shared" si="71"/>
        <v>0.92592592592592615</v>
      </c>
      <c r="DX36" s="5">
        <f t="shared" si="118"/>
        <v>2.2987518884519464</v>
      </c>
      <c r="DY36" s="173">
        <f t="shared" si="119"/>
        <v>0.28713749999999993</v>
      </c>
      <c r="EA36" s="5">
        <f t="shared" si="72"/>
        <v>1.195987654320988</v>
      </c>
      <c r="EB36" s="5">
        <f t="shared" si="73"/>
        <v>0.15946502057613171</v>
      </c>
      <c r="EC36" s="5">
        <f t="shared" si="74"/>
        <v>0.59384423785008611</v>
      </c>
      <c r="ED36" s="5"/>
      <c r="EE36" s="173">
        <f t="shared" si="120"/>
        <v>0.68749859708049899</v>
      </c>
      <c r="EF36" s="173">
        <f t="shared" si="75"/>
        <v>0.72252948992175015</v>
      </c>
      <c r="EG36" s="173">
        <f t="shared" si="76"/>
        <v>7.2350588112434694E-2</v>
      </c>
      <c r="EH36" s="173"/>
      <c r="EI36" s="528">
        <f t="shared" si="77"/>
        <v>1.8906172839506172E-2</v>
      </c>
      <c r="EJ36" s="528">
        <f t="shared" si="78"/>
        <v>0.76704286551749989</v>
      </c>
      <c r="EK36" s="528">
        <f t="shared" si="79"/>
        <v>6.2021699999999978E-2</v>
      </c>
      <c r="EL36" s="528">
        <f t="shared" si="80"/>
        <v>8.8904406658393553E-2</v>
      </c>
      <c r="EM36">
        <f t="shared" si="81"/>
        <v>1.0800000000000001E-2</v>
      </c>
      <c r="EN36" s="460">
        <f t="shared" si="121"/>
        <v>72.821699999999979</v>
      </c>
      <c r="EO36">
        <f t="shared" si="82"/>
        <v>0.95707911314676031</v>
      </c>
      <c r="EP36" s="460">
        <f t="shared" si="122"/>
        <v>957.07911314676028</v>
      </c>
      <c r="EQ36" s="173">
        <f t="shared" si="83"/>
        <v>0.26907999999999999</v>
      </c>
      <c r="ER36" s="173">
        <f t="shared" si="84"/>
        <v>1.9220000000000001E-2</v>
      </c>
      <c r="ES36" s="528"/>
      <c r="EU36" s="460">
        <f t="shared" si="123"/>
        <v>288.3</v>
      </c>
      <c r="EV36" s="528">
        <f t="shared" si="85"/>
        <v>1.4179629629629629E-2</v>
      </c>
      <c r="EW36" s="528">
        <f t="shared" si="124"/>
        <v>1.5661465914197533E-2</v>
      </c>
      <c r="EX36" s="528">
        <f t="shared" si="86"/>
        <v>2.6173038001075883E-5</v>
      </c>
      <c r="EY36" s="528">
        <f t="shared" si="87"/>
        <v>0.62333698447943098</v>
      </c>
      <c r="EZ36" s="528">
        <f t="shared" si="88"/>
        <v>0.66195405829272669</v>
      </c>
      <c r="FA36" s="625">
        <f t="shared" si="89"/>
        <v>0.30628</v>
      </c>
      <c r="FB36" s="460">
        <f t="shared" si="125"/>
        <v>968.23405829272667</v>
      </c>
      <c r="FC36" s="173">
        <f t="shared" si="126"/>
        <v>2.2136131714394871</v>
      </c>
      <c r="FD36" s="5">
        <f t="shared" si="127"/>
        <v>7.9979999999999993</v>
      </c>
      <c r="FE36" s="173">
        <f t="shared" si="128"/>
        <v>0.78322590816202609</v>
      </c>
      <c r="FF36" s="5">
        <f t="shared" si="129"/>
        <v>78.322590816202606</v>
      </c>
      <c r="FG36">
        <f t="shared" si="130"/>
        <v>31</v>
      </c>
      <c r="FI36" s="562">
        <f t="shared" si="90"/>
        <v>-50</v>
      </c>
      <c r="FJ36">
        <f t="shared" si="91"/>
        <v>-50</v>
      </c>
      <c r="FL36">
        <f t="shared" si="92"/>
        <v>0.41999469402739398</v>
      </c>
    </row>
    <row r="37" spans="5:168">
      <c r="E37" s="170">
        <v>32</v>
      </c>
      <c r="F37" s="217">
        <f t="shared" si="131"/>
        <v>0.32</v>
      </c>
      <c r="G37" s="217">
        <f t="shared" si="93"/>
        <v>3.2000000000000001E-2</v>
      </c>
      <c r="H37" s="217">
        <f t="shared" ref="H37:H68" si="135">F37*Vout</f>
        <v>7.68</v>
      </c>
      <c r="I37" s="217">
        <f t="shared" si="132"/>
        <v>0.57600000000000007</v>
      </c>
      <c r="J37" s="541">
        <f t="shared" ref="J37:J68" si="136">Vin-(F37/CG37/Nps+G37/CH37/(Nps/Nsec1sec2))*(Rdcr_pri+RON/1000)</f>
        <v>23.901251807891633</v>
      </c>
      <c r="K37" s="443">
        <f t="shared" ref="K37:K68" si="137">MAX((S37+Vfwd2+Rdcr_sec*F37/CG37)*Nps,(Vout2+Vfwd22+Rdcr_sec2*G37/CH37)*Nps/Nsec1sec2)</f>
        <v>16.489669472300989</v>
      </c>
      <c r="L37" s="172">
        <f t="shared" ref="L37:L68" si="138">MAX((Vout+Vfwd2+F37/CG37*Rdcr_sec)*Nps+J37, (Vout2+Vfwd22+G37/CH37*Rdcr_sec2)*Nps/Nsec1sec2+J37)</f>
        <v>40.390921280192622</v>
      </c>
      <c r="M37" s="443"/>
      <c r="N37" s="217">
        <f t="shared" ref="N37:N68" si="139">MAX((Vout+Vfwd2+F37/CG37*Rdcr_sec)*Nps/((Vout+Vfwd2+F37/CG37*Rdcr_sec)*Nps+J37), (Vout2+Vfwd22+G37/CH37*Rdcr_sec2)*Nps/Nsec1sec2/((Vout2+Vfwd22+G37/CH37*Rdcr_sec2)*Nps/Nsec1sec2+J37))</f>
        <v>0.40825187813647096</v>
      </c>
      <c r="O37" s="172">
        <f t="shared" si="94"/>
        <v>50.427550079506361</v>
      </c>
      <c r="P37" s="172">
        <f t="shared" ref="P37:P68" si="140">N37*J37*Isw_max*0.5*Efficiency*(Pout2/Pout_total)</f>
        <v>4.0657212251602006</v>
      </c>
      <c r="Q37" s="217">
        <f t="shared" si="6"/>
        <v>2.1011479199794318</v>
      </c>
      <c r="R37" s="217">
        <f t="shared" ref="R37:R68" si="141">O37/Vout2</f>
        <v>2.8015305599725755</v>
      </c>
      <c r="S37" s="443">
        <f t="shared" ref="S37:S68" si="142">MIN(Vout,O37/F37)</f>
        <v>24</v>
      </c>
      <c r="T37" s="217">
        <f t="shared" ref="T37:T68" si="143">MIN(2*(Vout*F37+Vout2*G37)/(Efficiency*J37*N37), Isw_max)</f>
        <v>1.6921966900789931</v>
      </c>
      <c r="U37" s="217">
        <f t="shared" si="10"/>
        <v>0.70799500531611048</v>
      </c>
      <c r="V37" s="217">
        <f t="shared" si="11"/>
        <v>1.0262162579556315</v>
      </c>
      <c r="W37" s="197">
        <f t="shared" si="12"/>
        <v>350</v>
      </c>
      <c r="X37" s="443">
        <f t="shared" si="95"/>
        <v>350</v>
      </c>
      <c r="Z37" s="217">
        <f t="shared" si="13"/>
        <v>2.7879231258241366</v>
      </c>
      <c r="AA37" s="173">
        <f t="shared" si="14"/>
        <v>1.6907089196100828</v>
      </c>
      <c r="AB37" s="173">
        <f t="shared" ref="AB37:AB68" si="144">0.5*AA37*Z37*Nps*W37/1000*(Pout/Pout_total)</f>
        <v>0.55019104924771167</v>
      </c>
      <c r="AC37" s="173"/>
      <c r="AD37" s="173">
        <f t="shared" si="16"/>
        <v>1.3476450974078444</v>
      </c>
      <c r="AE37" s="545">
        <f t="shared" ref="AE37:AE68" si="145">MAX(10, F37/(0.5*AD37/1000000*Isw_min*Nps)/1000*Pout_total/Pout)</f>
        <v>320.3989750540041</v>
      </c>
      <c r="AF37" s="528">
        <f t="shared" ref="AF37:AF68" si="146">0.5*AD37/1000000*Isw_min*Nps*W37*1000*(Pout/Pout_total)</f>
        <v>0.34956416443317928</v>
      </c>
      <c r="AH37" s="173">
        <f t="shared" ref="AH37:AH68" si="147">SQRT((H37+I37)/(0.5*L*Fsw_DCM))</f>
        <v>2.1720299919002697</v>
      </c>
      <c r="AI37" s="173">
        <f t="shared" ref="AI37:AI68" si="148">MAX(IF(F37&gt;AB37,T37,AH37),Isw_min)</f>
        <v>2.2222222222222223</v>
      </c>
      <c r="AJ37" s="173">
        <f t="shared" ref="AJ37:AJ68" si="149">IF(F37&gt;AF37, (AI37-Isw_min)/1.08*0.8+1.2, AE37*0.2/350+1)</f>
        <v>1.1830851286022881</v>
      </c>
      <c r="AL37" s="545">
        <f t="shared" ref="AL37:AL68" si="150">F37*1000</f>
        <v>320</v>
      </c>
      <c r="AM37" s="460">
        <f t="shared" ref="AM37:AM68" si="151">IF(F37&gt;AF37, X37, AE37)</f>
        <v>320.3989750540041</v>
      </c>
      <c r="AO37">
        <f t="shared" si="96"/>
        <v>320</v>
      </c>
      <c r="AP37" s="460">
        <f t="shared" si="24"/>
        <v>320.3989750540041</v>
      </c>
      <c r="AQ37" s="460"/>
      <c r="AR37" s="5">
        <f t="shared" si="97"/>
        <v>3.1211086110105297</v>
      </c>
      <c r="AS37" s="5">
        <f t="shared" si="25"/>
        <v>0.92975139548485786</v>
      </c>
      <c r="AT37" s="5">
        <f t="shared" si="98"/>
        <v>2.191357215525672</v>
      </c>
      <c r="AU37" s="173">
        <f t="shared" si="99"/>
        <v>0.29789139416837845</v>
      </c>
      <c r="AW37" s="5">
        <f t="shared" ref="AW37:AW68" si="152">F37*AS37/Vout_ripple*1000</f>
        <v>1.2396685273131438</v>
      </c>
      <c r="AX37" s="5">
        <f t="shared" ref="AX37:AX68" si="153">G37*AS37/Vout_ripple2*1000</f>
        <v>0.16528913697508585</v>
      </c>
      <c r="AY37" s="5">
        <f t="shared" si="28"/>
        <v>0.58677621959255177</v>
      </c>
      <c r="AZ37" s="5"/>
      <c r="BA37" s="173">
        <f t="shared" si="100"/>
        <v>0.70025438548601215</v>
      </c>
      <c r="BB37" s="173">
        <f t="shared" ref="BB37:BB68" si="154">AI37*Npri_sec1*SQRT((1-AU37)/3)*(Pout/Pout_total)</f>
        <v>0.71705891710551495</v>
      </c>
      <c r="BC37" s="173">
        <f t="shared" ref="BC37:BC68" si="155">AI37*Npri_sec2*SQRT((1-AU37)/3)*(Pout2/Pout_total)</f>
        <v>7.1802791564214402E-2</v>
      </c>
      <c r="BD37" s="173"/>
      <c r="BE37" s="528">
        <f t="shared" si="31"/>
        <v>1.9614248175695702E-2</v>
      </c>
      <c r="BF37" s="528">
        <f t="shared" ref="BF37:BF68" si="156">0.5*L37*AI37*AM37*1000*Tfall</f>
        <v>0.64706048898303403</v>
      </c>
      <c r="BG37" s="528">
        <f t="shared" ref="BG37:BG68" si="157">Qg*Vdd*AM37*1000*0+Qg*J37*AM37*1000</f>
        <v>0.30631746327024562</v>
      </c>
      <c r="BH37" s="528">
        <f t="shared" si="34"/>
        <v>9.1473792459128331E-2</v>
      </c>
      <c r="BI37">
        <f t="shared" si="35"/>
        <v>1.0755563313551235E-2</v>
      </c>
      <c r="BJ37" s="460">
        <f t="shared" si="101"/>
        <v>317.07302658379683</v>
      </c>
      <c r="BK37">
        <f t="shared" ref="BK37:BK68" si="158">(BF37+BG37*0+BH37+BI37*0+BE37*(1+RdsonTC*(Ta-25)))/(1-BE37*RdsonTC*ThetaJA)</f>
        <v>0.76701894983420826</v>
      </c>
      <c r="BL37" s="460">
        <f t="shared" si="102"/>
        <v>767.01894983420823</v>
      </c>
      <c r="BM37" s="173">
        <f t="shared" ref="BM37:BM68" si="159">Vfwd2*F37*(1+Diode_TC/1000*(Ta-25))</f>
        <v>0.27775999999999995</v>
      </c>
      <c r="BN37" s="173">
        <f t="shared" ref="BN37:BN68" si="160">Vfwd22*G37*(1+Diode_TC/1000*(Ta-25))</f>
        <v>1.984E-2</v>
      </c>
      <c r="BO37" s="528"/>
      <c r="BQ37" s="460">
        <f t="shared" si="103"/>
        <v>297.59999999999997</v>
      </c>
      <c r="BR37" s="528">
        <f t="shared" si="39"/>
        <v>1.4710686131771775E-2</v>
      </c>
      <c r="BS37" s="528">
        <f t="shared" si="104"/>
        <v>1.5425204718016013E-2</v>
      </c>
      <c r="BT37" s="528">
        <f t="shared" ref="BT37:BT68" si="161">Rdcr_sec2*BC37^2</f>
        <v>2.5778204382070095E-5</v>
      </c>
      <c r="BU37" s="528">
        <f t="shared" si="41"/>
        <v>0.67634224572684865</v>
      </c>
      <c r="BV37" s="528">
        <f t="shared" ref="BV37:BV68" si="162">(BU37+(BR37+BS37+BT37)*(1+Ltc*(Ta-25)))/(1-(BR37+BS37+BT37)*Ltc*ThetaCa)</f>
        <v>0.71546909471828957</v>
      </c>
      <c r="BW37" s="625">
        <f t="shared" ref="BW37:BW68" si="163">0.5*Lleak*0.000000001*AI37^2*AM37*1000</f>
        <v>0.31644343215210291</v>
      </c>
      <c r="BX37" s="460">
        <f t="shared" si="105"/>
        <v>1031.9125268703924</v>
      </c>
      <c r="BY37" s="173">
        <f t="shared" si="106"/>
        <v>2.0965314767046008</v>
      </c>
      <c r="BZ37" s="5">
        <f t="shared" si="107"/>
        <v>8.2560000000000002</v>
      </c>
      <c r="CA37" s="173">
        <f t="shared" si="108"/>
        <v>0.79748610458975722</v>
      </c>
      <c r="CB37" s="5">
        <f t="shared" si="109"/>
        <v>79.748610458975719</v>
      </c>
      <c r="CC37">
        <f t="shared" si="110"/>
        <v>32</v>
      </c>
      <c r="CE37" s="562">
        <f t="shared" ref="CE37:CE68" si="164">IF(ABS(F37-Ioutmax_Vinnom)&lt;Iout/200, AM37, -50)</f>
        <v>-50</v>
      </c>
      <c r="CF37">
        <f t="shared" ref="CF37:CF68" si="165">IF(ABS(F37-Ioutmax_Vinnom)&lt;Iout/200, (O37+P37)*CA37, -50)</f>
        <v>-50</v>
      </c>
      <c r="CG37" s="173">
        <f t="shared" ref="CG37:CG68" si="166">MIN(SQRT(2*DT37*1000*Ls1_*(CL37+CJ37*Vfwd1))/(CW37+Vfwd1), 1-DY37)</f>
        <v>0.43354290996376144</v>
      </c>
      <c r="CH37" s="173">
        <f t="shared" ref="CH37:CH68" si="167">MIN(SQRT(2*DT37*1000*Ls2_*(CM37+CK37*Vfwd22))/(Vout2+Vfwd22), 1-DY37)</f>
        <v>0.11816913089589652</v>
      </c>
      <c r="CI37" s="170">
        <v>32</v>
      </c>
      <c r="CJ37" s="217">
        <f t="shared" si="133"/>
        <v>0.32</v>
      </c>
      <c r="CK37" s="217">
        <f t="shared" si="111"/>
        <v>3.2000000000000001E-2</v>
      </c>
      <c r="CL37" s="217">
        <f t="shared" si="48"/>
        <v>7.68</v>
      </c>
      <c r="CM37" s="217">
        <f t="shared" si="134"/>
        <v>0.57600000000000007</v>
      </c>
      <c r="CN37" s="541">
        <f t="shared" si="112"/>
        <v>24</v>
      </c>
      <c r="CO37" s="443">
        <f t="shared" ref="CO37:CO68" si="168">(CW37+Vfwd2)*Nps</f>
        <v>16.474900000000002</v>
      </c>
      <c r="CP37" s="443">
        <f t="shared" ref="CP37:CP68" si="169">(Vout+Vfwd2)*Nps+CN37</f>
        <v>40.474900000000005</v>
      </c>
      <c r="CQ37" s="443"/>
      <c r="CR37" s="217">
        <f t="shared" si="113"/>
        <v>0.40507913686898112</v>
      </c>
      <c r="CS37" s="172">
        <f t="shared" si="114"/>
        <v>50.242373565144938</v>
      </c>
      <c r="CT37" s="172">
        <f t="shared" si="51"/>
        <v>4.0507913686898105</v>
      </c>
      <c r="CU37" s="217">
        <f t="shared" si="52"/>
        <v>2.0934322318810392</v>
      </c>
      <c r="CV37" s="217">
        <f t="shared" si="53"/>
        <v>2.7912429758413855</v>
      </c>
      <c r="CW37" s="443">
        <f t="shared" si="54"/>
        <v>24</v>
      </c>
      <c r="CX37" s="217">
        <f t="shared" si="55"/>
        <v>1.6984335587308388</v>
      </c>
      <c r="CY37" s="217">
        <f t="shared" si="56"/>
        <v>0.70768064947118281</v>
      </c>
      <c r="CZ37" s="217">
        <f t="shared" si="57"/>
        <v>1.0309219228831974</v>
      </c>
      <c r="DA37" s="197">
        <f t="shared" si="58"/>
        <v>350</v>
      </c>
      <c r="DB37" s="443">
        <f t="shared" si="115"/>
        <v>350</v>
      </c>
      <c r="DD37" s="217">
        <f t="shared" si="59"/>
        <v>2.7911308701724487</v>
      </c>
      <c r="DE37" s="173">
        <f t="shared" si="60"/>
        <v>1.6941716612376698</v>
      </c>
      <c r="DF37" s="173">
        <f t="shared" si="61"/>
        <v>0.55195223422072148</v>
      </c>
      <c r="DG37" s="173"/>
      <c r="DH37" s="173">
        <f t="shared" si="62"/>
        <v>1.3488532386977903</v>
      </c>
      <c r="DI37" s="545">
        <f t="shared" si="63"/>
        <v>320.11199999999991</v>
      </c>
      <c r="DJ37" s="528">
        <f t="shared" si="64"/>
        <v>0.34987754285999911</v>
      </c>
      <c r="DL37" s="173">
        <f t="shared" si="65"/>
        <v>2.1720299919002697</v>
      </c>
      <c r="DM37" s="173">
        <f t="shared" si="66"/>
        <v>2.2222222222222223</v>
      </c>
      <c r="DN37" s="173">
        <f t="shared" si="67"/>
        <v>1.1829211428571429</v>
      </c>
      <c r="DP37" s="545">
        <f t="shared" si="68"/>
        <v>320</v>
      </c>
      <c r="DQ37" s="460">
        <f t="shared" si="69"/>
        <v>320.11199999999991</v>
      </c>
      <c r="DS37">
        <f t="shared" si="116"/>
        <v>320</v>
      </c>
      <c r="DT37" s="460">
        <f t="shared" si="70"/>
        <v>320.11199999999991</v>
      </c>
      <c r="DU37" s="460"/>
      <c r="DV37" s="5">
        <f t="shared" si="117"/>
        <v>3.1239066326785632</v>
      </c>
      <c r="DW37" s="5">
        <f t="shared" si="71"/>
        <v>0.92592592592592615</v>
      </c>
      <c r="DX37" s="5">
        <f t="shared" si="118"/>
        <v>2.1979807067526371</v>
      </c>
      <c r="DY37" s="173">
        <f t="shared" si="119"/>
        <v>0.2964</v>
      </c>
      <c r="EA37" s="5">
        <f t="shared" si="72"/>
        <v>1.2345679012345683</v>
      </c>
      <c r="EB37" s="5">
        <f t="shared" si="73"/>
        <v>0.16460905349794241</v>
      </c>
      <c r="EC37" s="5">
        <f t="shared" si="74"/>
        <v>0.5861281884673698</v>
      </c>
      <c r="ED37" s="5"/>
      <c r="EE37" s="173">
        <f t="shared" si="120"/>
        <v>0.69849927313340943</v>
      </c>
      <c r="EF37" s="173">
        <f t="shared" si="75"/>
        <v>0.7178200886508973</v>
      </c>
      <c r="EG37" s="173">
        <f t="shared" si="76"/>
        <v>7.1879011579772278E-2</v>
      </c>
      <c r="EH37" s="173"/>
      <c r="EI37" s="528">
        <f t="shared" si="77"/>
        <v>1.9516049382716054E-2</v>
      </c>
      <c r="EJ37" s="528">
        <f t="shared" si="78"/>
        <v>0.79178618375999998</v>
      </c>
      <c r="EK37" s="528">
        <f t="shared" si="79"/>
        <v>6.4022399999999979E-2</v>
      </c>
      <c r="EL37" s="528">
        <f t="shared" si="80"/>
        <v>9.177229074414818E-2</v>
      </c>
      <c r="EM37">
        <f t="shared" si="81"/>
        <v>1.0800000000000001E-2</v>
      </c>
      <c r="EN37" s="460">
        <f t="shared" si="121"/>
        <v>74.822399999999988</v>
      </c>
      <c r="EO37">
        <f t="shared" si="82"/>
        <v>0.98774645068196254</v>
      </c>
      <c r="EP37" s="460">
        <f t="shared" si="122"/>
        <v>987.74645068196253</v>
      </c>
      <c r="EQ37" s="173">
        <f t="shared" si="83"/>
        <v>0.27775999999999995</v>
      </c>
      <c r="ER37" s="173">
        <f t="shared" ref="ER37:ER68" si="170">Vfwd22*CK37*(1+Diode_TC/1000*(Ta-25))</f>
        <v>1.984E-2</v>
      </c>
      <c r="ES37" s="528"/>
      <c r="EU37" s="460">
        <f t="shared" si="123"/>
        <v>297.59999999999997</v>
      </c>
      <c r="EV37" s="528">
        <f t="shared" si="85"/>
        <v>1.4637037037037039E-2</v>
      </c>
      <c r="EW37" s="528">
        <f t="shared" si="124"/>
        <v>1.5457970390123461E-2</v>
      </c>
      <c r="EX37" s="528">
        <f t="shared" si="86"/>
        <v>2.5832961528425189E-5</v>
      </c>
      <c r="EY37" s="528">
        <f t="shared" si="87"/>
        <v>0.67482879684853858</v>
      </c>
      <c r="EZ37" s="528">
        <f t="shared" si="88"/>
        <v>0.71389889771064108</v>
      </c>
      <c r="FA37" s="625">
        <f t="shared" si="89"/>
        <v>0.31616</v>
      </c>
      <c r="FB37" s="460">
        <f t="shared" si="125"/>
        <v>1030.0588977106411</v>
      </c>
      <c r="FC37" s="173">
        <f t="shared" si="126"/>
        <v>2.3154053483926038</v>
      </c>
      <c r="FD37" s="5">
        <f t="shared" si="127"/>
        <v>8.2560000000000002</v>
      </c>
      <c r="FE37" s="173">
        <f t="shared" si="128"/>
        <v>0.78097468859760788</v>
      </c>
      <c r="FF37" s="5">
        <f t="shared" si="129"/>
        <v>78.097468859760795</v>
      </c>
      <c r="FG37">
        <f t="shared" si="130"/>
        <v>32</v>
      </c>
      <c r="FI37" s="562">
        <f t="shared" si="90"/>
        <v>-50</v>
      </c>
      <c r="FJ37">
        <f t="shared" si="91"/>
        <v>-50</v>
      </c>
      <c r="FL37">
        <f t="shared" si="92"/>
        <v>0.43354290996376144</v>
      </c>
    </row>
    <row r="38" spans="5:168">
      <c r="E38" s="170">
        <v>33</v>
      </c>
      <c r="F38" s="217">
        <f t="shared" si="131"/>
        <v>0.33</v>
      </c>
      <c r="G38" s="217">
        <f t="shared" ref="G38:G69" si="171">IF(PLOT_TYPE=1, E38/100*Iout2, min_I*EXP(Q38*rr/100))</f>
        <v>3.3000000000000002E-2</v>
      </c>
      <c r="H38" s="217">
        <f t="shared" si="135"/>
        <v>7.92</v>
      </c>
      <c r="I38" s="217">
        <f t="shared" si="132"/>
        <v>0.59400000000000008</v>
      </c>
      <c r="J38" s="541">
        <f t="shared" si="136"/>
        <v>23.901251807891633</v>
      </c>
      <c r="K38" s="443">
        <f t="shared" si="137"/>
        <v>16.489669472300989</v>
      </c>
      <c r="L38" s="172">
        <f t="shared" si="138"/>
        <v>40.390921280192622</v>
      </c>
      <c r="M38" s="443"/>
      <c r="N38" s="217">
        <f t="shared" si="139"/>
        <v>0.40825187813647096</v>
      </c>
      <c r="O38" s="172">
        <f t="shared" ref="O38:O69" si="172">N38*J38*Isw_max*0.5*Efficiency*Pout/(Pout+Pout2)</f>
        <v>50.427550079506361</v>
      </c>
      <c r="P38" s="172">
        <f t="shared" si="140"/>
        <v>4.0657212251602006</v>
      </c>
      <c r="Q38" s="217">
        <f t="shared" si="6"/>
        <v>2.1011479199794318</v>
      </c>
      <c r="R38" s="217">
        <f t="shared" si="141"/>
        <v>2.8015305599725755</v>
      </c>
      <c r="S38" s="443">
        <f t="shared" si="142"/>
        <v>24</v>
      </c>
      <c r="T38" s="217">
        <f t="shared" si="143"/>
        <v>1.7450778366439614</v>
      </c>
      <c r="U38" s="217">
        <f t="shared" si="10"/>
        <v>0.73011984923223883</v>
      </c>
      <c r="V38" s="217">
        <f t="shared" si="11"/>
        <v>1.0582855160167446</v>
      </c>
      <c r="W38" s="197">
        <f t="shared" si="12"/>
        <v>350</v>
      </c>
      <c r="X38" s="443">
        <f t="shared" si="95"/>
        <v>350</v>
      </c>
      <c r="Z38" s="217">
        <f t="shared" si="13"/>
        <v>2.7879231258241366</v>
      </c>
      <c r="AA38" s="173">
        <f t="shared" si="14"/>
        <v>1.6907089196100828</v>
      </c>
      <c r="AB38" s="173">
        <f t="shared" si="144"/>
        <v>0.55019104924771167</v>
      </c>
      <c r="AC38" s="173"/>
      <c r="AD38" s="173">
        <f t="shared" si="16"/>
        <v>1.3476450974078444</v>
      </c>
      <c r="AE38" s="545">
        <f t="shared" si="145"/>
        <v>330.41144302444178</v>
      </c>
      <c r="AF38" s="528">
        <f t="shared" si="146"/>
        <v>0.34956416443317928</v>
      </c>
      <c r="AH38" s="173">
        <f t="shared" si="147"/>
        <v>2.2057068837773652</v>
      </c>
      <c r="AI38" s="173">
        <f t="shared" si="148"/>
        <v>2.2222222222222223</v>
      </c>
      <c r="AJ38" s="173">
        <f t="shared" si="149"/>
        <v>1.1888065388711095</v>
      </c>
      <c r="AL38" s="545">
        <f t="shared" si="150"/>
        <v>330</v>
      </c>
      <c r="AM38" s="460">
        <f t="shared" si="151"/>
        <v>330.41144302444178</v>
      </c>
      <c r="AO38">
        <f t="shared" si="96"/>
        <v>330</v>
      </c>
      <c r="AP38" s="460">
        <f t="shared" si="24"/>
        <v>330.41144302444178</v>
      </c>
      <c r="AQ38" s="460"/>
      <c r="AR38" s="5">
        <f t="shared" si="97"/>
        <v>3.0265295621920281</v>
      </c>
      <c r="AS38" s="5">
        <f t="shared" si="25"/>
        <v>0.92975139548485786</v>
      </c>
      <c r="AT38" s="5">
        <f t="shared" si="98"/>
        <v>2.0967781667071703</v>
      </c>
      <c r="AU38" s="173">
        <f t="shared" si="99"/>
        <v>0.30720050023614037</v>
      </c>
      <c r="AW38" s="5">
        <f t="shared" si="152"/>
        <v>1.2784081687916795</v>
      </c>
      <c r="AX38" s="5">
        <f t="shared" si="153"/>
        <v>0.17045442250555728</v>
      </c>
      <c r="AY38" s="5">
        <f t="shared" si="28"/>
        <v>0.57899628067589726</v>
      </c>
      <c r="AZ38" s="5"/>
      <c r="BA38" s="173">
        <f t="shared" si="100"/>
        <v>0.71111169008788977</v>
      </c>
      <c r="BB38" s="173">
        <f t="shared" si="154"/>
        <v>0.71228939031568206</v>
      </c>
      <c r="BC38" s="173">
        <f t="shared" si="155"/>
        <v>7.1325194354583829E-2</v>
      </c>
      <c r="BD38" s="173"/>
      <c r="BE38" s="528">
        <f t="shared" si="31"/>
        <v>2.0227193431186202E-2</v>
      </c>
      <c r="BF38" s="528">
        <f t="shared" si="156"/>
        <v>0.66728112926375394</v>
      </c>
      <c r="BG38" s="528">
        <f t="shared" si="157"/>
        <v>0.31588988399744089</v>
      </c>
      <c r="BH38" s="528">
        <f t="shared" si="34"/>
        <v>9.4332348473476116E-2</v>
      </c>
      <c r="BI38">
        <f t="shared" si="35"/>
        <v>1.0755563313551235E-2</v>
      </c>
      <c r="BJ38" s="460">
        <f t="shared" si="101"/>
        <v>326.6454473109921</v>
      </c>
      <c r="BK38">
        <f t="shared" si="158"/>
        <v>0.79110404452784366</v>
      </c>
      <c r="BL38" s="460">
        <f t="shared" si="102"/>
        <v>791.10404452784371</v>
      </c>
      <c r="BM38" s="173">
        <f t="shared" si="159"/>
        <v>0.28643999999999997</v>
      </c>
      <c r="BN38" s="173">
        <f t="shared" si="160"/>
        <v>2.0460000000000002E-2</v>
      </c>
      <c r="BO38" s="528"/>
      <c r="BQ38" s="460">
        <f t="shared" si="103"/>
        <v>306.89999999999998</v>
      </c>
      <c r="BR38" s="528">
        <f t="shared" si="39"/>
        <v>1.517039507338965E-2</v>
      </c>
      <c r="BS38" s="528">
        <f t="shared" si="104"/>
        <v>1.5220685266688582E-2</v>
      </c>
      <c r="BT38" s="528">
        <f t="shared" si="161"/>
        <v>2.5436416748595785E-5</v>
      </c>
      <c r="BU38" s="528">
        <f t="shared" si="41"/>
        <v>0.73042632845340805</v>
      </c>
      <c r="BV38" s="528">
        <f t="shared" si="162"/>
        <v>0.77001650683051681</v>
      </c>
      <c r="BW38" s="625">
        <f t="shared" si="163"/>
        <v>0.32633228940685616</v>
      </c>
      <c r="BX38" s="460">
        <f t="shared" si="105"/>
        <v>1096.3487962373731</v>
      </c>
      <c r="BY38" s="173">
        <f t="shared" si="106"/>
        <v>2.1943528407652164</v>
      </c>
      <c r="BZ38" s="5">
        <f t="shared" si="107"/>
        <v>8.5139999999999993</v>
      </c>
      <c r="CA38" s="173">
        <f t="shared" si="108"/>
        <v>0.79508026366000761</v>
      </c>
      <c r="CB38" s="5">
        <f t="shared" si="109"/>
        <v>79.508026366000763</v>
      </c>
      <c r="CC38">
        <f t="shared" ref="CC38:CC69" si="173">F38/Iout*100</f>
        <v>33</v>
      </c>
      <c r="CE38" s="562">
        <f t="shared" si="164"/>
        <v>-50</v>
      </c>
      <c r="CF38">
        <f t="shared" si="165"/>
        <v>-50</v>
      </c>
      <c r="CG38" s="173">
        <f t="shared" si="166"/>
        <v>0.44709112590012901</v>
      </c>
      <c r="CH38" s="173">
        <f t="shared" si="167"/>
        <v>0.12186191623639328</v>
      </c>
      <c r="CI38" s="170">
        <v>33</v>
      </c>
      <c r="CJ38" s="217">
        <f t="shared" si="133"/>
        <v>0.33</v>
      </c>
      <c r="CK38" s="217">
        <f t="shared" si="111"/>
        <v>3.3000000000000002E-2</v>
      </c>
      <c r="CL38" s="217">
        <f t="shared" si="48"/>
        <v>7.92</v>
      </c>
      <c r="CM38" s="217">
        <f t="shared" si="134"/>
        <v>0.59400000000000008</v>
      </c>
      <c r="CN38" s="541">
        <f t="shared" si="112"/>
        <v>24</v>
      </c>
      <c r="CO38" s="443">
        <f t="shared" si="168"/>
        <v>16.474900000000002</v>
      </c>
      <c r="CP38" s="443">
        <f t="shared" si="169"/>
        <v>40.474900000000005</v>
      </c>
      <c r="CQ38" s="443"/>
      <c r="CR38" s="217">
        <f t="shared" si="113"/>
        <v>0.40507913686898112</v>
      </c>
      <c r="CS38" s="172">
        <f t="shared" si="114"/>
        <v>50.242373565144938</v>
      </c>
      <c r="CT38" s="172">
        <f t="shared" si="51"/>
        <v>4.0507913686898105</v>
      </c>
      <c r="CU38" s="217">
        <f t="shared" si="52"/>
        <v>2.0934322318810392</v>
      </c>
      <c r="CV38" s="217">
        <f t="shared" si="53"/>
        <v>2.7912429758413855</v>
      </c>
      <c r="CW38" s="443">
        <f t="shared" si="54"/>
        <v>24</v>
      </c>
      <c r="CX38" s="217">
        <f t="shared" si="55"/>
        <v>1.7515096074411771</v>
      </c>
      <c r="CY38" s="217">
        <f t="shared" si="56"/>
        <v>0.72979566976715726</v>
      </c>
      <c r="CZ38" s="217">
        <f t="shared" si="57"/>
        <v>1.063138232973297</v>
      </c>
      <c r="DA38" s="197">
        <f t="shared" si="58"/>
        <v>350</v>
      </c>
      <c r="DB38" s="443">
        <f t="shared" si="115"/>
        <v>350</v>
      </c>
      <c r="DD38" s="217">
        <f t="shared" si="59"/>
        <v>2.7911308701724487</v>
      </c>
      <c r="DE38" s="173">
        <f t="shared" si="60"/>
        <v>1.6941716612376698</v>
      </c>
      <c r="DF38" s="173">
        <f t="shared" si="61"/>
        <v>0.55195223422072148</v>
      </c>
      <c r="DG38" s="173"/>
      <c r="DH38" s="173">
        <f t="shared" si="62"/>
        <v>1.3488532386977903</v>
      </c>
      <c r="DI38" s="545">
        <f t="shared" si="63"/>
        <v>330.11549999999988</v>
      </c>
      <c r="DJ38" s="528">
        <f t="shared" si="64"/>
        <v>0.34987754285999911</v>
      </c>
      <c r="DL38" s="173">
        <f t="shared" si="65"/>
        <v>2.2057068837773652</v>
      </c>
      <c r="DM38" s="173">
        <f t="shared" si="66"/>
        <v>2.2222222222222223</v>
      </c>
      <c r="DN38" s="173">
        <f t="shared" si="67"/>
        <v>1.1886374285714285</v>
      </c>
      <c r="DP38" s="545">
        <f t="shared" si="68"/>
        <v>330</v>
      </c>
      <c r="DQ38" s="460">
        <f t="shared" si="69"/>
        <v>330.11549999999988</v>
      </c>
      <c r="DS38">
        <f t="shared" si="116"/>
        <v>330</v>
      </c>
      <c r="DT38" s="460">
        <f t="shared" si="70"/>
        <v>330.11549999999988</v>
      </c>
      <c r="DU38" s="460"/>
      <c r="DV38" s="5">
        <f t="shared" si="117"/>
        <v>3.0292427953246679</v>
      </c>
      <c r="DW38" s="5">
        <f t="shared" si="71"/>
        <v>0.92592592592592615</v>
      </c>
      <c r="DX38" s="5">
        <f t="shared" si="118"/>
        <v>2.1033168693987419</v>
      </c>
      <c r="DY38" s="173">
        <f t="shared" si="119"/>
        <v>0.30566249999999995</v>
      </c>
      <c r="EA38" s="5">
        <f t="shared" si="72"/>
        <v>1.2731481481481484</v>
      </c>
      <c r="EB38" s="5">
        <f t="shared" si="73"/>
        <v>0.16975308641975315</v>
      </c>
      <c r="EC38" s="5">
        <f t="shared" si="74"/>
        <v>0.57841213908465394</v>
      </c>
      <c r="ED38" s="5"/>
      <c r="EE38" s="173">
        <f t="shared" si="120"/>
        <v>0.70932936506826505</v>
      </c>
      <c r="EF38" s="173">
        <f t="shared" si="75"/>
        <v>0.71307958569501873</v>
      </c>
      <c r="EG38" s="173">
        <f t="shared" si="76"/>
        <v>7.1404320675676869E-2</v>
      </c>
      <c r="EH38" s="173"/>
      <c r="EI38" s="528">
        <f t="shared" si="77"/>
        <v>2.0125925925925922E-2</v>
      </c>
      <c r="EJ38" s="528">
        <f t="shared" si="78"/>
        <v>0.81652950200249996</v>
      </c>
      <c r="EK38" s="528">
        <f t="shared" si="79"/>
        <v>6.6023099999999973E-2</v>
      </c>
      <c r="EL38" s="528">
        <f t="shared" si="80"/>
        <v>9.4640174829902807E-2</v>
      </c>
      <c r="EM38">
        <f t="shared" si="81"/>
        <v>1.0800000000000001E-2</v>
      </c>
      <c r="EN38" s="460">
        <f t="shared" si="121"/>
        <v>76.823099999999982</v>
      </c>
      <c r="EO38">
        <f t="shared" si="82"/>
        <v>1.0184227187254562</v>
      </c>
      <c r="EP38" s="460">
        <f t="shared" si="122"/>
        <v>1018.4227187254562</v>
      </c>
      <c r="EQ38" s="173">
        <f t="shared" si="83"/>
        <v>0.28643999999999997</v>
      </c>
      <c r="ER38" s="173">
        <f t="shared" si="170"/>
        <v>2.0460000000000002E-2</v>
      </c>
      <c r="ES38" s="528"/>
      <c r="EU38" s="460">
        <f t="shared" si="123"/>
        <v>306.89999999999998</v>
      </c>
      <c r="EV38" s="528">
        <f t="shared" si="85"/>
        <v>1.509444444444444E-2</v>
      </c>
      <c r="EW38" s="528">
        <f t="shared" si="124"/>
        <v>1.5254474866049387E-2</v>
      </c>
      <c r="EX38" s="528">
        <f t="shared" si="86"/>
        <v>2.5492885055774477E-5</v>
      </c>
      <c r="EY38" s="528">
        <f t="shared" si="87"/>
        <v>0.72879185579630357</v>
      </c>
      <c r="EZ38" s="528">
        <f t="shared" si="88"/>
        <v>0.76832311596066971</v>
      </c>
      <c r="FA38" s="625">
        <f t="shared" si="89"/>
        <v>0.32604</v>
      </c>
      <c r="FB38" s="460">
        <f t="shared" si="125"/>
        <v>1094.3631159606698</v>
      </c>
      <c r="FC38" s="173">
        <f t="shared" si="126"/>
        <v>2.4196858346861259</v>
      </c>
      <c r="FD38" s="5">
        <f t="shared" si="127"/>
        <v>8.5139999999999993</v>
      </c>
      <c r="FE38" s="173">
        <f t="shared" si="128"/>
        <v>0.77869440632637421</v>
      </c>
      <c r="FF38" s="5">
        <f t="shared" si="129"/>
        <v>77.869440632637421</v>
      </c>
      <c r="FG38">
        <f t="shared" si="130"/>
        <v>33</v>
      </c>
      <c r="FI38" s="562">
        <f t="shared" si="90"/>
        <v>-50</v>
      </c>
      <c r="FJ38">
        <f t="shared" si="91"/>
        <v>-50</v>
      </c>
      <c r="FL38">
        <f t="shared" si="92"/>
        <v>0.44709112590012906</v>
      </c>
    </row>
    <row r="39" spans="5:168">
      <c r="E39" s="170">
        <v>34</v>
      </c>
      <c r="F39" s="217">
        <f t="shared" si="131"/>
        <v>0.34</v>
      </c>
      <c r="G39" s="217">
        <f t="shared" si="171"/>
        <v>3.4000000000000002E-2</v>
      </c>
      <c r="H39" s="217">
        <f t="shared" si="135"/>
        <v>8.16</v>
      </c>
      <c r="I39" s="217">
        <f t="shared" si="132"/>
        <v>0.6120000000000001</v>
      </c>
      <c r="J39" s="541">
        <f t="shared" si="136"/>
        <v>23.901251807891633</v>
      </c>
      <c r="K39" s="443">
        <f t="shared" si="137"/>
        <v>16.489669472300989</v>
      </c>
      <c r="L39" s="172">
        <f t="shared" si="138"/>
        <v>40.390921280192622</v>
      </c>
      <c r="M39" s="443"/>
      <c r="N39" s="217">
        <f t="shared" si="139"/>
        <v>0.40825187813647096</v>
      </c>
      <c r="O39" s="172">
        <f t="shared" si="172"/>
        <v>50.427550079506361</v>
      </c>
      <c r="P39" s="172">
        <f t="shared" si="140"/>
        <v>4.0657212251602006</v>
      </c>
      <c r="Q39" s="217">
        <f t="shared" si="6"/>
        <v>2.1011479199794318</v>
      </c>
      <c r="R39" s="217">
        <f t="shared" si="141"/>
        <v>2.8015305599725755</v>
      </c>
      <c r="S39" s="443">
        <f t="shared" si="142"/>
        <v>24</v>
      </c>
      <c r="T39" s="217">
        <f t="shared" si="143"/>
        <v>1.7979589832089302</v>
      </c>
      <c r="U39" s="217">
        <f t="shared" si="10"/>
        <v>0.7522446931483675</v>
      </c>
      <c r="V39" s="217">
        <f t="shared" si="11"/>
        <v>1.0903547740778585</v>
      </c>
      <c r="W39" s="197">
        <f t="shared" si="12"/>
        <v>350</v>
      </c>
      <c r="X39" s="443">
        <f t="shared" si="95"/>
        <v>350</v>
      </c>
      <c r="Z39" s="217">
        <f t="shared" si="13"/>
        <v>2.7879231258241366</v>
      </c>
      <c r="AA39" s="173">
        <f t="shared" si="14"/>
        <v>1.6907089196100828</v>
      </c>
      <c r="AB39" s="173">
        <f t="shared" si="144"/>
        <v>0.55019104924771167</v>
      </c>
      <c r="AC39" s="173"/>
      <c r="AD39" s="173">
        <f t="shared" si="16"/>
        <v>1.3476450974078444</v>
      </c>
      <c r="AE39" s="545">
        <f t="shared" si="145"/>
        <v>340.42391099487946</v>
      </c>
      <c r="AF39" s="528">
        <f t="shared" si="146"/>
        <v>0.34956416443317928</v>
      </c>
      <c r="AH39" s="173">
        <f t="shared" si="147"/>
        <v>2.238877269653571</v>
      </c>
      <c r="AI39" s="173">
        <f t="shared" si="148"/>
        <v>2.238877269653571</v>
      </c>
      <c r="AJ39" s="173">
        <f t="shared" si="149"/>
        <v>1.1945279491399312</v>
      </c>
      <c r="AL39" s="545">
        <f t="shared" si="150"/>
        <v>340</v>
      </c>
      <c r="AM39" s="460">
        <f t="shared" si="151"/>
        <v>340.42391099487946</v>
      </c>
      <c r="AO39">
        <f t="shared" si="96"/>
        <v>340</v>
      </c>
      <c r="AP39" s="460">
        <f t="shared" si="24"/>
        <v>340.42391099487946</v>
      </c>
      <c r="AQ39" s="460"/>
      <c r="AR39" s="5">
        <f t="shared" si="97"/>
        <v>2.9375139868334386</v>
      </c>
      <c r="AS39" s="5">
        <f t="shared" si="25"/>
        <v>0.93671966960088104</v>
      </c>
      <c r="AT39" s="5">
        <f t="shared" si="98"/>
        <v>2.0007943172325575</v>
      </c>
      <c r="AU39" s="173">
        <f t="shared" si="99"/>
        <v>0.3188817734313632</v>
      </c>
      <c r="AW39" s="5">
        <f t="shared" si="152"/>
        <v>1.3270195319345817</v>
      </c>
      <c r="AX39" s="5">
        <f t="shared" si="153"/>
        <v>0.17693593759127754</v>
      </c>
      <c r="AY39" s="5">
        <f t="shared" si="28"/>
        <v>0.56923384040869374</v>
      </c>
      <c r="AZ39" s="5"/>
      <c r="BA39" s="173">
        <f t="shared" si="100"/>
        <v>0.72993553747214301</v>
      </c>
      <c r="BB39" s="173">
        <f t="shared" si="154"/>
        <v>0.71155216557707379</v>
      </c>
      <c r="BC39" s="173">
        <f t="shared" si="155"/>
        <v>7.1251372255758325E-2</v>
      </c>
      <c r="BD39" s="173"/>
      <c r="BE39" s="528">
        <f t="shared" si="31"/>
        <v>2.1312235554589855E-2</v>
      </c>
      <c r="BF39" s="528">
        <f t="shared" si="156"/>
        <v>0.69265443810587857</v>
      </c>
      <c r="BG39" s="528">
        <f t="shared" si="157"/>
        <v>0.32546230472463611</v>
      </c>
      <c r="BH39" s="528">
        <f t="shared" si="34"/>
        <v>9.7190904487823887E-2</v>
      </c>
      <c r="BI39">
        <f t="shared" si="35"/>
        <v>1.0755563313551235E-2</v>
      </c>
      <c r="BJ39" s="460">
        <f t="shared" si="101"/>
        <v>336.21786803818731</v>
      </c>
      <c r="BK39">
        <f t="shared" si="158"/>
        <v>0.82106960346992908</v>
      </c>
      <c r="BL39" s="460">
        <f t="shared" si="102"/>
        <v>821.06960346992912</v>
      </c>
      <c r="BM39" s="173">
        <f t="shared" si="159"/>
        <v>0.29511999999999999</v>
      </c>
      <c r="BN39" s="173">
        <f t="shared" si="160"/>
        <v>2.1080000000000002E-2</v>
      </c>
      <c r="BO39" s="528"/>
      <c r="BQ39" s="460">
        <f t="shared" si="103"/>
        <v>316.2</v>
      </c>
      <c r="BR39" s="528">
        <f t="shared" si="39"/>
        <v>1.5984176665942391E-2</v>
      </c>
      <c r="BS39" s="528">
        <f t="shared" si="104"/>
        <v>1.5189194530122702E-2</v>
      </c>
      <c r="BT39" s="528">
        <f t="shared" si="161"/>
        <v>2.5383790241643238E-5</v>
      </c>
      <c r="BU39" s="528">
        <f t="shared" si="41"/>
        <v>0.80185504197190183</v>
      </c>
      <c r="BV39" s="528">
        <f t="shared" si="162"/>
        <v>0.84264465528618582</v>
      </c>
      <c r="BW39" s="625">
        <f t="shared" si="163"/>
        <v>0.34127983397109524</v>
      </c>
      <c r="BX39" s="460">
        <f t="shared" si="105"/>
        <v>1183.924489257281</v>
      </c>
      <c r="BY39" s="173">
        <f t="shared" si="106"/>
        <v>2.3211940927272101</v>
      </c>
      <c r="BZ39" s="5">
        <f t="shared" si="107"/>
        <v>8.7720000000000002</v>
      </c>
      <c r="CA39" s="173">
        <f t="shared" si="108"/>
        <v>0.79075511765822226</v>
      </c>
      <c r="CB39" s="5">
        <f t="shared" si="109"/>
        <v>79.075511765822228</v>
      </c>
      <c r="CC39">
        <f t="shared" si="173"/>
        <v>34</v>
      </c>
      <c r="CE39" s="562">
        <f t="shared" si="164"/>
        <v>-50</v>
      </c>
      <c r="CF39">
        <f t="shared" si="165"/>
        <v>-50</v>
      </c>
      <c r="CG39" s="173">
        <f t="shared" si="166"/>
        <v>0.46063934183649657</v>
      </c>
      <c r="CH39" s="173">
        <f t="shared" si="167"/>
        <v>0.12555470157689005</v>
      </c>
      <c r="CI39" s="170">
        <v>34</v>
      </c>
      <c r="CJ39" s="217">
        <f t="shared" si="133"/>
        <v>0.34</v>
      </c>
      <c r="CK39" s="217">
        <f t="shared" si="111"/>
        <v>3.4000000000000002E-2</v>
      </c>
      <c r="CL39" s="217">
        <f t="shared" si="48"/>
        <v>8.16</v>
      </c>
      <c r="CM39" s="217">
        <f t="shared" si="134"/>
        <v>0.6120000000000001</v>
      </c>
      <c r="CN39" s="541">
        <f t="shared" si="112"/>
        <v>24</v>
      </c>
      <c r="CO39" s="443">
        <f t="shared" si="168"/>
        <v>16.474900000000002</v>
      </c>
      <c r="CP39" s="443">
        <f t="shared" si="169"/>
        <v>40.474900000000005</v>
      </c>
      <c r="CQ39" s="443"/>
      <c r="CR39" s="217">
        <f t="shared" si="113"/>
        <v>0.40507913686898112</v>
      </c>
      <c r="CS39" s="172">
        <f t="shared" si="114"/>
        <v>50.242373565144938</v>
      </c>
      <c r="CT39" s="172">
        <f t="shared" si="51"/>
        <v>4.0507913686898105</v>
      </c>
      <c r="CU39" s="217">
        <f t="shared" si="52"/>
        <v>2.0934322318810392</v>
      </c>
      <c r="CV39" s="217">
        <f t="shared" si="53"/>
        <v>2.7912429758413855</v>
      </c>
      <c r="CW39" s="443">
        <f t="shared" si="54"/>
        <v>24</v>
      </c>
      <c r="CX39" s="217">
        <f t="shared" si="55"/>
        <v>1.8045856561515161</v>
      </c>
      <c r="CY39" s="217">
        <f t="shared" si="56"/>
        <v>0.75191069006313183</v>
      </c>
      <c r="CZ39" s="217">
        <f t="shared" si="57"/>
        <v>1.0953545430633971</v>
      </c>
      <c r="DA39" s="197">
        <f t="shared" si="58"/>
        <v>350</v>
      </c>
      <c r="DB39" s="443">
        <f t="shared" si="115"/>
        <v>350</v>
      </c>
      <c r="DD39" s="217">
        <f t="shared" si="59"/>
        <v>2.7911308701724487</v>
      </c>
      <c r="DE39" s="173">
        <f t="shared" si="60"/>
        <v>1.6941716612376698</v>
      </c>
      <c r="DF39" s="173">
        <f t="shared" si="61"/>
        <v>0.55195223422072148</v>
      </c>
      <c r="DG39" s="173"/>
      <c r="DH39" s="173">
        <f t="shared" si="62"/>
        <v>1.3488532386977903</v>
      </c>
      <c r="DI39" s="545">
        <f t="shared" si="63"/>
        <v>340.11899999999986</v>
      </c>
      <c r="DJ39" s="528">
        <f t="shared" si="64"/>
        <v>0.34987754285999911</v>
      </c>
      <c r="DL39" s="173">
        <f t="shared" si="65"/>
        <v>2.238877269653571</v>
      </c>
      <c r="DM39" s="173">
        <f t="shared" si="66"/>
        <v>2.238877269653571</v>
      </c>
      <c r="DN39" s="173">
        <f t="shared" si="67"/>
        <v>1.1943537142857141</v>
      </c>
      <c r="DP39" s="545">
        <f t="shared" si="68"/>
        <v>340</v>
      </c>
      <c r="DQ39" s="460">
        <f t="shared" si="69"/>
        <v>340.11899999999986</v>
      </c>
      <c r="DS39">
        <f t="shared" si="116"/>
        <v>340</v>
      </c>
      <c r="DT39" s="460">
        <f t="shared" si="70"/>
        <v>340.11899999999986</v>
      </c>
      <c r="DU39" s="460"/>
      <c r="DV39" s="5">
        <f t="shared" si="117"/>
        <v>2.9401474189915895</v>
      </c>
      <c r="DW39" s="5">
        <f t="shared" si="71"/>
        <v>0.93286552902232134</v>
      </c>
      <c r="DX39" s="5">
        <f t="shared" si="118"/>
        <v>2.0072818899692679</v>
      </c>
      <c r="DY39" s="173">
        <f t="shared" si="119"/>
        <v>0.3172852908655428</v>
      </c>
      <c r="EA39" s="5">
        <f t="shared" si="72"/>
        <v>1.3215594994482887</v>
      </c>
      <c r="EB39" s="5">
        <f t="shared" si="73"/>
        <v>0.17620793325977185</v>
      </c>
      <c r="EC39" s="5">
        <f t="shared" si="74"/>
        <v>0.56872986882462595</v>
      </c>
      <c r="ED39" s="5"/>
      <c r="EE39" s="173">
        <f t="shared" si="120"/>
        <v>0.72810603250227124</v>
      </c>
      <c r="EF39" s="173">
        <f t="shared" si="75"/>
        <v>0.71238558604761937</v>
      </c>
      <c r="EG39" s="173">
        <f t="shared" si="76"/>
        <v>7.1334826927200792E-2</v>
      </c>
      <c r="EH39" s="173"/>
      <c r="EI39" s="528">
        <f t="shared" si="77"/>
        <v>2.1205535782647941E-2</v>
      </c>
      <c r="EJ39" s="528">
        <f t="shared" si="78"/>
        <v>0.84757796767074811</v>
      </c>
      <c r="EK39" s="528">
        <f t="shared" si="79"/>
        <v>6.8023799999999968E-2</v>
      </c>
      <c r="EL39" s="528">
        <f t="shared" si="80"/>
        <v>9.7508058915657447E-2</v>
      </c>
      <c r="EM39">
        <f t="shared" si="81"/>
        <v>1.0800000000000001E-2</v>
      </c>
      <c r="EN39" s="460">
        <f t="shared" si="121"/>
        <v>78.823799999999977</v>
      </c>
      <c r="EO39">
        <f t="shared" si="82"/>
        <v>1.0561622622571196</v>
      </c>
      <c r="EP39" s="460">
        <f t="shared" si="122"/>
        <v>1056.1622622571197</v>
      </c>
      <c r="EQ39" s="173">
        <f t="shared" si="83"/>
        <v>0.29511999999999999</v>
      </c>
      <c r="ER39" s="173">
        <f t="shared" si="170"/>
        <v>2.1080000000000002E-2</v>
      </c>
      <c r="ES39" s="528"/>
      <c r="EU39" s="460">
        <f t="shared" si="123"/>
        <v>316.2</v>
      </c>
      <c r="EV39" s="528">
        <f t="shared" si="85"/>
        <v>1.5904151836985955E-2</v>
      </c>
      <c r="EW39" s="528">
        <f t="shared" si="124"/>
        <v>1.5224796696252301E-2</v>
      </c>
      <c r="EX39" s="528">
        <f t="shared" si="86"/>
        <v>2.5443287663668456E-5</v>
      </c>
      <c r="EY39" s="528">
        <f t="shared" si="87"/>
        <v>0.80006073351119567</v>
      </c>
      <c r="EZ39" s="528">
        <f t="shared" si="88"/>
        <v>0.84078771776892003</v>
      </c>
      <c r="FA39" s="625">
        <f t="shared" si="89"/>
        <v>0.3409741563428571</v>
      </c>
      <c r="FB39" s="460">
        <f t="shared" si="125"/>
        <v>1181.7618741117769</v>
      </c>
      <c r="FC39" s="173">
        <f t="shared" si="126"/>
        <v>2.5541241363688965</v>
      </c>
      <c r="FD39" s="5">
        <f t="shared" si="127"/>
        <v>8.7720000000000002</v>
      </c>
      <c r="FE39" s="173">
        <f t="shared" si="128"/>
        <v>0.774492659128868</v>
      </c>
      <c r="FF39" s="5">
        <f t="shared" si="129"/>
        <v>77.449265912886801</v>
      </c>
      <c r="FG39">
        <f t="shared" si="130"/>
        <v>34</v>
      </c>
      <c r="FI39" s="562">
        <f t="shared" si="90"/>
        <v>-50</v>
      </c>
      <c r="FJ39">
        <f t="shared" si="91"/>
        <v>-50</v>
      </c>
      <c r="FL39">
        <f t="shared" si="92"/>
        <v>0.46063934183649663</v>
      </c>
    </row>
    <row r="40" spans="5:168">
      <c r="E40" s="170">
        <v>35</v>
      </c>
      <c r="F40" s="217">
        <f t="shared" ref="F40:F71" si="174">IF(PLOT_TYPE=1, E40/100*Iout_max, min_I*EXP(O40*rr/100))</f>
        <v>0.35</v>
      </c>
      <c r="G40" s="217">
        <f t="shared" si="171"/>
        <v>3.4999999999999996E-2</v>
      </c>
      <c r="H40" s="217">
        <f t="shared" si="135"/>
        <v>8.3999999999999986</v>
      </c>
      <c r="I40" s="217">
        <f t="shared" ref="I40:I71" si="175">Vout2*G40</f>
        <v>0.62999999999999989</v>
      </c>
      <c r="J40" s="541">
        <f t="shared" si="136"/>
        <v>23.901234528469832</v>
      </c>
      <c r="K40" s="443">
        <f t="shared" si="137"/>
        <v>16.489672056732523</v>
      </c>
      <c r="L40" s="172">
        <f t="shared" si="138"/>
        <v>40.390906585202359</v>
      </c>
      <c r="M40" s="443"/>
      <c r="N40" s="217">
        <f t="shared" si="139"/>
        <v>0.40825209065185208</v>
      </c>
      <c r="O40" s="172">
        <f t="shared" si="172"/>
        <v>50.427539872909783</v>
      </c>
      <c r="P40" s="172">
        <f t="shared" si="140"/>
        <v>4.0657204022533513</v>
      </c>
      <c r="Q40" s="217">
        <f t="shared" si="6"/>
        <v>2.1011474947045743</v>
      </c>
      <c r="R40" s="217">
        <f t="shared" si="141"/>
        <v>2.8015299929394324</v>
      </c>
      <c r="S40" s="443">
        <f t="shared" si="142"/>
        <v>24</v>
      </c>
      <c r="T40" s="217">
        <f t="shared" si="143"/>
        <v>1.8508405043862346</v>
      </c>
      <c r="U40" s="217">
        <f t="shared" si="10"/>
        <v>0.77437025362920719</v>
      </c>
      <c r="V40" s="217">
        <f t="shared" si="11"/>
        <v>1.1224240834010768</v>
      </c>
      <c r="W40" s="197">
        <f t="shared" si="12"/>
        <v>350</v>
      </c>
      <c r="X40" s="443">
        <f t="shared" si="95"/>
        <v>350</v>
      </c>
      <c r="Z40" s="217">
        <f t="shared" si="13"/>
        <v>2.7879225615451553</v>
      </c>
      <c r="AA40" s="173">
        <f t="shared" si="14"/>
        <v>1.6907083124232796</v>
      </c>
      <c r="AB40" s="173">
        <f t="shared" si="144"/>
        <v>0.55019074029749604</v>
      </c>
      <c r="AC40" s="173"/>
      <c r="AD40" s="173">
        <f t="shared" si="16"/>
        <v>1.3476448861910009</v>
      </c>
      <c r="AE40" s="545">
        <f t="shared" si="145"/>
        <v>350.43643388933043</v>
      </c>
      <c r="AF40" s="528">
        <f t="shared" si="146"/>
        <v>0.34956410964587692</v>
      </c>
      <c r="AH40" s="173">
        <f t="shared" si="147"/>
        <v>2.2715633383201093</v>
      </c>
      <c r="AI40" s="173">
        <f t="shared" si="148"/>
        <v>2.2715633383201093</v>
      </c>
      <c r="AJ40" s="173">
        <f t="shared" si="149"/>
        <v>1.2365489748873235</v>
      </c>
      <c r="AL40" s="545">
        <f t="shared" si="150"/>
        <v>350</v>
      </c>
      <c r="AM40" s="460">
        <f t="shared" si="151"/>
        <v>350</v>
      </c>
      <c r="AO40">
        <f t="shared" si="96"/>
        <v>350</v>
      </c>
      <c r="AP40" s="460">
        <f t="shared" si="24"/>
        <v>350</v>
      </c>
      <c r="AQ40" s="460"/>
      <c r="AR40" s="5">
        <f t="shared" si="97"/>
        <v>2.8571428571428572</v>
      </c>
      <c r="AS40" s="5">
        <f t="shared" si="25"/>
        <v>0.95039581977004095</v>
      </c>
      <c r="AT40" s="5">
        <f t="shared" si="98"/>
        <v>1.9067470373728161</v>
      </c>
      <c r="AU40" s="173">
        <f t="shared" si="99"/>
        <v>0.33263853691951434</v>
      </c>
      <c r="AW40" s="5">
        <f t="shared" si="152"/>
        <v>1.3859939038313098</v>
      </c>
      <c r="AX40" s="5">
        <f t="shared" si="153"/>
        <v>0.18479918717750796</v>
      </c>
      <c r="AY40" s="5">
        <f t="shared" si="28"/>
        <v>0.55843263015185363</v>
      </c>
      <c r="AZ40" s="5"/>
      <c r="BA40" s="173">
        <f t="shared" si="100"/>
        <v>0.75639823076311097</v>
      </c>
      <c r="BB40" s="173">
        <f t="shared" si="154"/>
        <v>0.71461251821618155</v>
      </c>
      <c r="BC40" s="173">
        <f t="shared" si="155"/>
        <v>7.1557821080836539E-2</v>
      </c>
      <c r="BD40" s="173"/>
      <c r="BE40" s="528">
        <f t="shared" si="31"/>
        <v>2.2885531340062579E-2</v>
      </c>
      <c r="BF40" s="528">
        <f t="shared" si="156"/>
        <v>0.72253520797860638</v>
      </c>
      <c r="BG40" s="528">
        <f t="shared" si="157"/>
        <v>0.33461728339857766</v>
      </c>
      <c r="BH40" s="528">
        <f t="shared" si="34"/>
        <v>9.992480175494077E-2</v>
      </c>
      <c r="BI40">
        <f t="shared" si="35"/>
        <v>1.0755555537811424E-2</v>
      </c>
      <c r="BJ40" s="460">
        <f t="shared" si="101"/>
        <v>345.37283893638909</v>
      </c>
      <c r="BK40">
        <f t="shared" si="158"/>
        <v>0.85618020192473476</v>
      </c>
      <c r="BL40" s="460">
        <f t="shared" si="102"/>
        <v>856.18020192473477</v>
      </c>
      <c r="BM40" s="173">
        <f t="shared" si="159"/>
        <v>0.30379999999999996</v>
      </c>
      <c r="BN40" s="173">
        <f t="shared" si="160"/>
        <v>2.1699999999999997E-2</v>
      </c>
      <c r="BO40" s="528"/>
      <c r="BQ40" s="460">
        <f t="shared" si="103"/>
        <v>325.49999999999994</v>
      </c>
      <c r="BR40" s="528">
        <f t="shared" si="39"/>
        <v>1.7164148505046935E-2</v>
      </c>
      <c r="BS40" s="528">
        <f t="shared" si="104"/>
        <v>1.5320131535738172E-2</v>
      </c>
      <c r="BT40" s="528">
        <f t="shared" si="161"/>
        <v>2.5602608789185069E-5</v>
      </c>
      <c r="BU40" s="528">
        <f t="shared" si="41"/>
        <v>0.8911529359604442</v>
      </c>
      <c r="BV40" s="528">
        <f t="shared" si="162"/>
        <v>0.93389405333239406</v>
      </c>
      <c r="BW40" s="625">
        <f t="shared" si="163"/>
        <v>0.36120000000000002</v>
      </c>
      <c r="BX40" s="460">
        <f t="shared" si="105"/>
        <v>1295.094053332394</v>
      </c>
      <c r="BY40" s="173">
        <f t="shared" si="106"/>
        <v>2.476774255257129</v>
      </c>
      <c r="BZ40" s="5">
        <f t="shared" si="107"/>
        <v>9.0299999999999976</v>
      </c>
      <c r="CA40" s="173">
        <f t="shared" si="108"/>
        <v>0.78475511900083028</v>
      </c>
      <c r="CB40" s="5">
        <f t="shared" si="109"/>
        <v>78.475511900083035</v>
      </c>
      <c r="CC40">
        <f t="shared" si="173"/>
        <v>35</v>
      </c>
      <c r="CE40" s="562">
        <f t="shared" si="164"/>
        <v>-50</v>
      </c>
      <c r="CF40">
        <f t="shared" si="165"/>
        <v>-50</v>
      </c>
      <c r="CG40" s="173">
        <f t="shared" si="166"/>
        <v>0.47410459672689342</v>
      </c>
      <c r="CH40" s="173">
        <f t="shared" si="167"/>
        <v>0.1292248745427515</v>
      </c>
      <c r="CI40" s="170">
        <v>35</v>
      </c>
      <c r="CJ40" s="217">
        <f t="shared" si="133"/>
        <v>0.35</v>
      </c>
      <c r="CK40" s="217">
        <f t="shared" si="111"/>
        <v>3.4999999999999996E-2</v>
      </c>
      <c r="CL40" s="217">
        <f t="shared" si="48"/>
        <v>8.3999999999999986</v>
      </c>
      <c r="CM40" s="217">
        <f t="shared" si="134"/>
        <v>0.62999999999999989</v>
      </c>
      <c r="CN40" s="541">
        <f t="shared" si="112"/>
        <v>24</v>
      </c>
      <c r="CO40" s="443">
        <f t="shared" si="168"/>
        <v>16.474900000000002</v>
      </c>
      <c r="CP40" s="443">
        <f t="shared" si="169"/>
        <v>40.474900000000005</v>
      </c>
      <c r="CQ40" s="443"/>
      <c r="CR40" s="217">
        <f t="shared" si="113"/>
        <v>0.40507913686898112</v>
      </c>
      <c r="CS40" s="172">
        <f t="shared" si="114"/>
        <v>50.242373565144938</v>
      </c>
      <c r="CT40" s="172">
        <f t="shared" si="51"/>
        <v>4.0507913686898105</v>
      </c>
      <c r="CU40" s="217">
        <f t="shared" si="52"/>
        <v>2.0934322318810392</v>
      </c>
      <c r="CV40" s="217">
        <f t="shared" si="53"/>
        <v>2.7912429758413855</v>
      </c>
      <c r="CW40" s="443">
        <f t="shared" si="54"/>
        <v>24</v>
      </c>
      <c r="CX40" s="217">
        <f t="shared" si="55"/>
        <v>1.8576617048618542</v>
      </c>
      <c r="CY40" s="217">
        <f t="shared" si="56"/>
        <v>0.77402571035910595</v>
      </c>
      <c r="CZ40" s="217">
        <f t="shared" si="57"/>
        <v>1.1275708531534967</v>
      </c>
      <c r="DA40" s="197">
        <f t="shared" si="58"/>
        <v>350</v>
      </c>
      <c r="DB40" s="443">
        <f t="shared" si="115"/>
        <v>350</v>
      </c>
      <c r="DD40" s="217">
        <f t="shared" si="59"/>
        <v>2.7911308701724487</v>
      </c>
      <c r="DE40" s="173">
        <f t="shared" si="60"/>
        <v>1.6941716612376698</v>
      </c>
      <c r="DF40" s="173">
        <f t="shared" si="61"/>
        <v>0.55195223422072148</v>
      </c>
      <c r="DG40" s="173"/>
      <c r="DH40" s="173">
        <f t="shared" si="62"/>
        <v>1.3488532386977903</v>
      </c>
      <c r="DI40" s="545">
        <f t="shared" si="63"/>
        <v>350.12249999999989</v>
      </c>
      <c r="DJ40" s="528">
        <f t="shared" si="64"/>
        <v>0.34987754285999911</v>
      </c>
      <c r="DL40" s="173">
        <f t="shared" si="65"/>
        <v>2.2715633383201093</v>
      </c>
      <c r="DM40" s="173">
        <f t="shared" si="66"/>
        <v>2.2715633383201093</v>
      </c>
      <c r="DN40" s="173">
        <f t="shared" si="67"/>
        <v>1.2365489748873235</v>
      </c>
      <c r="DP40" s="545">
        <f t="shared" si="68"/>
        <v>350</v>
      </c>
      <c r="DQ40" s="460">
        <f t="shared" si="69"/>
        <v>350</v>
      </c>
      <c r="DS40">
        <f t="shared" si="116"/>
        <v>350</v>
      </c>
      <c r="DT40" s="460">
        <f t="shared" si="70"/>
        <v>350</v>
      </c>
      <c r="DU40" s="460"/>
      <c r="DV40" s="5">
        <f t="shared" si="117"/>
        <v>2.8571428571428572</v>
      </c>
      <c r="DW40" s="5">
        <f t="shared" si="71"/>
        <v>0.9464847243000456</v>
      </c>
      <c r="DX40" s="5">
        <f t="shared" si="118"/>
        <v>1.9106581328428116</v>
      </c>
      <c r="DY40" s="173">
        <f t="shared" si="119"/>
        <v>0.33126965350501597</v>
      </c>
      <c r="EA40" s="5">
        <f t="shared" si="72"/>
        <v>1.3802902229375664</v>
      </c>
      <c r="EB40" s="5">
        <f t="shared" si="73"/>
        <v>0.18403869639167553</v>
      </c>
      <c r="EC40" s="5">
        <f t="shared" si="74"/>
        <v>0.55727528874581977</v>
      </c>
      <c r="ED40" s="5"/>
      <c r="EE40" s="173">
        <f t="shared" si="120"/>
        <v>0.75484025066806504</v>
      </c>
      <c r="EF40" s="173">
        <f t="shared" si="75"/>
        <v>0.71534504486262296</v>
      </c>
      <c r="EG40" s="173">
        <f t="shared" si="76"/>
        <v>7.1631172735568044E-2</v>
      </c>
      <c r="EH40" s="173"/>
      <c r="EI40" s="528">
        <f t="shared" si="77"/>
        <v>2.2791352161145091E-2</v>
      </c>
      <c r="EJ40" s="528">
        <f t="shared" si="78"/>
        <v>0.88493500251091128</v>
      </c>
      <c r="EK40" s="528">
        <f t="shared" si="79"/>
        <v>6.9999999999999993E-2</v>
      </c>
      <c r="EL40" s="528">
        <f t="shared" si="80"/>
        <v>0.10034082371311252</v>
      </c>
      <c r="EM40">
        <f t="shared" si="81"/>
        <v>1.0800000000000001E-2</v>
      </c>
      <c r="EN40" s="460">
        <f t="shared" si="121"/>
        <v>80.8</v>
      </c>
      <c r="EO40">
        <f t="shared" si="82"/>
        <v>1.1009829139700875</v>
      </c>
      <c r="EP40" s="460">
        <f t="shared" si="122"/>
        <v>1100.9829139700876</v>
      </c>
      <c r="EQ40" s="173">
        <f t="shared" si="83"/>
        <v>0.30379999999999996</v>
      </c>
      <c r="ER40" s="173">
        <f t="shared" si="170"/>
        <v>2.1699999999999997E-2</v>
      </c>
      <c r="ES40" s="528"/>
      <c r="EU40" s="460">
        <f t="shared" si="123"/>
        <v>325.49999999999994</v>
      </c>
      <c r="EV40" s="528">
        <f t="shared" si="85"/>
        <v>1.7093514120858817E-2</v>
      </c>
      <c r="EW40" s="528">
        <f t="shared" si="124"/>
        <v>1.5351555996285243E-2</v>
      </c>
      <c r="EX40" s="528">
        <f t="shared" si="86"/>
        <v>2.5655124537363933E-5</v>
      </c>
      <c r="EY40" s="528">
        <f t="shared" si="87"/>
        <v>0.8911529359604442</v>
      </c>
      <c r="EZ40" s="528">
        <f t="shared" si="88"/>
        <v>0.93384243855944804</v>
      </c>
      <c r="FA40" s="625">
        <f t="shared" si="89"/>
        <v>0.36120000000000002</v>
      </c>
      <c r="FB40" s="460">
        <f t="shared" si="125"/>
        <v>1295.0424385594481</v>
      </c>
      <c r="FC40" s="173">
        <f t="shared" si="126"/>
        <v>2.721525352529536</v>
      </c>
      <c r="FD40" s="5">
        <f t="shared" si="127"/>
        <v>9.0299999999999976</v>
      </c>
      <c r="FE40" s="173">
        <f t="shared" si="128"/>
        <v>0.7684108853202003</v>
      </c>
      <c r="FF40" s="5">
        <f t="shared" si="129"/>
        <v>76.841088532020024</v>
      </c>
      <c r="FG40">
        <f t="shared" si="130"/>
        <v>35</v>
      </c>
      <c r="FI40" s="562">
        <f t="shared" si="90"/>
        <v>-50</v>
      </c>
      <c r="FJ40">
        <f t="shared" si="91"/>
        <v>-50</v>
      </c>
      <c r="FL40">
        <f t="shared" si="92"/>
        <v>0.47410459672689348</v>
      </c>
    </row>
    <row r="41" spans="5:168">
      <c r="E41" s="170">
        <v>36</v>
      </c>
      <c r="F41" s="217">
        <f t="shared" si="174"/>
        <v>0.36</v>
      </c>
      <c r="G41" s="217">
        <f t="shared" si="171"/>
        <v>3.5999999999999997E-2</v>
      </c>
      <c r="H41" s="217">
        <f t="shared" si="135"/>
        <v>8.64</v>
      </c>
      <c r="I41" s="217">
        <f t="shared" si="175"/>
        <v>0.64799999999999991</v>
      </c>
      <c r="J41" s="541">
        <f t="shared" si="136"/>
        <v>23.899833529819212</v>
      </c>
      <c r="K41" s="443">
        <f t="shared" si="137"/>
        <v>16.489881599918302</v>
      </c>
      <c r="L41" s="172">
        <f t="shared" si="138"/>
        <v>40.38971512973751</v>
      </c>
      <c r="M41" s="443"/>
      <c r="N41" s="217">
        <f t="shared" si="139"/>
        <v>0.40826932170604463</v>
      </c>
      <c r="O41" s="172">
        <f t="shared" si="172"/>
        <v>50.426712269285126</v>
      </c>
      <c r="P41" s="172">
        <f t="shared" si="140"/>
        <v>4.0656536767111131</v>
      </c>
      <c r="Q41" s="217">
        <f t="shared" si="6"/>
        <v>2.1011130112202134</v>
      </c>
      <c r="R41" s="217">
        <f t="shared" si="141"/>
        <v>2.8014840149602849</v>
      </c>
      <c r="S41" s="443">
        <f t="shared" si="142"/>
        <v>24</v>
      </c>
      <c r="T41" s="217">
        <f t="shared" si="143"/>
        <v>1.9037529055502898</v>
      </c>
      <c r="U41" s="217">
        <f t="shared" si="10"/>
        <v>0.79655488109363859</v>
      </c>
      <c r="V41" s="217">
        <f t="shared" si="11"/>
        <v>1.154497619655269</v>
      </c>
      <c r="W41" s="197">
        <f t="shared" si="12"/>
        <v>350</v>
      </c>
      <c r="X41" s="443">
        <f t="shared" si="95"/>
        <v>350</v>
      </c>
      <c r="Z41" s="217">
        <f t="shared" si="13"/>
        <v>2.7878768068876205</v>
      </c>
      <c r="AA41" s="173">
        <f t="shared" si="14"/>
        <v>1.6906590808398727</v>
      </c>
      <c r="AB41" s="173">
        <f t="shared" si="144"/>
        <v>0.55016569001885607</v>
      </c>
      <c r="AC41" s="173"/>
      <c r="AD41" s="173">
        <f t="shared" si="16"/>
        <v>1.3476277611558063</v>
      </c>
      <c r="AE41" s="545">
        <f t="shared" si="145"/>
        <v>360.45348384828895</v>
      </c>
      <c r="AF41" s="528">
        <f t="shared" si="146"/>
        <v>0.34955966760202556</v>
      </c>
      <c r="AH41" s="173">
        <f t="shared" si="147"/>
        <v>2.3037857043198637</v>
      </c>
      <c r="AI41" s="173">
        <f t="shared" si="148"/>
        <v>2.3037857043198637</v>
      </c>
      <c r="AJ41" s="173">
        <f t="shared" si="149"/>
        <v>1.260417394146401</v>
      </c>
      <c r="AL41" s="545">
        <f t="shared" si="150"/>
        <v>360</v>
      </c>
      <c r="AM41" s="460">
        <f t="shared" si="151"/>
        <v>350</v>
      </c>
      <c r="AO41">
        <f t="shared" si="96"/>
        <v>360</v>
      </c>
      <c r="AP41" s="460">
        <f t="shared" si="24"/>
        <v>350</v>
      </c>
      <c r="AQ41" s="460"/>
      <c r="AR41" s="5">
        <f t="shared" si="97"/>
        <v>2.8571428571428572</v>
      </c>
      <c r="AS41" s="5">
        <f t="shared" si="25"/>
        <v>0.96393378700545729</v>
      </c>
      <c r="AT41" s="5">
        <f t="shared" si="98"/>
        <v>1.8932090701374</v>
      </c>
      <c r="AU41" s="173">
        <f t="shared" si="99"/>
        <v>0.33737682545191006</v>
      </c>
      <c r="AW41" s="5">
        <f t="shared" si="152"/>
        <v>1.4459006805081858</v>
      </c>
      <c r="AX41" s="5">
        <f t="shared" si="153"/>
        <v>0.19278675740109147</v>
      </c>
      <c r="AY41" s="5">
        <f t="shared" si="28"/>
        <v>0.57034310669913657</v>
      </c>
      <c r="AZ41" s="5"/>
      <c r="BA41" s="173">
        <f t="shared" si="100"/>
        <v>0.77257219786488507</v>
      </c>
      <c r="BB41" s="173">
        <f t="shared" si="154"/>
        <v>0.72217191685269666</v>
      </c>
      <c r="BC41" s="173">
        <f t="shared" si="155"/>
        <v>7.2314782484844339E-2</v>
      </c>
      <c r="BD41" s="173"/>
      <c r="BE41" s="528">
        <f t="shared" si="31"/>
        <v>2.3874712036551164E-2</v>
      </c>
      <c r="BF41" s="528">
        <f t="shared" si="156"/>
        <v>0.73276283049984769</v>
      </c>
      <c r="BG41" s="528">
        <f t="shared" si="157"/>
        <v>0.33459766941746899</v>
      </c>
      <c r="BH41" s="528">
        <f t="shared" si="34"/>
        <v>9.9918906656007514E-2</v>
      </c>
      <c r="BI41">
        <f t="shared" si="35"/>
        <v>1.0754925088418644E-2</v>
      </c>
      <c r="BJ41" s="460">
        <f t="shared" si="101"/>
        <v>345.35259450588762</v>
      </c>
      <c r="BK41">
        <f t="shared" si="158"/>
        <v>0.86792604614061686</v>
      </c>
      <c r="BL41" s="460">
        <f t="shared" si="102"/>
        <v>867.9260461406169</v>
      </c>
      <c r="BM41" s="173">
        <f t="shared" si="159"/>
        <v>0.31247999999999998</v>
      </c>
      <c r="BN41" s="173">
        <f t="shared" si="160"/>
        <v>2.232E-2</v>
      </c>
      <c r="BO41" s="528"/>
      <c r="BQ41" s="460">
        <f t="shared" si="103"/>
        <v>334.8</v>
      </c>
      <c r="BR41" s="528">
        <f t="shared" si="39"/>
        <v>1.7906034027413371E-2</v>
      </c>
      <c r="BS41" s="528">
        <f t="shared" si="104"/>
        <v>1.5645968324720944E-2</v>
      </c>
      <c r="BT41" s="528">
        <f t="shared" si="161"/>
        <v>2.6147138829151749E-5</v>
      </c>
      <c r="BU41" s="528">
        <f t="shared" si="41"/>
        <v>0.92309269207849998</v>
      </c>
      <c r="BV41" s="528">
        <f t="shared" si="162"/>
        <v>0.96732808440930296</v>
      </c>
      <c r="BW41" s="625">
        <f t="shared" si="163"/>
        <v>0.37152000000000002</v>
      </c>
      <c r="BX41" s="460">
        <f t="shared" si="105"/>
        <v>1338.8480844093028</v>
      </c>
      <c r="BY41" s="173">
        <f t="shared" si="106"/>
        <v>2.5415741305499195</v>
      </c>
      <c r="BZ41" s="5">
        <f t="shared" si="107"/>
        <v>9.2880000000000003</v>
      </c>
      <c r="CA41" s="173">
        <f t="shared" si="108"/>
        <v>0.78515083446780265</v>
      </c>
      <c r="CB41" s="5">
        <f t="shared" si="109"/>
        <v>78.515083446780267</v>
      </c>
      <c r="CC41">
        <f t="shared" si="173"/>
        <v>36</v>
      </c>
      <c r="CE41" s="562">
        <f t="shared" si="164"/>
        <v>-50</v>
      </c>
      <c r="CF41">
        <f t="shared" si="165"/>
        <v>-50</v>
      </c>
      <c r="CG41" s="173">
        <f t="shared" si="166"/>
        <v>0.48082982053209783</v>
      </c>
      <c r="CH41" s="173">
        <f t="shared" si="167"/>
        <v>0.13105794304387827</v>
      </c>
      <c r="CI41" s="170">
        <v>36</v>
      </c>
      <c r="CJ41" s="217">
        <f t="shared" si="133"/>
        <v>0.36</v>
      </c>
      <c r="CK41" s="217">
        <f t="shared" si="111"/>
        <v>3.5999999999999997E-2</v>
      </c>
      <c r="CL41" s="217">
        <f t="shared" si="48"/>
        <v>8.64</v>
      </c>
      <c r="CM41" s="217">
        <f t="shared" si="134"/>
        <v>0.64799999999999991</v>
      </c>
      <c r="CN41" s="541">
        <f t="shared" si="112"/>
        <v>24</v>
      </c>
      <c r="CO41" s="443">
        <f t="shared" si="168"/>
        <v>16.474900000000002</v>
      </c>
      <c r="CP41" s="443">
        <f t="shared" si="169"/>
        <v>40.474900000000005</v>
      </c>
      <c r="CQ41" s="443"/>
      <c r="CR41" s="217">
        <f t="shared" si="113"/>
        <v>0.40507913686898112</v>
      </c>
      <c r="CS41" s="172">
        <f t="shared" si="114"/>
        <v>50.242373565144938</v>
      </c>
      <c r="CT41" s="172">
        <f t="shared" si="51"/>
        <v>4.0507913686898105</v>
      </c>
      <c r="CU41" s="217">
        <f t="shared" si="52"/>
        <v>2.0934322318810392</v>
      </c>
      <c r="CV41" s="217">
        <f t="shared" si="53"/>
        <v>2.7912429758413855</v>
      </c>
      <c r="CW41" s="443">
        <f t="shared" si="54"/>
        <v>24</v>
      </c>
      <c r="CX41" s="217">
        <f t="shared" si="55"/>
        <v>1.9107377535721934</v>
      </c>
      <c r="CY41" s="217">
        <f t="shared" si="56"/>
        <v>0.79614073065508062</v>
      </c>
      <c r="CZ41" s="217">
        <f t="shared" si="57"/>
        <v>1.1597871632435968</v>
      </c>
      <c r="DA41" s="197">
        <f t="shared" si="58"/>
        <v>350</v>
      </c>
      <c r="DB41" s="443">
        <f t="shared" si="115"/>
        <v>350</v>
      </c>
      <c r="DD41" s="217">
        <f t="shared" si="59"/>
        <v>2.7911308701724487</v>
      </c>
      <c r="DE41" s="173">
        <f t="shared" si="60"/>
        <v>1.6941716612376698</v>
      </c>
      <c r="DF41" s="173">
        <f t="shared" si="61"/>
        <v>0.55195223422072148</v>
      </c>
      <c r="DG41" s="173"/>
      <c r="DH41" s="173">
        <f t="shared" si="62"/>
        <v>1.3488532386977903</v>
      </c>
      <c r="DI41" s="545">
        <f t="shared" si="63"/>
        <v>360.12599999999992</v>
      </c>
      <c r="DJ41" s="528">
        <f t="shared" si="64"/>
        <v>0.34987754285999911</v>
      </c>
      <c r="DL41" s="173">
        <f t="shared" si="65"/>
        <v>2.3037857043198637</v>
      </c>
      <c r="DM41" s="173">
        <f t="shared" si="66"/>
        <v>2.3037857043198637</v>
      </c>
      <c r="DN41" s="173">
        <f t="shared" si="67"/>
        <v>1.260417394146401</v>
      </c>
      <c r="DP41" s="545">
        <f t="shared" si="68"/>
        <v>360</v>
      </c>
      <c r="DQ41" s="460">
        <f t="shared" si="69"/>
        <v>350</v>
      </c>
      <c r="DS41">
        <f t="shared" si="116"/>
        <v>360</v>
      </c>
      <c r="DT41" s="460">
        <f t="shared" si="70"/>
        <v>350</v>
      </c>
      <c r="DU41" s="460"/>
      <c r="DV41" s="5">
        <f t="shared" si="117"/>
        <v>2.8571428571428572</v>
      </c>
      <c r="DW41" s="5">
        <f t="shared" si="71"/>
        <v>0.95991071013327667</v>
      </c>
      <c r="DX41" s="5">
        <f t="shared" si="118"/>
        <v>1.8972321470095805</v>
      </c>
      <c r="DY41" s="173">
        <f t="shared" si="119"/>
        <v>0.33596874854664682</v>
      </c>
      <c r="EA41" s="5">
        <f t="shared" si="72"/>
        <v>1.4398660651999151</v>
      </c>
      <c r="EB41" s="5">
        <f t="shared" si="73"/>
        <v>0.19198214202665531</v>
      </c>
      <c r="EC41" s="5">
        <f t="shared" si="74"/>
        <v>0.56916964410287407</v>
      </c>
      <c r="ED41" s="5"/>
      <c r="EE41" s="173">
        <f t="shared" si="120"/>
        <v>0.77095830737759408</v>
      </c>
      <c r="EF41" s="173">
        <f t="shared" si="75"/>
        <v>0.72293881876232469</v>
      </c>
      <c r="EG41" s="173">
        <f t="shared" si="76"/>
        <v>7.2391576311200342E-2</v>
      </c>
      <c r="EH41" s="173"/>
      <c r="EI41" s="528">
        <f t="shared" si="77"/>
        <v>2.377506846858099E-2</v>
      </c>
      <c r="EJ41" s="528">
        <f t="shared" si="78"/>
        <v>0.89748789903634474</v>
      </c>
      <c r="EK41" s="528">
        <f t="shared" si="79"/>
        <v>6.9999999999999993E-2</v>
      </c>
      <c r="EL41" s="528">
        <f t="shared" si="80"/>
        <v>0.10034082371311252</v>
      </c>
      <c r="EM41">
        <f t="shared" si="81"/>
        <v>1.0800000000000001E-2</v>
      </c>
      <c r="EN41" s="460">
        <f t="shared" si="121"/>
        <v>80.8</v>
      </c>
      <c r="EO41">
        <f t="shared" si="82"/>
        <v>1.1151223370200014</v>
      </c>
      <c r="EP41" s="460">
        <f t="shared" si="122"/>
        <v>1115.1223370200014</v>
      </c>
      <c r="EQ41" s="173">
        <f t="shared" si="83"/>
        <v>0.31247999999999998</v>
      </c>
      <c r="ER41" s="173">
        <f t="shared" si="170"/>
        <v>2.232E-2</v>
      </c>
      <c r="ES41" s="528"/>
      <c r="EU41" s="460">
        <f t="shared" si="123"/>
        <v>334.8</v>
      </c>
      <c r="EV41" s="528">
        <f t="shared" si="85"/>
        <v>1.7831301351435742E-2</v>
      </c>
      <c r="EW41" s="528">
        <f t="shared" si="124"/>
        <v>1.567921607020396E-2</v>
      </c>
      <c r="EX41" s="528">
        <f t="shared" si="86"/>
        <v>2.6202701604101714E-5</v>
      </c>
      <c r="EY41" s="528">
        <f t="shared" si="87"/>
        <v>0.92309269207849998</v>
      </c>
      <c r="EZ41" s="528">
        <f t="shared" si="88"/>
        <v>0.96727335910548151</v>
      </c>
      <c r="FA41" s="625">
        <f t="shared" si="89"/>
        <v>0.37152000000000002</v>
      </c>
      <c r="FB41" s="460">
        <f t="shared" si="125"/>
        <v>1338.7933591054814</v>
      </c>
      <c r="FC41" s="173">
        <f t="shared" si="126"/>
        <v>2.7887156961254829</v>
      </c>
      <c r="FD41" s="5">
        <f t="shared" si="127"/>
        <v>9.2880000000000003</v>
      </c>
      <c r="FE41" s="173">
        <f t="shared" si="128"/>
        <v>0.76908327012946298</v>
      </c>
      <c r="FF41" s="5">
        <f t="shared" si="129"/>
        <v>76.908327012946302</v>
      </c>
      <c r="FG41">
        <f t="shared" si="130"/>
        <v>36</v>
      </c>
      <c r="FI41" s="562">
        <f t="shared" si="90"/>
        <v>-50</v>
      </c>
      <c r="FJ41">
        <f t="shared" si="91"/>
        <v>-50</v>
      </c>
      <c r="FL41">
        <f t="shared" si="92"/>
        <v>0.48082982053209788</v>
      </c>
    </row>
    <row r="42" spans="5:168">
      <c r="E42" s="170">
        <v>37</v>
      </c>
      <c r="F42" s="217">
        <f t="shared" si="174"/>
        <v>0.37</v>
      </c>
      <c r="G42" s="217">
        <f t="shared" si="171"/>
        <v>3.6999999999999998E-2</v>
      </c>
      <c r="H42" s="217">
        <f t="shared" si="135"/>
        <v>8.879999999999999</v>
      </c>
      <c r="I42" s="217">
        <f t="shared" si="175"/>
        <v>0.66599999999999993</v>
      </c>
      <c r="J42" s="541">
        <f t="shared" si="136"/>
        <v>23.898451858065343</v>
      </c>
      <c r="K42" s="443">
        <f t="shared" si="137"/>
        <v>16.490088252437825</v>
      </c>
      <c r="L42" s="172">
        <f t="shared" si="138"/>
        <v>40.388540110503172</v>
      </c>
      <c r="M42" s="443"/>
      <c r="N42" s="217">
        <f t="shared" si="139"/>
        <v>0.40828631605205074</v>
      </c>
      <c r="O42" s="172">
        <f t="shared" si="172"/>
        <v>50.425895961120332</v>
      </c>
      <c r="P42" s="172">
        <f t="shared" si="140"/>
        <v>4.0655878618653265</v>
      </c>
      <c r="Q42" s="217">
        <f t="shared" si="6"/>
        <v>2.101078998380014</v>
      </c>
      <c r="R42" s="217">
        <f t="shared" si="141"/>
        <v>2.8014386645066853</v>
      </c>
      <c r="S42" s="443">
        <f t="shared" si="142"/>
        <v>24</v>
      </c>
      <c r="T42" s="217">
        <f t="shared" si="143"/>
        <v>1.9566666052446782</v>
      </c>
      <c r="U42" s="217">
        <f t="shared" si="10"/>
        <v>0.81874199084755139</v>
      </c>
      <c r="V42" s="217">
        <f t="shared" si="11"/>
        <v>1.1865713362421897</v>
      </c>
      <c r="W42" s="197">
        <f t="shared" si="12"/>
        <v>350</v>
      </c>
      <c r="X42" s="443">
        <f t="shared" si="95"/>
        <v>350</v>
      </c>
      <c r="Z42" s="217">
        <f t="shared" si="13"/>
        <v>2.7878316767076528</v>
      </c>
      <c r="AA42" s="173">
        <f t="shared" si="14"/>
        <v>1.6906105255655692</v>
      </c>
      <c r="AB42" s="173">
        <f t="shared" si="144"/>
        <v>0.55014098357576646</v>
      </c>
      <c r="AC42" s="173"/>
      <c r="AD42" s="173">
        <f t="shared" si="16"/>
        <v>1.3476108727882028</v>
      </c>
      <c r="AE42" s="545">
        <f t="shared" si="145"/>
        <v>370.47072333250486</v>
      </c>
      <c r="AF42" s="528">
        <f t="shared" si="146"/>
        <v>0.34955528694711768</v>
      </c>
      <c r="AH42" s="173">
        <f t="shared" si="147"/>
        <v>2.3355635600122602</v>
      </c>
      <c r="AI42" s="173">
        <f t="shared" si="148"/>
        <v>2.3355635600122602</v>
      </c>
      <c r="AJ42" s="173">
        <f t="shared" si="149"/>
        <v>1.2839565465111391</v>
      </c>
      <c r="AL42" s="545">
        <f t="shared" si="150"/>
        <v>370</v>
      </c>
      <c r="AM42" s="460">
        <f t="shared" si="151"/>
        <v>350</v>
      </c>
      <c r="AO42">
        <f t="shared" si="96"/>
        <v>370</v>
      </c>
      <c r="AP42" s="460">
        <f t="shared" si="24"/>
        <v>350</v>
      </c>
      <c r="AQ42" s="460"/>
      <c r="AR42" s="5">
        <f t="shared" si="97"/>
        <v>2.8571428571428572</v>
      </c>
      <c r="AS42" s="5">
        <f t="shared" si="25"/>
        <v>0.97728655139811715</v>
      </c>
      <c r="AT42" s="5">
        <f t="shared" si="98"/>
        <v>1.8798563057447399</v>
      </c>
      <c r="AU42" s="173">
        <f t="shared" si="99"/>
        <v>0.34205029298934098</v>
      </c>
      <c r="AW42" s="5">
        <f t="shared" si="152"/>
        <v>1.5066501000720973</v>
      </c>
      <c r="AX42" s="5">
        <f t="shared" si="153"/>
        <v>0.20088668000961296</v>
      </c>
      <c r="AY42" s="5">
        <f t="shared" si="28"/>
        <v>0.58208526414719841</v>
      </c>
      <c r="AZ42" s="5"/>
      <c r="BA42" s="173">
        <f t="shared" si="100"/>
        <v>0.78863499878572574</v>
      </c>
      <c r="BB42" s="173">
        <f t="shared" si="154"/>
        <v>0.72954695001275871</v>
      </c>
      <c r="BC42" s="173">
        <f t="shared" si="155"/>
        <v>7.3053282426953262E-2</v>
      </c>
      <c r="BD42" s="173"/>
      <c r="BE42" s="528">
        <f t="shared" si="31"/>
        <v>2.4877806452390464E-2</v>
      </c>
      <c r="BF42" s="528">
        <f t="shared" si="156"/>
        <v>0.7428487698779549</v>
      </c>
      <c r="BG42" s="528">
        <f t="shared" si="157"/>
        <v>0.33457832601291482</v>
      </c>
      <c r="BH42" s="528">
        <f t="shared" si="34"/>
        <v>9.9913093050785551E-2</v>
      </c>
      <c r="BI42">
        <f t="shared" si="35"/>
        <v>1.0754303336129404E-2</v>
      </c>
      <c r="BJ42" s="460">
        <f t="shared" si="101"/>
        <v>345.33262934904423</v>
      </c>
      <c r="BK42">
        <f t="shared" si="158"/>
        <v>0.87955570168620589</v>
      </c>
      <c r="BL42" s="460">
        <f t="shared" si="102"/>
        <v>879.55570168620591</v>
      </c>
      <c r="BM42" s="173">
        <f t="shared" si="159"/>
        <v>0.32116</v>
      </c>
      <c r="BN42" s="173">
        <f t="shared" si="160"/>
        <v>2.2939999999999999E-2</v>
      </c>
      <c r="BO42" s="528"/>
      <c r="BQ42" s="460">
        <f t="shared" si="103"/>
        <v>344.1</v>
      </c>
      <c r="BR42" s="528">
        <f t="shared" si="39"/>
        <v>1.8658354839292849E-2</v>
      </c>
      <c r="BS42" s="528">
        <f t="shared" si="104"/>
        <v>1.596716256818756E-2</v>
      </c>
      <c r="BT42" s="528">
        <f t="shared" si="161"/>
        <v>2.6683910366760991E-5</v>
      </c>
      <c r="BU42" s="528">
        <f t="shared" si="41"/>
        <v>0.95525504913610604</v>
      </c>
      <c r="BV42" s="528">
        <f t="shared" si="162"/>
        <v>1.0009987235131232</v>
      </c>
      <c r="BW42" s="625">
        <f t="shared" si="163"/>
        <v>0.38184000000000007</v>
      </c>
      <c r="BX42" s="460">
        <f t="shared" si="105"/>
        <v>1382.8387235131231</v>
      </c>
      <c r="BY42" s="173">
        <f t="shared" si="106"/>
        <v>2.6064944251993292</v>
      </c>
      <c r="BZ42" s="5">
        <f t="shared" si="107"/>
        <v>9.5459999999999994</v>
      </c>
      <c r="CA42" s="173">
        <f t="shared" si="108"/>
        <v>0.78551774360048088</v>
      </c>
      <c r="CB42" s="5">
        <f t="shared" si="109"/>
        <v>78.551774360048086</v>
      </c>
      <c r="CC42">
        <f t="shared" si="173"/>
        <v>37</v>
      </c>
      <c r="CE42" s="562">
        <f t="shared" si="164"/>
        <v>-50</v>
      </c>
      <c r="CF42">
        <f t="shared" si="165"/>
        <v>-50</v>
      </c>
      <c r="CG42" s="173">
        <f t="shared" si="166"/>
        <v>0.48746226929711034</v>
      </c>
      <c r="CH42" s="173">
        <f t="shared" si="167"/>
        <v>0.13286572420754347</v>
      </c>
      <c r="CI42" s="170">
        <v>37</v>
      </c>
      <c r="CJ42" s="217">
        <f t="shared" si="133"/>
        <v>0.37</v>
      </c>
      <c r="CK42" s="217">
        <f t="shared" si="111"/>
        <v>3.6999999999999998E-2</v>
      </c>
      <c r="CL42" s="217">
        <f t="shared" si="48"/>
        <v>8.879999999999999</v>
      </c>
      <c r="CM42" s="217">
        <f t="shared" si="134"/>
        <v>0.66599999999999993</v>
      </c>
      <c r="CN42" s="541">
        <f t="shared" si="112"/>
        <v>24</v>
      </c>
      <c r="CO42" s="443">
        <f t="shared" si="168"/>
        <v>16.474900000000002</v>
      </c>
      <c r="CP42" s="443">
        <f t="shared" si="169"/>
        <v>40.474900000000005</v>
      </c>
      <c r="CQ42" s="443"/>
      <c r="CR42" s="217">
        <f t="shared" si="113"/>
        <v>0.40507913686898112</v>
      </c>
      <c r="CS42" s="172">
        <f t="shared" si="114"/>
        <v>50.242373565144938</v>
      </c>
      <c r="CT42" s="172">
        <f t="shared" si="51"/>
        <v>4.0507913686898105</v>
      </c>
      <c r="CU42" s="217">
        <f t="shared" si="52"/>
        <v>2.0934322318810392</v>
      </c>
      <c r="CV42" s="217">
        <f t="shared" si="53"/>
        <v>2.7912429758413855</v>
      </c>
      <c r="CW42" s="443">
        <f t="shared" si="54"/>
        <v>24</v>
      </c>
      <c r="CX42" s="217">
        <f t="shared" si="55"/>
        <v>1.963813802282532</v>
      </c>
      <c r="CY42" s="217">
        <f t="shared" si="56"/>
        <v>0.81825575095105496</v>
      </c>
      <c r="CZ42" s="217">
        <f t="shared" si="57"/>
        <v>1.1920034733336966</v>
      </c>
      <c r="DA42" s="197">
        <f t="shared" si="58"/>
        <v>350</v>
      </c>
      <c r="DB42" s="443">
        <f t="shared" si="115"/>
        <v>350</v>
      </c>
      <c r="DD42" s="217">
        <f t="shared" si="59"/>
        <v>2.7911308701724487</v>
      </c>
      <c r="DE42" s="173">
        <f t="shared" si="60"/>
        <v>1.6941716612376698</v>
      </c>
      <c r="DF42" s="173">
        <f t="shared" si="61"/>
        <v>0.55195223422072148</v>
      </c>
      <c r="DG42" s="173"/>
      <c r="DH42" s="173">
        <f t="shared" si="62"/>
        <v>1.3488532386977903</v>
      </c>
      <c r="DI42" s="545">
        <f t="shared" si="63"/>
        <v>370.12949999999984</v>
      </c>
      <c r="DJ42" s="528">
        <f t="shared" si="64"/>
        <v>0.34987754285999911</v>
      </c>
      <c r="DL42" s="173">
        <f t="shared" si="65"/>
        <v>2.3355635600122602</v>
      </c>
      <c r="DM42" s="173">
        <f t="shared" si="66"/>
        <v>2.3355635600122602</v>
      </c>
      <c r="DN42" s="173">
        <f t="shared" si="67"/>
        <v>1.2839565465111391</v>
      </c>
      <c r="DP42" s="545">
        <f t="shared" si="68"/>
        <v>370</v>
      </c>
      <c r="DQ42" s="460">
        <f t="shared" si="69"/>
        <v>350</v>
      </c>
      <c r="DS42">
        <f t="shared" si="116"/>
        <v>370</v>
      </c>
      <c r="DT42" s="460">
        <f t="shared" si="70"/>
        <v>350</v>
      </c>
      <c r="DU42" s="460"/>
      <c r="DV42" s="5">
        <f t="shared" si="117"/>
        <v>2.8571428571428572</v>
      </c>
      <c r="DW42" s="5">
        <f t="shared" si="71"/>
        <v>0.9731514833384417</v>
      </c>
      <c r="DX42" s="5">
        <f t="shared" si="118"/>
        <v>1.8839913738044154</v>
      </c>
      <c r="DY42" s="173">
        <f t="shared" si="119"/>
        <v>0.34060301916845459</v>
      </c>
      <c r="EA42" s="5">
        <f t="shared" si="72"/>
        <v>1.5002752034800975</v>
      </c>
      <c r="EB42" s="5">
        <f t="shared" si="73"/>
        <v>0.20003669379734634</v>
      </c>
      <c r="EC42" s="5">
        <f t="shared" si="74"/>
        <v>0.58089734025636131</v>
      </c>
      <c r="ED42" s="5"/>
      <c r="EE42" s="173">
        <f t="shared" si="120"/>
        <v>0.78696480480170417</v>
      </c>
      <c r="EF42" s="173">
        <f t="shared" si="75"/>
        <v>0.73034889140356807</v>
      </c>
      <c r="EG42" s="173">
        <f t="shared" si="76"/>
        <v>7.3133584936492413E-2</v>
      </c>
      <c r="EH42" s="173"/>
      <c r="EI42" s="528">
        <f t="shared" si="77"/>
        <v>2.4772544159863373E-2</v>
      </c>
      <c r="EJ42" s="528">
        <f t="shared" si="78"/>
        <v>0.9098676272757249</v>
      </c>
      <c r="EK42" s="528">
        <f t="shared" si="79"/>
        <v>6.9999999999999993E-2</v>
      </c>
      <c r="EL42" s="528">
        <f t="shared" si="80"/>
        <v>0.10034082371311252</v>
      </c>
      <c r="EM42">
        <f t="shared" si="81"/>
        <v>1.0800000000000001E-2</v>
      </c>
      <c r="EN42" s="460">
        <f t="shared" si="121"/>
        <v>80.8</v>
      </c>
      <c r="EO42">
        <f t="shared" si="82"/>
        <v>1.1291155068198813</v>
      </c>
      <c r="EP42" s="460">
        <f t="shared" si="122"/>
        <v>1129.1155068198814</v>
      </c>
      <c r="EQ42" s="173">
        <f t="shared" si="83"/>
        <v>0.32116</v>
      </c>
      <c r="ER42" s="173">
        <f t="shared" si="170"/>
        <v>2.2939999999999999E-2</v>
      </c>
      <c r="ES42" s="528"/>
      <c r="EU42" s="460">
        <f t="shared" si="123"/>
        <v>344.1</v>
      </c>
      <c r="EV42" s="528">
        <f t="shared" si="85"/>
        <v>1.8579408119897528E-2</v>
      </c>
      <c r="EW42" s="528">
        <f t="shared" si="124"/>
        <v>1.6002285095232625E-2</v>
      </c>
      <c r="EX42" s="528">
        <f t="shared" si="86"/>
        <v>2.6742606228315749E-5</v>
      </c>
      <c r="EY42" s="528">
        <f t="shared" si="87"/>
        <v>0.95525504913610604</v>
      </c>
      <c r="EZ42" s="528">
        <f t="shared" si="88"/>
        <v>1.0009407891595992</v>
      </c>
      <c r="FA42" s="625">
        <f t="shared" si="89"/>
        <v>0.38184000000000007</v>
      </c>
      <c r="FB42" s="460">
        <f t="shared" si="125"/>
        <v>1382.7807891595994</v>
      </c>
      <c r="FC42" s="173">
        <f t="shared" si="126"/>
        <v>2.8559962959794802</v>
      </c>
      <c r="FD42" s="5">
        <f t="shared" si="127"/>
        <v>9.5459999999999994</v>
      </c>
      <c r="FE42" s="173">
        <f t="shared" si="128"/>
        <v>0.76971479205284499</v>
      </c>
      <c r="FF42" s="5">
        <f t="shared" si="129"/>
        <v>76.971479205284496</v>
      </c>
      <c r="FG42">
        <f t="shared" si="130"/>
        <v>37</v>
      </c>
      <c r="FI42" s="562">
        <f t="shared" si="90"/>
        <v>-50</v>
      </c>
      <c r="FJ42">
        <f t="shared" si="91"/>
        <v>-50</v>
      </c>
      <c r="FL42">
        <f t="shared" si="92"/>
        <v>0.4874622692971104</v>
      </c>
    </row>
    <row r="43" spans="5:168">
      <c r="E43" s="170">
        <v>38</v>
      </c>
      <c r="F43" s="217">
        <f t="shared" si="174"/>
        <v>0.38</v>
      </c>
      <c r="G43" s="217">
        <f t="shared" si="171"/>
        <v>3.8000000000000006E-2</v>
      </c>
      <c r="H43" s="217">
        <f t="shared" si="135"/>
        <v>9.120000000000001</v>
      </c>
      <c r="I43" s="217">
        <f t="shared" si="175"/>
        <v>0.68400000000000016</v>
      </c>
      <c r="J43" s="541">
        <f t="shared" si="136"/>
        <v>23.897088734764928</v>
      </c>
      <c r="K43" s="443">
        <f t="shared" si="137"/>
        <v>16.49029213072054</v>
      </c>
      <c r="L43" s="172">
        <f t="shared" si="138"/>
        <v>40.387380865485468</v>
      </c>
      <c r="M43" s="443"/>
      <c r="N43" s="217">
        <f t="shared" si="139"/>
        <v>0.40830308322402087</v>
      </c>
      <c r="O43" s="172">
        <f t="shared" si="172"/>
        <v>50.425090493449801</v>
      </c>
      <c r="P43" s="172">
        <f t="shared" si="140"/>
        <v>4.0655229210343897</v>
      </c>
      <c r="Q43" s="217">
        <f t="shared" si="6"/>
        <v>2.101045437227075</v>
      </c>
      <c r="R43" s="217">
        <f t="shared" si="141"/>
        <v>2.8013939163027666</v>
      </c>
      <c r="S43" s="443">
        <f t="shared" si="142"/>
        <v>24</v>
      </c>
      <c r="T43" s="217">
        <f t="shared" si="143"/>
        <v>2.0095815861053636</v>
      </c>
      <c r="U43" s="217">
        <f t="shared" si="10"/>
        <v>0.84093154961669936</v>
      </c>
      <c r="V43" s="217">
        <f t="shared" si="11"/>
        <v>1.2186452308880689</v>
      </c>
      <c r="W43" s="197">
        <f t="shared" si="12"/>
        <v>350</v>
      </c>
      <c r="X43" s="443">
        <f t="shared" si="95"/>
        <v>350</v>
      </c>
      <c r="Z43" s="217">
        <f t="shared" si="13"/>
        <v>2.7877871458521524</v>
      </c>
      <c r="AA43" s="173">
        <f t="shared" si="14"/>
        <v>1.6905626193599403</v>
      </c>
      <c r="AB43" s="173">
        <f t="shared" si="144"/>
        <v>0.55011660711927979</v>
      </c>
      <c r="AC43" s="173"/>
      <c r="AD43" s="173">
        <f t="shared" si="16"/>
        <v>1.3475942115557435</v>
      </c>
      <c r="AE43" s="545">
        <f t="shared" si="145"/>
        <v>380.48814976280215</v>
      </c>
      <c r="AF43" s="528">
        <f t="shared" si="146"/>
        <v>0.34955096520854256</v>
      </c>
      <c r="AH43" s="173">
        <f t="shared" si="147"/>
        <v>2.3669148092581858</v>
      </c>
      <c r="AI43" s="173">
        <f t="shared" si="148"/>
        <v>2.3669148092581858</v>
      </c>
      <c r="AJ43" s="173">
        <f t="shared" si="149"/>
        <v>1.3071796941007137</v>
      </c>
      <c r="AL43" s="545">
        <f t="shared" si="150"/>
        <v>380</v>
      </c>
      <c r="AM43" s="460">
        <f t="shared" si="151"/>
        <v>350</v>
      </c>
      <c r="AO43">
        <f t="shared" si="96"/>
        <v>380</v>
      </c>
      <c r="AP43" s="460">
        <f t="shared" si="24"/>
        <v>350</v>
      </c>
      <c r="AQ43" s="460"/>
      <c r="AR43" s="5">
        <f t="shared" si="97"/>
        <v>2.8571428571428572</v>
      </c>
      <c r="AS43" s="5">
        <f t="shared" si="25"/>
        <v>0.99046157275838098</v>
      </c>
      <c r="AT43" s="5">
        <f t="shared" si="98"/>
        <v>1.8666812843844762</v>
      </c>
      <c r="AU43" s="173">
        <f t="shared" si="99"/>
        <v>0.34666155046543334</v>
      </c>
      <c r="AW43" s="5">
        <f t="shared" si="152"/>
        <v>1.5682308235341031</v>
      </c>
      <c r="AX43" s="5">
        <f t="shared" si="153"/>
        <v>0.20909744313788048</v>
      </c>
      <c r="AY43" s="5">
        <f t="shared" si="28"/>
        <v>0.59366134171328677</v>
      </c>
      <c r="AZ43" s="5"/>
      <c r="BA43" s="173">
        <f t="shared" si="100"/>
        <v>0.80459038271338901</v>
      </c>
      <c r="BB43" s="173">
        <f t="shared" si="154"/>
        <v>0.73674456763880114</v>
      </c>
      <c r="BC43" s="173">
        <f t="shared" si="155"/>
        <v>7.3774016840588055E-2</v>
      </c>
      <c r="BD43" s="173"/>
      <c r="BE43" s="528">
        <f t="shared" si="31"/>
        <v>2.5894627358195112E-2</v>
      </c>
      <c r="BF43" s="528">
        <f t="shared" si="156"/>
        <v>0.75279873278663745</v>
      </c>
      <c r="BG43" s="528">
        <f t="shared" si="157"/>
        <v>0.33455924228670897</v>
      </c>
      <c r="BH43" s="528">
        <f t="shared" si="34"/>
        <v>9.9907357656894125E-2</v>
      </c>
      <c r="BI43">
        <f t="shared" si="35"/>
        <v>1.0753689930644217E-2</v>
      </c>
      <c r="BJ43" s="460">
        <f t="shared" si="101"/>
        <v>345.31293221735319</v>
      </c>
      <c r="BK43">
        <f t="shared" si="158"/>
        <v>0.89107466058556362</v>
      </c>
      <c r="BL43" s="460">
        <f t="shared" si="102"/>
        <v>891.07466058556361</v>
      </c>
      <c r="BM43" s="173">
        <f t="shared" si="159"/>
        <v>0.32983999999999997</v>
      </c>
      <c r="BN43" s="173">
        <f t="shared" si="160"/>
        <v>2.3560000000000005E-2</v>
      </c>
      <c r="BO43" s="528"/>
      <c r="BQ43" s="460">
        <f t="shared" si="103"/>
        <v>353.4</v>
      </c>
      <c r="BR43" s="528">
        <f t="shared" si="39"/>
        <v>1.9420970518646333E-2</v>
      </c>
      <c r="BS43" s="528">
        <f t="shared" si="104"/>
        <v>1.628377673835852E-2</v>
      </c>
      <c r="BT43" s="528">
        <f t="shared" si="161"/>
        <v>2.7213027803976849E-5</v>
      </c>
      <c r="BU43" s="528">
        <f t="shared" si="41"/>
        <v>0.98763547855207878</v>
      </c>
      <c r="BV43" s="528">
        <f t="shared" si="162"/>
        <v>1.0349014338599116</v>
      </c>
      <c r="BW43" s="625">
        <f t="shared" si="163"/>
        <v>0.39216000000000006</v>
      </c>
      <c r="BX43" s="460">
        <f t="shared" si="105"/>
        <v>1427.0614338599116</v>
      </c>
      <c r="BY43" s="173">
        <f t="shared" si="106"/>
        <v>2.6715360944454756</v>
      </c>
      <c r="BZ43" s="5">
        <f t="shared" si="107"/>
        <v>9.804000000000002</v>
      </c>
      <c r="CA43" s="173">
        <f t="shared" si="108"/>
        <v>0.78585801249575704</v>
      </c>
      <c r="CB43" s="5">
        <f t="shared" si="109"/>
        <v>78.585801249575709</v>
      </c>
      <c r="CC43">
        <f t="shared" si="173"/>
        <v>38</v>
      </c>
      <c r="CE43" s="562">
        <f t="shared" si="164"/>
        <v>-50</v>
      </c>
      <c r="CF43">
        <f t="shared" si="165"/>
        <v>-50</v>
      </c>
      <c r="CG43" s="173">
        <f t="shared" si="166"/>
        <v>0.49400567978885396</v>
      </c>
      <c r="CH43" s="173">
        <f t="shared" si="167"/>
        <v>0.134649236549999</v>
      </c>
      <c r="CI43" s="170">
        <v>38</v>
      </c>
      <c r="CJ43" s="217">
        <f t="shared" si="133"/>
        <v>0.38</v>
      </c>
      <c r="CK43" s="217">
        <f t="shared" si="111"/>
        <v>3.8000000000000006E-2</v>
      </c>
      <c r="CL43" s="217">
        <f t="shared" si="48"/>
        <v>9.120000000000001</v>
      </c>
      <c r="CM43" s="217">
        <f t="shared" si="134"/>
        <v>0.68400000000000016</v>
      </c>
      <c r="CN43" s="541">
        <f t="shared" si="112"/>
        <v>24</v>
      </c>
      <c r="CO43" s="443">
        <f t="shared" si="168"/>
        <v>16.474900000000002</v>
      </c>
      <c r="CP43" s="443">
        <f t="shared" si="169"/>
        <v>40.474900000000005</v>
      </c>
      <c r="CQ43" s="443"/>
      <c r="CR43" s="217">
        <f t="shared" si="113"/>
        <v>0.40507913686898112</v>
      </c>
      <c r="CS43" s="172">
        <f t="shared" si="114"/>
        <v>50.242373565144938</v>
      </c>
      <c r="CT43" s="172">
        <f t="shared" si="51"/>
        <v>4.0507913686898105</v>
      </c>
      <c r="CU43" s="217">
        <f t="shared" si="52"/>
        <v>2.0934322318810392</v>
      </c>
      <c r="CV43" s="217">
        <f t="shared" si="53"/>
        <v>2.7912429758413855</v>
      </c>
      <c r="CW43" s="443">
        <f t="shared" si="54"/>
        <v>24</v>
      </c>
      <c r="CX43" s="217">
        <f t="shared" si="55"/>
        <v>2.0168898509928712</v>
      </c>
      <c r="CY43" s="217">
        <f t="shared" si="56"/>
        <v>0.84037077124702986</v>
      </c>
      <c r="CZ43" s="217">
        <f t="shared" si="57"/>
        <v>1.2242197834237969</v>
      </c>
      <c r="DA43" s="197">
        <f t="shared" si="58"/>
        <v>350</v>
      </c>
      <c r="DB43" s="443">
        <f t="shared" si="115"/>
        <v>350</v>
      </c>
      <c r="DD43" s="217">
        <f t="shared" si="59"/>
        <v>2.7911308701724487</v>
      </c>
      <c r="DE43" s="173">
        <f t="shared" si="60"/>
        <v>1.6941716612376698</v>
      </c>
      <c r="DF43" s="173">
        <f t="shared" si="61"/>
        <v>0.55195223422072148</v>
      </c>
      <c r="DG43" s="173"/>
      <c r="DH43" s="173">
        <f t="shared" si="62"/>
        <v>1.3488532386977903</v>
      </c>
      <c r="DI43" s="545">
        <f t="shared" si="63"/>
        <v>380.13299999999987</v>
      </c>
      <c r="DJ43" s="528">
        <f t="shared" si="64"/>
        <v>0.34987754285999911</v>
      </c>
      <c r="DL43" s="173">
        <f t="shared" si="65"/>
        <v>2.3669148092581858</v>
      </c>
      <c r="DM43" s="173">
        <f t="shared" si="66"/>
        <v>2.3669148092581858</v>
      </c>
      <c r="DN43" s="173">
        <f t="shared" si="67"/>
        <v>1.3071796941007137</v>
      </c>
      <c r="DP43" s="545">
        <f t="shared" si="68"/>
        <v>380</v>
      </c>
      <c r="DQ43" s="460">
        <f t="shared" si="69"/>
        <v>350</v>
      </c>
      <c r="DS43">
        <f t="shared" si="116"/>
        <v>380</v>
      </c>
      <c r="DT43" s="460">
        <f t="shared" si="70"/>
        <v>350</v>
      </c>
      <c r="DU43" s="460"/>
      <c r="DV43" s="5">
        <f t="shared" si="117"/>
        <v>2.8571428571428572</v>
      </c>
      <c r="DW43" s="5">
        <f t="shared" si="71"/>
        <v>0.98621450385757736</v>
      </c>
      <c r="DX43" s="5">
        <f t="shared" si="118"/>
        <v>1.8709283532852798</v>
      </c>
      <c r="DY43" s="173">
        <f t="shared" si="119"/>
        <v>0.34517507635015204</v>
      </c>
      <c r="EA43" s="5">
        <f t="shared" si="72"/>
        <v>1.5615062977744973</v>
      </c>
      <c r="EB43" s="5">
        <f t="shared" si="73"/>
        <v>0.20820083970326636</v>
      </c>
      <c r="EC43" s="5">
        <f t="shared" si="74"/>
        <v>0.59246064520700525</v>
      </c>
      <c r="ED43" s="5"/>
      <c r="EE43" s="173">
        <f t="shared" si="120"/>
        <v>0.80286350005546547</v>
      </c>
      <c r="EF43" s="173">
        <f t="shared" si="75"/>
        <v>0.73758221121856693</v>
      </c>
      <c r="EG43" s="173">
        <f t="shared" si="76"/>
        <v>7.3857894393642987E-2</v>
      </c>
      <c r="EH43" s="173"/>
      <c r="EI43" s="528">
        <f t="shared" si="77"/>
        <v>2.5783591988852494E-2</v>
      </c>
      <c r="EJ43" s="528">
        <f t="shared" si="78"/>
        <v>0.92208116205247492</v>
      </c>
      <c r="EK43" s="528">
        <f t="shared" si="79"/>
        <v>6.9999999999999993E-2</v>
      </c>
      <c r="EL43" s="528">
        <f t="shared" si="80"/>
        <v>0.10034082371311252</v>
      </c>
      <c r="EM43">
        <f t="shared" si="81"/>
        <v>1.0800000000000001E-2</v>
      </c>
      <c r="EN43" s="460">
        <f t="shared" si="121"/>
        <v>80.8</v>
      </c>
      <c r="EO43">
        <f t="shared" si="82"/>
        <v>1.1429691842131664</v>
      </c>
      <c r="EP43" s="460">
        <f t="shared" si="122"/>
        <v>1142.9691842131665</v>
      </c>
      <c r="EQ43" s="173">
        <f t="shared" si="83"/>
        <v>0.32983999999999997</v>
      </c>
      <c r="ER43" s="173">
        <f t="shared" si="170"/>
        <v>2.3560000000000005E-2</v>
      </c>
      <c r="ES43" s="528"/>
      <c r="EU43" s="460">
        <f t="shared" si="123"/>
        <v>353.4</v>
      </c>
      <c r="EV43" s="528">
        <f t="shared" si="85"/>
        <v>1.9337693991639371E-2</v>
      </c>
      <c r="EW43" s="528">
        <f t="shared" si="124"/>
        <v>1.6320825549182121E-2</v>
      </c>
      <c r="EX43" s="528">
        <f t="shared" si="86"/>
        <v>2.7274942821312602E-5</v>
      </c>
      <c r="EY43" s="528">
        <f t="shared" si="87"/>
        <v>0.98763547855207878</v>
      </c>
      <c r="EZ43" s="528">
        <f t="shared" si="88"/>
        <v>1.0348401912629015</v>
      </c>
      <c r="FA43" s="625">
        <f t="shared" si="89"/>
        <v>0.39216000000000006</v>
      </c>
      <c r="FB43" s="460">
        <f t="shared" si="125"/>
        <v>1427.0001912629016</v>
      </c>
      <c r="FC43" s="173">
        <f t="shared" si="126"/>
        <v>2.9233693754760677</v>
      </c>
      <c r="FD43" s="5">
        <f t="shared" si="127"/>
        <v>9.804000000000002</v>
      </c>
      <c r="FE43" s="173">
        <f t="shared" si="128"/>
        <v>0.77030843615578504</v>
      </c>
      <c r="FF43" s="5">
        <f t="shared" si="129"/>
        <v>77.030843615578505</v>
      </c>
      <c r="FG43">
        <f t="shared" si="130"/>
        <v>38</v>
      </c>
      <c r="FI43" s="562">
        <f t="shared" si="90"/>
        <v>-50</v>
      </c>
      <c r="FJ43">
        <f t="shared" si="91"/>
        <v>-50</v>
      </c>
      <c r="FL43">
        <f t="shared" si="92"/>
        <v>0.49400567978885401</v>
      </c>
    </row>
    <row r="44" spans="5:168">
      <c r="E44" s="170">
        <v>39</v>
      </c>
      <c r="F44" s="217">
        <f t="shared" si="174"/>
        <v>0.39</v>
      </c>
      <c r="G44" s="217">
        <f t="shared" si="171"/>
        <v>3.9000000000000007E-2</v>
      </c>
      <c r="H44" s="217">
        <f t="shared" si="135"/>
        <v>9.36</v>
      </c>
      <c r="I44" s="217">
        <f t="shared" si="175"/>
        <v>0.70200000000000018</v>
      </c>
      <c r="J44" s="541">
        <f t="shared" si="136"/>
        <v>23.895743432369056</v>
      </c>
      <c r="K44" s="443">
        <f t="shared" si="137"/>
        <v>16.490493343583765</v>
      </c>
      <c r="L44" s="172">
        <f t="shared" si="138"/>
        <v>40.386236775952824</v>
      </c>
      <c r="M44" s="443"/>
      <c r="N44" s="217">
        <f t="shared" si="139"/>
        <v>0.40831963213276407</v>
      </c>
      <c r="O44" s="172">
        <f t="shared" si="172"/>
        <v>50.424295441053459</v>
      </c>
      <c r="P44" s="172">
        <f t="shared" si="140"/>
        <v>4.0654588199349355</v>
      </c>
      <c r="Q44" s="217">
        <f t="shared" si="6"/>
        <v>2.101012310043894</v>
      </c>
      <c r="R44" s="217">
        <f t="shared" si="141"/>
        <v>2.801349746725192</v>
      </c>
      <c r="S44" s="443">
        <f t="shared" si="142"/>
        <v>24</v>
      </c>
      <c r="T44" s="217">
        <f t="shared" si="143"/>
        <v>2.0624978314585891</v>
      </c>
      <c r="U44" s="217">
        <f t="shared" si="10"/>
        <v>0.86312352544961612</v>
      </c>
      <c r="V44" s="217">
        <f t="shared" si="11"/>
        <v>1.2507193014095483</v>
      </c>
      <c r="W44" s="197">
        <f t="shared" si="12"/>
        <v>350</v>
      </c>
      <c r="X44" s="443">
        <f t="shared" si="95"/>
        <v>350</v>
      </c>
      <c r="Z44" s="217">
        <f t="shared" si="13"/>
        <v>2.7877431908125274</v>
      </c>
      <c r="AA44" s="173">
        <f t="shared" si="14"/>
        <v>1.6905153367635311</v>
      </c>
      <c r="AB44" s="173">
        <f t="shared" si="144"/>
        <v>0.55009254770588922</v>
      </c>
      <c r="AC44" s="173"/>
      <c r="AD44" s="173">
        <f t="shared" si="16"/>
        <v>1.347577768549211</v>
      </c>
      <c r="AE44" s="545">
        <f t="shared" si="145"/>
        <v>390.50576066252705</v>
      </c>
      <c r="AF44" s="528">
        <f t="shared" si="146"/>
        <v>0.34954670007534805</v>
      </c>
      <c r="AH44" s="173">
        <f t="shared" si="147"/>
        <v>2.3978561853693989</v>
      </c>
      <c r="AI44" s="173">
        <f t="shared" si="148"/>
        <v>2.3978561853693989</v>
      </c>
      <c r="AJ44" s="173">
        <f t="shared" si="149"/>
        <v>1.3300992319608715</v>
      </c>
      <c r="AL44" s="545">
        <f t="shared" si="150"/>
        <v>390</v>
      </c>
      <c r="AM44" s="460">
        <f t="shared" si="151"/>
        <v>350</v>
      </c>
      <c r="AO44">
        <f t="shared" si="96"/>
        <v>390</v>
      </c>
      <c r="AP44" s="460">
        <f t="shared" si="24"/>
        <v>350</v>
      </c>
      <c r="AQ44" s="460"/>
      <c r="AR44" s="5">
        <f t="shared" si="97"/>
        <v>2.8571428571428572</v>
      </c>
      <c r="AS44" s="5">
        <f t="shared" si="25"/>
        <v>1.0034658231730407</v>
      </c>
      <c r="AT44" s="5">
        <f t="shared" si="98"/>
        <v>1.8536770339698165</v>
      </c>
      <c r="AU44" s="173">
        <f t="shared" si="99"/>
        <v>0.3512130381105642</v>
      </c>
      <c r="AW44" s="5">
        <f t="shared" si="152"/>
        <v>1.6306319626561911</v>
      </c>
      <c r="AX44" s="5">
        <f t="shared" si="153"/>
        <v>0.21741759502082553</v>
      </c>
      <c r="AY44" s="5">
        <f t="shared" si="28"/>
        <v>0.60507348958973628</v>
      </c>
      <c r="AZ44" s="5"/>
      <c r="BA44" s="173">
        <f t="shared" si="100"/>
        <v>0.8204418773956359</v>
      </c>
      <c r="BB44" s="173">
        <f t="shared" si="154"/>
        <v>0.74377126466048482</v>
      </c>
      <c r="BC44" s="173">
        <f t="shared" si="155"/>
        <v>7.4477636096408006E-2</v>
      </c>
      <c r="BD44" s="173"/>
      <c r="BE44" s="528">
        <f t="shared" si="31"/>
        <v>2.6924994967379025E-2</v>
      </c>
      <c r="BF44" s="528">
        <f t="shared" si="156"/>
        <v>0.76261805279896611</v>
      </c>
      <c r="BG44" s="528">
        <f t="shared" si="157"/>
        <v>0.33454040805316676</v>
      </c>
      <c r="BH44" s="528">
        <f t="shared" si="34"/>
        <v>9.9901697406553608E-2</v>
      </c>
      <c r="BI44">
        <f t="shared" si="35"/>
        <v>1.0753084544566074E-2</v>
      </c>
      <c r="BJ44" s="460">
        <f t="shared" si="101"/>
        <v>345.29349259773284</v>
      </c>
      <c r="BK44">
        <f t="shared" si="158"/>
        <v>0.9024880517474283</v>
      </c>
      <c r="BL44" s="460">
        <f t="shared" si="102"/>
        <v>902.48805174742824</v>
      </c>
      <c r="BM44" s="173">
        <f t="shared" si="159"/>
        <v>0.33851999999999993</v>
      </c>
      <c r="BN44" s="173">
        <f t="shared" si="160"/>
        <v>2.4180000000000004E-2</v>
      </c>
      <c r="BO44" s="528"/>
      <c r="BQ44" s="460">
        <f t="shared" si="103"/>
        <v>362.69999999999993</v>
      </c>
      <c r="BR44" s="528">
        <f t="shared" si="39"/>
        <v>2.0193746225534267E-2</v>
      </c>
      <c r="BS44" s="528">
        <f t="shared" si="104"/>
        <v>1.659587082403971E-2</v>
      </c>
      <c r="BT44" s="528">
        <f t="shared" si="161"/>
        <v>2.7734591392544886E-5</v>
      </c>
      <c r="BU44" s="528">
        <f t="shared" si="41"/>
        <v>1.0202296610636801</v>
      </c>
      <c r="BV44" s="528">
        <f t="shared" si="162"/>
        <v>1.069031890942016</v>
      </c>
      <c r="BW44" s="625">
        <f t="shared" si="163"/>
        <v>0.40248</v>
      </c>
      <c r="BX44" s="460">
        <f t="shared" si="105"/>
        <v>1471.511890942016</v>
      </c>
      <c r="BY44" s="173">
        <f t="shared" si="106"/>
        <v>2.7366999426894445</v>
      </c>
      <c r="BZ44" s="5">
        <f t="shared" si="107"/>
        <v>10.061999999999999</v>
      </c>
      <c r="CA44" s="173">
        <f t="shared" si="108"/>
        <v>0.78617359927618002</v>
      </c>
      <c r="CB44" s="5">
        <f t="shared" si="109"/>
        <v>78.617359927617997</v>
      </c>
      <c r="CC44">
        <f t="shared" si="173"/>
        <v>39</v>
      </c>
      <c r="CE44" s="562">
        <f t="shared" si="164"/>
        <v>-50</v>
      </c>
      <c r="CF44">
        <f t="shared" si="165"/>
        <v>-50</v>
      </c>
      <c r="CG44" s="173">
        <f t="shared" si="166"/>
        <v>0.50046354446553531</v>
      </c>
      <c r="CH44" s="173">
        <f t="shared" si="167"/>
        <v>0.13640943199720518</v>
      </c>
      <c r="CI44" s="170">
        <v>39</v>
      </c>
      <c r="CJ44" s="217">
        <f t="shared" si="133"/>
        <v>0.39</v>
      </c>
      <c r="CK44" s="217">
        <f t="shared" si="111"/>
        <v>3.9000000000000007E-2</v>
      </c>
      <c r="CL44" s="217">
        <f t="shared" si="48"/>
        <v>9.36</v>
      </c>
      <c r="CM44" s="217">
        <f t="shared" si="134"/>
        <v>0.70200000000000018</v>
      </c>
      <c r="CN44" s="541">
        <f t="shared" si="112"/>
        <v>24</v>
      </c>
      <c r="CO44" s="443">
        <f t="shared" si="168"/>
        <v>16.474900000000002</v>
      </c>
      <c r="CP44" s="443">
        <f t="shared" si="169"/>
        <v>40.474900000000005</v>
      </c>
      <c r="CQ44" s="443"/>
      <c r="CR44" s="217">
        <f t="shared" si="113"/>
        <v>0.40507913686898112</v>
      </c>
      <c r="CS44" s="172">
        <f t="shared" si="114"/>
        <v>50.242373565144938</v>
      </c>
      <c r="CT44" s="172">
        <f t="shared" si="51"/>
        <v>4.0507913686898105</v>
      </c>
      <c r="CU44" s="217">
        <f t="shared" si="52"/>
        <v>2.0934322318810392</v>
      </c>
      <c r="CV44" s="217">
        <f t="shared" si="53"/>
        <v>2.7912429758413855</v>
      </c>
      <c r="CW44" s="443">
        <f t="shared" si="54"/>
        <v>24</v>
      </c>
      <c r="CX44" s="217">
        <f t="shared" si="55"/>
        <v>2.0699658997032095</v>
      </c>
      <c r="CY44" s="217">
        <f t="shared" si="56"/>
        <v>0.86248579154300409</v>
      </c>
      <c r="CZ44" s="217">
        <f t="shared" si="57"/>
        <v>1.2564360935138967</v>
      </c>
      <c r="DA44" s="197">
        <f t="shared" si="58"/>
        <v>350</v>
      </c>
      <c r="DB44" s="443">
        <f t="shared" si="115"/>
        <v>350</v>
      </c>
      <c r="DD44" s="217">
        <f t="shared" si="59"/>
        <v>2.7911308701724487</v>
      </c>
      <c r="DE44" s="173">
        <f t="shared" si="60"/>
        <v>1.6941716612376698</v>
      </c>
      <c r="DF44" s="173">
        <f t="shared" si="61"/>
        <v>0.55195223422072148</v>
      </c>
      <c r="DG44" s="173"/>
      <c r="DH44" s="173">
        <f t="shared" si="62"/>
        <v>1.3488532386977903</v>
      </c>
      <c r="DI44" s="545">
        <f t="shared" si="63"/>
        <v>390.1364999999999</v>
      </c>
      <c r="DJ44" s="528">
        <f t="shared" si="64"/>
        <v>0.34987754285999911</v>
      </c>
      <c r="DL44" s="173">
        <f t="shared" si="65"/>
        <v>2.3978561853693989</v>
      </c>
      <c r="DM44" s="173">
        <f t="shared" si="66"/>
        <v>2.3978561853693989</v>
      </c>
      <c r="DN44" s="173">
        <f t="shared" si="67"/>
        <v>1.3300992319608715</v>
      </c>
      <c r="DP44" s="545">
        <f t="shared" si="68"/>
        <v>390</v>
      </c>
      <c r="DQ44" s="460">
        <f t="shared" si="69"/>
        <v>350</v>
      </c>
      <c r="DS44">
        <f t="shared" si="116"/>
        <v>390</v>
      </c>
      <c r="DT44" s="460">
        <f t="shared" si="70"/>
        <v>350</v>
      </c>
      <c r="DU44" s="460"/>
      <c r="DV44" s="5">
        <f t="shared" si="117"/>
        <v>2.8571428571428572</v>
      </c>
      <c r="DW44" s="5">
        <f t="shared" si="71"/>
        <v>0.99910674390391641</v>
      </c>
      <c r="DX44" s="5">
        <f t="shared" si="118"/>
        <v>1.8580361132389407</v>
      </c>
      <c r="DY44" s="173">
        <f t="shared" si="119"/>
        <v>0.34968736036637071</v>
      </c>
      <c r="EA44" s="5">
        <f t="shared" si="72"/>
        <v>1.6235484588438642</v>
      </c>
      <c r="EB44" s="5">
        <f t="shared" si="73"/>
        <v>0.21647312784584857</v>
      </c>
      <c r="EC44" s="5">
        <f t="shared" si="74"/>
        <v>0.60386173680265554</v>
      </c>
      <c r="ED44" s="5"/>
      <c r="EE44" s="173">
        <f t="shared" si="120"/>
        <v>0.81865792844798546</v>
      </c>
      <c r="EF44" s="173">
        <f t="shared" si="75"/>
        <v>0.74464527184368456</v>
      </c>
      <c r="EG44" s="173">
        <f t="shared" si="76"/>
        <v>7.456515492380679E-2</v>
      </c>
      <c r="EH44" s="173"/>
      <c r="EI44" s="528">
        <f t="shared" si="77"/>
        <v>2.6808032152429877E-2</v>
      </c>
      <c r="EJ44" s="528">
        <f t="shared" si="78"/>
        <v>0.93413502217812616</v>
      </c>
      <c r="EK44" s="528">
        <f t="shared" si="79"/>
        <v>6.9999999999999993E-2</v>
      </c>
      <c r="EL44" s="528">
        <f t="shared" si="80"/>
        <v>0.10034082371311252</v>
      </c>
      <c r="EM44">
        <f t="shared" si="81"/>
        <v>1.0800000000000001E-2</v>
      </c>
      <c r="EN44" s="460">
        <f t="shared" si="121"/>
        <v>80.8</v>
      </c>
      <c r="EO44">
        <f t="shared" si="82"/>
        <v>1.1566896839637937</v>
      </c>
      <c r="EP44" s="460">
        <f t="shared" si="122"/>
        <v>1156.6896839637936</v>
      </c>
      <c r="EQ44" s="173">
        <f t="shared" si="83"/>
        <v>0.33851999999999993</v>
      </c>
      <c r="ER44" s="173">
        <f t="shared" si="170"/>
        <v>2.4180000000000004E-2</v>
      </c>
      <c r="ES44" s="528"/>
      <c r="EU44" s="460">
        <f t="shared" si="123"/>
        <v>362.69999999999993</v>
      </c>
      <c r="EV44" s="528">
        <f t="shared" si="85"/>
        <v>2.0106024114322406E-2</v>
      </c>
      <c r="EW44" s="528">
        <f t="shared" si="124"/>
        <v>1.6634897426374647E-2</v>
      </c>
      <c r="EX44" s="528">
        <f t="shared" si="86"/>
        <v>2.7799811644056539E-5</v>
      </c>
      <c r="EY44" s="528">
        <f t="shared" si="87"/>
        <v>1.0202296610636801</v>
      </c>
      <c r="EZ44" s="528">
        <f t="shared" si="88"/>
        <v>1.0689672402278405</v>
      </c>
      <c r="FA44" s="625">
        <f t="shared" si="89"/>
        <v>0.40248</v>
      </c>
      <c r="FB44" s="460">
        <f t="shared" si="125"/>
        <v>1471.4472402278404</v>
      </c>
      <c r="FC44" s="173">
        <f t="shared" si="126"/>
        <v>2.9908369241916346</v>
      </c>
      <c r="FD44" s="5">
        <f t="shared" si="127"/>
        <v>10.061999999999999</v>
      </c>
      <c r="FE44" s="173">
        <f t="shared" si="128"/>
        <v>0.77086690490643217</v>
      </c>
      <c r="FF44" s="5">
        <f t="shared" si="129"/>
        <v>77.086690490643221</v>
      </c>
      <c r="FG44">
        <f t="shared" si="130"/>
        <v>39</v>
      </c>
      <c r="FI44" s="562">
        <f t="shared" si="90"/>
        <v>-50</v>
      </c>
      <c r="FJ44">
        <f t="shared" si="91"/>
        <v>-50</v>
      </c>
      <c r="FL44">
        <f t="shared" si="92"/>
        <v>0.50046354446553531</v>
      </c>
    </row>
    <row r="45" spans="5:168">
      <c r="E45" s="170">
        <v>40</v>
      </c>
      <c r="F45" s="217">
        <f t="shared" si="174"/>
        <v>0.4</v>
      </c>
      <c r="G45" s="217">
        <f t="shared" si="171"/>
        <v>4.0000000000000008E-2</v>
      </c>
      <c r="H45" s="217">
        <f t="shared" si="135"/>
        <v>9.6000000000000014</v>
      </c>
      <c r="I45" s="217">
        <f t="shared" si="175"/>
        <v>0.7200000000000002</v>
      </c>
      <c r="J45" s="541">
        <f t="shared" si="136"/>
        <v>23.894415269683122</v>
      </c>
      <c r="K45" s="443">
        <f t="shared" si="137"/>
        <v>16.490691992911742</v>
      </c>
      <c r="L45" s="172">
        <f t="shared" si="138"/>
        <v>40.385107262594865</v>
      </c>
      <c r="M45" s="443"/>
      <c r="N45" s="217">
        <f t="shared" si="139"/>
        <v>0.40833597112135456</v>
      </c>
      <c r="O45" s="172">
        <f t="shared" si="172"/>
        <v>50.423510405803512</v>
      </c>
      <c r="P45" s="172">
        <f t="shared" si="140"/>
        <v>4.065395526467908</v>
      </c>
      <c r="Q45" s="217">
        <f t="shared" si="6"/>
        <v>2.1009796002418129</v>
      </c>
      <c r="R45" s="217">
        <f t="shared" si="141"/>
        <v>2.8013061336557508</v>
      </c>
      <c r="S45" s="443">
        <f t="shared" si="142"/>
        <v>24</v>
      </c>
      <c r="T45" s="217">
        <f t="shared" si="143"/>
        <v>2.1154153252763188</v>
      </c>
      <c r="U45" s="217">
        <f t="shared" si="10"/>
        <v>0.88531788763223107</v>
      </c>
      <c r="V45" s="217">
        <f t="shared" si="11"/>
        <v>1.282793545707843</v>
      </c>
      <c r="W45" s="197">
        <f t="shared" si="12"/>
        <v>350</v>
      </c>
      <c r="X45" s="443">
        <f t="shared" si="95"/>
        <v>350</v>
      </c>
      <c r="Z45" s="217">
        <f t="shared" si="13"/>
        <v>2.787699789577994</v>
      </c>
      <c r="AA45" s="173">
        <f t="shared" si="14"/>
        <v>1.6904686539389868</v>
      </c>
      <c r="AB45" s="173">
        <f t="shared" si="144"/>
        <v>0.55006879321675706</v>
      </c>
      <c r="AC45" s="173"/>
      <c r="AD45" s="173">
        <f t="shared" si="16"/>
        <v>1.347561535427021</v>
      </c>
      <c r="AE45" s="545">
        <f t="shared" si="145"/>
        <v>400.52355365092973</v>
      </c>
      <c r="AF45" s="528">
        <f t="shared" si="146"/>
        <v>0.34954248938382015</v>
      </c>
      <c r="AH45" s="173">
        <f t="shared" si="147"/>
        <v>2.4284033555286606</v>
      </c>
      <c r="AI45" s="173">
        <f t="shared" si="148"/>
        <v>2.4284033555286606</v>
      </c>
      <c r="AJ45" s="173">
        <f t="shared" si="149"/>
        <v>1.3527267654121764</v>
      </c>
      <c r="AL45" s="545">
        <f t="shared" si="150"/>
        <v>400</v>
      </c>
      <c r="AM45" s="460">
        <f t="shared" si="151"/>
        <v>350</v>
      </c>
      <c r="AO45">
        <f t="shared" si="96"/>
        <v>400</v>
      </c>
      <c r="AP45" s="460">
        <f t="shared" si="24"/>
        <v>350</v>
      </c>
      <c r="AQ45" s="460"/>
      <c r="AR45" s="5">
        <f t="shared" si="97"/>
        <v>2.8571428571428572</v>
      </c>
      <c r="AS45" s="5">
        <f t="shared" si="25"/>
        <v>1.0163058305133679</v>
      </c>
      <c r="AT45" s="5">
        <f t="shared" si="98"/>
        <v>1.8408370266294893</v>
      </c>
      <c r="AU45" s="173">
        <f t="shared" si="99"/>
        <v>0.35570704067967873</v>
      </c>
      <c r="AW45" s="5">
        <f t="shared" si="152"/>
        <v>1.693843050855613</v>
      </c>
      <c r="AX45" s="5">
        <f t="shared" si="153"/>
        <v>0.22584574011408179</v>
      </c>
      <c r="AY45" s="5">
        <f t="shared" si="28"/>
        <v>0.61632377469060429</v>
      </c>
      <c r="AZ45" s="5"/>
      <c r="BA45" s="173">
        <f t="shared" si="100"/>
        <v>0.83619280754691805</v>
      </c>
      <c r="BB45" s="173">
        <f t="shared" si="154"/>
        <v>0.75063312145870231</v>
      </c>
      <c r="BC45" s="173">
        <f t="shared" si="155"/>
        <v>7.5164749054175445E-2</v>
      </c>
      <c r="BD45" s="173"/>
      <c r="BE45" s="528">
        <f t="shared" si="31"/>
        <v>2.7968736455727887E-2</v>
      </c>
      <c r="BF45" s="528">
        <f t="shared" si="156"/>
        <v>0.77231172367022805</v>
      </c>
      <c r="BG45" s="528">
        <f t="shared" si="157"/>
        <v>0.33452181377556373</v>
      </c>
      <c r="BH45" s="528">
        <f t="shared" si="34"/>
        <v>9.9896109427441662E-2</v>
      </c>
      <c r="BI45">
        <f t="shared" si="35"/>
        <v>1.0752486871357405E-2</v>
      </c>
      <c r="BJ45" s="460">
        <f t="shared" si="101"/>
        <v>345.27430064692112</v>
      </c>
      <c r="BK45">
        <f t="shared" si="158"/>
        <v>0.91380067360709649</v>
      </c>
      <c r="BL45" s="460">
        <f t="shared" si="102"/>
        <v>913.80067360709654</v>
      </c>
      <c r="BM45" s="173">
        <f t="shared" si="159"/>
        <v>0.34719999999999995</v>
      </c>
      <c r="BN45" s="173">
        <f t="shared" si="160"/>
        <v>2.4800000000000006E-2</v>
      </c>
      <c r="BO45" s="528"/>
      <c r="BQ45" s="460">
        <f t="shared" si="103"/>
        <v>371.99999999999994</v>
      </c>
      <c r="BR45" s="528">
        <f t="shared" si="39"/>
        <v>2.0976552341795913E-2</v>
      </c>
      <c r="BS45" s="528">
        <f t="shared" si="104"/>
        <v>1.6903502490925048E-2</v>
      </c>
      <c r="BT45" s="528">
        <f t="shared" si="161"/>
        <v>2.8248697501885844E-5</v>
      </c>
      <c r="BU45" s="528">
        <f t="shared" si="41"/>
        <v>1.0530334719123737</v>
      </c>
      <c r="BV45" s="528">
        <f t="shared" si="162"/>
        <v>1.103385967503218</v>
      </c>
      <c r="BW45" s="625">
        <f t="shared" si="163"/>
        <v>0.41280000000000017</v>
      </c>
      <c r="BX45" s="460">
        <f t="shared" si="105"/>
        <v>1516.1859675032181</v>
      </c>
      <c r="BY45" s="173">
        <f t="shared" si="106"/>
        <v>2.8019866411103149</v>
      </c>
      <c r="BZ45" s="5">
        <f t="shared" si="107"/>
        <v>10.320000000000002</v>
      </c>
      <c r="CA45" s="173">
        <f t="shared" si="108"/>
        <v>0.78646627848775008</v>
      </c>
      <c r="CB45" s="5">
        <f t="shared" si="109"/>
        <v>78.646627848775012</v>
      </c>
      <c r="CC45">
        <f t="shared" si="173"/>
        <v>40</v>
      </c>
      <c r="CE45" s="562">
        <f t="shared" si="164"/>
        <v>-50</v>
      </c>
      <c r="CF45">
        <f t="shared" si="165"/>
        <v>-50</v>
      </c>
      <c r="CG45" s="173">
        <f t="shared" si="166"/>
        <v>0.5068391332704747</v>
      </c>
      <c r="CH45" s="173">
        <f t="shared" si="167"/>
        <v>0.13814720182509205</v>
      </c>
      <c r="CI45" s="170">
        <v>40</v>
      </c>
      <c r="CJ45" s="217">
        <f t="shared" si="133"/>
        <v>0.4</v>
      </c>
      <c r="CK45" s="217">
        <f t="shared" si="111"/>
        <v>4.0000000000000008E-2</v>
      </c>
      <c r="CL45" s="217">
        <f t="shared" si="48"/>
        <v>9.6000000000000014</v>
      </c>
      <c r="CM45" s="217">
        <f t="shared" si="134"/>
        <v>0.7200000000000002</v>
      </c>
      <c r="CN45" s="541">
        <f t="shared" si="112"/>
        <v>24</v>
      </c>
      <c r="CO45" s="443">
        <f t="shared" si="168"/>
        <v>16.474900000000002</v>
      </c>
      <c r="CP45" s="443">
        <f t="shared" si="169"/>
        <v>40.474900000000005</v>
      </c>
      <c r="CQ45" s="443"/>
      <c r="CR45" s="217">
        <f t="shared" si="113"/>
        <v>0.40507913686898112</v>
      </c>
      <c r="CS45" s="172">
        <f t="shared" si="114"/>
        <v>50.242373565144938</v>
      </c>
      <c r="CT45" s="172">
        <f t="shared" si="51"/>
        <v>4.0507913686898105</v>
      </c>
      <c r="CU45" s="217">
        <f t="shared" si="52"/>
        <v>2.0934322318810392</v>
      </c>
      <c r="CV45" s="217">
        <f t="shared" si="53"/>
        <v>2.7912429758413855</v>
      </c>
      <c r="CW45" s="443">
        <f t="shared" si="54"/>
        <v>24</v>
      </c>
      <c r="CX45" s="217">
        <f t="shared" si="55"/>
        <v>2.1230419484135488</v>
      </c>
      <c r="CY45" s="217">
        <f t="shared" si="56"/>
        <v>0.88460081183897865</v>
      </c>
      <c r="CZ45" s="217">
        <f t="shared" si="57"/>
        <v>1.2886524036039968</v>
      </c>
      <c r="DA45" s="197">
        <f t="shared" si="58"/>
        <v>350</v>
      </c>
      <c r="DB45" s="443">
        <f t="shared" si="115"/>
        <v>350</v>
      </c>
      <c r="DD45" s="217">
        <f t="shared" si="59"/>
        <v>2.7911308701724487</v>
      </c>
      <c r="DE45" s="173">
        <f t="shared" si="60"/>
        <v>1.6941716612376698</v>
      </c>
      <c r="DF45" s="173">
        <f t="shared" si="61"/>
        <v>0.55195223422072148</v>
      </c>
      <c r="DG45" s="173"/>
      <c r="DH45" s="173">
        <f t="shared" si="62"/>
        <v>1.3488532386977903</v>
      </c>
      <c r="DI45" s="545">
        <f t="shared" si="63"/>
        <v>400.13999999999987</v>
      </c>
      <c r="DJ45" s="528">
        <f t="shared" si="64"/>
        <v>0.34987754285999911</v>
      </c>
      <c r="DL45" s="173">
        <f t="shared" si="65"/>
        <v>2.4284033555286606</v>
      </c>
      <c r="DM45" s="173">
        <f t="shared" si="66"/>
        <v>2.4284033555286606</v>
      </c>
      <c r="DN45" s="173">
        <f t="shared" si="67"/>
        <v>1.3527267654121764</v>
      </c>
      <c r="DP45" s="545">
        <f t="shared" si="68"/>
        <v>400</v>
      </c>
      <c r="DQ45" s="460">
        <f t="shared" si="69"/>
        <v>350</v>
      </c>
      <c r="DS45">
        <f t="shared" si="116"/>
        <v>400</v>
      </c>
      <c r="DT45" s="460">
        <f t="shared" si="70"/>
        <v>350</v>
      </c>
      <c r="DU45" s="460"/>
      <c r="DV45" s="5">
        <f t="shared" si="117"/>
        <v>2.8571428571428572</v>
      </c>
      <c r="DW45" s="5">
        <f t="shared" si="71"/>
        <v>1.0118347314702754</v>
      </c>
      <c r="DX45" s="5">
        <f t="shared" si="118"/>
        <v>1.8453081256725818</v>
      </c>
      <c r="DY45" s="173">
        <f t="shared" si="119"/>
        <v>0.35414215601459637</v>
      </c>
      <c r="EA45" s="5">
        <f t="shared" si="72"/>
        <v>1.6863912191171258</v>
      </c>
      <c r="EB45" s="5">
        <f t="shared" si="73"/>
        <v>0.2248521625489501</v>
      </c>
      <c r="EC45" s="5">
        <f t="shared" si="74"/>
        <v>0.61510270855752736</v>
      </c>
      <c r="ED45" s="5"/>
      <c r="EE45" s="173">
        <f t="shared" si="120"/>
        <v>0.83435142191498035</v>
      </c>
      <c r="EF45" s="173">
        <f t="shared" si="75"/>
        <v>0.75154415257187412</v>
      </c>
      <c r="EG45" s="173">
        <f t="shared" si="76"/>
        <v>7.5255975277805212E-2</v>
      </c>
      <c r="EH45" s="173"/>
      <c r="EI45" s="528">
        <f t="shared" si="77"/>
        <v>2.7845691810061985E-2</v>
      </c>
      <c r="EJ45" s="528">
        <f t="shared" si="78"/>
        <v>0.9460353111313623</v>
      </c>
      <c r="EK45" s="528">
        <f t="shared" si="79"/>
        <v>6.9999999999999993E-2</v>
      </c>
      <c r="EL45" s="528">
        <f t="shared" si="80"/>
        <v>0.10034082371311252</v>
      </c>
      <c r="EM45">
        <f t="shared" si="81"/>
        <v>1.0800000000000001E-2</v>
      </c>
      <c r="EN45" s="460">
        <f t="shared" si="121"/>
        <v>80.8</v>
      </c>
      <c r="EO45">
        <f t="shared" si="82"/>
        <v>1.1702829148038405</v>
      </c>
      <c r="EP45" s="460">
        <f t="shared" si="122"/>
        <v>1170.2829148038404</v>
      </c>
      <c r="EQ45" s="173">
        <f t="shared" si="83"/>
        <v>0.34719999999999995</v>
      </c>
      <c r="ER45" s="173">
        <f t="shared" si="170"/>
        <v>2.4800000000000006E-2</v>
      </c>
      <c r="ES45" s="528"/>
      <c r="EU45" s="460">
        <f t="shared" si="123"/>
        <v>371.99999999999994</v>
      </c>
      <c r="EV45" s="528">
        <f t="shared" si="85"/>
        <v>2.0884268857546486E-2</v>
      </c>
      <c r="EW45" s="528">
        <f t="shared" si="124"/>
        <v>1.694455839794929E-2</v>
      </c>
      <c r="EX45" s="528">
        <f t="shared" si="86"/>
        <v>2.8317309075068148E-5</v>
      </c>
      <c r="EY45" s="528">
        <f t="shared" si="87"/>
        <v>1.0530334719123737</v>
      </c>
      <c r="EZ45" s="528">
        <f t="shared" si="88"/>
        <v>1.1033178081134347</v>
      </c>
      <c r="FA45" s="625">
        <f t="shared" si="89"/>
        <v>0.41280000000000017</v>
      </c>
      <c r="FB45" s="460">
        <f t="shared" si="125"/>
        <v>1516.1178081134349</v>
      </c>
      <c r="FC45" s="173">
        <f t="shared" si="126"/>
        <v>3.0584007229172756</v>
      </c>
      <c r="FD45" s="5">
        <f t="shared" si="127"/>
        <v>10.320000000000002</v>
      </c>
      <c r="FE45" s="173">
        <f t="shared" si="128"/>
        <v>0.77139265101558685</v>
      </c>
      <c r="FF45" s="5">
        <f t="shared" si="129"/>
        <v>77.139265101558692</v>
      </c>
      <c r="FG45">
        <f t="shared" si="130"/>
        <v>40</v>
      </c>
      <c r="FI45" s="562">
        <f t="shared" si="90"/>
        <v>-50</v>
      </c>
      <c r="FJ45">
        <f t="shared" si="91"/>
        <v>-50</v>
      </c>
      <c r="FL45">
        <f t="shared" si="92"/>
        <v>0.50683913327047481</v>
      </c>
    </row>
    <row r="46" spans="5:168">
      <c r="E46" s="170">
        <v>41</v>
      </c>
      <c r="F46" s="217">
        <f t="shared" si="174"/>
        <v>0.41</v>
      </c>
      <c r="G46" s="217">
        <f t="shared" si="171"/>
        <v>4.1000000000000002E-2</v>
      </c>
      <c r="H46" s="217">
        <f t="shared" si="135"/>
        <v>9.84</v>
      </c>
      <c r="I46" s="217">
        <f t="shared" si="175"/>
        <v>0.73799999999999999</v>
      </c>
      <c r="J46" s="541">
        <f t="shared" si="136"/>
        <v>23.893103607834551</v>
      </c>
      <c r="K46" s="443">
        <f t="shared" si="137"/>
        <v>16.490888174258732</v>
      </c>
      <c r="L46" s="172">
        <f t="shared" si="138"/>
        <v>40.383991782093283</v>
      </c>
      <c r="M46" s="443"/>
      <c r="N46" s="217">
        <f t="shared" si="139"/>
        <v>0.40835210801451721</v>
      </c>
      <c r="O46" s="172">
        <f t="shared" si="172"/>
        <v>50.422735014307513</v>
      </c>
      <c r="P46" s="172">
        <f t="shared" si="140"/>
        <v>4.0653330105285432</v>
      </c>
      <c r="Q46" s="217">
        <f t="shared" si="6"/>
        <v>2.1009472922628132</v>
      </c>
      <c r="R46" s="217">
        <f t="shared" si="141"/>
        <v>2.8012630563504173</v>
      </c>
      <c r="S46" s="443">
        <f t="shared" si="142"/>
        <v>24</v>
      </c>
      <c r="T46" s="217">
        <f t="shared" si="143"/>
        <v>2.1683340521356058</v>
      </c>
      <c r="U46" s="217">
        <f t="shared" si="10"/>
        <v>0.90751460661000483</v>
      </c>
      <c r="V46" s="217">
        <f t="shared" si="11"/>
        <v>1.3148679617634196</v>
      </c>
      <c r="W46" s="197">
        <f t="shared" si="12"/>
        <v>350</v>
      </c>
      <c r="X46" s="443">
        <f t="shared" si="95"/>
        <v>350</v>
      </c>
      <c r="Z46" s="217">
        <f t="shared" si="13"/>
        <v>2.7876569215052869</v>
      </c>
      <c r="AA46" s="173">
        <f t="shared" si="14"/>
        <v>1.6904225485299509</v>
      </c>
      <c r="AB46" s="173">
        <f t="shared" si="144"/>
        <v>0.55004533228597907</v>
      </c>
      <c r="AC46" s="173"/>
      <c r="AD46" s="173">
        <f t="shared" si="16"/>
        <v>1.3475455043658446</v>
      </c>
      <c r="AE46" s="545">
        <f t="shared" si="145"/>
        <v>410.54152643713064</v>
      </c>
      <c r="AF46" s="528">
        <f t="shared" si="146"/>
        <v>0.34953833110467386</v>
      </c>
      <c r="AH46" s="173">
        <f t="shared" si="147"/>
        <v>2.4585710135303045</v>
      </c>
      <c r="AI46" s="173">
        <f t="shared" si="148"/>
        <v>2.4585710135303045</v>
      </c>
      <c r="AJ46" s="173">
        <f t="shared" si="149"/>
        <v>1.3750731787467274</v>
      </c>
      <c r="AL46" s="545">
        <f t="shared" si="150"/>
        <v>410</v>
      </c>
      <c r="AM46" s="460">
        <f t="shared" si="151"/>
        <v>350</v>
      </c>
      <c r="AO46">
        <f t="shared" si="96"/>
        <v>410</v>
      </c>
      <c r="AP46" s="460">
        <f t="shared" si="24"/>
        <v>350</v>
      </c>
      <c r="AQ46" s="460"/>
      <c r="AR46" s="5">
        <f t="shared" si="97"/>
        <v>2.8571428571428572</v>
      </c>
      <c r="AS46" s="5">
        <f t="shared" si="25"/>
        <v>1.0289877170767128</v>
      </c>
      <c r="AT46" s="5">
        <f t="shared" si="98"/>
        <v>1.8281551400661444</v>
      </c>
      <c r="AU46" s="173">
        <f t="shared" si="99"/>
        <v>0.36014570097684945</v>
      </c>
      <c r="AW46" s="5">
        <f t="shared" si="152"/>
        <v>1.7578540166727175</v>
      </c>
      <c r="AX46" s="5">
        <f t="shared" si="153"/>
        <v>0.23438053555636237</v>
      </c>
      <c r="AY46" s="5">
        <f t="shared" si="28"/>
        <v>0.62741418589198572</v>
      </c>
      <c r="AZ46" s="5"/>
      <c r="BA46" s="173">
        <f t="shared" si="100"/>
        <v>0.85184631130415644</v>
      </c>
      <c r="BB46" s="173">
        <f t="shared" si="154"/>
        <v>0.75733583980898933</v>
      </c>
      <c r="BC46" s="173">
        <f t="shared" si="155"/>
        <v>7.5835926661954198E-2</v>
      </c>
      <c r="BD46" s="173"/>
      <c r="BE46" s="528">
        <f t="shared" si="31"/>
        <v>2.9025685523299913E-2</v>
      </c>
      <c r="BF46" s="528">
        <f t="shared" si="156"/>
        <v>0.78188442889804211</v>
      </c>
      <c r="BG46" s="528">
        <f t="shared" si="157"/>
        <v>0.33450345050968372</v>
      </c>
      <c r="BH46" s="528">
        <f t="shared" si="34"/>
        <v>9.9890591025690895E-2</v>
      </c>
      <c r="BI46">
        <f t="shared" si="35"/>
        <v>1.0751896623525548E-2</v>
      </c>
      <c r="BJ46" s="460">
        <f t="shared" si="101"/>
        <v>345.25534713320928</v>
      </c>
      <c r="BK46">
        <f t="shared" si="158"/>
        <v>0.92501702310251022</v>
      </c>
      <c r="BL46" s="460">
        <f t="shared" si="102"/>
        <v>925.01702310251017</v>
      </c>
      <c r="BM46" s="173">
        <f t="shared" si="159"/>
        <v>0.35587999999999997</v>
      </c>
      <c r="BN46" s="173">
        <f t="shared" si="160"/>
        <v>2.5420000000000002E-2</v>
      </c>
      <c r="BO46" s="528"/>
      <c r="BQ46" s="460">
        <f t="shared" si="103"/>
        <v>381.29999999999995</v>
      </c>
      <c r="BR46" s="528">
        <f t="shared" si="39"/>
        <v>2.1769264142474931E-2</v>
      </c>
      <c r="BS46" s="528">
        <f t="shared" si="104"/>
        <v>1.7206727227775616E-2</v>
      </c>
      <c r="BT46" s="528">
        <f t="shared" si="161"/>
        <v>2.875543886338648E-5</v>
      </c>
      <c r="BU46" s="528">
        <f t="shared" si="41"/>
        <v>1.0860429674235845</v>
      </c>
      <c r="BV46" s="528">
        <f t="shared" si="162"/>
        <v>1.1379597199272646</v>
      </c>
      <c r="BW46" s="625">
        <f t="shared" si="163"/>
        <v>0.42312000000000005</v>
      </c>
      <c r="BX46" s="460">
        <f t="shared" si="105"/>
        <v>1561.0797199272647</v>
      </c>
      <c r="BY46" s="173">
        <f t="shared" si="106"/>
        <v>2.8673967430297749</v>
      </c>
      <c r="BZ46" s="5">
        <f t="shared" si="107"/>
        <v>10.577999999999999</v>
      </c>
      <c r="CA46" s="173">
        <f t="shared" si="108"/>
        <v>0.78673766212839635</v>
      </c>
      <c r="CB46" s="5">
        <f t="shared" si="109"/>
        <v>78.673766212839638</v>
      </c>
      <c r="CC46">
        <f t="shared" si="173"/>
        <v>41</v>
      </c>
      <c r="CE46" s="562">
        <f t="shared" si="164"/>
        <v>-50</v>
      </c>
      <c r="CF46">
        <f t="shared" si="165"/>
        <v>-50</v>
      </c>
      <c r="CG46" s="173">
        <f t="shared" si="166"/>
        <v>0.51313551298826043</v>
      </c>
      <c r="CH46" s="173">
        <f t="shared" si="167"/>
        <v>0.13986338193539177</v>
      </c>
      <c r="CI46" s="170">
        <v>41</v>
      </c>
      <c r="CJ46" s="217">
        <f t="shared" si="133"/>
        <v>0.41</v>
      </c>
      <c r="CK46" s="217">
        <f t="shared" si="111"/>
        <v>4.1000000000000002E-2</v>
      </c>
      <c r="CL46" s="217">
        <f t="shared" si="48"/>
        <v>9.84</v>
      </c>
      <c r="CM46" s="217">
        <f t="shared" si="134"/>
        <v>0.73799999999999999</v>
      </c>
      <c r="CN46" s="541">
        <f t="shared" si="112"/>
        <v>24</v>
      </c>
      <c r="CO46" s="443">
        <f t="shared" si="168"/>
        <v>16.474900000000002</v>
      </c>
      <c r="CP46" s="443">
        <f t="shared" si="169"/>
        <v>40.474900000000005</v>
      </c>
      <c r="CQ46" s="443"/>
      <c r="CR46" s="217">
        <f t="shared" si="113"/>
        <v>0.40507913686898112</v>
      </c>
      <c r="CS46" s="172">
        <f t="shared" si="114"/>
        <v>50.242373565144938</v>
      </c>
      <c r="CT46" s="172">
        <f t="shared" si="51"/>
        <v>4.0507913686898105</v>
      </c>
      <c r="CU46" s="217">
        <f t="shared" si="52"/>
        <v>2.0934322318810392</v>
      </c>
      <c r="CV46" s="217">
        <f t="shared" si="53"/>
        <v>2.7912429758413855</v>
      </c>
      <c r="CW46" s="443">
        <f t="shared" si="54"/>
        <v>24</v>
      </c>
      <c r="CX46" s="217">
        <f t="shared" si="55"/>
        <v>2.1761179971238871</v>
      </c>
      <c r="CY46" s="217">
        <f t="shared" si="56"/>
        <v>0.9067158321349531</v>
      </c>
      <c r="CZ46" s="217">
        <f t="shared" si="57"/>
        <v>1.3208687136940964</v>
      </c>
      <c r="DA46" s="197">
        <f t="shared" si="58"/>
        <v>350</v>
      </c>
      <c r="DB46" s="443">
        <f t="shared" si="115"/>
        <v>350</v>
      </c>
      <c r="DD46" s="217">
        <f t="shared" si="59"/>
        <v>2.7911308701724487</v>
      </c>
      <c r="DE46" s="173">
        <f t="shared" si="60"/>
        <v>1.6941716612376698</v>
      </c>
      <c r="DF46" s="173">
        <f t="shared" si="61"/>
        <v>0.55195223422072148</v>
      </c>
      <c r="DG46" s="173"/>
      <c r="DH46" s="173">
        <f t="shared" si="62"/>
        <v>1.3488532386977903</v>
      </c>
      <c r="DI46" s="545">
        <f t="shared" si="63"/>
        <v>410.14349999999985</v>
      </c>
      <c r="DJ46" s="528">
        <f t="shared" si="64"/>
        <v>0.34987754285999911</v>
      </c>
      <c r="DL46" s="173">
        <f t="shared" si="65"/>
        <v>2.4585710135303045</v>
      </c>
      <c r="DM46" s="173">
        <f t="shared" si="66"/>
        <v>2.4585710135303045</v>
      </c>
      <c r="DN46" s="173">
        <f t="shared" si="67"/>
        <v>1.3750731787467274</v>
      </c>
      <c r="DP46" s="545">
        <f t="shared" si="68"/>
        <v>410</v>
      </c>
      <c r="DQ46" s="460">
        <f t="shared" si="69"/>
        <v>350</v>
      </c>
      <c r="DS46">
        <f t="shared" si="116"/>
        <v>410</v>
      </c>
      <c r="DT46" s="460">
        <f t="shared" si="70"/>
        <v>350</v>
      </c>
      <c r="DU46" s="460"/>
      <c r="DV46" s="5">
        <f t="shared" si="117"/>
        <v>2.8571428571428572</v>
      </c>
      <c r="DW46" s="5">
        <f t="shared" si="71"/>
        <v>1.0244045889709603</v>
      </c>
      <c r="DX46" s="5">
        <f t="shared" si="118"/>
        <v>1.8327382681718969</v>
      </c>
      <c r="DY46" s="173">
        <f t="shared" si="119"/>
        <v>0.3585416061398361</v>
      </c>
      <c r="EA46" s="5">
        <f t="shared" si="72"/>
        <v>1.7500245061587238</v>
      </c>
      <c r="EB46" s="5">
        <f t="shared" si="73"/>
        <v>0.2333366008211632</v>
      </c>
      <c r="EC46" s="5">
        <f t="shared" si="74"/>
        <v>0.62618557495873128</v>
      </c>
      <c r="ED46" s="5"/>
      <c r="EE46" s="173">
        <f t="shared" si="120"/>
        <v>0.84994712549800477</v>
      </c>
      <c r="EF46" s="173">
        <f t="shared" si="75"/>
        <v>0.7582845542856127</v>
      </c>
      <c r="EG46" s="173">
        <f t="shared" si="76"/>
        <v>7.5930926314275532E-2</v>
      </c>
      <c r="EH46" s="173"/>
      <c r="EI46" s="528">
        <f t="shared" si="77"/>
        <v>2.8896404645692843E-2</v>
      </c>
      <c r="EJ46" s="528">
        <f t="shared" si="78"/>
        <v>0.95778775318705067</v>
      </c>
      <c r="EK46" s="528">
        <f t="shared" si="79"/>
        <v>6.9999999999999993E-2</v>
      </c>
      <c r="EL46" s="528">
        <f t="shared" si="80"/>
        <v>0.10034082371311252</v>
      </c>
      <c r="EM46">
        <f t="shared" si="81"/>
        <v>1.0800000000000001E-2</v>
      </c>
      <c r="EN46" s="460">
        <f t="shared" si="121"/>
        <v>80.8</v>
      </c>
      <c r="EO46">
        <f t="shared" si="82"/>
        <v>1.1837544149867893</v>
      </c>
      <c r="EP46" s="460">
        <f t="shared" si="122"/>
        <v>1183.7544149867892</v>
      </c>
      <c r="EQ46" s="173">
        <f t="shared" si="83"/>
        <v>0.35587999999999997</v>
      </c>
      <c r="ER46" s="173">
        <f t="shared" si="170"/>
        <v>2.5420000000000002E-2</v>
      </c>
      <c r="ES46" s="528"/>
      <c r="EU46" s="460">
        <f t="shared" si="123"/>
        <v>381.29999999999995</v>
      </c>
      <c r="EV46" s="528">
        <f t="shared" si="85"/>
        <v>2.1672303484269632E-2</v>
      </c>
      <c r="EW46" s="528">
        <f t="shared" si="124"/>
        <v>1.7249863958043909E-2</v>
      </c>
      <c r="EX46" s="528">
        <f t="shared" si="86"/>
        <v>2.8827527854719702E-5</v>
      </c>
      <c r="EY46" s="528">
        <f t="shared" si="87"/>
        <v>1.0860429674235845</v>
      </c>
      <c r="EZ46" s="528">
        <f t="shared" si="88"/>
        <v>1.1378879506138713</v>
      </c>
      <c r="FA46" s="625">
        <f t="shared" si="89"/>
        <v>0.42312000000000005</v>
      </c>
      <c r="FB46" s="460">
        <f t="shared" si="125"/>
        <v>1561.0079506138711</v>
      </c>
      <c r="FC46" s="173">
        <f t="shared" si="126"/>
        <v>3.1260623656006605</v>
      </c>
      <c r="FD46" s="5">
        <f t="shared" si="127"/>
        <v>10.577999999999999</v>
      </c>
      <c r="FE46" s="173">
        <f t="shared" si="128"/>
        <v>0.77188790577547528</v>
      </c>
      <c r="FF46" s="5">
        <f t="shared" si="129"/>
        <v>77.188790577547522</v>
      </c>
      <c r="FG46">
        <f t="shared" si="130"/>
        <v>41</v>
      </c>
      <c r="FI46" s="562">
        <f t="shared" si="90"/>
        <v>-50</v>
      </c>
      <c r="FJ46">
        <f t="shared" si="91"/>
        <v>-50</v>
      </c>
      <c r="FL46">
        <f t="shared" si="92"/>
        <v>0.51313551298826043</v>
      </c>
    </row>
    <row r="47" spans="5:168">
      <c r="E47" s="170">
        <v>42</v>
      </c>
      <c r="F47" s="217">
        <f t="shared" si="174"/>
        <v>0.42</v>
      </c>
      <c r="G47" s="217">
        <f t="shared" si="171"/>
        <v>4.2000000000000003E-2</v>
      </c>
      <c r="H47" s="217">
        <f t="shared" si="135"/>
        <v>10.08</v>
      </c>
      <c r="I47" s="217">
        <f t="shared" si="175"/>
        <v>0.75600000000000001</v>
      </c>
      <c r="J47" s="541">
        <f t="shared" si="136"/>
        <v>23.891807846680585</v>
      </c>
      <c r="K47" s="443">
        <f t="shared" si="137"/>
        <v>16.491081977386301</v>
      </c>
      <c r="L47" s="172">
        <f t="shared" si="138"/>
        <v>40.382889824066886</v>
      </c>
      <c r="M47" s="443"/>
      <c r="N47" s="217">
        <f t="shared" si="139"/>
        <v>0.4083680501626249</v>
      </c>
      <c r="O47" s="172">
        <f t="shared" si="172"/>
        <v>50.421968915809046</v>
      </c>
      <c r="P47" s="172">
        <f t="shared" si="140"/>
        <v>4.0652712438371044</v>
      </c>
      <c r="Q47" s="217">
        <f t="shared" si="6"/>
        <v>2.1009153714920434</v>
      </c>
      <c r="R47" s="217">
        <f t="shared" si="141"/>
        <v>2.8012204953227249</v>
      </c>
      <c r="S47" s="443">
        <f t="shared" si="142"/>
        <v>24</v>
      </c>
      <c r="T47" s="217">
        <f t="shared" si="143"/>
        <v>2.221253997181456</v>
      </c>
      <c r="U47" s="217">
        <f t="shared" si="10"/>
        <v>0.92971365391676164</v>
      </c>
      <c r="V47" s="217">
        <f t="shared" si="11"/>
        <v>1.3469425476311327</v>
      </c>
      <c r="W47" s="197">
        <f t="shared" si="12"/>
        <v>350</v>
      </c>
      <c r="X47" s="443">
        <f t="shared" si="95"/>
        <v>350</v>
      </c>
      <c r="Z47" s="217">
        <f t="shared" si="13"/>
        <v>2.7876145672025858</v>
      </c>
      <c r="AA47" s="173">
        <f t="shared" si="14"/>
        <v>1.690376999535357</v>
      </c>
      <c r="AB47" s="173">
        <f t="shared" si="144"/>
        <v>0.55002215423667677</v>
      </c>
      <c r="AC47" s="173"/>
      <c r="AD47" s="173">
        <f t="shared" si="16"/>
        <v>1.34752966801662</v>
      </c>
      <c r="AE47" s="545">
        <f t="shared" si="145"/>
        <v>420.55967681460402</v>
      </c>
      <c r="AF47" s="528">
        <f t="shared" si="146"/>
        <v>0.34953422333164441</v>
      </c>
      <c r="AH47" s="173">
        <f t="shared" si="147"/>
        <v>2.4883729623993265</v>
      </c>
      <c r="AI47" s="173">
        <f t="shared" si="148"/>
        <v>2.4883729623993265</v>
      </c>
      <c r="AJ47" s="173">
        <f t="shared" si="149"/>
        <v>1.3971486964274846</v>
      </c>
      <c r="AL47" s="545">
        <f t="shared" si="150"/>
        <v>420</v>
      </c>
      <c r="AM47" s="460">
        <f t="shared" si="151"/>
        <v>350</v>
      </c>
      <c r="AO47">
        <f t="shared" si="96"/>
        <v>420</v>
      </c>
      <c r="AP47" s="460">
        <f t="shared" si="24"/>
        <v>350</v>
      </c>
      <c r="AQ47" s="460"/>
      <c r="AR47" s="5">
        <f t="shared" si="97"/>
        <v>2.8571428571428572</v>
      </c>
      <c r="AS47" s="5">
        <f t="shared" si="25"/>
        <v>1.041517234010841</v>
      </c>
      <c r="AT47" s="5">
        <f t="shared" si="98"/>
        <v>1.8156256231320163</v>
      </c>
      <c r="AU47" s="173">
        <f t="shared" si="99"/>
        <v>0.36453103190379432</v>
      </c>
      <c r="AW47" s="5">
        <f t="shared" si="152"/>
        <v>1.8226551595189715</v>
      </c>
      <c r="AX47" s="5">
        <f t="shared" si="153"/>
        <v>0.2430206879358629</v>
      </c>
      <c r="AY47" s="5">
        <f t="shared" si="28"/>
        <v>0.63834663882197051</v>
      </c>
      <c r="AZ47" s="5"/>
      <c r="BA47" s="173">
        <f t="shared" si="100"/>
        <v>0.86740535498083682</v>
      </c>
      <c r="BB47" s="173">
        <f t="shared" si="154"/>
        <v>0.763884774906881</v>
      </c>
      <c r="BC47" s="173">
        <f t="shared" si="155"/>
        <v>7.6491705162972809E-2</v>
      </c>
      <c r="BD47" s="173"/>
      <c r="BE47" s="528">
        <f t="shared" si="31"/>
        <v>3.0095681993977261E-2</v>
      </c>
      <c r="BF47" s="528">
        <f t="shared" si="156"/>
        <v>0.79134056805635167</v>
      </c>
      <c r="BG47" s="528">
        <f t="shared" si="157"/>
        <v>0.33448530985352826</v>
      </c>
      <c r="BH47" s="528">
        <f t="shared" si="34"/>
        <v>9.9885139670741904E-2</v>
      </c>
      <c r="BI47">
        <f t="shared" si="35"/>
        <v>1.0751313531006263E-2</v>
      </c>
      <c r="BJ47" s="460">
        <f t="shared" si="101"/>
        <v>345.23662338453454</v>
      </c>
      <c r="BK47">
        <f t="shared" si="158"/>
        <v>0.93614132147482132</v>
      </c>
      <c r="BL47" s="460">
        <f t="shared" si="102"/>
        <v>936.14132147482132</v>
      </c>
      <c r="BM47" s="173">
        <f t="shared" si="159"/>
        <v>0.36456</v>
      </c>
      <c r="BN47" s="173">
        <f t="shared" si="160"/>
        <v>2.6040000000000001E-2</v>
      </c>
      <c r="BO47" s="528"/>
      <c r="BQ47" s="460">
        <f t="shared" si="103"/>
        <v>390.6</v>
      </c>
      <c r="BR47" s="528">
        <f t="shared" si="39"/>
        <v>2.2571761495482946E-2</v>
      </c>
      <c r="BS47" s="528">
        <f t="shared" si="104"/>
        <v>1.7505598480036084E-2</v>
      </c>
      <c r="BT47" s="528">
        <f t="shared" si="161"/>
        <v>2.9254904793695809E-5</v>
      </c>
      <c r="BU47" s="528">
        <f t="shared" si="41"/>
        <v>1.1192543728183728</v>
      </c>
      <c r="BV47" s="528">
        <f t="shared" si="162"/>
        <v>1.1727493758755099</v>
      </c>
      <c r="BW47" s="625">
        <f t="shared" si="163"/>
        <v>0.43344000000000005</v>
      </c>
      <c r="BX47" s="460">
        <f t="shared" si="105"/>
        <v>1606.18937587551</v>
      </c>
      <c r="BY47" s="173">
        <f t="shared" si="106"/>
        <v>2.9329306973503311</v>
      </c>
      <c r="BZ47" s="5">
        <f t="shared" si="107"/>
        <v>10.836</v>
      </c>
      <c r="CA47" s="173">
        <f t="shared" si="108"/>
        <v>0.78698921783993447</v>
      </c>
      <c r="CB47" s="5">
        <f t="shared" si="109"/>
        <v>78.698921783993441</v>
      </c>
      <c r="CC47">
        <f t="shared" si="173"/>
        <v>42</v>
      </c>
      <c r="CE47" s="562">
        <f t="shared" si="164"/>
        <v>-50</v>
      </c>
      <c r="CF47">
        <f t="shared" si="165"/>
        <v>-50</v>
      </c>
      <c r="CG47" s="173">
        <f t="shared" si="166"/>
        <v>0.51935556448841902</v>
      </c>
      <c r="CH47" s="173">
        <f t="shared" si="167"/>
        <v>0.1415587575556802</v>
      </c>
      <c r="CI47" s="170">
        <v>42</v>
      </c>
      <c r="CJ47" s="217">
        <f t="shared" si="133"/>
        <v>0.42</v>
      </c>
      <c r="CK47" s="217">
        <f t="shared" si="111"/>
        <v>4.2000000000000003E-2</v>
      </c>
      <c r="CL47" s="217">
        <f t="shared" si="48"/>
        <v>10.08</v>
      </c>
      <c r="CM47" s="217">
        <f t="shared" si="134"/>
        <v>0.75600000000000001</v>
      </c>
      <c r="CN47" s="541">
        <f t="shared" si="112"/>
        <v>24</v>
      </c>
      <c r="CO47" s="443">
        <f t="shared" si="168"/>
        <v>16.474900000000002</v>
      </c>
      <c r="CP47" s="443">
        <f t="shared" si="169"/>
        <v>40.474900000000005</v>
      </c>
      <c r="CQ47" s="443"/>
      <c r="CR47" s="217">
        <f t="shared" si="113"/>
        <v>0.40507913686898112</v>
      </c>
      <c r="CS47" s="172">
        <f t="shared" si="114"/>
        <v>50.242373565144938</v>
      </c>
      <c r="CT47" s="172">
        <f t="shared" si="51"/>
        <v>4.0507913686898105</v>
      </c>
      <c r="CU47" s="217">
        <f t="shared" si="52"/>
        <v>2.0934322318810392</v>
      </c>
      <c r="CV47" s="217">
        <f t="shared" si="53"/>
        <v>2.7912429758413855</v>
      </c>
      <c r="CW47" s="443">
        <f t="shared" si="54"/>
        <v>24</v>
      </c>
      <c r="CX47" s="217">
        <f t="shared" si="55"/>
        <v>2.2291940458342259</v>
      </c>
      <c r="CY47" s="217">
        <f t="shared" si="56"/>
        <v>0.92883085243092744</v>
      </c>
      <c r="CZ47" s="217">
        <f t="shared" si="57"/>
        <v>1.3530850237841965</v>
      </c>
      <c r="DA47" s="197">
        <f t="shared" si="58"/>
        <v>350</v>
      </c>
      <c r="DB47" s="443">
        <f t="shared" si="115"/>
        <v>350</v>
      </c>
      <c r="DD47" s="217">
        <f t="shared" si="59"/>
        <v>2.7911308701724487</v>
      </c>
      <c r="DE47" s="173">
        <f t="shared" si="60"/>
        <v>1.6941716612376698</v>
      </c>
      <c r="DF47" s="173">
        <f t="shared" si="61"/>
        <v>0.55195223422072148</v>
      </c>
      <c r="DG47" s="173"/>
      <c r="DH47" s="173">
        <f t="shared" si="62"/>
        <v>1.3488532386977903</v>
      </c>
      <c r="DI47" s="545">
        <f t="shared" si="63"/>
        <v>420.14699999999976</v>
      </c>
      <c r="DJ47" s="528">
        <f t="shared" si="64"/>
        <v>0.34987754285999911</v>
      </c>
      <c r="DL47" s="173">
        <f t="shared" si="65"/>
        <v>2.4883729623993265</v>
      </c>
      <c r="DM47" s="173">
        <f t="shared" si="66"/>
        <v>2.4883729623993265</v>
      </c>
      <c r="DN47" s="173">
        <f t="shared" si="67"/>
        <v>1.3971486964274846</v>
      </c>
      <c r="DP47" s="545">
        <f t="shared" si="68"/>
        <v>420</v>
      </c>
      <c r="DQ47" s="460">
        <f t="shared" si="69"/>
        <v>350</v>
      </c>
      <c r="DS47">
        <f t="shared" si="116"/>
        <v>420</v>
      </c>
      <c r="DT47" s="460">
        <f t="shared" si="70"/>
        <v>350</v>
      </c>
      <c r="DU47" s="460"/>
      <c r="DV47" s="5">
        <f t="shared" si="117"/>
        <v>2.8571428571428572</v>
      </c>
      <c r="DW47" s="5">
        <f t="shared" si="71"/>
        <v>1.0368220676663862</v>
      </c>
      <c r="DX47" s="5">
        <f t="shared" si="118"/>
        <v>1.820320789476471</v>
      </c>
      <c r="DY47" s="173">
        <f t="shared" si="119"/>
        <v>0.36288772368323513</v>
      </c>
      <c r="EA47" s="5">
        <f t="shared" si="72"/>
        <v>1.814438618416176</v>
      </c>
      <c r="EB47" s="5">
        <f t="shared" si="73"/>
        <v>0.24192514912215679</v>
      </c>
      <c r="EC47" s="5">
        <f t="shared" si="74"/>
        <v>0.6371122763167647</v>
      </c>
      <c r="ED47" s="5"/>
      <c r="EE47" s="173">
        <f t="shared" si="120"/>
        <v>0.86544801211984845</v>
      </c>
      <c r="EF47" s="173">
        <f t="shared" si="75"/>
        <v>0.76487183147274362</v>
      </c>
      <c r="EG47" s="173">
        <f t="shared" si="76"/>
        <v>7.6590544205581493E-2</v>
      </c>
      <c r="EH47" s="173"/>
      <c r="EI47" s="528">
        <f t="shared" si="77"/>
        <v>2.9960010467287895E-2</v>
      </c>
      <c r="EJ47" s="528">
        <f t="shared" si="78"/>
        <v>0.96939772560223392</v>
      </c>
      <c r="EK47" s="528">
        <f t="shared" si="79"/>
        <v>6.9999999999999993E-2</v>
      </c>
      <c r="EL47" s="528">
        <f t="shared" si="80"/>
        <v>0.10034082371311252</v>
      </c>
      <c r="EM47">
        <f t="shared" si="81"/>
        <v>1.0800000000000001E-2</v>
      </c>
      <c r="EN47" s="460">
        <f t="shared" si="121"/>
        <v>80.8</v>
      </c>
      <c r="EO47">
        <f t="shared" si="82"/>
        <v>1.1971093839472369</v>
      </c>
      <c r="EP47" s="460">
        <f t="shared" si="122"/>
        <v>1197.1093839472369</v>
      </c>
      <c r="EQ47" s="173">
        <f t="shared" si="83"/>
        <v>0.36456</v>
      </c>
      <c r="ER47" s="173">
        <f t="shared" si="170"/>
        <v>2.6040000000000001E-2</v>
      </c>
      <c r="ES47" s="528"/>
      <c r="EU47" s="460">
        <f t="shared" si="123"/>
        <v>390.6</v>
      </c>
      <c r="EV47" s="528">
        <f t="shared" si="85"/>
        <v>2.247000785046592E-2</v>
      </c>
      <c r="EW47" s="528">
        <f t="shared" si="124"/>
        <v>1.7550867557414074E-2</v>
      </c>
      <c r="EX47" s="528">
        <f t="shared" si="86"/>
        <v>2.9330557308535663E-5</v>
      </c>
      <c r="EY47" s="528">
        <f t="shared" si="87"/>
        <v>1.1192543728183728</v>
      </c>
      <c r="EZ47" s="528">
        <f t="shared" si="88"/>
        <v>1.1726738946962132</v>
      </c>
      <c r="FA47" s="625">
        <f t="shared" si="89"/>
        <v>0.43344000000000005</v>
      </c>
      <c r="FB47" s="460">
        <f t="shared" si="125"/>
        <v>1606.1138946962133</v>
      </c>
      <c r="FC47" s="173">
        <f t="shared" si="126"/>
        <v>3.1938232786434502</v>
      </c>
      <c r="FD47" s="5">
        <f t="shared" si="127"/>
        <v>10.836</v>
      </c>
      <c r="FE47" s="173">
        <f t="shared" si="128"/>
        <v>0.77235470360448744</v>
      </c>
      <c r="FF47" s="5">
        <f t="shared" si="129"/>
        <v>77.235470360448744</v>
      </c>
      <c r="FG47">
        <f t="shared" si="130"/>
        <v>42</v>
      </c>
      <c r="FI47" s="562">
        <f t="shared" si="90"/>
        <v>-50</v>
      </c>
      <c r="FJ47">
        <f t="shared" si="91"/>
        <v>-50</v>
      </c>
      <c r="FL47">
        <f t="shared" si="92"/>
        <v>0.51935556448841913</v>
      </c>
    </row>
    <row r="48" spans="5:168">
      <c r="E48" s="170">
        <v>43</v>
      </c>
      <c r="F48" s="217">
        <f t="shared" si="174"/>
        <v>0.43</v>
      </c>
      <c r="G48" s="217">
        <f t="shared" si="171"/>
        <v>4.3000000000000003E-2</v>
      </c>
      <c r="H48" s="217">
        <f t="shared" si="135"/>
        <v>10.32</v>
      </c>
      <c r="I48" s="217">
        <f t="shared" si="175"/>
        <v>0.77400000000000002</v>
      </c>
      <c r="J48" s="541">
        <f t="shared" si="136"/>
        <v>23.890527421598858</v>
      </c>
      <c r="K48" s="443">
        <f t="shared" si="137"/>
        <v>16.491273486743324</v>
      </c>
      <c r="L48" s="172">
        <f t="shared" si="138"/>
        <v>40.381800908342186</v>
      </c>
      <c r="M48" s="443"/>
      <c r="N48" s="217">
        <f t="shared" si="139"/>
        <v>0.40838380448100597</v>
      </c>
      <c r="O48" s="172">
        <f t="shared" si="172"/>
        <v>50.421211780311829</v>
      </c>
      <c r="P48" s="172">
        <f t="shared" si="140"/>
        <v>4.0652101997876411</v>
      </c>
      <c r="Q48" s="217">
        <f t="shared" si="6"/>
        <v>2.1008838241796597</v>
      </c>
      <c r="R48" s="217">
        <f t="shared" si="141"/>
        <v>2.8011784322395461</v>
      </c>
      <c r="S48" s="443">
        <f t="shared" si="142"/>
        <v>24</v>
      </c>
      <c r="T48" s="217">
        <f t="shared" si="143"/>
        <v>2.2741751460928001</v>
      </c>
      <c r="U48" s="217">
        <f t="shared" si="10"/>
        <v>0.95191500210948576</v>
      </c>
      <c r="V48" s="217">
        <f t="shared" si="11"/>
        <v>1.3790173014357678</v>
      </c>
      <c r="W48" s="197">
        <f t="shared" si="12"/>
        <v>350</v>
      </c>
      <c r="X48" s="443">
        <f t="shared" si="95"/>
        <v>350</v>
      </c>
      <c r="Z48" s="217">
        <f t="shared" si="13"/>
        <v>2.7875727084258113</v>
      </c>
      <c r="AA48" s="173">
        <f t="shared" si="14"/>
        <v>1.6903319871971259</v>
      </c>
      <c r="AB48" s="173">
        <f t="shared" si="144"/>
        <v>0.54999924902390085</v>
      </c>
      <c r="AC48" s="173"/>
      <c r="AD48" s="173">
        <f t="shared" si="16"/>
        <v>1.3475140194652513</v>
      </c>
      <c r="AE48" s="545">
        <f t="shared" si="145"/>
        <v>430.5780026561244</v>
      </c>
      <c r="AF48" s="528">
        <f t="shared" si="146"/>
        <v>0.34953016427129213</v>
      </c>
      <c r="AH48" s="173">
        <f t="shared" si="147"/>
        <v>2.5178221882072154</v>
      </c>
      <c r="AI48" s="173">
        <f t="shared" si="148"/>
        <v>2.5178221882072154</v>
      </c>
      <c r="AJ48" s="173">
        <f t="shared" si="149"/>
        <v>1.4189629377666615</v>
      </c>
      <c r="AL48" s="545">
        <f t="shared" si="150"/>
        <v>430</v>
      </c>
      <c r="AM48" s="460">
        <f t="shared" si="151"/>
        <v>350</v>
      </c>
      <c r="AO48">
        <f t="shared" si="96"/>
        <v>430</v>
      </c>
      <c r="AP48" s="460">
        <f t="shared" si="24"/>
        <v>350</v>
      </c>
      <c r="AQ48" s="460"/>
      <c r="AR48" s="5">
        <f t="shared" si="97"/>
        <v>2.8571428571428572</v>
      </c>
      <c r="AS48" s="5">
        <f t="shared" si="25"/>
        <v>1.0538997920702715</v>
      </c>
      <c r="AT48" s="5">
        <f t="shared" si="98"/>
        <v>1.8032430650725857</v>
      </c>
      <c r="AU48" s="173">
        <f t="shared" si="99"/>
        <v>0.36886492722459502</v>
      </c>
      <c r="AW48" s="5">
        <f t="shared" si="152"/>
        <v>1.8882371274592364</v>
      </c>
      <c r="AX48" s="5">
        <f t="shared" si="153"/>
        <v>0.2517649503278982</v>
      </c>
      <c r="AY48" s="5">
        <f t="shared" si="28"/>
        <v>0.64912298024881265</v>
      </c>
      <c r="AZ48" s="5"/>
      <c r="BA48" s="173">
        <f t="shared" si="100"/>
        <v>0.88287274633164015</v>
      </c>
      <c r="BB48" s="173">
        <f t="shared" si="154"/>
        <v>0.77028496398504798</v>
      </c>
      <c r="BC48" s="173">
        <f t="shared" si="155"/>
        <v>7.7132588961205464E-2</v>
      </c>
      <c r="BD48" s="173"/>
      <c r="BE48" s="528">
        <f t="shared" si="31"/>
        <v>3.1178571448606904E-2</v>
      </c>
      <c r="BF48" s="528">
        <f t="shared" si="156"/>
        <v>0.80068428032347327</v>
      </c>
      <c r="BG48" s="528">
        <f t="shared" si="157"/>
        <v>0.33446738390238401</v>
      </c>
      <c r="BH48" s="528">
        <f t="shared" si="34"/>
        <v>9.9879752981810357E-2</v>
      </c>
      <c r="BI48">
        <f t="shared" si="35"/>
        <v>1.0750737339719485E-2</v>
      </c>
      <c r="BJ48" s="460">
        <f t="shared" si="101"/>
        <v>345.21812124210351</v>
      </c>
      <c r="BK48">
        <f t="shared" si="158"/>
        <v>0.94717753730811738</v>
      </c>
      <c r="BL48" s="460">
        <f t="shared" si="102"/>
        <v>947.17753730811739</v>
      </c>
      <c r="BM48" s="173">
        <f t="shared" si="159"/>
        <v>0.37323999999999996</v>
      </c>
      <c r="BN48" s="173">
        <f t="shared" si="160"/>
        <v>2.6660000000000003E-2</v>
      </c>
      <c r="BO48" s="528"/>
      <c r="BQ48" s="460">
        <f t="shared" si="103"/>
        <v>399.9</v>
      </c>
      <c r="BR48" s="528">
        <f t="shared" si="39"/>
        <v>2.3383928586455178E-2</v>
      </c>
      <c r="BS48" s="528">
        <f t="shared" si="104"/>
        <v>1.78001677722434E-2</v>
      </c>
      <c r="BT48" s="528">
        <f t="shared" si="161"/>
        <v>2.9747181399291375E-5</v>
      </c>
      <c r="BU48" s="528">
        <f t="shared" si="41"/>
        <v>1.152664071117171</v>
      </c>
      <c r="BV48" s="528">
        <f t="shared" si="162"/>
        <v>1.207751323031915</v>
      </c>
      <c r="BW48" s="625">
        <f t="shared" si="163"/>
        <v>0.44375999999999999</v>
      </c>
      <c r="BX48" s="460">
        <f t="shared" si="105"/>
        <v>1651.511323031915</v>
      </c>
      <c r="BY48" s="173">
        <f t="shared" si="106"/>
        <v>2.9985888603400324</v>
      </c>
      <c r="BZ48" s="5">
        <f t="shared" si="107"/>
        <v>11.094000000000001</v>
      </c>
      <c r="CA48" s="173">
        <f t="shared" si="108"/>
        <v>0.78722228470179889</v>
      </c>
      <c r="CB48" s="5">
        <f t="shared" si="109"/>
        <v>78.722228470179886</v>
      </c>
      <c r="CC48">
        <f t="shared" si="173"/>
        <v>43</v>
      </c>
      <c r="CE48" s="562">
        <f t="shared" si="164"/>
        <v>-50</v>
      </c>
      <c r="CF48">
        <f t="shared" si="165"/>
        <v>-50</v>
      </c>
      <c r="CG48" s="173">
        <f t="shared" si="166"/>
        <v>0.52550199813173259</v>
      </c>
      <c r="CH48" s="173">
        <f t="shared" si="167"/>
        <v>0.14323406743861744</v>
      </c>
      <c r="CI48" s="170">
        <v>43</v>
      </c>
      <c r="CJ48" s="217">
        <f t="shared" si="133"/>
        <v>0.43</v>
      </c>
      <c r="CK48" s="217">
        <f t="shared" si="111"/>
        <v>4.3000000000000003E-2</v>
      </c>
      <c r="CL48" s="217">
        <f t="shared" si="48"/>
        <v>10.32</v>
      </c>
      <c r="CM48" s="217">
        <f t="shared" si="134"/>
        <v>0.77400000000000002</v>
      </c>
      <c r="CN48" s="541">
        <f t="shared" si="112"/>
        <v>24</v>
      </c>
      <c r="CO48" s="443">
        <f t="shared" si="168"/>
        <v>16.474900000000002</v>
      </c>
      <c r="CP48" s="443">
        <f t="shared" si="169"/>
        <v>40.474900000000005</v>
      </c>
      <c r="CQ48" s="443"/>
      <c r="CR48" s="217">
        <f t="shared" si="113"/>
        <v>0.40507913686898112</v>
      </c>
      <c r="CS48" s="172">
        <f t="shared" si="114"/>
        <v>50.242373565144938</v>
      </c>
      <c r="CT48" s="172">
        <f t="shared" si="51"/>
        <v>4.0507913686898105</v>
      </c>
      <c r="CU48" s="217">
        <f t="shared" si="52"/>
        <v>2.0934322318810392</v>
      </c>
      <c r="CV48" s="217">
        <f t="shared" si="53"/>
        <v>2.7912429758413855</v>
      </c>
      <c r="CW48" s="443">
        <f t="shared" si="54"/>
        <v>24</v>
      </c>
      <c r="CX48" s="217">
        <f t="shared" si="55"/>
        <v>2.2822700945445646</v>
      </c>
      <c r="CY48" s="217">
        <f t="shared" si="56"/>
        <v>0.95094587272690201</v>
      </c>
      <c r="CZ48" s="217">
        <f t="shared" si="57"/>
        <v>1.3853013338742963</v>
      </c>
      <c r="DA48" s="197">
        <f t="shared" si="58"/>
        <v>350</v>
      </c>
      <c r="DB48" s="443">
        <f t="shared" si="115"/>
        <v>350</v>
      </c>
      <c r="DD48" s="217">
        <f t="shared" si="59"/>
        <v>2.7911308701724487</v>
      </c>
      <c r="DE48" s="173">
        <f t="shared" si="60"/>
        <v>1.6941716612376698</v>
      </c>
      <c r="DF48" s="173">
        <f t="shared" si="61"/>
        <v>0.55195223422072148</v>
      </c>
      <c r="DG48" s="173"/>
      <c r="DH48" s="173">
        <f t="shared" si="62"/>
        <v>1.3488532386977903</v>
      </c>
      <c r="DI48" s="545">
        <f t="shared" si="63"/>
        <v>430.15049999999991</v>
      </c>
      <c r="DJ48" s="528">
        <f t="shared" si="64"/>
        <v>0.34987754285999911</v>
      </c>
      <c r="DL48" s="173">
        <f t="shared" si="65"/>
        <v>2.5178221882072154</v>
      </c>
      <c r="DM48" s="173">
        <f t="shared" si="66"/>
        <v>2.5178221882072154</v>
      </c>
      <c r="DN48" s="173">
        <f t="shared" si="67"/>
        <v>1.4189629377666615</v>
      </c>
      <c r="DP48" s="545">
        <f t="shared" si="68"/>
        <v>430</v>
      </c>
      <c r="DQ48" s="460">
        <f t="shared" si="69"/>
        <v>350</v>
      </c>
      <c r="DS48">
        <f t="shared" si="116"/>
        <v>430</v>
      </c>
      <c r="DT48" s="460">
        <f t="shared" si="70"/>
        <v>350</v>
      </c>
      <c r="DU48" s="460"/>
      <c r="DV48" s="5">
        <f t="shared" si="117"/>
        <v>2.8571428571428572</v>
      </c>
      <c r="DW48" s="5">
        <f t="shared" si="71"/>
        <v>1.0490925784196732</v>
      </c>
      <c r="DX48" s="5">
        <f t="shared" si="118"/>
        <v>1.808050278723184</v>
      </c>
      <c r="DY48" s="173">
        <f t="shared" si="119"/>
        <v>0.3671824024468856</v>
      </c>
      <c r="EA48" s="5">
        <f t="shared" si="72"/>
        <v>1.8796242030019144</v>
      </c>
      <c r="EB48" s="5">
        <f t="shared" si="73"/>
        <v>0.25061656040025526</v>
      </c>
      <c r="EC48" s="5">
        <f t="shared" si="74"/>
        <v>0.64788468320914083</v>
      </c>
      <c r="ED48" s="5"/>
      <c r="EE48" s="173">
        <f t="shared" si="120"/>
        <v>0.8808568958685572</v>
      </c>
      <c r="EF48" s="173">
        <f t="shared" si="75"/>
        <v>0.77131102083496106</v>
      </c>
      <c r="EG48" s="173">
        <f t="shared" si="76"/>
        <v>7.7235333302527839E-2</v>
      </c>
      <c r="EH48" s="173"/>
      <c r="EI48" s="528">
        <f t="shared" si="77"/>
        <v>3.1036354839967611E-2</v>
      </c>
      <c r="EJ48" s="528">
        <f t="shared" si="78"/>
        <v>0.98087028737263182</v>
      </c>
      <c r="EK48" s="528">
        <f t="shared" si="79"/>
        <v>6.9999999999999993E-2</v>
      </c>
      <c r="EL48" s="528">
        <f t="shared" si="80"/>
        <v>0.10034082371311252</v>
      </c>
      <c r="EM48">
        <f t="shared" si="81"/>
        <v>1.0800000000000001E-2</v>
      </c>
      <c r="EN48" s="460">
        <f t="shared" si="121"/>
        <v>80.8</v>
      </c>
      <c r="EO48">
        <f t="shared" si="82"/>
        <v>1.2103527105752698</v>
      </c>
      <c r="EP48" s="460">
        <f t="shared" si="122"/>
        <v>1210.3527105752698</v>
      </c>
      <c r="EQ48" s="173">
        <f t="shared" si="83"/>
        <v>0.37323999999999996</v>
      </c>
      <c r="ER48" s="173">
        <f t="shared" si="170"/>
        <v>2.6660000000000003E-2</v>
      </c>
      <c r="ES48" s="528"/>
      <c r="EU48" s="460">
        <f t="shared" si="123"/>
        <v>399.9</v>
      </c>
      <c r="EV48" s="528">
        <f t="shared" si="85"/>
        <v>2.3277266129975709E-2</v>
      </c>
      <c r="EW48" s="528">
        <f t="shared" si="124"/>
        <v>1.7847620725844091E-2</v>
      </c>
      <c r="EX48" s="528">
        <f t="shared" si="86"/>
        <v>2.9826483551762832E-5</v>
      </c>
      <c r="EY48" s="528">
        <f t="shared" si="87"/>
        <v>1.152664071117171</v>
      </c>
      <c r="EZ48" s="528">
        <f t="shared" si="88"/>
        <v>1.207672027345462</v>
      </c>
      <c r="FA48" s="625">
        <f t="shared" si="89"/>
        <v>0.44375999999999999</v>
      </c>
      <c r="FB48" s="460">
        <f t="shared" si="125"/>
        <v>1651.4320273454618</v>
      </c>
      <c r="FC48" s="173">
        <f t="shared" si="126"/>
        <v>3.2616847379207319</v>
      </c>
      <c r="FD48" s="5">
        <f t="shared" si="127"/>
        <v>11.094000000000001</v>
      </c>
      <c r="FE48" s="173">
        <f t="shared" si="128"/>
        <v>0.77279490338033496</v>
      </c>
      <c r="FF48" s="5">
        <f t="shared" si="129"/>
        <v>77.279490338033497</v>
      </c>
      <c r="FG48">
        <f t="shared" si="130"/>
        <v>43</v>
      </c>
      <c r="FI48" s="562">
        <f t="shared" si="90"/>
        <v>-50</v>
      </c>
      <c r="FJ48">
        <f t="shared" si="91"/>
        <v>-50</v>
      </c>
      <c r="FL48">
        <f t="shared" si="92"/>
        <v>0.52550199813173259</v>
      </c>
    </row>
    <row r="49" spans="5:168">
      <c r="E49" s="170">
        <v>44</v>
      </c>
      <c r="F49" s="217">
        <f t="shared" si="174"/>
        <v>0.44</v>
      </c>
      <c r="G49" s="217">
        <f t="shared" si="171"/>
        <v>4.4000000000000004E-2</v>
      </c>
      <c r="H49" s="217">
        <f t="shared" si="135"/>
        <v>10.56</v>
      </c>
      <c r="I49" s="217">
        <f t="shared" si="175"/>
        <v>0.79200000000000004</v>
      </c>
      <c r="J49" s="541">
        <f t="shared" si="136"/>
        <v>23.889261800612001</v>
      </c>
      <c r="K49" s="443">
        <f t="shared" si="137"/>
        <v>16.491462781896075</v>
      </c>
      <c r="L49" s="172">
        <f t="shared" si="138"/>
        <v>40.38072458250808</v>
      </c>
      <c r="M49" s="443"/>
      <c r="N49" s="217">
        <f t="shared" si="139"/>
        <v>0.40839937748516192</v>
      </c>
      <c r="O49" s="172">
        <f t="shared" si="172"/>
        <v>50.420463296899214</v>
      </c>
      <c r="P49" s="172">
        <f t="shared" si="140"/>
        <v>4.0651498533124988</v>
      </c>
      <c r="Q49" s="217">
        <f t="shared" si="6"/>
        <v>2.1008526373708007</v>
      </c>
      <c r="R49" s="217">
        <f t="shared" si="141"/>
        <v>2.801136849827734</v>
      </c>
      <c r="S49" s="443">
        <f t="shared" si="142"/>
        <v>24</v>
      </c>
      <c r="T49" s="217">
        <f t="shared" si="143"/>
        <v>2.3270974850512558</v>
      </c>
      <c r="U49" s="217">
        <f t="shared" si="10"/>
        <v>0.97411862470846211</v>
      </c>
      <c r="V49" s="217">
        <f t="shared" si="11"/>
        <v>1.4110922213679473</v>
      </c>
      <c r="W49" s="197">
        <f t="shared" si="12"/>
        <v>350</v>
      </c>
      <c r="X49" s="443">
        <f t="shared" si="95"/>
        <v>350</v>
      </c>
      <c r="Z49" s="217">
        <f t="shared" si="13"/>
        <v>2.7875313279857141</v>
      </c>
      <c r="AA49" s="173">
        <f t="shared" si="14"/>
        <v>1.6902874928995373</v>
      </c>
      <c r="AB49" s="173">
        <f t="shared" si="144"/>
        <v>0.54997660718347319</v>
      </c>
      <c r="AC49" s="173"/>
      <c r="AD49" s="173">
        <f t="shared" si="16"/>
        <v>1.3474985521973974</v>
      </c>
      <c r="AE49" s="545">
        <f t="shared" si="145"/>
        <v>440.59650190912743</v>
      </c>
      <c r="AF49" s="528">
        <f t="shared" si="146"/>
        <v>0.34952615223386946</v>
      </c>
      <c r="AH49" s="173">
        <f t="shared" si="147"/>
        <v>2.5469309262045452</v>
      </c>
      <c r="AI49" s="173">
        <f t="shared" si="148"/>
        <v>2.5469309262045452</v>
      </c>
      <c r="AJ49" s="173">
        <f t="shared" si="149"/>
        <v>1.4405249659128316</v>
      </c>
      <c r="AL49" s="545">
        <f t="shared" si="150"/>
        <v>440</v>
      </c>
      <c r="AM49" s="460">
        <f t="shared" si="151"/>
        <v>350</v>
      </c>
      <c r="AO49">
        <f t="shared" si="96"/>
        <v>440</v>
      </c>
      <c r="AP49" s="460">
        <f t="shared" si="24"/>
        <v>350</v>
      </c>
      <c r="AQ49" s="460"/>
      <c r="AR49" s="5">
        <f t="shared" si="97"/>
        <v>2.8571428571428572</v>
      </c>
      <c r="AS49" s="5">
        <f t="shared" si="25"/>
        <v>1.0661404891712885</v>
      </c>
      <c r="AT49" s="5">
        <f t="shared" si="98"/>
        <v>1.7910023679715688</v>
      </c>
      <c r="AU49" s="173">
        <f t="shared" si="99"/>
        <v>0.37314917120995095</v>
      </c>
      <c r="AW49" s="5">
        <f t="shared" si="152"/>
        <v>1.9545908968140289</v>
      </c>
      <c r="AX49" s="5">
        <f t="shared" si="153"/>
        <v>0.26061211957520386</v>
      </c>
      <c r="AY49" s="5">
        <f t="shared" si="28"/>
        <v>0.65974499210963633</v>
      </c>
      <c r="AZ49" s="5"/>
      <c r="BA49" s="173">
        <f t="shared" si="100"/>
        <v>0.89825114650905458</v>
      </c>
      <c r="BB49" s="173">
        <f t="shared" si="154"/>
        <v>0.77654115195543372</v>
      </c>
      <c r="BC49" s="173">
        <f t="shared" si="155"/>
        <v>7.7759053189050853E-2</v>
      </c>
      <c r="BD49" s="173"/>
      <c r="BE49" s="528">
        <f t="shared" si="31"/>
        <v>3.2274204888193242E-2</v>
      </c>
      <c r="BF49" s="528">
        <f t="shared" si="156"/>
        <v>0.80991946556118644</v>
      </c>
      <c r="BG49" s="528">
        <f t="shared" si="157"/>
        <v>0.33444966520856806</v>
      </c>
      <c r="BH49" s="528">
        <f t="shared" si="34"/>
        <v>9.9874428715762784E-2</v>
      </c>
      <c r="BI49">
        <f t="shared" si="35"/>
        <v>1.07501678102754E-2</v>
      </c>
      <c r="BJ49" s="460">
        <f t="shared" si="101"/>
        <v>345.19983301884344</v>
      </c>
      <c r="BK49">
        <f t="shared" si="158"/>
        <v>0.95812940716050832</v>
      </c>
      <c r="BL49" s="460">
        <f t="shared" si="102"/>
        <v>958.12940716050832</v>
      </c>
      <c r="BM49" s="173">
        <f t="shared" si="159"/>
        <v>0.38191999999999998</v>
      </c>
      <c r="BN49" s="173">
        <f t="shared" si="160"/>
        <v>2.7280000000000002E-2</v>
      </c>
      <c r="BO49" s="528"/>
      <c r="BQ49" s="460">
        <f t="shared" si="103"/>
        <v>409.2</v>
      </c>
      <c r="BR49" s="528">
        <f t="shared" si="39"/>
        <v>2.4205653666144931E-2</v>
      </c>
      <c r="BS49" s="528">
        <f t="shared" si="104"/>
        <v>1.8090484820408159E-2</v>
      </c>
      <c r="BT49" s="528">
        <f t="shared" si="161"/>
        <v>3.0232351764288201E-5</v>
      </c>
      <c r="BU49" s="528">
        <f t="shared" si="41"/>
        <v>1.1862685930145402</v>
      </c>
      <c r="BV49" s="528">
        <f t="shared" si="162"/>
        <v>1.2429620988327073</v>
      </c>
      <c r="BW49" s="625">
        <f t="shared" si="163"/>
        <v>0.45408000000000004</v>
      </c>
      <c r="BX49" s="460">
        <f t="shared" si="105"/>
        <v>1697.0420988327073</v>
      </c>
      <c r="BY49" s="173">
        <f t="shared" si="106"/>
        <v>3.0643715059932157</v>
      </c>
      <c r="BZ49" s="5">
        <f t="shared" si="107"/>
        <v>11.352</v>
      </c>
      <c r="CA49" s="173">
        <f t="shared" si="108"/>
        <v>0.78743808698885942</v>
      </c>
      <c r="CB49" s="5">
        <f t="shared" si="109"/>
        <v>78.743808698885942</v>
      </c>
      <c r="CC49">
        <f t="shared" si="173"/>
        <v>44</v>
      </c>
      <c r="CE49" s="562">
        <f t="shared" si="164"/>
        <v>-50</v>
      </c>
      <c r="CF49">
        <f t="shared" si="165"/>
        <v>-50</v>
      </c>
      <c r="CG49" s="173">
        <f t="shared" si="166"/>
        <v>0.53157736757296459</v>
      </c>
      <c r="CH49" s="173">
        <f t="shared" si="167"/>
        <v>0.14489000762410426</v>
      </c>
      <c r="CI49" s="170">
        <v>44</v>
      </c>
      <c r="CJ49" s="217">
        <f t="shared" si="133"/>
        <v>0.44</v>
      </c>
      <c r="CK49" s="217">
        <f t="shared" si="111"/>
        <v>4.4000000000000004E-2</v>
      </c>
      <c r="CL49" s="217">
        <f t="shared" si="48"/>
        <v>10.56</v>
      </c>
      <c r="CM49" s="217">
        <f t="shared" si="134"/>
        <v>0.79200000000000004</v>
      </c>
      <c r="CN49" s="541">
        <f t="shared" si="112"/>
        <v>24</v>
      </c>
      <c r="CO49" s="443">
        <f t="shared" si="168"/>
        <v>16.474900000000002</v>
      </c>
      <c r="CP49" s="443">
        <f t="shared" si="169"/>
        <v>40.474900000000005</v>
      </c>
      <c r="CQ49" s="443"/>
      <c r="CR49" s="217">
        <f t="shared" si="113"/>
        <v>0.40507913686898112</v>
      </c>
      <c r="CS49" s="172">
        <f t="shared" si="114"/>
        <v>50.242373565144938</v>
      </c>
      <c r="CT49" s="172">
        <f t="shared" si="51"/>
        <v>4.0507913686898105</v>
      </c>
      <c r="CU49" s="217">
        <f t="shared" si="52"/>
        <v>2.0934322318810392</v>
      </c>
      <c r="CV49" s="217">
        <f t="shared" si="53"/>
        <v>2.7912429758413855</v>
      </c>
      <c r="CW49" s="443">
        <f t="shared" si="54"/>
        <v>24</v>
      </c>
      <c r="CX49" s="217">
        <f t="shared" si="55"/>
        <v>2.3353461432549034</v>
      </c>
      <c r="CY49" s="217">
        <f t="shared" si="56"/>
        <v>0.97306089302287646</v>
      </c>
      <c r="CZ49" s="217">
        <f t="shared" si="57"/>
        <v>1.4175176439643962</v>
      </c>
      <c r="DA49" s="197">
        <f t="shared" si="58"/>
        <v>350</v>
      </c>
      <c r="DB49" s="443">
        <f t="shared" si="115"/>
        <v>350</v>
      </c>
      <c r="DD49" s="217">
        <f t="shared" si="59"/>
        <v>2.7911308701724487</v>
      </c>
      <c r="DE49" s="173">
        <f t="shared" si="60"/>
        <v>1.6941716612376698</v>
      </c>
      <c r="DF49" s="173">
        <f t="shared" si="61"/>
        <v>0.55195223422072148</v>
      </c>
      <c r="DG49" s="173"/>
      <c r="DH49" s="173">
        <f t="shared" si="62"/>
        <v>1.3488532386977903</v>
      </c>
      <c r="DI49" s="545">
        <f t="shared" si="63"/>
        <v>440.15399999999983</v>
      </c>
      <c r="DJ49" s="528">
        <f t="shared" si="64"/>
        <v>0.34987754285999911</v>
      </c>
      <c r="DL49" s="173">
        <f t="shared" si="65"/>
        <v>2.5469309262045452</v>
      </c>
      <c r="DM49" s="173">
        <f t="shared" si="66"/>
        <v>2.5469309262045452</v>
      </c>
      <c r="DN49" s="173">
        <f t="shared" si="67"/>
        <v>1.4405249659128316</v>
      </c>
      <c r="DP49" s="545">
        <f t="shared" si="68"/>
        <v>440</v>
      </c>
      <c r="DQ49" s="460">
        <f t="shared" si="69"/>
        <v>350</v>
      </c>
      <c r="DS49">
        <f t="shared" si="116"/>
        <v>440</v>
      </c>
      <c r="DT49" s="460">
        <f t="shared" si="70"/>
        <v>350</v>
      </c>
      <c r="DU49" s="460"/>
      <c r="DV49" s="5">
        <f t="shared" si="117"/>
        <v>2.8571428571428572</v>
      </c>
      <c r="DW49" s="5">
        <f t="shared" si="71"/>
        <v>1.0612212192518939</v>
      </c>
      <c r="DX49" s="5">
        <f t="shared" si="118"/>
        <v>1.7959216378909633</v>
      </c>
      <c r="DY49" s="173">
        <f t="shared" si="119"/>
        <v>0.37142742673816287</v>
      </c>
      <c r="EA49" s="5">
        <f t="shared" si="72"/>
        <v>1.945572235295139</v>
      </c>
      <c r="EB49" s="5">
        <f t="shared" si="73"/>
        <v>0.25940963137268519</v>
      </c>
      <c r="EC49" s="5">
        <f t="shared" si="74"/>
        <v>0.6585046005600198</v>
      </c>
      <c r="ED49" s="5"/>
      <c r="EE49" s="173">
        <f t="shared" si="120"/>
        <v>0.89617644397174001</v>
      </c>
      <c r="EF49" s="173">
        <f t="shared" si="75"/>
        <v>0.77760686692207159</v>
      </c>
      <c r="EG49" s="173">
        <f t="shared" si="76"/>
        <v>7.7865768701250671E-2</v>
      </c>
      <c r="EH49" s="173"/>
      <c r="EI49" s="528">
        <f t="shared" si="77"/>
        <v>3.2125288749193334E-2</v>
      </c>
      <c r="EJ49" s="528">
        <f t="shared" si="78"/>
        <v>0.99221020499597501</v>
      </c>
      <c r="EK49" s="528">
        <f t="shared" si="79"/>
        <v>6.9999999999999993E-2</v>
      </c>
      <c r="EL49" s="528">
        <f t="shared" si="80"/>
        <v>0.10034082371311252</v>
      </c>
      <c r="EM49">
        <f t="shared" si="81"/>
        <v>1.0800000000000001E-2</v>
      </c>
      <c r="EN49" s="460">
        <f t="shared" si="121"/>
        <v>80.8</v>
      </c>
      <c r="EO49">
        <f t="shared" si="82"/>
        <v>1.2234889985371726</v>
      </c>
      <c r="EP49" s="460">
        <f t="shared" si="122"/>
        <v>1223.4889985371726</v>
      </c>
      <c r="EQ49" s="173">
        <f t="shared" si="83"/>
        <v>0.38191999999999998</v>
      </c>
      <c r="ER49" s="173">
        <f t="shared" si="170"/>
        <v>2.7280000000000002E-2</v>
      </c>
      <c r="ES49" s="528"/>
      <c r="EU49" s="460">
        <f t="shared" si="123"/>
        <v>409.2</v>
      </c>
      <c r="EV49" s="528">
        <f t="shared" si="85"/>
        <v>2.4093966561894997E-2</v>
      </c>
      <c r="EW49" s="528">
        <f t="shared" si="124"/>
        <v>1.814017318453081E-2</v>
      </c>
      <c r="EX49" s="528">
        <f t="shared" si="86"/>
        <v>3.0315389677183344E-5</v>
      </c>
      <c r="EY49" s="528">
        <f t="shared" si="87"/>
        <v>1.1862685930145402</v>
      </c>
      <c r="EZ49" s="528">
        <f t="shared" si="88"/>
        <v>1.2428788852942783</v>
      </c>
      <c r="FA49" s="625">
        <f t="shared" si="89"/>
        <v>0.45408000000000004</v>
      </c>
      <c r="FB49" s="460">
        <f t="shared" si="125"/>
        <v>1696.9588852942784</v>
      </c>
      <c r="FC49" s="173">
        <f t="shared" si="126"/>
        <v>3.3296478838314512</v>
      </c>
      <c r="FD49" s="5">
        <f t="shared" si="127"/>
        <v>11.352</v>
      </c>
      <c r="FE49" s="173">
        <f t="shared" si="128"/>
        <v>0.77321020704369881</v>
      </c>
      <c r="FF49" s="5">
        <f t="shared" si="129"/>
        <v>77.321020704369886</v>
      </c>
      <c r="FG49">
        <f t="shared" si="130"/>
        <v>44</v>
      </c>
      <c r="FI49" s="562">
        <f t="shared" si="90"/>
        <v>-50</v>
      </c>
      <c r="FJ49">
        <f t="shared" si="91"/>
        <v>-50</v>
      </c>
      <c r="FL49">
        <f t="shared" si="92"/>
        <v>0.53157736757296448</v>
      </c>
    </row>
    <row r="50" spans="5:168">
      <c r="E50" s="170">
        <v>45</v>
      </c>
      <c r="F50" s="217">
        <f t="shared" si="174"/>
        <v>0.45</v>
      </c>
      <c r="G50" s="217">
        <f t="shared" si="171"/>
        <v>4.5000000000000005E-2</v>
      </c>
      <c r="H50" s="217">
        <f t="shared" si="135"/>
        <v>10.8</v>
      </c>
      <c r="I50" s="217">
        <f t="shared" si="175"/>
        <v>0.81</v>
      </c>
      <c r="J50" s="541">
        <f t="shared" si="136"/>
        <v>23.888010481804777</v>
      </c>
      <c r="K50" s="443">
        <f t="shared" si="137"/>
        <v>16.491649937914513</v>
      </c>
      <c r="L50" s="172">
        <f t="shared" si="138"/>
        <v>40.379660419719286</v>
      </c>
      <c r="M50" s="443"/>
      <c r="N50" s="217">
        <f t="shared" si="139"/>
        <v>0.40841477532240128</v>
      </c>
      <c r="O50" s="172">
        <f t="shared" si="172"/>
        <v>50.419723172224622</v>
      </c>
      <c r="P50" s="172">
        <f t="shared" si="140"/>
        <v>4.0650901807606097</v>
      </c>
      <c r="Q50" s="217">
        <f t="shared" si="6"/>
        <v>2.1008217988426927</v>
      </c>
      <c r="R50" s="217">
        <f t="shared" si="141"/>
        <v>2.8010957317902569</v>
      </c>
      <c r="S50" s="443">
        <f t="shared" si="142"/>
        <v>24</v>
      </c>
      <c r="T50" s="217">
        <f t="shared" si="143"/>
        <v>2.3800210007123956</v>
      </c>
      <c r="U50" s="217">
        <f t="shared" si="10"/>
        <v>0.99632449614220919</v>
      </c>
      <c r="V50" s="217">
        <f t="shared" si="11"/>
        <v>1.4431673056803718</v>
      </c>
      <c r="W50" s="197">
        <f t="shared" si="12"/>
        <v>350</v>
      </c>
      <c r="X50" s="443">
        <f t="shared" si="95"/>
        <v>350</v>
      </c>
      <c r="Z50" s="217">
        <f t="shared" si="13"/>
        <v>2.787490409664418</v>
      </c>
      <c r="AA50" s="173">
        <f t="shared" si="14"/>
        <v>1.6902434990788535</v>
      </c>
      <c r="AB50" s="173">
        <f t="shared" si="144"/>
        <v>0.5499542197860402</v>
      </c>
      <c r="AC50" s="173"/>
      <c r="AD50" s="173">
        <f t="shared" si="16"/>
        <v>1.3474832600668447</v>
      </c>
      <c r="AE50" s="545">
        <f t="shared" si="145"/>
        <v>450.61517259144216</v>
      </c>
      <c r="AF50" s="528">
        <f t="shared" si="146"/>
        <v>0.34952218562511655</v>
      </c>
      <c r="AH50" s="173">
        <f t="shared" si="147"/>
        <v>2.5757107202257234</v>
      </c>
      <c r="AI50" s="173">
        <f t="shared" si="148"/>
        <v>2.5757107202257234</v>
      </c>
      <c r="AJ50" s="173">
        <f t="shared" si="149"/>
        <v>1.4618433318544453</v>
      </c>
      <c r="AL50" s="545">
        <f t="shared" si="150"/>
        <v>450</v>
      </c>
      <c r="AM50" s="460">
        <f t="shared" si="151"/>
        <v>350</v>
      </c>
      <c r="AO50">
        <f t="shared" si="96"/>
        <v>450</v>
      </c>
      <c r="AP50" s="460">
        <f t="shared" si="24"/>
        <v>350</v>
      </c>
      <c r="AQ50" s="460"/>
      <c r="AR50" s="5">
        <f t="shared" si="97"/>
        <v>2.8571428571428572</v>
      </c>
      <c r="AS50" s="5">
        <f t="shared" si="25"/>
        <v>1.0782441351437002</v>
      </c>
      <c r="AT50" s="5">
        <f t="shared" si="98"/>
        <v>1.778898721999157</v>
      </c>
      <c r="AU50" s="173">
        <f t="shared" si="99"/>
        <v>0.37738544730029505</v>
      </c>
      <c r="AW50" s="5">
        <f t="shared" si="152"/>
        <v>2.0217077533944376</v>
      </c>
      <c r="AX50" s="5">
        <f t="shared" si="153"/>
        <v>0.26956103378592511</v>
      </c>
      <c r="AY50" s="5">
        <f t="shared" si="28"/>
        <v>0.67021439521667625</v>
      </c>
      <c r="AZ50" s="5"/>
      <c r="BA50" s="173">
        <f t="shared" si="100"/>
        <v>0.91354308086768632</v>
      </c>
      <c r="BB50" s="173">
        <f t="shared" si="154"/>
        <v>0.78265781444598626</v>
      </c>
      <c r="BC50" s="173">
        <f t="shared" si="155"/>
        <v>7.8371546014118332E-2</v>
      </c>
      <c r="BD50" s="173"/>
      <c r="BE50" s="528">
        <f t="shared" si="31"/>
        <v>3.3382438424048963E-2</v>
      </c>
      <c r="BF50" s="528">
        <f t="shared" si="156"/>
        <v>0.81904980324939414</v>
      </c>
      <c r="BG50" s="528">
        <f t="shared" si="157"/>
        <v>0.33443214674526689</v>
      </c>
      <c r="BH50" s="528">
        <f t="shared" si="34"/>
        <v>9.9869164756225454E-2</v>
      </c>
      <c r="BI50">
        <f t="shared" si="35"/>
        <v>1.0749604716812149E-2</v>
      </c>
      <c r="BJ50" s="460">
        <f t="shared" si="101"/>
        <v>345.18175146207903</v>
      </c>
      <c r="BK50">
        <f t="shared" si="158"/>
        <v>0.96900045408692603</v>
      </c>
      <c r="BL50" s="460">
        <f t="shared" si="102"/>
        <v>969.00045408692608</v>
      </c>
      <c r="BM50" s="173">
        <f t="shared" si="159"/>
        <v>0.3906</v>
      </c>
      <c r="BN50" s="173">
        <f t="shared" si="160"/>
        <v>2.7900000000000005E-2</v>
      </c>
      <c r="BO50" s="528"/>
      <c r="BQ50" s="460">
        <f t="shared" si="103"/>
        <v>418.5</v>
      </c>
      <c r="BR50" s="528">
        <f t="shared" si="39"/>
        <v>2.5036828818036722E-2</v>
      </c>
      <c r="BS50" s="528">
        <f t="shared" si="104"/>
        <v>1.8376597635401035E-2</v>
      </c>
      <c r="BT50" s="528">
        <f t="shared" si="161"/>
        <v>3.0710496123215334E-5</v>
      </c>
      <c r="BU50" s="528">
        <f t="shared" si="41"/>
        <v>1.2200646076197443</v>
      </c>
      <c r="BV50" s="528">
        <f t="shared" si="162"/>
        <v>1.2783783810740592</v>
      </c>
      <c r="BW50" s="625">
        <f t="shared" si="163"/>
        <v>0.46440000000000015</v>
      </c>
      <c r="BX50" s="460">
        <f t="shared" si="105"/>
        <v>1742.7783810740593</v>
      </c>
      <c r="BY50" s="173">
        <f t="shared" si="106"/>
        <v>3.1302788351609854</v>
      </c>
      <c r="BZ50" s="5">
        <f t="shared" si="107"/>
        <v>11.610000000000001</v>
      </c>
      <c r="CA50" s="173">
        <f t="shared" si="108"/>
        <v>0.78763774619418203</v>
      </c>
      <c r="CB50" s="5">
        <f t="shared" si="109"/>
        <v>78.7637746194182</v>
      </c>
      <c r="CC50">
        <f t="shared" si="173"/>
        <v>45</v>
      </c>
      <c r="CE50" s="562">
        <f t="shared" si="164"/>
        <v>-50</v>
      </c>
      <c r="CF50">
        <f t="shared" si="165"/>
        <v>-50</v>
      </c>
      <c r="CG50" s="173">
        <f t="shared" si="166"/>
        <v>0.53758408215939746</v>
      </c>
      <c r="CH50" s="173">
        <f t="shared" si="167"/>
        <v>0.14652723481870378</v>
      </c>
      <c r="CI50" s="170">
        <v>45</v>
      </c>
      <c r="CJ50" s="217">
        <f t="shared" si="133"/>
        <v>0.45</v>
      </c>
      <c r="CK50" s="217">
        <f t="shared" si="111"/>
        <v>4.5000000000000005E-2</v>
      </c>
      <c r="CL50" s="217">
        <f t="shared" si="48"/>
        <v>10.8</v>
      </c>
      <c r="CM50" s="217">
        <f t="shared" si="134"/>
        <v>0.81</v>
      </c>
      <c r="CN50" s="541">
        <f t="shared" si="112"/>
        <v>24</v>
      </c>
      <c r="CO50" s="443">
        <f t="shared" si="168"/>
        <v>16.474900000000002</v>
      </c>
      <c r="CP50" s="443">
        <f t="shared" si="169"/>
        <v>40.474900000000005</v>
      </c>
      <c r="CQ50" s="443"/>
      <c r="CR50" s="217">
        <f t="shared" si="113"/>
        <v>0.40507913686898112</v>
      </c>
      <c r="CS50" s="172">
        <f t="shared" si="114"/>
        <v>50.242373565144938</v>
      </c>
      <c r="CT50" s="172">
        <f t="shared" si="51"/>
        <v>4.0507913686898105</v>
      </c>
      <c r="CU50" s="217">
        <f t="shared" si="52"/>
        <v>2.0934322318810392</v>
      </c>
      <c r="CV50" s="217">
        <f t="shared" si="53"/>
        <v>2.7912429758413855</v>
      </c>
      <c r="CW50" s="443">
        <f t="shared" si="54"/>
        <v>24</v>
      </c>
      <c r="CX50" s="217">
        <f t="shared" si="55"/>
        <v>2.3884221919652422</v>
      </c>
      <c r="CY50" s="217">
        <f t="shared" si="56"/>
        <v>0.99517591331885091</v>
      </c>
      <c r="CZ50" s="217">
        <f t="shared" si="57"/>
        <v>1.4497339540544965</v>
      </c>
      <c r="DA50" s="197">
        <f t="shared" si="58"/>
        <v>350</v>
      </c>
      <c r="DB50" s="443">
        <f t="shared" si="115"/>
        <v>350</v>
      </c>
      <c r="DD50" s="217">
        <f t="shared" si="59"/>
        <v>2.7911308701724487</v>
      </c>
      <c r="DE50" s="173">
        <f t="shared" si="60"/>
        <v>1.6941716612376698</v>
      </c>
      <c r="DF50" s="173">
        <f t="shared" si="61"/>
        <v>0.55195223422072148</v>
      </c>
      <c r="DG50" s="173"/>
      <c r="DH50" s="173">
        <f t="shared" si="62"/>
        <v>1.3488532386977903</v>
      </c>
      <c r="DI50" s="545">
        <f t="shared" si="63"/>
        <v>450.15749999999986</v>
      </c>
      <c r="DJ50" s="528">
        <f t="shared" si="64"/>
        <v>0.34987754285999911</v>
      </c>
      <c r="DL50" s="173">
        <f t="shared" si="65"/>
        <v>2.5757107202257234</v>
      </c>
      <c r="DM50" s="173">
        <f t="shared" si="66"/>
        <v>2.5757107202257234</v>
      </c>
      <c r="DN50" s="173">
        <f t="shared" si="67"/>
        <v>1.4618433318544453</v>
      </c>
      <c r="DP50" s="545">
        <f t="shared" si="68"/>
        <v>450</v>
      </c>
      <c r="DQ50" s="460">
        <f t="shared" si="69"/>
        <v>350</v>
      </c>
      <c r="DS50">
        <f t="shared" si="116"/>
        <v>450</v>
      </c>
      <c r="DT50" s="460">
        <f t="shared" si="70"/>
        <v>350</v>
      </c>
      <c r="DU50" s="460"/>
      <c r="DV50" s="5">
        <f t="shared" si="117"/>
        <v>2.8571428571428572</v>
      </c>
      <c r="DW50" s="5">
        <f t="shared" si="71"/>
        <v>1.0732128000940515</v>
      </c>
      <c r="DX50" s="5">
        <f t="shared" si="118"/>
        <v>1.7839300570488057</v>
      </c>
      <c r="DY50" s="173">
        <f t="shared" si="119"/>
        <v>0.37562448003291804</v>
      </c>
      <c r="EA50" s="5">
        <f t="shared" si="72"/>
        <v>2.0122740001763471</v>
      </c>
      <c r="EB50" s="5">
        <f t="shared" si="73"/>
        <v>0.26830320002351288</v>
      </c>
      <c r="EC50" s="5">
        <f t="shared" si="74"/>
        <v>0.66897377139330205</v>
      </c>
      <c r="ED50" s="5"/>
      <c r="EE50" s="173">
        <f t="shared" si="120"/>
        <v>0.91140918761706358</v>
      </c>
      <c r="EF50" s="173">
        <f t="shared" si="75"/>
        <v>0.78376384516153774</v>
      </c>
      <c r="EG50" s="173">
        <f t="shared" si="76"/>
        <v>7.8482298549283708E-2</v>
      </c>
      <c r="EH50" s="173"/>
      <c r="EI50" s="528">
        <f t="shared" si="77"/>
        <v>3.322666829091183E-2</v>
      </c>
      <c r="EJ50" s="528">
        <f t="shared" si="78"/>
        <v>1.0034219756143674</v>
      </c>
      <c r="EK50" s="528">
        <f t="shared" si="79"/>
        <v>6.9999999999999993E-2</v>
      </c>
      <c r="EL50" s="528">
        <f t="shared" si="80"/>
        <v>0.10034082371311252</v>
      </c>
      <c r="EM50">
        <f t="shared" si="81"/>
        <v>1.0800000000000001E-2</v>
      </c>
      <c r="EN50" s="460">
        <f t="shared" si="121"/>
        <v>80.8</v>
      </c>
      <c r="EO50">
        <f t="shared" si="82"/>
        <v>1.2365225890106055</v>
      </c>
      <c r="EP50" s="460">
        <f t="shared" si="122"/>
        <v>1236.5225890106055</v>
      </c>
      <c r="EQ50" s="173">
        <f t="shared" si="83"/>
        <v>0.3906</v>
      </c>
      <c r="ER50" s="173">
        <f t="shared" si="170"/>
        <v>2.7900000000000005E-2</v>
      </c>
      <c r="ES50" s="528"/>
      <c r="EU50" s="460">
        <f t="shared" si="123"/>
        <v>418.5</v>
      </c>
      <c r="EV50" s="528">
        <f t="shared" si="85"/>
        <v>2.4920001218183874E-2</v>
      </c>
      <c r="EW50" s="528">
        <f t="shared" si="124"/>
        <v>1.8428572949471967E-2</v>
      </c>
      <c r="EX50" s="528">
        <f t="shared" si="86"/>
        <v>3.0797355927894495E-5</v>
      </c>
      <c r="EY50" s="528">
        <f t="shared" si="87"/>
        <v>1.2200646076197443</v>
      </c>
      <c r="EZ50" s="528">
        <f t="shared" si="88"/>
        <v>1.278291145630718</v>
      </c>
      <c r="FA50" s="625">
        <f t="shared" si="89"/>
        <v>0.46440000000000015</v>
      </c>
      <c r="FB50" s="460">
        <f t="shared" si="125"/>
        <v>1742.6911456307182</v>
      </c>
      <c r="FC50" s="173">
        <f t="shared" si="126"/>
        <v>3.3977137346413242</v>
      </c>
      <c r="FD50" s="5">
        <f t="shared" si="127"/>
        <v>11.610000000000001</v>
      </c>
      <c r="FE50" s="173">
        <f t="shared" si="128"/>
        <v>0.7736021758731576</v>
      </c>
      <c r="FF50" s="5">
        <f t="shared" si="129"/>
        <v>77.360217587315759</v>
      </c>
      <c r="FG50">
        <f t="shared" si="130"/>
        <v>45</v>
      </c>
      <c r="FI50" s="562">
        <f t="shared" si="90"/>
        <v>-50</v>
      </c>
      <c r="FJ50">
        <f t="shared" si="91"/>
        <v>-50</v>
      </c>
      <c r="FL50">
        <f t="shared" si="92"/>
        <v>0.53758408215939746</v>
      </c>
    </row>
    <row r="51" spans="5:168">
      <c r="E51" s="170">
        <v>46</v>
      </c>
      <c r="F51" s="217">
        <f t="shared" si="174"/>
        <v>0.46</v>
      </c>
      <c r="G51" s="217">
        <f t="shared" si="171"/>
        <v>4.6000000000000006E-2</v>
      </c>
      <c r="H51" s="217">
        <f t="shared" si="135"/>
        <v>11.040000000000001</v>
      </c>
      <c r="I51" s="217">
        <f t="shared" si="175"/>
        <v>0.82800000000000007</v>
      </c>
      <c r="J51" s="541">
        <f t="shared" si="136"/>
        <v>23.886772990998168</v>
      </c>
      <c r="K51" s="443">
        <f t="shared" si="137"/>
        <v>16.491835025720178</v>
      </c>
      <c r="L51" s="172">
        <f t="shared" si="138"/>
        <v>40.378608016718346</v>
      </c>
      <c r="M51" s="443"/>
      <c r="N51" s="217">
        <f t="shared" si="139"/>
        <v>0.40843000380032674</v>
      </c>
      <c r="O51" s="172">
        <f t="shared" si="172"/>
        <v>50.418991129152054</v>
      </c>
      <c r="P51" s="172">
        <f t="shared" si="140"/>
        <v>4.0650311597878845</v>
      </c>
      <c r="Q51" s="217">
        <f t="shared" si="6"/>
        <v>2.1007912970480023</v>
      </c>
      <c r="R51" s="217">
        <f t="shared" si="141"/>
        <v>2.8010550627306698</v>
      </c>
      <c r="S51" s="443">
        <f t="shared" si="142"/>
        <v>24</v>
      </c>
      <c r="T51" s="217">
        <f t="shared" si="143"/>
        <v>2.4329456801792548</v>
      </c>
      <c r="U51" s="217">
        <f t="shared" si="10"/>
        <v>1.0185325916967189</v>
      </c>
      <c r="V51" s="217">
        <f t="shared" si="11"/>
        <v>1.4752425526843465</v>
      </c>
      <c r="W51" s="197">
        <f t="shared" si="12"/>
        <v>350</v>
      </c>
      <c r="X51" s="443">
        <f t="shared" si="95"/>
        <v>350</v>
      </c>
      <c r="Z51" s="217">
        <f t="shared" si="13"/>
        <v>2.7874499381402638</v>
      </c>
      <c r="AA51" s="173">
        <f t="shared" si="14"/>
        <v>1.6901999891419235</v>
      </c>
      <c r="AB51" s="173">
        <f t="shared" si="144"/>
        <v>0.54993207839569047</v>
      </c>
      <c r="AC51" s="173"/>
      <c r="AD51" s="173">
        <f t="shared" si="16"/>
        <v>1.3474681372670236</v>
      </c>
      <c r="AE51" s="545">
        <f t="shared" si="145"/>
        <v>460.6340127873566</v>
      </c>
      <c r="AF51" s="528">
        <f t="shared" si="146"/>
        <v>0.34951826293887411</v>
      </c>
      <c r="AH51" s="173">
        <f t="shared" si="147"/>
        <v>2.6041724761839959</v>
      </c>
      <c r="AI51" s="173">
        <f t="shared" si="148"/>
        <v>2.6041724761839959</v>
      </c>
      <c r="AJ51" s="173">
        <f t="shared" si="149"/>
        <v>1.4829261140457581</v>
      </c>
      <c r="AL51" s="545">
        <f t="shared" si="150"/>
        <v>460</v>
      </c>
      <c r="AM51" s="460">
        <f t="shared" si="151"/>
        <v>350</v>
      </c>
      <c r="AO51">
        <f t="shared" si="96"/>
        <v>460</v>
      </c>
      <c r="AP51" s="460">
        <f t="shared" si="24"/>
        <v>350</v>
      </c>
      <c r="AQ51" s="460"/>
      <c r="AR51" s="5">
        <f t="shared" si="97"/>
        <v>2.8571428571428572</v>
      </c>
      <c r="AS51" s="5">
        <f t="shared" si="25"/>
        <v>1.0902152740202244</v>
      </c>
      <c r="AT51" s="5">
        <f t="shared" si="98"/>
        <v>1.7669275831226328</v>
      </c>
      <c r="AU51" s="173">
        <f t="shared" si="99"/>
        <v>0.38157534590707853</v>
      </c>
      <c r="AW51" s="5">
        <f t="shared" si="152"/>
        <v>2.0895792752054305</v>
      </c>
      <c r="AX51" s="5">
        <f t="shared" si="153"/>
        <v>0.27861057002739076</v>
      </c>
      <c r="AY51" s="5">
        <f t="shared" si="28"/>
        <v>0.68053285267349684</v>
      </c>
      <c r="AZ51" s="5"/>
      <c r="BA51" s="173">
        <f t="shared" si="100"/>
        <v>0.92875094875041797</v>
      </c>
      <c r="BB51" s="173">
        <f t="shared" si="154"/>
        <v>0.78863917854848609</v>
      </c>
      <c r="BC51" s="173">
        <f t="shared" si="155"/>
        <v>7.8970490716814598E-2</v>
      </c>
      <c r="BD51" s="173"/>
      <c r="BE51" s="528">
        <f t="shared" si="31"/>
        <v>3.4503132992192057E-2</v>
      </c>
      <c r="BF51" s="528">
        <f t="shared" si="156"/>
        <v>0.8280787695371129</v>
      </c>
      <c r="BG51" s="528">
        <f t="shared" si="157"/>
        <v>0.33441482187397431</v>
      </c>
      <c r="BH51" s="528">
        <f t="shared" si="34"/>
        <v>9.9863959103777183E-2</v>
      </c>
      <c r="BI51">
        <f t="shared" si="35"/>
        <v>1.0749047845949175E-2</v>
      </c>
      <c r="BJ51" s="460">
        <f t="shared" si="101"/>
        <v>345.16386971992347</v>
      </c>
      <c r="BK51">
        <f t="shared" si="158"/>
        <v>0.97979400431073294</v>
      </c>
      <c r="BL51" s="460">
        <f t="shared" si="102"/>
        <v>979.79400431073293</v>
      </c>
      <c r="BM51" s="173">
        <f t="shared" si="159"/>
        <v>0.39928000000000002</v>
      </c>
      <c r="BN51" s="173">
        <f t="shared" si="160"/>
        <v>2.8520000000000004E-2</v>
      </c>
      <c r="BO51" s="528"/>
      <c r="BQ51" s="460">
        <f t="shared" si="103"/>
        <v>427.8</v>
      </c>
      <c r="BR51" s="528">
        <f t="shared" si="39"/>
        <v>2.5877349744144042E-2</v>
      </c>
      <c r="BS51" s="528">
        <f t="shared" si="104"/>
        <v>1.8658552618248926E-2</v>
      </c>
      <c r="BT51" s="528">
        <f t="shared" si="161"/>
        <v>3.1181692020272505E-5</v>
      </c>
      <c r="BU51" s="528">
        <f t="shared" si="41"/>
        <v>1.2540489139714541</v>
      </c>
      <c r="BV51" s="528">
        <f t="shared" si="162"/>
        <v>1.3139969793048405</v>
      </c>
      <c r="BW51" s="625">
        <f t="shared" si="163"/>
        <v>0.47471999999999998</v>
      </c>
      <c r="BX51" s="460">
        <f t="shared" si="105"/>
        <v>1788.7169793048406</v>
      </c>
      <c r="BY51" s="173">
        <f t="shared" si="106"/>
        <v>3.1963109836155739</v>
      </c>
      <c r="BZ51" s="5">
        <f t="shared" si="107"/>
        <v>11.868</v>
      </c>
      <c r="CA51" s="173">
        <f t="shared" si="108"/>
        <v>0.78782229156766725</v>
      </c>
      <c r="CB51" s="5">
        <f t="shared" si="109"/>
        <v>78.782229156766732</v>
      </c>
      <c r="CC51">
        <f t="shared" si="173"/>
        <v>46</v>
      </c>
      <c r="CE51" s="562">
        <f t="shared" si="164"/>
        <v>-50</v>
      </c>
      <c r="CF51">
        <f t="shared" si="165"/>
        <v>-50</v>
      </c>
      <c r="CG51" s="173">
        <f t="shared" si="166"/>
        <v>0.54352441809593144</v>
      </c>
      <c r="CH51" s="173">
        <f t="shared" si="167"/>
        <v>0.14814636943886988</v>
      </c>
      <c r="CI51" s="170">
        <v>46</v>
      </c>
      <c r="CJ51" s="217">
        <f t="shared" si="133"/>
        <v>0.46</v>
      </c>
      <c r="CK51" s="217">
        <f t="shared" si="111"/>
        <v>4.6000000000000006E-2</v>
      </c>
      <c r="CL51" s="217">
        <f t="shared" si="48"/>
        <v>11.040000000000001</v>
      </c>
      <c r="CM51" s="217">
        <f t="shared" si="134"/>
        <v>0.82800000000000007</v>
      </c>
      <c r="CN51" s="541">
        <f t="shared" si="112"/>
        <v>24</v>
      </c>
      <c r="CO51" s="443">
        <f t="shared" si="168"/>
        <v>16.474900000000002</v>
      </c>
      <c r="CP51" s="443">
        <f t="shared" si="169"/>
        <v>40.474900000000005</v>
      </c>
      <c r="CQ51" s="443"/>
      <c r="CR51" s="217">
        <f t="shared" si="113"/>
        <v>0.40507913686898112</v>
      </c>
      <c r="CS51" s="172">
        <f t="shared" si="114"/>
        <v>50.242373565144938</v>
      </c>
      <c r="CT51" s="172">
        <f t="shared" si="51"/>
        <v>4.0507913686898105</v>
      </c>
      <c r="CU51" s="217">
        <f t="shared" si="52"/>
        <v>2.0934322318810392</v>
      </c>
      <c r="CV51" s="217">
        <f t="shared" si="53"/>
        <v>2.7912429758413855</v>
      </c>
      <c r="CW51" s="443">
        <f t="shared" si="54"/>
        <v>24</v>
      </c>
      <c r="CX51" s="217">
        <f t="shared" si="55"/>
        <v>2.4414982406755805</v>
      </c>
      <c r="CY51" s="217">
        <f t="shared" si="56"/>
        <v>1.0172909336148253</v>
      </c>
      <c r="CZ51" s="217">
        <f t="shared" si="57"/>
        <v>1.4819502641445959</v>
      </c>
      <c r="DA51" s="197">
        <f t="shared" si="58"/>
        <v>350</v>
      </c>
      <c r="DB51" s="443">
        <f t="shared" si="115"/>
        <v>350</v>
      </c>
      <c r="DD51" s="217">
        <f t="shared" si="59"/>
        <v>2.7911308701724487</v>
      </c>
      <c r="DE51" s="173">
        <f t="shared" si="60"/>
        <v>1.6941716612376698</v>
      </c>
      <c r="DF51" s="173">
        <f t="shared" si="61"/>
        <v>0.55195223422072148</v>
      </c>
      <c r="DG51" s="173"/>
      <c r="DH51" s="173">
        <f t="shared" si="62"/>
        <v>1.3488532386977903</v>
      </c>
      <c r="DI51" s="545">
        <f t="shared" si="63"/>
        <v>460.16099999999989</v>
      </c>
      <c r="DJ51" s="528">
        <f t="shared" si="64"/>
        <v>0.34987754285999911</v>
      </c>
      <c r="DL51" s="173">
        <f t="shared" si="65"/>
        <v>2.6041724761839959</v>
      </c>
      <c r="DM51" s="173">
        <f t="shared" si="66"/>
        <v>2.6041724761839959</v>
      </c>
      <c r="DN51" s="173">
        <f t="shared" si="67"/>
        <v>1.4829261140457581</v>
      </c>
      <c r="DP51" s="545">
        <f t="shared" si="68"/>
        <v>460</v>
      </c>
      <c r="DQ51" s="460">
        <f t="shared" si="69"/>
        <v>350</v>
      </c>
      <c r="DS51">
        <f t="shared" si="116"/>
        <v>460</v>
      </c>
      <c r="DT51" s="460">
        <f t="shared" si="70"/>
        <v>350</v>
      </c>
      <c r="DU51" s="460"/>
      <c r="DV51" s="5">
        <f t="shared" si="117"/>
        <v>2.8571428571428572</v>
      </c>
      <c r="DW51" s="5">
        <f t="shared" si="71"/>
        <v>1.0850718650766651</v>
      </c>
      <c r="DX51" s="5">
        <f t="shared" si="118"/>
        <v>1.7720709920661921</v>
      </c>
      <c r="DY51" s="173">
        <f t="shared" si="119"/>
        <v>0.37977515277683277</v>
      </c>
      <c r="EA51" s="5">
        <f t="shared" si="72"/>
        <v>2.079721074730275</v>
      </c>
      <c r="EB51" s="5">
        <f t="shared" si="73"/>
        <v>0.27729614329737001</v>
      </c>
      <c r="EC51" s="5">
        <f t="shared" si="74"/>
        <v>0.6792938802920403</v>
      </c>
      <c r="ED51" s="5"/>
      <c r="EE51" s="173">
        <f t="shared" si="120"/>
        <v>0.9265575317532404</v>
      </c>
      <c r="EF51" s="173">
        <f t="shared" si="75"/>
        <v>0.7897861825997482</v>
      </c>
      <c r="EG51" s="173">
        <f t="shared" si="76"/>
        <v>7.9085346122488284E-2</v>
      </c>
      <c r="EH51" s="173"/>
      <c r="EI51" s="528">
        <f t="shared" si="77"/>
        <v>3.4340354385946285E-2</v>
      </c>
      <c r="EJ51" s="528">
        <f t="shared" si="78"/>
        <v>1.0145098478543841</v>
      </c>
      <c r="EK51" s="528">
        <f t="shared" si="79"/>
        <v>6.9999999999999993E-2</v>
      </c>
      <c r="EL51" s="528">
        <f t="shared" si="80"/>
        <v>0.10034082371311252</v>
      </c>
      <c r="EM51">
        <f t="shared" si="81"/>
        <v>1.0800000000000001E-2</v>
      </c>
      <c r="EN51" s="460">
        <f t="shared" si="121"/>
        <v>80.8</v>
      </c>
      <c r="EO51">
        <f t="shared" si="82"/>
        <v>1.2494575811493944</v>
      </c>
      <c r="EP51" s="460">
        <f t="shared" si="122"/>
        <v>1249.4575811493944</v>
      </c>
      <c r="EQ51" s="173">
        <f t="shared" si="83"/>
        <v>0.39928000000000002</v>
      </c>
      <c r="ER51" s="173">
        <f t="shared" si="170"/>
        <v>2.8520000000000004E-2</v>
      </c>
      <c r="ES51" s="528"/>
      <c r="EU51" s="460">
        <f t="shared" si="123"/>
        <v>427.8</v>
      </c>
      <c r="EV51" s="528">
        <f t="shared" si="85"/>
        <v>2.5755265789459712E-2</v>
      </c>
      <c r="EW51" s="528">
        <f t="shared" si="124"/>
        <v>1.8712866426764483E-2</v>
      </c>
      <c r="EX51" s="528">
        <f t="shared" si="86"/>
        <v>3.1272459856568861E-5</v>
      </c>
      <c r="EY51" s="528">
        <f t="shared" si="87"/>
        <v>1.2540489139714541</v>
      </c>
      <c r="EZ51" s="528">
        <f t="shared" si="88"/>
        <v>1.313905617191039</v>
      </c>
      <c r="FA51" s="625">
        <f t="shared" si="89"/>
        <v>0.47471999999999998</v>
      </c>
      <c r="FB51" s="460">
        <f t="shared" si="125"/>
        <v>1788.6256171910391</v>
      </c>
      <c r="FC51" s="173">
        <f t="shared" si="126"/>
        <v>3.4658831983404337</v>
      </c>
      <c r="FD51" s="5">
        <f t="shared" si="127"/>
        <v>11.868</v>
      </c>
      <c r="FE51" s="173">
        <f t="shared" si="128"/>
        <v>0.77397224476605242</v>
      </c>
      <c r="FF51" s="5">
        <f t="shared" si="129"/>
        <v>77.397224476605246</v>
      </c>
      <c r="FG51">
        <f t="shared" si="130"/>
        <v>46</v>
      </c>
      <c r="FI51" s="562">
        <f t="shared" si="90"/>
        <v>-50</v>
      </c>
      <c r="FJ51">
        <f t="shared" si="91"/>
        <v>-50</v>
      </c>
      <c r="FL51">
        <f t="shared" si="92"/>
        <v>0.54352441809593155</v>
      </c>
    </row>
    <row r="52" spans="5:168">
      <c r="E52" s="170">
        <v>47</v>
      </c>
      <c r="F52" s="217">
        <f t="shared" si="174"/>
        <v>0.47</v>
      </c>
      <c r="G52" s="217">
        <f t="shared" si="171"/>
        <v>4.7E-2</v>
      </c>
      <c r="H52" s="217">
        <f t="shared" si="135"/>
        <v>11.28</v>
      </c>
      <c r="I52" s="217">
        <f t="shared" si="175"/>
        <v>0.84599999999999997</v>
      </c>
      <c r="J52" s="541">
        <f t="shared" si="136"/>
        <v>23.885548879649857</v>
      </c>
      <c r="K52" s="443">
        <f t="shared" si="137"/>
        <v>16.492018112400213</v>
      </c>
      <c r="L52" s="172">
        <f t="shared" si="138"/>
        <v>40.37756699205007</v>
      </c>
      <c r="M52" s="443"/>
      <c r="N52" s="217">
        <f t="shared" si="139"/>
        <v>0.40844506841255002</v>
      </c>
      <c r="O52" s="172">
        <f t="shared" si="172"/>
        <v>50.418266905529158</v>
      </c>
      <c r="P52" s="172">
        <f t="shared" si="140"/>
        <v>4.0649727692582882</v>
      </c>
      <c r="Q52" s="217">
        <f t="shared" si="6"/>
        <v>2.1007611210637149</v>
      </c>
      <c r="R52" s="217">
        <f t="shared" si="141"/>
        <v>2.8010148280849534</v>
      </c>
      <c r="S52" s="443">
        <f t="shared" si="142"/>
        <v>24</v>
      </c>
      <c r="T52" s="217">
        <f t="shared" si="143"/>
        <v>2.4858715109778702</v>
      </c>
      <c r="U52" s="217">
        <f t="shared" si="10"/>
        <v>1.0407428874685802</v>
      </c>
      <c r="V52" s="217">
        <f t="shared" si="11"/>
        <v>1.507317960746577</v>
      </c>
      <c r="W52" s="197">
        <f t="shared" si="12"/>
        <v>350</v>
      </c>
      <c r="X52" s="443">
        <f t="shared" si="95"/>
        <v>350</v>
      </c>
      <c r="Z52" s="217">
        <f t="shared" si="13"/>
        <v>2.7874098989199694</v>
      </c>
      <c r="AA52" s="173">
        <f t="shared" si="14"/>
        <v>1.690156947392714</v>
      </c>
      <c r="AB52" s="173">
        <f t="shared" si="144"/>
        <v>0.54991017503260464</v>
      </c>
      <c r="AC52" s="173"/>
      <c r="AD52" s="173">
        <f t="shared" si="16"/>
        <v>1.347453178305299</v>
      </c>
      <c r="AE52" s="545">
        <f t="shared" si="145"/>
        <v>470.65302064398492</v>
      </c>
      <c r="AF52" s="528">
        <f t="shared" si="146"/>
        <v>0.34951438275041347</v>
      </c>
      <c r="AH52" s="173">
        <f t="shared" si="147"/>
        <v>2.6323265103597722</v>
      </c>
      <c r="AI52" s="173">
        <f t="shared" si="148"/>
        <v>2.6323265103597722</v>
      </c>
      <c r="AJ52" s="173">
        <f t="shared" si="149"/>
        <v>1.5037809541759628</v>
      </c>
      <c r="AL52" s="545">
        <f t="shared" si="150"/>
        <v>470</v>
      </c>
      <c r="AM52" s="460">
        <f t="shared" si="151"/>
        <v>350</v>
      </c>
      <c r="AO52">
        <f t="shared" si="96"/>
        <v>470</v>
      </c>
      <c r="AP52" s="460">
        <f t="shared" si="24"/>
        <v>350</v>
      </c>
      <c r="AQ52" s="460"/>
      <c r="AR52" s="5">
        <f t="shared" si="97"/>
        <v>2.8571428571428572</v>
      </c>
      <c r="AS52" s="5">
        <f t="shared" si="25"/>
        <v>1.1020582041564373</v>
      </c>
      <c r="AT52" s="5">
        <f t="shared" si="98"/>
        <v>1.7550846529864199</v>
      </c>
      <c r="AU52" s="173">
        <f t="shared" si="99"/>
        <v>0.38572037145475302</v>
      </c>
      <c r="AW52" s="5">
        <f t="shared" si="152"/>
        <v>2.1581973164730228</v>
      </c>
      <c r="AX52" s="5">
        <f t="shared" si="153"/>
        <v>0.2877596421964031</v>
      </c>
      <c r="AY52" s="5">
        <f t="shared" si="28"/>
        <v>0.69070197302973546</v>
      </c>
      <c r="AZ52" s="5"/>
      <c r="BA52" s="173">
        <f t="shared" si="100"/>
        <v>0.94387703237236553</v>
      </c>
      <c r="BB52" s="173">
        <f t="shared" si="154"/>
        <v>0.79448924154950828</v>
      </c>
      <c r="BC52" s="173">
        <f t="shared" si="155"/>
        <v>7.9556287565971023E-2</v>
      </c>
      <c r="BD52" s="173"/>
      <c r="BE52" s="528">
        <f t="shared" si="31"/>
        <v>3.5636154089602544E-2</v>
      </c>
      <c r="BF52" s="528">
        <f t="shared" si="156"/>
        <v>0.83700965263388361</v>
      </c>
      <c r="BG52" s="528">
        <f t="shared" si="157"/>
        <v>0.33439768431509803</v>
      </c>
      <c r="BH52" s="528">
        <f t="shared" si="34"/>
        <v>9.9858809867096332E-2</v>
      </c>
      <c r="BI52">
        <f t="shared" si="35"/>
        <v>1.0748496995842436E-2</v>
      </c>
      <c r="BJ52" s="460">
        <f t="shared" si="101"/>
        <v>345.14618131094051</v>
      </c>
      <c r="BK52">
        <f t="shared" si="158"/>
        <v>0.99051320226501471</v>
      </c>
      <c r="BL52" s="460">
        <f t="shared" si="102"/>
        <v>990.51320226501468</v>
      </c>
      <c r="BM52" s="173">
        <f t="shared" si="159"/>
        <v>0.40795999999999993</v>
      </c>
      <c r="BN52" s="173">
        <f t="shared" si="160"/>
        <v>2.9139999999999999E-2</v>
      </c>
      <c r="BO52" s="528"/>
      <c r="BQ52" s="460">
        <f t="shared" si="103"/>
        <v>437.09999999999991</v>
      </c>
      <c r="BR52" s="528">
        <f t="shared" si="39"/>
        <v>2.6727115567201906E-2</v>
      </c>
      <c r="BS52" s="528">
        <f t="shared" si="104"/>
        <v>1.893639464813739E-2</v>
      </c>
      <c r="BT52" s="528">
        <f t="shared" si="161"/>
        <v>3.1646014456397378E-5</v>
      </c>
      <c r="BU52" s="528">
        <f t="shared" si="41"/>
        <v>1.2882184332463797</v>
      </c>
      <c r="BV52" s="528">
        <f t="shared" si="162"/>
        <v>1.34981482692313</v>
      </c>
      <c r="BW52" s="625">
        <f t="shared" si="163"/>
        <v>0.48503999999999997</v>
      </c>
      <c r="BX52" s="460">
        <f t="shared" si="105"/>
        <v>1834.8548269231298</v>
      </c>
      <c r="BY52" s="173">
        <f t="shared" si="106"/>
        <v>3.2624680291881449</v>
      </c>
      <c r="BZ52" s="5">
        <f t="shared" si="107"/>
        <v>12.125999999999999</v>
      </c>
      <c r="CA52" s="173">
        <f t="shared" si="108"/>
        <v>0.78799266938073076</v>
      </c>
      <c r="CB52" s="5">
        <f t="shared" si="109"/>
        <v>78.799266938073075</v>
      </c>
      <c r="CC52">
        <f t="shared" si="173"/>
        <v>47</v>
      </c>
      <c r="CE52" s="562">
        <f t="shared" si="164"/>
        <v>-50</v>
      </c>
      <c r="CF52">
        <f t="shared" si="165"/>
        <v>-50</v>
      </c>
      <c r="CG52" s="173">
        <f t="shared" si="166"/>
        <v>0.54940052852348076</v>
      </c>
      <c r="CH52" s="173">
        <f t="shared" si="167"/>
        <v>0.149747998357977</v>
      </c>
      <c r="CI52" s="170">
        <v>47</v>
      </c>
      <c r="CJ52" s="217">
        <f t="shared" si="133"/>
        <v>0.47</v>
      </c>
      <c r="CK52" s="217">
        <f t="shared" si="111"/>
        <v>4.7E-2</v>
      </c>
      <c r="CL52" s="217">
        <f t="shared" si="48"/>
        <v>11.28</v>
      </c>
      <c r="CM52" s="217">
        <f t="shared" si="134"/>
        <v>0.84599999999999997</v>
      </c>
      <c r="CN52" s="541">
        <f t="shared" si="112"/>
        <v>24</v>
      </c>
      <c r="CO52" s="443">
        <f t="shared" si="168"/>
        <v>16.474900000000002</v>
      </c>
      <c r="CP52" s="443">
        <f t="shared" si="169"/>
        <v>40.474900000000005</v>
      </c>
      <c r="CQ52" s="443"/>
      <c r="CR52" s="217">
        <f t="shared" si="113"/>
        <v>0.40507913686898112</v>
      </c>
      <c r="CS52" s="172">
        <f t="shared" si="114"/>
        <v>50.242373565144938</v>
      </c>
      <c r="CT52" s="172">
        <f t="shared" si="51"/>
        <v>4.0507913686898105</v>
      </c>
      <c r="CU52" s="217">
        <f t="shared" si="52"/>
        <v>2.0934322318810392</v>
      </c>
      <c r="CV52" s="217">
        <f t="shared" si="53"/>
        <v>2.7912429758413855</v>
      </c>
      <c r="CW52" s="443">
        <f t="shared" si="54"/>
        <v>24</v>
      </c>
      <c r="CX52" s="217">
        <f t="shared" si="55"/>
        <v>2.4945742893859193</v>
      </c>
      <c r="CY52" s="217">
        <f t="shared" si="56"/>
        <v>1.0394059539107998</v>
      </c>
      <c r="CZ52" s="217">
        <f t="shared" si="57"/>
        <v>1.5141665742346959</v>
      </c>
      <c r="DA52" s="197">
        <f t="shared" si="58"/>
        <v>350</v>
      </c>
      <c r="DB52" s="443">
        <f t="shared" si="115"/>
        <v>350</v>
      </c>
      <c r="DD52" s="217">
        <f t="shared" si="59"/>
        <v>2.7911308701724487</v>
      </c>
      <c r="DE52" s="173">
        <f t="shared" si="60"/>
        <v>1.6941716612376698</v>
      </c>
      <c r="DF52" s="173">
        <f t="shared" si="61"/>
        <v>0.55195223422072148</v>
      </c>
      <c r="DG52" s="173"/>
      <c r="DH52" s="173">
        <f t="shared" si="62"/>
        <v>1.3488532386977903</v>
      </c>
      <c r="DI52" s="545">
        <f t="shared" si="63"/>
        <v>470.1644999999998</v>
      </c>
      <c r="DJ52" s="528">
        <f t="shared" si="64"/>
        <v>0.34987754285999911</v>
      </c>
      <c r="DL52" s="173">
        <f t="shared" si="65"/>
        <v>2.6323265103597722</v>
      </c>
      <c r="DM52" s="173">
        <f t="shared" si="66"/>
        <v>2.6323265103597722</v>
      </c>
      <c r="DN52" s="173">
        <f t="shared" si="67"/>
        <v>1.5037809541759628</v>
      </c>
      <c r="DP52" s="545">
        <f t="shared" si="68"/>
        <v>470</v>
      </c>
      <c r="DQ52" s="460">
        <f t="shared" si="69"/>
        <v>350</v>
      </c>
      <c r="DS52">
        <f t="shared" si="116"/>
        <v>470</v>
      </c>
      <c r="DT52" s="460">
        <f t="shared" si="70"/>
        <v>350</v>
      </c>
      <c r="DU52" s="460"/>
      <c r="DV52" s="5">
        <f t="shared" si="117"/>
        <v>2.8571428571428572</v>
      </c>
      <c r="DW52" s="5">
        <f t="shared" si="71"/>
        <v>1.0968027126499051</v>
      </c>
      <c r="DX52" s="5">
        <f t="shared" si="118"/>
        <v>1.7603401444929521</v>
      </c>
      <c r="DY52" s="173">
        <f t="shared" si="119"/>
        <v>0.38388094942746681</v>
      </c>
      <c r="EA52" s="5">
        <f t="shared" si="72"/>
        <v>2.147905312272731</v>
      </c>
      <c r="EB52" s="5">
        <f t="shared" si="73"/>
        <v>0.28638737496969746</v>
      </c>
      <c r="EC52" s="5">
        <f t="shared" si="74"/>
        <v>0.68946655659307277</v>
      </c>
      <c r="ED52" s="5"/>
      <c r="EE52" s="173">
        <f t="shared" si="120"/>
        <v>0.94162376398760406</v>
      </c>
      <c r="EF52" s="173">
        <f t="shared" si="75"/>
        <v>0.79567787662698253</v>
      </c>
      <c r="EG52" s="173">
        <f t="shared" si="76"/>
        <v>7.9675311700080284E-2</v>
      </c>
      <c r="EH52" s="173"/>
      <c r="EI52" s="528">
        <f t="shared" si="77"/>
        <v>3.546621251624732E-2</v>
      </c>
      <c r="EJ52" s="528">
        <f t="shared" si="78"/>
        <v>1.0254778406387974</v>
      </c>
      <c r="EK52" s="528">
        <f t="shared" si="79"/>
        <v>6.9999999999999993E-2</v>
      </c>
      <c r="EL52" s="528">
        <f t="shared" si="80"/>
        <v>0.10034082371311252</v>
      </c>
      <c r="EM52">
        <f t="shared" si="81"/>
        <v>1.0800000000000001E-2</v>
      </c>
      <c r="EN52" s="460">
        <f t="shared" si="121"/>
        <v>80.8</v>
      </c>
      <c r="EO52">
        <f t="shared" si="82"/>
        <v>1.2622978505486875</v>
      </c>
      <c r="EP52" s="460">
        <f t="shared" si="122"/>
        <v>1262.2978505486874</v>
      </c>
      <c r="EQ52" s="173">
        <f t="shared" si="83"/>
        <v>0.40795999999999993</v>
      </c>
      <c r="ER52" s="173">
        <f t="shared" si="170"/>
        <v>2.9139999999999999E-2</v>
      </c>
      <c r="ES52" s="528"/>
      <c r="EU52" s="460">
        <f t="shared" si="123"/>
        <v>437.09999999999991</v>
      </c>
      <c r="EV52" s="528">
        <f t="shared" si="85"/>
        <v>2.659965938718549E-2</v>
      </c>
      <c r="EW52" s="528">
        <f t="shared" si="124"/>
        <v>1.8993098500608707E-2</v>
      </c>
      <c r="EX52" s="528">
        <f t="shared" si="86"/>
        <v>3.174077647252475E-5</v>
      </c>
      <c r="EY52" s="528">
        <f t="shared" si="87"/>
        <v>1.2882184332463797</v>
      </c>
      <c r="EZ52" s="528">
        <f t="shared" si="88"/>
        <v>1.3497192326562673</v>
      </c>
      <c r="FA52" s="625">
        <f t="shared" si="89"/>
        <v>0.48503999999999997</v>
      </c>
      <c r="FB52" s="460">
        <f t="shared" si="125"/>
        <v>1834.7592326562672</v>
      </c>
      <c r="FC52" s="173">
        <f t="shared" si="126"/>
        <v>3.5341570832049549</v>
      </c>
      <c r="FD52" s="5">
        <f t="shared" si="127"/>
        <v>12.125999999999999</v>
      </c>
      <c r="FE52" s="173">
        <f t="shared" si="128"/>
        <v>0.77432173480588962</v>
      </c>
      <c r="FF52" s="5">
        <f t="shared" si="129"/>
        <v>77.432173480588958</v>
      </c>
      <c r="FG52">
        <f t="shared" si="130"/>
        <v>47</v>
      </c>
      <c r="FI52" s="562">
        <f t="shared" si="90"/>
        <v>-50</v>
      </c>
      <c r="FJ52">
        <f t="shared" si="91"/>
        <v>-50</v>
      </c>
      <c r="FL52">
        <f t="shared" si="92"/>
        <v>0.54940052852348087</v>
      </c>
    </row>
    <row r="53" spans="5:168">
      <c r="E53" s="170">
        <v>48</v>
      </c>
      <c r="F53" s="217">
        <f t="shared" si="174"/>
        <v>0.48</v>
      </c>
      <c r="G53" s="217">
        <f t="shared" si="171"/>
        <v>4.8000000000000001E-2</v>
      </c>
      <c r="H53" s="217">
        <f t="shared" si="135"/>
        <v>11.52</v>
      </c>
      <c r="I53" s="217">
        <f t="shared" si="175"/>
        <v>0.86399999999999999</v>
      </c>
      <c r="J53" s="541">
        <f t="shared" si="136"/>
        <v>23.884337722954694</v>
      </c>
      <c r="K53" s="443">
        <f t="shared" si="137"/>
        <v>16.492199261491443</v>
      </c>
      <c r="L53" s="172">
        <f t="shared" si="138"/>
        <v>40.376536984446133</v>
      </c>
      <c r="M53" s="443"/>
      <c r="N53" s="217">
        <f t="shared" si="139"/>
        <v>0.40845997436195619</v>
      </c>
      <c r="O53" s="172">
        <f t="shared" si="172"/>
        <v>50.417550253076882</v>
      </c>
      <c r="P53" s="172">
        <f t="shared" si="140"/>
        <v>4.0649149891543237</v>
      </c>
      <c r="Q53" s="217">
        <f t="shared" si="6"/>
        <v>2.1007312605448702</v>
      </c>
      <c r="R53" s="217">
        <f t="shared" si="141"/>
        <v>2.8009750140598269</v>
      </c>
      <c r="S53" s="443">
        <f t="shared" si="142"/>
        <v>24</v>
      </c>
      <c r="T53" s="217">
        <f t="shared" si="143"/>
        <v>2.5387984810346556</v>
      </c>
      <c r="U53" s="217">
        <f t="shared" si="10"/>
        <v>1.0629553603216195</v>
      </c>
      <c r="V53" s="217">
        <f t="shared" si="11"/>
        <v>1.5393935282862112</v>
      </c>
      <c r="W53" s="197">
        <f t="shared" si="12"/>
        <v>350</v>
      </c>
      <c r="X53" s="443">
        <f t="shared" si="95"/>
        <v>350</v>
      </c>
      <c r="Z53" s="217">
        <f t="shared" si="13"/>
        <v>2.7873702782772498</v>
      </c>
      <c r="AA53" s="173">
        <f t="shared" si="14"/>
        <v>1.6901143589658394</v>
      </c>
      <c r="AB53" s="173">
        <f t="shared" si="144"/>
        <v>0.5498885021392611</v>
      </c>
      <c r="AC53" s="173"/>
      <c r="AD53" s="173">
        <f t="shared" si="16"/>
        <v>1.3474383779797114</v>
      </c>
      <c r="AE53" s="545">
        <f t="shared" si="145"/>
        <v>480.67219436790634</v>
      </c>
      <c r="AF53" s="528">
        <f t="shared" si="146"/>
        <v>0.34951054371040408</v>
      </c>
      <c r="AH53" s="173">
        <f t="shared" si="147"/>
        <v>2.6601825930885696</v>
      </c>
      <c r="AI53" s="173">
        <f t="shared" si="148"/>
        <v>2.6601825930885696</v>
      </c>
      <c r="AJ53" s="173">
        <f t="shared" si="149"/>
        <v>1.5244150895306277</v>
      </c>
      <c r="AL53" s="545">
        <f t="shared" si="150"/>
        <v>480</v>
      </c>
      <c r="AM53" s="460">
        <f t="shared" si="151"/>
        <v>350</v>
      </c>
      <c r="AO53">
        <f t="shared" si="96"/>
        <v>480</v>
      </c>
      <c r="AP53" s="460">
        <f t="shared" si="24"/>
        <v>350</v>
      </c>
      <c r="AQ53" s="460"/>
      <c r="AR53" s="5">
        <f t="shared" si="97"/>
        <v>2.8571428571428572</v>
      </c>
      <c r="AS53" s="5">
        <f t="shared" si="25"/>
        <v>1.1137769964339137</v>
      </c>
      <c r="AT53" s="5">
        <f t="shared" si="98"/>
        <v>1.7433658607089435</v>
      </c>
      <c r="AU53" s="173">
        <f t="shared" si="99"/>
        <v>0.38982194875186976</v>
      </c>
      <c r="AW53" s="5">
        <f t="shared" si="152"/>
        <v>2.2275539928678274</v>
      </c>
      <c r="AX53" s="5">
        <f t="shared" si="153"/>
        <v>0.29700719904904366</v>
      </c>
      <c r="AY53" s="5">
        <f t="shared" si="28"/>
        <v>0.70072331319955183</v>
      </c>
      <c r="AZ53" s="5"/>
      <c r="BA53" s="173">
        <f t="shared" si="100"/>
        <v>0.95892350490320066</v>
      </c>
      <c r="BB53" s="173">
        <f t="shared" si="154"/>
        <v>0.80021178787913361</v>
      </c>
      <c r="BC53" s="173">
        <f t="shared" si="155"/>
        <v>8.012931551600512E-2</v>
      </c>
      <c r="BD53" s="173"/>
      <c r="BE53" s="528">
        <f t="shared" si="31"/>
        <v>3.6781371530233552E-2</v>
      </c>
      <c r="BF53" s="528">
        <f t="shared" si="156"/>
        <v>0.84584556673486122</v>
      </c>
      <c r="BG53" s="528">
        <f t="shared" si="157"/>
        <v>0.33438072812136571</v>
      </c>
      <c r="BH53" s="528">
        <f t="shared" si="34"/>
        <v>9.9853715254951209E-2</v>
      </c>
      <c r="BI53">
        <f t="shared" si="35"/>
        <v>1.0747951975329613E-2</v>
      </c>
      <c r="BJ53" s="460">
        <f t="shared" si="101"/>
        <v>345.12868009669535</v>
      </c>
      <c r="BK53">
        <f t="shared" si="158"/>
        <v>1.0011610241939795</v>
      </c>
      <c r="BL53" s="460">
        <f t="shared" si="102"/>
        <v>1001.1610241939794</v>
      </c>
      <c r="BM53" s="173">
        <f t="shared" si="159"/>
        <v>0.41663999999999995</v>
      </c>
      <c r="BN53" s="173">
        <f t="shared" si="160"/>
        <v>2.9760000000000002E-2</v>
      </c>
      <c r="BO53" s="528"/>
      <c r="BQ53" s="460">
        <f t="shared" si="103"/>
        <v>446.4</v>
      </c>
      <c r="BR53" s="528">
        <f t="shared" si="39"/>
        <v>2.7586028647675162E-2</v>
      </c>
      <c r="BS53" s="528">
        <f t="shared" si="104"/>
        <v>1.9210167163821585E-2</v>
      </c>
      <c r="BT53" s="528">
        <f t="shared" si="161"/>
        <v>3.2103536025317497E-5</v>
      </c>
      <c r="BU53" s="528">
        <f t="shared" si="41"/>
        <v>1.3225702015914715</v>
      </c>
      <c r="BV53" s="528">
        <f t="shared" si="162"/>
        <v>1.3858289739051588</v>
      </c>
      <c r="BW53" s="625">
        <f t="shared" si="163"/>
        <v>0.49535999999999991</v>
      </c>
      <c r="BX53" s="460">
        <f t="shared" si="105"/>
        <v>1881.1889739051585</v>
      </c>
      <c r="BY53" s="173">
        <f t="shared" si="106"/>
        <v>3.3287499980991377</v>
      </c>
      <c r="BZ53" s="5">
        <f t="shared" si="107"/>
        <v>12.384</v>
      </c>
      <c r="CA53" s="173">
        <f t="shared" si="108"/>
        <v>0.78814975109374008</v>
      </c>
      <c r="CB53" s="5">
        <f t="shared" si="109"/>
        <v>78.814975109374004</v>
      </c>
      <c r="CC53">
        <f t="shared" si="173"/>
        <v>48</v>
      </c>
      <c r="CE53" s="562">
        <f t="shared" si="164"/>
        <v>-50</v>
      </c>
      <c r="CF53">
        <f t="shared" si="165"/>
        <v>-50</v>
      </c>
      <c r="CG53" s="173">
        <f t="shared" si="166"/>
        <v>0.55521445263721225</v>
      </c>
      <c r="CH53" s="173">
        <f t="shared" si="167"/>
        <v>0.15133267739164352</v>
      </c>
      <c r="CI53" s="170">
        <v>48</v>
      </c>
      <c r="CJ53" s="217">
        <f t="shared" si="133"/>
        <v>0.48</v>
      </c>
      <c r="CK53" s="217">
        <f t="shared" si="111"/>
        <v>4.8000000000000001E-2</v>
      </c>
      <c r="CL53" s="217">
        <f t="shared" si="48"/>
        <v>11.52</v>
      </c>
      <c r="CM53" s="217">
        <f t="shared" si="134"/>
        <v>0.86399999999999999</v>
      </c>
      <c r="CN53" s="541">
        <f t="shared" si="112"/>
        <v>24</v>
      </c>
      <c r="CO53" s="443">
        <f t="shared" si="168"/>
        <v>16.474900000000002</v>
      </c>
      <c r="CP53" s="443">
        <f t="shared" si="169"/>
        <v>40.474900000000005</v>
      </c>
      <c r="CQ53" s="443"/>
      <c r="CR53" s="217">
        <f t="shared" si="113"/>
        <v>0.40507913686898112</v>
      </c>
      <c r="CS53" s="172">
        <f t="shared" si="114"/>
        <v>50.242373565144938</v>
      </c>
      <c r="CT53" s="172">
        <f t="shared" si="51"/>
        <v>4.0507913686898105</v>
      </c>
      <c r="CU53" s="217">
        <f t="shared" si="52"/>
        <v>2.0934322318810392</v>
      </c>
      <c r="CV53" s="217">
        <f t="shared" si="53"/>
        <v>2.7912429758413855</v>
      </c>
      <c r="CW53" s="443">
        <f t="shared" si="54"/>
        <v>24</v>
      </c>
      <c r="CX53" s="217">
        <f t="shared" si="55"/>
        <v>2.5476503380962581</v>
      </c>
      <c r="CY53" s="217">
        <f t="shared" si="56"/>
        <v>1.0615209742067744</v>
      </c>
      <c r="CZ53" s="217">
        <f t="shared" si="57"/>
        <v>1.546382884324796</v>
      </c>
      <c r="DA53" s="197">
        <f t="shared" si="58"/>
        <v>350</v>
      </c>
      <c r="DB53" s="443">
        <f t="shared" si="115"/>
        <v>350</v>
      </c>
      <c r="DD53" s="217">
        <f t="shared" si="59"/>
        <v>2.7911308701724487</v>
      </c>
      <c r="DE53" s="173">
        <f t="shared" si="60"/>
        <v>1.6941716612376698</v>
      </c>
      <c r="DF53" s="173">
        <f t="shared" si="61"/>
        <v>0.55195223422072148</v>
      </c>
      <c r="DG53" s="173"/>
      <c r="DH53" s="173">
        <f t="shared" si="62"/>
        <v>1.3488532386977903</v>
      </c>
      <c r="DI53" s="545">
        <f t="shared" si="63"/>
        <v>480.16799999999984</v>
      </c>
      <c r="DJ53" s="528">
        <f t="shared" si="64"/>
        <v>0.34987754285999911</v>
      </c>
      <c r="DL53" s="173">
        <f t="shared" si="65"/>
        <v>2.6601825930885696</v>
      </c>
      <c r="DM53" s="173">
        <f t="shared" si="66"/>
        <v>2.6601825930885696</v>
      </c>
      <c r="DN53" s="173">
        <f t="shared" si="67"/>
        <v>1.5244150895306277</v>
      </c>
      <c r="DP53" s="545">
        <f t="shared" si="68"/>
        <v>480</v>
      </c>
      <c r="DQ53" s="460">
        <f t="shared" si="69"/>
        <v>350</v>
      </c>
      <c r="DS53">
        <f t="shared" si="116"/>
        <v>480</v>
      </c>
      <c r="DT53" s="460">
        <f t="shared" si="70"/>
        <v>350</v>
      </c>
      <c r="DU53" s="460"/>
      <c r="DV53" s="5">
        <f t="shared" si="117"/>
        <v>2.8571428571428572</v>
      </c>
      <c r="DW53" s="5">
        <f t="shared" si="71"/>
        <v>1.1084094137869041</v>
      </c>
      <c r="DX53" s="5">
        <f t="shared" si="118"/>
        <v>1.7487334433559532</v>
      </c>
      <c r="DY53" s="173">
        <f t="shared" si="119"/>
        <v>0.3879432948254164</v>
      </c>
      <c r="EA53" s="5">
        <f t="shared" si="72"/>
        <v>2.2168188275738081</v>
      </c>
      <c r="EB53" s="5">
        <f t="shared" si="73"/>
        <v>0.29557584367650774</v>
      </c>
      <c r="EC53" s="5">
        <f t="shared" si="74"/>
        <v>0.69949337734238115</v>
      </c>
      <c r="ED53" s="5"/>
      <c r="EE53" s="173">
        <f t="shared" si="120"/>
        <v>0.95661006268095861</v>
      </c>
      <c r="EF53" s="173">
        <f t="shared" si="75"/>
        <v>0.80144271192063854</v>
      </c>
      <c r="EG53" s="173">
        <f t="shared" si="76"/>
        <v>8.0252574261242313E-2</v>
      </c>
      <c r="EH53" s="173"/>
      <c r="EI53" s="528">
        <f t="shared" si="77"/>
        <v>3.6604112480898704E-2</v>
      </c>
      <c r="EJ53" s="528">
        <f t="shared" si="78"/>
        <v>1.0363297602061305</v>
      </c>
      <c r="EK53" s="528">
        <f t="shared" si="79"/>
        <v>6.9999999999999993E-2</v>
      </c>
      <c r="EL53" s="528">
        <f t="shared" si="80"/>
        <v>0.10034082371311252</v>
      </c>
      <c r="EM53">
        <f t="shared" si="81"/>
        <v>1.0800000000000001E-2</v>
      </c>
      <c r="EN53" s="460">
        <f t="shared" si="121"/>
        <v>80.8</v>
      </c>
      <c r="EO53">
        <f t="shared" si="82"/>
        <v>1.2750470659439159</v>
      </c>
      <c r="EP53" s="460">
        <f t="shared" si="122"/>
        <v>1275.0470659439159</v>
      </c>
      <c r="EQ53" s="173">
        <f t="shared" si="83"/>
        <v>0.41663999999999995</v>
      </c>
      <c r="ER53" s="173">
        <f t="shared" si="170"/>
        <v>2.9760000000000002E-2</v>
      </c>
      <c r="ES53" s="528"/>
      <c r="EU53" s="460">
        <f t="shared" si="123"/>
        <v>446.4</v>
      </c>
      <c r="EV53" s="528">
        <f t="shared" si="85"/>
        <v>2.7453084360674024E-2</v>
      </c>
      <c r="EW53" s="528">
        <f t="shared" si="124"/>
        <v>1.9269312614721229E-2</v>
      </c>
      <c r="EX53" s="528">
        <f t="shared" si="86"/>
        <v>3.220237837778106E-5</v>
      </c>
      <c r="EY53" s="528">
        <f t="shared" si="87"/>
        <v>1.3225702015914715</v>
      </c>
      <c r="EZ53" s="528">
        <f t="shared" si="88"/>
        <v>1.3857290412811891</v>
      </c>
      <c r="FA53" s="625">
        <f t="shared" si="89"/>
        <v>0.49535999999999991</v>
      </c>
      <c r="FB53" s="460">
        <f t="shared" si="125"/>
        <v>1881.0890412811889</v>
      </c>
      <c r="FC53" s="173">
        <f t="shared" si="126"/>
        <v>3.602536107225105</v>
      </c>
      <c r="FD53" s="5">
        <f t="shared" si="127"/>
        <v>12.384</v>
      </c>
      <c r="FE53" s="173">
        <f t="shared" si="128"/>
        <v>0.77465186435246958</v>
      </c>
      <c r="FF53" s="5">
        <f t="shared" si="129"/>
        <v>77.465186435246963</v>
      </c>
      <c r="FG53">
        <f t="shared" si="130"/>
        <v>48</v>
      </c>
      <c r="FI53" s="562">
        <f t="shared" si="90"/>
        <v>-50</v>
      </c>
      <c r="FJ53">
        <f t="shared" si="91"/>
        <v>-50</v>
      </c>
      <c r="FL53">
        <f t="shared" si="92"/>
        <v>0.55521445263721236</v>
      </c>
    </row>
    <row r="54" spans="5:168">
      <c r="E54" s="170">
        <v>49</v>
      </c>
      <c r="F54" s="217">
        <f t="shared" si="174"/>
        <v>0.49</v>
      </c>
      <c r="G54" s="217">
        <f t="shared" si="171"/>
        <v>4.9000000000000002E-2</v>
      </c>
      <c r="H54" s="217">
        <f t="shared" si="135"/>
        <v>11.76</v>
      </c>
      <c r="I54" s="217">
        <f t="shared" si="175"/>
        <v>0.88200000000000001</v>
      </c>
      <c r="J54" s="541">
        <f t="shared" si="136"/>
        <v>23.883139118122415</v>
      </c>
      <c r="K54" s="443">
        <f t="shared" si="137"/>
        <v>16.492378533238018</v>
      </c>
      <c r="L54" s="172">
        <f t="shared" si="138"/>
        <v>40.375517651360433</v>
      </c>
      <c r="M54" s="443"/>
      <c r="N54" s="217">
        <f t="shared" si="139"/>
        <v>0.40847472658179818</v>
      </c>
      <c r="O54" s="172">
        <f t="shared" si="172"/>
        <v>50.416840936382947</v>
      </c>
      <c r="P54" s="172">
        <f t="shared" si="140"/>
        <v>4.0648578004958749</v>
      </c>
      <c r="Q54" s="217">
        <f t="shared" si="6"/>
        <v>2.1007017056826229</v>
      </c>
      <c r="R54" s="217">
        <f t="shared" si="141"/>
        <v>2.8009356075768306</v>
      </c>
      <c r="S54" s="443">
        <f t="shared" si="142"/>
        <v>24</v>
      </c>
      <c r="T54" s="217">
        <f t="shared" si="143"/>
        <v>2.5917265786554267</v>
      </c>
      <c r="U54" s="217">
        <f t="shared" si="10"/>
        <v>1.0851699878467136</v>
      </c>
      <c r="V54" s="217">
        <f t="shared" si="11"/>
        <v>1.5714692537720829</v>
      </c>
      <c r="W54" s="197">
        <f t="shared" si="12"/>
        <v>350</v>
      </c>
      <c r="X54" s="443">
        <f t="shared" si="95"/>
        <v>350</v>
      </c>
      <c r="Z54" s="217">
        <f t="shared" si="13"/>
        <v>2.7873310631971719</v>
      </c>
      <c r="AA54" s="173">
        <f t="shared" si="14"/>
        <v>1.6900722097662912</v>
      </c>
      <c r="AB54" s="173">
        <f t="shared" si="144"/>
        <v>0.54986705254979573</v>
      </c>
      <c r="AC54" s="173"/>
      <c r="AD54" s="173">
        <f t="shared" si="16"/>
        <v>1.3474237313578834</v>
      </c>
      <c r="AE54" s="545">
        <f t="shared" si="145"/>
        <v>490.69153222205153</v>
      </c>
      <c r="AF54" s="528">
        <f t="shared" si="146"/>
        <v>0.34950674453944214</v>
      </c>
      <c r="AH54" s="173">
        <f t="shared" si="147"/>
        <v>2.6877499883731741</v>
      </c>
      <c r="AI54" s="173">
        <f t="shared" si="148"/>
        <v>2.6877499883731741</v>
      </c>
      <c r="AJ54" s="173">
        <f t="shared" si="149"/>
        <v>1.5448353823340384</v>
      </c>
      <c r="AL54" s="545">
        <f t="shared" si="150"/>
        <v>490</v>
      </c>
      <c r="AM54" s="460">
        <f t="shared" si="151"/>
        <v>350</v>
      </c>
      <c r="AO54">
        <f t="shared" si="96"/>
        <v>490</v>
      </c>
      <c r="AP54" s="460">
        <f t="shared" si="24"/>
        <v>350</v>
      </c>
      <c r="AQ54" s="460"/>
      <c r="AR54" s="5">
        <f t="shared" si="97"/>
        <v>2.8571428571428572</v>
      </c>
      <c r="AS54" s="5">
        <f t="shared" si="25"/>
        <v>1.1253755107651331</v>
      </c>
      <c r="AT54" s="5">
        <f t="shared" si="98"/>
        <v>1.7317673463777241</v>
      </c>
      <c r="AU54" s="173">
        <f t="shared" si="99"/>
        <v>0.39388142876779658</v>
      </c>
      <c r="AW54" s="5">
        <f t="shared" si="152"/>
        <v>2.2976416678121465</v>
      </c>
      <c r="AX54" s="5">
        <f t="shared" si="153"/>
        <v>0.30635222237495291</v>
      </c>
      <c r="AY54" s="5">
        <f t="shared" si="28"/>
        <v>0.71059838116606444</v>
      </c>
      <c r="AZ54" s="5"/>
      <c r="BA54" s="173">
        <f t="shared" si="100"/>
        <v>0.97389243783533608</v>
      </c>
      <c r="BB54" s="173">
        <f t="shared" si="154"/>
        <v>0.80581040448042884</v>
      </c>
      <c r="BC54" s="173">
        <f t="shared" si="155"/>
        <v>8.068993374594563E-2</v>
      </c>
      <c r="BD54" s="173"/>
      <c r="BE54" s="528">
        <f t="shared" si="31"/>
        <v>3.7938659218914157E-2</v>
      </c>
      <c r="BF54" s="528">
        <f t="shared" si="156"/>
        <v>0.85458946464678842</v>
      </c>
      <c r="BG54" s="528">
        <f t="shared" si="157"/>
        <v>0.33436394765371386</v>
      </c>
      <c r="BH54" s="528">
        <f t="shared" si="34"/>
        <v>9.9848673568938229E-2</v>
      </c>
      <c r="BI54">
        <f t="shared" si="35"/>
        <v>1.0747412603155086E-2</v>
      </c>
      <c r="BJ54" s="460">
        <f t="shared" si="101"/>
        <v>345.11136025686892</v>
      </c>
      <c r="BK54">
        <f t="shared" si="158"/>
        <v>1.0117402904791593</v>
      </c>
      <c r="BL54" s="460">
        <f t="shared" si="102"/>
        <v>1011.7402904791593</v>
      </c>
      <c r="BM54" s="173">
        <f t="shared" si="159"/>
        <v>0.42531999999999998</v>
      </c>
      <c r="BN54" s="173">
        <f t="shared" si="160"/>
        <v>3.0380000000000001E-2</v>
      </c>
      <c r="BO54" s="528"/>
      <c r="BQ54" s="460">
        <f t="shared" si="103"/>
        <v>455.7</v>
      </c>
      <c r="BR54" s="528">
        <f t="shared" si="39"/>
        <v>2.845399441418562E-2</v>
      </c>
      <c r="BS54" s="528">
        <f t="shared" si="104"/>
        <v>1.9479912239067369E-2</v>
      </c>
      <c r="BT54" s="528">
        <f t="shared" si="161"/>
        <v>3.2554327039625477E-5</v>
      </c>
      <c r="BU54" s="528">
        <f t="shared" si="41"/>
        <v>1.3571013635177982</v>
      </c>
      <c r="BV54" s="528">
        <f t="shared" si="162"/>
        <v>1.4220365801039294</v>
      </c>
      <c r="BW54" s="625">
        <f t="shared" si="163"/>
        <v>0.50567999999999991</v>
      </c>
      <c r="BX54" s="460">
        <f t="shared" si="105"/>
        <v>1927.7165801039293</v>
      </c>
      <c r="BY54" s="173">
        <f t="shared" si="106"/>
        <v>3.3951568705830883</v>
      </c>
      <c r="BZ54" s="5">
        <f t="shared" si="107"/>
        <v>12.641999999999999</v>
      </c>
      <c r="CA54" s="173">
        <f t="shared" si="108"/>
        <v>0.78829434057536618</v>
      </c>
      <c r="CB54" s="5">
        <f t="shared" si="109"/>
        <v>78.829434057536616</v>
      </c>
      <c r="CC54">
        <f t="shared" si="173"/>
        <v>49</v>
      </c>
      <c r="CE54" s="562">
        <f t="shared" si="164"/>
        <v>-50</v>
      </c>
      <c r="CF54">
        <f t="shared" si="165"/>
        <v>-50</v>
      </c>
      <c r="CG54" s="173">
        <f t="shared" si="166"/>
        <v>0.56096812395411411</v>
      </c>
      <c r="CH54" s="173">
        <f t="shared" si="167"/>
        <v>0.1529009335511913</v>
      </c>
      <c r="CI54" s="170">
        <v>49</v>
      </c>
      <c r="CJ54" s="217">
        <f t="shared" si="133"/>
        <v>0.49</v>
      </c>
      <c r="CK54" s="217">
        <f t="shared" si="111"/>
        <v>4.9000000000000002E-2</v>
      </c>
      <c r="CL54" s="217">
        <f t="shared" si="48"/>
        <v>11.76</v>
      </c>
      <c r="CM54" s="217">
        <f t="shared" si="134"/>
        <v>0.88200000000000001</v>
      </c>
      <c r="CN54" s="541">
        <f t="shared" si="112"/>
        <v>24</v>
      </c>
      <c r="CO54" s="443">
        <f t="shared" si="168"/>
        <v>16.474900000000002</v>
      </c>
      <c r="CP54" s="443">
        <f t="shared" si="169"/>
        <v>40.474900000000005</v>
      </c>
      <c r="CQ54" s="443"/>
      <c r="CR54" s="217">
        <f t="shared" si="113"/>
        <v>0.40507913686898112</v>
      </c>
      <c r="CS54" s="172">
        <f t="shared" si="114"/>
        <v>50.242373565144938</v>
      </c>
      <c r="CT54" s="172">
        <f t="shared" si="51"/>
        <v>4.0507913686898105</v>
      </c>
      <c r="CU54" s="217">
        <f t="shared" si="52"/>
        <v>2.0934322318810392</v>
      </c>
      <c r="CV54" s="217">
        <f t="shared" si="53"/>
        <v>2.7912429758413855</v>
      </c>
      <c r="CW54" s="443">
        <f t="shared" si="54"/>
        <v>24</v>
      </c>
      <c r="CX54" s="217">
        <f t="shared" si="55"/>
        <v>2.6007263868065964</v>
      </c>
      <c r="CY54" s="217">
        <f t="shared" si="56"/>
        <v>1.0836359945027485</v>
      </c>
      <c r="CZ54" s="217">
        <f t="shared" si="57"/>
        <v>1.5785991944148956</v>
      </c>
      <c r="DA54" s="197">
        <f t="shared" si="58"/>
        <v>350</v>
      </c>
      <c r="DB54" s="443">
        <f t="shared" si="115"/>
        <v>350</v>
      </c>
      <c r="DD54" s="217">
        <f t="shared" si="59"/>
        <v>2.7911308701724487</v>
      </c>
      <c r="DE54" s="173">
        <f t="shared" si="60"/>
        <v>1.6941716612376698</v>
      </c>
      <c r="DF54" s="173">
        <f t="shared" si="61"/>
        <v>0.55195223422072148</v>
      </c>
      <c r="DG54" s="173"/>
      <c r="DH54" s="173">
        <f t="shared" si="62"/>
        <v>1.3488532386977903</v>
      </c>
      <c r="DI54" s="545">
        <f t="shared" si="63"/>
        <v>490.17149999999975</v>
      </c>
      <c r="DJ54" s="528">
        <f t="shared" si="64"/>
        <v>0.34987754285999911</v>
      </c>
      <c r="DL54" s="173">
        <f t="shared" si="65"/>
        <v>2.6877499883731741</v>
      </c>
      <c r="DM54" s="173">
        <f t="shared" si="66"/>
        <v>2.6877499883731741</v>
      </c>
      <c r="DN54" s="173">
        <f t="shared" si="67"/>
        <v>1.5448353823340384</v>
      </c>
      <c r="DP54" s="545">
        <f t="shared" si="68"/>
        <v>490</v>
      </c>
      <c r="DQ54" s="460">
        <f t="shared" si="69"/>
        <v>350</v>
      </c>
      <c r="DS54">
        <f t="shared" si="116"/>
        <v>490</v>
      </c>
      <c r="DT54" s="460">
        <f t="shared" si="70"/>
        <v>350</v>
      </c>
      <c r="DU54" s="460"/>
      <c r="DV54" s="5">
        <f t="shared" si="117"/>
        <v>2.8571428571428572</v>
      </c>
      <c r="DW54" s="5">
        <f t="shared" si="71"/>
        <v>1.1198958284888227</v>
      </c>
      <c r="DX54" s="5">
        <f t="shared" si="118"/>
        <v>1.7372470286540345</v>
      </c>
      <c r="DY54" s="173">
        <f t="shared" si="119"/>
        <v>0.39196353997108796</v>
      </c>
      <c r="EA54" s="5">
        <f t="shared" si="72"/>
        <v>2.2864539831646797</v>
      </c>
      <c r="EB54" s="5">
        <f t="shared" si="73"/>
        <v>0.30486053108862399</v>
      </c>
      <c r="EC54" s="5">
        <f t="shared" si="74"/>
        <v>0.7093758700337307</v>
      </c>
      <c r="ED54" s="5"/>
      <c r="EE54" s="173">
        <f t="shared" si="120"/>
        <v>0.97151850432731313</v>
      </c>
      <c r="EF54" s="173">
        <f t="shared" si="75"/>
        <v>0.80708427580969055</v>
      </c>
      <c r="EG54" s="173">
        <f t="shared" si="76"/>
        <v>8.0817493023646034E-2</v>
      </c>
      <c r="EH54" s="173"/>
      <c r="EI54" s="528">
        <f t="shared" si="77"/>
        <v>3.7753928170015182E-2</v>
      </c>
      <c r="EJ54" s="528">
        <f t="shared" si="78"/>
        <v>1.0470692155424022</v>
      </c>
      <c r="EK54" s="528">
        <f t="shared" si="79"/>
        <v>6.9999999999999993E-2</v>
      </c>
      <c r="EL54" s="528">
        <f t="shared" si="80"/>
        <v>0.10034082371311252</v>
      </c>
      <c r="EM54">
        <f t="shared" si="81"/>
        <v>1.0800000000000001E-2</v>
      </c>
      <c r="EN54" s="460">
        <f t="shared" si="121"/>
        <v>80.8</v>
      </c>
      <c r="EO54">
        <f t="shared" si="82"/>
        <v>1.2877087043454702</v>
      </c>
      <c r="EP54" s="460">
        <f t="shared" si="122"/>
        <v>1287.7087043454703</v>
      </c>
      <c r="EQ54" s="173">
        <f t="shared" si="83"/>
        <v>0.42531999999999998</v>
      </c>
      <c r="ER54" s="173">
        <f t="shared" si="170"/>
        <v>3.0380000000000001E-2</v>
      </c>
      <c r="ES54" s="528"/>
      <c r="EU54" s="460">
        <f t="shared" si="123"/>
        <v>455.7</v>
      </c>
      <c r="EV54" s="528">
        <f t="shared" si="85"/>
        <v>2.8315446127511384E-2</v>
      </c>
      <c r="EW54" s="528">
        <f t="shared" si="124"/>
        <v>1.9541550847777582E-2</v>
      </c>
      <c r="EX54" s="528">
        <f t="shared" si="86"/>
        <v>3.2657335893135377E-5</v>
      </c>
      <c r="EY54" s="528">
        <f t="shared" si="87"/>
        <v>1.3571013635177982</v>
      </c>
      <c r="EZ54" s="528">
        <f t="shared" si="88"/>
        <v>1.4219322021930212</v>
      </c>
      <c r="FA54" s="625">
        <f t="shared" si="89"/>
        <v>0.50567999999999991</v>
      </c>
      <c r="FB54" s="460">
        <f t="shared" si="125"/>
        <v>1927.6122021930212</v>
      </c>
      <c r="FC54" s="173">
        <f t="shared" si="126"/>
        <v>3.6710209065384913</v>
      </c>
      <c r="FD54" s="5">
        <f t="shared" si="127"/>
        <v>12.641999999999999</v>
      </c>
      <c r="FE54" s="173">
        <f t="shared" si="128"/>
        <v>0.77496375885430924</v>
      </c>
      <c r="FF54" s="5">
        <f t="shared" si="129"/>
        <v>77.496375885430922</v>
      </c>
      <c r="FG54">
        <f t="shared" si="130"/>
        <v>49</v>
      </c>
      <c r="FI54" s="562">
        <f t="shared" si="90"/>
        <v>-50</v>
      </c>
      <c r="FJ54">
        <f t="shared" si="91"/>
        <v>-50</v>
      </c>
      <c r="FL54">
        <f t="shared" si="92"/>
        <v>0.56096812395411422</v>
      </c>
    </row>
    <row r="55" spans="5:168">
      <c r="E55" s="170">
        <v>50</v>
      </c>
      <c r="F55" s="217">
        <f t="shared" si="174"/>
        <v>0.5</v>
      </c>
      <c r="G55" s="217">
        <f t="shared" si="171"/>
        <v>0.05</v>
      </c>
      <c r="H55" s="217">
        <f t="shared" si="135"/>
        <v>12</v>
      </c>
      <c r="I55" s="217">
        <f t="shared" si="175"/>
        <v>0.9</v>
      </c>
      <c r="J55" s="541">
        <f t="shared" si="136"/>
        <v>23.881952682812742</v>
      </c>
      <c r="K55" s="443">
        <f t="shared" si="137"/>
        <v>16.492555984825422</v>
      </c>
      <c r="L55" s="172">
        <f t="shared" si="138"/>
        <v>40.374508667638167</v>
      </c>
      <c r="M55" s="443"/>
      <c r="N55" s="217">
        <f t="shared" si="139"/>
        <v>0.40848932975486302</v>
      </c>
      <c r="O55" s="172">
        <f t="shared" si="172"/>
        <v>50.416138731987232</v>
      </c>
      <c r="P55" s="172">
        <f t="shared" si="140"/>
        <v>4.0648011852664707</v>
      </c>
      <c r="Q55" s="217">
        <f t="shared" si="6"/>
        <v>2.1006724471661347</v>
      </c>
      <c r="R55" s="217">
        <f t="shared" si="141"/>
        <v>2.8008965962215129</v>
      </c>
      <c r="S55" s="443">
        <f t="shared" si="142"/>
        <v>24</v>
      </c>
      <c r="T55" s="217">
        <f t="shared" si="143"/>
        <v>2.6446557925059446</v>
      </c>
      <c r="U55" s="217">
        <f t="shared" si="10"/>
        <v>1.107386748324495</v>
      </c>
      <c r="V55" s="217">
        <f t="shared" si="11"/>
        <v>1.6035451357201738</v>
      </c>
      <c r="W55" s="197">
        <f t="shared" si="12"/>
        <v>350</v>
      </c>
      <c r="X55" s="443">
        <f t="shared" si="95"/>
        <v>343.53260049854697</v>
      </c>
      <c r="Z55" s="217">
        <f t="shared" si="13"/>
        <v>2.7872922413255794</v>
      </c>
      <c r="AA55" s="173">
        <f t="shared" si="14"/>
        <v>1.6900304864146769</v>
      </c>
      <c r="AB55" s="173">
        <f t="shared" si="144"/>
        <v>0.54984581946216038</v>
      </c>
      <c r="AC55" s="173"/>
      <c r="AD55" s="173">
        <f t="shared" si="16"/>
        <v>1.3474092337578598</v>
      </c>
      <c r="AE55" s="545">
        <f t="shared" si="145"/>
        <v>500.71103252281063</v>
      </c>
      <c r="AF55" s="528">
        <f t="shared" si="146"/>
        <v>0.34950298402308044</v>
      </c>
      <c r="AH55" s="173">
        <f t="shared" si="147"/>
        <v>2.7150374898753369</v>
      </c>
      <c r="AI55" s="173">
        <f t="shared" si="148"/>
        <v>2.7150374898753369</v>
      </c>
      <c r="AJ55" s="173">
        <f t="shared" si="149"/>
        <v>1.5650483464097145</v>
      </c>
      <c r="AL55" s="545">
        <f t="shared" si="150"/>
        <v>500</v>
      </c>
      <c r="AM55" s="460">
        <f t="shared" si="151"/>
        <v>343.53260049854697</v>
      </c>
      <c r="AO55">
        <f t="shared" si="96"/>
        <v>500</v>
      </c>
      <c r="AP55" s="460">
        <f t="shared" si="24"/>
        <v>343.53260049854697</v>
      </c>
      <c r="AQ55" s="460"/>
      <c r="AR55" s="5">
        <f t="shared" si="97"/>
        <v>2.9109318840446692</v>
      </c>
      <c r="AS55" s="5">
        <f t="shared" si="25"/>
        <v>1.1368574110898744</v>
      </c>
      <c r="AT55" s="5">
        <f t="shared" si="98"/>
        <v>1.7740744729547948</v>
      </c>
      <c r="AU55" s="173">
        <f t="shared" si="99"/>
        <v>0.39054758282775021</v>
      </c>
      <c r="AW55" s="5">
        <f t="shared" si="152"/>
        <v>2.3684529397705716</v>
      </c>
      <c r="AX55" s="5">
        <f t="shared" si="153"/>
        <v>0.31579372530274286</v>
      </c>
      <c r="AY55" s="5">
        <f t="shared" si="28"/>
        <v>0.74285151491467138</v>
      </c>
      <c r="AZ55" s="5"/>
      <c r="BA55" s="173">
        <f t="shared" si="100"/>
        <v>0.97960767836905738</v>
      </c>
      <c r="BB55" s="173">
        <f t="shared" si="154"/>
        <v>0.81622696725162824</v>
      </c>
      <c r="BC55" s="173">
        <f t="shared" si="155"/>
        <v>8.1732997666683307E-2</v>
      </c>
      <c r="BD55" s="173"/>
      <c r="BE55" s="528">
        <f t="shared" si="31"/>
        <v>3.8385248140784582E-2</v>
      </c>
      <c r="BF55" s="528">
        <f t="shared" si="156"/>
        <v>0.84729287845839385</v>
      </c>
      <c r="BG55" s="528">
        <f t="shared" si="157"/>
        <v>0.32816917240439647</v>
      </c>
      <c r="BH55" s="528">
        <f t="shared" si="34"/>
        <v>9.7998743234223556E-2</v>
      </c>
      <c r="BI55">
        <f t="shared" si="35"/>
        <v>1.0746878707265733E-2</v>
      </c>
      <c r="BJ55" s="460">
        <f t="shared" si="101"/>
        <v>338.91605111166223</v>
      </c>
      <c r="BK55">
        <f t="shared" si="158"/>
        <v>1.0031903185635875</v>
      </c>
      <c r="BL55" s="460">
        <f t="shared" si="102"/>
        <v>1003.1903185635875</v>
      </c>
      <c r="BM55" s="173">
        <f t="shared" si="159"/>
        <v>0.434</v>
      </c>
      <c r="BN55" s="173">
        <f t="shared" si="160"/>
        <v>3.1E-2</v>
      </c>
      <c r="BO55" s="528"/>
      <c r="BQ55" s="460">
        <f t="shared" si="103"/>
        <v>464.99999999999994</v>
      </c>
      <c r="BR55" s="528">
        <f t="shared" si="39"/>
        <v>2.8788936105588438E-2</v>
      </c>
      <c r="BS55" s="528">
        <f t="shared" si="104"/>
        <v>1.9986793862063718E-2</v>
      </c>
      <c r="BT55" s="528">
        <f t="shared" si="161"/>
        <v>3.3401414537910299E-5</v>
      </c>
      <c r="BU55" s="528">
        <f t="shared" si="41"/>
        <v>1.3284018560974313</v>
      </c>
      <c r="BV55" s="528">
        <f t="shared" si="162"/>
        <v>1.394369817380297</v>
      </c>
      <c r="BW55" s="625">
        <f t="shared" si="163"/>
        <v>0.50646520530642913</v>
      </c>
      <c r="BX55" s="460">
        <f t="shared" si="105"/>
        <v>1900.835022686726</v>
      </c>
      <c r="BY55" s="173">
        <f t="shared" si="106"/>
        <v>3.3690253412503135</v>
      </c>
      <c r="BZ55" s="5">
        <f t="shared" si="107"/>
        <v>12.9</v>
      </c>
      <c r="CA55" s="173">
        <f t="shared" si="108"/>
        <v>0.79291781341638778</v>
      </c>
      <c r="CB55" s="5">
        <f t="shared" si="109"/>
        <v>79.291781341638782</v>
      </c>
      <c r="CC55">
        <f t="shared" si="173"/>
        <v>50</v>
      </c>
      <c r="CE55" s="562">
        <f t="shared" si="164"/>
        <v>-50</v>
      </c>
      <c r="CF55">
        <f t="shared" si="165"/>
        <v>-50</v>
      </c>
      <c r="CG55" s="173">
        <f t="shared" si="166"/>
        <v>0.56666337782492837</v>
      </c>
      <c r="CH55" s="173">
        <f t="shared" si="167"/>
        <v>0.1544532670911444</v>
      </c>
      <c r="CI55" s="170">
        <v>50</v>
      </c>
      <c r="CJ55" s="217">
        <f t="shared" si="133"/>
        <v>0.5</v>
      </c>
      <c r="CK55" s="217">
        <f t="shared" si="111"/>
        <v>0.05</v>
      </c>
      <c r="CL55" s="217">
        <f t="shared" si="48"/>
        <v>12</v>
      </c>
      <c r="CM55" s="217">
        <f t="shared" si="134"/>
        <v>0.9</v>
      </c>
      <c r="CN55" s="541">
        <f t="shared" si="112"/>
        <v>24</v>
      </c>
      <c r="CO55" s="443">
        <f t="shared" si="168"/>
        <v>16.474900000000002</v>
      </c>
      <c r="CP55" s="443">
        <f t="shared" si="169"/>
        <v>40.474900000000005</v>
      </c>
      <c r="CQ55" s="443"/>
      <c r="CR55" s="217">
        <f t="shared" si="113"/>
        <v>0.40507913686898112</v>
      </c>
      <c r="CS55" s="172">
        <f t="shared" si="114"/>
        <v>50.242373565144938</v>
      </c>
      <c r="CT55" s="172">
        <f t="shared" si="51"/>
        <v>4.0507913686898105</v>
      </c>
      <c r="CU55" s="217">
        <f t="shared" si="52"/>
        <v>2.0934322318810392</v>
      </c>
      <c r="CV55" s="217">
        <f t="shared" si="53"/>
        <v>2.7912429758413855</v>
      </c>
      <c r="CW55" s="443">
        <f t="shared" si="54"/>
        <v>24</v>
      </c>
      <c r="CX55" s="217">
        <f t="shared" si="55"/>
        <v>2.6538024355169356</v>
      </c>
      <c r="CY55" s="217">
        <f t="shared" si="56"/>
        <v>1.1057510147987233</v>
      </c>
      <c r="CZ55" s="217">
        <f t="shared" si="57"/>
        <v>1.6108155045049959</v>
      </c>
      <c r="DA55" s="197">
        <f t="shared" si="58"/>
        <v>350</v>
      </c>
      <c r="DB55" s="443">
        <f t="shared" si="115"/>
        <v>350</v>
      </c>
      <c r="DD55" s="217">
        <f t="shared" si="59"/>
        <v>2.7911308701724487</v>
      </c>
      <c r="DE55" s="173">
        <f t="shared" si="60"/>
        <v>1.6941716612376698</v>
      </c>
      <c r="DF55" s="173">
        <f t="shared" si="61"/>
        <v>0.55195223422072148</v>
      </c>
      <c r="DG55" s="173"/>
      <c r="DH55" s="173">
        <f t="shared" si="62"/>
        <v>1.3488532386977903</v>
      </c>
      <c r="DI55" s="545">
        <f t="shared" si="63"/>
        <v>500.1749999999999</v>
      </c>
      <c r="DJ55" s="528">
        <f t="shared" si="64"/>
        <v>0.34987754285999911</v>
      </c>
      <c r="DL55" s="173">
        <f t="shared" si="65"/>
        <v>2.7150374898753369</v>
      </c>
      <c r="DM55" s="173">
        <f t="shared" si="66"/>
        <v>2.7150374898753369</v>
      </c>
      <c r="DN55" s="173">
        <f t="shared" si="67"/>
        <v>1.5650483464097145</v>
      </c>
      <c r="DP55" s="545">
        <f t="shared" si="68"/>
        <v>500</v>
      </c>
      <c r="DQ55" s="460">
        <f t="shared" si="69"/>
        <v>350</v>
      </c>
      <c r="DS55">
        <f t="shared" si="116"/>
        <v>500</v>
      </c>
      <c r="DT55" s="460">
        <f t="shared" si="70"/>
        <v>350</v>
      </c>
      <c r="DU55" s="460"/>
      <c r="DV55" s="5">
        <f t="shared" si="117"/>
        <v>2.8571428571428572</v>
      </c>
      <c r="DW55" s="5">
        <f t="shared" si="71"/>
        <v>1.1312656207813905</v>
      </c>
      <c r="DX55" s="5">
        <f t="shared" si="118"/>
        <v>1.7258772363614667</v>
      </c>
      <c r="DY55" s="173">
        <f t="shared" si="119"/>
        <v>0.39594296727348666</v>
      </c>
      <c r="EA55" s="5">
        <f t="shared" si="72"/>
        <v>2.3568033766278971</v>
      </c>
      <c r="EB55" s="5">
        <f t="shared" si="73"/>
        <v>0.31424045021705288</v>
      </c>
      <c r="EC55" s="5">
        <f t="shared" si="74"/>
        <v>0.71911551515061101</v>
      </c>
      <c r="ED55" s="5"/>
      <c r="EE55" s="173">
        <f t="shared" si="120"/>
        <v>0.98635107029495106</v>
      </c>
      <c r="EF55" s="173">
        <f t="shared" si="75"/>
        <v>0.8126059722365756</v>
      </c>
      <c r="EG55" s="173">
        <f t="shared" si="76"/>
        <v>8.1370408841527339E-2</v>
      </c>
      <c r="EH55" s="173"/>
      <c r="EI55" s="528">
        <f t="shared" si="77"/>
        <v>3.891553735487982E-2</v>
      </c>
      <c r="EJ55" s="528">
        <f t="shared" si="78"/>
        <v>1.0576996324024448</v>
      </c>
      <c r="EK55" s="528">
        <f t="shared" si="79"/>
        <v>6.9999999999999993E-2</v>
      </c>
      <c r="EL55" s="528">
        <f t="shared" si="80"/>
        <v>0.10034082371311252</v>
      </c>
      <c r="EM55">
        <f t="shared" si="81"/>
        <v>1.0800000000000001E-2</v>
      </c>
      <c r="EN55" s="460">
        <f t="shared" si="121"/>
        <v>80.8</v>
      </c>
      <c r="EO55">
        <f t="shared" si="82"/>
        <v>1.3002860647843062</v>
      </c>
      <c r="EP55" s="460">
        <f t="shared" si="122"/>
        <v>1300.2860647843063</v>
      </c>
      <c r="EQ55" s="173">
        <f t="shared" si="83"/>
        <v>0.434</v>
      </c>
      <c r="ER55" s="173">
        <f t="shared" si="170"/>
        <v>3.1E-2</v>
      </c>
      <c r="ES55" s="528"/>
      <c r="EU55" s="460">
        <f t="shared" si="123"/>
        <v>464.99999999999994</v>
      </c>
      <c r="EV55" s="528">
        <f t="shared" si="85"/>
        <v>2.9186653016159865E-2</v>
      </c>
      <c r="EW55" s="528">
        <f t="shared" si="124"/>
        <v>1.9809853983436508E-2</v>
      </c>
      <c r="EX55" s="528">
        <f t="shared" si="86"/>
        <v>3.310571717518655E-5</v>
      </c>
      <c r="EY55" s="528">
        <f t="shared" si="87"/>
        <v>1.3918091658014877</v>
      </c>
      <c r="EZ55" s="528">
        <f t="shared" si="88"/>
        <v>1.4583259782043778</v>
      </c>
      <c r="FA55" s="625">
        <f t="shared" si="89"/>
        <v>0.51600000000000001</v>
      </c>
      <c r="FB55" s="460">
        <f t="shared" si="125"/>
        <v>1974.3259782043779</v>
      </c>
      <c r="FC55" s="173">
        <f t="shared" si="126"/>
        <v>3.7396120429886839</v>
      </c>
      <c r="FD55" s="5">
        <f t="shared" si="127"/>
        <v>12.9</v>
      </c>
      <c r="FE55" s="173">
        <f t="shared" si="128"/>
        <v>0.7752584595525821</v>
      </c>
      <c r="FF55" s="5">
        <f t="shared" si="129"/>
        <v>77.525845955258205</v>
      </c>
      <c r="FG55">
        <f t="shared" si="130"/>
        <v>50</v>
      </c>
      <c r="FI55" s="562">
        <f t="shared" si="90"/>
        <v>-50</v>
      </c>
      <c r="FJ55">
        <f t="shared" si="91"/>
        <v>-50</v>
      </c>
      <c r="FL55">
        <f t="shared" si="92"/>
        <v>0.56666337782492848</v>
      </c>
    </row>
    <row r="56" spans="5:168">
      <c r="E56" s="170">
        <v>51</v>
      </c>
      <c r="F56" s="217">
        <f t="shared" si="174"/>
        <v>0.51</v>
      </c>
      <c r="G56" s="217">
        <f t="shared" si="171"/>
        <v>5.1000000000000004E-2</v>
      </c>
      <c r="H56" s="217">
        <f t="shared" si="135"/>
        <v>12.24</v>
      </c>
      <c r="I56" s="217">
        <f t="shared" si="175"/>
        <v>0.91800000000000004</v>
      </c>
      <c r="J56" s="541">
        <f t="shared" si="136"/>
        <v>23.880778053710689</v>
      </c>
      <c r="K56" s="443">
        <f t="shared" si="137"/>
        <v>16.492731670593603</v>
      </c>
      <c r="L56" s="172">
        <f t="shared" si="138"/>
        <v>40.373509724304292</v>
      </c>
      <c r="M56" s="443"/>
      <c r="N56" s="217">
        <f t="shared" si="139"/>
        <v>0.40850378833092155</v>
      </c>
      <c r="O56" s="172">
        <f t="shared" si="172"/>
        <v>50.415443427549079</v>
      </c>
      <c r="P56" s="172">
        <f t="shared" si="140"/>
        <v>4.0647451263461445</v>
      </c>
      <c r="Q56" s="217">
        <f t="shared" si="6"/>
        <v>2.1006434761478783</v>
      </c>
      <c r="R56" s="217">
        <f t="shared" si="141"/>
        <v>2.800857968197171</v>
      </c>
      <c r="S56" s="443">
        <f t="shared" si="142"/>
        <v>24</v>
      </c>
      <c r="T56" s="217">
        <f t="shared" si="143"/>
        <v>2.6975861115938131</v>
      </c>
      <c r="U56" s="217">
        <f t="shared" si="10"/>
        <v>1.1296056206906759</v>
      </c>
      <c r="V56" s="217">
        <f t="shared" si="11"/>
        <v>1.6356211726912322</v>
      </c>
      <c r="W56" s="197">
        <f t="shared" si="12"/>
        <v>350</v>
      </c>
      <c r="X56" s="443">
        <f t="shared" si="95"/>
        <v>337.24233243538094</v>
      </c>
      <c r="Z56" s="217">
        <f t="shared" si="13"/>
        <v>2.7872538009230707</v>
      </c>
      <c r="AA56" s="173">
        <f t="shared" si="14"/>
        <v>1.6899891761973671</v>
      </c>
      <c r="AB56" s="173">
        <f t="shared" si="144"/>
        <v>0.5498247964127797</v>
      </c>
      <c r="AC56" s="173"/>
      <c r="AD56" s="173">
        <f t="shared" si="16"/>
        <v>1.3473948807306588</v>
      </c>
      <c r="AE56" s="545">
        <f t="shared" si="145"/>
        <v>510.73069363734754</v>
      </c>
      <c r="AF56" s="528">
        <f t="shared" si="146"/>
        <v>0.34949926100730255</v>
      </c>
      <c r="AH56" s="173">
        <f t="shared" si="147"/>
        <v>2.7420534536834147</v>
      </c>
      <c r="AI56" s="173">
        <f t="shared" si="148"/>
        <v>2.7420534536834147</v>
      </c>
      <c r="AJ56" s="173">
        <f t="shared" si="149"/>
        <v>1.585060171452735</v>
      </c>
      <c r="AL56" s="545">
        <f t="shared" si="150"/>
        <v>510</v>
      </c>
      <c r="AM56" s="460">
        <f t="shared" si="151"/>
        <v>337.24233243538094</v>
      </c>
      <c r="AO56">
        <f t="shared" si="96"/>
        <v>510</v>
      </c>
      <c r="AP56" s="460">
        <f t="shared" si="24"/>
        <v>337.24233243538094</v>
      </c>
      <c r="AQ56" s="460"/>
      <c r="AR56" s="5">
        <f t="shared" si="97"/>
        <v>2.9652267933819081</v>
      </c>
      <c r="AS56" s="5">
        <f t="shared" si="25"/>
        <v>1.1482261790282597</v>
      </c>
      <c r="AT56" s="5">
        <f t="shared" si="98"/>
        <v>1.8170006143536483</v>
      </c>
      <c r="AU56" s="173">
        <f t="shared" si="99"/>
        <v>0.38723047477885558</v>
      </c>
      <c r="AW56" s="5">
        <f t="shared" si="152"/>
        <v>2.439980630435052</v>
      </c>
      <c r="AX56" s="5">
        <f t="shared" si="153"/>
        <v>0.3253307507246736</v>
      </c>
      <c r="AY56" s="5">
        <f t="shared" si="28"/>
        <v>0.77608050394017292</v>
      </c>
      <c r="AZ56" s="5"/>
      <c r="BA56" s="173">
        <f t="shared" si="100"/>
        <v>0.9851447645266761</v>
      </c>
      <c r="BB56" s="173">
        <f t="shared" si="154"/>
        <v>0.826589154070975</v>
      </c>
      <c r="BC56" s="173">
        <f t="shared" si="155"/>
        <v>8.2770616644134098E-2</v>
      </c>
      <c r="BD56" s="173"/>
      <c r="BE56" s="528">
        <f t="shared" si="31"/>
        <v>3.8820408282972806E-2</v>
      </c>
      <c r="BF56" s="528">
        <f t="shared" si="156"/>
        <v>0.84003430885574704</v>
      </c>
      <c r="BG56" s="528">
        <f t="shared" si="157"/>
        <v>0.32214437164820198</v>
      </c>
      <c r="BH56" s="528">
        <f t="shared" si="34"/>
        <v>9.6199572640411152E-2</v>
      </c>
      <c r="BI56">
        <f t="shared" si="35"/>
        <v>1.074635012416981E-2</v>
      </c>
      <c r="BJ56" s="460">
        <f t="shared" si="101"/>
        <v>332.89072177237176</v>
      </c>
      <c r="BK56">
        <f t="shared" si="158"/>
        <v>0.99471074234429813</v>
      </c>
      <c r="BL56" s="460">
        <f t="shared" si="102"/>
        <v>994.71074234429818</v>
      </c>
      <c r="BM56" s="173">
        <f t="shared" si="159"/>
        <v>0.44267999999999996</v>
      </c>
      <c r="BN56" s="173">
        <f t="shared" si="160"/>
        <v>3.1620000000000002E-2</v>
      </c>
      <c r="BO56" s="528"/>
      <c r="BQ56" s="460">
        <f t="shared" si="103"/>
        <v>474.29999999999995</v>
      </c>
      <c r="BR56" s="528">
        <f t="shared" si="39"/>
        <v>2.9115306212229602E-2</v>
      </c>
      <c r="BS56" s="528">
        <f t="shared" si="104"/>
        <v>2.0497488888833099E-2</v>
      </c>
      <c r="BT56" s="528">
        <f t="shared" si="161"/>
        <v>3.4254874898251043E-5</v>
      </c>
      <c r="BU56" s="528">
        <f t="shared" si="41"/>
        <v>1.3002145055017507</v>
      </c>
      <c r="BV56" s="528">
        <f t="shared" si="162"/>
        <v>1.3672070712956303</v>
      </c>
      <c r="BW56" s="625">
        <f t="shared" si="163"/>
        <v>0.50713538402111347</v>
      </c>
      <c r="BX56" s="460">
        <f t="shared" si="105"/>
        <v>1874.3424553167438</v>
      </c>
      <c r="BY56" s="173">
        <f t="shared" si="106"/>
        <v>3.3433531976610418</v>
      </c>
      <c r="BZ56" s="5">
        <f t="shared" si="107"/>
        <v>13.157999999999999</v>
      </c>
      <c r="CA56" s="173">
        <f t="shared" si="108"/>
        <v>0.79738914999195709</v>
      </c>
      <c r="CB56" s="5">
        <f t="shared" si="109"/>
        <v>79.738914999195714</v>
      </c>
      <c r="CC56">
        <f t="shared" si="173"/>
        <v>51</v>
      </c>
      <c r="CE56" s="562">
        <f t="shared" si="164"/>
        <v>-50</v>
      </c>
      <c r="CF56">
        <f t="shared" si="165"/>
        <v>-50</v>
      </c>
      <c r="CG56" s="173">
        <f t="shared" si="166"/>
        <v>0.57230195827317998</v>
      </c>
      <c r="CH56" s="173">
        <f t="shared" si="167"/>
        <v>0.15599015337331698</v>
      </c>
      <c r="CI56" s="170">
        <v>51</v>
      </c>
      <c r="CJ56" s="217">
        <f t="shared" si="133"/>
        <v>0.51</v>
      </c>
      <c r="CK56" s="217">
        <f t="shared" si="111"/>
        <v>5.1000000000000004E-2</v>
      </c>
      <c r="CL56" s="217">
        <f t="shared" si="48"/>
        <v>12.24</v>
      </c>
      <c r="CM56" s="217">
        <f t="shared" si="134"/>
        <v>0.91800000000000004</v>
      </c>
      <c r="CN56" s="541">
        <f t="shared" si="112"/>
        <v>24</v>
      </c>
      <c r="CO56" s="443">
        <f t="shared" si="168"/>
        <v>16.474900000000002</v>
      </c>
      <c r="CP56" s="443">
        <f t="shared" si="169"/>
        <v>40.474900000000005</v>
      </c>
      <c r="CQ56" s="443"/>
      <c r="CR56" s="217">
        <f t="shared" si="113"/>
        <v>0.40507913686898112</v>
      </c>
      <c r="CS56" s="172">
        <f t="shared" si="114"/>
        <v>50.242373565144938</v>
      </c>
      <c r="CT56" s="172">
        <f t="shared" si="51"/>
        <v>4.0507913686898105</v>
      </c>
      <c r="CU56" s="217">
        <f t="shared" si="52"/>
        <v>2.0934322318810392</v>
      </c>
      <c r="CV56" s="217">
        <f t="shared" si="53"/>
        <v>2.7912429758413855</v>
      </c>
      <c r="CW56" s="443">
        <f t="shared" si="54"/>
        <v>24</v>
      </c>
      <c r="CX56" s="217">
        <f t="shared" si="55"/>
        <v>2.706878484227274</v>
      </c>
      <c r="CY56" s="217">
        <f t="shared" si="56"/>
        <v>1.1278660350946976</v>
      </c>
      <c r="CZ56" s="217">
        <f t="shared" si="57"/>
        <v>1.6430318145950955</v>
      </c>
      <c r="DA56" s="197">
        <f t="shared" si="58"/>
        <v>350</v>
      </c>
      <c r="DB56" s="443">
        <f t="shared" si="115"/>
        <v>350</v>
      </c>
      <c r="DD56" s="217">
        <f t="shared" si="59"/>
        <v>2.7911308701724487</v>
      </c>
      <c r="DE56" s="173">
        <f t="shared" si="60"/>
        <v>1.6941716612376698</v>
      </c>
      <c r="DF56" s="173">
        <f t="shared" si="61"/>
        <v>0.55195223422072148</v>
      </c>
      <c r="DG56" s="173"/>
      <c r="DH56" s="173">
        <f t="shared" si="62"/>
        <v>1.3488532386977903</v>
      </c>
      <c r="DI56" s="545">
        <f t="shared" si="63"/>
        <v>510.17849999999981</v>
      </c>
      <c r="DJ56" s="528">
        <f t="shared" si="64"/>
        <v>0.34987754285999911</v>
      </c>
      <c r="DL56" s="173">
        <f t="shared" si="65"/>
        <v>2.7420534536834147</v>
      </c>
      <c r="DM56" s="173">
        <f t="shared" si="66"/>
        <v>2.7420534536834147</v>
      </c>
      <c r="DN56" s="173">
        <f t="shared" si="67"/>
        <v>1.585060171452735</v>
      </c>
      <c r="DP56" s="545">
        <f t="shared" si="68"/>
        <v>510</v>
      </c>
      <c r="DQ56" s="460">
        <f t="shared" si="69"/>
        <v>350</v>
      </c>
      <c r="DS56">
        <f t="shared" si="116"/>
        <v>510</v>
      </c>
      <c r="DT56" s="460">
        <f t="shared" si="70"/>
        <v>350</v>
      </c>
      <c r="DU56" s="460"/>
      <c r="DV56" s="5">
        <f t="shared" si="117"/>
        <v>2.8571428571428572</v>
      </c>
      <c r="DW56" s="5">
        <f t="shared" si="71"/>
        <v>1.1425222723680897</v>
      </c>
      <c r="DX56" s="5">
        <f t="shared" si="118"/>
        <v>1.7146205847747675</v>
      </c>
      <c r="DY56" s="173">
        <f t="shared" si="119"/>
        <v>0.39988279532883136</v>
      </c>
      <c r="EA56" s="5">
        <f t="shared" si="72"/>
        <v>2.4278598287821911</v>
      </c>
      <c r="EB56" s="5">
        <f t="shared" si="73"/>
        <v>0.32371464383762544</v>
      </c>
      <c r="EC56" s="5">
        <f t="shared" si="74"/>
        <v>0.72871374852927617</v>
      </c>
      <c r="ED56" s="5"/>
      <c r="EE56" s="173">
        <f t="shared" si="120"/>
        <v>1.0011096529957586</v>
      </c>
      <c r="EF56" s="173">
        <f t="shared" si="75"/>
        <v>0.81801103446990653</v>
      </c>
      <c r="EG56" s="173">
        <f t="shared" si="76"/>
        <v>8.1911645478675757E-2</v>
      </c>
      <c r="EH56" s="173"/>
      <c r="EI56" s="528">
        <f t="shared" si="77"/>
        <v>4.0088821492851527E-2</v>
      </c>
      <c r="EJ56" s="528">
        <f t="shared" si="78"/>
        <v>1.0682242660752246</v>
      </c>
      <c r="EK56" s="528">
        <f t="shared" si="79"/>
        <v>6.9999999999999993E-2</v>
      </c>
      <c r="EL56" s="528">
        <f t="shared" si="80"/>
        <v>0.10034082371311252</v>
      </c>
      <c r="EM56">
        <f t="shared" si="81"/>
        <v>1.0800000000000001E-2</v>
      </c>
      <c r="EN56" s="460">
        <f t="shared" si="121"/>
        <v>80.8</v>
      </c>
      <c r="EO56">
        <f t="shared" si="82"/>
        <v>1.3127822808209775</v>
      </c>
      <c r="EP56" s="460">
        <f t="shared" si="122"/>
        <v>1312.7822808209776</v>
      </c>
      <c r="EQ56" s="173">
        <f t="shared" si="83"/>
        <v>0.44267999999999996</v>
      </c>
      <c r="ER56" s="173">
        <f t="shared" si="170"/>
        <v>3.1620000000000002E-2</v>
      </c>
      <c r="ES56" s="528"/>
      <c r="EU56" s="460">
        <f t="shared" si="123"/>
        <v>474.29999999999995</v>
      </c>
      <c r="EV56" s="528">
        <f t="shared" si="85"/>
        <v>3.0066616119638647E-2</v>
      </c>
      <c r="EW56" s="528">
        <f t="shared" si="124"/>
        <v>2.0074261575435799E-2</v>
      </c>
      <c r="EX56" s="528">
        <f t="shared" si="86"/>
        <v>3.3547588325121316E-5</v>
      </c>
      <c r="EY56" s="528">
        <f t="shared" si="87"/>
        <v>1.4266909518434046</v>
      </c>
      <c r="EZ56" s="528">
        <f t="shared" si="88"/>
        <v>1.4949077300915443</v>
      </c>
      <c r="FA56" s="625">
        <f t="shared" si="89"/>
        <v>0.52632000000000001</v>
      </c>
      <c r="FB56" s="460">
        <f t="shared" si="125"/>
        <v>2021.2277300915441</v>
      </c>
      <c r="FC56" s="173">
        <f t="shared" si="126"/>
        <v>3.8083100109125221</v>
      </c>
      <c r="FD56" s="5">
        <f t="shared" si="127"/>
        <v>13.157999999999999</v>
      </c>
      <c r="FE56" s="173">
        <f t="shared" si="128"/>
        <v>0.77553693122057388</v>
      </c>
      <c r="FF56" s="5">
        <f t="shared" si="129"/>
        <v>77.553693122057382</v>
      </c>
      <c r="FG56">
        <f t="shared" si="130"/>
        <v>51</v>
      </c>
      <c r="FI56" s="562">
        <f t="shared" si="90"/>
        <v>-50</v>
      </c>
      <c r="FJ56">
        <f t="shared" si="91"/>
        <v>-50</v>
      </c>
      <c r="FL56">
        <f t="shared" si="92"/>
        <v>0.57230195827318009</v>
      </c>
    </row>
    <row r="57" spans="5:168">
      <c r="E57" s="170">
        <v>52</v>
      </c>
      <c r="F57" s="217">
        <f t="shared" si="174"/>
        <v>0.52</v>
      </c>
      <c r="G57" s="217">
        <f t="shared" si="171"/>
        <v>5.2000000000000005E-2</v>
      </c>
      <c r="H57" s="217">
        <f t="shared" si="135"/>
        <v>12.48</v>
      </c>
      <c r="I57" s="217">
        <f t="shared" si="175"/>
        <v>0.93600000000000005</v>
      </c>
      <c r="J57" s="541">
        <f t="shared" si="136"/>
        <v>23.879614885226978</v>
      </c>
      <c r="K57" s="443">
        <f t="shared" si="137"/>
        <v>16.492905642231307</v>
      </c>
      <c r="L57" s="172">
        <f t="shared" si="138"/>
        <v>40.372520527458285</v>
      </c>
      <c r="M57" s="443"/>
      <c r="N57" s="217">
        <f t="shared" si="139"/>
        <v>0.40851810654264453</v>
      </c>
      <c r="O57" s="172">
        <f t="shared" si="172"/>
        <v>50.414754821087726</v>
      </c>
      <c r="P57" s="172">
        <f t="shared" si="140"/>
        <v>4.0646896074501973</v>
      </c>
      <c r="Q57" s="217">
        <f t="shared" si="6"/>
        <v>2.1006147842119884</v>
      </c>
      <c r="R57" s="217">
        <f t="shared" si="141"/>
        <v>2.8008197122826513</v>
      </c>
      <c r="S57" s="443">
        <f t="shared" si="142"/>
        <v>24</v>
      </c>
      <c r="T57" s="217">
        <f t="shared" si="143"/>
        <v>2.7505175252516452</v>
      </c>
      <c r="U57" s="217">
        <f t="shared" si="10"/>
        <v>1.1518265845037732</v>
      </c>
      <c r="V57" s="217">
        <f t="shared" si="11"/>
        <v>1.6676973632885776</v>
      </c>
      <c r="W57" s="197">
        <f t="shared" si="12"/>
        <v>350</v>
      </c>
      <c r="X57" s="443">
        <f t="shared" si="95"/>
        <v>331.17803246141665</v>
      </c>
      <c r="Z57" s="217">
        <f t="shared" si="13"/>
        <v>2.7872157308229926</v>
      </c>
      <c r="AA57" s="173">
        <f t="shared" si="14"/>
        <v>1.6899482670210157</v>
      </c>
      <c r="AB57" s="173">
        <f t="shared" si="144"/>
        <v>0.54980397725342711</v>
      </c>
      <c r="AC57" s="173"/>
      <c r="AD57" s="173">
        <f t="shared" si="16"/>
        <v>1.3473806680443607</v>
      </c>
      <c r="AE57" s="545">
        <f t="shared" si="145"/>
        <v>520.75051398109622</v>
      </c>
      <c r="AF57" s="528">
        <f t="shared" si="146"/>
        <v>0.3494955743943956</v>
      </c>
      <c r="AH57" s="173">
        <f t="shared" si="147"/>
        <v>2.7688058282020633</v>
      </c>
      <c r="AI57" s="173">
        <f t="shared" si="148"/>
        <v>2.7688058282020633</v>
      </c>
      <c r="AJ57" s="173">
        <f t="shared" si="149"/>
        <v>1.6048767451702526</v>
      </c>
      <c r="AL57" s="545">
        <f t="shared" si="150"/>
        <v>520</v>
      </c>
      <c r="AM57" s="460">
        <f t="shared" si="151"/>
        <v>331.17803246141665</v>
      </c>
      <c r="AO57">
        <f t="shared" si="96"/>
        <v>520</v>
      </c>
      <c r="AP57" s="460">
        <f t="shared" si="24"/>
        <v>331.17803246141665</v>
      </c>
      <c r="AQ57" s="460"/>
      <c r="AR57" s="5">
        <f t="shared" si="97"/>
        <v>3.0195239477923503</v>
      </c>
      <c r="AS57" s="5">
        <f t="shared" si="25"/>
        <v>1.1594851263346686</v>
      </c>
      <c r="AT57" s="5">
        <f t="shared" si="98"/>
        <v>1.8600388214576817</v>
      </c>
      <c r="AU57" s="173">
        <f t="shared" si="99"/>
        <v>0.38399600280779267</v>
      </c>
      <c r="AW57" s="5">
        <f t="shared" si="152"/>
        <v>2.5122177737251152</v>
      </c>
      <c r="AX57" s="5">
        <f t="shared" si="153"/>
        <v>0.33496236983001543</v>
      </c>
      <c r="AY57" s="5">
        <f t="shared" si="28"/>
        <v>0.81008022265581936</v>
      </c>
      <c r="AZ57" s="5"/>
      <c r="BA57" s="173">
        <f t="shared" si="100"/>
        <v>0.99059293198033638</v>
      </c>
      <c r="BB57" s="173">
        <f t="shared" si="154"/>
        <v>0.83685356804647593</v>
      </c>
      <c r="BC57" s="173">
        <f t="shared" si="155"/>
        <v>8.379844512465387E-2</v>
      </c>
      <c r="BD57" s="173"/>
      <c r="BE57" s="528">
        <f t="shared" si="31"/>
        <v>3.9250974275575973E-2</v>
      </c>
      <c r="BF57" s="528">
        <f t="shared" si="156"/>
        <v>0.83295665857879353</v>
      </c>
      <c r="BG57" s="528">
        <f t="shared" si="157"/>
        <v>0.31633615494503309</v>
      </c>
      <c r="BH57" s="528">
        <f t="shared" si="34"/>
        <v>9.4465080369060456E-2</v>
      </c>
      <c r="BI57">
        <f t="shared" si="35"/>
        <v>1.074582669835214E-2</v>
      </c>
      <c r="BJ57" s="460">
        <f t="shared" si="101"/>
        <v>327.08198164338518</v>
      </c>
      <c r="BK57">
        <f t="shared" si="158"/>
        <v>0.98647032963385706</v>
      </c>
      <c r="BL57" s="460">
        <f t="shared" si="102"/>
        <v>986.47032963385709</v>
      </c>
      <c r="BM57" s="173">
        <f t="shared" si="159"/>
        <v>0.45135999999999998</v>
      </c>
      <c r="BN57" s="173">
        <f t="shared" si="160"/>
        <v>3.2240000000000005E-2</v>
      </c>
      <c r="BO57" s="528"/>
      <c r="BQ57" s="460">
        <f t="shared" si="103"/>
        <v>483.59999999999997</v>
      </c>
      <c r="BR57" s="528">
        <f t="shared" si="39"/>
        <v>2.943823070668198E-2</v>
      </c>
      <c r="BS57" s="528">
        <f t="shared" si="104"/>
        <v>2.1009716830563532E-2</v>
      </c>
      <c r="BT57" s="528">
        <f t="shared" si="161"/>
        <v>3.5110897026548128E-5</v>
      </c>
      <c r="BU57" s="528">
        <f t="shared" si="41"/>
        <v>1.273078136138198</v>
      </c>
      <c r="BV57" s="528">
        <f t="shared" si="162"/>
        <v>1.3410933280242523</v>
      </c>
      <c r="BW57" s="625">
        <f t="shared" si="163"/>
        <v>0.50778108382884179</v>
      </c>
      <c r="BX57" s="460">
        <f t="shared" si="105"/>
        <v>1848.8744118530942</v>
      </c>
      <c r="BY57" s="173">
        <f t="shared" si="106"/>
        <v>3.3189447414869511</v>
      </c>
      <c r="BZ57" s="5">
        <f t="shared" si="107"/>
        <v>13.416</v>
      </c>
      <c r="CA57" s="173">
        <f t="shared" si="108"/>
        <v>0.80167578723704513</v>
      </c>
      <c r="CB57" s="5">
        <f t="shared" si="109"/>
        <v>80.167578723704509</v>
      </c>
      <c r="CC57">
        <f t="shared" si="173"/>
        <v>52</v>
      </c>
      <c r="CE57" s="562">
        <f t="shared" si="164"/>
        <v>-50</v>
      </c>
      <c r="CF57">
        <f t="shared" si="165"/>
        <v>-50</v>
      </c>
      <c r="CG57" s="173">
        <f t="shared" si="166"/>
        <v>0.57788552423354211</v>
      </c>
      <c r="CH57" s="173">
        <f t="shared" si="167"/>
        <v>0.15751204456718074</v>
      </c>
      <c r="CI57" s="170">
        <v>52</v>
      </c>
      <c r="CJ57" s="217">
        <f t="shared" si="133"/>
        <v>0.52</v>
      </c>
      <c r="CK57" s="217">
        <f t="shared" si="111"/>
        <v>5.2000000000000005E-2</v>
      </c>
      <c r="CL57" s="217">
        <f t="shared" si="48"/>
        <v>12.48</v>
      </c>
      <c r="CM57" s="217">
        <f t="shared" si="134"/>
        <v>0.93600000000000005</v>
      </c>
      <c r="CN57" s="541">
        <f t="shared" si="112"/>
        <v>24</v>
      </c>
      <c r="CO57" s="443">
        <f t="shared" si="168"/>
        <v>16.474900000000002</v>
      </c>
      <c r="CP57" s="443">
        <f t="shared" si="169"/>
        <v>40.474900000000005</v>
      </c>
      <c r="CQ57" s="443"/>
      <c r="CR57" s="217">
        <f t="shared" si="113"/>
        <v>0.40507913686898112</v>
      </c>
      <c r="CS57" s="172">
        <f t="shared" si="114"/>
        <v>50.242373565144938</v>
      </c>
      <c r="CT57" s="172">
        <f t="shared" si="51"/>
        <v>4.0507913686898105</v>
      </c>
      <c r="CU57" s="217">
        <f t="shared" si="52"/>
        <v>2.0934322318810392</v>
      </c>
      <c r="CV57" s="217">
        <f t="shared" si="53"/>
        <v>2.7912429758413855</v>
      </c>
      <c r="CW57" s="443">
        <f t="shared" si="54"/>
        <v>24</v>
      </c>
      <c r="CX57" s="217">
        <f t="shared" si="55"/>
        <v>2.7599545329376127</v>
      </c>
      <c r="CY57" s="217">
        <f t="shared" si="56"/>
        <v>1.1499810553906722</v>
      </c>
      <c r="CZ57" s="217">
        <f t="shared" si="57"/>
        <v>1.6752481246851954</v>
      </c>
      <c r="DA57" s="197">
        <f t="shared" si="58"/>
        <v>350</v>
      </c>
      <c r="DB57" s="443">
        <f t="shared" si="115"/>
        <v>350</v>
      </c>
      <c r="DD57" s="217">
        <f t="shared" si="59"/>
        <v>2.7911308701724487</v>
      </c>
      <c r="DE57" s="173">
        <f t="shared" si="60"/>
        <v>1.6941716612376698</v>
      </c>
      <c r="DF57" s="173">
        <f t="shared" si="61"/>
        <v>0.55195223422072148</v>
      </c>
      <c r="DG57" s="173"/>
      <c r="DH57" s="173">
        <f t="shared" si="62"/>
        <v>1.3488532386977903</v>
      </c>
      <c r="DI57" s="545">
        <f t="shared" si="63"/>
        <v>520.18199999999979</v>
      </c>
      <c r="DJ57" s="528">
        <f t="shared" si="64"/>
        <v>0.34987754285999911</v>
      </c>
      <c r="DL57" s="173">
        <f t="shared" si="65"/>
        <v>2.7688058282020633</v>
      </c>
      <c r="DM57" s="173">
        <f t="shared" si="66"/>
        <v>2.7688058282020633</v>
      </c>
      <c r="DN57" s="173">
        <f t="shared" si="67"/>
        <v>1.6048767451702526</v>
      </c>
      <c r="DP57" s="545">
        <f t="shared" si="68"/>
        <v>520</v>
      </c>
      <c r="DQ57" s="460">
        <f t="shared" si="69"/>
        <v>350</v>
      </c>
      <c r="DS57">
        <f t="shared" si="116"/>
        <v>520</v>
      </c>
      <c r="DT57" s="460">
        <f t="shared" si="70"/>
        <v>350</v>
      </c>
      <c r="DU57" s="460"/>
      <c r="DV57" s="5">
        <f t="shared" si="117"/>
        <v>2.8571428571428572</v>
      </c>
      <c r="DW57" s="5">
        <f t="shared" si="71"/>
        <v>1.153669095084193</v>
      </c>
      <c r="DX57" s="5">
        <f t="shared" si="118"/>
        <v>1.7034737620586642</v>
      </c>
      <c r="DY57" s="173">
        <f t="shared" si="119"/>
        <v>0.40378418327946752</v>
      </c>
      <c r="EA57" s="5">
        <f t="shared" si="72"/>
        <v>2.4996163726824179</v>
      </c>
      <c r="EB57" s="5">
        <f t="shared" si="73"/>
        <v>0.33328218302432244</v>
      </c>
      <c r="EC57" s="5">
        <f t="shared" si="74"/>
        <v>0.73817196355875436</v>
      </c>
      <c r="ED57" s="5"/>
      <c r="EE57" s="173">
        <f t="shared" si="120"/>
        <v>1.0157960615415391</v>
      </c>
      <c r="EF57" s="173">
        <f t="shared" si="75"/>
        <v>0.82330253670197429</v>
      </c>
      <c r="EG57" s="173">
        <f t="shared" si="76"/>
        <v>8.2441510769751744E-2</v>
      </c>
      <c r="EH57" s="173"/>
      <c r="EI57" s="528">
        <f t="shared" si="77"/>
        <v>4.1273665545732093E-2</v>
      </c>
      <c r="EJ57" s="528">
        <f t="shared" si="78"/>
        <v>1.0786462130279961</v>
      </c>
      <c r="EK57" s="528">
        <f t="shared" si="79"/>
        <v>6.9999999999999993E-2</v>
      </c>
      <c r="EL57" s="528">
        <f t="shared" si="80"/>
        <v>0.10034082371311252</v>
      </c>
      <c r="EM57">
        <f t="shared" si="81"/>
        <v>1.0800000000000001E-2</v>
      </c>
      <c r="EN57" s="460">
        <f t="shared" si="121"/>
        <v>80.8</v>
      </c>
      <c r="EO57">
        <f t="shared" si="82"/>
        <v>1.3252003319512027</v>
      </c>
      <c r="EP57" s="460">
        <f t="shared" si="122"/>
        <v>1325.2003319512028</v>
      </c>
      <c r="EQ57" s="173">
        <f t="shared" si="83"/>
        <v>0.45135999999999998</v>
      </c>
      <c r="ER57" s="173">
        <f t="shared" si="170"/>
        <v>3.2240000000000005E-2</v>
      </c>
      <c r="ES57" s="528"/>
      <c r="EU57" s="460">
        <f t="shared" si="123"/>
        <v>483.59999999999997</v>
      </c>
      <c r="EV57" s="528">
        <f t="shared" si="85"/>
        <v>3.0955249159299068E-2</v>
      </c>
      <c r="EW57" s="528">
        <f t="shared" si="124"/>
        <v>2.0334812008197169E-2</v>
      </c>
      <c r="EX57" s="528">
        <f t="shared" si="86"/>
        <v>3.3983013489995467E-5</v>
      </c>
      <c r="EY57" s="528">
        <f t="shared" si="87"/>
        <v>1.4617441564447395</v>
      </c>
      <c r="EZ57" s="528">
        <f t="shared" si="88"/>
        <v>1.531674911294618</v>
      </c>
      <c r="FA57" s="625">
        <f t="shared" si="89"/>
        <v>0.53664000000000001</v>
      </c>
      <c r="FB57" s="460">
        <f t="shared" si="125"/>
        <v>2068.314911294618</v>
      </c>
      <c r="FC57" s="173">
        <f t="shared" si="126"/>
        <v>3.8771152432458207</v>
      </c>
      <c r="FD57" s="5">
        <f t="shared" si="127"/>
        <v>13.416</v>
      </c>
      <c r="FE57" s="173">
        <f t="shared" si="128"/>
        <v>0.77580006906158172</v>
      </c>
      <c r="FF57" s="5">
        <f t="shared" si="129"/>
        <v>77.580006906158175</v>
      </c>
      <c r="FG57">
        <f t="shared" si="130"/>
        <v>52</v>
      </c>
      <c r="FI57" s="562">
        <f t="shared" si="90"/>
        <v>-50</v>
      </c>
      <c r="FJ57">
        <f t="shared" si="91"/>
        <v>-50</v>
      </c>
      <c r="FL57">
        <f t="shared" si="92"/>
        <v>0.57788552423354222</v>
      </c>
    </row>
    <row r="58" spans="5:168">
      <c r="E58" s="170">
        <v>53</v>
      </c>
      <c r="F58" s="217">
        <f t="shared" si="174"/>
        <v>0.53</v>
      </c>
      <c r="G58" s="217">
        <f t="shared" si="171"/>
        <v>5.3000000000000005E-2</v>
      </c>
      <c r="H58" s="217">
        <f t="shared" si="135"/>
        <v>12.72</v>
      </c>
      <c r="I58" s="217">
        <f t="shared" si="175"/>
        <v>0.95400000000000007</v>
      </c>
      <c r="J58" s="541">
        <f t="shared" si="136"/>
        <v>23.877986978822747</v>
      </c>
      <c r="K58" s="443">
        <f t="shared" si="137"/>
        <v>16.493149123332405</v>
      </c>
      <c r="L58" s="172">
        <f t="shared" si="138"/>
        <v>40.371136102155148</v>
      </c>
      <c r="M58" s="443"/>
      <c r="N58" s="217">
        <f t="shared" si="139"/>
        <v>0.40853814669961552</v>
      </c>
      <c r="O58" s="172">
        <f t="shared" si="172"/>
        <v>50.413790941838741</v>
      </c>
      <c r="P58" s="172">
        <f t="shared" si="140"/>
        <v>4.0646118946857488</v>
      </c>
      <c r="Q58" s="217">
        <f t="shared" si="6"/>
        <v>2.1005746225766142</v>
      </c>
      <c r="R58" s="217">
        <f t="shared" si="141"/>
        <v>2.8007661634354855</v>
      </c>
      <c r="S58" s="443">
        <f t="shared" si="142"/>
        <v>24</v>
      </c>
      <c r="T58" s="217">
        <f t="shared" si="143"/>
        <v>2.8034656924805841</v>
      </c>
      <c r="U58" s="217">
        <f t="shared" si="10"/>
        <v>1.1740795800613186</v>
      </c>
      <c r="V58" s="217">
        <f t="shared" si="11"/>
        <v>1.6997758714947884</v>
      </c>
      <c r="W58" s="197">
        <f t="shared" si="12"/>
        <v>350</v>
      </c>
      <c r="X58" s="443">
        <f t="shared" si="95"/>
        <v>325.32434129059664</v>
      </c>
      <c r="Z58" s="217">
        <f t="shared" si="13"/>
        <v>2.787162442070227</v>
      </c>
      <c r="AA58" s="173">
        <f t="shared" si="14"/>
        <v>1.68989100942967</v>
      </c>
      <c r="AB58" s="173">
        <f t="shared" si="144"/>
        <v>0.5497748378559334</v>
      </c>
      <c r="AC58" s="173"/>
      <c r="AD58" s="173">
        <f t="shared" si="16"/>
        <v>1.3473607772566041</v>
      </c>
      <c r="AE58" s="545">
        <f t="shared" si="145"/>
        <v>530.77278250724135</v>
      </c>
      <c r="AF58" s="528">
        <f t="shared" si="146"/>
        <v>0.34949041494506028</v>
      </c>
      <c r="AH58" s="173">
        <f t="shared" si="147"/>
        <v>2.7953021814670209</v>
      </c>
      <c r="AI58" s="173">
        <f t="shared" si="148"/>
        <v>2.7953021814670209</v>
      </c>
      <c r="AJ58" s="173">
        <f t="shared" si="149"/>
        <v>1.6245036735146656</v>
      </c>
      <c r="AL58" s="545">
        <f t="shared" si="150"/>
        <v>530</v>
      </c>
      <c r="AM58" s="460">
        <f t="shared" si="151"/>
        <v>325.32434129059664</v>
      </c>
      <c r="AO58">
        <f t="shared" si="96"/>
        <v>530</v>
      </c>
      <c r="AP58" s="460">
        <f t="shared" si="24"/>
        <v>325.32434129059664</v>
      </c>
      <c r="AQ58" s="460"/>
      <c r="AR58" s="5">
        <f t="shared" si="97"/>
        <v>3.0738554515561072</v>
      </c>
      <c r="AS58" s="5">
        <f t="shared" si="25"/>
        <v>1.17066073616095</v>
      </c>
      <c r="AT58" s="5">
        <f t="shared" si="98"/>
        <v>1.9031947153951572</v>
      </c>
      <c r="AU58" s="173">
        <f t="shared" si="99"/>
        <v>0.38084443286632597</v>
      </c>
      <c r="AW58" s="5">
        <f t="shared" si="152"/>
        <v>2.5852091256887646</v>
      </c>
      <c r="AX58" s="5">
        <f t="shared" si="153"/>
        <v>0.34469455009183536</v>
      </c>
      <c r="AY58" s="5">
        <f t="shared" si="28"/>
        <v>0.84487289490025896</v>
      </c>
      <c r="AZ58" s="5"/>
      <c r="BA58" s="173">
        <f t="shared" si="100"/>
        <v>0.99596010390683931</v>
      </c>
      <c r="BB58" s="173">
        <f t="shared" si="154"/>
        <v>0.8470203822960235</v>
      </c>
      <c r="BC58" s="173">
        <f t="shared" si="155"/>
        <v>8.4816500443426118E-2</v>
      </c>
      <c r="BD58" s="173"/>
      <c r="BE58" s="528">
        <f t="shared" si="31"/>
        <v>3.9677461142964887E-2</v>
      </c>
      <c r="BF58" s="528">
        <f t="shared" si="156"/>
        <v>0.82603568981891018</v>
      </c>
      <c r="BG58" s="528">
        <f t="shared" si="157"/>
        <v>0.31072361540923815</v>
      </c>
      <c r="BH58" s="528">
        <f t="shared" si="34"/>
        <v>9.2789011967654142E-2</v>
      </c>
      <c r="BI58">
        <f t="shared" si="35"/>
        <v>1.0745094140470236E-2</v>
      </c>
      <c r="BJ58" s="460">
        <f t="shared" si="101"/>
        <v>321.46870954970842</v>
      </c>
      <c r="BK58">
        <f t="shared" si="158"/>
        <v>0.9784391804955419</v>
      </c>
      <c r="BL58" s="460">
        <f t="shared" si="102"/>
        <v>978.4391804955419</v>
      </c>
      <c r="BM58" s="173">
        <f t="shared" si="159"/>
        <v>0.46004</v>
      </c>
      <c r="BN58" s="173">
        <f t="shared" si="160"/>
        <v>3.286E-2</v>
      </c>
      <c r="BO58" s="528"/>
      <c r="BQ58" s="460">
        <f t="shared" si="103"/>
        <v>492.9</v>
      </c>
      <c r="BR58" s="528">
        <f t="shared" si="39"/>
        <v>2.9758095857223665E-2</v>
      </c>
      <c r="BS58" s="528">
        <f t="shared" si="104"/>
        <v>2.1523305840747051E-2</v>
      </c>
      <c r="BT58" s="528">
        <f t="shared" si="161"/>
        <v>3.5969193737348512E-5</v>
      </c>
      <c r="BU58" s="528">
        <f t="shared" si="41"/>
        <v>1.2469048400076148</v>
      </c>
      <c r="BV58" s="528">
        <f t="shared" si="162"/>
        <v>1.3159408298041007</v>
      </c>
      <c r="BW58" s="625">
        <f t="shared" si="163"/>
        <v>0.50839829060658515</v>
      </c>
      <c r="BX58" s="460">
        <f t="shared" si="105"/>
        <v>1824.3391204106858</v>
      </c>
      <c r="BY58" s="173">
        <f t="shared" si="106"/>
        <v>3.295678300906228</v>
      </c>
      <c r="BZ58" s="5">
        <f t="shared" si="107"/>
        <v>13.674000000000001</v>
      </c>
      <c r="CA58" s="173">
        <f t="shared" si="108"/>
        <v>0.80579017218433491</v>
      </c>
      <c r="CB58" s="5">
        <f t="shared" si="109"/>
        <v>80.579017218433492</v>
      </c>
      <c r="CC58">
        <f t="shared" si="173"/>
        <v>53</v>
      </c>
      <c r="CE58" s="562">
        <f t="shared" si="164"/>
        <v>-50</v>
      </c>
      <c r="CF58">
        <f t="shared" si="165"/>
        <v>-50</v>
      </c>
      <c r="CG58" s="173">
        <f t="shared" si="166"/>
        <v>0.58114024475735238</v>
      </c>
      <c r="CH58" s="173">
        <f t="shared" si="167"/>
        <v>0.15839917127775208</v>
      </c>
      <c r="CI58" s="170">
        <v>53</v>
      </c>
      <c r="CJ58" s="217">
        <f t="shared" si="133"/>
        <v>0.53</v>
      </c>
      <c r="CK58" s="217">
        <f t="shared" si="111"/>
        <v>5.3000000000000005E-2</v>
      </c>
      <c r="CL58" s="217">
        <f t="shared" si="48"/>
        <v>12.72</v>
      </c>
      <c r="CM58" s="217">
        <f t="shared" si="134"/>
        <v>0.95400000000000007</v>
      </c>
      <c r="CN58" s="541">
        <f t="shared" si="112"/>
        <v>24</v>
      </c>
      <c r="CO58" s="443">
        <f t="shared" si="168"/>
        <v>16.474900000000002</v>
      </c>
      <c r="CP58" s="443">
        <f t="shared" si="169"/>
        <v>40.474900000000005</v>
      </c>
      <c r="CQ58" s="443"/>
      <c r="CR58" s="217">
        <f t="shared" si="113"/>
        <v>0.40507913686898112</v>
      </c>
      <c r="CS58" s="172">
        <f t="shared" si="114"/>
        <v>50.242373565144938</v>
      </c>
      <c r="CT58" s="172">
        <f t="shared" si="51"/>
        <v>4.0507913686898105</v>
      </c>
      <c r="CU58" s="217">
        <f t="shared" si="52"/>
        <v>2.0934322318810392</v>
      </c>
      <c r="CV58" s="217">
        <f t="shared" si="53"/>
        <v>2.7912429758413855</v>
      </c>
      <c r="CW58" s="443">
        <f t="shared" si="54"/>
        <v>24</v>
      </c>
      <c r="CX58" s="217">
        <f t="shared" si="55"/>
        <v>2.8130305816479519</v>
      </c>
      <c r="CY58" s="217">
        <f t="shared" si="56"/>
        <v>1.1720960756866468</v>
      </c>
      <c r="CZ58" s="217">
        <f t="shared" si="57"/>
        <v>1.7074644347752956</v>
      </c>
      <c r="DA58" s="197">
        <f t="shared" si="58"/>
        <v>350</v>
      </c>
      <c r="DB58" s="443">
        <f t="shared" si="115"/>
        <v>347.2752166057378</v>
      </c>
      <c r="DD58" s="217">
        <f t="shared" si="59"/>
        <v>2.7911308701724487</v>
      </c>
      <c r="DE58" s="173">
        <f t="shared" si="60"/>
        <v>1.6941716612376698</v>
      </c>
      <c r="DF58" s="173">
        <f t="shared" si="61"/>
        <v>0.55195223422072148</v>
      </c>
      <c r="DG58" s="173"/>
      <c r="DH58" s="173">
        <f t="shared" si="62"/>
        <v>1.3488532386977903</v>
      </c>
      <c r="DI58" s="545">
        <f t="shared" si="63"/>
        <v>530.18549999999993</v>
      </c>
      <c r="DJ58" s="528">
        <f t="shared" si="64"/>
        <v>0.34987754285999911</v>
      </c>
      <c r="DL58" s="173">
        <f t="shared" si="65"/>
        <v>2.7953021814670209</v>
      </c>
      <c r="DM58" s="173">
        <f t="shared" si="66"/>
        <v>2.7953021814670209</v>
      </c>
      <c r="DN58" s="173">
        <f t="shared" si="67"/>
        <v>1.6245036735146656</v>
      </c>
      <c r="DP58" s="545">
        <f t="shared" si="68"/>
        <v>530</v>
      </c>
      <c r="DQ58" s="460">
        <f t="shared" si="69"/>
        <v>347.2752166057378</v>
      </c>
      <c r="DS58">
        <f t="shared" si="116"/>
        <v>530</v>
      </c>
      <c r="DT58" s="460">
        <f t="shared" si="70"/>
        <v>347.2752166057378</v>
      </c>
      <c r="DU58" s="460"/>
      <c r="DV58" s="5">
        <f t="shared" si="117"/>
        <v>2.8795605104619426</v>
      </c>
      <c r="DW58" s="5">
        <f t="shared" si="71"/>
        <v>1.1647092422779255</v>
      </c>
      <c r="DX58" s="5">
        <f t="shared" si="118"/>
        <v>1.7148512681840171</v>
      </c>
      <c r="DY58" s="173">
        <f t="shared" si="119"/>
        <v>0.40447465439477132</v>
      </c>
      <c r="EA58" s="5">
        <f t="shared" si="72"/>
        <v>2.5720662433637522</v>
      </c>
      <c r="EB58" s="5">
        <f t="shared" si="73"/>
        <v>0.34294216578183362</v>
      </c>
      <c r="EC58" s="5">
        <f t="shared" si="74"/>
        <v>0.75739264344794077</v>
      </c>
      <c r="ED58" s="5"/>
      <c r="EE58" s="173">
        <f t="shared" si="120"/>
        <v>1.0263932620676757</v>
      </c>
      <c r="EF58" s="173">
        <f t="shared" si="75"/>
        <v>0.83069977896168512</v>
      </c>
      <c r="EG58" s="173">
        <f t="shared" si="76"/>
        <v>8.3182234623055212E-2</v>
      </c>
      <c r="EH58" s="173"/>
      <c r="EI58" s="528">
        <f t="shared" si="77"/>
        <v>4.2139325136716969E-2</v>
      </c>
      <c r="EJ58" s="528">
        <f t="shared" si="78"/>
        <v>1.0804906984847533</v>
      </c>
      <c r="EK58" s="528">
        <f t="shared" si="79"/>
        <v>6.9455043321147547E-2</v>
      </c>
      <c r="EL58" s="528">
        <f t="shared" si="80"/>
        <v>9.9559660826769425E-2</v>
      </c>
      <c r="EM58">
        <f t="shared" si="81"/>
        <v>1.0800000000000001E-2</v>
      </c>
      <c r="EN58" s="460">
        <f t="shared" si="121"/>
        <v>80.255043321147554</v>
      </c>
      <c r="EO58">
        <f t="shared" si="82"/>
        <v>1.3271097715694327</v>
      </c>
      <c r="EP58" s="460">
        <f t="shared" si="122"/>
        <v>1327.1097715694327</v>
      </c>
      <c r="EQ58" s="173">
        <f t="shared" si="83"/>
        <v>0.46004</v>
      </c>
      <c r="ER58" s="173">
        <f t="shared" si="170"/>
        <v>3.286E-2</v>
      </c>
      <c r="ES58" s="528"/>
      <c r="EU58" s="460">
        <f t="shared" si="123"/>
        <v>492.9</v>
      </c>
      <c r="EV58" s="528">
        <f t="shared" si="85"/>
        <v>3.1604493852537725E-2</v>
      </c>
      <c r="EW58" s="528">
        <f t="shared" si="124"/>
        <v>2.0701863683009775E-2</v>
      </c>
      <c r="EX58" s="528">
        <f t="shared" si="86"/>
        <v>3.459642078442503E-5</v>
      </c>
      <c r="EY58" s="528">
        <f t="shared" si="87"/>
        <v>1.4680011307525012</v>
      </c>
      <c r="EZ58" s="528">
        <f t="shared" si="88"/>
        <v>1.539349595763517</v>
      </c>
      <c r="FA58" s="625">
        <f t="shared" si="89"/>
        <v>0.54270186421335531</v>
      </c>
      <c r="FB58" s="460">
        <f t="shared" si="125"/>
        <v>2082.0514599768726</v>
      </c>
      <c r="FC58" s="173">
        <f t="shared" si="126"/>
        <v>3.9020612315463046</v>
      </c>
      <c r="FD58" s="5">
        <f t="shared" si="127"/>
        <v>13.674000000000001</v>
      </c>
      <c r="FE58" s="173">
        <f t="shared" si="128"/>
        <v>0.77799000696795995</v>
      </c>
      <c r="FF58" s="5">
        <f t="shared" si="129"/>
        <v>77.799000696796</v>
      </c>
      <c r="FG58">
        <f t="shared" si="130"/>
        <v>53</v>
      </c>
      <c r="FI58" s="562">
        <f t="shared" si="90"/>
        <v>-50</v>
      </c>
      <c r="FJ58">
        <f t="shared" si="91"/>
        <v>-50</v>
      </c>
      <c r="FL58">
        <f t="shared" si="92"/>
        <v>0.58114024475735226</v>
      </c>
    </row>
    <row r="59" spans="5:168">
      <c r="E59" s="170">
        <v>54</v>
      </c>
      <c r="F59" s="217">
        <f t="shared" si="174"/>
        <v>0.54</v>
      </c>
      <c r="G59" s="217">
        <f t="shared" si="171"/>
        <v>5.4000000000000006E-2</v>
      </c>
      <c r="H59" s="217">
        <f t="shared" si="135"/>
        <v>12.96</v>
      </c>
      <c r="I59" s="217">
        <f t="shared" si="175"/>
        <v>0.97200000000000009</v>
      </c>
      <c r="J59" s="541">
        <f t="shared" si="136"/>
        <v>23.875684846347703</v>
      </c>
      <c r="K59" s="443">
        <f t="shared" si="137"/>
        <v>16.493493446414146</v>
      </c>
      <c r="L59" s="172">
        <f t="shared" si="138"/>
        <v>40.369178292761845</v>
      </c>
      <c r="M59" s="443"/>
      <c r="N59" s="217">
        <f t="shared" si="139"/>
        <v>0.40856648918641508</v>
      </c>
      <c r="O59" s="172">
        <f t="shared" si="172"/>
        <v>50.412427568959039</v>
      </c>
      <c r="P59" s="172">
        <f t="shared" si="140"/>
        <v>4.0645019727473226</v>
      </c>
      <c r="Q59" s="217">
        <f t="shared" si="6"/>
        <v>2.1005178153732933</v>
      </c>
      <c r="R59" s="217">
        <f t="shared" si="141"/>
        <v>2.8006904204977245</v>
      </c>
      <c r="S59" s="443">
        <f t="shared" si="142"/>
        <v>24</v>
      </c>
      <c r="T59" s="217">
        <f t="shared" si="143"/>
        <v>2.8564385201054394</v>
      </c>
      <c r="U59" s="217">
        <f t="shared" si="10"/>
        <v>1.1963797220846601</v>
      </c>
      <c r="V59" s="217">
        <f t="shared" si="11"/>
        <v>1.7318577955517716</v>
      </c>
      <c r="W59" s="197">
        <f t="shared" si="12"/>
        <v>350</v>
      </c>
      <c r="X59" s="443">
        <f t="shared" si="95"/>
        <v>319.6688212970347</v>
      </c>
      <c r="Z59" s="217">
        <f t="shared" si="13"/>
        <v>2.7870870670267345</v>
      </c>
      <c r="AA59" s="173">
        <f t="shared" si="14"/>
        <v>1.6898100308959567</v>
      </c>
      <c r="AB59" s="173">
        <f t="shared" si="144"/>
        <v>0.54973362577975204</v>
      </c>
      <c r="AC59" s="173"/>
      <c r="AD59" s="173">
        <f t="shared" si="16"/>
        <v>1.3473326493517095</v>
      </c>
      <c r="AE59" s="545">
        <f t="shared" si="145"/>
        <v>540.7986531830245</v>
      </c>
      <c r="AF59" s="528">
        <f t="shared" si="146"/>
        <v>0.3494831188790628</v>
      </c>
      <c r="AH59" s="173">
        <f t="shared" si="147"/>
        <v>2.8215497261510127</v>
      </c>
      <c r="AI59" s="173">
        <f t="shared" si="148"/>
        <v>2.8215497261510127</v>
      </c>
      <c r="AJ59" s="173">
        <f t="shared" si="149"/>
        <v>1.6439462992065115</v>
      </c>
      <c r="AL59" s="545">
        <f t="shared" si="150"/>
        <v>540</v>
      </c>
      <c r="AM59" s="460">
        <f t="shared" si="151"/>
        <v>319.6688212970347</v>
      </c>
      <c r="AO59">
        <f t="shared" si="96"/>
        <v>540</v>
      </c>
      <c r="AP59" s="460">
        <f t="shared" si="24"/>
        <v>319.6688212970347</v>
      </c>
      <c r="AQ59" s="460"/>
      <c r="AR59" s="5">
        <f t="shared" si="97"/>
        <v>3.1282375176364319</v>
      </c>
      <c r="AS59" s="5">
        <f t="shared" si="25"/>
        <v>1.181767033829243</v>
      </c>
      <c r="AT59" s="5">
        <f t="shared" si="98"/>
        <v>1.9464704838071889</v>
      </c>
      <c r="AU59" s="173">
        <f t="shared" si="99"/>
        <v>0.37777407475188707</v>
      </c>
      <c r="AW59" s="5">
        <f t="shared" si="152"/>
        <v>2.658975826115797</v>
      </c>
      <c r="AX59" s="5">
        <f t="shared" si="153"/>
        <v>0.35453011014877295</v>
      </c>
      <c r="AY59" s="5">
        <f t="shared" si="28"/>
        <v>0.88047238688248086</v>
      </c>
      <c r="AZ59" s="5"/>
      <c r="BA59" s="173">
        <f t="shared" si="100"/>
        <v>1.0012514464117288</v>
      </c>
      <c r="BB59" s="173">
        <f t="shared" si="154"/>
        <v>0.85709106203663243</v>
      </c>
      <c r="BC59" s="173">
        <f t="shared" si="155"/>
        <v>8.5824929320154661E-2</v>
      </c>
      <c r="BD59" s="173"/>
      <c r="BE59" s="528">
        <f t="shared" si="31"/>
        <v>4.0100178357663163E-2</v>
      </c>
      <c r="BF59" s="528">
        <f t="shared" si="156"/>
        <v>0.81925748111551688</v>
      </c>
      <c r="BG59" s="528">
        <f t="shared" si="157"/>
        <v>0.30529248129965775</v>
      </c>
      <c r="BH59" s="528">
        <f t="shared" si="34"/>
        <v>9.1167101506160114E-2</v>
      </c>
      <c r="BI59">
        <f t="shared" si="35"/>
        <v>1.0744058180856466E-2</v>
      </c>
      <c r="BJ59" s="460">
        <f t="shared" si="101"/>
        <v>316.03653948051419</v>
      </c>
      <c r="BK59">
        <f t="shared" si="158"/>
        <v>0.97059948925752992</v>
      </c>
      <c r="BL59" s="460">
        <f t="shared" si="102"/>
        <v>970.59948925752997</v>
      </c>
      <c r="BM59" s="173">
        <f t="shared" si="159"/>
        <v>0.46872000000000003</v>
      </c>
      <c r="BN59" s="173">
        <f t="shared" si="160"/>
        <v>3.3480000000000003E-2</v>
      </c>
      <c r="BO59" s="528"/>
      <c r="BQ59" s="460">
        <f t="shared" si="103"/>
        <v>502.2</v>
      </c>
      <c r="BR59" s="528">
        <f t="shared" si="39"/>
        <v>3.0075133768247369E-2</v>
      </c>
      <c r="BS59" s="528">
        <f t="shared" si="104"/>
        <v>2.2038152658692474E-2</v>
      </c>
      <c r="BT59" s="528">
        <f t="shared" si="161"/>
        <v>3.6829592464047714E-5</v>
      </c>
      <c r="BU59" s="528">
        <f t="shared" si="41"/>
        <v>1.2216308034646302</v>
      </c>
      <c r="BV59" s="528">
        <f t="shared" si="162"/>
        <v>1.2916858727787739</v>
      </c>
      <c r="BW59" s="625">
        <f t="shared" si="163"/>
        <v>0.5089858306640328</v>
      </c>
      <c r="BX59" s="460">
        <f t="shared" si="105"/>
        <v>1800.6717034428066</v>
      </c>
      <c r="BY59" s="173">
        <f t="shared" si="106"/>
        <v>3.2734711927003364</v>
      </c>
      <c r="BZ59" s="5">
        <f t="shared" si="107"/>
        <v>13.932</v>
      </c>
      <c r="CA59" s="173">
        <f t="shared" si="108"/>
        <v>0.80974242692701426</v>
      </c>
      <c r="CB59" s="5">
        <f t="shared" si="109"/>
        <v>80.974242692701424</v>
      </c>
      <c r="CC59">
        <f t="shared" si="173"/>
        <v>54</v>
      </c>
      <c r="CE59" s="562">
        <f t="shared" si="164"/>
        <v>-50</v>
      </c>
      <c r="CF59">
        <f t="shared" si="165"/>
        <v>-50</v>
      </c>
      <c r="CG59" s="173">
        <f t="shared" si="166"/>
        <v>0.58114024475735238</v>
      </c>
      <c r="CH59" s="173">
        <f t="shared" si="167"/>
        <v>0.1583991712777521</v>
      </c>
      <c r="CI59" s="170">
        <v>54</v>
      </c>
      <c r="CJ59" s="217">
        <f t="shared" si="133"/>
        <v>0.54</v>
      </c>
      <c r="CK59" s="217">
        <f t="shared" si="111"/>
        <v>5.4000000000000006E-2</v>
      </c>
      <c r="CL59" s="217">
        <f t="shared" si="48"/>
        <v>12.96</v>
      </c>
      <c r="CM59" s="217">
        <f t="shared" si="134"/>
        <v>0.97200000000000009</v>
      </c>
      <c r="CN59" s="541">
        <f t="shared" si="112"/>
        <v>24</v>
      </c>
      <c r="CO59" s="443">
        <f t="shared" si="168"/>
        <v>16.474900000000002</v>
      </c>
      <c r="CP59" s="443">
        <f t="shared" si="169"/>
        <v>40.474900000000005</v>
      </c>
      <c r="CQ59" s="443"/>
      <c r="CR59" s="217">
        <f t="shared" si="113"/>
        <v>0.40507913686898112</v>
      </c>
      <c r="CS59" s="172">
        <f t="shared" si="114"/>
        <v>50.242373565144938</v>
      </c>
      <c r="CT59" s="172">
        <f t="shared" si="51"/>
        <v>4.0507913686898105</v>
      </c>
      <c r="CU59" s="217">
        <f t="shared" si="52"/>
        <v>2.0934322318810392</v>
      </c>
      <c r="CV59" s="217">
        <f t="shared" si="53"/>
        <v>2.7912429758413855</v>
      </c>
      <c r="CW59" s="443">
        <f t="shared" si="54"/>
        <v>24</v>
      </c>
      <c r="CX59" s="217">
        <f t="shared" si="55"/>
        <v>2.8661066303582903</v>
      </c>
      <c r="CY59" s="217">
        <f t="shared" si="56"/>
        <v>1.1942110959826211</v>
      </c>
      <c r="CZ59" s="217">
        <f t="shared" si="57"/>
        <v>1.7396807448653955</v>
      </c>
      <c r="DA59" s="197">
        <f t="shared" si="58"/>
        <v>350</v>
      </c>
      <c r="DB59" s="443">
        <f t="shared" si="115"/>
        <v>340.844194076002</v>
      </c>
      <c r="DD59" s="217">
        <f t="shared" si="59"/>
        <v>2.7911308701724487</v>
      </c>
      <c r="DE59" s="173">
        <f t="shared" si="60"/>
        <v>1.6941716612376698</v>
      </c>
      <c r="DF59" s="173">
        <f t="shared" si="61"/>
        <v>0.55195223422072148</v>
      </c>
      <c r="DG59" s="173"/>
      <c r="DH59" s="173">
        <f t="shared" si="62"/>
        <v>1.3488532386977903</v>
      </c>
      <c r="DI59" s="545">
        <f t="shared" si="63"/>
        <v>540.18899999999985</v>
      </c>
      <c r="DJ59" s="528">
        <f t="shared" si="64"/>
        <v>0.34987754285999911</v>
      </c>
      <c r="DL59" s="173">
        <f t="shared" si="65"/>
        <v>2.8215497261510127</v>
      </c>
      <c r="DM59" s="173">
        <f t="shared" si="66"/>
        <v>2.8215497261510127</v>
      </c>
      <c r="DN59" s="173">
        <f t="shared" si="67"/>
        <v>1.6439462992065115</v>
      </c>
      <c r="DP59" s="545">
        <f t="shared" si="68"/>
        <v>540</v>
      </c>
      <c r="DQ59" s="460">
        <f t="shared" si="69"/>
        <v>340.844194076002</v>
      </c>
      <c r="DS59">
        <f t="shared" si="116"/>
        <v>540</v>
      </c>
      <c r="DT59" s="460">
        <f t="shared" si="70"/>
        <v>340.844194076002</v>
      </c>
      <c r="DU59" s="460"/>
      <c r="DV59" s="5">
        <f t="shared" si="117"/>
        <v>2.9338918408480161</v>
      </c>
      <c r="DW59" s="5">
        <f t="shared" si="71"/>
        <v>1.1756457192295886</v>
      </c>
      <c r="DX59" s="5">
        <f t="shared" si="118"/>
        <v>1.7582461216184275</v>
      </c>
      <c r="DY59" s="173">
        <f t="shared" si="119"/>
        <v>0.40071201768971088</v>
      </c>
      <c r="EA59" s="5">
        <f t="shared" si="72"/>
        <v>2.6452028682665745</v>
      </c>
      <c r="EB59" s="5">
        <f t="shared" si="73"/>
        <v>0.35269371576887665</v>
      </c>
      <c r="EC59" s="5">
        <f t="shared" si="74"/>
        <v>0.79121075472829228</v>
      </c>
      <c r="ED59" s="5"/>
      <c r="EE59" s="173">
        <f t="shared" si="120"/>
        <v>1.0312008561868928</v>
      </c>
      <c r="EF59" s="173">
        <f t="shared" si="75"/>
        <v>0.84114467419328531</v>
      </c>
      <c r="EG59" s="173">
        <f t="shared" si="76"/>
        <v>8.4228135618543823E-2</v>
      </c>
      <c r="EH59" s="173"/>
      <c r="EI59" s="528">
        <f t="shared" si="77"/>
        <v>4.2535008232023233E-2</v>
      </c>
      <c r="EJ59" s="528">
        <f t="shared" si="78"/>
        <v>1.0704394037560925</v>
      </c>
      <c r="EK59" s="528">
        <f t="shared" si="79"/>
        <v>6.8168838815200389E-2</v>
      </c>
      <c r="EL59" s="528">
        <f t="shared" si="80"/>
        <v>9.7715963404051503E-2</v>
      </c>
      <c r="EM59">
        <f t="shared" si="81"/>
        <v>1.0800000000000001E-2</v>
      </c>
      <c r="EN59" s="460">
        <f t="shared" si="121"/>
        <v>78.968838815200399</v>
      </c>
      <c r="EO59">
        <f t="shared" si="82"/>
        <v>1.3144276906013077</v>
      </c>
      <c r="EP59" s="460">
        <f t="shared" si="122"/>
        <v>1314.4276906013076</v>
      </c>
      <c r="EQ59" s="173">
        <f t="shared" si="83"/>
        <v>0.46872000000000003</v>
      </c>
      <c r="ER59" s="173">
        <f t="shared" si="170"/>
        <v>3.3480000000000003E-2</v>
      </c>
      <c r="ES59" s="528"/>
      <c r="EU59" s="460">
        <f t="shared" si="123"/>
        <v>502.2</v>
      </c>
      <c r="EV59" s="528">
        <f t="shared" si="85"/>
        <v>3.1901256174017421E-2</v>
      </c>
      <c r="EW59" s="528">
        <f t="shared" si="124"/>
        <v>2.1225730887711843E-2</v>
      </c>
      <c r="EX59" s="528">
        <f t="shared" si="86"/>
        <v>3.5471894148879056E-5</v>
      </c>
      <c r="EY59" s="528">
        <f t="shared" si="87"/>
        <v>1.4340986511452294</v>
      </c>
      <c r="EZ59" s="528">
        <f t="shared" si="88"/>
        <v>1.5064269290332992</v>
      </c>
      <c r="FA59" s="625">
        <f t="shared" si="89"/>
        <v>0.54270186421335531</v>
      </c>
      <c r="FB59" s="460">
        <f t="shared" si="125"/>
        <v>2049.1287932466548</v>
      </c>
      <c r="FC59" s="173">
        <f t="shared" si="126"/>
        <v>3.8657564838479619</v>
      </c>
      <c r="FD59" s="5">
        <f t="shared" si="127"/>
        <v>13.932</v>
      </c>
      <c r="FE59" s="173">
        <f t="shared" si="128"/>
        <v>0.78279529291479744</v>
      </c>
      <c r="FF59" s="5">
        <f t="shared" si="129"/>
        <v>78.279529291479747</v>
      </c>
      <c r="FG59">
        <f t="shared" si="130"/>
        <v>54</v>
      </c>
      <c r="FI59" s="562">
        <f t="shared" si="90"/>
        <v>-50</v>
      </c>
      <c r="FJ59">
        <f t="shared" si="91"/>
        <v>-50</v>
      </c>
      <c r="FL59">
        <f t="shared" si="92"/>
        <v>0.58114024475735238</v>
      </c>
    </row>
    <row r="60" spans="5:168">
      <c r="E60" s="170">
        <v>55</v>
      </c>
      <c r="F60" s="217">
        <f t="shared" si="174"/>
        <v>0.55000000000000004</v>
      </c>
      <c r="G60" s="217">
        <f t="shared" si="171"/>
        <v>5.5000000000000007E-2</v>
      </c>
      <c r="H60" s="217">
        <f t="shared" si="135"/>
        <v>13.200000000000001</v>
      </c>
      <c r="I60" s="217">
        <f t="shared" si="175"/>
        <v>0.9900000000000001</v>
      </c>
      <c r="J60" s="541">
        <f t="shared" si="136"/>
        <v>23.873382713872662</v>
      </c>
      <c r="K60" s="443">
        <f t="shared" si="137"/>
        <v>16.49383776949589</v>
      </c>
      <c r="L60" s="172">
        <f t="shared" si="138"/>
        <v>40.367220483368556</v>
      </c>
      <c r="M60" s="443"/>
      <c r="N60" s="217">
        <f t="shared" si="139"/>
        <v>0.40859483442243472</v>
      </c>
      <c r="O60" s="172">
        <f t="shared" si="172"/>
        <v>50.411063860869326</v>
      </c>
      <c r="P60" s="172">
        <f t="shared" si="140"/>
        <v>4.0643920237825899</v>
      </c>
      <c r="Q60" s="217">
        <f t="shared" si="6"/>
        <v>2.1004609942028885</v>
      </c>
      <c r="R60" s="217">
        <f t="shared" si="141"/>
        <v>2.8006146589371848</v>
      </c>
      <c r="S60" s="443">
        <f t="shared" si="142"/>
        <v>24</v>
      </c>
      <c r="T60" s="217">
        <f t="shared" si="143"/>
        <v>2.9094142323886567</v>
      </c>
      <c r="U60" s="217">
        <f t="shared" si="10"/>
        <v>1.2186853732705487</v>
      </c>
      <c r="V60" s="217">
        <f t="shared" si="11"/>
        <v>1.7639401290640795</v>
      </c>
      <c r="W60" s="197">
        <f t="shared" si="12"/>
        <v>350</v>
      </c>
      <c r="X60" s="443">
        <f t="shared" si="95"/>
        <v>314.2059910179334</v>
      </c>
      <c r="Z60" s="217">
        <f t="shared" si="13"/>
        <v>2.7870116734509187</v>
      </c>
      <c r="AA60" s="173">
        <f t="shared" si="14"/>
        <v>1.6897290445073294</v>
      </c>
      <c r="AB60" s="173">
        <f t="shared" si="144"/>
        <v>0.54969240891798321</v>
      </c>
      <c r="AC60" s="173"/>
      <c r="AD60" s="173">
        <f t="shared" si="16"/>
        <v>1.3473045226212028</v>
      </c>
      <c r="AE60" s="545">
        <f t="shared" si="145"/>
        <v>550.8249420022803</v>
      </c>
      <c r="AF60" s="528">
        <f t="shared" si="146"/>
        <v>0.34947582311768866</v>
      </c>
      <c r="AH60" s="173">
        <f t="shared" si="147"/>
        <v>2.8475553424949318</v>
      </c>
      <c r="AI60" s="173">
        <f t="shared" si="148"/>
        <v>2.9094142323886567</v>
      </c>
      <c r="AJ60" s="173">
        <f t="shared" si="149"/>
        <v>1.709031118641803</v>
      </c>
      <c r="AL60" s="545">
        <f t="shared" si="150"/>
        <v>550</v>
      </c>
      <c r="AM60" s="460">
        <f t="shared" si="151"/>
        <v>314.2059910179334</v>
      </c>
      <c r="AO60">
        <f t="shared" si="96"/>
        <v>550</v>
      </c>
      <c r="AP60">
        <f t="shared" si="24"/>
        <v>314.2059910179334</v>
      </c>
      <c r="AR60" s="5">
        <f t="shared" si="97"/>
        <v>3.1826255023346284</v>
      </c>
      <c r="AS60" s="5">
        <f t="shared" si="25"/>
        <v>1.2186853732705487</v>
      </c>
      <c r="AT60" s="5">
        <f t="shared" si="98"/>
        <v>1.9639401290640797</v>
      </c>
      <c r="AU60" s="173">
        <f t="shared" si="99"/>
        <v>0.38291824544753283</v>
      </c>
      <c r="AW60" s="5">
        <f t="shared" si="152"/>
        <v>2.792820647078341</v>
      </c>
      <c r="AX60" s="5">
        <f t="shared" si="153"/>
        <v>0.37237608627711222</v>
      </c>
      <c r="AY60" s="5">
        <f t="shared" si="28"/>
        <v>0.90491329522193431</v>
      </c>
      <c r="AZ60" s="5"/>
      <c r="BA60" s="173">
        <f t="shared" si="100"/>
        <v>1.0394364968939978</v>
      </c>
      <c r="BB60" s="173">
        <f t="shared" si="154"/>
        <v>0.88012046269216271</v>
      </c>
      <c r="BC60" s="173">
        <f t="shared" si="155"/>
        <v>8.8130981466877353E-2</v>
      </c>
      <c r="BD60" s="173"/>
      <c r="BE60" s="528">
        <f t="shared" si="31"/>
        <v>4.3217129243010632E-2</v>
      </c>
      <c r="BF60" s="528">
        <f t="shared" si="156"/>
        <v>0.83029301703199154</v>
      </c>
      <c r="BG60" s="528">
        <f t="shared" si="157"/>
        <v>0.3000463949825104</v>
      </c>
      <c r="BH60" s="528">
        <f t="shared" si="34"/>
        <v>8.9600452664811481E-2</v>
      </c>
      <c r="BI60">
        <f t="shared" si="35"/>
        <v>1.0743022221242697E-2</v>
      </c>
      <c r="BJ60" s="460">
        <f t="shared" si="101"/>
        <v>310.78941720375309</v>
      </c>
      <c r="BK60">
        <f t="shared" si="158"/>
        <v>0.9848924838774763</v>
      </c>
      <c r="BL60" s="460">
        <f t="shared" si="102"/>
        <v>984.89248387747625</v>
      </c>
      <c r="BM60" s="173">
        <f t="shared" si="159"/>
        <v>0.47739999999999999</v>
      </c>
      <c r="BN60" s="173">
        <f t="shared" si="160"/>
        <v>3.4100000000000005E-2</v>
      </c>
      <c r="BO60" s="528"/>
      <c r="BQ60" s="460">
        <f t="shared" si="103"/>
        <v>511.49999999999994</v>
      </c>
      <c r="BR60" s="528">
        <f t="shared" si="39"/>
        <v>3.2412846932257974E-2</v>
      </c>
      <c r="BS60" s="528">
        <f t="shared" si="104"/>
        <v>2.3238360865483997E-2</v>
      </c>
      <c r="BT60" s="528">
        <f t="shared" si="161"/>
        <v>3.88353494715754E-5</v>
      </c>
      <c r="BU60" s="528">
        <f t="shared" si="41"/>
        <v>1.2633394434631386</v>
      </c>
      <c r="BV60" s="528">
        <f t="shared" si="162"/>
        <v>1.3383577530467701</v>
      </c>
      <c r="BW60" s="625">
        <f t="shared" si="163"/>
        <v>0.53193133589964425</v>
      </c>
      <c r="BX60" s="460">
        <f t="shared" si="105"/>
        <v>1870.2890889464143</v>
      </c>
      <c r="BY60" s="173">
        <f t="shared" si="106"/>
        <v>3.3666815728238904</v>
      </c>
      <c r="BZ60" s="5">
        <f t="shared" si="107"/>
        <v>14.190000000000001</v>
      </c>
      <c r="CA60" s="173">
        <f t="shared" si="108"/>
        <v>0.8082392985907314</v>
      </c>
      <c r="CB60" s="5">
        <f t="shared" si="109"/>
        <v>80.823929859073147</v>
      </c>
      <c r="CC60">
        <f t="shared" si="173"/>
        <v>55.000000000000007</v>
      </c>
      <c r="CE60" s="562">
        <f t="shared" si="164"/>
        <v>-50</v>
      </c>
      <c r="CF60">
        <f t="shared" si="165"/>
        <v>-50</v>
      </c>
      <c r="CG60" s="173">
        <f t="shared" si="166"/>
        <v>0.58114024475735249</v>
      </c>
      <c r="CH60" s="173">
        <f t="shared" si="167"/>
        <v>0.1583991712777521</v>
      </c>
      <c r="CI60" s="170">
        <v>55</v>
      </c>
      <c r="CJ60" s="217">
        <f t="shared" si="133"/>
        <v>0.55000000000000004</v>
      </c>
      <c r="CK60" s="217">
        <f t="shared" si="111"/>
        <v>5.5000000000000007E-2</v>
      </c>
      <c r="CL60" s="217">
        <f t="shared" si="48"/>
        <v>13.200000000000001</v>
      </c>
      <c r="CM60" s="217">
        <f t="shared" si="134"/>
        <v>0.9900000000000001</v>
      </c>
      <c r="CN60" s="541">
        <f t="shared" si="112"/>
        <v>24</v>
      </c>
      <c r="CO60" s="443">
        <f t="shared" si="168"/>
        <v>16.474900000000002</v>
      </c>
      <c r="CP60" s="443">
        <f t="shared" si="169"/>
        <v>40.474900000000005</v>
      </c>
      <c r="CQ60" s="443"/>
      <c r="CR60" s="217">
        <f t="shared" si="113"/>
        <v>0.40507913686898112</v>
      </c>
      <c r="CS60" s="172">
        <f t="shared" si="114"/>
        <v>50.242373565144938</v>
      </c>
      <c r="CT60" s="172">
        <f t="shared" si="51"/>
        <v>4.0507913686898105</v>
      </c>
      <c r="CU60" s="217">
        <f t="shared" si="52"/>
        <v>2.0934322318810392</v>
      </c>
      <c r="CV60" s="217">
        <f t="shared" si="53"/>
        <v>2.7912429758413855</v>
      </c>
      <c r="CW60" s="443">
        <f t="shared" si="54"/>
        <v>24</v>
      </c>
      <c r="CX60" s="217">
        <f t="shared" si="55"/>
        <v>2.919182679068629</v>
      </c>
      <c r="CY60" s="217">
        <f t="shared" si="56"/>
        <v>1.2163261162785954</v>
      </c>
      <c r="CZ60" s="217">
        <f t="shared" si="57"/>
        <v>1.7718970549554951</v>
      </c>
      <c r="DA60" s="197">
        <f t="shared" si="58"/>
        <v>350</v>
      </c>
      <c r="DB60" s="443">
        <f t="shared" si="115"/>
        <v>334.64702691098381</v>
      </c>
      <c r="DD60" s="217">
        <f t="shared" si="59"/>
        <v>2.7911308701724487</v>
      </c>
      <c r="DE60" s="173">
        <f t="shared" si="60"/>
        <v>1.6941716612376698</v>
      </c>
      <c r="DF60" s="173">
        <f t="shared" si="61"/>
        <v>0.55195223422072148</v>
      </c>
      <c r="DG60" s="173"/>
      <c r="DH60" s="173">
        <f t="shared" si="62"/>
        <v>1.3488532386977903</v>
      </c>
      <c r="DI60" s="545">
        <f t="shared" si="63"/>
        <v>550.19249999999988</v>
      </c>
      <c r="DJ60" s="528">
        <f t="shared" si="64"/>
        <v>0.34987754285999911</v>
      </c>
      <c r="DL60" s="173">
        <f t="shared" si="65"/>
        <v>2.8475553424949318</v>
      </c>
      <c r="DM60" s="173">
        <f t="shared" si="66"/>
        <v>2.8475553424949318</v>
      </c>
      <c r="DN60" s="173">
        <f t="shared" si="67"/>
        <v>1.6632097187205255</v>
      </c>
      <c r="DP60" s="545">
        <f t="shared" si="68"/>
        <v>550</v>
      </c>
      <c r="DQ60" s="460">
        <f t="shared" si="69"/>
        <v>334.64702691098381</v>
      </c>
      <c r="DS60">
        <f t="shared" si="116"/>
        <v>550</v>
      </c>
      <c r="DT60">
        <f t="shared" si="70"/>
        <v>334.64702691098381</v>
      </c>
      <c r="DV60" s="5">
        <f t="shared" si="117"/>
        <v>2.9882231712340901</v>
      </c>
      <c r="DW60" s="5">
        <f t="shared" si="71"/>
        <v>1.1864813927062219</v>
      </c>
      <c r="DX60" s="5">
        <f t="shared" si="118"/>
        <v>1.8017417785278682</v>
      </c>
      <c r="DY60" s="173">
        <f t="shared" si="119"/>
        <v>0.39705247055434062</v>
      </c>
      <c r="EA60" s="5">
        <f t="shared" si="72"/>
        <v>2.7190198582850917</v>
      </c>
      <c r="EB60" s="5">
        <f t="shared" si="73"/>
        <v>0.36253598110467894</v>
      </c>
      <c r="EC60" s="5">
        <f t="shared" si="74"/>
        <v>0.82579831515860624</v>
      </c>
      <c r="ED60" s="5"/>
      <c r="EE60" s="173">
        <f t="shared" si="120"/>
        <v>1.0359421345455908</v>
      </c>
      <c r="EF60" s="173">
        <f t="shared" si="75"/>
        <v>0.85148527101171423</v>
      </c>
      <c r="EG60" s="173">
        <f t="shared" si="76"/>
        <v>8.5263592678335165E-2</v>
      </c>
      <c r="EH60" s="173"/>
      <c r="EI60" s="528">
        <f t="shared" si="77"/>
        <v>4.2927044245074999E-2</v>
      </c>
      <c r="EJ60" s="528">
        <f t="shared" si="78"/>
        <v>1.060663496669032</v>
      </c>
      <c r="EK60" s="528">
        <f t="shared" si="79"/>
        <v>6.6929405382196758E-2</v>
      </c>
      <c r="EL60" s="528">
        <f t="shared" si="80"/>
        <v>9.5939309523977848E-2</v>
      </c>
      <c r="EM60">
        <f t="shared" si="81"/>
        <v>1.0800000000000001E-2</v>
      </c>
      <c r="EN60" s="460">
        <f t="shared" si="121"/>
        <v>77.729405382196759</v>
      </c>
      <c r="EO60">
        <f t="shared" si="82"/>
        <v>1.3021305941144887</v>
      </c>
      <c r="EP60" s="460">
        <f t="shared" si="122"/>
        <v>1302.1305941144888</v>
      </c>
      <c r="EQ60" s="173">
        <f t="shared" si="83"/>
        <v>0.47739999999999999</v>
      </c>
      <c r="ER60" s="173">
        <f t="shared" si="170"/>
        <v>3.4100000000000005E-2</v>
      </c>
      <c r="ES60" s="528"/>
      <c r="EU60" s="460">
        <f t="shared" si="123"/>
        <v>511.49999999999994</v>
      </c>
      <c r="EV60" s="528">
        <f t="shared" si="85"/>
        <v>3.2195283183806246E-2</v>
      </c>
      <c r="EW60" s="528">
        <f t="shared" si="124"/>
        <v>2.1750815002496773E-2</v>
      </c>
      <c r="EX60" s="528">
        <f t="shared" si="86"/>
        <v>3.6349401182085254E-5</v>
      </c>
      <c r="EY60" s="528">
        <f t="shared" si="87"/>
        <v>1.4015799147379346</v>
      </c>
      <c r="EZ60" s="528">
        <f t="shared" si="88"/>
        <v>1.4748875931218668</v>
      </c>
      <c r="FA60" s="625">
        <f t="shared" si="89"/>
        <v>0.54270186421335553</v>
      </c>
      <c r="FB60" s="460">
        <f t="shared" si="125"/>
        <v>2017.5894573352223</v>
      </c>
      <c r="FC60" s="173">
        <f t="shared" si="126"/>
        <v>3.8312200514497112</v>
      </c>
      <c r="FD60" s="5">
        <f t="shared" si="127"/>
        <v>14.190000000000001</v>
      </c>
      <c r="FE60" s="173">
        <f t="shared" si="128"/>
        <v>0.78740506799696341</v>
      </c>
      <c r="FF60" s="5">
        <f t="shared" si="129"/>
        <v>78.740506799696348</v>
      </c>
      <c r="FG60">
        <f t="shared" si="130"/>
        <v>55.000000000000007</v>
      </c>
      <c r="FI60" s="562">
        <f t="shared" si="90"/>
        <v>-50</v>
      </c>
      <c r="FJ60">
        <f t="shared" si="91"/>
        <v>-50</v>
      </c>
      <c r="FL60">
        <f t="shared" si="92"/>
        <v>0.58114024475735238</v>
      </c>
    </row>
    <row r="61" spans="5:168">
      <c r="E61" s="170">
        <v>56</v>
      </c>
      <c r="F61" s="217">
        <f t="shared" si="174"/>
        <v>0.56000000000000005</v>
      </c>
      <c r="G61" s="217">
        <f t="shared" si="171"/>
        <v>5.6000000000000008E-2</v>
      </c>
      <c r="H61" s="217">
        <f t="shared" si="135"/>
        <v>13.440000000000001</v>
      </c>
      <c r="I61" s="217">
        <f t="shared" si="175"/>
        <v>1.0080000000000002</v>
      </c>
      <c r="J61" s="541">
        <f t="shared" si="136"/>
        <v>23.871080581397617</v>
      </c>
      <c r="K61" s="443">
        <f t="shared" si="137"/>
        <v>16.494182092577635</v>
      </c>
      <c r="L61" s="172">
        <f t="shared" si="138"/>
        <v>40.365262673975252</v>
      </c>
      <c r="M61" s="443"/>
      <c r="N61" s="217">
        <f t="shared" si="139"/>
        <v>0.4086231824080746</v>
      </c>
      <c r="O61" s="172">
        <f t="shared" si="172"/>
        <v>50.409699817520845</v>
      </c>
      <c r="P61" s="172">
        <f t="shared" si="140"/>
        <v>4.0642820477876187</v>
      </c>
      <c r="Q61" s="217">
        <f t="shared" si="6"/>
        <v>2.1004041590633684</v>
      </c>
      <c r="R61" s="217">
        <f t="shared" si="141"/>
        <v>2.800538878751158</v>
      </c>
      <c r="S61" s="443">
        <f t="shared" si="142"/>
        <v>24</v>
      </c>
      <c r="T61" s="217">
        <f t="shared" si="143"/>
        <v>2.9623928306240321</v>
      </c>
      <c r="U61" s="217">
        <f t="shared" si="10"/>
        <v>1.2409965357548924</v>
      </c>
      <c r="V61" s="217">
        <f t="shared" si="11"/>
        <v>1.7960228727904648</v>
      </c>
      <c r="W61" s="197">
        <f t="shared" si="12"/>
        <v>350</v>
      </c>
      <c r="X61" s="443">
        <f t="shared" si="95"/>
        <v>308.92616749844484</v>
      </c>
      <c r="Z61" s="217">
        <f t="shared" si="13"/>
        <v>2.7869362613400814</v>
      </c>
      <c r="AA61" s="173">
        <f t="shared" si="14"/>
        <v>1.6896480502626439</v>
      </c>
      <c r="AB61" s="173">
        <f t="shared" si="144"/>
        <v>0.54965118727045581</v>
      </c>
      <c r="AC61" s="173"/>
      <c r="AD61" s="173">
        <f t="shared" si="16"/>
        <v>1.3472763970650115</v>
      </c>
      <c r="AE61" s="545">
        <f t="shared" si="145"/>
        <v>560.85164896500851</v>
      </c>
      <c r="AF61" s="528">
        <f t="shared" si="146"/>
        <v>0.34946852766091885</v>
      </c>
      <c r="AH61" s="173">
        <f t="shared" si="147"/>
        <v>2.8733255993708755</v>
      </c>
      <c r="AI61" s="173">
        <f t="shared" si="148"/>
        <v>2.9623928306240321</v>
      </c>
      <c r="AJ61" s="173">
        <f t="shared" si="149"/>
        <v>1.7482745247420812</v>
      </c>
      <c r="AL61" s="545">
        <f t="shared" si="150"/>
        <v>560</v>
      </c>
      <c r="AM61" s="460">
        <f t="shared" si="151"/>
        <v>308.92616749844484</v>
      </c>
      <c r="AO61">
        <f t="shared" si="96"/>
        <v>560</v>
      </c>
      <c r="AP61">
        <f t="shared" si="24"/>
        <v>308.92616749844484</v>
      </c>
      <c r="AR61" s="5">
        <f t="shared" si="97"/>
        <v>3.2370194085453576</v>
      </c>
      <c r="AS61" s="5">
        <f t="shared" si="25"/>
        <v>1.2409965357548924</v>
      </c>
      <c r="AT61" s="5">
        <f t="shared" si="98"/>
        <v>1.9960228727904652</v>
      </c>
      <c r="AU61" s="173">
        <f t="shared" si="99"/>
        <v>0.38337630366960568</v>
      </c>
      <c r="AW61" s="5">
        <f t="shared" si="152"/>
        <v>2.8956585834280828</v>
      </c>
      <c r="AX61" s="5">
        <f t="shared" si="153"/>
        <v>0.3860878111237443</v>
      </c>
      <c r="AY61" s="5">
        <f t="shared" si="28"/>
        <v>0.93650792635983515</v>
      </c>
      <c r="AZ61" s="5"/>
      <c r="BA61" s="173">
        <f t="shared" si="100"/>
        <v>1.0589968140179646</v>
      </c>
      <c r="BB61" s="173">
        <f t="shared" si="154"/>
        <v>0.89581423570306773</v>
      </c>
      <c r="BC61" s="173">
        <f t="shared" si="155"/>
        <v>8.9702479548104466E-2</v>
      </c>
      <c r="BD61" s="173"/>
      <c r="BE61" s="528">
        <f t="shared" si="31"/>
        <v>4.4858970084007986E-2</v>
      </c>
      <c r="BF61" s="528">
        <f t="shared" si="156"/>
        <v>0.83116576311198331</v>
      </c>
      <c r="BG61" s="528">
        <f t="shared" si="157"/>
        <v>0.29497605752230854</v>
      </c>
      <c r="BH61" s="528">
        <f t="shared" si="34"/>
        <v>8.8086288462342746E-2</v>
      </c>
      <c r="BI61">
        <f t="shared" si="35"/>
        <v>1.0741986261628927E-2</v>
      </c>
      <c r="BJ61" s="460">
        <f t="shared" si="101"/>
        <v>305.71804378393745</v>
      </c>
      <c r="BK61">
        <f t="shared" si="158"/>
        <v>0.98674010439109672</v>
      </c>
      <c r="BL61" s="460">
        <f t="shared" si="102"/>
        <v>986.74010439109668</v>
      </c>
      <c r="BM61" s="173">
        <f t="shared" si="159"/>
        <v>0.48608000000000001</v>
      </c>
      <c r="BN61" s="173">
        <f t="shared" si="160"/>
        <v>3.4720000000000008E-2</v>
      </c>
      <c r="BO61" s="528"/>
      <c r="BQ61" s="460">
        <f t="shared" si="103"/>
        <v>520.80000000000007</v>
      </c>
      <c r="BR61" s="528">
        <f t="shared" si="39"/>
        <v>3.3644227563005988E-2</v>
      </c>
      <c r="BS61" s="528">
        <f t="shared" si="104"/>
        <v>2.4074494346648143E-2</v>
      </c>
      <c r="BT61" s="528">
        <f t="shared" si="161"/>
        <v>4.0232674185390502E-5</v>
      </c>
      <c r="BU61" s="528">
        <f t="shared" si="41"/>
        <v>1.2668154924962767</v>
      </c>
      <c r="BV61" s="528">
        <f t="shared" si="162"/>
        <v>1.3446498417113233</v>
      </c>
      <c r="BW61" s="625">
        <f t="shared" si="163"/>
        <v>0.54221307785585982</v>
      </c>
      <c r="BX61" s="460">
        <f t="shared" si="105"/>
        <v>1886.8629195671831</v>
      </c>
      <c r="BY61" s="173">
        <f t="shared" si="106"/>
        <v>3.3944030239582799</v>
      </c>
      <c r="BZ61" s="5">
        <f t="shared" si="107"/>
        <v>14.448000000000002</v>
      </c>
      <c r="CA61" s="173">
        <f t="shared" si="108"/>
        <v>0.80975639775649211</v>
      </c>
      <c r="CB61" s="5">
        <f t="shared" si="109"/>
        <v>80.975639775649213</v>
      </c>
      <c r="CC61">
        <f t="shared" si="173"/>
        <v>56.000000000000007</v>
      </c>
      <c r="CE61" s="562">
        <f t="shared" si="164"/>
        <v>-50</v>
      </c>
      <c r="CF61">
        <f t="shared" si="165"/>
        <v>-50</v>
      </c>
      <c r="CG61" s="173">
        <f t="shared" si="166"/>
        <v>0.58114024475735226</v>
      </c>
      <c r="CH61" s="173">
        <f t="shared" si="167"/>
        <v>0.15839917127775208</v>
      </c>
      <c r="CI61" s="170">
        <v>56</v>
      </c>
      <c r="CJ61" s="217">
        <f t="shared" si="133"/>
        <v>0.56000000000000005</v>
      </c>
      <c r="CK61" s="217">
        <f t="shared" si="111"/>
        <v>5.6000000000000008E-2</v>
      </c>
      <c r="CL61" s="217">
        <f t="shared" si="48"/>
        <v>13.440000000000001</v>
      </c>
      <c r="CM61" s="217">
        <f t="shared" si="134"/>
        <v>1.0080000000000002</v>
      </c>
      <c r="CN61" s="541">
        <f t="shared" si="112"/>
        <v>24</v>
      </c>
      <c r="CO61" s="443">
        <f t="shared" si="168"/>
        <v>16.474900000000002</v>
      </c>
      <c r="CP61" s="443">
        <f t="shared" si="169"/>
        <v>40.474900000000005</v>
      </c>
      <c r="CQ61" s="443"/>
      <c r="CR61" s="217">
        <f t="shared" si="113"/>
        <v>0.40507913686898112</v>
      </c>
      <c r="CS61" s="172">
        <f t="shared" si="114"/>
        <v>50.242373565144938</v>
      </c>
      <c r="CT61" s="172">
        <f t="shared" si="51"/>
        <v>4.0507913686898105</v>
      </c>
      <c r="CU61" s="217">
        <f t="shared" si="52"/>
        <v>2.0934322318810392</v>
      </c>
      <c r="CV61" s="217">
        <f t="shared" si="53"/>
        <v>2.7912429758413855</v>
      </c>
      <c r="CW61" s="443">
        <f t="shared" si="54"/>
        <v>24</v>
      </c>
      <c r="CX61" s="217">
        <f t="shared" si="55"/>
        <v>2.9722587277789683</v>
      </c>
      <c r="CY61" s="217">
        <f t="shared" si="56"/>
        <v>1.2384411365745702</v>
      </c>
      <c r="CZ61" s="217">
        <f t="shared" si="57"/>
        <v>1.8041133650455956</v>
      </c>
      <c r="DA61" s="197">
        <f t="shared" si="58"/>
        <v>350</v>
      </c>
      <c r="DB61" s="443">
        <f t="shared" si="115"/>
        <v>328.6711871447161</v>
      </c>
      <c r="DD61" s="217">
        <f t="shared" si="59"/>
        <v>2.7911308701724487</v>
      </c>
      <c r="DE61" s="173">
        <f t="shared" si="60"/>
        <v>1.6941716612376698</v>
      </c>
      <c r="DF61" s="173">
        <f t="shared" si="61"/>
        <v>0.55195223422072148</v>
      </c>
      <c r="DG61" s="173"/>
      <c r="DH61" s="173">
        <f t="shared" si="62"/>
        <v>1.3488532386977903</v>
      </c>
      <c r="DI61" s="545">
        <f t="shared" si="63"/>
        <v>560.19599999999991</v>
      </c>
      <c r="DJ61" s="528">
        <f t="shared" si="64"/>
        <v>0.34987754285999911</v>
      </c>
      <c r="DL61" s="173">
        <f t="shared" si="65"/>
        <v>2.8733255993708755</v>
      </c>
      <c r="DM61" s="173">
        <f t="shared" si="66"/>
        <v>2.9722587277789683</v>
      </c>
      <c r="DN61" s="173">
        <f t="shared" si="67"/>
        <v>1.7555825967087006</v>
      </c>
      <c r="DP61" s="545">
        <f t="shared" si="68"/>
        <v>560</v>
      </c>
      <c r="DQ61" s="460">
        <f t="shared" si="69"/>
        <v>328.6711871447161</v>
      </c>
      <c r="DS61">
        <f t="shared" si="116"/>
        <v>560</v>
      </c>
      <c r="DT61">
        <f t="shared" si="70"/>
        <v>328.6711871447161</v>
      </c>
      <c r="DV61" s="5">
        <f t="shared" si="117"/>
        <v>3.0425545016201658</v>
      </c>
      <c r="DW61" s="5">
        <f t="shared" si="71"/>
        <v>1.2384411365745702</v>
      </c>
      <c r="DX61" s="5">
        <f t="shared" si="118"/>
        <v>1.8041133650455956</v>
      </c>
      <c r="DY61" s="173">
        <f t="shared" si="119"/>
        <v>0.40703991856681548</v>
      </c>
      <c r="EA61" s="5">
        <f t="shared" si="72"/>
        <v>2.8896959853406639</v>
      </c>
      <c r="EB61" s="5">
        <f t="shared" si="73"/>
        <v>0.38529279804542194</v>
      </c>
      <c r="EC61" s="5">
        <f t="shared" si="74"/>
        <v>0.84191957035461129</v>
      </c>
      <c r="ED61" s="5"/>
      <c r="EE61" s="173">
        <f t="shared" si="120"/>
        <v>1.0948244433131937</v>
      </c>
      <c r="EF61" s="173">
        <f t="shared" si="75"/>
        <v>0.88138274947107254</v>
      </c>
      <c r="EG61" s="173">
        <f t="shared" si="76"/>
        <v>8.8257380724062778E-2</v>
      </c>
      <c r="EH61" s="173"/>
      <c r="EI61" s="528">
        <f t="shared" si="77"/>
        <v>4.794562246704178E-2</v>
      </c>
      <c r="EJ61" s="528">
        <f t="shared" si="78"/>
        <v>1.0873434</v>
      </c>
      <c r="EK61" s="528">
        <f t="shared" si="79"/>
        <v>6.5734237428943229E-2</v>
      </c>
      <c r="EL61" s="528">
        <f t="shared" si="80"/>
        <v>9.4226107568192483E-2</v>
      </c>
      <c r="EM61">
        <f t="shared" si="81"/>
        <v>1.0800000000000001E-2</v>
      </c>
      <c r="EN61" s="460">
        <f t="shared" si="121"/>
        <v>76.534237428943229</v>
      </c>
      <c r="EO61">
        <f t="shared" si="82"/>
        <v>1.3341936594597428</v>
      </c>
      <c r="EP61" s="460">
        <f t="shared" si="122"/>
        <v>1334.1936594597428</v>
      </c>
      <c r="EQ61" s="173">
        <f t="shared" si="83"/>
        <v>0.48608000000000001</v>
      </c>
      <c r="ER61" s="173">
        <f t="shared" si="170"/>
        <v>3.4720000000000008E-2</v>
      </c>
      <c r="ES61" s="528"/>
      <c r="EU61" s="460">
        <f t="shared" si="123"/>
        <v>520.80000000000007</v>
      </c>
      <c r="EV61" s="528">
        <f t="shared" si="85"/>
        <v>3.5959216850281334E-2</v>
      </c>
      <c r="EW61" s="528">
        <f t="shared" si="124"/>
        <v>2.3305066531955621E-2</v>
      </c>
      <c r="EX61" s="528">
        <f t="shared" si="86"/>
        <v>3.8946826261360841E-5</v>
      </c>
      <c r="EY61" s="528">
        <f t="shared" si="87"/>
        <v>1.4913879008629314</v>
      </c>
      <c r="EZ61" s="528">
        <f t="shared" si="88"/>
        <v>1.5723837009288513</v>
      </c>
      <c r="FA61" s="625">
        <f t="shared" si="89"/>
        <v>0.58071741624703577</v>
      </c>
      <c r="FB61" s="460">
        <f t="shared" si="125"/>
        <v>2153.1011171758873</v>
      </c>
      <c r="FC61" s="173">
        <f t="shared" si="126"/>
        <v>4.0080947766356303</v>
      </c>
      <c r="FD61" s="5">
        <f t="shared" si="127"/>
        <v>14.448000000000002</v>
      </c>
      <c r="FE61" s="173">
        <f t="shared" si="128"/>
        <v>0.78283083040353429</v>
      </c>
      <c r="FF61" s="5">
        <f t="shared" si="129"/>
        <v>78.283083040353432</v>
      </c>
      <c r="FG61">
        <f t="shared" si="130"/>
        <v>56.000000000000007</v>
      </c>
      <c r="FI61" s="562">
        <f t="shared" si="90"/>
        <v>-50</v>
      </c>
      <c r="FJ61">
        <f t="shared" si="91"/>
        <v>-50</v>
      </c>
      <c r="FL61">
        <f t="shared" si="92"/>
        <v>0.58114024475735226</v>
      </c>
    </row>
    <row r="62" spans="5:168">
      <c r="E62" s="170">
        <v>57</v>
      </c>
      <c r="F62" s="217">
        <f t="shared" si="174"/>
        <v>0.56999999999999995</v>
      </c>
      <c r="G62" s="217">
        <f t="shared" si="171"/>
        <v>5.6999999999999995E-2</v>
      </c>
      <c r="H62" s="217">
        <f t="shared" si="135"/>
        <v>13.68</v>
      </c>
      <c r="I62" s="217">
        <f t="shared" si="175"/>
        <v>1.0259999999999998</v>
      </c>
      <c r="J62" s="541">
        <f t="shared" si="136"/>
        <v>23.868778448922576</v>
      </c>
      <c r="K62" s="443">
        <f t="shared" si="137"/>
        <v>16.494526415659376</v>
      </c>
      <c r="L62" s="172">
        <f t="shared" si="138"/>
        <v>40.363304864581949</v>
      </c>
      <c r="M62" s="443"/>
      <c r="N62" s="217">
        <f t="shared" si="139"/>
        <v>0.40865153314373465</v>
      </c>
      <c r="O62" s="172">
        <f t="shared" si="172"/>
        <v>50.408335438864817</v>
      </c>
      <c r="P62" s="172">
        <f t="shared" si="140"/>
        <v>4.0641720447584762</v>
      </c>
      <c r="Q62" s="217">
        <f t="shared" si="6"/>
        <v>2.1003473099527006</v>
      </c>
      <c r="R62" s="217">
        <f t="shared" si="141"/>
        <v>2.8004630799369341</v>
      </c>
      <c r="S62" s="443">
        <f t="shared" si="142"/>
        <v>24</v>
      </c>
      <c r="T62" s="217">
        <f t="shared" si="143"/>
        <v>3.0153743161058242</v>
      </c>
      <c r="U62" s="217">
        <f t="shared" si="10"/>
        <v>1.2633132116746162</v>
      </c>
      <c r="V62" s="217">
        <f t="shared" si="11"/>
        <v>1.8281060274898977</v>
      </c>
      <c r="W62" s="197">
        <f t="shared" si="12"/>
        <v>350</v>
      </c>
      <c r="X62" s="443">
        <f t="shared" si="95"/>
        <v>303.82030587323101</v>
      </c>
      <c r="Z62" s="217">
        <f t="shared" si="13"/>
        <v>2.7868608306915261</v>
      </c>
      <c r="AA62" s="173">
        <f t="shared" si="14"/>
        <v>1.6895670481607583</v>
      </c>
      <c r="AB62" s="173">
        <f t="shared" si="144"/>
        <v>0.54960996083699931</v>
      </c>
      <c r="AC62" s="173"/>
      <c r="AD62" s="173">
        <f t="shared" si="16"/>
        <v>1.3472482726830617</v>
      </c>
      <c r="AE62" s="545">
        <f t="shared" si="145"/>
        <v>570.87877407120914</v>
      </c>
      <c r="AF62" s="528">
        <f t="shared" si="146"/>
        <v>0.34946123250873423</v>
      </c>
      <c r="AH62" s="173">
        <f t="shared" si="147"/>
        <v>2.8988667736597642</v>
      </c>
      <c r="AI62" s="173">
        <f t="shared" si="148"/>
        <v>3.0153743161058242</v>
      </c>
      <c r="AJ62" s="173">
        <f t="shared" si="149"/>
        <v>1.7875200695434086</v>
      </c>
      <c r="AL62" s="545">
        <f t="shared" si="150"/>
        <v>570</v>
      </c>
      <c r="AM62" s="460">
        <f t="shared" si="151"/>
        <v>303.82030587323101</v>
      </c>
      <c r="AO62">
        <f t="shared" si="96"/>
        <v>570</v>
      </c>
      <c r="AP62">
        <f t="shared" si="24"/>
        <v>303.82030587323101</v>
      </c>
      <c r="AR62" s="5">
        <f t="shared" si="97"/>
        <v>3.2914192391645143</v>
      </c>
      <c r="AS62" s="5">
        <f t="shared" si="25"/>
        <v>1.2633132116746162</v>
      </c>
      <c r="AT62" s="5">
        <f t="shared" si="98"/>
        <v>2.0281060274898981</v>
      </c>
      <c r="AU62" s="173">
        <f t="shared" si="99"/>
        <v>0.38382020638467573</v>
      </c>
      <c r="AW62" s="5">
        <f t="shared" si="152"/>
        <v>3.0003688777272131</v>
      </c>
      <c r="AX62" s="5">
        <f t="shared" si="153"/>
        <v>0.40004918369696174</v>
      </c>
      <c r="AY62" s="5">
        <f t="shared" si="28"/>
        <v>0.96864650040054623</v>
      </c>
      <c r="AZ62" s="5"/>
      <c r="BA62" s="173">
        <f t="shared" si="100"/>
        <v>1.0785605252640604</v>
      </c>
      <c r="BB62" s="173">
        <f t="shared" si="154"/>
        <v>0.91150732718895078</v>
      </c>
      <c r="BC62" s="173">
        <f t="shared" si="155"/>
        <v>9.1273909384731386E-2</v>
      </c>
      <c r="BD62" s="173"/>
      <c r="BE62" s="528">
        <f t="shared" si="31"/>
        <v>4.6531712266315445E-2</v>
      </c>
      <c r="BF62" s="528">
        <f t="shared" si="156"/>
        <v>0.83200754417898104</v>
      </c>
      <c r="BG62" s="528">
        <f t="shared" si="157"/>
        <v>0.2900727827668817</v>
      </c>
      <c r="BH62" s="528">
        <f t="shared" si="34"/>
        <v>8.6622014915616996E-2</v>
      </c>
      <c r="BI62">
        <f t="shared" si="35"/>
        <v>1.0740950302015159E-2</v>
      </c>
      <c r="BJ62" s="460">
        <f t="shared" si="101"/>
        <v>300.81373306889685</v>
      </c>
      <c r="BK62">
        <f t="shared" si="158"/>
        <v>0.98865534271563993</v>
      </c>
      <c r="BL62" s="460">
        <f t="shared" si="102"/>
        <v>988.6553427156399</v>
      </c>
      <c r="BM62" s="173">
        <f t="shared" si="159"/>
        <v>0.49475999999999998</v>
      </c>
      <c r="BN62" s="173">
        <f t="shared" si="160"/>
        <v>3.5339999999999996E-2</v>
      </c>
      <c r="BO62" s="528"/>
      <c r="BQ62" s="460">
        <f t="shared" si="103"/>
        <v>530.1</v>
      </c>
      <c r="BR62" s="528">
        <f t="shared" si="39"/>
        <v>3.4898784199736577E-2</v>
      </c>
      <c r="BS62" s="528">
        <f t="shared" si="104"/>
        <v>2.4925368225574347E-2</v>
      </c>
      <c r="BT62" s="528">
        <f t="shared" si="161"/>
        <v>4.1654632671860781E-5</v>
      </c>
      <c r="BU62" s="528">
        <f t="shared" si="41"/>
        <v>1.2701794271403581</v>
      </c>
      <c r="BV62" s="528">
        <f t="shared" si="162"/>
        <v>1.3508827628393041</v>
      </c>
      <c r="BW62" s="625">
        <f t="shared" si="163"/>
        <v>0.55249614865462593</v>
      </c>
      <c r="BX62" s="460">
        <f t="shared" si="105"/>
        <v>1903.3789114939302</v>
      </c>
      <c r="BY62" s="173">
        <f t="shared" si="106"/>
        <v>3.4221342542095696</v>
      </c>
      <c r="BZ62" s="5">
        <f t="shared" si="107"/>
        <v>14.706</v>
      </c>
      <c r="CA62" s="173">
        <f t="shared" si="108"/>
        <v>0.81122523662825863</v>
      </c>
      <c r="CB62" s="5">
        <f t="shared" si="109"/>
        <v>81.12252366282587</v>
      </c>
      <c r="CC62">
        <f t="shared" si="173"/>
        <v>56.999999999999993</v>
      </c>
      <c r="CE62" s="562">
        <f t="shared" si="164"/>
        <v>-50</v>
      </c>
      <c r="CF62">
        <f t="shared" si="165"/>
        <v>-50</v>
      </c>
      <c r="CG62" s="173">
        <f t="shared" si="166"/>
        <v>0.58114024475735238</v>
      </c>
      <c r="CH62" s="173">
        <f t="shared" si="167"/>
        <v>0.15839917127775208</v>
      </c>
      <c r="CI62" s="170">
        <v>57</v>
      </c>
      <c r="CJ62" s="217">
        <f t="shared" si="133"/>
        <v>0.56999999999999995</v>
      </c>
      <c r="CK62" s="217">
        <f t="shared" si="111"/>
        <v>5.6999999999999995E-2</v>
      </c>
      <c r="CL62" s="217">
        <f t="shared" si="48"/>
        <v>13.68</v>
      </c>
      <c r="CM62" s="217">
        <f t="shared" si="134"/>
        <v>1.0259999999999998</v>
      </c>
      <c r="CN62" s="541">
        <f t="shared" si="112"/>
        <v>24</v>
      </c>
      <c r="CO62" s="443">
        <f t="shared" si="168"/>
        <v>16.474900000000002</v>
      </c>
      <c r="CP62" s="443">
        <f t="shared" si="169"/>
        <v>40.474900000000005</v>
      </c>
      <c r="CQ62" s="443"/>
      <c r="CR62" s="217">
        <f t="shared" si="113"/>
        <v>0.40507913686898112</v>
      </c>
      <c r="CS62" s="172">
        <f t="shared" si="114"/>
        <v>50.242373565144938</v>
      </c>
      <c r="CT62" s="172">
        <f t="shared" si="51"/>
        <v>4.0507913686898105</v>
      </c>
      <c r="CU62" s="217">
        <f t="shared" si="52"/>
        <v>2.0934322318810392</v>
      </c>
      <c r="CV62" s="217">
        <f t="shared" si="53"/>
        <v>2.7912429758413855</v>
      </c>
      <c r="CW62" s="443">
        <f t="shared" si="54"/>
        <v>24</v>
      </c>
      <c r="CX62" s="217">
        <f t="shared" si="55"/>
        <v>3.0253347764893062</v>
      </c>
      <c r="CY62" s="217">
        <f t="shared" si="56"/>
        <v>1.2605561568705443</v>
      </c>
      <c r="CZ62" s="217">
        <f t="shared" si="57"/>
        <v>1.836329675135695</v>
      </c>
      <c r="DA62" s="197">
        <f t="shared" si="58"/>
        <v>350</v>
      </c>
      <c r="DB62" s="443">
        <f t="shared" si="115"/>
        <v>322.90502596673878</v>
      </c>
      <c r="DD62" s="217">
        <f t="shared" si="59"/>
        <v>2.7911308701724487</v>
      </c>
      <c r="DE62" s="173">
        <f t="shared" si="60"/>
        <v>1.6941716612376698</v>
      </c>
      <c r="DF62" s="173">
        <f t="shared" si="61"/>
        <v>0.55195223422072148</v>
      </c>
      <c r="DG62" s="173"/>
      <c r="DH62" s="173">
        <f t="shared" si="62"/>
        <v>1.3488532386977903</v>
      </c>
      <c r="DI62" s="545">
        <f t="shared" si="63"/>
        <v>570.19949999999972</v>
      </c>
      <c r="DJ62" s="528">
        <f t="shared" si="64"/>
        <v>0.34987754285999911</v>
      </c>
      <c r="DL62" s="173">
        <f t="shared" si="65"/>
        <v>2.8988667736597642</v>
      </c>
      <c r="DM62" s="173">
        <f t="shared" si="66"/>
        <v>3.0253347764893062</v>
      </c>
      <c r="DN62" s="173">
        <f t="shared" si="67"/>
        <v>1.794898188345988</v>
      </c>
      <c r="DP62" s="545">
        <f t="shared" si="68"/>
        <v>570</v>
      </c>
      <c r="DQ62" s="460">
        <f t="shared" si="69"/>
        <v>322.90502596673878</v>
      </c>
      <c r="DS62">
        <f t="shared" si="116"/>
        <v>570</v>
      </c>
      <c r="DT62">
        <f t="shared" si="70"/>
        <v>322.90502596673878</v>
      </c>
      <c r="DV62" s="5">
        <f t="shared" si="117"/>
        <v>3.0968858320062389</v>
      </c>
      <c r="DW62" s="5">
        <f t="shared" si="71"/>
        <v>1.2605561568705443</v>
      </c>
      <c r="DX62" s="5">
        <f t="shared" si="118"/>
        <v>1.8363296751356946</v>
      </c>
      <c r="DY62" s="173">
        <f t="shared" si="119"/>
        <v>0.40703991856681554</v>
      </c>
      <c r="EA62" s="5">
        <f t="shared" si="72"/>
        <v>2.9938208725675426</v>
      </c>
      <c r="EB62" s="5">
        <f t="shared" si="73"/>
        <v>0.39917611634233902</v>
      </c>
      <c r="EC62" s="5">
        <f t="shared" si="74"/>
        <v>0.87225659568945468</v>
      </c>
      <c r="ED62" s="5"/>
      <c r="EE62" s="173">
        <f t="shared" si="120"/>
        <v>1.114374879800929</v>
      </c>
      <c r="EF62" s="173">
        <f t="shared" si="75"/>
        <v>0.89712172714019833</v>
      </c>
      <c r="EG62" s="173">
        <f t="shared" si="76"/>
        <v>8.9833405379849574E-2</v>
      </c>
      <c r="EH62" s="173"/>
      <c r="EI62" s="528">
        <f t="shared" si="77"/>
        <v>4.9673254909253395E-2</v>
      </c>
      <c r="EJ62" s="528">
        <f t="shared" si="78"/>
        <v>1.0873434000000002</v>
      </c>
      <c r="EK62" s="528">
        <f t="shared" si="79"/>
        <v>6.4581005193347751E-2</v>
      </c>
      <c r="EL62" s="528">
        <f t="shared" si="80"/>
        <v>9.257301796173302E-2</v>
      </c>
      <c r="EM62">
        <f t="shared" si="81"/>
        <v>1.0800000000000001E-2</v>
      </c>
      <c r="EN62" s="460">
        <f t="shared" si="121"/>
        <v>75.381005193347761</v>
      </c>
      <c r="EO62">
        <f t="shared" si="82"/>
        <v>1.3341283268490203</v>
      </c>
      <c r="EP62" s="460">
        <f t="shared" si="122"/>
        <v>1334.1283268490204</v>
      </c>
      <c r="EQ62" s="173">
        <f t="shared" si="83"/>
        <v>0.49475999999999998</v>
      </c>
      <c r="ER62" s="173">
        <f t="shared" si="170"/>
        <v>3.5339999999999996E-2</v>
      </c>
      <c r="ES62" s="528"/>
      <c r="EU62" s="460">
        <f t="shared" si="123"/>
        <v>530.1</v>
      </c>
      <c r="EV62" s="528">
        <f t="shared" si="85"/>
        <v>3.7254941181940046E-2</v>
      </c>
      <c r="EW62" s="528">
        <f t="shared" si="124"/>
        <v>2.4144821799210372E-2</v>
      </c>
      <c r="EX62" s="528">
        <f t="shared" si="86"/>
        <v>4.0350203610701933E-5</v>
      </c>
      <c r="EY62" s="528">
        <f t="shared" si="87"/>
        <v>1.491387900862932</v>
      </c>
      <c r="EZ62" s="528">
        <f t="shared" si="88"/>
        <v>1.5753166518835209</v>
      </c>
      <c r="FA62" s="625">
        <f t="shared" si="89"/>
        <v>0.59108737010858992</v>
      </c>
      <c r="FB62" s="460">
        <f t="shared" si="125"/>
        <v>2166.4040219921108</v>
      </c>
      <c r="FC62" s="173">
        <f t="shared" si="126"/>
        <v>4.0306323488411309</v>
      </c>
      <c r="FD62" s="5">
        <f t="shared" si="127"/>
        <v>14.706</v>
      </c>
      <c r="FE62" s="173">
        <f t="shared" si="128"/>
        <v>0.78487957313788959</v>
      </c>
      <c r="FF62" s="5">
        <f t="shared" si="129"/>
        <v>78.487957313788954</v>
      </c>
      <c r="FG62">
        <f t="shared" si="130"/>
        <v>56.999999999999993</v>
      </c>
      <c r="FI62" s="562">
        <f t="shared" si="90"/>
        <v>-50</v>
      </c>
      <c r="FJ62">
        <f t="shared" si="91"/>
        <v>-50</v>
      </c>
      <c r="FL62">
        <f t="shared" si="92"/>
        <v>0.58114024475735238</v>
      </c>
    </row>
    <row r="63" spans="5:168">
      <c r="E63" s="170">
        <v>58</v>
      </c>
      <c r="F63" s="217">
        <f t="shared" si="174"/>
        <v>0.57999999999999996</v>
      </c>
      <c r="G63" s="217">
        <f t="shared" si="171"/>
        <v>5.7999999999999996E-2</v>
      </c>
      <c r="H63" s="217">
        <f t="shared" si="135"/>
        <v>13.919999999999998</v>
      </c>
      <c r="I63" s="217">
        <f t="shared" si="175"/>
        <v>1.044</v>
      </c>
      <c r="J63" s="541">
        <f t="shared" si="136"/>
        <v>23.866476316447532</v>
      </c>
      <c r="K63" s="443">
        <f t="shared" si="137"/>
        <v>16.49487073874112</v>
      </c>
      <c r="L63" s="172">
        <f t="shared" si="138"/>
        <v>40.361347055188652</v>
      </c>
      <c r="M63" s="443"/>
      <c r="N63" s="217">
        <f t="shared" si="139"/>
        <v>0.40867988662981514</v>
      </c>
      <c r="O63" s="172">
        <f t="shared" si="172"/>
        <v>50.406970724852428</v>
      </c>
      <c r="P63" s="172">
        <f t="shared" si="140"/>
        <v>4.0640620146912267</v>
      </c>
      <c r="Q63" s="217">
        <f t="shared" si="6"/>
        <v>2.100290446868851</v>
      </c>
      <c r="R63" s="217">
        <f t="shared" si="141"/>
        <v>2.8003872624918014</v>
      </c>
      <c r="S63" s="443">
        <f t="shared" si="142"/>
        <v>24</v>
      </c>
      <c r="T63" s="217">
        <f t="shared" si="143"/>
        <v>3.0683586901287541</v>
      </c>
      <c r="U63" s="217">
        <f t="shared" si="10"/>
        <v>1.2856354031676647</v>
      </c>
      <c r="V63" s="217">
        <f t="shared" si="11"/>
        <v>1.8601895939215645</v>
      </c>
      <c r="W63" s="197">
        <f t="shared" si="12"/>
        <v>350</v>
      </c>
      <c r="X63" s="443">
        <f t="shared" si="95"/>
        <v>298.87994765714615</v>
      </c>
      <c r="Z63" s="217">
        <f t="shared" si="13"/>
        <v>2.7867853815025554</v>
      </c>
      <c r="AA63" s="173">
        <f t="shared" si="14"/>
        <v>1.6894860382005283</v>
      </c>
      <c r="AB63" s="173">
        <f t="shared" si="144"/>
        <v>0.54956872961744307</v>
      </c>
      <c r="AC63" s="173"/>
      <c r="AD63" s="173">
        <f t="shared" si="16"/>
        <v>1.3472201494752793</v>
      </c>
      <c r="AE63" s="545">
        <f t="shared" si="145"/>
        <v>580.90631732088264</v>
      </c>
      <c r="AF63" s="528">
        <f t="shared" si="146"/>
        <v>0.34945393766111565</v>
      </c>
      <c r="AH63" s="173">
        <f t="shared" si="147"/>
        <v>2.9241848681054936</v>
      </c>
      <c r="AI63" s="173">
        <f t="shared" si="148"/>
        <v>3.0683586901287541</v>
      </c>
      <c r="AJ63" s="173">
        <f t="shared" si="149"/>
        <v>1.8267677540048384</v>
      </c>
      <c r="AL63" s="545">
        <f t="shared" si="150"/>
        <v>580</v>
      </c>
      <c r="AM63" s="460">
        <f t="shared" si="151"/>
        <v>298.87994765714615</v>
      </c>
      <c r="AO63">
        <f t="shared" si="96"/>
        <v>580</v>
      </c>
      <c r="AP63">
        <f t="shared" si="24"/>
        <v>298.87994765714615</v>
      </c>
      <c r="AR63" s="5">
        <f t="shared" si="97"/>
        <v>3.3458249970892293</v>
      </c>
      <c r="AS63" s="5">
        <f t="shared" si="25"/>
        <v>1.2856354031676647</v>
      </c>
      <c r="AT63" s="5">
        <f t="shared" si="98"/>
        <v>2.0601895939215646</v>
      </c>
      <c r="AU63" s="173">
        <f t="shared" si="99"/>
        <v>0.38425064200492559</v>
      </c>
      <c r="AW63" s="5">
        <f t="shared" si="152"/>
        <v>3.1069522243218559</v>
      </c>
      <c r="AX63" s="5">
        <f t="shared" si="153"/>
        <v>0.41426029657624747</v>
      </c>
      <c r="AY63" s="5">
        <f t="shared" si="28"/>
        <v>1.0013291854491628</v>
      </c>
      <c r="AZ63" s="5"/>
      <c r="BA63" s="173">
        <f t="shared" si="100"/>
        <v>1.0981275837111275</v>
      </c>
      <c r="BB63" s="173">
        <f t="shared" si="154"/>
        <v>0.92719977492895145</v>
      </c>
      <c r="BC63" s="173">
        <f t="shared" si="155"/>
        <v>9.2845274759777413E-2</v>
      </c>
      <c r="BD63" s="173"/>
      <c r="BE63" s="528">
        <f t="shared" si="31"/>
        <v>4.8235367604289578E-2</v>
      </c>
      <c r="BF63" s="528">
        <f t="shared" si="156"/>
        <v>0.83281986565979649</v>
      </c>
      <c r="BG63" s="528">
        <f t="shared" si="157"/>
        <v>0.28532844768881432</v>
      </c>
      <c r="BH63" s="528">
        <f t="shared" si="34"/>
        <v>8.5205206209875081E-2</v>
      </c>
      <c r="BI63">
        <f t="shared" si="35"/>
        <v>1.0739914342401388E-2</v>
      </c>
      <c r="BJ63" s="460">
        <f t="shared" si="101"/>
        <v>296.06836203121571</v>
      </c>
      <c r="BK63">
        <f t="shared" si="158"/>
        <v>0.99063741001632377</v>
      </c>
      <c r="BL63" s="460">
        <f t="shared" si="102"/>
        <v>990.63741001632377</v>
      </c>
      <c r="BM63" s="173">
        <f t="shared" si="159"/>
        <v>0.50344</v>
      </c>
      <c r="BN63" s="173">
        <f t="shared" si="160"/>
        <v>3.5959999999999999E-2</v>
      </c>
      <c r="BO63" s="528"/>
      <c r="BQ63" s="460">
        <f t="shared" si="103"/>
        <v>539.4</v>
      </c>
      <c r="BR63" s="528">
        <f t="shared" si="39"/>
        <v>3.617652570321718E-2</v>
      </c>
      <c r="BS63" s="528">
        <f t="shared" si="104"/>
        <v>2.5790982678848946E-2</v>
      </c>
      <c r="BT63" s="528">
        <f t="shared" si="161"/>
        <v>4.3101225226092801E-5</v>
      </c>
      <c r="BU63" s="528">
        <f t="shared" si="41"/>
        <v>1.273436425728613</v>
      </c>
      <c r="BV63" s="528">
        <f t="shared" si="162"/>
        <v>1.357061759801659</v>
      </c>
      <c r="BW63" s="625">
        <f t="shared" si="163"/>
        <v>0.56278048370606759</v>
      </c>
      <c r="BX63" s="460">
        <f t="shared" si="105"/>
        <v>1919.8422435077264</v>
      </c>
      <c r="BY63" s="173">
        <f t="shared" si="106"/>
        <v>3.4498796535240506</v>
      </c>
      <c r="BZ63" s="5">
        <f t="shared" si="107"/>
        <v>14.963999999999999</v>
      </c>
      <c r="CA63" s="173">
        <f t="shared" si="108"/>
        <v>0.81264786571667358</v>
      </c>
      <c r="CB63" s="5">
        <f t="shared" si="109"/>
        <v>81.264786571667358</v>
      </c>
      <c r="CC63">
        <f t="shared" si="173"/>
        <v>57.999999999999993</v>
      </c>
      <c r="CE63" s="562">
        <f t="shared" si="164"/>
        <v>-50</v>
      </c>
      <c r="CF63">
        <f t="shared" si="165"/>
        <v>-50</v>
      </c>
      <c r="CG63" s="173">
        <f t="shared" si="166"/>
        <v>0.58114024475735238</v>
      </c>
      <c r="CH63" s="173">
        <f t="shared" si="167"/>
        <v>0.15839917127775208</v>
      </c>
      <c r="CI63" s="170">
        <v>58</v>
      </c>
      <c r="CJ63" s="217">
        <f t="shared" si="133"/>
        <v>0.57999999999999996</v>
      </c>
      <c r="CK63" s="217">
        <f t="shared" si="111"/>
        <v>5.7999999999999996E-2</v>
      </c>
      <c r="CL63" s="217">
        <f t="shared" si="48"/>
        <v>13.919999999999998</v>
      </c>
      <c r="CM63" s="217">
        <f t="shared" si="134"/>
        <v>1.044</v>
      </c>
      <c r="CN63" s="541">
        <f t="shared" si="112"/>
        <v>24</v>
      </c>
      <c r="CO63" s="443">
        <f t="shared" si="168"/>
        <v>16.474900000000002</v>
      </c>
      <c r="CP63" s="443">
        <f t="shared" si="169"/>
        <v>40.474900000000005</v>
      </c>
      <c r="CQ63" s="443"/>
      <c r="CR63" s="217">
        <f t="shared" si="113"/>
        <v>0.40507913686898112</v>
      </c>
      <c r="CS63" s="172">
        <f t="shared" si="114"/>
        <v>50.242373565144938</v>
      </c>
      <c r="CT63" s="172">
        <f t="shared" si="51"/>
        <v>4.0507913686898105</v>
      </c>
      <c r="CU63" s="217">
        <f t="shared" si="52"/>
        <v>2.0934322318810392</v>
      </c>
      <c r="CV63" s="217">
        <f t="shared" si="53"/>
        <v>2.7912429758413855</v>
      </c>
      <c r="CW63" s="443">
        <f t="shared" si="54"/>
        <v>24</v>
      </c>
      <c r="CX63" s="217">
        <f t="shared" si="55"/>
        <v>3.0784108251996449</v>
      </c>
      <c r="CY63" s="217">
        <f t="shared" si="56"/>
        <v>1.2826711771665189</v>
      </c>
      <c r="CZ63" s="217">
        <f t="shared" si="57"/>
        <v>1.8685459852257951</v>
      </c>
      <c r="DA63" s="197">
        <f t="shared" si="58"/>
        <v>350</v>
      </c>
      <c r="DB63" s="443">
        <f t="shared" si="115"/>
        <v>317.33769793282943</v>
      </c>
      <c r="DD63" s="217">
        <f t="shared" si="59"/>
        <v>2.7911308701724487</v>
      </c>
      <c r="DE63" s="173">
        <f t="shared" si="60"/>
        <v>1.6941716612376698</v>
      </c>
      <c r="DF63" s="173">
        <f t="shared" si="61"/>
        <v>0.55195223422072148</v>
      </c>
      <c r="DG63" s="173"/>
      <c r="DH63" s="173">
        <f t="shared" si="62"/>
        <v>1.3488532386977903</v>
      </c>
      <c r="DI63" s="545">
        <f t="shared" si="63"/>
        <v>580.20299999999975</v>
      </c>
      <c r="DJ63" s="528">
        <f t="shared" si="64"/>
        <v>0.34987754285999911</v>
      </c>
      <c r="DL63" s="173">
        <f t="shared" si="65"/>
        <v>2.9241848681054936</v>
      </c>
      <c r="DM63" s="173">
        <f t="shared" si="66"/>
        <v>3.0784108251996449</v>
      </c>
      <c r="DN63" s="173">
        <f t="shared" si="67"/>
        <v>1.8342137799832758</v>
      </c>
      <c r="DP63" s="545">
        <f t="shared" si="68"/>
        <v>580</v>
      </c>
      <c r="DQ63" s="460">
        <f t="shared" si="69"/>
        <v>317.33769793282943</v>
      </c>
      <c r="DS63">
        <f t="shared" si="116"/>
        <v>580</v>
      </c>
      <c r="DT63">
        <f t="shared" si="70"/>
        <v>317.33769793282943</v>
      </c>
      <c r="DV63" s="5">
        <f t="shared" si="117"/>
        <v>3.1512171623923142</v>
      </c>
      <c r="DW63" s="5">
        <f t="shared" si="71"/>
        <v>1.2826711771665189</v>
      </c>
      <c r="DX63" s="5">
        <f t="shared" si="118"/>
        <v>1.8685459852257953</v>
      </c>
      <c r="DY63" s="173">
        <f t="shared" si="119"/>
        <v>0.40703991856681548</v>
      </c>
      <c r="EA63" s="5">
        <f t="shared" si="72"/>
        <v>3.0997886781524207</v>
      </c>
      <c r="EB63" s="5">
        <f t="shared" si="73"/>
        <v>0.41330515708698939</v>
      </c>
      <c r="EC63" s="5">
        <f t="shared" si="74"/>
        <v>0.9031305595258009</v>
      </c>
      <c r="ED63" s="5"/>
      <c r="EE63" s="173">
        <f t="shared" si="120"/>
        <v>1.1339253162886647</v>
      </c>
      <c r="EF63" s="173">
        <f t="shared" si="75"/>
        <v>0.9128607048093248</v>
      </c>
      <c r="EG63" s="173">
        <f t="shared" si="76"/>
        <v>9.140943003563641E-2</v>
      </c>
      <c r="EH63" s="173"/>
      <c r="EI63" s="528">
        <f t="shared" si="77"/>
        <v>5.1431464916813933E-2</v>
      </c>
      <c r="EJ63" s="528">
        <f t="shared" si="78"/>
        <v>1.0873434</v>
      </c>
      <c r="EK63" s="528">
        <f t="shared" si="79"/>
        <v>6.3467539586565883E-2</v>
      </c>
      <c r="EL63" s="528">
        <f t="shared" si="80"/>
        <v>9.0976931445151399E-2</v>
      </c>
      <c r="EM63">
        <f t="shared" si="81"/>
        <v>1.0800000000000001E-2</v>
      </c>
      <c r="EN63" s="460">
        <f t="shared" si="121"/>
        <v>74.267539586565888</v>
      </c>
      <c r="EO63">
        <f t="shared" si="82"/>
        <v>1.3342100329325737</v>
      </c>
      <c r="EP63" s="460">
        <f t="shared" si="122"/>
        <v>1334.2100329325738</v>
      </c>
      <c r="EQ63" s="173">
        <f t="shared" si="83"/>
        <v>0.50344</v>
      </c>
      <c r="ER63" s="173">
        <f t="shared" si="170"/>
        <v>3.5959999999999999E-2</v>
      </c>
      <c r="ES63" s="528"/>
      <c r="EU63" s="460">
        <f t="shared" si="123"/>
        <v>539.4</v>
      </c>
      <c r="EV63" s="528">
        <f t="shared" si="85"/>
        <v>3.8573598687610448E-2</v>
      </c>
      <c r="EW63" s="528">
        <f t="shared" si="124"/>
        <v>2.4999439991549317E-2</v>
      </c>
      <c r="EX63" s="528">
        <f t="shared" si="86"/>
        <v>4.1778419497199536E-5</v>
      </c>
      <c r="EY63" s="528">
        <f t="shared" si="87"/>
        <v>1.4913879008629314</v>
      </c>
      <c r="EZ63" s="528">
        <f t="shared" si="88"/>
        <v>1.5783025483001829</v>
      </c>
      <c r="FA63" s="625">
        <f t="shared" si="89"/>
        <v>0.60145732397014406</v>
      </c>
      <c r="FB63" s="460">
        <f t="shared" si="125"/>
        <v>2179.7598722703269</v>
      </c>
      <c r="FC63" s="173">
        <f t="shared" si="126"/>
        <v>4.0533699052029002</v>
      </c>
      <c r="FD63" s="5">
        <f t="shared" si="127"/>
        <v>14.963999999999999</v>
      </c>
      <c r="FE63" s="173">
        <f t="shared" si="128"/>
        <v>0.78685959596894883</v>
      </c>
      <c r="FF63" s="5">
        <f t="shared" si="129"/>
        <v>78.68595959689489</v>
      </c>
      <c r="FG63">
        <f t="shared" si="130"/>
        <v>57.999999999999993</v>
      </c>
      <c r="FI63" s="562">
        <f t="shared" si="90"/>
        <v>-50</v>
      </c>
      <c r="FJ63">
        <f t="shared" si="91"/>
        <v>-50</v>
      </c>
      <c r="FL63">
        <f t="shared" si="92"/>
        <v>0.58114024475735238</v>
      </c>
    </row>
    <row r="64" spans="5:168">
      <c r="E64" s="170">
        <v>59</v>
      </c>
      <c r="F64" s="217">
        <f t="shared" si="174"/>
        <v>0.59</v>
      </c>
      <c r="G64" s="217">
        <f t="shared" si="171"/>
        <v>5.8999999999999997E-2</v>
      </c>
      <c r="H64" s="217">
        <f t="shared" si="135"/>
        <v>14.16</v>
      </c>
      <c r="I64" s="217">
        <f t="shared" si="175"/>
        <v>1.0619999999999998</v>
      </c>
      <c r="J64" s="541">
        <f t="shared" si="136"/>
        <v>23.864174183972491</v>
      </c>
      <c r="K64" s="443">
        <f t="shared" si="137"/>
        <v>16.495215061822865</v>
      </c>
      <c r="L64" s="172">
        <f t="shared" si="138"/>
        <v>40.359389245795356</v>
      </c>
      <c r="M64" s="443"/>
      <c r="N64" s="217">
        <f t="shared" si="139"/>
        <v>0.40870824286671625</v>
      </c>
      <c r="O64" s="172">
        <f t="shared" si="172"/>
        <v>50.405605675434877</v>
      </c>
      <c r="P64" s="172">
        <f t="shared" si="140"/>
        <v>4.0639519575819367</v>
      </c>
      <c r="Q64" s="217">
        <f t="shared" si="6"/>
        <v>2.1002335698097867</v>
      </c>
      <c r="R64" s="217">
        <f t="shared" si="141"/>
        <v>2.8003114264130486</v>
      </c>
      <c r="S64" s="443">
        <f t="shared" si="142"/>
        <v>24</v>
      </c>
      <c r="T64" s="217">
        <f t="shared" si="143"/>
        <v>3.1213459539880017</v>
      </c>
      <c r="U64" s="217">
        <f t="shared" si="10"/>
        <v>1.3079631123729984</v>
      </c>
      <c r="V64" s="217">
        <f t="shared" si="11"/>
        <v>1.8922735728448672</v>
      </c>
      <c r="W64" s="197">
        <f t="shared" si="12"/>
        <v>350</v>
      </c>
      <c r="X64" s="443">
        <f t="shared" si="95"/>
        <v>294.09717398420645</v>
      </c>
      <c r="Z64" s="217">
        <f t="shared" si="13"/>
        <v>2.7867099137704709</v>
      </c>
      <c r="AA64" s="173">
        <f t="shared" si="14"/>
        <v>1.6894050203808106</v>
      </c>
      <c r="AB64" s="173">
        <f t="shared" si="144"/>
        <v>0.54952749361161679</v>
      </c>
      <c r="AC64" s="173"/>
      <c r="AD64" s="173">
        <f t="shared" si="16"/>
        <v>1.3471920274415916</v>
      </c>
      <c r="AE64" s="545">
        <f t="shared" si="145"/>
        <v>590.93427871402878</v>
      </c>
      <c r="AF64" s="528">
        <f t="shared" si="146"/>
        <v>0.34944664311804408</v>
      </c>
      <c r="AH64" s="173">
        <f t="shared" si="147"/>
        <v>2.9492856277895014</v>
      </c>
      <c r="AI64" s="173">
        <f t="shared" si="148"/>
        <v>3.1213459539880017</v>
      </c>
      <c r="AJ64" s="173">
        <f t="shared" si="149"/>
        <v>1.8660175790857625</v>
      </c>
      <c r="AL64" s="545">
        <f t="shared" si="150"/>
        <v>590</v>
      </c>
      <c r="AM64" s="460">
        <f t="shared" si="151"/>
        <v>294.09717398420645</v>
      </c>
      <c r="AO64">
        <f t="shared" si="96"/>
        <v>590</v>
      </c>
      <c r="AP64">
        <f t="shared" si="24"/>
        <v>294.09717398420645</v>
      </c>
      <c r="AR64" s="5">
        <f t="shared" si="97"/>
        <v>3.4002366852178656</v>
      </c>
      <c r="AS64" s="5">
        <f t="shared" si="25"/>
        <v>1.3079631123729984</v>
      </c>
      <c r="AT64" s="5">
        <f t="shared" si="98"/>
        <v>2.0922735728448671</v>
      </c>
      <c r="AU64" s="173">
        <f t="shared" si="99"/>
        <v>0.38466825502448587</v>
      </c>
      <c r="AW64" s="5">
        <f t="shared" si="152"/>
        <v>3.2154093179169543</v>
      </c>
      <c r="AX64" s="5">
        <f t="shared" si="153"/>
        <v>0.42872124238892723</v>
      </c>
      <c r="AY64" s="5">
        <f t="shared" si="28"/>
        <v>1.034556149701203</v>
      </c>
      <c r="AZ64" s="5"/>
      <c r="BA64" s="173">
        <f t="shared" si="100"/>
        <v>1.1176979455095859</v>
      </c>
      <c r="BB64" s="173">
        <f t="shared" si="154"/>
        <v>0.94289161433005908</v>
      </c>
      <c r="BC64" s="173">
        <f t="shared" si="155"/>
        <v>9.4416579218726177E-2</v>
      </c>
      <c r="BD64" s="173"/>
      <c r="BE64" s="528">
        <f t="shared" si="31"/>
        <v>4.9969947895853968E-2</v>
      </c>
      <c r="BF64" s="528">
        <f t="shared" si="156"/>
        <v>0.83360413694073943</v>
      </c>
      <c r="BG64" s="528">
        <f t="shared" si="157"/>
        <v>0.28073544747892659</v>
      </c>
      <c r="BH64" s="528">
        <f t="shared" si="34"/>
        <v>8.3833591288107454E-2</v>
      </c>
      <c r="BI64">
        <f t="shared" si="35"/>
        <v>1.0738878382787621E-2</v>
      </c>
      <c r="BJ64" s="460">
        <f t="shared" si="101"/>
        <v>291.47432586171425</v>
      </c>
      <c r="BK64">
        <f t="shared" si="158"/>
        <v>0.99268557857788964</v>
      </c>
      <c r="BL64" s="460">
        <f t="shared" si="102"/>
        <v>992.6855785778896</v>
      </c>
      <c r="BM64" s="173">
        <f t="shared" si="159"/>
        <v>0.51212000000000002</v>
      </c>
      <c r="BN64" s="173">
        <f t="shared" si="160"/>
        <v>3.6579999999999994E-2</v>
      </c>
      <c r="BO64" s="528"/>
      <c r="BQ64" s="460">
        <f t="shared" si="103"/>
        <v>548.69999999999993</v>
      </c>
      <c r="BR64" s="528">
        <f t="shared" si="39"/>
        <v>3.7477460921890478E-2</v>
      </c>
      <c r="BS64" s="528">
        <f t="shared" si="104"/>
        <v>2.6671337891218345E-2</v>
      </c>
      <c r="BT64" s="528">
        <f t="shared" si="161"/>
        <v>4.4572452156829976E-5</v>
      </c>
      <c r="BU64" s="528">
        <f t="shared" si="41"/>
        <v>1.2765913531272179</v>
      </c>
      <c r="BV64" s="528">
        <f t="shared" si="162"/>
        <v>1.3631917634945279</v>
      </c>
      <c r="BW64" s="625">
        <f t="shared" si="163"/>
        <v>0.57306602254089922</v>
      </c>
      <c r="BX64" s="460">
        <f t="shared" si="105"/>
        <v>1936.257786035427</v>
      </c>
      <c r="BY64" s="173">
        <f t="shared" si="106"/>
        <v>3.4776433646133169</v>
      </c>
      <c r="BZ64" s="5">
        <f t="shared" si="107"/>
        <v>15.222</v>
      </c>
      <c r="CA64" s="173">
        <f t="shared" si="108"/>
        <v>0.81402621981581147</v>
      </c>
      <c r="CB64" s="5">
        <f t="shared" si="109"/>
        <v>81.402621981581149</v>
      </c>
      <c r="CC64">
        <f t="shared" si="173"/>
        <v>59</v>
      </c>
      <c r="CE64" s="562">
        <f t="shared" si="164"/>
        <v>-50</v>
      </c>
      <c r="CF64">
        <f t="shared" si="165"/>
        <v>-50</v>
      </c>
      <c r="CG64" s="173">
        <f t="shared" si="166"/>
        <v>0.58114024475735238</v>
      </c>
      <c r="CH64" s="173">
        <f t="shared" si="167"/>
        <v>0.15839917127775208</v>
      </c>
      <c r="CI64" s="170">
        <v>59</v>
      </c>
      <c r="CJ64" s="217">
        <f t="shared" si="133"/>
        <v>0.59</v>
      </c>
      <c r="CK64" s="217">
        <f t="shared" si="111"/>
        <v>5.8999999999999997E-2</v>
      </c>
      <c r="CL64" s="217">
        <f t="shared" si="48"/>
        <v>14.16</v>
      </c>
      <c r="CM64" s="217">
        <f t="shared" si="134"/>
        <v>1.0619999999999998</v>
      </c>
      <c r="CN64" s="541">
        <f t="shared" si="112"/>
        <v>24</v>
      </c>
      <c r="CO64" s="443">
        <f t="shared" si="168"/>
        <v>16.474900000000002</v>
      </c>
      <c r="CP64" s="443">
        <f t="shared" si="169"/>
        <v>40.474900000000005</v>
      </c>
      <c r="CQ64" s="443"/>
      <c r="CR64" s="217">
        <f t="shared" si="113"/>
        <v>0.40507913686898112</v>
      </c>
      <c r="CS64" s="172">
        <f t="shared" si="114"/>
        <v>50.242373565144938</v>
      </c>
      <c r="CT64" s="172">
        <f t="shared" si="51"/>
        <v>4.0507913686898105</v>
      </c>
      <c r="CU64" s="217">
        <f t="shared" si="52"/>
        <v>2.0934322318810392</v>
      </c>
      <c r="CV64" s="217">
        <f t="shared" si="53"/>
        <v>2.7912429758413855</v>
      </c>
      <c r="CW64" s="443">
        <f t="shared" si="54"/>
        <v>24</v>
      </c>
      <c r="CX64" s="217">
        <f t="shared" si="55"/>
        <v>3.1314868739099837</v>
      </c>
      <c r="CY64" s="217">
        <f t="shared" si="56"/>
        <v>1.3047861974624932</v>
      </c>
      <c r="CZ64" s="217">
        <f t="shared" si="57"/>
        <v>1.9007622953158949</v>
      </c>
      <c r="DA64" s="197">
        <f t="shared" si="58"/>
        <v>350</v>
      </c>
      <c r="DB64" s="443">
        <f t="shared" si="115"/>
        <v>311.95909288312043</v>
      </c>
      <c r="DD64" s="217">
        <f t="shared" si="59"/>
        <v>2.7911308701724487</v>
      </c>
      <c r="DE64" s="173">
        <f t="shared" si="60"/>
        <v>1.6941716612376698</v>
      </c>
      <c r="DF64" s="173">
        <f t="shared" si="61"/>
        <v>0.55195223422072148</v>
      </c>
      <c r="DG64" s="173"/>
      <c r="DH64" s="173">
        <f t="shared" si="62"/>
        <v>1.3488532386977903</v>
      </c>
      <c r="DI64" s="545">
        <f t="shared" si="63"/>
        <v>590.20649999999978</v>
      </c>
      <c r="DJ64" s="528">
        <f t="shared" si="64"/>
        <v>0.34987754285999911</v>
      </c>
      <c r="DL64" s="173">
        <f t="shared" si="65"/>
        <v>2.9492856277895014</v>
      </c>
      <c r="DM64" s="173">
        <f t="shared" si="66"/>
        <v>3.1314868739099837</v>
      </c>
      <c r="DN64" s="173">
        <f t="shared" si="67"/>
        <v>1.8735293716205639</v>
      </c>
      <c r="DP64" s="545">
        <f t="shared" si="68"/>
        <v>590</v>
      </c>
      <c r="DQ64" s="460">
        <f t="shared" si="69"/>
        <v>311.95909288312043</v>
      </c>
      <c r="DS64">
        <f t="shared" si="116"/>
        <v>590</v>
      </c>
      <c r="DT64">
        <f t="shared" si="70"/>
        <v>311.95909288312043</v>
      </c>
      <c r="DV64" s="5">
        <f t="shared" si="117"/>
        <v>3.2055484927783882</v>
      </c>
      <c r="DW64" s="5">
        <f t="shared" si="71"/>
        <v>1.3047861974624932</v>
      </c>
      <c r="DX64" s="5">
        <f t="shared" si="118"/>
        <v>1.9007622953158949</v>
      </c>
      <c r="DY64" s="173">
        <f t="shared" si="119"/>
        <v>0.40703991856681548</v>
      </c>
      <c r="EA64" s="5">
        <f t="shared" si="72"/>
        <v>3.2075994020952958</v>
      </c>
      <c r="EB64" s="5">
        <f t="shared" si="73"/>
        <v>0.42767992027937279</v>
      </c>
      <c r="EC64" s="5">
        <f t="shared" si="74"/>
        <v>0.93454146186364817</v>
      </c>
      <c r="ED64" s="5"/>
      <c r="EE64" s="173">
        <f t="shared" si="120"/>
        <v>1.1534757527764004</v>
      </c>
      <c r="EF64" s="173">
        <f t="shared" si="75"/>
        <v>0.92859968247845115</v>
      </c>
      <c r="EG64" s="173">
        <f t="shared" si="76"/>
        <v>9.2985454691423261E-2</v>
      </c>
      <c r="EH64" s="173"/>
      <c r="EI64" s="528">
        <f t="shared" si="77"/>
        <v>5.3220252489723341E-2</v>
      </c>
      <c r="EJ64" s="528">
        <f t="shared" si="78"/>
        <v>1.0873434</v>
      </c>
      <c r="EK64" s="528">
        <f t="shared" si="79"/>
        <v>6.2391818576624077E-2</v>
      </c>
      <c r="EL64" s="528">
        <f t="shared" si="80"/>
        <v>8.9434949556250518E-2</v>
      </c>
      <c r="EM64">
        <f t="shared" si="81"/>
        <v>1.0800000000000001E-2</v>
      </c>
      <c r="EN64" s="460">
        <f t="shared" si="121"/>
        <v>73.191818576624073</v>
      </c>
      <c r="EO64">
        <f t="shared" si="82"/>
        <v>1.3344339826393181</v>
      </c>
      <c r="EP64" s="460">
        <f t="shared" si="122"/>
        <v>1334.4339826393182</v>
      </c>
      <c r="EQ64" s="173">
        <f t="shared" si="83"/>
        <v>0.51212000000000002</v>
      </c>
      <c r="ER64" s="173">
        <f t="shared" si="170"/>
        <v>3.6579999999999994E-2</v>
      </c>
      <c r="ES64" s="528"/>
      <c r="EU64" s="460">
        <f t="shared" si="123"/>
        <v>548.69999999999993</v>
      </c>
      <c r="EV64" s="528">
        <f t="shared" si="85"/>
        <v>3.9915189367292506E-2</v>
      </c>
      <c r="EW64" s="528">
        <f t="shared" si="124"/>
        <v>2.5868921108972407E-2</v>
      </c>
      <c r="EX64" s="528">
        <f t="shared" si="86"/>
        <v>4.3231473920853645E-5</v>
      </c>
      <c r="EY64" s="528">
        <f t="shared" si="87"/>
        <v>1.491387900862932</v>
      </c>
      <c r="EZ64" s="528">
        <f t="shared" si="88"/>
        <v>1.5813414452054455</v>
      </c>
      <c r="FA64" s="625">
        <f t="shared" si="89"/>
        <v>0.61182727783169821</v>
      </c>
      <c r="FB64" s="460">
        <f t="shared" si="125"/>
        <v>2193.168723037144</v>
      </c>
      <c r="FC64" s="173">
        <f t="shared" si="126"/>
        <v>4.0763027056764614</v>
      </c>
      <c r="FD64" s="5">
        <f t="shared" si="127"/>
        <v>15.222</v>
      </c>
      <c r="FE64" s="173">
        <f t="shared" si="128"/>
        <v>0.78877403013906255</v>
      </c>
      <c r="FF64" s="5">
        <f t="shared" si="129"/>
        <v>78.87740301390626</v>
      </c>
      <c r="FG64">
        <f t="shared" si="130"/>
        <v>59</v>
      </c>
      <c r="FI64" s="562">
        <f t="shared" si="90"/>
        <v>-50</v>
      </c>
      <c r="FJ64">
        <f t="shared" si="91"/>
        <v>-50</v>
      </c>
      <c r="FL64">
        <f t="shared" si="92"/>
        <v>0.58114024475735226</v>
      </c>
    </row>
    <row r="65" spans="5:168">
      <c r="E65" s="170">
        <v>60</v>
      </c>
      <c r="F65" s="217">
        <f t="shared" si="174"/>
        <v>0.6</v>
      </c>
      <c r="G65" s="217">
        <f t="shared" si="171"/>
        <v>0.06</v>
      </c>
      <c r="H65" s="217">
        <f t="shared" si="135"/>
        <v>14.399999999999999</v>
      </c>
      <c r="I65" s="217">
        <f t="shared" si="175"/>
        <v>1.08</v>
      </c>
      <c r="J65" s="541">
        <f t="shared" si="136"/>
        <v>23.86187205149745</v>
      </c>
      <c r="K65" s="443">
        <f t="shared" si="137"/>
        <v>16.495559384904606</v>
      </c>
      <c r="L65" s="172">
        <f t="shared" si="138"/>
        <v>40.357431436402052</v>
      </c>
      <c r="M65" s="443"/>
      <c r="N65" s="217">
        <f t="shared" si="139"/>
        <v>0.40873660185483845</v>
      </c>
      <c r="O65" s="172">
        <f t="shared" si="172"/>
        <v>50.404240290563358</v>
      </c>
      <c r="P65" s="172">
        <f t="shared" si="140"/>
        <v>4.0638418734266706</v>
      </c>
      <c r="Q65" s="217">
        <f t="shared" si="6"/>
        <v>2.1001766787734732</v>
      </c>
      <c r="R65" s="217">
        <f t="shared" si="141"/>
        <v>2.8002355716979643</v>
      </c>
      <c r="S65" s="443">
        <f t="shared" si="142"/>
        <v>24</v>
      </c>
      <c r="T65" s="217">
        <f t="shared" si="143"/>
        <v>3.1743361089792095</v>
      </c>
      <c r="U65" s="217">
        <f t="shared" si="10"/>
        <v>1.3302963414305979</v>
      </c>
      <c r="V65" s="217">
        <f t="shared" si="11"/>
        <v>1.9243579650194247</v>
      </c>
      <c r="W65" s="197">
        <f t="shared" si="12"/>
        <v>350</v>
      </c>
      <c r="X65" s="443">
        <f t="shared" si="95"/>
        <v>289.46456325107459</v>
      </c>
      <c r="Z65" s="217">
        <f t="shared" si="13"/>
        <v>2.7866344274925736</v>
      </c>
      <c r="AA65" s="173">
        <f t="shared" si="14"/>
        <v>1.6893239947004617</v>
      </c>
      <c r="AB65" s="173">
        <f t="shared" si="144"/>
        <v>0.54948625281934993</v>
      </c>
      <c r="AC65" s="173"/>
      <c r="AD65" s="173">
        <f t="shared" si="16"/>
        <v>1.3471639065819252</v>
      </c>
      <c r="AE65" s="545">
        <f t="shared" si="145"/>
        <v>600.96265825064734</v>
      </c>
      <c r="AF65" s="528">
        <f t="shared" si="146"/>
        <v>0.34943934887950051</v>
      </c>
      <c r="AH65" s="173">
        <f t="shared" si="147"/>
        <v>2.9741745553538519</v>
      </c>
      <c r="AI65" s="173">
        <f t="shared" si="148"/>
        <v>3.1743361089792095</v>
      </c>
      <c r="AJ65" s="173">
        <f t="shared" si="149"/>
        <v>1.9052695457459163</v>
      </c>
      <c r="AL65" s="545">
        <f t="shared" si="150"/>
        <v>600</v>
      </c>
      <c r="AM65" s="460">
        <f t="shared" si="151"/>
        <v>289.46456325107459</v>
      </c>
      <c r="AO65">
        <f t="shared" si="96"/>
        <v>600</v>
      </c>
      <c r="AP65">
        <f t="shared" si="24"/>
        <v>289.46456325107459</v>
      </c>
      <c r="AR65" s="5">
        <f t="shared" si="97"/>
        <v>3.4546543064500237</v>
      </c>
      <c r="AS65" s="5">
        <f t="shared" si="25"/>
        <v>1.3302963414305979</v>
      </c>
      <c r="AT65" s="5">
        <f t="shared" si="98"/>
        <v>2.124357965019426</v>
      </c>
      <c r="AU65" s="173">
        <f t="shared" si="99"/>
        <v>0.38507364946671041</v>
      </c>
      <c r="AW65" s="5">
        <f t="shared" si="152"/>
        <v>3.325740853576495</v>
      </c>
      <c r="AX65" s="5">
        <f t="shared" si="153"/>
        <v>0.44343211381019931</v>
      </c>
      <c r="AY65" s="5">
        <f t="shared" si="28"/>
        <v>1.0683275614426631</v>
      </c>
      <c r="AZ65" s="5"/>
      <c r="BA65" s="173">
        <f t="shared" si="100"/>
        <v>1.1372715696378097</v>
      </c>
      <c r="BB65" s="173">
        <f t="shared" si="154"/>
        <v>0.95858287861133384</v>
      </c>
      <c r="BC65" s="173">
        <f t="shared" si="155"/>
        <v>9.5987826087972739E-2</v>
      </c>
      <c r="BD65" s="173"/>
      <c r="BE65" s="528">
        <f t="shared" si="31"/>
        <v>5.1735464924257901E-2</v>
      </c>
      <c r="BF65" s="528">
        <f t="shared" si="156"/>
        <v>0.83436167890615898</v>
      </c>
      <c r="BG65" s="528">
        <f t="shared" si="157"/>
        <v>0.27628665486958931</v>
      </c>
      <c r="BH65" s="528">
        <f t="shared" si="34"/>
        <v>8.2505041703600207E-2</v>
      </c>
      <c r="BI65">
        <f t="shared" si="35"/>
        <v>1.0737842423173853E-2</v>
      </c>
      <c r="BJ65" s="460">
        <f t="shared" si="101"/>
        <v>287.02449729276316</v>
      </c>
      <c r="BK65">
        <f t="shared" si="158"/>
        <v>0.99479917721397626</v>
      </c>
      <c r="BL65" s="460">
        <f t="shared" si="102"/>
        <v>994.79917721397624</v>
      </c>
      <c r="BM65" s="173">
        <f t="shared" si="159"/>
        <v>0.52079999999999993</v>
      </c>
      <c r="BN65" s="173">
        <f t="shared" si="160"/>
        <v>3.7199999999999997E-2</v>
      </c>
      <c r="BO65" s="528"/>
      <c r="BQ65" s="460">
        <f t="shared" si="103"/>
        <v>557.99999999999989</v>
      </c>
      <c r="BR65" s="528">
        <f t="shared" si="39"/>
        <v>3.8801598693193426E-2</v>
      </c>
      <c r="BS65" s="528">
        <f t="shared" si="104"/>
        <v>2.7566434055003735E-2</v>
      </c>
      <c r="BT65" s="528">
        <f t="shared" si="161"/>
        <v>4.6068313785474499E-5</v>
      </c>
      <c r="BU65" s="528">
        <f t="shared" si="41"/>
        <v>1.279648784049348</v>
      </c>
      <c r="BV65" s="528">
        <f t="shared" si="162"/>
        <v>1.3692774156594463</v>
      </c>
      <c r="BW65" s="625">
        <f t="shared" si="163"/>
        <v>0.58335270848698673</v>
      </c>
      <c r="BX65" s="460">
        <f t="shared" si="105"/>
        <v>1952.630124146433</v>
      </c>
      <c r="BY65" s="173">
        <f t="shared" si="106"/>
        <v>3.505429301360409</v>
      </c>
      <c r="BZ65" s="5">
        <f t="shared" si="107"/>
        <v>15.479999999999999</v>
      </c>
      <c r="CA65" s="173">
        <f t="shared" si="108"/>
        <v>0.81536212609586722</v>
      </c>
      <c r="CB65" s="5">
        <f t="shared" si="109"/>
        <v>81.536212609586727</v>
      </c>
      <c r="CC65">
        <f t="shared" si="173"/>
        <v>60</v>
      </c>
      <c r="CE65" s="562">
        <f t="shared" si="164"/>
        <v>-50</v>
      </c>
      <c r="CF65">
        <f t="shared" si="165"/>
        <v>-50</v>
      </c>
      <c r="CG65" s="173">
        <f t="shared" si="166"/>
        <v>0.58114024475735238</v>
      </c>
      <c r="CH65" s="173">
        <f t="shared" si="167"/>
        <v>0.1583991712777521</v>
      </c>
      <c r="CI65" s="170">
        <v>60</v>
      </c>
      <c r="CJ65" s="217">
        <f t="shared" si="133"/>
        <v>0.6</v>
      </c>
      <c r="CK65" s="217">
        <f t="shared" si="111"/>
        <v>0.06</v>
      </c>
      <c r="CL65" s="217">
        <f t="shared" si="48"/>
        <v>14.399999999999999</v>
      </c>
      <c r="CM65" s="217">
        <f t="shared" si="134"/>
        <v>1.08</v>
      </c>
      <c r="CN65" s="541">
        <f t="shared" si="112"/>
        <v>24</v>
      </c>
      <c r="CO65" s="443">
        <f t="shared" si="168"/>
        <v>16.474900000000002</v>
      </c>
      <c r="CP65" s="443">
        <f t="shared" si="169"/>
        <v>40.474900000000005</v>
      </c>
      <c r="CQ65" s="443"/>
      <c r="CR65" s="217">
        <f t="shared" si="113"/>
        <v>0.40507913686898112</v>
      </c>
      <c r="CS65" s="172">
        <f t="shared" si="114"/>
        <v>50.242373565144938</v>
      </c>
      <c r="CT65" s="172">
        <f t="shared" si="51"/>
        <v>4.0507913686898105</v>
      </c>
      <c r="CU65" s="217">
        <f t="shared" si="52"/>
        <v>2.0934322318810392</v>
      </c>
      <c r="CV65" s="217">
        <f t="shared" si="53"/>
        <v>2.7912429758413855</v>
      </c>
      <c r="CW65" s="443">
        <f t="shared" si="54"/>
        <v>24</v>
      </c>
      <c r="CX65" s="217">
        <f t="shared" si="55"/>
        <v>3.184562922620322</v>
      </c>
      <c r="CY65" s="217">
        <f t="shared" si="56"/>
        <v>1.3269012177584676</v>
      </c>
      <c r="CZ65" s="217">
        <f t="shared" si="57"/>
        <v>1.9329786054059945</v>
      </c>
      <c r="DA65" s="197">
        <f t="shared" si="58"/>
        <v>350</v>
      </c>
      <c r="DB65" s="443">
        <f t="shared" si="115"/>
        <v>306.7597746684018</v>
      </c>
      <c r="DD65" s="217">
        <f t="shared" si="59"/>
        <v>2.7911308701724487</v>
      </c>
      <c r="DE65" s="173">
        <f t="shared" si="60"/>
        <v>1.6941716612376698</v>
      </c>
      <c r="DF65" s="173">
        <f t="shared" si="61"/>
        <v>0.55195223422072148</v>
      </c>
      <c r="DG65" s="173"/>
      <c r="DH65" s="173">
        <f t="shared" si="62"/>
        <v>1.3488532386977903</v>
      </c>
      <c r="DI65" s="545">
        <f t="shared" si="63"/>
        <v>600.20999999999981</v>
      </c>
      <c r="DJ65" s="528">
        <f t="shared" si="64"/>
        <v>0.34987754285999911</v>
      </c>
      <c r="DL65" s="173">
        <f t="shared" si="65"/>
        <v>2.9741745553538519</v>
      </c>
      <c r="DM65" s="173">
        <f t="shared" si="66"/>
        <v>3.184562922620322</v>
      </c>
      <c r="DN65" s="173">
        <f t="shared" si="67"/>
        <v>1.9128449632578515</v>
      </c>
      <c r="DP65" s="545">
        <f t="shared" si="68"/>
        <v>600</v>
      </c>
      <c r="DQ65" s="460">
        <f t="shared" si="69"/>
        <v>306.7597746684018</v>
      </c>
      <c r="DS65">
        <f t="shared" si="116"/>
        <v>600</v>
      </c>
      <c r="DT65">
        <f t="shared" si="70"/>
        <v>306.7597746684018</v>
      </c>
      <c r="DV65" s="5">
        <f t="shared" si="117"/>
        <v>3.2598798231644621</v>
      </c>
      <c r="DW65" s="5">
        <f t="shared" si="71"/>
        <v>1.3269012177584676</v>
      </c>
      <c r="DX65" s="5">
        <f t="shared" si="118"/>
        <v>1.9329786054059945</v>
      </c>
      <c r="DY65" s="173">
        <f t="shared" si="119"/>
        <v>0.40703991856681548</v>
      </c>
      <c r="EA65" s="5">
        <f t="shared" si="72"/>
        <v>3.3172530443961685</v>
      </c>
      <c r="EB65" s="5">
        <f t="shared" si="73"/>
        <v>0.44230040591948916</v>
      </c>
      <c r="EC65" s="5">
        <f t="shared" si="74"/>
        <v>0.96648930270299716</v>
      </c>
      <c r="ED65" s="5"/>
      <c r="EE65" s="173">
        <f t="shared" si="120"/>
        <v>1.1730261892641358</v>
      </c>
      <c r="EF65" s="173">
        <f t="shared" si="75"/>
        <v>0.94433866014757717</v>
      </c>
      <c r="EG65" s="173">
        <f t="shared" si="76"/>
        <v>9.4561479347210084E-2</v>
      </c>
      <c r="EH65" s="173"/>
      <c r="EI65" s="528">
        <f t="shared" si="77"/>
        <v>5.503961762798161E-2</v>
      </c>
      <c r="EJ65" s="528">
        <f t="shared" si="78"/>
        <v>1.0873434</v>
      </c>
      <c r="EK65" s="528">
        <f t="shared" si="79"/>
        <v>6.1351954933680362E-2</v>
      </c>
      <c r="EL65" s="528">
        <f t="shared" si="80"/>
        <v>8.7944367063646361E-2</v>
      </c>
      <c r="EM65">
        <f t="shared" si="81"/>
        <v>1.0800000000000001E-2</v>
      </c>
      <c r="EN65" s="460">
        <f t="shared" si="121"/>
        <v>72.151954933680358</v>
      </c>
      <c r="EO65">
        <f t="shared" si="82"/>
        <v>1.3347957113711879</v>
      </c>
      <c r="EP65" s="460">
        <f t="shared" si="122"/>
        <v>1334.795711371188</v>
      </c>
      <c r="EQ65" s="173">
        <f t="shared" si="83"/>
        <v>0.52079999999999993</v>
      </c>
      <c r="ER65" s="173">
        <f t="shared" si="170"/>
        <v>3.7199999999999997E-2</v>
      </c>
      <c r="ES65" s="528"/>
      <c r="EU65" s="460">
        <f t="shared" si="123"/>
        <v>557.99999999999989</v>
      </c>
      <c r="EV65" s="528">
        <f t="shared" si="85"/>
        <v>4.1279713220986204E-2</v>
      </c>
      <c r="EW65" s="528">
        <f t="shared" si="124"/>
        <v>2.6753265151479636E-2</v>
      </c>
      <c r="EX65" s="528">
        <f t="shared" si="86"/>
        <v>4.4709366881664197E-5</v>
      </c>
      <c r="EY65" s="528">
        <f t="shared" si="87"/>
        <v>1.4913879008629325</v>
      </c>
      <c r="EZ65" s="528">
        <f t="shared" si="88"/>
        <v>1.5844333986321932</v>
      </c>
      <c r="FA65" s="625">
        <f t="shared" si="89"/>
        <v>0.62219723169325236</v>
      </c>
      <c r="FB65" s="460">
        <f t="shared" si="125"/>
        <v>2206.6306303254455</v>
      </c>
      <c r="FC65" s="173">
        <f t="shared" si="126"/>
        <v>4.099426341696633</v>
      </c>
      <c r="FD65" s="5">
        <f t="shared" si="127"/>
        <v>15.479999999999999</v>
      </c>
      <c r="FE65" s="173">
        <f t="shared" si="128"/>
        <v>0.79062581966630785</v>
      </c>
      <c r="FF65" s="5">
        <f t="shared" si="129"/>
        <v>79.062581966630788</v>
      </c>
      <c r="FG65">
        <f t="shared" si="130"/>
        <v>60</v>
      </c>
      <c r="FI65" s="562">
        <f t="shared" si="90"/>
        <v>-50</v>
      </c>
      <c r="FJ65">
        <f t="shared" si="91"/>
        <v>-50</v>
      </c>
      <c r="FL65">
        <f t="shared" si="92"/>
        <v>0.58114024475735238</v>
      </c>
    </row>
    <row r="66" spans="5:168">
      <c r="E66" s="170">
        <v>61</v>
      </c>
      <c r="F66" s="217">
        <f t="shared" si="174"/>
        <v>0.61</v>
      </c>
      <c r="G66" s="217">
        <f t="shared" si="171"/>
        <v>6.0999999999999999E-2</v>
      </c>
      <c r="H66" s="217">
        <f t="shared" si="135"/>
        <v>14.64</v>
      </c>
      <c r="I66" s="217">
        <f t="shared" si="175"/>
        <v>1.0979999999999999</v>
      </c>
      <c r="J66" s="541">
        <f t="shared" si="136"/>
        <v>23.859569919022405</v>
      </c>
      <c r="K66" s="443">
        <f t="shared" si="137"/>
        <v>16.495903707986351</v>
      </c>
      <c r="L66" s="172">
        <f t="shared" si="138"/>
        <v>40.355473627008756</v>
      </c>
      <c r="M66" s="443"/>
      <c r="N66" s="217">
        <f t="shared" si="139"/>
        <v>0.40876496359458209</v>
      </c>
      <c r="O66" s="172">
        <f t="shared" si="172"/>
        <v>50.402874570189034</v>
      </c>
      <c r="P66" s="172">
        <f t="shared" si="140"/>
        <v>4.063731762221491</v>
      </c>
      <c r="Q66" s="217">
        <f t="shared" si="6"/>
        <v>2.1001197737578763</v>
      </c>
      <c r="R66" s="217">
        <f t="shared" si="141"/>
        <v>2.800159698343835</v>
      </c>
      <c r="S66" s="443">
        <f t="shared" si="142"/>
        <v>24</v>
      </c>
      <c r="T66" s="217">
        <f t="shared" si="143"/>
        <v>3.2273291563984814</v>
      </c>
      <c r="U66" s="217">
        <f t="shared" si="10"/>
        <v>1.3526350924814634</v>
      </c>
      <c r="V66" s="217">
        <f t="shared" si="11"/>
        <v>1.9564427712050707</v>
      </c>
      <c r="W66" s="197">
        <f t="shared" si="12"/>
        <v>350</v>
      </c>
      <c r="X66" s="443">
        <f t="shared" si="95"/>
        <v>284.97515268852692</v>
      </c>
      <c r="Z66" s="217">
        <f t="shared" si="13"/>
        <v>2.7865589226661651</v>
      </c>
      <c r="AA66" s="173">
        <f t="shared" si="14"/>
        <v>1.6892429611583368</v>
      </c>
      <c r="AB66" s="173">
        <f t="shared" si="144"/>
        <v>0.54944500724047218</v>
      </c>
      <c r="AC66" s="173"/>
      <c r="AD66" s="173">
        <f t="shared" si="16"/>
        <v>1.3471357868962055</v>
      </c>
      <c r="AE66" s="545">
        <f t="shared" si="145"/>
        <v>610.99145593073854</v>
      </c>
      <c r="AF66" s="528">
        <f t="shared" si="146"/>
        <v>0.34943205494546575</v>
      </c>
      <c r="AH66" s="173">
        <f t="shared" si="147"/>
        <v>2.9988569250870998</v>
      </c>
      <c r="AI66" s="173">
        <f t="shared" si="148"/>
        <v>3.2273291563984814</v>
      </c>
      <c r="AJ66" s="173">
        <f t="shared" si="149"/>
        <v>1.944523654945377</v>
      </c>
      <c r="AL66" s="545">
        <f t="shared" si="150"/>
        <v>610</v>
      </c>
      <c r="AM66" s="460">
        <f t="shared" si="151"/>
        <v>284.97515268852692</v>
      </c>
      <c r="AO66">
        <f t="shared" si="96"/>
        <v>610</v>
      </c>
      <c r="AP66">
        <f t="shared" si="24"/>
        <v>284.97515268852692</v>
      </c>
      <c r="AR66" s="5">
        <f t="shared" si="97"/>
        <v>3.5090778636865343</v>
      </c>
      <c r="AS66" s="5">
        <f t="shared" si="25"/>
        <v>1.3526350924814634</v>
      </c>
      <c r="AT66" s="5">
        <f t="shared" si="98"/>
        <v>2.1564427712050707</v>
      </c>
      <c r="AU66" s="173">
        <f t="shared" si="99"/>
        <v>0.38546739201176478</v>
      </c>
      <c r="AW66" s="5">
        <f t="shared" si="152"/>
        <v>3.4379475267237192</v>
      </c>
      <c r="AX66" s="5">
        <f t="shared" si="153"/>
        <v>0.45839300356316254</v>
      </c>
      <c r="AY66" s="5">
        <f t="shared" si="28"/>
        <v>1.1026435890500661</v>
      </c>
      <c r="AZ66" s="5"/>
      <c r="BA66" s="173">
        <f t="shared" si="100"/>
        <v>1.1568484176813323</v>
      </c>
      <c r="BB66" s="173">
        <f t="shared" si="154"/>
        <v>0.97427359897122101</v>
      </c>
      <c r="BC66" s="173">
        <f t="shared" si="155"/>
        <v>9.7559018491577651E-2</v>
      </c>
      <c r="BD66" s="173"/>
      <c r="BE66" s="528">
        <f t="shared" si="31"/>
        <v>5.353193045967209E-2</v>
      </c>
      <c r="BF66" s="528">
        <f t="shared" si="156"/>
        <v>0.83509373077788951</v>
      </c>
      <c r="BG66" s="528">
        <f t="shared" si="157"/>
        <v>0.27197538323023973</v>
      </c>
      <c r="BH66" s="528">
        <f t="shared" si="34"/>
        <v>8.121756059898981E-2</v>
      </c>
      <c r="BI66">
        <f t="shared" si="35"/>
        <v>1.0736806463560082E-2</v>
      </c>
      <c r="BJ66" s="460">
        <f t="shared" si="101"/>
        <v>282.71218969379981</v>
      </c>
      <c r="BK66">
        <f t="shared" si="158"/>
        <v>0.99697758710404161</v>
      </c>
      <c r="BL66" s="460">
        <f t="shared" si="102"/>
        <v>996.97758710404162</v>
      </c>
      <c r="BM66" s="173">
        <f t="shared" si="159"/>
        <v>0.52947999999999995</v>
      </c>
      <c r="BN66" s="173">
        <f t="shared" si="160"/>
        <v>3.7819999999999999E-2</v>
      </c>
      <c r="BO66" s="528"/>
      <c r="BQ66" s="460">
        <f t="shared" si="103"/>
        <v>567.29999999999995</v>
      </c>
      <c r="BR66" s="528">
        <f t="shared" si="39"/>
        <v>4.0148947844754063E-2</v>
      </c>
      <c r="BS66" s="528">
        <f t="shared" si="104"/>
        <v>2.8476271369570066E-2</v>
      </c>
      <c r="BT66" s="528">
        <f t="shared" si="161"/>
        <v>4.7588810445199949E-5</v>
      </c>
      <c r="BU66" s="528">
        <f t="shared" si="41"/>
        <v>1.2826130243237528</v>
      </c>
      <c r="BV66" s="528">
        <f t="shared" si="162"/>
        <v>1.3753230901578624</v>
      </c>
      <c r="BW66" s="625">
        <f t="shared" si="163"/>
        <v>0.59364048837590366</v>
      </c>
      <c r="BX66" s="460">
        <f t="shared" si="105"/>
        <v>1968.9635785337659</v>
      </c>
      <c r="BY66" s="173">
        <f t="shared" si="106"/>
        <v>3.5332411656378078</v>
      </c>
      <c r="BZ66" s="5">
        <f t="shared" si="107"/>
        <v>15.738</v>
      </c>
      <c r="CA66" s="173">
        <f t="shared" si="108"/>
        <v>0.8166573115208654</v>
      </c>
      <c r="CB66" s="5">
        <f t="shared" si="109"/>
        <v>81.665731152086536</v>
      </c>
      <c r="CC66">
        <f t="shared" si="173"/>
        <v>61</v>
      </c>
      <c r="CE66" s="562">
        <f t="shared" si="164"/>
        <v>-50</v>
      </c>
      <c r="CF66">
        <f t="shared" si="165"/>
        <v>-50</v>
      </c>
      <c r="CG66" s="173">
        <f t="shared" si="166"/>
        <v>0.58114024475735238</v>
      </c>
      <c r="CH66" s="173">
        <f t="shared" si="167"/>
        <v>0.15839917127775208</v>
      </c>
      <c r="CI66" s="170">
        <v>61</v>
      </c>
      <c r="CJ66" s="217">
        <f t="shared" si="133"/>
        <v>0.61</v>
      </c>
      <c r="CK66" s="217">
        <f t="shared" si="111"/>
        <v>6.0999999999999999E-2</v>
      </c>
      <c r="CL66" s="217">
        <f t="shared" si="48"/>
        <v>14.64</v>
      </c>
      <c r="CM66" s="217">
        <f t="shared" si="134"/>
        <v>1.0979999999999999</v>
      </c>
      <c r="CN66" s="541">
        <f t="shared" si="112"/>
        <v>24</v>
      </c>
      <c r="CO66" s="443">
        <f t="shared" si="168"/>
        <v>16.474900000000002</v>
      </c>
      <c r="CP66" s="443">
        <f t="shared" si="169"/>
        <v>40.474900000000005</v>
      </c>
      <c r="CQ66" s="443"/>
      <c r="CR66" s="217">
        <f t="shared" si="113"/>
        <v>0.40507913686898112</v>
      </c>
      <c r="CS66" s="172">
        <f t="shared" si="114"/>
        <v>50.242373565144938</v>
      </c>
      <c r="CT66" s="172">
        <f t="shared" si="51"/>
        <v>4.0507913686898105</v>
      </c>
      <c r="CU66" s="217">
        <f t="shared" si="52"/>
        <v>2.0934322318810392</v>
      </c>
      <c r="CV66" s="217">
        <f t="shared" si="53"/>
        <v>2.7912429758413855</v>
      </c>
      <c r="CW66" s="443">
        <f t="shared" si="54"/>
        <v>24</v>
      </c>
      <c r="CX66" s="217">
        <f t="shared" si="55"/>
        <v>3.2376389713306613</v>
      </c>
      <c r="CY66" s="217">
        <f t="shared" si="56"/>
        <v>1.3490162380544424</v>
      </c>
      <c r="CZ66" s="217">
        <f t="shared" si="57"/>
        <v>1.965194915496095</v>
      </c>
      <c r="DA66" s="197">
        <f t="shared" si="58"/>
        <v>350</v>
      </c>
      <c r="DB66" s="443">
        <f t="shared" si="115"/>
        <v>301.73092590334602</v>
      </c>
      <c r="DD66" s="217">
        <f t="shared" si="59"/>
        <v>2.7911308701724487</v>
      </c>
      <c r="DE66" s="173">
        <f t="shared" si="60"/>
        <v>1.6941716612376698</v>
      </c>
      <c r="DF66" s="173">
        <f t="shared" si="61"/>
        <v>0.55195223422072148</v>
      </c>
      <c r="DG66" s="173"/>
      <c r="DH66" s="173">
        <f t="shared" si="62"/>
        <v>1.3488532386977903</v>
      </c>
      <c r="DI66" s="545">
        <f t="shared" si="63"/>
        <v>610.21349999999973</v>
      </c>
      <c r="DJ66" s="528">
        <f t="shared" si="64"/>
        <v>0.34987754285999911</v>
      </c>
      <c r="DL66" s="173">
        <f t="shared" si="65"/>
        <v>2.9988569250870998</v>
      </c>
      <c r="DM66" s="173">
        <f t="shared" si="66"/>
        <v>3.2376389713306613</v>
      </c>
      <c r="DN66" s="173">
        <f t="shared" si="67"/>
        <v>1.95216055489514</v>
      </c>
      <c r="DP66" s="545">
        <f t="shared" si="68"/>
        <v>610</v>
      </c>
      <c r="DQ66" s="460">
        <f t="shared" si="69"/>
        <v>301.73092590334602</v>
      </c>
      <c r="DS66">
        <f t="shared" si="116"/>
        <v>610</v>
      </c>
      <c r="DT66">
        <f t="shared" si="70"/>
        <v>301.73092590334602</v>
      </c>
      <c r="DV66" s="5">
        <f t="shared" si="117"/>
        <v>3.314211153550537</v>
      </c>
      <c r="DW66" s="5">
        <f t="shared" si="71"/>
        <v>1.3490162380544424</v>
      </c>
      <c r="DX66" s="5">
        <f t="shared" si="118"/>
        <v>1.9651949154960946</v>
      </c>
      <c r="DY66" s="173">
        <f t="shared" si="119"/>
        <v>0.40703991856681554</v>
      </c>
      <c r="EA66" s="5">
        <f t="shared" si="72"/>
        <v>3.4287496050550414</v>
      </c>
      <c r="EB66" s="5">
        <f t="shared" si="73"/>
        <v>0.45716661400733877</v>
      </c>
      <c r="EC66" s="5">
        <f t="shared" si="74"/>
        <v>0.99897408204384797</v>
      </c>
      <c r="ED66" s="5"/>
      <c r="EE66" s="173">
        <f t="shared" si="120"/>
        <v>1.1925766257518715</v>
      </c>
      <c r="EF66" s="173">
        <f t="shared" si="75"/>
        <v>0.96007763781670363</v>
      </c>
      <c r="EG66" s="173">
        <f t="shared" si="76"/>
        <v>9.6137504002996935E-2</v>
      </c>
      <c r="EH66" s="173"/>
      <c r="EI66" s="528">
        <f t="shared" si="77"/>
        <v>5.6889560331588776E-2</v>
      </c>
      <c r="EJ66" s="528">
        <f t="shared" si="78"/>
        <v>1.0873434</v>
      </c>
      <c r="EK66" s="528">
        <f t="shared" si="79"/>
        <v>6.0346185180669198E-2</v>
      </c>
      <c r="EL66" s="528">
        <f t="shared" si="80"/>
        <v>8.6502656128176744E-2</v>
      </c>
      <c r="EM66">
        <f t="shared" si="81"/>
        <v>1.0800000000000001E-2</v>
      </c>
      <c r="EN66" s="460">
        <f t="shared" si="121"/>
        <v>71.146185180669207</v>
      </c>
      <c r="EO66">
        <f t="shared" si="82"/>
        <v>1.335291058129866</v>
      </c>
      <c r="EP66" s="460">
        <f t="shared" si="122"/>
        <v>1335.2910581298661</v>
      </c>
      <c r="EQ66" s="173">
        <f t="shared" si="83"/>
        <v>0.52947999999999995</v>
      </c>
      <c r="ER66" s="173">
        <f t="shared" si="170"/>
        <v>3.7819999999999999E-2</v>
      </c>
      <c r="ES66" s="528"/>
      <c r="EU66" s="460">
        <f t="shared" si="123"/>
        <v>567.29999999999995</v>
      </c>
      <c r="EV66" s="528">
        <f t="shared" si="85"/>
        <v>4.2667170248691579E-2</v>
      </c>
      <c r="EW66" s="528">
        <f t="shared" si="124"/>
        <v>2.7652472119071046E-2</v>
      </c>
      <c r="EX66" s="528">
        <f t="shared" si="86"/>
        <v>4.6212098379631262E-5</v>
      </c>
      <c r="EY66" s="528">
        <f t="shared" si="87"/>
        <v>1.49138790086293</v>
      </c>
      <c r="EZ66" s="528">
        <f t="shared" si="88"/>
        <v>1.5875784656221907</v>
      </c>
      <c r="FA66" s="625">
        <f t="shared" si="89"/>
        <v>0.63256718555480662</v>
      </c>
      <c r="FB66" s="460">
        <f t="shared" si="125"/>
        <v>2220.145651176997</v>
      </c>
      <c r="FC66" s="173">
        <f t="shared" si="126"/>
        <v>4.1227367093068636</v>
      </c>
      <c r="FD66" s="5">
        <f t="shared" si="127"/>
        <v>15.738</v>
      </c>
      <c r="FE66" s="173">
        <f t="shared" si="128"/>
        <v>0.79241773506946878</v>
      </c>
      <c r="FF66" s="5">
        <f t="shared" si="129"/>
        <v>79.241773506946885</v>
      </c>
      <c r="FG66">
        <f t="shared" si="130"/>
        <v>61</v>
      </c>
      <c r="FI66" s="562">
        <f t="shared" si="90"/>
        <v>-50</v>
      </c>
      <c r="FJ66">
        <f t="shared" si="91"/>
        <v>-50</v>
      </c>
      <c r="FL66">
        <f t="shared" si="92"/>
        <v>0.58114024475735238</v>
      </c>
    </row>
    <row r="67" spans="5:168">
      <c r="E67" s="170">
        <v>62</v>
      </c>
      <c r="F67" s="217">
        <f t="shared" si="174"/>
        <v>0.62</v>
      </c>
      <c r="G67" s="217">
        <f t="shared" si="171"/>
        <v>6.2E-2</v>
      </c>
      <c r="H67" s="217">
        <f t="shared" si="135"/>
        <v>14.879999999999999</v>
      </c>
      <c r="I67" s="217">
        <f t="shared" si="175"/>
        <v>1.1160000000000001</v>
      </c>
      <c r="J67" s="541">
        <f t="shared" si="136"/>
        <v>23.857267786547364</v>
      </c>
      <c r="K67" s="443">
        <f t="shared" si="137"/>
        <v>16.496248031068095</v>
      </c>
      <c r="L67" s="172">
        <f t="shared" si="138"/>
        <v>40.35351581761546</v>
      </c>
      <c r="M67" s="443"/>
      <c r="N67" s="217">
        <f t="shared" si="139"/>
        <v>0.40879332808634761</v>
      </c>
      <c r="O67" s="172">
        <f t="shared" si="172"/>
        <v>50.401508514263085</v>
      </c>
      <c r="P67" s="172">
        <f t="shared" si="140"/>
        <v>4.0636216239624616</v>
      </c>
      <c r="Q67" s="217">
        <f t="shared" si="6"/>
        <v>2.1000628547609619</v>
      </c>
      <c r="R67" s="217">
        <f t="shared" si="141"/>
        <v>2.8000838063479492</v>
      </c>
      <c r="S67" s="443">
        <f t="shared" si="142"/>
        <v>24</v>
      </c>
      <c r="T67" s="217">
        <f t="shared" si="143"/>
        <v>3.280325097542383</v>
      </c>
      <c r="U67" s="217">
        <f t="shared" si="10"/>
        <v>1.3749793676676141</v>
      </c>
      <c r="V67" s="217">
        <f t="shared" si="11"/>
        <v>1.9885279921618575</v>
      </c>
      <c r="W67" s="197">
        <f t="shared" si="12"/>
        <v>350</v>
      </c>
      <c r="X67" s="443">
        <f t="shared" si="95"/>
        <v>280.62240344239223</v>
      </c>
      <c r="Z67" s="217">
        <f t="shared" si="13"/>
        <v>2.7864833992885449</v>
      </c>
      <c r="AA67" s="173">
        <f t="shared" si="14"/>
        <v>1.6891619197532923</v>
      </c>
      <c r="AB67" s="173">
        <f t="shared" si="144"/>
        <v>0.54940375687481324</v>
      </c>
      <c r="AC67" s="173"/>
      <c r="AD67" s="173">
        <f t="shared" si="16"/>
        <v>1.3471076683843597</v>
      </c>
      <c r="AE67" s="545">
        <f t="shared" si="145"/>
        <v>621.0206717543025</v>
      </c>
      <c r="AF67" s="528">
        <f t="shared" si="146"/>
        <v>0.34942476131592093</v>
      </c>
      <c r="AH67" s="173">
        <f t="shared" si="147"/>
        <v>3.0233377959750753</v>
      </c>
      <c r="AI67" s="173">
        <f t="shared" si="148"/>
        <v>3.280325097542383</v>
      </c>
      <c r="AJ67" s="173">
        <f t="shared" si="149"/>
        <v>1.9837799076445635</v>
      </c>
      <c r="AL67" s="545">
        <f t="shared" si="150"/>
        <v>620</v>
      </c>
      <c r="AM67" s="460">
        <f t="shared" si="151"/>
        <v>280.62240344239223</v>
      </c>
      <c r="AO67">
        <f t="shared" si="96"/>
        <v>620</v>
      </c>
      <c r="AP67">
        <f t="shared" si="24"/>
        <v>280.62240344239223</v>
      </c>
      <c r="AR67" s="5">
        <f t="shared" si="97"/>
        <v>3.563507359829472</v>
      </c>
      <c r="AS67" s="5">
        <f t="shared" si="25"/>
        <v>1.3749793676676141</v>
      </c>
      <c r="AT67" s="5">
        <f t="shared" si="98"/>
        <v>2.1885279921618581</v>
      </c>
      <c r="AU67" s="173">
        <f t="shared" si="99"/>
        <v>0.38585001483858655</v>
      </c>
      <c r="AW67" s="5">
        <f t="shared" si="152"/>
        <v>3.5520300331413361</v>
      </c>
      <c r="AX67" s="5">
        <f t="shared" si="153"/>
        <v>0.47360400441884482</v>
      </c>
      <c r="AY67" s="5">
        <f t="shared" si="28"/>
        <v>1.137504400990522</v>
      </c>
      <c r="AZ67" s="5"/>
      <c r="BA67" s="173">
        <f t="shared" si="100"/>
        <v>1.1764284536324212</v>
      </c>
      <c r="BB67" s="173">
        <f t="shared" si="154"/>
        <v>0.98996380473974244</v>
      </c>
      <c r="BC67" s="173">
        <f t="shared" si="155"/>
        <v>9.9130159366506612E-2</v>
      </c>
      <c r="BD67" s="173"/>
      <c r="BE67" s="528">
        <f t="shared" si="31"/>
        <v>5.5359356260638794E-2</v>
      </c>
      <c r="BF67" s="528">
        <f t="shared" si="156"/>
        <v>0.83580145633008374</v>
      </c>
      <c r="BG67" s="528">
        <f t="shared" si="157"/>
        <v>0.2677953530331873</v>
      </c>
      <c r="BH67" s="528">
        <f t="shared" si="34"/>
        <v>7.9969272691801513E-2</v>
      </c>
      <c r="BI67">
        <f t="shared" si="35"/>
        <v>1.0735770503946314E-2</v>
      </c>
      <c r="BJ67" s="460">
        <f t="shared" si="101"/>
        <v>278.53112353713362</v>
      </c>
      <c r="BK67">
        <f t="shared" si="158"/>
        <v>0.99922023801231441</v>
      </c>
      <c r="BL67" s="460">
        <f t="shared" si="102"/>
        <v>999.22023801231444</v>
      </c>
      <c r="BM67" s="173">
        <f t="shared" si="159"/>
        <v>0.53815999999999997</v>
      </c>
      <c r="BN67" s="173">
        <f t="shared" si="160"/>
        <v>3.8440000000000002E-2</v>
      </c>
      <c r="BO67" s="528"/>
      <c r="BQ67" s="460">
        <f t="shared" si="103"/>
        <v>576.6</v>
      </c>
      <c r="BR67" s="528">
        <f t="shared" si="39"/>
        <v>4.151951719547909E-2</v>
      </c>
      <c r="BS67" s="528">
        <f t="shared" si="104"/>
        <v>2.9400850040843605E-2</v>
      </c>
      <c r="BT67" s="528">
        <f t="shared" si="161"/>
        <v>4.9133942480144992E-5</v>
      </c>
      <c r="BU67" s="528">
        <f t="shared" si="41"/>
        <v>1.2854881303237409</v>
      </c>
      <c r="BV67" s="528">
        <f t="shared" si="162"/>
        <v>1.3813329124058811</v>
      </c>
      <c r="BW67" s="625">
        <f t="shared" si="163"/>
        <v>0.60392931227628388</v>
      </c>
      <c r="BX67" s="460">
        <f t="shared" si="105"/>
        <v>1985.262224682165</v>
      </c>
      <c r="BY67" s="173">
        <f t="shared" si="106"/>
        <v>3.5610824626944795</v>
      </c>
      <c r="BZ67" s="5">
        <f t="shared" si="107"/>
        <v>15.995999999999999</v>
      </c>
      <c r="CA67" s="173">
        <f t="shared" si="108"/>
        <v>0.81791340965671566</v>
      </c>
      <c r="CB67" s="5">
        <f t="shared" si="109"/>
        <v>81.791340965671566</v>
      </c>
      <c r="CC67">
        <f t="shared" si="173"/>
        <v>62</v>
      </c>
      <c r="CE67" s="562">
        <f t="shared" si="164"/>
        <v>-50</v>
      </c>
      <c r="CF67">
        <f t="shared" si="165"/>
        <v>-50</v>
      </c>
      <c r="CG67" s="173">
        <f t="shared" si="166"/>
        <v>0.58114024475735249</v>
      </c>
      <c r="CH67" s="173">
        <f t="shared" si="167"/>
        <v>0.1583991712777521</v>
      </c>
      <c r="CI67" s="170">
        <v>62</v>
      </c>
      <c r="CJ67" s="217">
        <f t="shared" si="133"/>
        <v>0.62</v>
      </c>
      <c r="CK67" s="217">
        <f t="shared" si="111"/>
        <v>6.2E-2</v>
      </c>
      <c r="CL67" s="217">
        <f t="shared" si="48"/>
        <v>14.879999999999999</v>
      </c>
      <c r="CM67" s="217">
        <f t="shared" si="134"/>
        <v>1.1160000000000001</v>
      </c>
      <c r="CN67" s="541">
        <f t="shared" si="112"/>
        <v>24</v>
      </c>
      <c r="CO67" s="443">
        <f t="shared" si="168"/>
        <v>16.474900000000002</v>
      </c>
      <c r="CP67" s="443">
        <f t="shared" si="169"/>
        <v>40.474900000000005</v>
      </c>
      <c r="CQ67" s="443"/>
      <c r="CR67" s="217">
        <f t="shared" si="113"/>
        <v>0.40507913686898112</v>
      </c>
      <c r="CS67" s="172">
        <f t="shared" si="114"/>
        <v>50.242373565144938</v>
      </c>
      <c r="CT67" s="172">
        <f t="shared" si="51"/>
        <v>4.0507913686898105</v>
      </c>
      <c r="CU67" s="217">
        <f t="shared" si="52"/>
        <v>2.0934322318810392</v>
      </c>
      <c r="CV67" s="217">
        <f t="shared" si="53"/>
        <v>2.7912429758413855</v>
      </c>
      <c r="CW67" s="443">
        <f t="shared" si="54"/>
        <v>24</v>
      </c>
      <c r="CX67" s="217">
        <f t="shared" si="55"/>
        <v>3.2907150200409996</v>
      </c>
      <c r="CY67" s="217">
        <f t="shared" si="56"/>
        <v>1.3711312583504167</v>
      </c>
      <c r="CZ67" s="217">
        <f t="shared" si="57"/>
        <v>1.9974112255861947</v>
      </c>
      <c r="DA67" s="197">
        <f t="shared" si="58"/>
        <v>350</v>
      </c>
      <c r="DB67" s="443">
        <f t="shared" si="115"/>
        <v>296.86429806619532</v>
      </c>
      <c r="DD67" s="217">
        <f t="shared" si="59"/>
        <v>2.7911308701724487</v>
      </c>
      <c r="DE67" s="173">
        <f t="shared" si="60"/>
        <v>1.6941716612376698</v>
      </c>
      <c r="DF67" s="173">
        <f t="shared" si="61"/>
        <v>0.55195223422072148</v>
      </c>
      <c r="DG67" s="173"/>
      <c r="DH67" s="173">
        <f t="shared" si="62"/>
        <v>1.3488532386977903</v>
      </c>
      <c r="DI67" s="545">
        <f t="shared" si="63"/>
        <v>620.21699999999976</v>
      </c>
      <c r="DJ67" s="528">
        <f t="shared" si="64"/>
        <v>0.34987754285999911</v>
      </c>
      <c r="DL67" s="173">
        <f t="shared" si="65"/>
        <v>3.0233377959750753</v>
      </c>
      <c r="DM67" s="173">
        <f t="shared" si="66"/>
        <v>3.2907150200409996</v>
      </c>
      <c r="DN67" s="173">
        <f t="shared" si="67"/>
        <v>1.9914761465324275</v>
      </c>
      <c r="DP67" s="545">
        <f t="shared" si="68"/>
        <v>620</v>
      </c>
      <c r="DQ67" s="460">
        <f t="shared" si="69"/>
        <v>296.86429806619532</v>
      </c>
      <c r="DS67">
        <f t="shared" si="116"/>
        <v>620</v>
      </c>
      <c r="DT67">
        <f t="shared" si="70"/>
        <v>296.86429806619532</v>
      </c>
      <c r="DV67" s="5">
        <f t="shared" si="117"/>
        <v>3.3685424839366109</v>
      </c>
      <c r="DW67" s="5">
        <f t="shared" si="71"/>
        <v>1.3711312583504167</v>
      </c>
      <c r="DX67" s="5">
        <f t="shared" si="118"/>
        <v>1.9974112255861942</v>
      </c>
      <c r="DY67" s="173">
        <f t="shared" si="119"/>
        <v>0.40703991856681554</v>
      </c>
      <c r="EA67" s="5">
        <f t="shared" si="72"/>
        <v>3.5420890840719097</v>
      </c>
      <c r="EB67" s="5">
        <f t="shared" si="73"/>
        <v>0.47227854454292129</v>
      </c>
      <c r="EC67" s="5">
        <f t="shared" si="74"/>
        <v>1.0319957998862002</v>
      </c>
      <c r="ED67" s="5"/>
      <c r="EE67" s="173">
        <f t="shared" si="120"/>
        <v>1.212127062239607</v>
      </c>
      <c r="EF67" s="173">
        <f t="shared" si="75"/>
        <v>0.97581661548582965</v>
      </c>
      <c r="EG67" s="173">
        <f t="shared" si="76"/>
        <v>9.7713528658783744E-2</v>
      </c>
      <c r="EH67" s="173"/>
      <c r="EI67" s="528">
        <f t="shared" si="77"/>
        <v>5.8770080600544804E-2</v>
      </c>
      <c r="EJ67" s="528">
        <f t="shared" si="78"/>
        <v>1.0873434</v>
      </c>
      <c r="EK67" s="528">
        <f t="shared" si="79"/>
        <v>5.9372859613239064E-2</v>
      </c>
      <c r="EL67" s="528">
        <f t="shared" si="80"/>
        <v>8.510745199707713E-2</v>
      </c>
      <c r="EM67">
        <f t="shared" si="81"/>
        <v>1.0800000000000001E-2</v>
      </c>
      <c r="EN67" s="460">
        <f t="shared" si="121"/>
        <v>70.172859613239055</v>
      </c>
      <c r="EO67">
        <f t="shared" si="82"/>
        <v>1.3359161412458773</v>
      </c>
      <c r="EP67" s="460">
        <f t="shared" si="122"/>
        <v>1335.9161412458773</v>
      </c>
      <c r="EQ67" s="173">
        <f t="shared" si="83"/>
        <v>0.53815999999999997</v>
      </c>
      <c r="ER67" s="173">
        <f t="shared" si="170"/>
        <v>3.8440000000000002E-2</v>
      </c>
      <c r="ES67" s="528"/>
      <c r="EU67" s="460">
        <f t="shared" si="123"/>
        <v>576.6</v>
      </c>
      <c r="EV67" s="528">
        <f t="shared" si="85"/>
        <v>4.4077560450408601E-2</v>
      </c>
      <c r="EW67" s="528">
        <f t="shared" si="124"/>
        <v>2.8566542011746587E-2</v>
      </c>
      <c r="EX67" s="528">
        <f t="shared" si="86"/>
        <v>4.7739668414754764E-5</v>
      </c>
      <c r="EY67" s="528">
        <f t="shared" si="87"/>
        <v>1.4913879008629309</v>
      </c>
      <c r="EZ67" s="528">
        <f t="shared" si="88"/>
        <v>1.5907767042287404</v>
      </c>
      <c r="FA67" s="625">
        <f t="shared" si="89"/>
        <v>0.64293713941636099</v>
      </c>
      <c r="FB67" s="460">
        <f t="shared" si="125"/>
        <v>2233.713843645101</v>
      </c>
      <c r="FC67" s="173">
        <f t="shared" si="126"/>
        <v>4.1462299848909785</v>
      </c>
      <c r="FD67" s="5">
        <f t="shared" si="127"/>
        <v>15.995999999999999</v>
      </c>
      <c r="FE67" s="173">
        <f t="shared" si="128"/>
        <v>0.79415238590756165</v>
      </c>
      <c r="FF67" s="5">
        <f t="shared" si="129"/>
        <v>79.415238590756161</v>
      </c>
      <c r="FG67">
        <f t="shared" si="130"/>
        <v>62</v>
      </c>
      <c r="FI67" s="562">
        <f t="shared" si="90"/>
        <v>-50</v>
      </c>
      <c r="FJ67">
        <f t="shared" si="91"/>
        <v>-50</v>
      </c>
      <c r="FL67">
        <f t="shared" si="92"/>
        <v>0.58114024475735238</v>
      </c>
    </row>
    <row r="68" spans="5:168">
      <c r="E68" s="170">
        <v>63</v>
      </c>
      <c r="F68" s="217">
        <f t="shared" si="174"/>
        <v>0.63</v>
      </c>
      <c r="G68" s="217">
        <f t="shared" si="171"/>
        <v>6.3E-2</v>
      </c>
      <c r="H68" s="217">
        <f t="shared" si="135"/>
        <v>15.120000000000001</v>
      </c>
      <c r="I68" s="217">
        <f t="shared" si="175"/>
        <v>1.1339999999999999</v>
      </c>
      <c r="J68" s="541">
        <f t="shared" si="136"/>
        <v>23.85496565407232</v>
      </c>
      <c r="K68" s="443">
        <f t="shared" si="137"/>
        <v>16.496592354149836</v>
      </c>
      <c r="L68" s="172">
        <f t="shared" si="138"/>
        <v>40.351558008222156</v>
      </c>
      <c r="M68" s="443"/>
      <c r="N68" s="217">
        <f t="shared" si="139"/>
        <v>0.40882169533053569</v>
      </c>
      <c r="O68" s="172">
        <f t="shared" si="172"/>
        <v>50.400142122736675</v>
      </c>
      <c r="P68" s="172">
        <f t="shared" si="140"/>
        <v>4.0635114586456442</v>
      </c>
      <c r="Q68" s="217">
        <f t="shared" si="6"/>
        <v>2.1000059217806948</v>
      </c>
      <c r="R68" s="217">
        <f t="shared" si="141"/>
        <v>2.8000078957075929</v>
      </c>
      <c r="S68" s="443">
        <f t="shared" si="142"/>
        <v>24</v>
      </c>
      <c r="T68" s="217">
        <f t="shared" si="143"/>
        <v>3.3333239337079426</v>
      </c>
      <c r="U68" s="217">
        <f t="shared" si="10"/>
        <v>1.3973291691320904</v>
      </c>
      <c r="V68" s="217">
        <f t="shared" si="11"/>
        <v>2.0206136286500533</v>
      </c>
      <c r="W68" s="197">
        <f t="shared" si="12"/>
        <v>350</v>
      </c>
      <c r="X68" s="443">
        <f t="shared" si="95"/>
        <v>276.40016879565252</v>
      </c>
      <c r="Z68" s="217">
        <f t="shared" si="13"/>
        <v>2.786407857357013</v>
      </c>
      <c r="AA68" s="173">
        <f t="shared" si="14"/>
        <v>1.6890808704841833</v>
      </c>
      <c r="AB68" s="173">
        <f t="shared" si="144"/>
        <v>0.5493625017222028</v>
      </c>
      <c r="AC68" s="173"/>
      <c r="AD68" s="173">
        <f t="shared" si="16"/>
        <v>1.3470795510463145</v>
      </c>
      <c r="AE68" s="545">
        <f t="shared" si="145"/>
        <v>631.05030572133887</v>
      </c>
      <c r="AF68" s="528">
        <f t="shared" si="146"/>
        <v>0.34941746799084678</v>
      </c>
      <c r="AH68" s="173">
        <f t="shared" si="147"/>
        <v>3.0476220238080707</v>
      </c>
      <c r="AI68" s="173">
        <f t="shared" si="148"/>
        <v>3.3333239337079426</v>
      </c>
      <c r="AJ68" s="173">
        <f t="shared" si="149"/>
        <v>2.0230383048042371</v>
      </c>
      <c r="AL68" s="545">
        <f t="shared" si="150"/>
        <v>630</v>
      </c>
      <c r="AM68" s="460">
        <f t="shared" si="151"/>
        <v>276.40016879565252</v>
      </c>
      <c r="AO68">
        <f t="shared" si="96"/>
        <v>630</v>
      </c>
      <c r="AP68">
        <f t="shared" si="24"/>
        <v>276.40016879565252</v>
      </c>
      <c r="AR68" s="5">
        <f t="shared" si="97"/>
        <v>3.6179427977821446</v>
      </c>
      <c r="AS68" s="5">
        <f t="shared" si="25"/>
        <v>1.3973291691320904</v>
      </c>
      <c r="AT68" s="5">
        <f t="shared" si="98"/>
        <v>2.220613628650054</v>
      </c>
      <c r="AU68" s="173">
        <f t="shared" si="99"/>
        <v>0.38622201821119861</v>
      </c>
      <c r="AW68" s="5">
        <f t="shared" si="152"/>
        <v>3.6679890689717372</v>
      </c>
      <c r="AX68" s="5">
        <f t="shared" si="153"/>
        <v>0.48906520919623164</v>
      </c>
      <c r="AY68" s="5">
        <f t="shared" si="28"/>
        <v>1.1729101658217735</v>
      </c>
      <c r="AZ68" s="5"/>
      <c r="BA68" s="173">
        <f t="shared" si="100"/>
        <v>1.1960116437078703</v>
      </c>
      <c r="BB68" s="173">
        <f t="shared" si="154"/>
        <v>1.0056535235171344</v>
      </c>
      <c r="BC68" s="173">
        <f t="shared" si="155"/>
        <v>0.10070125147651306</v>
      </c>
      <c r="BD68" s="173"/>
      <c r="BE68" s="528">
        <f t="shared" si="31"/>
        <v>5.721775407539207E-2</v>
      </c>
      <c r="BF68" s="528">
        <f t="shared" si="156"/>
        <v>0.83648594954498989</v>
      </c>
      <c r="BG68" s="528">
        <f t="shared" si="157"/>
        <v>0.26374066133600332</v>
      </c>
      <c r="BH68" s="528">
        <f t="shared" si="34"/>
        <v>7.8758415160843712E-2</v>
      </c>
      <c r="BI68">
        <f t="shared" si="35"/>
        <v>1.0734734544332544E-2</v>
      </c>
      <c r="BJ68" s="460">
        <f t="shared" si="101"/>
        <v>274.4753958803359</v>
      </c>
      <c r="BK68">
        <f t="shared" si="158"/>
        <v>1.0015266048487259</v>
      </c>
      <c r="BL68" s="460">
        <f t="shared" si="102"/>
        <v>1001.5266048487259</v>
      </c>
      <c r="BM68" s="173">
        <f t="shared" si="159"/>
        <v>0.54683999999999988</v>
      </c>
      <c r="BN68" s="173">
        <f t="shared" si="160"/>
        <v>3.9059999999999997E-2</v>
      </c>
      <c r="BO68" s="528"/>
      <c r="BQ68" s="460">
        <f t="shared" si="103"/>
        <v>585.89999999999986</v>
      </c>
      <c r="BR68" s="528">
        <f t="shared" si="39"/>
        <v>4.2913315556544047E-2</v>
      </c>
      <c r="BS68" s="528">
        <f t="shared" si="104"/>
        <v>3.0340170280872832E-2</v>
      </c>
      <c r="BT68" s="528">
        <f t="shared" si="161"/>
        <v>5.0703710244679617E-5</v>
      </c>
      <c r="BU68" s="528">
        <f t="shared" si="41"/>
        <v>1.2882779267390907</v>
      </c>
      <c r="BV68" s="528">
        <f t="shared" si="162"/>
        <v>1.387310777151779</v>
      </c>
      <c r="BW68" s="625">
        <f t="shared" si="163"/>
        <v>0.61421913325116362</v>
      </c>
      <c r="BX68" s="460">
        <f t="shared" si="105"/>
        <v>2001.5299104029425</v>
      </c>
      <c r="BY68" s="173">
        <f t="shared" si="106"/>
        <v>3.5889565152516689</v>
      </c>
      <c r="BZ68" s="5">
        <f t="shared" si="107"/>
        <v>16.254000000000001</v>
      </c>
      <c r="CA68" s="173">
        <f t="shared" si="108"/>
        <v>0.81913196692775447</v>
      </c>
      <c r="CB68" s="5">
        <f t="shared" si="109"/>
        <v>81.913196692775443</v>
      </c>
      <c r="CC68">
        <f t="shared" si="173"/>
        <v>63</v>
      </c>
      <c r="CE68" s="562">
        <f t="shared" si="164"/>
        <v>-50</v>
      </c>
      <c r="CF68">
        <f t="shared" si="165"/>
        <v>-50</v>
      </c>
      <c r="CG68" s="173">
        <f t="shared" si="166"/>
        <v>0.58114024475735238</v>
      </c>
      <c r="CH68" s="173">
        <f t="shared" si="167"/>
        <v>0.15839917127775208</v>
      </c>
      <c r="CI68" s="170">
        <v>63</v>
      </c>
      <c r="CJ68" s="217">
        <f t="shared" si="133"/>
        <v>0.63</v>
      </c>
      <c r="CK68" s="217">
        <f t="shared" si="111"/>
        <v>6.3E-2</v>
      </c>
      <c r="CL68" s="217">
        <f t="shared" si="48"/>
        <v>15.120000000000001</v>
      </c>
      <c r="CM68" s="217">
        <f t="shared" si="134"/>
        <v>1.1339999999999999</v>
      </c>
      <c r="CN68" s="541">
        <f t="shared" si="112"/>
        <v>24</v>
      </c>
      <c r="CO68" s="443">
        <f t="shared" si="168"/>
        <v>16.474900000000002</v>
      </c>
      <c r="CP68" s="443">
        <f t="shared" si="169"/>
        <v>40.474900000000005</v>
      </c>
      <c r="CQ68" s="443"/>
      <c r="CR68" s="217">
        <f t="shared" si="113"/>
        <v>0.40507913686898112</v>
      </c>
      <c r="CS68" s="172">
        <f t="shared" si="114"/>
        <v>50.242373565144938</v>
      </c>
      <c r="CT68" s="172">
        <f t="shared" si="51"/>
        <v>4.0507913686898105</v>
      </c>
      <c r="CU68" s="217">
        <f t="shared" si="52"/>
        <v>2.0934322318810392</v>
      </c>
      <c r="CV68" s="217">
        <f t="shared" si="53"/>
        <v>2.7912429758413855</v>
      </c>
      <c r="CW68" s="443">
        <f t="shared" si="54"/>
        <v>24</v>
      </c>
      <c r="CX68" s="217">
        <f t="shared" si="55"/>
        <v>3.3437910687513388</v>
      </c>
      <c r="CY68" s="217">
        <f t="shared" si="56"/>
        <v>1.3932462786463913</v>
      </c>
      <c r="CZ68" s="217">
        <f t="shared" si="57"/>
        <v>2.0296275356762945</v>
      </c>
      <c r="DA68" s="197">
        <f t="shared" si="58"/>
        <v>350</v>
      </c>
      <c r="DB68" s="443">
        <f t="shared" si="115"/>
        <v>292.15216635085881</v>
      </c>
      <c r="DD68" s="217">
        <f t="shared" si="59"/>
        <v>2.7911308701724487</v>
      </c>
      <c r="DE68" s="173">
        <f t="shared" si="60"/>
        <v>1.6941716612376698</v>
      </c>
      <c r="DF68" s="173">
        <f t="shared" si="61"/>
        <v>0.55195223422072148</v>
      </c>
      <c r="DG68" s="173"/>
      <c r="DH68" s="173">
        <f t="shared" si="62"/>
        <v>1.3488532386977903</v>
      </c>
      <c r="DI68" s="545">
        <f t="shared" si="63"/>
        <v>630.22049999999979</v>
      </c>
      <c r="DJ68" s="528">
        <f t="shared" si="64"/>
        <v>0.34987754285999911</v>
      </c>
      <c r="DL68" s="173">
        <f t="shared" si="65"/>
        <v>3.0476220238080707</v>
      </c>
      <c r="DM68" s="173">
        <f t="shared" si="66"/>
        <v>3.3437910687513388</v>
      </c>
      <c r="DN68" s="173">
        <f t="shared" si="67"/>
        <v>2.0307917381697158</v>
      </c>
      <c r="DP68" s="545">
        <f t="shared" si="68"/>
        <v>630</v>
      </c>
      <c r="DQ68" s="460">
        <f t="shared" si="69"/>
        <v>292.15216635085881</v>
      </c>
      <c r="DS68">
        <f t="shared" si="116"/>
        <v>630</v>
      </c>
      <c r="DT68">
        <f t="shared" si="70"/>
        <v>292.15216635085881</v>
      </c>
      <c r="DV68" s="5">
        <f t="shared" si="117"/>
        <v>3.4228738143226858</v>
      </c>
      <c r="DW68" s="5">
        <f t="shared" si="71"/>
        <v>1.3932462786463913</v>
      </c>
      <c r="DX68" s="5">
        <f t="shared" si="118"/>
        <v>2.0296275356762945</v>
      </c>
      <c r="DY68" s="173">
        <f t="shared" si="119"/>
        <v>0.40703991856681554</v>
      </c>
      <c r="EA68" s="5">
        <f t="shared" si="72"/>
        <v>3.6572714814467773</v>
      </c>
      <c r="EB68" s="5">
        <f t="shared" si="73"/>
        <v>0.48763619752623694</v>
      </c>
      <c r="EC68" s="5">
        <f t="shared" si="74"/>
        <v>1.0655544562300545</v>
      </c>
      <c r="ED68" s="5"/>
      <c r="EE68" s="173">
        <f t="shared" si="120"/>
        <v>1.2316774987273427</v>
      </c>
      <c r="EF68" s="173">
        <f t="shared" si="75"/>
        <v>0.99155559315495623</v>
      </c>
      <c r="EG68" s="173">
        <f t="shared" si="76"/>
        <v>9.9289553314570594E-2</v>
      </c>
      <c r="EH68" s="173"/>
      <c r="EI68" s="528">
        <f t="shared" si="77"/>
        <v>6.0681178434849728E-2</v>
      </c>
      <c r="EJ68" s="528">
        <f t="shared" si="78"/>
        <v>1.0873434</v>
      </c>
      <c r="EK68" s="528">
        <f t="shared" si="79"/>
        <v>5.8430433270171757E-2</v>
      </c>
      <c r="EL68" s="528">
        <f t="shared" si="80"/>
        <v>8.3756540060615559E-2</v>
      </c>
      <c r="EM68">
        <f t="shared" si="81"/>
        <v>1.0800000000000001E-2</v>
      </c>
      <c r="EN68" s="460">
        <f t="shared" si="121"/>
        <v>69.230433270171758</v>
      </c>
      <c r="EO68">
        <f t="shared" si="82"/>
        <v>1.3366673364209425</v>
      </c>
      <c r="EP68" s="460">
        <f t="shared" si="122"/>
        <v>1336.6673364209425</v>
      </c>
      <c r="EQ68" s="173">
        <f t="shared" si="83"/>
        <v>0.54683999999999988</v>
      </c>
      <c r="ER68" s="173">
        <f t="shared" si="170"/>
        <v>3.9059999999999997E-2</v>
      </c>
      <c r="ES68" s="528"/>
      <c r="EU68" s="460">
        <f t="shared" si="123"/>
        <v>585.89999999999986</v>
      </c>
      <c r="EV68" s="528">
        <f t="shared" si="85"/>
        <v>4.5510883826137292E-2</v>
      </c>
      <c r="EW68" s="528">
        <f t="shared" si="124"/>
        <v>2.9495474829506312E-2</v>
      </c>
      <c r="EX68" s="528">
        <f t="shared" si="86"/>
        <v>4.9292076987034784E-5</v>
      </c>
      <c r="EY68" s="528">
        <f t="shared" si="87"/>
        <v>1.4913879008629327</v>
      </c>
      <c r="EZ68" s="528">
        <f t="shared" si="88"/>
        <v>1.5940281735193662</v>
      </c>
      <c r="FA68" s="625">
        <f t="shared" si="89"/>
        <v>0.65330709327791514</v>
      </c>
      <c r="FB68" s="460">
        <f t="shared" si="125"/>
        <v>2247.3352667972813</v>
      </c>
      <c r="FC68" s="173">
        <f t="shared" si="126"/>
        <v>4.1699026032182243</v>
      </c>
      <c r="FD68" s="5">
        <f t="shared" si="127"/>
        <v>16.254000000000001</v>
      </c>
      <c r="FE68" s="173">
        <f t="shared" si="128"/>
        <v>0.7958322322511876</v>
      </c>
      <c r="FF68" s="5">
        <f t="shared" si="129"/>
        <v>79.583223225118758</v>
      </c>
      <c r="FG68">
        <f t="shared" si="130"/>
        <v>63</v>
      </c>
      <c r="FI68" s="562">
        <f t="shared" si="90"/>
        <v>-50</v>
      </c>
      <c r="FJ68">
        <f t="shared" si="91"/>
        <v>-50</v>
      </c>
      <c r="FL68">
        <f t="shared" si="92"/>
        <v>0.58114024475735226</v>
      </c>
    </row>
    <row r="69" spans="5:168">
      <c r="E69" s="170">
        <v>64</v>
      </c>
      <c r="F69" s="217">
        <f t="shared" si="174"/>
        <v>0.64</v>
      </c>
      <c r="G69" s="217">
        <f t="shared" si="171"/>
        <v>6.4000000000000001E-2</v>
      </c>
      <c r="H69" s="217">
        <f t="shared" ref="H69:H105" si="176">F69*Vout</f>
        <v>15.36</v>
      </c>
      <c r="I69" s="217">
        <f t="shared" si="175"/>
        <v>1.1520000000000001</v>
      </c>
      <c r="J69" s="541">
        <f t="shared" ref="J69:J105" si="177">Vin-(F69/CG69/Nps+G69/CH69/(Nps/Nsec1sec2))*(Rdcr_pri+RON/1000)</f>
        <v>23.852663521597279</v>
      </c>
      <c r="K69" s="443">
        <f t="shared" ref="K69:K105" si="178">MAX((S69+Vfwd2+Rdcr_sec*F69/CG69)*Nps,(Vout2+Vfwd22+Rdcr_sec2*G69/CH69)*Nps/Nsec1sec2)</f>
        <v>16.496936677231581</v>
      </c>
      <c r="L69" s="172">
        <f t="shared" ref="L69:L105" si="179">MAX((Vout+Vfwd2+F69/CG69*Rdcr_sec)*Nps+J69, (Vout2+Vfwd22+G69/CH69*Rdcr_sec2)*Nps/Nsec1sec2+J69)</f>
        <v>40.34960019882886</v>
      </c>
      <c r="M69" s="443"/>
      <c r="N69" s="217">
        <f t="shared" ref="N69:N105" si="180">MAX((Vout+Vfwd2+F69/CG69*Rdcr_sec)*Nps/((Vout+Vfwd2+F69/CG69*Rdcr_sec)*Nps+J69), (Vout2+Vfwd22+G69/CH69*Rdcr_sec2)*Nps/Nsec1sec2/((Vout2+Vfwd22+G69/CH69*Rdcr_sec2)*Nps/Nsec1sec2+J69))</f>
        <v>0.40885006532754697</v>
      </c>
      <c r="O69" s="172">
        <f t="shared" si="172"/>
        <v>50.398775395560946</v>
      </c>
      <c r="P69" s="172">
        <f t="shared" ref="P69:P105" si="181">N69*J69*Isw_max*0.5*Efficiency*(Pout2/Pout_total)</f>
        <v>4.0634012662671006</v>
      </c>
      <c r="Q69" s="217">
        <f t="shared" ref="Q69:Q105" si="182">O69/Vout</f>
        <v>2.0999489748150393</v>
      </c>
      <c r="R69" s="217">
        <f t="shared" ref="R69:R105" si="183">O69/Vout2</f>
        <v>2.7999319664200524</v>
      </c>
      <c r="S69" s="443">
        <f t="shared" ref="S69:S105" si="184">MIN(Vout,O69/F69)</f>
        <v>24</v>
      </c>
      <c r="T69" s="217">
        <f t="shared" ref="T69:T105" si="185">MIN(2*(Vout*F69+Vout2*G69)/(Efficiency*J69*N69), Isw_max)</f>
        <v>3.3863256661926502</v>
      </c>
      <c r="U69" s="217">
        <f t="shared" ref="U69:U105" si="186">L*T69/J69*1000000</f>
        <v>1.4196844990189537</v>
      </c>
      <c r="V69" s="217">
        <f t="shared" ref="V69:V105" si="187">L*T69/K69*1000000</f>
        <v>2.0526996814301426</v>
      </c>
      <c r="W69" s="197">
        <f t="shared" ref="W69:W105" si="188">IF(1/((350000*L)*(1/J69+1/K69))&gt;Isw_min, 350, 0.001/((Isw_min*L)*(1/J69+1/K69)))</f>
        <v>350</v>
      </c>
      <c r="X69" s="443">
        <f t="shared" si="95"/>
        <v>272.30266520691464</v>
      </c>
      <c r="Z69" s="217">
        <f t="shared" ref="Z69:Z105" si="189">1/((W69*1000*L)*(1/J69+1/K69))</f>
        <v>2.7863322968688697</v>
      </c>
      <c r="AA69" s="173">
        <f t="shared" ref="AA69:AA105" si="190">L*Z69/K69*1000000</f>
        <v>1.688999813349866</v>
      </c>
      <c r="AB69" s="173">
        <f t="shared" ref="AB69:AB100" si="191">0.5*AA69*Z69*Nps*W69/1000*(Pout/Pout_total)</f>
        <v>0.5493212417824711</v>
      </c>
      <c r="AC69" s="173"/>
      <c r="AD69" s="173">
        <f t="shared" ref="AD69:AD105" si="192">L*Isw_min/K69*1000000</f>
        <v>1.347051434881996</v>
      </c>
      <c r="AE69" s="545">
        <f t="shared" ref="AE69:AE100" si="193">MAX(10, F69/(0.5*AD69/1000000*Isw_min*Nps)/1000*Pout_total/Pout)</f>
        <v>641.08035783184778</v>
      </c>
      <c r="AF69" s="528">
        <f t="shared" ref="AF69:AF105" si="194">0.5*AD69/1000000*Isw_min*Nps*W69*1000*(Pout/Pout_total)</f>
        <v>0.34941017497022442</v>
      </c>
      <c r="AH69" s="173">
        <f t="shared" ref="AH69:AH105" si="195">SQRT((H69+I69)/(0.5*L*Fsw_DCM))</f>
        <v>3.071714272426485</v>
      </c>
      <c r="AI69" s="173">
        <f t="shared" ref="AI69:AI100" si="196">MAX(IF(F69&gt;AB69,T69,AH69),Isw_min)</f>
        <v>3.3863256661926502</v>
      </c>
      <c r="AJ69" s="173">
        <f t="shared" ref="AJ69:AJ100" si="197">IF(F69&gt;AF69, (AI69-Isw_min)/1.08*0.8+1.2, AE69*0.2/350+1)</f>
        <v>2.062298847385502</v>
      </c>
      <c r="AL69" s="545">
        <f t="shared" ref="AL69:AL105" si="198">F69*1000</f>
        <v>640</v>
      </c>
      <c r="AM69" s="460">
        <f t="shared" ref="AM69:AM105" si="199">IF(F69&gt;AF69, X69, AE69)</f>
        <v>272.30266520691464</v>
      </c>
      <c r="AO69">
        <f t="shared" si="96"/>
        <v>640</v>
      </c>
      <c r="AP69">
        <f t="shared" ref="AP69:AP105" si="200">IF(H69&gt;O69, "",AM69)</f>
        <v>272.30266520691464</v>
      </c>
      <c r="AR69" s="5">
        <f t="shared" si="97"/>
        <v>3.6723841804490971</v>
      </c>
      <c r="AS69" s="5">
        <f t="shared" ref="AS69:AS105" si="201">L*AI69/J69*1000000</f>
        <v>1.4196844990189537</v>
      </c>
      <c r="AT69" s="5">
        <f t="shared" si="98"/>
        <v>2.2526996814301432</v>
      </c>
      <c r="AU69" s="173">
        <f t="shared" si="99"/>
        <v>0.38658387283580442</v>
      </c>
      <c r="AW69" s="5">
        <f t="shared" ref="AW69:AW105" si="202">F69*AS69/Vout_ripple*1000</f>
        <v>3.7858253307172096</v>
      </c>
      <c r="AX69" s="5">
        <f t="shared" ref="AX69:AX105" si="203">G69*AS69/Vout_ripple2*1000</f>
        <v>0.50477671076229458</v>
      </c>
      <c r="AY69" s="5">
        <f t="shared" ref="AY69:AY105" si="204">H69/Efficiency/J69*AT69/Vinripple1</f>
        <v>1.2088610521922518</v>
      </c>
      <c r="AZ69" s="5"/>
      <c r="BA69" s="173">
        <f t="shared" si="100"/>
        <v>1.2155979561831012</v>
      </c>
      <c r="BB69" s="173">
        <f t="shared" ref="BB69:BB105" si="205">AI69*Npri_sec1*SQRT((1-AU69)/3)*(Pout/Pout_total)</f>
        <v>1.0213427813003217</v>
      </c>
      <c r="BC69" s="173">
        <f t="shared" ref="BC69:BC105" si="206">AI69*Npri_sec2*SQRT((1-AU69)/3)*(Pout2/Pout_total)</f>
        <v>0.10227229742480246</v>
      </c>
      <c r="BD69" s="173"/>
      <c r="BE69" s="528">
        <f t="shared" ref="BE69:BE105" si="207">Rdson*BA69^2</f>
        <v>5.9107135643061311E-2</v>
      </c>
      <c r="BF69" s="528">
        <f t="shared" ref="BF69:BF105" si="208">0.5*L69*AI69*AM69*1000*Tfall</f>
        <v>0.83714823976747721</v>
      </c>
      <c r="BG69" s="528">
        <f t="shared" ref="BG69:BG105" si="209">Qg*Vdd*AM69*1000*0+Qg*J69*AM69*1000</f>
        <v>0.25980575396858757</v>
      </c>
      <c r="BH69" s="528">
        <f t="shared" ref="BH69:BH105" si="210">0.5*(Coss+Csw)*L69^2*AM69*1000</f>
        <v>7.7583329340311646E-2</v>
      </c>
      <c r="BI69">
        <f t="shared" ref="BI69:BI105" si="211">J69*IQ</f>
        <v>1.0733698584718775E-2</v>
      </c>
      <c r="BJ69" s="460">
        <f t="shared" si="101"/>
        <v>270.53945255330638</v>
      </c>
      <c r="BK69">
        <f t="shared" ref="BK69:BK105" si="212">(BF69+BG69*0+BH69+BI69*0+BE69*(1+RdsonTC*(Ta-25)))/(1-BE69*RdsonTC*ThetaJA)</f>
        <v>1.0038962045364996</v>
      </c>
      <c r="BL69" s="460">
        <f t="shared" si="102"/>
        <v>1003.8962045364997</v>
      </c>
      <c r="BM69" s="173">
        <f t="shared" ref="BM69:BM105" si="213">Vfwd2*F69*(1+Diode_TC/1000*(Ta-25))</f>
        <v>0.5555199999999999</v>
      </c>
      <c r="BN69" s="173">
        <f t="shared" ref="BN69:BN105" si="214">Vfwd22*G69*(1+Diode_TC/1000*(Ta-25))</f>
        <v>3.968E-2</v>
      </c>
      <c r="BO69" s="528"/>
      <c r="BQ69" s="460">
        <f t="shared" si="103"/>
        <v>595.19999999999993</v>
      </c>
      <c r="BR69" s="528">
        <f t="shared" ref="BR69:BR105" si="215">Rdcr_pri*BA69^2</f>
        <v>4.4330351732295978E-2</v>
      </c>
      <c r="BS69" s="528">
        <f t="shared" ref="BS69:BS105" si="216">Rdcr_sec*BB69^2</f>
        <v>3.1294232307428303E-2</v>
      </c>
      <c r="BT69" s="528">
        <f t="shared" ref="BT69:BT105" si="217">Rdcr_sec2*BC69^2</f>
        <v>5.2298114102736279E-5</v>
      </c>
      <c r="BU69" s="528">
        <f t="shared" ref="BU69:BU105" si="218">AI69^2.5*AM69^2.5*k_core</f>
        <v>1.2909860228531156</v>
      </c>
      <c r="BV69" s="528">
        <f t="shared" ref="BV69:BV100" si="219">(BU69+(BR69+BS69+BT69)*(1+Ltc*(Ta-25)))/(1-(BR69+BS69+BT69)*Ltc*ThetaCa)</f>
        <v>1.3932603647585355</v>
      </c>
      <c r="BW69" s="625">
        <f t="shared" ref="BW69:BW105" si="220">0.5*Lleak*0.000000001*AI69^2*AM69*1000</f>
        <v>0.62450990713682741</v>
      </c>
      <c r="BX69" s="460">
        <f t="shared" si="105"/>
        <v>2017.7702718953628</v>
      </c>
      <c r="BY69" s="173">
        <f t="shared" si="106"/>
        <v>3.6168664764318628</v>
      </c>
      <c r="BZ69" s="5">
        <f t="shared" si="107"/>
        <v>16.512</v>
      </c>
      <c r="CA69" s="173">
        <f t="shared" si="108"/>
        <v>0.82031444837359735</v>
      </c>
      <c r="CB69" s="5">
        <f t="shared" si="109"/>
        <v>82.031444837359729</v>
      </c>
      <c r="CC69">
        <f t="shared" si="173"/>
        <v>64</v>
      </c>
      <c r="CE69" s="562">
        <f t="shared" ref="CE69:CE105" si="221">IF(ABS(F69-Ioutmax_Vinnom)&lt;Iout/200, AM69, -50)</f>
        <v>-50</v>
      </c>
      <c r="CF69">
        <f t="shared" ref="CF69:CF105" si="222">IF(ABS(F69-Ioutmax_Vinnom)&lt;Iout/200, (O69+P69)*CA69, -50)</f>
        <v>-50</v>
      </c>
      <c r="CG69" s="173">
        <f t="shared" ref="CG69:CG105" si="223">MIN(SQRT(2*DT69*1000*Ls1_*(CL69+CJ69*Vfwd1))/(CW69+Vfwd1), 1-DY69)</f>
        <v>0.58114024475735238</v>
      </c>
      <c r="CH69" s="173">
        <f t="shared" ref="CH69:CH105" si="224">MIN(SQRT(2*DT69*1000*Ls2_*(CM69+CK69*Vfwd22))/(Vout2+Vfwd22), 1-DY69)</f>
        <v>0.1583991712777521</v>
      </c>
      <c r="CI69" s="170">
        <v>64</v>
      </c>
      <c r="CJ69" s="217">
        <f t="shared" si="133"/>
        <v>0.64</v>
      </c>
      <c r="CK69" s="217">
        <f t="shared" si="111"/>
        <v>6.4000000000000001E-2</v>
      </c>
      <c r="CL69" s="217">
        <f t="shared" ref="CL69:CL105" si="225">CJ69*Vout</f>
        <v>15.36</v>
      </c>
      <c r="CM69" s="217">
        <f t="shared" si="134"/>
        <v>1.1520000000000001</v>
      </c>
      <c r="CN69" s="541">
        <f t="shared" si="112"/>
        <v>24</v>
      </c>
      <c r="CO69" s="443">
        <f t="shared" ref="CO69:CO105" si="226">(CW69+Vfwd2)*Nps</f>
        <v>16.474900000000002</v>
      </c>
      <c r="CP69" s="443">
        <f t="shared" ref="CP69:CP105" si="227">(Vout+Vfwd2)*Nps+CN69</f>
        <v>40.474900000000005</v>
      </c>
      <c r="CQ69" s="443"/>
      <c r="CR69" s="217">
        <f t="shared" ref="CR69:CR105" si="228">(Vout+Vfwd1)*Nps/((Vout+Vfwd1)*Nps+CN69)</f>
        <v>0.40507913686898112</v>
      </c>
      <c r="CS69" s="172">
        <f t="shared" si="114"/>
        <v>50.242373565144938</v>
      </c>
      <c r="CT69" s="172">
        <f t="shared" ref="CT69:CT105" si="229">CR69*CN69*Isw_max*0.5*Efficiency*(Pout2/Pout_total)</f>
        <v>4.0507913686898105</v>
      </c>
      <c r="CU69" s="217">
        <f t="shared" ref="CU69:CU105" si="230">CS69/Vout</f>
        <v>2.0934322318810392</v>
      </c>
      <c r="CV69" s="217">
        <f t="shared" ref="CV69:CV105" si="231">CS69/Vout2</f>
        <v>2.7912429758413855</v>
      </c>
      <c r="CW69" s="443">
        <f t="shared" ref="CW69:CW105" si="232">MIN(Vout,CS69/CJ69)</f>
        <v>24</v>
      </c>
      <c r="CX69" s="217">
        <f t="shared" ref="CX69:CX105" si="233">MIN(2*(Vout*CJ69+Vout2*CK69)/(Efficiency*CN69*CR69), Isw_max)</f>
        <v>3.3968671174616776</v>
      </c>
      <c r="CY69" s="217">
        <f t="shared" ref="CY69:CY105" si="234">L*CX69/CN69*1000000</f>
        <v>1.4153612989423656</v>
      </c>
      <c r="CZ69" s="217">
        <f t="shared" ref="CZ69:CZ105" si="235">L*CX69/CO69*1000000</f>
        <v>2.0618438457663948</v>
      </c>
      <c r="DA69" s="197">
        <f t="shared" ref="DA69:DA105" si="236">IF(1/((350000*L)*(1/CN69+1/CO69))&gt;Isw_min, 350, 0.001/((Isw_min*L)*(1/CN69+1/CO69)))</f>
        <v>350</v>
      </c>
      <c r="DB69" s="443">
        <f t="shared" si="115"/>
        <v>287.58728875162666</v>
      </c>
      <c r="DD69" s="217">
        <f t="shared" ref="DD69:DD105" si="237">1/((DA69*1000*L)*(1/CN69+1/CO69))</f>
        <v>2.7911308701724487</v>
      </c>
      <c r="DE69" s="173">
        <f t="shared" ref="DE69:DE105" si="238">L*DD69/CO69*1000000</f>
        <v>1.6941716612376698</v>
      </c>
      <c r="DF69" s="173">
        <f t="shared" ref="DF69:DF105" si="239">0.5*DE69*DD69*Nps*DA69/1000*(Pout/Pout_total)</f>
        <v>0.55195223422072148</v>
      </c>
      <c r="DG69" s="173"/>
      <c r="DH69" s="173">
        <f t="shared" ref="DH69:DH105" si="240">L*Isw_min/CO69*1000000</f>
        <v>1.3488532386977903</v>
      </c>
      <c r="DI69" s="545">
        <f t="shared" ref="DI69:DI105" si="241">MAX(10, CJ69/(0.5*DH69/1000000*Isw_min*Nps)/1000*Pout_total/Pout)</f>
        <v>640.22399999999982</v>
      </c>
      <c r="DJ69" s="528">
        <f t="shared" ref="DJ69:DJ105" si="242">0.5*DH69/1000000*Isw_min*Nps*DA69*1000*(Pout/Pout_total)</f>
        <v>0.34987754285999911</v>
      </c>
      <c r="DL69" s="173">
        <f t="shared" ref="DL69:DL105" si="243">SQRT((CL69+CM69)/(0.5*L*Fsw_DCM))</f>
        <v>3.071714272426485</v>
      </c>
      <c r="DM69" s="173">
        <f t="shared" ref="DM69:DM105" si="244">MAX(IF(CJ69&gt;DF69,CX69,DL69),Isw_min)</f>
        <v>3.3968671174616776</v>
      </c>
      <c r="DN69" s="173">
        <f t="shared" ref="DN69:DN105" si="245">IF(CJ69&gt;DJ69, (DM69-Isw_min)/1.08*0.8+1.2, DI69*0.2/350+1)</f>
        <v>2.0701073298070041</v>
      </c>
      <c r="DP69" s="545">
        <f t="shared" ref="DP69:DP105" si="246">CJ69*1000</f>
        <v>640</v>
      </c>
      <c r="DQ69" s="460">
        <f t="shared" ref="DQ69:DQ105" si="247">IF(CJ69&gt;DJ69, DB69, DI69)</f>
        <v>287.58728875162666</v>
      </c>
      <c r="DS69">
        <f t="shared" si="116"/>
        <v>640</v>
      </c>
      <c r="DT69">
        <f t="shared" ref="DT69:DT90" si="248">IF(CL69&gt;CS69, "",DQ69)</f>
        <v>287.58728875162666</v>
      </c>
      <c r="DV69" s="5">
        <f t="shared" si="117"/>
        <v>3.4772051447087602</v>
      </c>
      <c r="DW69" s="5">
        <f t="shared" ref="DW69:DW105" si="249">L*DM69/CN69*1000000</f>
        <v>1.4153612989423656</v>
      </c>
      <c r="DX69" s="5">
        <f t="shared" si="118"/>
        <v>2.0618438457663943</v>
      </c>
      <c r="DY69" s="173">
        <f t="shared" si="119"/>
        <v>0.40703991856681548</v>
      </c>
      <c r="EA69" s="5">
        <f t="shared" ref="EA69:EA105" si="250">CJ69*DW69/Vout_ripple*1000</f>
        <v>3.7742967971796419</v>
      </c>
      <c r="EB69" s="5">
        <f t="shared" ref="EB69:EB105" si="251">CK69*DW69/Vout_ripple2*1000</f>
        <v>0.5032395729572855</v>
      </c>
      <c r="EC69" s="5">
        <f t="shared" ref="EC69:EC105" si="252">CL69/Efficiency/CN69*DX69/Vinripple1</f>
        <v>1.0996500510754101</v>
      </c>
      <c r="ED69" s="5"/>
      <c r="EE69" s="173">
        <f t="shared" si="120"/>
        <v>1.2512279352150784</v>
      </c>
      <c r="EF69" s="173">
        <f t="shared" ref="EF69:EF105" si="253">DM69*Npri_sec1*SQRT((1-DY69)/3)*(Pout/Pout_total)</f>
        <v>1.0072945708240826</v>
      </c>
      <c r="EG69" s="173">
        <f t="shared" ref="EG69:EG105" si="254">DM69*Npri_sec2*SQRT((1-DY69)/3)*(Pout2/Pout_total)</f>
        <v>0.10086557797035746</v>
      </c>
      <c r="EH69" s="173"/>
      <c r="EI69" s="528">
        <f t="shared" ref="EI69:EI105" si="255">Rdson*EE69^2</f>
        <v>6.2622853834503542E-2</v>
      </c>
      <c r="EJ69" s="528">
        <f t="shared" ref="EJ69:EJ105" si="256">0.5*CP69*DM69*DQ69*1000*Trise</f>
        <v>1.0873434000000002</v>
      </c>
      <c r="EK69" s="528">
        <f t="shared" ref="EK69:EK105" si="257">Qg*Vdd*DQ69*1000</f>
        <v>5.7517457750325331E-2</v>
      </c>
      <c r="EL69" s="528">
        <f t="shared" ref="EL69:EL105" si="258">0.5*(Coss+Csw)*CP69^2*DQ69*1000</f>
        <v>8.2447844122168448E-2</v>
      </c>
      <c r="EM69">
        <f t="shared" ref="EM69:EM105" si="259">CN69*IQ</f>
        <v>1.0800000000000001E-2</v>
      </c>
      <c r="EN69" s="460">
        <f t="shared" si="121"/>
        <v>68.317457750325332</v>
      </c>
      <c r="EO69">
        <f t="shared" ref="EO69:EO105" si="260">(EJ69+EK69+EL69+EM69+EI69*(1+RdsonTC*(Ta-25)))/(1-EI69*RdsonTC*ThetaJA)</f>
        <v>1.3375412568306047</v>
      </c>
      <c r="EP69" s="460">
        <f t="shared" si="122"/>
        <v>1337.5412568306047</v>
      </c>
      <c r="EQ69" s="173">
        <f t="shared" ref="EQ69:EQ105" si="261">Vfwd2*CJ69*(1+Diode_TC/1000*(Ta-25))</f>
        <v>0.5555199999999999</v>
      </c>
      <c r="ER69" s="173">
        <f t="shared" ref="ER69:ER105" si="262">Vfwd22*CK69*(1+Diode_TC/1000*(Ta-25))</f>
        <v>3.968E-2</v>
      </c>
      <c r="ES69" s="528"/>
      <c r="EU69" s="460">
        <f t="shared" si="123"/>
        <v>595.19999999999993</v>
      </c>
      <c r="EV69" s="528">
        <f t="shared" ref="EV69:EV105" si="263">Rdcr_pri*EE69^2</f>
        <v>4.6967140375877653E-2</v>
      </c>
      <c r="EW69" s="528">
        <f t="shared" si="124"/>
        <v>3.0439270572350182E-2</v>
      </c>
      <c r="EX69" s="528">
        <f t="shared" ref="EX69:EX105" si="264">Rdcr_sec2*EG69^2</f>
        <v>5.0869324096471303E-5</v>
      </c>
      <c r="EY69" s="528">
        <f t="shared" ref="EY69:EY105" si="265">DM69^2.5*DQ69^2.5*k_core</f>
        <v>1.4913879008629332</v>
      </c>
      <c r="EZ69" s="528">
        <f t="shared" ref="EZ69:EZ105" si="266">(EY69+(EV69+EW69+EX69)*(1+Ltc*(Ta-25)))/(1-(EV69+EW69+EX69)*Ltc*ThetaCa)</f>
        <v>1.597332933578568</v>
      </c>
      <c r="FA69" s="625">
        <f t="shared" ref="FA69:FA105" si="267">0.5*Lleak*0.000000001*DM69^2*DQ69*1000</f>
        <v>0.66367704713946951</v>
      </c>
      <c r="FB69" s="460">
        <f t="shared" si="125"/>
        <v>2261.0099807180377</v>
      </c>
      <c r="FC69" s="173">
        <f t="shared" si="126"/>
        <v>4.1937512375486428</v>
      </c>
      <c r="FD69" s="5">
        <f t="shared" si="127"/>
        <v>16.512</v>
      </c>
      <c r="FE69" s="173">
        <f t="shared" si="128"/>
        <v>0.79745959518998155</v>
      </c>
      <c r="FF69" s="5">
        <f t="shared" si="129"/>
        <v>79.745959518998148</v>
      </c>
      <c r="FG69">
        <f t="shared" si="130"/>
        <v>64</v>
      </c>
      <c r="FI69" s="562">
        <f t="shared" ref="FI69:FI105" si="268">IF(ABS(CJ69-Ioutmax_Vinnom)&lt;Iout/200, DQ69, -50)</f>
        <v>-50</v>
      </c>
      <c r="FJ69">
        <f t="shared" ref="FJ69:FJ105" si="269">IF(ABS(CJ69-Ioutmax_Vinnom)&lt;Iout/200, (CS69+CT69)*FE69, -50)</f>
        <v>-50</v>
      </c>
      <c r="FL69">
        <f t="shared" ref="FL69:FL105" si="270">MIN(SQRT(2*DQ69*1000*L*CJ69*(Vout+Vfwd1))/(Nps*(Vout+Vfwd1)),1-DY69)</f>
        <v>0.58114024475735238</v>
      </c>
    </row>
    <row r="70" spans="5:168">
      <c r="E70" s="170">
        <v>65</v>
      </c>
      <c r="F70" s="217">
        <f t="shared" si="174"/>
        <v>0.65</v>
      </c>
      <c r="G70" s="217">
        <f t="shared" ref="G70:G105" si="271">IF(PLOT_TYPE=1, E70/100*Iout2, min_I*EXP(Q70*rr/100))</f>
        <v>6.5000000000000002E-2</v>
      </c>
      <c r="H70" s="217">
        <f t="shared" si="176"/>
        <v>15.600000000000001</v>
      </c>
      <c r="I70" s="217">
        <f t="shared" si="175"/>
        <v>1.17</v>
      </c>
      <c r="J70" s="541">
        <f t="shared" si="177"/>
        <v>23.850361389122234</v>
      </c>
      <c r="K70" s="443">
        <f t="shared" si="178"/>
        <v>16.497281000313325</v>
      </c>
      <c r="L70" s="172">
        <f t="shared" si="179"/>
        <v>40.347642389435563</v>
      </c>
      <c r="M70" s="443"/>
      <c r="N70" s="217">
        <f t="shared" si="180"/>
        <v>0.40887843807778212</v>
      </c>
      <c r="O70" s="172">
        <f t="shared" ref="O70:O101" si="272">N70*J70*Isw_max*0.5*Efficiency*Pout/(Pout+Pout2)</f>
        <v>50.397408332687036</v>
      </c>
      <c r="P70" s="172">
        <f t="shared" si="181"/>
        <v>4.0632910468228918</v>
      </c>
      <c r="Q70" s="217">
        <f t="shared" si="182"/>
        <v>2.0998920138619597</v>
      </c>
      <c r="R70" s="217">
        <f t="shared" si="183"/>
        <v>2.7998560184826129</v>
      </c>
      <c r="S70" s="443">
        <f t="shared" si="184"/>
        <v>24</v>
      </c>
      <c r="T70" s="217">
        <f t="shared" si="185"/>
        <v>3.4393302962944596</v>
      </c>
      <c r="U70" s="217">
        <f t="shared" si="186"/>
        <v>1.442045359473288</v>
      </c>
      <c r="V70" s="217">
        <f t="shared" si="187"/>
        <v>2.0847861512628287</v>
      </c>
      <c r="W70" s="197">
        <f t="shared" si="188"/>
        <v>350</v>
      </c>
      <c r="X70" s="443">
        <f t="shared" ref="X70:X105" si="273">MIN(1/(U70+V70+0.2)*1000, 350)</f>
        <v>268.32444587828491</v>
      </c>
      <c r="Z70" s="217">
        <f t="shared" si="189"/>
        <v>2.7862567178214115</v>
      </c>
      <c r="AA70" s="173">
        <f t="shared" si="190"/>
        <v>1.6889187483491936</v>
      </c>
      <c r="AB70" s="173">
        <f t="shared" si="191"/>
        <v>0.54927997705544751</v>
      </c>
      <c r="AC70" s="173"/>
      <c r="AD70" s="173">
        <f t="shared" si="192"/>
        <v>1.3470233198913306</v>
      </c>
      <c r="AE70" s="545">
        <f t="shared" si="193"/>
        <v>651.11082808582944</v>
      </c>
      <c r="AF70" s="528">
        <f t="shared" si="194"/>
        <v>0.3494028822540346</v>
      </c>
      <c r="AH70" s="173">
        <f t="shared" si="195"/>
        <v>3.0956190241787094</v>
      </c>
      <c r="AI70" s="173">
        <f t="shared" si="196"/>
        <v>3.4393302962944596</v>
      </c>
      <c r="AJ70" s="173">
        <f t="shared" si="197"/>
        <v>2.1015615363498052</v>
      </c>
      <c r="AL70" s="545">
        <f t="shared" si="198"/>
        <v>650</v>
      </c>
      <c r="AM70" s="460">
        <f t="shared" si="199"/>
        <v>268.32444587828491</v>
      </c>
      <c r="AO70">
        <f t="shared" ref="AO70:AO105" si="274">IF(H70&gt;O70, "",AL70)</f>
        <v>650</v>
      </c>
      <c r="AP70">
        <f t="shared" si="200"/>
        <v>268.32444587828491</v>
      </c>
      <c r="AR70" s="5">
        <f t="shared" ref="AR70:AR133" si="275">1/AM70*1000</f>
        <v>3.7268315107361167</v>
      </c>
      <c r="AS70" s="5">
        <f t="shared" si="201"/>
        <v>1.442045359473288</v>
      </c>
      <c r="AT70" s="5">
        <f t="shared" ref="AT70:AT105" si="276">AR70-AS70</f>
        <v>2.2847861512628285</v>
      </c>
      <c r="AU70" s="173">
        <f t="shared" ref="AU70:AU105" si="277">AS70/AR70</f>
        <v>0.38693602201202221</v>
      </c>
      <c r="AW70" s="5">
        <f t="shared" si="202"/>
        <v>3.9055395152401551</v>
      </c>
      <c r="AX70" s="5">
        <f t="shared" si="203"/>
        <v>0.52073860203202071</v>
      </c>
      <c r="AY70" s="5">
        <f t="shared" si="204"/>
        <v>1.2453572288411308</v>
      </c>
      <c r="AZ70" s="5"/>
      <c r="BA70" s="173">
        <f t="shared" ref="BA70:BA105" si="278">AI70*SQRT(AU70/3)</f>
        <v>1.2351873612408961</v>
      </c>
      <c r="BB70" s="173">
        <f t="shared" si="205"/>
        <v>1.0370316025984545</v>
      </c>
      <c r="BC70" s="173">
        <f t="shared" si="206"/>
        <v>0.10384329966560199</v>
      </c>
      <c r="BD70" s="173"/>
      <c r="BE70" s="528">
        <f t="shared" si="207"/>
        <v>6.1027512694769921E-2</v>
      </c>
      <c r="BF70" s="528">
        <f t="shared" si="208"/>
        <v>0.83778929640937694</v>
      </c>
      <c r="BG70" s="528">
        <f t="shared" si="209"/>
        <v>0.25598540014932258</v>
      </c>
      <c r="BH70" s="528">
        <f t="shared" si="210"/>
        <v>7.6442453139299676E-2</v>
      </c>
      <c r="BI70">
        <f t="shared" si="211"/>
        <v>1.0732662625105005E-2</v>
      </c>
      <c r="BJ70" s="460">
        <f t="shared" ref="BJ70:BJ105" si="279">(BG70+BI70)*1000</f>
        <v>266.71806277442761</v>
      </c>
      <c r="BK70">
        <f t="shared" si="212"/>
        <v>1.0063285931551822</v>
      </c>
      <c r="BL70" s="460">
        <f t="shared" ref="BL70:BL105" si="280">BK70*1000</f>
        <v>1006.3285931551821</v>
      </c>
      <c r="BM70" s="173">
        <f t="shared" si="213"/>
        <v>0.56419999999999992</v>
      </c>
      <c r="BN70" s="173">
        <f t="shared" si="214"/>
        <v>4.0300000000000002E-2</v>
      </c>
      <c r="BO70" s="528"/>
      <c r="BQ70" s="460">
        <f t="shared" ref="BQ70:BQ105" si="281">SUM(BM70:BP70)*1000</f>
        <v>604.49999999999989</v>
      </c>
      <c r="BR70" s="528">
        <f t="shared" si="215"/>
        <v>4.5770634521077443E-2</v>
      </c>
      <c r="BS70" s="528">
        <f t="shared" si="216"/>
        <v>3.2263036343637565E-2</v>
      </c>
      <c r="BT70" s="528">
        <f t="shared" si="217"/>
        <v>5.3917154427200078E-5</v>
      </c>
      <c r="BU70" s="528">
        <f t="shared" si="218"/>
        <v>1.2936158274691836</v>
      </c>
      <c r="BV70" s="528">
        <f t="shared" si="219"/>
        <v>1.3991851561357058</v>
      </c>
      <c r="BW70" s="625">
        <f t="shared" si="220"/>
        <v>0.63480159234096933</v>
      </c>
      <c r="BX70" s="460">
        <f t="shared" ref="BX70:BX105" si="282">(BV70+BW70)*1000</f>
        <v>2033.9867484766748</v>
      </c>
      <c r="BY70" s="173">
        <f t="shared" ref="BY70:BY104" si="283">SUM(BK70,BM70:BP70,BV70:BW70)</f>
        <v>3.6448153416318574</v>
      </c>
      <c r="BZ70" s="5">
        <f t="shared" ref="BZ70:BZ105" si="284">MIN(H70+I70,O70+P70)</f>
        <v>16.770000000000003</v>
      </c>
      <c r="CA70" s="173">
        <f t="shared" ref="CA70:CA105" si="285">BZ70/(BZ70+BY70)</f>
        <v>0.82146224295259729</v>
      </c>
      <c r="CB70" s="5">
        <f t="shared" ref="CB70:CB105" si="286">CA70*100</f>
        <v>82.146224295259728</v>
      </c>
      <c r="CC70">
        <f t="shared" ref="CC70:CC105" si="287">F70/Iout*100</f>
        <v>65</v>
      </c>
      <c r="CE70" s="562">
        <f t="shared" si="221"/>
        <v>-50</v>
      </c>
      <c r="CF70">
        <f t="shared" si="222"/>
        <v>-50</v>
      </c>
      <c r="CG70" s="173">
        <f t="shared" si="223"/>
        <v>0.58114024475735226</v>
      </c>
      <c r="CH70" s="173">
        <f t="shared" si="224"/>
        <v>0.15839917127775208</v>
      </c>
      <c r="CI70" s="170">
        <v>65</v>
      </c>
      <c r="CJ70" s="217">
        <f t="shared" si="133"/>
        <v>0.65</v>
      </c>
      <c r="CK70" s="217">
        <f t="shared" ref="CK70:CK105" si="288">IF(PLOT_TYPE=1, CI70/100*Iout2, min_I*EXP(CU70*rr/100))</f>
        <v>6.5000000000000002E-2</v>
      </c>
      <c r="CL70" s="217">
        <f t="shared" si="225"/>
        <v>15.600000000000001</v>
      </c>
      <c r="CM70" s="217">
        <f t="shared" si="134"/>
        <v>1.17</v>
      </c>
      <c r="CN70" s="541">
        <f t="shared" ref="CN70:CN105" si="289">Vin</f>
        <v>24</v>
      </c>
      <c r="CO70" s="443">
        <f t="shared" si="226"/>
        <v>16.474900000000002</v>
      </c>
      <c r="CP70" s="443">
        <f t="shared" si="227"/>
        <v>40.474900000000005</v>
      </c>
      <c r="CQ70" s="443"/>
      <c r="CR70" s="217">
        <f t="shared" si="228"/>
        <v>0.40507913686898112</v>
      </c>
      <c r="CS70" s="172">
        <f t="shared" ref="CS70:CS105" si="290">CR70*CN70*Isw_max*0.5*Efficiency*Pout/(Pout+Pout2)</f>
        <v>50.242373565144938</v>
      </c>
      <c r="CT70" s="172">
        <f t="shared" si="229"/>
        <v>4.0507913686898105</v>
      </c>
      <c r="CU70" s="217">
        <f t="shared" si="230"/>
        <v>2.0934322318810392</v>
      </c>
      <c r="CV70" s="217">
        <f t="shared" si="231"/>
        <v>2.7912429758413855</v>
      </c>
      <c r="CW70" s="443">
        <f t="shared" si="232"/>
        <v>24</v>
      </c>
      <c r="CX70" s="217">
        <f t="shared" si="233"/>
        <v>3.4499431661720168</v>
      </c>
      <c r="CY70" s="217">
        <f t="shared" si="234"/>
        <v>1.4374763192383404</v>
      </c>
      <c r="CZ70" s="217">
        <f t="shared" si="235"/>
        <v>2.0940601558564951</v>
      </c>
      <c r="DA70" s="197">
        <f t="shared" si="236"/>
        <v>350</v>
      </c>
      <c r="DB70" s="443">
        <f t="shared" ref="DB70:DB105" si="291">MIN(1/(CY70+CZ70)*1000, 350)</f>
        <v>283.16286892467849</v>
      </c>
      <c r="DD70" s="217">
        <f t="shared" si="237"/>
        <v>2.7911308701724487</v>
      </c>
      <c r="DE70" s="173">
        <f t="shared" si="238"/>
        <v>1.6941716612376698</v>
      </c>
      <c r="DF70" s="173">
        <f t="shared" si="239"/>
        <v>0.55195223422072148</v>
      </c>
      <c r="DG70" s="173"/>
      <c r="DH70" s="173">
        <f t="shared" si="240"/>
        <v>1.3488532386977903</v>
      </c>
      <c r="DI70" s="545">
        <f t="shared" si="241"/>
        <v>650.22749999999974</v>
      </c>
      <c r="DJ70" s="528">
        <f t="shared" si="242"/>
        <v>0.34987754285999911</v>
      </c>
      <c r="DL70" s="173">
        <f t="shared" si="243"/>
        <v>3.0956190241787094</v>
      </c>
      <c r="DM70" s="173">
        <f t="shared" si="244"/>
        <v>3.4499431661720168</v>
      </c>
      <c r="DN70" s="173">
        <f t="shared" si="245"/>
        <v>2.1094229214442919</v>
      </c>
      <c r="DP70" s="545">
        <f t="shared" si="246"/>
        <v>650</v>
      </c>
      <c r="DQ70" s="460">
        <f t="shared" si="247"/>
        <v>283.16286892467849</v>
      </c>
      <c r="DS70">
        <f t="shared" ref="DS70:DS90" si="292">IF(CL70&gt;CS70, "",DP70)</f>
        <v>650</v>
      </c>
      <c r="DT70">
        <f t="shared" si="248"/>
        <v>283.16286892467849</v>
      </c>
      <c r="DV70" s="5">
        <f t="shared" ref="DV70:DV105" si="293">1/DQ70*1000</f>
        <v>3.5315364750948355</v>
      </c>
      <c r="DW70" s="5">
        <f t="shared" si="249"/>
        <v>1.4374763192383404</v>
      </c>
      <c r="DX70" s="5">
        <f t="shared" ref="DX70:DX105" si="294">DV70-DW70</f>
        <v>2.0940601558564951</v>
      </c>
      <c r="DY70" s="173">
        <f t="shared" ref="DY70:DY105" si="295">DW70/DV70</f>
        <v>0.40703991856681548</v>
      </c>
      <c r="EA70" s="5">
        <f t="shared" si="250"/>
        <v>3.8931650312705055</v>
      </c>
      <c r="EB70" s="5">
        <f t="shared" si="251"/>
        <v>0.51908867083606736</v>
      </c>
      <c r="EC70" s="5">
        <f t="shared" si="252"/>
        <v>1.1342825844222679</v>
      </c>
      <c r="ED70" s="5"/>
      <c r="EE70" s="173">
        <f t="shared" ref="EE70:EE105" si="296">DM70*SQRT(DY70/3)</f>
        <v>1.270778371702814</v>
      </c>
      <c r="EF70" s="173">
        <f t="shared" si="253"/>
        <v>1.0230335484932092</v>
      </c>
      <c r="EG70" s="173">
        <f t="shared" si="254"/>
        <v>0.1024416026261443</v>
      </c>
      <c r="EH70" s="173"/>
      <c r="EI70" s="528">
        <f t="shared" si="255"/>
        <v>6.4595106799506224E-2</v>
      </c>
      <c r="EJ70" s="528">
        <f t="shared" si="256"/>
        <v>1.0873434</v>
      </c>
      <c r="EK70" s="528">
        <f t="shared" si="257"/>
        <v>5.6632573784935698E-2</v>
      </c>
      <c r="EL70" s="528">
        <f t="shared" si="258"/>
        <v>8.1179415751058151E-2</v>
      </c>
      <c r="EM70">
        <f t="shared" si="259"/>
        <v>1.0800000000000001E-2</v>
      </c>
      <c r="EN70" s="460">
        <f t="shared" ref="EN70:EN105" si="297">(EK70+EM70)*1000</f>
        <v>67.432573784935698</v>
      </c>
      <c r="EO70">
        <f t="shared" si="260"/>
        <v>1.3385347350653014</v>
      </c>
      <c r="EP70" s="460">
        <f t="shared" ref="EP70:EP105" si="298">EO70*1000</f>
        <v>1338.5347350653014</v>
      </c>
      <c r="EQ70" s="173">
        <f t="shared" si="261"/>
        <v>0.56419999999999992</v>
      </c>
      <c r="ER70" s="173">
        <f t="shared" si="262"/>
        <v>4.0300000000000002E-2</v>
      </c>
      <c r="ES70" s="528"/>
      <c r="EU70" s="460">
        <f t="shared" ref="EU70:EU105" si="299">SUM(EQ70:ET70)*1000</f>
        <v>604.49999999999989</v>
      </c>
      <c r="EV70" s="528">
        <f t="shared" si="263"/>
        <v>4.8446330099629661E-2</v>
      </c>
      <c r="EW70" s="528">
        <f t="shared" ref="EW70:EW105" si="300">Rdcr_sec*EF70^2</f>
        <v>3.1397929240278219E-2</v>
      </c>
      <c r="EX70" s="528">
        <f t="shared" si="264"/>
        <v>5.2471409743064273E-5</v>
      </c>
      <c r="EY70" s="528">
        <f t="shared" si="265"/>
        <v>1.4913879008629296</v>
      </c>
      <c r="EZ70" s="528">
        <f t="shared" si="266"/>
        <v>1.60069104551062</v>
      </c>
      <c r="FA70" s="625">
        <f t="shared" si="267"/>
        <v>0.67404700100102366</v>
      </c>
      <c r="FB70" s="460">
        <f t="shared" ref="FB70:FB105" si="301">(EZ70+FA70)*1000</f>
        <v>2274.7380465116435</v>
      </c>
      <c r="FC70" s="173">
        <f t="shared" ref="FC70:FC105" si="302">SUM(EO70,EQ70:ET70,EZ70:FA70)</f>
        <v>4.2177727815769455</v>
      </c>
      <c r="FD70" s="5">
        <f t="shared" ref="FD70:FD105" si="303">MIN(CL70+CM70,CS70+CT70)</f>
        <v>16.770000000000003</v>
      </c>
      <c r="FE70" s="173">
        <f t="shared" ref="FE70:FE105" si="304">FD70/(FD70+FC70)</f>
        <v>0.7990366664689974</v>
      </c>
      <c r="FF70" s="5">
        <f t="shared" ref="FF70:FF105" si="305">FE70*100</f>
        <v>79.903666646899737</v>
      </c>
      <c r="FG70">
        <f t="shared" ref="FG70:FG105" si="306">CJ70/Iout*100</f>
        <v>65</v>
      </c>
      <c r="FI70" s="562">
        <f t="shared" si="268"/>
        <v>-50</v>
      </c>
      <c r="FJ70">
        <f t="shared" si="269"/>
        <v>-50</v>
      </c>
      <c r="FL70">
        <f t="shared" si="270"/>
        <v>0.58114024475735226</v>
      </c>
    </row>
    <row r="71" spans="5:168">
      <c r="E71" s="170">
        <v>66</v>
      </c>
      <c r="F71" s="217">
        <f t="shared" si="174"/>
        <v>0.66</v>
      </c>
      <c r="G71" s="217">
        <f t="shared" si="271"/>
        <v>6.6000000000000003E-2</v>
      </c>
      <c r="H71" s="217">
        <f t="shared" si="176"/>
        <v>15.84</v>
      </c>
      <c r="I71" s="217">
        <f t="shared" si="175"/>
        <v>1.1880000000000002</v>
      </c>
      <c r="J71" s="541">
        <f t="shared" si="177"/>
        <v>23.848059256647193</v>
      </c>
      <c r="K71" s="443">
        <f t="shared" si="178"/>
        <v>16.497625323395066</v>
      </c>
      <c r="L71" s="172">
        <f t="shared" si="179"/>
        <v>40.34568458004226</v>
      </c>
      <c r="M71" s="443"/>
      <c r="N71" s="217">
        <f t="shared" si="180"/>
        <v>0.40890681358164194</v>
      </c>
      <c r="O71" s="172">
        <f t="shared" si="272"/>
        <v>50.396040934066065</v>
      </c>
      <c r="P71" s="172">
        <f t="shared" si="181"/>
        <v>4.0631808003090768</v>
      </c>
      <c r="Q71" s="217">
        <f t="shared" si="182"/>
        <v>2.0998350389194194</v>
      </c>
      <c r="R71" s="217">
        <f t="shared" si="183"/>
        <v>2.7997800518925593</v>
      </c>
      <c r="S71" s="443">
        <f t="shared" si="184"/>
        <v>24</v>
      </c>
      <c r="T71" s="217">
        <f t="shared" si="185"/>
        <v>3.4923378253117847</v>
      </c>
      <c r="U71" s="217">
        <f t="shared" si="186"/>
        <v>1.4644117526411975</v>
      </c>
      <c r="V71" s="217">
        <f t="shared" si="187"/>
        <v>2.116873038909028</v>
      </c>
      <c r="W71" s="197">
        <f t="shared" si="188"/>
        <v>350</v>
      </c>
      <c r="X71" s="443">
        <f t="shared" si="273"/>
        <v>264.46037659861815</v>
      </c>
      <c r="Z71" s="217">
        <f t="shared" si="189"/>
        <v>2.7861811202119382</v>
      </c>
      <c r="AA71" s="173">
        <f t="shared" si="190"/>
        <v>1.6888376754810228</v>
      </c>
      <c r="AB71" s="173">
        <f t="shared" si="191"/>
        <v>0.54923870754096238</v>
      </c>
      <c r="AC71" s="173"/>
      <c r="AD71" s="173">
        <f t="shared" si="192"/>
        <v>1.3469952060742454</v>
      </c>
      <c r="AE71" s="545">
        <f t="shared" si="193"/>
        <v>661.1417164832834</v>
      </c>
      <c r="AF71" s="528">
        <f t="shared" si="194"/>
        <v>0.34939558984225844</v>
      </c>
      <c r="AH71" s="173">
        <f t="shared" si="195"/>
        <v>3.119340589657646</v>
      </c>
      <c r="AI71" s="173">
        <f t="shared" si="196"/>
        <v>3.4923378253117847</v>
      </c>
      <c r="AJ71" s="173">
        <f t="shared" si="197"/>
        <v>2.1408263726589349</v>
      </c>
      <c r="AL71" s="545">
        <f t="shared" si="198"/>
        <v>660</v>
      </c>
      <c r="AM71" s="460">
        <f t="shared" si="199"/>
        <v>264.46037659861815</v>
      </c>
      <c r="AO71">
        <f t="shared" si="274"/>
        <v>660</v>
      </c>
      <c r="AP71">
        <f t="shared" si="200"/>
        <v>264.46037659861815</v>
      </c>
      <c r="AR71" s="5">
        <f t="shared" si="275"/>
        <v>3.7812847915502257</v>
      </c>
      <c r="AS71" s="5">
        <f t="shared" si="201"/>
        <v>1.4644117526411975</v>
      </c>
      <c r="AT71" s="5">
        <f t="shared" si="276"/>
        <v>2.3168730389090282</v>
      </c>
      <c r="AU71" s="173">
        <f t="shared" si="277"/>
        <v>0.38727888359893353</v>
      </c>
      <c r="AW71" s="5">
        <f t="shared" si="202"/>
        <v>4.0271323197632931</v>
      </c>
      <c r="AX71" s="5">
        <f t="shared" si="203"/>
        <v>0.5369509759684391</v>
      </c>
      <c r="AY71" s="5">
        <f t="shared" si="204"/>
        <v>1.2823988645983766</v>
      </c>
      <c r="AZ71" s="5"/>
      <c r="BA71" s="173">
        <f t="shared" si="278"/>
        <v>1.2547798308332763</v>
      </c>
      <c r="BB71" s="173">
        <f t="shared" si="205"/>
        <v>1.0527200105385941</v>
      </c>
      <c r="BC71" s="173">
        <f t="shared" si="206"/>
        <v>0.10541426051474298</v>
      </c>
      <c r="BD71" s="173"/>
      <c r="BE71" s="528">
        <f t="shared" si="207"/>
        <v>6.2978896954639416E-2</v>
      </c>
      <c r="BF71" s="528">
        <f t="shared" si="208"/>
        <v>0.83841003324886421</v>
      </c>
      <c r="BG71" s="528">
        <f t="shared" si="209"/>
        <v>0.25227466928636316</v>
      </c>
      <c r="BH71" s="528">
        <f t="shared" si="210"/>
        <v>7.5334314113870357E-2</v>
      </c>
      <c r="BI71">
        <f t="shared" si="211"/>
        <v>1.0731626665491236E-2</v>
      </c>
      <c r="BJ71" s="460">
        <f t="shared" si="279"/>
        <v>263.00629595185438</v>
      </c>
      <c r="BK71">
        <f t="shared" si="212"/>
        <v>1.0088233633315045</v>
      </c>
      <c r="BL71" s="460">
        <f t="shared" si="280"/>
        <v>1008.8233633315044</v>
      </c>
      <c r="BM71" s="173">
        <f t="shared" si="213"/>
        <v>0.57287999999999994</v>
      </c>
      <c r="BN71" s="173">
        <f t="shared" si="214"/>
        <v>4.0920000000000005E-2</v>
      </c>
      <c r="BO71" s="528"/>
      <c r="BQ71" s="460">
        <f t="shared" si="281"/>
        <v>613.79999999999995</v>
      </c>
      <c r="BR71" s="528">
        <f t="shared" si="215"/>
        <v>4.7234172715979558E-2</v>
      </c>
      <c r="BS71" s="528">
        <f t="shared" si="216"/>
        <v>3.324658261765133E-2</v>
      </c>
      <c r="BT71" s="528">
        <f t="shared" si="217"/>
        <v>5.5560831599350501E-5</v>
      </c>
      <c r="BU71" s="528">
        <f t="shared" si="218"/>
        <v>1.2961705626154181</v>
      </c>
      <c r="BV71" s="528">
        <f t="shared" si="219"/>
        <v>1.4050884464493723</v>
      </c>
      <c r="BW71" s="625">
        <f t="shared" si="220"/>
        <v>0.64509414965822987</v>
      </c>
      <c r="BX71" s="460">
        <f t="shared" si="282"/>
        <v>2050.182596107602</v>
      </c>
      <c r="BY71" s="173">
        <f t="shared" si="283"/>
        <v>3.6728059594391071</v>
      </c>
      <c r="BZ71" s="5">
        <f t="shared" si="284"/>
        <v>17.027999999999999</v>
      </c>
      <c r="CA71" s="173">
        <f t="shared" si="285"/>
        <v>0.82257666843331823</v>
      </c>
      <c r="CB71" s="5">
        <f t="shared" si="286"/>
        <v>82.257666843331819</v>
      </c>
      <c r="CC71">
        <f t="shared" si="287"/>
        <v>66</v>
      </c>
      <c r="CE71" s="562">
        <f t="shared" si="221"/>
        <v>-50</v>
      </c>
      <c r="CF71">
        <f t="shared" si="222"/>
        <v>-50</v>
      </c>
      <c r="CG71" s="173">
        <f t="shared" si="223"/>
        <v>0.58114024475735238</v>
      </c>
      <c r="CH71" s="173">
        <f t="shared" si="224"/>
        <v>0.1583991712777521</v>
      </c>
      <c r="CI71" s="170">
        <v>66</v>
      </c>
      <c r="CJ71" s="217">
        <f t="shared" si="133"/>
        <v>0.66</v>
      </c>
      <c r="CK71" s="217">
        <f t="shared" si="288"/>
        <v>6.6000000000000003E-2</v>
      </c>
      <c r="CL71" s="217">
        <f t="shared" si="225"/>
        <v>15.84</v>
      </c>
      <c r="CM71" s="217">
        <f t="shared" si="134"/>
        <v>1.1880000000000002</v>
      </c>
      <c r="CN71" s="541">
        <f t="shared" si="289"/>
        <v>24</v>
      </c>
      <c r="CO71" s="443">
        <f t="shared" si="226"/>
        <v>16.474900000000002</v>
      </c>
      <c r="CP71" s="443">
        <f t="shared" si="227"/>
        <v>40.474900000000005</v>
      </c>
      <c r="CQ71" s="443"/>
      <c r="CR71" s="217">
        <f t="shared" si="228"/>
        <v>0.40507913686898112</v>
      </c>
      <c r="CS71" s="172">
        <f t="shared" si="290"/>
        <v>50.242373565144938</v>
      </c>
      <c r="CT71" s="172">
        <f t="shared" si="229"/>
        <v>4.0507913686898105</v>
      </c>
      <c r="CU71" s="217">
        <f t="shared" si="230"/>
        <v>2.0934322318810392</v>
      </c>
      <c r="CV71" s="217">
        <f t="shared" si="231"/>
        <v>2.7912429758413855</v>
      </c>
      <c r="CW71" s="443">
        <f t="shared" si="232"/>
        <v>24</v>
      </c>
      <c r="CX71" s="217">
        <f t="shared" si="233"/>
        <v>3.5030192148823542</v>
      </c>
      <c r="CY71" s="217">
        <f t="shared" si="234"/>
        <v>1.4595913395343145</v>
      </c>
      <c r="CZ71" s="217">
        <f t="shared" si="235"/>
        <v>2.126276465946594</v>
      </c>
      <c r="DA71" s="197">
        <f t="shared" si="236"/>
        <v>350</v>
      </c>
      <c r="DB71" s="443">
        <f t="shared" si="291"/>
        <v>278.87252242581985</v>
      </c>
      <c r="DD71" s="217">
        <f t="shared" si="237"/>
        <v>2.7911308701724487</v>
      </c>
      <c r="DE71" s="173">
        <f t="shared" si="238"/>
        <v>1.6941716612376698</v>
      </c>
      <c r="DF71" s="173">
        <f t="shared" si="239"/>
        <v>0.55195223422072148</v>
      </c>
      <c r="DG71" s="173"/>
      <c r="DH71" s="173">
        <f t="shared" si="240"/>
        <v>1.3488532386977903</v>
      </c>
      <c r="DI71" s="545">
        <f t="shared" si="241"/>
        <v>660.23099999999977</v>
      </c>
      <c r="DJ71" s="528">
        <f t="shared" si="242"/>
        <v>0.34987754285999911</v>
      </c>
      <c r="DL71" s="173">
        <f t="shared" si="243"/>
        <v>3.119340589657646</v>
      </c>
      <c r="DM71" s="173">
        <f t="shared" si="244"/>
        <v>3.5030192148823542</v>
      </c>
      <c r="DN71" s="173">
        <f t="shared" si="245"/>
        <v>2.1487385130815793</v>
      </c>
      <c r="DP71" s="545">
        <f t="shared" si="246"/>
        <v>660</v>
      </c>
      <c r="DQ71" s="460">
        <f t="shared" si="247"/>
        <v>278.87252242581985</v>
      </c>
      <c r="DS71">
        <f t="shared" si="292"/>
        <v>660</v>
      </c>
      <c r="DT71">
        <f t="shared" si="248"/>
        <v>278.87252242581985</v>
      </c>
      <c r="DV71" s="5">
        <f t="shared" si="293"/>
        <v>3.5858678054809081</v>
      </c>
      <c r="DW71" s="5">
        <f t="shared" si="249"/>
        <v>1.4595913395343145</v>
      </c>
      <c r="DX71" s="5">
        <f t="shared" si="294"/>
        <v>2.1262764659465936</v>
      </c>
      <c r="DY71" s="173">
        <f t="shared" si="295"/>
        <v>0.4070399185668156</v>
      </c>
      <c r="EA71" s="5">
        <f t="shared" si="250"/>
        <v>4.0138761837193648</v>
      </c>
      <c r="EB71" s="5">
        <f t="shared" si="251"/>
        <v>0.53518349116258201</v>
      </c>
      <c r="EC71" s="5">
        <f t="shared" si="252"/>
        <v>1.1694520562706263</v>
      </c>
      <c r="ED71" s="5"/>
      <c r="EE71" s="173">
        <f t="shared" si="296"/>
        <v>1.2903288081905495</v>
      </c>
      <c r="EF71" s="173">
        <f t="shared" si="253"/>
        <v>1.0387725261623348</v>
      </c>
      <c r="EG71" s="173">
        <f t="shared" si="254"/>
        <v>0.10401762728193108</v>
      </c>
      <c r="EH71" s="173"/>
      <c r="EI71" s="528">
        <f t="shared" si="255"/>
        <v>6.6597937329857762E-2</v>
      </c>
      <c r="EJ71" s="528">
        <f t="shared" si="256"/>
        <v>1.0873434000000002</v>
      </c>
      <c r="EK71" s="528">
        <f t="shared" si="257"/>
        <v>5.5774504485163967E-2</v>
      </c>
      <c r="EL71" s="528">
        <f t="shared" si="258"/>
        <v>7.9949424603314889E-2</v>
      </c>
      <c r="EM71">
        <f t="shared" si="259"/>
        <v>1.0800000000000001E-2</v>
      </c>
      <c r="EN71" s="460">
        <f t="shared" si="297"/>
        <v>66.57450448516397</v>
      </c>
      <c r="EO71">
        <f t="shared" si="260"/>
        <v>1.3396448067149307</v>
      </c>
      <c r="EP71" s="460">
        <f t="shared" si="298"/>
        <v>1339.6448067149306</v>
      </c>
      <c r="EQ71" s="173">
        <f t="shared" si="261"/>
        <v>0.57287999999999994</v>
      </c>
      <c r="ER71" s="173">
        <f t="shared" si="262"/>
        <v>4.0920000000000005E-2</v>
      </c>
      <c r="ES71" s="528"/>
      <c r="EU71" s="460">
        <f t="shared" si="299"/>
        <v>613.79999999999995</v>
      </c>
      <c r="EV71" s="528">
        <f t="shared" si="263"/>
        <v>4.9948452997393318E-2</v>
      </c>
      <c r="EW71" s="528">
        <f t="shared" si="300"/>
        <v>3.2371450833290356E-2</v>
      </c>
      <c r="EX71" s="528">
        <f t="shared" si="264"/>
        <v>5.409833392681366E-5</v>
      </c>
      <c r="EY71" s="528">
        <f t="shared" si="265"/>
        <v>1.4913879008629312</v>
      </c>
      <c r="EZ71" s="528">
        <f t="shared" si="266"/>
        <v>1.6041025714424286</v>
      </c>
      <c r="FA71" s="625">
        <f t="shared" si="267"/>
        <v>0.6844169548625777</v>
      </c>
      <c r="FB71" s="460">
        <f t="shared" si="301"/>
        <v>2288.5195263050064</v>
      </c>
      <c r="FC71" s="173">
        <f t="shared" si="302"/>
        <v>4.2419643330199372</v>
      </c>
      <c r="FD71" s="5">
        <f t="shared" si="303"/>
        <v>17.027999999999999</v>
      </c>
      <c r="FE71" s="173">
        <f t="shared" si="304"/>
        <v>0.80056551733682868</v>
      </c>
      <c r="FF71" s="5">
        <f t="shared" si="305"/>
        <v>80.056551733682866</v>
      </c>
      <c r="FG71">
        <f t="shared" si="306"/>
        <v>66</v>
      </c>
      <c r="FI71" s="562">
        <f t="shared" si="268"/>
        <v>-50</v>
      </c>
      <c r="FJ71">
        <f t="shared" si="269"/>
        <v>-50</v>
      </c>
      <c r="FL71">
        <f t="shared" si="270"/>
        <v>0.58114024475735249</v>
      </c>
    </row>
    <row r="72" spans="5:168">
      <c r="E72" s="170">
        <v>67</v>
      </c>
      <c r="F72" s="217">
        <f t="shared" ref="F72:F103" si="307">IF(PLOT_TYPE=1, E72/100*Iout_max, min_I*EXP(O72*rr/100))</f>
        <v>0.67</v>
      </c>
      <c r="G72" s="217">
        <f t="shared" si="271"/>
        <v>6.7000000000000004E-2</v>
      </c>
      <c r="H72" s="217">
        <f t="shared" si="176"/>
        <v>16.080000000000002</v>
      </c>
      <c r="I72" s="217">
        <f t="shared" ref="I72:I105" si="308">Vout2*G72</f>
        <v>1.206</v>
      </c>
      <c r="J72" s="541">
        <f t="shared" si="177"/>
        <v>23.845757124172149</v>
      </c>
      <c r="K72" s="443">
        <f t="shared" si="178"/>
        <v>16.497969646476811</v>
      </c>
      <c r="L72" s="172">
        <f t="shared" si="179"/>
        <v>40.343726770648956</v>
      </c>
      <c r="M72" s="443"/>
      <c r="N72" s="217">
        <f t="shared" si="180"/>
        <v>0.40893519183952748</v>
      </c>
      <c r="O72" s="172">
        <f t="shared" si="272"/>
        <v>50.394673199649176</v>
      </c>
      <c r="P72" s="172">
        <f t="shared" si="181"/>
        <v>4.0630705267217149</v>
      </c>
      <c r="Q72" s="217">
        <f t="shared" si="182"/>
        <v>2.0997780499853822</v>
      </c>
      <c r="R72" s="217">
        <f t="shared" si="183"/>
        <v>2.7997040666471764</v>
      </c>
      <c r="S72" s="443">
        <f t="shared" si="184"/>
        <v>24</v>
      </c>
      <c r="T72" s="217">
        <f t="shared" si="185"/>
        <v>3.5453482545435069</v>
      </c>
      <c r="U72" s="217">
        <f t="shared" si="186"/>
        <v>1.4867836806698127</v>
      </c>
      <c r="V72" s="217">
        <f t="shared" si="187"/>
        <v>2.1489603451298791</v>
      </c>
      <c r="W72" s="197">
        <f t="shared" si="188"/>
        <v>350</v>
      </c>
      <c r="X72" s="443">
        <f t="shared" si="273"/>
        <v>260.70561363685255</v>
      </c>
      <c r="Z72" s="217">
        <f t="shared" si="189"/>
        <v>2.7861055040377467</v>
      </c>
      <c r="AA72" s="173">
        <f t="shared" si="190"/>
        <v>1.6887565947442071</v>
      </c>
      <c r="AB72" s="173">
        <f t="shared" si="191"/>
        <v>0.54919743323884551</v>
      </c>
      <c r="AC72" s="173"/>
      <c r="AD72" s="173">
        <f t="shared" si="192"/>
        <v>1.3469670934306661</v>
      </c>
      <c r="AE72" s="545">
        <f t="shared" si="193"/>
        <v>671.17302302421012</v>
      </c>
      <c r="AF72" s="528">
        <f t="shared" si="194"/>
        <v>0.34938829773487673</v>
      </c>
      <c r="AH72" s="173">
        <f t="shared" si="195"/>
        <v>3.1428831167757871</v>
      </c>
      <c r="AI72" s="173">
        <f t="shared" si="196"/>
        <v>3.5453482545435069</v>
      </c>
      <c r="AJ72" s="173">
        <f t="shared" si="197"/>
        <v>2.1800933572750254</v>
      </c>
      <c r="AL72" s="545">
        <f t="shared" si="198"/>
        <v>670</v>
      </c>
      <c r="AM72" s="460">
        <f t="shared" si="199"/>
        <v>260.70561363685255</v>
      </c>
      <c r="AO72">
        <f t="shared" si="274"/>
        <v>670</v>
      </c>
      <c r="AP72">
        <f t="shared" si="200"/>
        <v>260.70561363685255</v>
      </c>
      <c r="AR72" s="5">
        <f t="shared" si="275"/>
        <v>3.8357440257996926</v>
      </c>
      <c r="AS72" s="5">
        <f t="shared" si="201"/>
        <v>1.4867836806698127</v>
      </c>
      <c r="AT72" s="5">
        <f t="shared" si="276"/>
        <v>2.3489603451298802</v>
      </c>
      <c r="AU72" s="173">
        <f t="shared" si="277"/>
        <v>0.38761285181428173</v>
      </c>
      <c r="AW72" s="5">
        <f t="shared" si="202"/>
        <v>4.1506044418698949</v>
      </c>
      <c r="AX72" s="5">
        <f t="shared" si="203"/>
        <v>0.55341392558265246</v>
      </c>
      <c r="AY72" s="5">
        <f t="shared" si="204"/>
        <v>1.3199861283848058</v>
      </c>
      <c r="AZ72" s="5"/>
      <c r="BA72" s="173">
        <f t="shared" si="278"/>
        <v>1.2743753385552217</v>
      </c>
      <c r="BB72" s="173">
        <f t="shared" si="205"/>
        <v>1.0684080269625187</v>
      </c>
      <c r="BC72" s="173">
        <f t="shared" si="206"/>
        <v>0.1069851821593549</v>
      </c>
      <c r="BD72" s="173"/>
      <c r="BE72" s="528">
        <f t="shared" si="207"/>
        <v>6.496130014070943E-2</v>
      </c>
      <c r="BF72" s="528">
        <f t="shared" si="208"/>
        <v>0.83901131236496129</v>
      </c>
      <c r="BG72" s="528">
        <f t="shared" si="209"/>
        <v>0.24866890974770595</v>
      </c>
      <c r="BH72" s="528">
        <f t="shared" si="210"/>
        <v>7.4257523127068625E-2</v>
      </c>
      <c r="BI72">
        <f t="shared" si="211"/>
        <v>1.0730590705877468E-2</v>
      </c>
      <c r="BJ72" s="460">
        <f t="shared" si="279"/>
        <v>259.39950045358341</v>
      </c>
      <c r="BK72">
        <f t="shared" si="212"/>
        <v>1.0113801418535604</v>
      </c>
      <c r="BL72" s="460">
        <f t="shared" si="280"/>
        <v>1011.3801418535604</v>
      </c>
      <c r="BM72" s="173">
        <f t="shared" si="213"/>
        <v>0.58155999999999997</v>
      </c>
      <c r="BN72" s="173">
        <f t="shared" si="214"/>
        <v>4.1540000000000001E-2</v>
      </c>
      <c r="BO72" s="528"/>
      <c r="BQ72" s="460">
        <f t="shared" si="281"/>
        <v>623.1</v>
      </c>
      <c r="BR72" s="528">
        <f t="shared" si="215"/>
        <v>4.8720975105532076E-2</v>
      </c>
      <c r="BS72" s="528">
        <f t="shared" si="216"/>
        <v>3.424487136233826E-2</v>
      </c>
      <c r="BT72" s="528">
        <f t="shared" si="217"/>
        <v>5.7229146008351748E-5</v>
      </c>
      <c r="BU72" s="528">
        <f t="shared" si="218"/>
        <v>1.2986532761424001</v>
      </c>
      <c r="BV72" s="528">
        <f t="shared" si="219"/>
        <v>1.4109733577250156</v>
      </c>
      <c r="BW72" s="625">
        <f t="shared" si="220"/>
        <v>0.65538754210138661</v>
      </c>
      <c r="BX72" s="460">
        <f t="shared" si="282"/>
        <v>2066.3608998264021</v>
      </c>
      <c r="BY72" s="173">
        <f t="shared" si="283"/>
        <v>3.7008410416799626</v>
      </c>
      <c r="BZ72" s="5">
        <f t="shared" si="284"/>
        <v>17.286000000000001</v>
      </c>
      <c r="CA72" s="173">
        <f t="shared" si="285"/>
        <v>0.82365897591114001</v>
      </c>
      <c r="CB72" s="5">
        <f t="shared" si="286"/>
        <v>82.365897591114006</v>
      </c>
      <c r="CC72">
        <f t="shared" si="287"/>
        <v>67</v>
      </c>
      <c r="CE72" s="562">
        <f t="shared" si="221"/>
        <v>-50</v>
      </c>
      <c r="CF72">
        <f t="shared" si="222"/>
        <v>-50</v>
      </c>
      <c r="CG72" s="173">
        <f t="shared" si="223"/>
        <v>0.58114024475735238</v>
      </c>
      <c r="CH72" s="173">
        <f t="shared" si="224"/>
        <v>0.15839917127775208</v>
      </c>
      <c r="CI72" s="170">
        <v>67</v>
      </c>
      <c r="CJ72" s="217">
        <f t="shared" ref="CJ72:CJ105" si="309">IF(PLOT_TYPE=1, CI72/100*Iout_max, min_I*EXP(CS72*rr/100))</f>
        <v>0.67</v>
      </c>
      <c r="CK72" s="217">
        <f t="shared" si="288"/>
        <v>6.7000000000000004E-2</v>
      </c>
      <c r="CL72" s="217">
        <f t="shared" si="225"/>
        <v>16.080000000000002</v>
      </c>
      <c r="CM72" s="217">
        <f t="shared" ref="CM72:CM105" si="310">Vout2*CK72</f>
        <v>1.206</v>
      </c>
      <c r="CN72" s="541">
        <f t="shared" si="289"/>
        <v>24</v>
      </c>
      <c r="CO72" s="443">
        <f t="shared" si="226"/>
        <v>16.474900000000002</v>
      </c>
      <c r="CP72" s="443">
        <f t="shared" si="227"/>
        <v>40.474900000000005</v>
      </c>
      <c r="CQ72" s="443"/>
      <c r="CR72" s="217">
        <f t="shared" si="228"/>
        <v>0.40507913686898112</v>
      </c>
      <c r="CS72" s="172">
        <f t="shared" si="290"/>
        <v>50.242373565144938</v>
      </c>
      <c r="CT72" s="172">
        <f t="shared" si="229"/>
        <v>4.0507913686898105</v>
      </c>
      <c r="CU72" s="217">
        <f t="shared" si="230"/>
        <v>2.0934322318810392</v>
      </c>
      <c r="CV72" s="217">
        <f t="shared" si="231"/>
        <v>2.7912429758413855</v>
      </c>
      <c r="CW72" s="443">
        <f t="shared" si="232"/>
        <v>24</v>
      </c>
      <c r="CX72" s="217">
        <f t="shared" si="233"/>
        <v>3.5560952635926939</v>
      </c>
      <c r="CY72" s="217">
        <f t="shared" si="234"/>
        <v>1.4817063598302893</v>
      </c>
      <c r="CZ72" s="217">
        <f t="shared" si="235"/>
        <v>2.1584927760366943</v>
      </c>
      <c r="DA72" s="197">
        <f t="shared" si="236"/>
        <v>350</v>
      </c>
      <c r="DB72" s="443">
        <f t="shared" si="291"/>
        <v>274.71024597170305</v>
      </c>
      <c r="DD72" s="217">
        <f t="shared" si="237"/>
        <v>2.7911308701724487</v>
      </c>
      <c r="DE72" s="173">
        <f t="shared" si="238"/>
        <v>1.6941716612376698</v>
      </c>
      <c r="DF72" s="173">
        <f t="shared" si="239"/>
        <v>0.55195223422072148</v>
      </c>
      <c r="DG72" s="173"/>
      <c r="DH72" s="173">
        <f t="shared" si="240"/>
        <v>1.3488532386977903</v>
      </c>
      <c r="DI72" s="545">
        <f t="shared" si="241"/>
        <v>670.2344999999998</v>
      </c>
      <c r="DJ72" s="528">
        <f t="shared" si="242"/>
        <v>0.34987754285999911</v>
      </c>
      <c r="DL72" s="173">
        <f t="shared" si="243"/>
        <v>3.1428831167757871</v>
      </c>
      <c r="DM72" s="173">
        <f t="shared" si="244"/>
        <v>3.5560952635926939</v>
      </c>
      <c r="DN72" s="173">
        <f t="shared" si="245"/>
        <v>2.1880541047188675</v>
      </c>
      <c r="DP72" s="545">
        <f t="shared" si="246"/>
        <v>670</v>
      </c>
      <c r="DQ72" s="460">
        <f t="shared" si="247"/>
        <v>274.71024597170305</v>
      </c>
      <c r="DS72">
        <f t="shared" si="292"/>
        <v>670</v>
      </c>
      <c r="DT72">
        <f t="shared" si="248"/>
        <v>274.71024597170305</v>
      </c>
      <c r="DV72" s="5">
        <f t="shared" si="293"/>
        <v>3.6401991358669838</v>
      </c>
      <c r="DW72" s="5">
        <f t="shared" si="249"/>
        <v>1.4817063598302893</v>
      </c>
      <c r="DX72" s="5">
        <f t="shared" si="294"/>
        <v>2.1584927760366943</v>
      </c>
      <c r="DY72" s="173">
        <f t="shared" si="295"/>
        <v>0.40703991856681554</v>
      </c>
      <c r="EA72" s="5">
        <f t="shared" si="250"/>
        <v>4.1364302545262248</v>
      </c>
      <c r="EB72" s="5">
        <f t="shared" si="251"/>
        <v>0.55152403393683003</v>
      </c>
      <c r="EC72" s="5">
        <f t="shared" si="252"/>
        <v>1.2051584666204875</v>
      </c>
      <c r="ED72" s="5"/>
      <c r="EE72" s="173">
        <f t="shared" si="296"/>
        <v>1.3098792446782852</v>
      </c>
      <c r="EF72" s="173">
        <f t="shared" si="253"/>
        <v>1.0545115038314614</v>
      </c>
      <c r="EG72" s="173">
        <f t="shared" si="254"/>
        <v>0.10559365193771796</v>
      </c>
      <c r="EH72" s="173"/>
      <c r="EI72" s="528">
        <f t="shared" si="255"/>
        <v>6.8631345425558196E-2</v>
      </c>
      <c r="EJ72" s="528">
        <f t="shared" si="256"/>
        <v>1.0873434</v>
      </c>
      <c r="EK72" s="528">
        <f t="shared" si="257"/>
        <v>5.4942049194340606E-2</v>
      </c>
      <c r="EL72" s="528">
        <f t="shared" si="258"/>
        <v>7.8756149609235521E-2</v>
      </c>
      <c r="EM72">
        <f t="shared" si="259"/>
        <v>1.0800000000000001E-2</v>
      </c>
      <c r="EN72" s="460">
        <f t="shared" si="297"/>
        <v>65.742049194340609</v>
      </c>
      <c r="EO72">
        <f t="shared" si="260"/>
        <v>1.3408686954252316</v>
      </c>
      <c r="EP72" s="460">
        <f t="shared" si="298"/>
        <v>1340.8686954252316</v>
      </c>
      <c r="EQ72" s="173">
        <f t="shared" si="261"/>
        <v>0.58155999999999997</v>
      </c>
      <c r="ER72" s="173">
        <f t="shared" si="262"/>
        <v>4.1540000000000001E-2</v>
      </c>
      <c r="ES72" s="528"/>
      <c r="EU72" s="460">
        <f t="shared" si="299"/>
        <v>623.1</v>
      </c>
      <c r="EV72" s="528">
        <f t="shared" si="263"/>
        <v>5.1473509069168644E-2</v>
      </c>
      <c r="EW72" s="528">
        <f t="shared" si="300"/>
        <v>3.3359835351386702E-2</v>
      </c>
      <c r="EX72" s="528">
        <f t="shared" si="264"/>
        <v>5.5750096647719639E-5</v>
      </c>
      <c r="EY72" s="528">
        <f t="shared" si="265"/>
        <v>1.491387900862932</v>
      </c>
      <c r="EZ72" s="528">
        <f t="shared" si="266"/>
        <v>1.6075675745264049</v>
      </c>
      <c r="FA72" s="625">
        <f t="shared" si="267"/>
        <v>0.69478690872413196</v>
      </c>
      <c r="FB72" s="460">
        <f t="shared" si="301"/>
        <v>2302.3544832505368</v>
      </c>
      <c r="FC72" s="173">
        <f t="shared" si="302"/>
        <v>4.2663231786757683</v>
      </c>
      <c r="FD72" s="5">
        <f t="shared" si="303"/>
        <v>17.286000000000001</v>
      </c>
      <c r="FE72" s="173">
        <f t="shared" si="304"/>
        <v>0.80204810667942561</v>
      </c>
      <c r="FF72" s="5">
        <f t="shared" si="305"/>
        <v>80.204810667942567</v>
      </c>
      <c r="FG72">
        <f t="shared" si="306"/>
        <v>67</v>
      </c>
      <c r="FI72" s="562">
        <f t="shared" si="268"/>
        <v>-50</v>
      </c>
      <c r="FJ72">
        <f t="shared" si="269"/>
        <v>-50</v>
      </c>
      <c r="FL72">
        <f t="shared" si="270"/>
        <v>0.58114024475735226</v>
      </c>
    </row>
    <row r="73" spans="5:168">
      <c r="E73" s="170">
        <v>68</v>
      </c>
      <c r="F73" s="217">
        <f t="shared" si="307"/>
        <v>0.68</v>
      </c>
      <c r="G73" s="217">
        <f t="shared" si="271"/>
        <v>6.8000000000000005E-2</v>
      </c>
      <c r="H73" s="217">
        <f t="shared" si="176"/>
        <v>16.32</v>
      </c>
      <c r="I73" s="217">
        <f t="shared" si="308"/>
        <v>1.2240000000000002</v>
      </c>
      <c r="J73" s="541">
        <f t="shared" si="177"/>
        <v>23.843454991697108</v>
      </c>
      <c r="K73" s="443">
        <f t="shared" si="178"/>
        <v>16.498313969558556</v>
      </c>
      <c r="L73" s="172">
        <f t="shared" si="179"/>
        <v>40.341768961255667</v>
      </c>
      <c r="M73" s="443"/>
      <c r="N73" s="217">
        <f t="shared" si="180"/>
        <v>0.40896357285183943</v>
      </c>
      <c r="O73" s="172">
        <f t="shared" si="272"/>
        <v>50.393305129387457</v>
      </c>
      <c r="P73" s="172">
        <f t="shared" si="181"/>
        <v>4.0629602260568642</v>
      </c>
      <c r="Q73" s="217">
        <f t="shared" si="182"/>
        <v>2.0997210470578107</v>
      </c>
      <c r="R73" s="217">
        <f t="shared" si="183"/>
        <v>2.7996280627437478</v>
      </c>
      <c r="S73" s="443">
        <f t="shared" si="184"/>
        <v>24</v>
      </c>
      <c r="T73" s="217">
        <f t="shared" si="185"/>
        <v>3.5983615852889677</v>
      </c>
      <c r="U73" s="217">
        <f t="shared" si="186"/>
        <v>1.5091611457072844</v>
      </c>
      <c r="V73" s="217">
        <f t="shared" si="187"/>
        <v>2.1810480706867343</v>
      </c>
      <c r="W73" s="197">
        <f t="shared" si="188"/>
        <v>350</v>
      </c>
      <c r="X73" s="443">
        <f t="shared" si="273"/>
        <v>257.05558348528558</v>
      </c>
      <c r="Z73" s="217">
        <f t="shared" si="189"/>
        <v>2.7860298692961352</v>
      </c>
      <c r="AA73" s="173">
        <f t="shared" si="190"/>
        <v>1.6886755061376015</v>
      </c>
      <c r="AB73" s="173">
        <f t="shared" si="191"/>
        <v>0.54915615414892771</v>
      </c>
      <c r="AC73" s="173"/>
      <c r="AD73" s="173">
        <f t="shared" si="192"/>
        <v>1.34693898196052</v>
      </c>
      <c r="AE73" s="545">
        <f t="shared" si="193"/>
        <v>681.2047477086096</v>
      </c>
      <c r="AF73" s="528">
        <f t="shared" si="194"/>
        <v>0.34938100593187038</v>
      </c>
      <c r="AH73" s="173">
        <f t="shared" si="195"/>
        <v>3.1662505992329248</v>
      </c>
      <c r="AI73" s="173">
        <f t="shared" si="196"/>
        <v>3.5983615852889677</v>
      </c>
      <c r="AJ73" s="173">
        <f t="shared" si="197"/>
        <v>2.2193624911605521</v>
      </c>
      <c r="AL73" s="545">
        <f t="shared" si="198"/>
        <v>680</v>
      </c>
      <c r="AM73" s="460">
        <f t="shared" si="199"/>
        <v>257.05558348528558</v>
      </c>
      <c r="AO73">
        <f t="shared" si="274"/>
        <v>680</v>
      </c>
      <c r="AP73">
        <f t="shared" si="200"/>
        <v>257.05558348528558</v>
      </c>
      <c r="AR73" s="5">
        <f t="shared" si="275"/>
        <v>3.8902092163940187</v>
      </c>
      <c r="AS73" s="5">
        <f t="shared" si="201"/>
        <v>1.5091611457072844</v>
      </c>
      <c r="AT73" s="5">
        <f t="shared" si="276"/>
        <v>2.3810480706867345</v>
      </c>
      <c r="AU73" s="173">
        <f t="shared" si="277"/>
        <v>0.38793829888310805</v>
      </c>
      <c r="AW73" s="5">
        <f t="shared" si="202"/>
        <v>4.2759565795039727</v>
      </c>
      <c r="AX73" s="5">
        <f t="shared" si="203"/>
        <v>0.570127543933863</v>
      </c>
      <c r="AY73" s="5">
        <f t="shared" si="204"/>
        <v>1.3581191892121296</v>
      </c>
      <c r="AZ73" s="5"/>
      <c r="BA73" s="173">
        <f t="shared" si="278"/>
        <v>1.2939738595290491</v>
      </c>
      <c r="BB73" s="173">
        <f t="shared" si="205"/>
        <v>1.0840956725155004</v>
      </c>
      <c r="BC73" s="173">
        <f t="shared" si="206"/>
        <v>0.10855606666675482</v>
      </c>
      <c r="BD73" s="173"/>
      <c r="BE73" s="528">
        <f t="shared" si="207"/>
        <v>6.6974733965780131E-2</v>
      </c>
      <c r="BF73" s="528">
        <f t="shared" si="208"/>
        <v>0.83959394774279716</v>
      </c>
      <c r="BG73" s="528">
        <f t="shared" si="209"/>
        <v>0.24516372940783379</v>
      </c>
      <c r="BH73" s="528">
        <f t="shared" si="210"/>
        <v>7.3210768539482218E-2</v>
      </c>
      <c r="BI73">
        <f t="shared" si="211"/>
        <v>1.0729554746263699E-2</v>
      </c>
      <c r="BJ73" s="460">
        <f t="shared" si="279"/>
        <v>255.8932841540975</v>
      </c>
      <c r="BK73">
        <f t="shared" si="212"/>
        <v>1.0139985874865489</v>
      </c>
      <c r="BL73" s="460">
        <f t="shared" si="280"/>
        <v>1013.9985874865489</v>
      </c>
      <c r="BM73" s="173">
        <f t="shared" si="213"/>
        <v>0.59023999999999999</v>
      </c>
      <c r="BN73" s="173">
        <f t="shared" si="214"/>
        <v>4.2160000000000003E-2</v>
      </c>
      <c r="BO73" s="528"/>
      <c r="BQ73" s="460">
        <f t="shared" si="281"/>
        <v>632.4</v>
      </c>
      <c r="BR73" s="528">
        <f t="shared" si="215"/>
        <v>5.0231050474335091E-2</v>
      </c>
      <c r="BS73" s="528">
        <f t="shared" si="216"/>
        <v>3.5257902815005057E-2</v>
      </c>
      <c r="BT73" s="528">
        <f t="shared" si="217"/>
        <v>5.892209805078459E-5</v>
      </c>
      <c r="BU73" s="528">
        <f t="shared" si="218"/>
        <v>1.3010668533166521</v>
      </c>
      <c r="BV73" s="528">
        <f t="shared" si="219"/>
        <v>1.416842850446095</v>
      </c>
      <c r="BW73" s="625">
        <f t="shared" si="220"/>
        <v>0.66568173474667336</v>
      </c>
      <c r="BX73" s="460">
        <f t="shared" si="282"/>
        <v>2082.5245851927684</v>
      </c>
      <c r="BY73" s="173">
        <f t="shared" si="283"/>
        <v>3.7289231726793171</v>
      </c>
      <c r="BZ73" s="5">
        <f t="shared" si="284"/>
        <v>17.544</v>
      </c>
      <c r="CA73" s="173">
        <f t="shared" si="285"/>
        <v>0.8247103539833045</v>
      </c>
      <c r="CB73" s="5">
        <f t="shared" si="286"/>
        <v>82.471035398330457</v>
      </c>
      <c r="CC73">
        <f t="shared" si="287"/>
        <v>68</v>
      </c>
      <c r="CE73" s="562">
        <f t="shared" si="221"/>
        <v>-50</v>
      </c>
      <c r="CF73">
        <f t="shared" si="222"/>
        <v>-50</v>
      </c>
      <c r="CG73" s="173">
        <f t="shared" si="223"/>
        <v>0.58114024475735238</v>
      </c>
      <c r="CH73" s="173">
        <f t="shared" si="224"/>
        <v>0.1583991712777521</v>
      </c>
      <c r="CI73" s="170">
        <v>68</v>
      </c>
      <c r="CJ73" s="217">
        <f t="shared" si="309"/>
        <v>0.68</v>
      </c>
      <c r="CK73" s="217">
        <f t="shared" si="288"/>
        <v>6.8000000000000005E-2</v>
      </c>
      <c r="CL73" s="217">
        <f t="shared" si="225"/>
        <v>16.32</v>
      </c>
      <c r="CM73" s="217">
        <f t="shared" si="310"/>
        <v>1.2240000000000002</v>
      </c>
      <c r="CN73" s="541">
        <f t="shared" si="289"/>
        <v>24</v>
      </c>
      <c r="CO73" s="443">
        <f t="shared" si="226"/>
        <v>16.474900000000002</v>
      </c>
      <c r="CP73" s="443">
        <f t="shared" si="227"/>
        <v>40.474900000000005</v>
      </c>
      <c r="CQ73" s="443"/>
      <c r="CR73" s="217">
        <f t="shared" si="228"/>
        <v>0.40507913686898112</v>
      </c>
      <c r="CS73" s="172">
        <f t="shared" si="290"/>
        <v>50.242373565144938</v>
      </c>
      <c r="CT73" s="172">
        <f t="shared" si="229"/>
        <v>4.0507913686898105</v>
      </c>
      <c r="CU73" s="217">
        <f t="shared" si="230"/>
        <v>2.0934322318810392</v>
      </c>
      <c r="CV73" s="217">
        <f t="shared" si="231"/>
        <v>2.7912429758413855</v>
      </c>
      <c r="CW73" s="443">
        <f t="shared" si="232"/>
        <v>24</v>
      </c>
      <c r="CX73" s="217">
        <f t="shared" si="233"/>
        <v>3.6091713123030322</v>
      </c>
      <c r="CY73" s="217">
        <f t="shared" si="234"/>
        <v>1.5038213801262637</v>
      </c>
      <c r="CZ73" s="217">
        <f t="shared" si="235"/>
        <v>2.1907090861267942</v>
      </c>
      <c r="DA73" s="197">
        <f t="shared" si="236"/>
        <v>350</v>
      </c>
      <c r="DB73" s="443">
        <f t="shared" si="291"/>
        <v>270.67038941329571</v>
      </c>
      <c r="DD73" s="217">
        <f t="shared" si="237"/>
        <v>2.7911308701724487</v>
      </c>
      <c r="DE73" s="173">
        <f t="shared" si="238"/>
        <v>1.6941716612376698</v>
      </c>
      <c r="DF73" s="173">
        <f t="shared" si="239"/>
        <v>0.55195223422072148</v>
      </c>
      <c r="DG73" s="173"/>
      <c r="DH73" s="173">
        <f t="shared" si="240"/>
        <v>1.3488532386977903</v>
      </c>
      <c r="DI73" s="545">
        <f t="shared" si="241"/>
        <v>680.23799999999972</v>
      </c>
      <c r="DJ73" s="528">
        <f t="shared" si="242"/>
        <v>0.34987754285999911</v>
      </c>
      <c r="DL73" s="173">
        <f t="shared" si="243"/>
        <v>3.1662505992329248</v>
      </c>
      <c r="DM73" s="173">
        <f t="shared" si="244"/>
        <v>3.6091713123030322</v>
      </c>
      <c r="DN73" s="173">
        <f t="shared" si="245"/>
        <v>2.2273696963561553</v>
      </c>
      <c r="DP73" s="545">
        <f t="shared" si="246"/>
        <v>680</v>
      </c>
      <c r="DQ73" s="460">
        <f t="shared" si="247"/>
        <v>270.67038941329571</v>
      </c>
      <c r="DS73">
        <f t="shared" si="292"/>
        <v>680</v>
      </c>
      <c r="DT73">
        <f t="shared" si="248"/>
        <v>270.67038941329571</v>
      </c>
      <c r="DV73" s="5">
        <f t="shared" si="293"/>
        <v>3.6945304662530574</v>
      </c>
      <c r="DW73" s="5">
        <f t="shared" si="249"/>
        <v>1.5038213801262637</v>
      </c>
      <c r="DX73" s="5">
        <f t="shared" si="294"/>
        <v>2.1907090861267937</v>
      </c>
      <c r="DY73" s="173">
        <f t="shared" si="295"/>
        <v>0.4070399185668156</v>
      </c>
      <c r="EA73" s="5">
        <f t="shared" si="250"/>
        <v>4.2608272436910806</v>
      </c>
      <c r="EB73" s="5">
        <f t="shared" si="251"/>
        <v>0.56811029915881073</v>
      </c>
      <c r="EC73" s="5">
        <f t="shared" si="252"/>
        <v>1.2414018154718496</v>
      </c>
      <c r="ED73" s="5"/>
      <c r="EE73" s="173">
        <f t="shared" si="296"/>
        <v>1.3294296811660209</v>
      </c>
      <c r="EF73" s="173">
        <f t="shared" si="253"/>
        <v>1.0702504815005875</v>
      </c>
      <c r="EG73" s="173">
        <f t="shared" si="254"/>
        <v>0.10716967659350475</v>
      </c>
      <c r="EH73" s="173"/>
      <c r="EI73" s="528">
        <f t="shared" si="255"/>
        <v>7.0695331086607527E-2</v>
      </c>
      <c r="EJ73" s="528">
        <f t="shared" si="256"/>
        <v>1.0873434000000002</v>
      </c>
      <c r="EK73" s="528">
        <f t="shared" si="257"/>
        <v>5.4134077882659136E-2</v>
      </c>
      <c r="EL73" s="528">
        <f t="shared" si="258"/>
        <v>7.7597970938511493E-2</v>
      </c>
      <c r="EM73">
        <f t="shared" si="259"/>
        <v>1.0800000000000001E-2</v>
      </c>
      <c r="EN73" s="460">
        <f t="shared" si="297"/>
        <v>64.934077882659139</v>
      </c>
      <c r="EO73">
        <f t="shared" si="260"/>
        <v>1.3422037992745208</v>
      </c>
      <c r="EP73" s="460">
        <f t="shared" si="298"/>
        <v>1342.2037992745209</v>
      </c>
      <c r="EQ73" s="173">
        <f t="shared" si="261"/>
        <v>0.59023999999999999</v>
      </c>
      <c r="ER73" s="173">
        <f t="shared" si="262"/>
        <v>4.2160000000000003E-2</v>
      </c>
      <c r="ES73" s="528"/>
      <c r="EU73" s="460">
        <f t="shared" si="299"/>
        <v>632.4</v>
      </c>
      <c r="EV73" s="528">
        <f t="shared" si="263"/>
        <v>5.3021498314955638E-2</v>
      </c>
      <c r="EW73" s="528">
        <f t="shared" si="300"/>
        <v>3.4363082794567186E-2</v>
      </c>
      <c r="EX73" s="528">
        <f t="shared" si="264"/>
        <v>5.7426697905782003E-5</v>
      </c>
      <c r="EY73" s="528">
        <f t="shared" si="265"/>
        <v>1.491387900862932</v>
      </c>
      <c r="EZ73" s="528">
        <f t="shared" si="266"/>
        <v>1.6110861189434309</v>
      </c>
      <c r="FA73" s="625">
        <f t="shared" si="267"/>
        <v>0.70515686258568633</v>
      </c>
      <c r="FB73" s="460">
        <f t="shared" si="301"/>
        <v>2316.2429815291175</v>
      </c>
      <c r="FC73" s="173">
        <f t="shared" si="302"/>
        <v>4.2908467808036379</v>
      </c>
      <c r="FD73" s="5">
        <f t="shared" si="303"/>
        <v>17.544</v>
      </c>
      <c r="FE73" s="173">
        <f t="shared" si="304"/>
        <v>0.80348628850576664</v>
      </c>
      <c r="FF73" s="5">
        <f t="shared" si="305"/>
        <v>80.348628850576659</v>
      </c>
      <c r="FG73">
        <f t="shared" si="306"/>
        <v>68</v>
      </c>
      <c r="FI73" s="562">
        <f t="shared" si="268"/>
        <v>-50</v>
      </c>
      <c r="FJ73">
        <f t="shared" si="269"/>
        <v>-50</v>
      </c>
      <c r="FL73">
        <f t="shared" si="270"/>
        <v>0.58114024475735249</v>
      </c>
    </row>
    <row r="74" spans="5:168">
      <c r="E74" s="170">
        <v>69</v>
      </c>
      <c r="F74" s="217">
        <f t="shared" si="307"/>
        <v>0.69</v>
      </c>
      <c r="G74" s="217">
        <f t="shared" si="271"/>
        <v>6.8999999999999992E-2</v>
      </c>
      <c r="H74" s="217">
        <f t="shared" si="176"/>
        <v>16.559999999999999</v>
      </c>
      <c r="I74" s="217">
        <f t="shared" si="308"/>
        <v>1.2419999999999998</v>
      </c>
      <c r="J74" s="541">
        <f t="shared" si="177"/>
        <v>23.841152859222067</v>
      </c>
      <c r="K74" s="443">
        <f t="shared" si="178"/>
        <v>16.498658292640297</v>
      </c>
      <c r="L74" s="172">
        <f t="shared" si="179"/>
        <v>40.339811151862364</v>
      </c>
      <c r="M74" s="443"/>
      <c r="N74" s="217">
        <f t="shared" si="180"/>
        <v>0.40899195661897897</v>
      </c>
      <c r="O74" s="172">
        <f t="shared" si="272"/>
        <v>50.391936723232028</v>
      </c>
      <c r="P74" s="172">
        <f t="shared" si="181"/>
        <v>4.0628498983105823</v>
      </c>
      <c r="Q74" s="217">
        <f t="shared" si="182"/>
        <v>2.0996640301346678</v>
      </c>
      <c r="R74" s="217">
        <f t="shared" si="183"/>
        <v>2.7995520401795573</v>
      </c>
      <c r="S74" s="443">
        <f t="shared" si="184"/>
        <v>24</v>
      </c>
      <c r="T74" s="217">
        <f t="shared" si="185"/>
        <v>3.6513778188479722</v>
      </c>
      <c r="U74" s="217">
        <f t="shared" si="186"/>
        <v>1.5315441499027898</v>
      </c>
      <c r="V74" s="217">
        <f t="shared" si="187"/>
        <v>2.2131362163411645</v>
      </c>
      <c r="W74" s="197">
        <f t="shared" si="188"/>
        <v>350</v>
      </c>
      <c r="X74" s="443">
        <f t="shared" si="273"/>
        <v>253.50596427466186</v>
      </c>
      <c r="Z74" s="217">
        <f t="shared" si="189"/>
        <v>2.7859542159843991</v>
      </c>
      <c r="AA74" s="173">
        <f t="shared" si="190"/>
        <v>1.6885944096600598</v>
      </c>
      <c r="AB74" s="173">
        <f t="shared" si="191"/>
        <v>0.54911487027103845</v>
      </c>
      <c r="AC74" s="173"/>
      <c r="AD74" s="173">
        <f t="shared" si="192"/>
        <v>1.3469108716637335</v>
      </c>
      <c r="AE74" s="545">
        <f t="shared" si="193"/>
        <v>691.23689053648116</v>
      </c>
      <c r="AF74" s="528">
        <f t="shared" si="194"/>
        <v>0.34937371443322063</v>
      </c>
      <c r="AH74" s="173">
        <f t="shared" si="195"/>
        <v>3.1894468844254842</v>
      </c>
      <c r="AI74" s="173">
        <f t="shared" si="196"/>
        <v>3.6513778188479722</v>
      </c>
      <c r="AJ74" s="173">
        <f t="shared" si="197"/>
        <v>2.2586337752783332</v>
      </c>
      <c r="AL74" s="545">
        <f t="shared" si="198"/>
        <v>690</v>
      </c>
      <c r="AM74" s="460">
        <f t="shared" si="199"/>
        <v>253.50596427466186</v>
      </c>
      <c r="AO74">
        <f t="shared" si="274"/>
        <v>690</v>
      </c>
      <c r="AP74">
        <f t="shared" si="200"/>
        <v>253.50596427466186</v>
      </c>
      <c r="AR74" s="5">
        <f t="shared" si="275"/>
        <v>3.9446803662439542</v>
      </c>
      <c r="AS74" s="5">
        <f t="shared" si="201"/>
        <v>1.5315441499027898</v>
      </c>
      <c r="AT74" s="5">
        <f t="shared" si="276"/>
        <v>2.4131362163411643</v>
      </c>
      <c r="AU74" s="173">
        <f t="shared" si="277"/>
        <v>0.388255576550324</v>
      </c>
      <c r="AW74" s="5">
        <f t="shared" si="202"/>
        <v>4.4031894309705208</v>
      </c>
      <c r="AX74" s="5">
        <f t="shared" si="203"/>
        <v>0.5870919241294027</v>
      </c>
      <c r="AY74" s="5">
        <f t="shared" si="204"/>
        <v>1.3967982161830188</v>
      </c>
      <c r="AZ74" s="5"/>
      <c r="BA74" s="173">
        <f t="shared" si="278"/>
        <v>1.3135753702984256</v>
      </c>
      <c r="BB74" s="173">
        <f t="shared" si="205"/>
        <v>1.0997829667278267</v>
      </c>
      <c r="BC74" s="173">
        <f t="shared" si="206"/>
        <v>0.11012691599261072</v>
      </c>
      <c r="BD74" s="173"/>
      <c r="BE74" s="528">
        <f t="shared" si="207"/>
        <v>6.9019210138185849E-2</v>
      </c>
      <c r="BF74" s="528">
        <f t="shared" si="208"/>
        <v>0.84015870858131558</v>
      </c>
      <c r="BG74" s="528">
        <f t="shared" si="209"/>
        <v>0.24175497779986807</v>
      </c>
      <c r="BH74" s="528">
        <f t="shared" si="210"/>
        <v>7.2192810879261507E-2</v>
      </c>
      <c r="BI74">
        <f t="shared" si="211"/>
        <v>1.072851878664993E-2</v>
      </c>
      <c r="BJ74" s="460">
        <f t="shared" si="279"/>
        <v>252.48349658651799</v>
      </c>
      <c r="BK74">
        <f t="shared" si="212"/>
        <v>1.016678388970699</v>
      </c>
      <c r="BL74" s="460">
        <f t="shared" si="280"/>
        <v>1016.678388970699</v>
      </c>
      <c r="BM74" s="173">
        <f t="shared" si="213"/>
        <v>0.5989199999999999</v>
      </c>
      <c r="BN74" s="173">
        <f t="shared" si="214"/>
        <v>4.2779999999999992E-2</v>
      </c>
      <c r="BO74" s="528"/>
      <c r="BQ74" s="460">
        <f t="shared" si="281"/>
        <v>641.69999999999993</v>
      </c>
      <c r="BR74" s="528">
        <f t="shared" si="215"/>
        <v>5.176440760363938E-2</v>
      </c>
      <c r="BS74" s="528">
        <f t="shared" si="216"/>
        <v>3.6285677217139801E-2</v>
      </c>
      <c r="BT74" s="528">
        <f t="shared" si="217"/>
        <v>6.0639688130217691E-5</v>
      </c>
      <c r="BU74" s="528">
        <f t="shared" si="218"/>
        <v>1.3034140275018424</v>
      </c>
      <c r="BV74" s="528">
        <f t="shared" si="219"/>
        <v>1.4226997342402936</v>
      </c>
      <c r="BW74" s="625">
        <f t="shared" si="220"/>
        <v>0.67597669459185983</v>
      </c>
      <c r="BX74" s="460">
        <f t="shared" si="282"/>
        <v>2098.6764288321538</v>
      </c>
      <c r="BY74" s="173">
        <f t="shared" si="283"/>
        <v>3.7570548178028522</v>
      </c>
      <c r="BZ74" s="5">
        <f t="shared" si="284"/>
        <v>17.802</v>
      </c>
      <c r="CA74" s="173">
        <f t="shared" si="285"/>
        <v>0.82573193261235256</v>
      </c>
      <c r="CB74" s="5">
        <f t="shared" si="286"/>
        <v>82.573193261235261</v>
      </c>
      <c r="CC74">
        <f t="shared" si="287"/>
        <v>69</v>
      </c>
      <c r="CE74" s="562">
        <f t="shared" si="221"/>
        <v>-50</v>
      </c>
      <c r="CF74">
        <f t="shared" si="222"/>
        <v>-50</v>
      </c>
      <c r="CG74" s="173">
        <f t="shared" si="223"/>
        <v>0.58114024475735238</v>
      </c>
      <c r="CH74" s="173">
        <f t="shared" si="224"/>
        <v>0.1583991712777521</v>
      </c>
      <c r="CI74" s="170">
        <v>69</v>
      </c>
      <c r="CJ74" s="217">
        <f t="shared" si="309"/>
        <v>0.69</v>
      </c>
      <c r="CK74" s="217">
        <f t="shared" si="288"/>
        <v>6.8999999999999992E-2</v>
      </c>
      <c r="CL74" s="217">
        <f t="shared" si="225"/>
        <v>16.559999999999999</v>
      </c>
      <c r="CM74" s="217">
        <f t="shared" si="310"/>
        <v>1.2419999999999998</v>
      </c>
      <c r="CN74" s="541">
        <f t="shared" si="289"/>
        <v>24</v>
      </c>
      <c r="CO74" s="443">
        <f t="shared" si="226"/>
        <v>16.474900000000002</v>
      </c>
      <c r="CP74" s="443">
        <f t="shared" si="227"/>
        <v>40.474900000000005</v>
      </c>
      <c r="CQ74" s="443"/>
      <c r="CR74" s="217">
        <f t="shared" si="228"/>
        <v>0.40507913686898112</v>
      </c>
      <c r="CS74" s="172">
        <f t="shared" si="290"/>
        <v>50.242373565144938</v>
      </c>
      <c r="CT74" s="172">
        <f t="shared" si="229"/>
        <v>4.0507913686898105</v>
      </c>
      <c r="CU74" s="217">
        <f t="shared" si="230"/>
        <v>2.0934322318810392</v>
      </c>
      <c r="CV74" s="217">
        <f t="shared" si="231"/>
        <v>2.7912429758413855</v>
      </c>
      <c r="CW74" s="443">
        <f t="shared" si="232"/>
        <v>24</v>
      </c>
      <c r="CX74" s="217">
        <f t="shared" si="233"/>
        <v>3.6622473610133706</v>
      </c>
      <c r="CY74" s="217">
        <f t="shared" si="234"/>
        <v>1.5259364004222375</v>
      </c>
      <c r="CZ74" s="217">
        <f t="shared" si="235"/>
        <v>2.2229253962168936</v>
      </c>
      <c r="DA74" s="197">
        <f t="shared" si="236"/>
        <v>350</v>
      </c>
      <c r="DB74" s="443">
        <f t="shared" si="291"/>
        <v>266.74763014643639</v>
      </c>
      <c r="DD74" s="217">
        <f t="shared" si="237"/>
        <v>2.7911308701724487</v>
      </c>
      <c r="DE74" s="173">
        <f t="shared" si="238"/>
        <v>1.6941716612376698</v>
      </c>
      <c r="DF74" s="173">
        <f t="shared" si="239"/>
        <v>0.55195223422072148</v>
      </c>
      <c r="DG74" s="173"/>
      <c r="DH74" s="173">
        <f t="shared" si="240"/>
        <v>1.3488532386977903</v>
      </c>
      <c r="DI74" s="545">
        <f t="shared" si="241"/>
        <v>690.24149999999963</v>
      </c>
      <c r="DJ74" s="528">
        <f t="shared" si="242"/>
        <v>0.34987754285999911</v>
      </c>
      <c r="DL74" s="173">
        <f t="shared" si="243"/>
        <v>3.1894468844254842</v>
      </c>
      <c r="DM74" s="173">
        <f t="shared" si="244"/>
        <v>3.6622473610133706</v>
      </c>
      <c r="DN74" s="173">
        <f t="shared" si="245"/>
        <v>2.2666852879934432</v>
      </c>
      <c r="DP74" s="545">
        <f t="shared" si="246"/>
        <v>690</v>
      </c>
      <c r="DQ74" s="460">
        <f t="shared" si="247"/>
        <v>266.74763014643639</v>
      </c>
      <c r="DS74">
        <f t="shared" si="292"/>
        <v>690</v>
      </c>
      <c r="DT74">
        <f t="shared" si="248"/>
        <v>266.74763014643639</v>
      </c>
      <c r="DV74" s="5">
        <f t="shared" si="293"/>
        <v>3.7488617966391309</v>
      </c>
      <c r="DW74" s="5">
        <f t="shared" si="249"/>
        <v>1.5259364004222375</v>
      </c>
      <c r="DX74" s="5">
        <f t="shared" si="294"/>
        <v>2.2229253962168931</v>
      </c>
      <c r="DY74" s="173">
        <f t="shared" si="295"/>
        <v>0.40703991856681554</v>
      </c>
      <c r="EA74" s="5">
        <f t="shared" si="250"/>
        <v>4.387067151213933</v>
      </c>
      <c r="EB74" s="5">
        <f t="shared" si="251"/>
        <v>0.58494228682852434</v>
      </c>
      <c r="EC74" s="5">
        <f t="shared" si="252"/>
        <v>1.2781821028247133</v>
      </c>
      <c r="ED74" s="5"/>
      <c r="EE74" s="173">
        <f t="shared" si="296"/>
        <v>1.3489801176537561</v>
      </c>
      <c r="EF74" s="173">
        <f t="shared" si="253"/>
        <v>1.0859894591697139</v>
      </c>
      <c r="EG74" s="173">
        <f t="shared" si="254"/>
        <v>0.1087457012492916</v>
      </c>
      <c r="EH74" s="173"/>
      <c r="EI74" s="528">
        <f t="shared" si="255"/>
        <v>7.2789894313005671E-2</v>
      </c>
      <c r="EJ74" s="528">
        <f t="shared" si="256"/>
        <v>1.0873434000000002</v>
      </c>
      <c r="EK74" s="528">
        <f t="shared" si="257"/>
        <v>5.3349526029287275E-2</v>
      </c>
      <c r="EL74" s="528">
        <f t="shared" si="258"/>
        <v>7.6473362664040326E-2</v>
      </c>
      <c r="EM74">
        <f t="shared" si="259"/>
        <v>1.0800000000000001E-2</v>
      </c>
      <c r="EN74" s="460">
        <f t="shared" si="297"/>
        <v>64.149526029287273</v>
      </c>
      <c r="EO74">
        <f t="shared" si="260"/>
        <v>1.3436476783368581</v>
      </c>
      <c r="EP74" s="460">
        <f t="shared" si="298"/>
        <v>1343.647678336858</v>
      </c>
      <c r="EQ74" s="173">
        <f t="shared" si="261"/>
        <v>0.5989199999999999</v>
      </c>
      <c r="ER74" s="173">
        <f t="shared" si="262"/>
        <v>4.2779999999999992E-2</v>
      </c>
      <c r="ES74" s="528"/>
      <c r="EU74" s="460">
        <f t="shared" si="299"/>
        <v>641.69999999999993</v>
      </c>
      <c r="EV74" s="528">
        <f t="shared" si="263"/>
        <v>5.4592420734754253E-2</v>
      </c>
      <c r="EW74" s="528">
        <f t="shared" si="300"/>
        <v>3.538119316283183E-2</v>
      </c>
      <c r="EX74" s="528">
        <f t="shared" si="264"/>
        <v>5.9128137701000911E-5</v>
      </c>
      <c r="EY74" s="528">
        <f t="shared" si="265"/>
        <v>1.4913879008629327</v>
      </c>
      <c r="EZ74" s="528">
        <f t="shared" si="266"/>
        <v>1.6146582699058549</v>
      </c>
      <c r="FA74" s="625">
        <f t="shared" si="267"/>
        <v>0.71552681644724037</v>
      </c>
      <c r="FB74" s="460">
        <f t="shared" si="301"/>
        <v>2330.1850863530954</v>
      </c>
      <c r="FC74" s="173">
        <f t="shared" si="302"/>
        <v>4.3155327646899533</v>
      </c>
      <c r="FD74" s="5">
        <f t="shared" si="303"/>
        <v>17.802</v>
      </c>
      <c r="FE74" s="173">
        <f t="shared" si="304"/>
        <v>0.80488181884465948</v>
      </c>
      <c r="FF74" s="5">
        <f t="shared" si="305"/>
        <v>80.488181884465945</v>
      </c>
      <c r="FG74">
        <f t="shared" si="306"/>
        <v>69</v>
      </c>
      <c r="FI74" s="562">
        <f t="shared" si="268"/>
        <v>-50</v>
      </c>
      <c r="FJ74">
        <f t="shared" si="269"/>
        <v>-50</v>
      </c>
      <c r="FL74">
        <f t="shared" si="270"/>
        <v>0.58114024475735249</v>
      </c>
    </row>
    <row r="75" spans="5:168">
      <c r="E75" s="170">
        <v>70</v>
      </c>
      <c r="F75" s="217">
        <f t="shared" si="307"/>
        <v>0.7</v>
      </c>
      <c r="G75" s="217">
        <f t="shared" si="271"/>
        <v>6.9999999999999993E-2</v>
      </c>
      <c r="H75" s="217">
        <f t="shared" si="176"/>
        <v>16.799999999999997</v>
      </c>
      <c r="I75" s="217">
        <f t="shared" si="308"/>
        <v>1.2599999999999998</v>
      </c>
      <c r="J75" s="541">
        <f t="shared" si="177"/>
        <v>23.838850726747022</v>
      </c>
      <c r="K75" s="443">
        <f t="shared" si="178"/>
        <v>16.499002615722041</v>
      </c>
      <c r="L75" s="172">
        <f t="shared" si="179"/>
        <v>40.33785334246906</v>
      </c>
      <c r="M75" s="443"/>
      <c r="N75" s="217">
        <f t="shared" si="180"/>
        <v>0.40902034314134739</v>
      </c>
      <c r="O75" s="172">
        <f t="shared" si="272"/>
        <v>50.390567981133977</v>
      </c>
      <c r="P75" s="172">
        <f t="shared" si="181"/>
        <v>4.0627395434789273</v>
      </c>
      <c r="Q75" s="217">
        <f t="shared" si="182"/>
        <v>2.0996069992139157</v>
      </c>
      <c r="R75" s="217">
        <f t="shared" si="183"/>
        <v>2.7994759989518876</v>
      </c>
      <c r="S75" s="443">
        <f t="shared" si="184"/>
        <v>24</v>
      </c>
      <c r="T75" s="217">
        <f t="shared" si="185"/>
        <v>3.7043969565207884</v>
      </c>
      <c r="U75" s="217">
        <f t="shared" si="186"/>
        <v>1.5539326954065287</v>
      </c>
      <c r="V75" s="217">
        <f t="shared" si="187"/>
        <v>2.2452247828549567</v>
      </c>
      <c r="W75" s="197">
        <f t="shared" si="188"/>
        <v>350</v>
      </c>
      <c r="X75" s="443">
        <f t="shared" si="273"/>
        <v>250.05266870228883</v>
      </c>
      <c r="Z75" s="217">
        <f t="shared" si="189"/>
        <v>2.7858785440998353</v>
      </c>
      <c r="AA75" s="173">
        <f t="shared" si="190"/>
        <v>1.688513305310436</v>
      </c>
      <c r="AB75" s="173">
        <f t="shared" si="191"/>
        <v>0.54907358160500819</v>
      </c>
      <c r="AC75" s="173"/>
      <c r="AD75" s="173">
        <f t="shared" si="192"/>
        <v>1.3468827625402326</v>
      </c>
      <c r="AE75" s="545">
        <f t="shared" si="193"/>
        <v>701.26945150782569</v>
      </c>
      <c r="AF75" s="528">
        <f t="shared" si="194"/>
        <v>0.3493664232389081</v>
      </c>
      <c r="AH75" s="173">
        <f t="shared" si="195"/>
        <v>3.2124756808418016</v>
      </c>
      <c r="AI75" s="173">
        <f t="shared" si="196"/>
        <v>3.7043969565207884</v>
      </c>
      <c r="AJ75" s="173">
        <f t="shared" si="197"/>
        <v>2.2979072105915304</v>
      </c>
      <c r="AL75" s="545">
        <f t="shared" si="198"/>
        <v>700</v>
      </c>
      <c r="AM75" s="460">
        <f t="shared" si="199"/>
        <v>250.05266870228883</v>
      </c>
      <c r="AO75">
        <f t="shared" si="274"/>
        <v>700</v>
      </c>
      <c r="AP75">
        <f t="shared" si="200"/>
        <v>250.05266870228883</v>
      </c>
      <c r="AR75" s="5">
        <f t="shared" si="275"/>
        <v>3.9991574782614849</v>
      </c>
      <c r="AS75" s="5">
        <f t="shared" si="201"/>
        <v>1.5539326954065287</v>
      </c>
      <c r="AT75" s="5">
        <f t="shared" si="276"/>
        <v>2.4452247828549565</v>
      </c>
      <c r="AU75" s="173">
        <f t="shared" si="277"/>
        <v>0.38856501747014344</v>
      </c>
      <c r="AW75" s="5">
        <f t="shared" si="202"/>
        <v>4.5323036949357087</v>
      </c>
      <c r="AX75" s="5">
        <f t="shared" si="203"/>
        <v>0.60430715932476109</v>
      </c>
      <c r="AY75" s="5">
        <f t="shared" si="204"/>
        <v>1.4360233784911463</v>
      </c>
      <c r="AZ75" s="5"/>
      <c r="BA75" s="173">
        <f t="shared" si="278"/>
        <v>1.3331798487310891</v>
      </c>
      <c r="BB75" s="173">
        <f t="shared" si="205"/>
        <v>1.1154699280897447</v>
      </c>
      <c r="BC75" s="173">
        <f t="shared" si="206"/>
        <v>0.11169773198844603</v>
      </c>
      <c r="BD75" s="173"/>
      <c r="BE75" s="528">
        <f t="shared" si="207"/>
        <v>7.1094740362505987E-2</v>
      </c>
      <c r="BF75" s="528">
        <f t="shared" si="208"/>
        <v>0.8407063223317045</v>
      </c>
      <c r="BG75" s="528">
        <f t="shared" si="209"/>
        <v>0.23843872972074362</v>
      </c>
      <c r="BH75" s="528">
        <f t="shared" si="210"/>
        <v>7.1202477946062631E-2</v>
      </c>
      <c r="BI75">
        <f t="shared" si="211"/>
        <v>1.072748282703616E-2</v>
      </c>
      <c r="BJ75" s="460">
        <f t="shared" si="279"/>
        <v>249.16621254777979</v>
      </c>
      <c r="BK75">
        <f t="shared" si="212"/>
        <v>1.019419263184129</v>
      </c>
      <c r="BL75" s="460">
        <f t="shared" si="280"/>
        <v>1019.419263184129</v>
      </c>
      <c r="BM75" s="173">
        <f t="shared" si="213"/>
        <v>0.60759999999999992</v>
      </c>
      <c r="BN75" s="173">
        <f t="shared" si="214"/>
        <v>4.3399999999999994E-2</v>
      </c>
      <c r="BO75" s="528"/>
      <c r="BQ75" s="460">
        <f t="shared" si="281"/>
        <v>650.99999999999989</v>
      </c>
      <c r="BR75" s="528">
        <f t="shared" si="215"/>
        <v>5.332105527187949E-2</v>
      </c>
      <c r="BS75" s="528">
        <f t="shared" si="216"/>
        <v>3.7328194814176201E-2</v>
      </c>
      <c r="BT75" s="528">
        <f t="shared" si="217"/>
        <v>6.2381916656813603E-5</v>
      </c>
      <c r="BU75" s="528">
        <f t="shared" si="218"/>
        <v>1.3056973900102926</v>
      </c>
      <c r="BV75" s="528">
        <f t="shared" si="219"/>
        <v>1.4285466777360152</v>
      </c>
      <c r="BW75" s="625">
        <f t="shared" si="220"/>
        <v>0.68627239042589316</v>
      </c>
      <c r="BX75" s="460">
        <f t="shared" si="282"/>
        <v>2114.8190681619085</v>
      </c>
      <c r="BY75" s="173">
        <f t="shared" si="283"/>
        <v>3.7852383313460374</v>
      </c>
      <c r="BZ75" s="5">
        <f t="shared" si="284"/>
        <v>18.059999999999995</v>
      </c>
      <c r="CA75" s="173">
        <f t="shared" si="285"/>
        <v>0.82672478670491101</v>
      </c>
      <c r="CB75" s="5">
        <f t="shared" si="286"/>
        <v>82.672478670491103</v>
      </c>
      <c r="CC75">
        <f t="shared" si="287"/>
        <v>70</v>
      </c>
      <c r="CE75" s="562">
        <f t="shared" si="221"/>
        <v>-50</v>
      </c>
      <c r="CF75">
        <f t="shared" si="222"/>
        <v>-50</v>
      </c>
      <c r="CG75" s="173">
        <f t="shared" si="223"/>
        <v>0.58114024475735249</v>
      </c>
      <c r="CH75" s="173">
        <f t="shared" si="224"/>
        <v>0.1583991712777521</v>
      </c>
      <c r="CI75" s="170">
        <v>70</v>
      </c>
      <c r="CJ75" s="217">
        <f t="shared" si="309"/>
        <v>0.7</v>
      </c>
      <c r="CK75" s="217">
        <f t="shared" si="288"/>
        <v>6.9999999999999993E-2</v>
      </c>
      <c r="CL75" s="217">
        <f t="shared" si="225"/>
        <v>16.799999999999997</v>
      </c>
      <c r="CM75" s="217">
        <f t="shared" si="310"/>
        <v>1.2599999999999998</v>
      </c>
      <c r="CN75" s="541">
        <f t="shared" si="289"/>
        <v>24</v>
      </c>
      <c r="CO75" s="443">
        <f t="shared" si="226"/>
        <v>16.474900000000002</v>
      </c>
      <c r="CP75" s="443">
        <f t="shared" si="227"/>
        <v>40.474900000000005</v>
      </c>
      <c r="CQ75" s="443"/>
      <c r="CR75" s="217">
        <f t="shared" si="228"/>
        <v>0.40507913686898112</v>
      </c>
      <c r="CS75" s="172">
        <f t="shared" si="290"/>
        <v>50.242373565144938</v>
      </c>
      <c r="CT75" s="172">
        <f t="shared" si="229"/>
        <v>4.0507913686898105</v>
      </c>
      <c r="CU75" s="217">
        <f t="shared" si="230"/>
        <v>2.0934322318810392</v>
      </c>
      <c r="CV75" s="217">
        <f t="shared" si="231"/>
        <v>2.7912429758413855</v>
      </c>
      <c r="CW75" s="443">
        <f t="shared" si="232"/>
        <v>24</v>
      </c>
      <c r="CX75" s="217">
        <f t="shared" si="233"/>
        <v>3.7153234097237084</v>
      </c>
      <c r="CY75" s="217">
        <f t="shared" si="234"/>
        <v>1.5480514207182119</v>
      </c>
      <c r="CZ75" s="217">
        <f t="shared" si="235"/>
        <v>2.2551417063069934</v>
      </c>
      <c r="DA75" s="197">
        <f t="shared" si="236"/>
        <v>350</v>
      </c>
      <c r="DB75" s="443">
        <f t="shared" si="291"/>
        <v>262.93694971577304</v>
      </c>
      <c r="DD75" s="217">
        <f t="shared" si="237"/>
        <v>2.7911308701724487</v>
      </c>
      <c r="DE75" s="173">
        <f t="shared" si="238"/>
        <v>1.6941716612376698</v>
      </c>
      <c r="DF75" s="173">
        <f t="shared" si="239"/>
        <v>0.55195223422072148</v>
      </c>
      <c r="DG75" s="173"/>
      <c r="DH75" s="173">
        <f t="shared" si="240"/>
        <v>1.3488532386977903</v>
      </c>
      <c r="DI75" s="545">
        <f t="shared" si="241"/>
        <v>700.24499999999978</v>
      </c>
      <c r="DJ75" s="528">
        <f t="shared" si="242"/>
        <v>0.34987754285999911</v>
      </c>
      <c r="DL75" s="173">
        <f t="shared" si="243"/>
        <v>3.2124756808418016</v>
      </c>
      <c r="DM75" s="173">
        <f t="shared" si="244"/>
        <v>3.7153234097237084</v>
      </c>
      <c r="DN75" s="173">
        <f t="shared" si="245"/>
        <v>2.3060008796307305</v>
      </c>
      <c r="DP75" s="545">
        <f t="shared" si="246"/>
        <v>700</v>
      </c>
      <c r="DQ75" s="460">
        <f t="shared" si="247"/>
        <v>262.93694971577304</v>
      </c>
      <c r="DS75">
        <f t="shared" si="292"/>
        <v>700</v>
      </c>
      <c r="DT75">
        <f t="shared" si="248"/>
        <v>262.93694971577304</v>
      </c>
      <c r="DV75" s="5">
        <f t="shared" si="293"/>
        <v>3.8031931270252053</v>
      </c>
      <c r="DW75" s="5">
        <f t="shared" si="249"/>
        <v>1.5480514207182119</v>
      </c>
      <c r="DX75" s="5">
        <f t="shared" si="294"/>
        <v>2.2551417063069934</v>
      </c>
      <c r="DY75" s="173">
        <f t="shared" si="295"/>
        <v>0.40703991856681548</v>
      </c>
      <c r="EA75" s="5">
        <f t="shared" si="250"/>
        <v>4.5151499770947847</v>
      </c>
      <c r="EB75" s="5">
        <f t="shared" si="251"/>
        <v>0.6020199969459713</v>
      </c>
      <c r="EC75" s="5">
        <f t="shared" si="252"/>
        <v>1.3154993286790788</v>
      </c>
      <c r="ED75" s="5"/>
      <c r="EE75" s="173">
        <f t="shared" si="296"/>
        <v>1.3685305541414914</v>
      </c>
      <c r="EF75" s="173">
        <f t="shared" si="253"/>
        <v>1.10172843683884</v>
      </c>
      <c r="EG75" s="173">
        <f t="shared" si="254"/>
        <v>0.11032172590507841</v>
      </c>
      <c r="EH75" s="173"/>
      <c r="EI75" s="528">
        <f t="shared" si="255"/>
        <v>7.4915035104752697E-2</v>
      </c>
      <c r="EJ75" s="528">
        <f t="shared" si="256"/>
        <v>1.0873434</v>
      </c>
      <c r="EK75" s="528">
        <f t="shared" si="257"/>
        <v>5.2587389943154608E-2</v>
      </c>
      <c r="EL75" s="528">
        <f t="shared" si="258"/>
        <v>7.5380886054554036E-2</v>
      </c>
      <c r="EM75">
        <f t="shared" si="259"/>
        <v>1.0800000000000001E-2</v>
      </c>
      <c r="EN75" s="460">
        <f t="shared" si="297"/>
        <v>63.387389943154609</v>
      </c>
      <c r="EO75">
        <f t="shared" si="260"/>
        <v>1.3451980433130479</v>
      </c>
      <c r="EP75" s="460">
        <f t="shared" si="298"/>
        <v>1345.1980433130479</v>
      </c>
      <c r="EQ75" s="173">
        <f t="shared" si="261"/>
        <v>0.60759999999999992</v>
      </c>
      <c r="ER75" s="173">
        <f t="shared" si="262"/>
        <v>4.3399999999999994E-2</v>
      </c>
      <c r="ES75" s="528"/>
      <c r="EU75" s="460">
        <f t="shared" si="299"/>
        <v>650.99999999999989</v>
      </c>
      <c r="EV75" s="528">
        <f t="shared" si="263"/>
        <v>5.6186276328564523E-2</v>
      </c>
      <c r="EW75" s="528">
        <f t="shared" si="300"/>
        <v>3.6414166456180619E-2</v>
      </c>
      <c r="EX75" s="528">
        <f t="shared" si="264"/>
        <v>6.0854416033376244E-5</v>
      </c>
      <c r="EY75" s="528">
        <f t="shared" si="265"/>
        <v>1.4913879008629327</v>
      </c>
      <c r="EZ75" s="528">
        <f t="shared" si="266"/>
        <v>1.6182840936605358</v>
      </c>
      <c r="FA75" s="625">
        <f t="shared" si="267"/>
        <v>0.7258967703087944</v>
      </c>
      <c r="FB75" s="460">
        <f t="shared" si="301"/>
        <v>2344.1808639693304</v>
      </c>
      <c r="FC75" s="173">
        <f t="shared" si="302"/>
        <v>4.3403789072823784</v>
      </c>
      <c r="FD75" s="5">
        <f t="shared" si="303"/>
        <v>18.059999999999995</v>
      </c>
      <c r="FE75" s="173">
        <f t="shared" si="304"/>
        <v>0.8062363621058517</v>
      </c>
      <c r="FF75" s="5">
        <f t="shared" si="305"/>
        <v>80.623636210585175</v>
      </c>
      <c r="FG75">
        <f t="shared" si="306"/>
        <v>70</v>
      </c>
      <c r="FI75" s="562">
        <f t="shared" si="268"/>
        <v>-50</v>
      </c>
      <c r="FJ75">
        <f t="shared" si="269"/>
        <v>-50</v>
      </c>
      <c r="FL75">
        <f t="shared" si="270"/>
        <v>0.58114024475735249</v>
      </c>
    </row>
    <row r="76" spans="5:168">
      <c r="E76" s="170">
        <v>71</v>
      </c>
      <c r="F76" s="217">
        <f t="shared" si="307"/>
        <v>0.71</v>
      </c>
      <c r="G76" s="217">
        <f t="shared" si="271"/>
        <v>7.0999999999999994E-2</v>
      </c>
      <c r="H76" s="217">
        <f t="shared" si="176"/>
        <v>17.04</v>
      </c>
      <c r="I76" s="217">
        <f t="shared" si="308"/>
        <v>1.2779999999999998</v>
      </c>
      <c r="J76" s="541">
        <f t="shared" si="177"/>
        <v>23.836548594271981</v>
      </c>
      <c r="K76" s="443">
        <f t="shared" si="178"/>
        <v>16.499346938803786</v>
      </c>
      <c r="L76" s="172">
        <f t="shared" si="179"/>
        <v>40.335895533075771</v>
      </c>
      <c r="M76" s="443"/>
      <c r="N76" s="217">
        <f t="shared" si="180"/>
        <v>0.40904873241934553</v>
      </c>
      <c r="O76" s="172">
        <f t="shared" si="272"/>
        <v>50.389198903044381</v>
      </c>
      <c r="P76" s="172">
        <f t="shared" si="181"/>
        <v>4.0626291615579531</v>
      </c>
      <c r="Q76" s="217">
        <f t="shared" si="182"/>
        <v>2.0995499542935159</v>
      </c>
      <c r="R76" s="217">
        <f t="shared" si="183"/>
        <v>2.7993999390580213</v>
      </c>
      <c r="S76" s="443">
        <f t="shared" si="184"/>
        <v>24</v>
      </c>
      <c r="T76" s="217">
        <f t="shared" si="185"/>
        <v>3.7574189996081544</v>
      </c>
      <c r="U76" s="217">
        <f t="shared" si="186"/>
        <v>1.5763267843697295</v>
      </c>
      <c r="V76" s="217">
        <f t="shared" si="187"/>
        <v>2.2773137709901206</v>
      </c>
      <c r="W76" s="197">
        <f t="shared" si="188"/>
        <v>350</v>
      </c>
      <c r="X76" s="443">
        <f t="shared" si="273"/>
        <v>246.69182833139183</v>
      </c>
      <c r="Z76" s="217">
        <f t="shared" si="189"/>
        <v>2.7858028536397388</v>
      </c>
      <c r="AA76" s="173">
        <f t="shared" si="190"/>
        <v>1.6884321930875839</v>
      </c>
      <c r="AB76" s="173">
        <f t="shared" si="191"/>
        <v>0.54903228815066729</v>
      </c>
      <c r="AC76" s="173"/>
      <c r="AD76" s="173">
        <f t="shared" si="192"/>
        <v>1.3468546545899442</v>
      </c>
      <c r="AE76" s="545">
        <f t="shared" si="193"/>
        <v>711.30243062264287</v>
      </c>
      <c r="AF76" s="528">
        <f t="shared" si="194"/>
        <v>0.34935913234891386</v>
      </c>
      <c r="AH76" s="173">
        <f t="shared" si="195"/>
        <v>3.235340564983626</v>
      </c>
      <c r="AI76" s="173">
        <f t="shared" si="196"/>
        <v>3.7574189996081544</v>
      </c>
      <c r="AJ76" s="173">
        <f t="shared" si="197"/>
        <v>2.3371827980636533</v>
      </c>
      <c r="AL76" s="545">
        <f t="shared" si="198"/>
        <v>710</v>
      </c>
      <c r="AM76" s="460">
        <f t="shared" si="199"/>
        <v>246.69182833139183</v>
      </c>
      <c r="AO76">
        <f t="shared" si="274"/>
        <v>710</v>
      </c>
      <c r="AP76">
        <f t="shared" si="200"/>
        <v>246.69182833139183</v>
      </c>
      <c r="AR76" s="5">
        <f t="shared" si="275"/>
        <v>4.0536405553598502</v>
      </c>
      <c r="AS76" s="5">
        <f t="shared" si="201"/>
        <v>1.5763267843697295</v>
      </c>
      <c r="AT76" s="5">
        <f t="shared" si="276"/>
        <v>2.4773137709901207</v>
      </c>
      <c r="AU76" s="173">
        <f t="shared" si="277"/>
        <v>0.38886693648391218</v>
      </c>
      <c r="AW76" s="5">
        <f t="shared" si="202"/>
        <v>4.6633000704271161</v>
      </c>
      <c r="AX76" s="5">
        <f t="shared" si="203"/>
        <v>0.62177334272361551</v>
      </c>
      <c r="AY76" s="5">
        <f t="shared" si="204"/>
        <v>1.4757948454212488</v>
      </c>
      <c r="AZ76" s="5"/>
      <c r="BA76" s="173">
        <f t="shared" si="278"/>
        <v>1.3527872739294535</v>
      </c>
      <c r="BB76" s="173">
        <f t="shared" si="205"/>
        <v>1.1311565741204443</v>
      </c>
      <c r="BC76" s="173">
        <f t="shared" si="206"/>
        <v>0.11326851640854717</v>
      </c>
      <c r="BD76" s="173"/>
      <c r="BE76" s="528">
        <f t="shared" si="207"/>
        <v>7.3201336340219289E-2</v>
      </c>
      <c r="BF76" s="528">
        <f t="shared" si="208"/>
        <v>0.84123747749176636</v>
      </c>
      <c r="BG76" s="528">
        <f t="shared" si="209"/>
        <v>0.23521127015324089</v>
      </c>
      <c r="BH76" s="528">
        <f t="shared" si="210"/>
        <v>7.0238660308248504E-2</v>
      </c>
      <c r="BI76">
        <f t="shared" si="211"/>
        <v>1.0726446867422391E-2</v>
      </c>
      <c r="BJ76" s="460">
        <f t="shared" si="279"/>
        <v>245.93771702066329</v>
      </c>
      <c r="BK76">
        <f t="shared" si="212"/>
        <v>1.0222209534552009</v>
      </c>
      <c r="BL76" s="460">
        <f t="shared" si="280"/>
        <v>1022.220953455201</v>
      </c>
      <c r="BM76" s="173">
        <f t="shared" si="213"/>
        <v>0.61627999999999994</v>
      </c>
      <c r="BN76" s="173">
        <f t="shared" si="214"/>
        <v>4.4019999999999997E-2</v>
      </c>
      <c r="BO76" s="528"/>
      <c r="BQ76" s="460">
        <f t="shared" si="281"/>
        <v>660.29999999999984</v>
      </c>
      <c r="BR76" s="528">
        <f t="shared" si="215"/>
        <v>5.490100225516447E-2</v>
      </c>
      <c r="BS76" s="528">
        <f t="shared" si="216"/>
        <v>3.8385455855277008E-2</v>
      </c>
      <c r="BT76" s="528">
        <f t="shared" si="217"/>
        <v>6.4148784046966602E-5</v>
      </c>
      <c r="BU76" s="528">
        <f t="shared" si="218"/>
        <v>1.307919399198809</v>
      </c>
      <c r="BV76" s="528">
        <f t="shared" si="219"/>
        <v>1.4343862176631703</v>
      </c>
      <c r="BW76" s="625">
        <f t="shared" si="220"/>
        <v>0.6965687927090044</v>
      </c>
      <c r="BX76" s="460">
        <f t="shared" si="282"/>
        <v>2130.9550103721749</v>
      </c>
      <c r="BY76" s="173">
        <f t="shared" si="283"/>
        <v>3.8134759638273756</v>
      </c>
      <c r="BZ76" s="5">
        <f t="shared" si="284"/>
        <v>18.317999999999998</v>
      </c>
      <c r="CA76" s="173">
        <f t="shared" si="285"/>
        <v>0.82768993943014546</v>
      </c>
      <c r="CB76" s="5">
        <f t="shared" si="286"/>
        <v>82.76899394301455</v>
      </c>
      <c r="CC76">
        <f t="shared" si="287"/>
        <v>71</v>
      </c>
      <c r="CE76" s="562">
        <f t="shared" si="221"/>
        <v>-50</v>
      </c>
      <c r="CF76">
        <f t="shared" si="222"/>
        <v>-50</v>
      </c>
      <c r="CG76" s="173">
        <f t="shared" si="223"/>
        <v>0.58114024475735238</v>
      </c>
      <c r="CH76" s="173">
        <f t="shared" si="224"/>
        <v>0.1583991712777521</v>
      </c>
      <c r="CI76" s="170">
        <v>71</v>
      </c>
      <c r="CJ76" s="217">
        <f t="shared" si="309"/>
        <v>0.71</v>
      </c>
      <c r="CK76" s="217">
        <f t="shared" si="288"/>
        <v>7.0999999999999994E-2</v>
      </c>
      <c r="CL76" s="217">
        <f t="shared" si="225"/>
        <v>17.04</v>
      </c>
      <c r="CM76" s="217">
        <f t="shared" si="310"/>
        <v>1.2779999999999998</v>
      </c>
      <c r="CN76" s="541">
        <f t="shared" si="289"/>
        <v>24</v>
      </c>
      <c r="CO76" s="443">
        <f t="shared" si="226"/>
        <v>16.474900000000002</v>
      </c>
      <c r="CP76" s="443">
        <f t="shared" si="227"/>
        <v>40.474900000000005</v>
      </c>
      <c r="CQ76" s="443"/>
      <c r="CR76" s="217">
        <f t="shared" si="228"/>
        <v>0.40507913686898112</v>
      </c>
      <c r="CS76" s="172">
        <f t="shared" si="290"/>
        <v>50.242373565144938</v>
      </c>
      <c r="CT76" s="172">
        <f t="shared" si="229"/>
        <v>4.0507913686898105</v>
      </c>
      <c r="CU76" s="217">
        <f t="shared" si="230"/>
        <v>2.0934322318810392</v>
      </c>
      <c r="CV76" s="217">
        <f t="shared" si="231"/>
        <v>2.7912429758413855</v>
      </c>
      <c r="CW76" s="443">
        <f t="shared" si="232"/>
        <v>24</v>
      </c>
      <c r="CX76" s="217">
        <f t="shared" si="233"/>
        <v>3.7683994584340477</v>
      </c>
      <c r="CY76" s="217">
        <f t="shared" si="234"/>
        <v>1.5701664410141867</v>
      </c>
      <c r="CZ76" s="217">
        <f t="shared" si="235"/>
        <v>2.2873580163970937</v>
      </c>
      <c r="DA76" s="197">
        <f t="shared" si="236"/>
        <v>350</v>
      </c>
      <c r="DB76" s="443">
        <f t="shared" si="291"/>
        <v>259.23361239583255</v>
      </c>
      <c r="DD76" s="217">
        <f t="shared" si="237"/>
        <v>2.7911308701724487</v>
      </c>
      <c r="DE76" s="173">
        <f t="shared" si="238"/>
        <v>1.6941716612376698</v>
      </c>
      <c r="DF76" s="173">
        <f t="shared" si="239"/>
        <v>0.55195223422072148</v>
      </c>
      <c r="DG76" s="173"/>
      <c r="DH76" s="173">
        <f t="shared" si="240"/>
        <v>1.3488532386977903</v>
      </c>
      <c r="DI76" s="545">
        <f t="shared" si="241"/>
        <v>710.24849999999981</v>
      </c>
      <c r="DJ76" s="528">
        <f t="shared" si="242"/>
        <v>0.34987754285999911</v>
      </c>
      <c r="DL76" s="173">
        <f t="shared" si="243"/>
        <v>3.235340564983626</v>
      </c>
      <c r="DM76" s="173">
        <f t="shared" si="244"/>
        <v>3.7683994584340477</v>
      </c>
      <c r="DN76" s="173">
        <f t="shared" si="245"/>
        <v>2.3453164712680188</v>
      </c>
      <c r="DP76" s="545">
        <f t="shared" si="246"/>
        <v>710</v>
      </c>
      <c r="DQ76" s="460">
        <f t="shared" si="247"/>
        <v>259.23361239583255</v>
      </c>
      <c r="DS76">
        <f t="shared" si="292"/>
        <v>710</v>
      </c>
      <c r="DT76">
        <f t="shared" si="248"/>
        <v>259.23361239583255</v>
      </c>
      <c r="DV76" s="5">
        <f t="shared" si="293"/>
        <v>3.8575244574112801</v>
      </c>
      <c r="DW76" s="5">
        <f t="shared" si="249"/>
        <v>1.5701664410141867</v>
      </c>
      <c r="DX76" s="5">
        <f t="shared" si="294"/>
        <v>2.2873580163970937</v>
      </c>
      <c r="DY76" s="173">
        <f t="shared" si="295"/>
        <v>0.40703991856681554</v>
      </c>
      <c r="EA76" s="5">
        <f t="shared" si="250"/>
        <v>4.6450757213336358</v>
      </c>
      <c r="EB76" s="5">
        <f t="shared" si="251"/>
        <v>0.6193434295111514</v>
      </c>
      <c r="EC76" s="5">
        <f t="shared" si="252"/>
        <v>1.3533534930349469</v>
      </c>
      <c r="ED76" s="5"/>
      <c r="EE76" s="173">
        <f t="shared" si="296"/>
        <v>1.3880809906292273</v>
      </c>
      <c r="EF76" s="173">
        <f t="shared" si="253"/>
        <v>1.1174674145079662</v>
      </c>
      <c r="EG76" s="173">
        <f t="shared" si="254"/>
        <v>0.11189775056086525</v>
      </c>
      <c r="EH76" s="173"/>
      <c r="EI76" s="528">
        <f t="shared" si="255"/>
        <v>7.7070753461848676E-2</v>
      </c>
      <c r="EJ76" s="528">
        <f t="shared" si="256"/>
        <v>1.0873434</v>
      </c>
      <c r="EK76" s="528">
        <f t="shared" si="257"/>
        <v>5.184672247916651E-2</v>
      </c>
      <c r="EL76" s="528">
        <f t="shared" si="258"/>
        <v>7.4319183434067349E-2</v>
      </c>
      <c r="EM76">
        <f t="shared" si="259"/>
        <v>1.0800000000000001E-2</v>
      </c>
      <c r="EN76" s="460">
        <f t="shared" si="297"/>
        <v>62.646722479166513</v>
      </c>
      <c r="EO76">
        <f t="shared" si="260"/>
        <v>1.3468527451242283</v>
      </c>
      <c r="EP76" s="460">
        <f t="shared" si="298"/>
        <v>1346.8527451242282</v>
      </c>
      <c r="EQ76" s="173">
        <f t="shared" si="261"/>
        <v>0.61627999999999994</v>
      </c>
      <c r="ER76" s="173">
        <f t="shared" si="262"/>
        <v>4.4019999999999997E-2</v>
      </c>
      <c r="ES76" s="528"/>
      <c r="EU76" s="460">
        <f t="shared" si="299"/>
        <v>660.29999999999984</v>
      </c>
      <c r="EV76" s="528">
        <f t="shared" si="263"/>
        <v>5.7803065096386511E-2</v>
      </c>
      <c r="EW76" s="528">
        <f t="shared" si="300"/>
        <v>3.7462002674613561E-2</v>
      </c>
      <c r="EX76" s="528">
        <f t="shared" si="264"/>
        <v>6.2605532902908095E-5</v>
      </c>
      <c r="EY76" s="528">
        <f t="shared" si="265"/>
        <v>1.491387900862932</v>
      </c>
      <c r="EZ76" s="528">
        <f t="shared" si="266"/>
        <v>1.6219636574919476</v>
      </c>
      <c r="FA76" s="625">
        <f t="shared" si="267"/>
        <v>0.73626672417034889</v>
      </c>
      <c r="FB76" s="460">
        <f t="shared" si="301"/>
        <v>2358.2303816622962</v>
      </c>
      <c r="FC76" s="173">
        <f t="shared" si="302"/>
        <v>4.3653831267865248</v>
      </c>
      <c r="FD76" s="5">
        <f t="shared" si="303"/>
        <v>18.317999999999998</v>
      </c>
      <c r="FE76" s="173">
        <f t="shared" si="304"/>
        <v>0.8075514969532257</v>
      </c>
      <c r="FF76" s="5">
        <f t="shared" si="305"/>
        <v>80.755149695322572</v>
      </c>
      <c r="FG76">
        <f t="shared" si="306"/>
        <v>71</v>
      </c>
      <c r="FI76" s="562">
        <f t="shared" si="268"/>
        <v>-50</v>
      </c>
      <c r="FJ76">
        <f t="shared" si="269"/>
        <v>-50</v>
      </c>
      <c r="FL76">
        <f t="shared" si="270"/>
        <v>0.58114024475735249</v>
      </c>
    </row>
    <row r="77" spans="5:168">
      <c r="E77" s="170">
        <v>72</v>
      </c>
      <c r="F77" s="217">
        <f t="shared" si="307"/>
        <v>0.72</v>
      </c>
      <c r="G77" s="217">
        <f t="shared" si="271"/>
        <v>7.1999999999999995E-2</v>
      </c>
      <c r="H77" s="217">
        <f t="shared" si="176"/>
        <v>17.28</v>
      </c>
      <c r="I77" s="217">
        <f t="shared" si="308"/>
        <v>1.2959999999999998</v>
      </c>
      <c r="J77" s="541">
        <f t="shared" si="177"/>
        <v>23.834246461796937</v>
      </c>
      <c r="K77" s="443">
        <f t="shared" si="178"/>
        <v>16.499691261885527</v>
      </c>
      <c r="L77" s="172">
        <f t="shared" si="179"/>
        <v>40.333937723682467</v>
      </c>
      <c r="M77" s="443"/>
      <c r="N77" s="217">
        <f t="shared" si="180"/>
        <v>0.40907712445337496</v>
      </c>
      <c r="O77" s="172">
        <f t="shared" si="272"/>
        <v>50.387829488914299</v>
      </c>
      <c r="P77" s="172">
        <f t="shared" si="181"/>
        <v>4.0625187525437152</v>
      </c>
      <c r="Q77" s="217">
        <f t="shared" si="182"/>
        <v>2.0994928953714291</v>
      </c>
      <c r="R77" s="217">
        <f t="shared" si="183"/>
        <v>2.7993238604952388</v>
      </c>
      <c r="S77" s="443">
        <f t="shared" si="184"/>
        <v>24</v>
      </c>
      <c r="T77" s="217">
        <f t="shared" si="185"/>
        <v>3.810443949411265</v>
      </c>
      <c r="U77" s="217">
        <f t="shared" si="186"/>
        <v>1.5987264189446433</v>
      </c>
      <c r="V77" s="217">
        <f t="shared" si="187"/>
        <v>2.3094031815088769</v>
      </c>
      <c r="W77" s="197">
        <f t="shared" si="188"/>
        <v>350</v>
      </c>
      <c r="X77" s="443">
        <f t="shared" si="273"/>
        <v>243.41977913491436</v>
      </c>
      <c r="Z77" s="217">
        <f t="shared" si="189"/>
        <v>2.7857271446014047</v>
      </c>
      <c r="AA77" s="173">
        <f t="shared" si="190"/>
        <v>1.6883510729903572</v>
      </c>
      <c r="AB77" s="173">
        <f t="shared" si="191"/>
        <v>0.54899098990784645</v>
      </c>
      <c r="AC77" s="173"/>
      <c r="AD77" s="173">
        <f t="shared" si="192"/>
        <v>1.3468265478127952</v>
      </c>
      <c r="AE77" s="545">
        <f t="shared" si="193"/>
        <v>721.33582788093224</v>
      </c>
      <c r="AF77" s="528">
        <f t="shared" si="194"/>
        <v>0.34935184176321893</v>
      </c>
      <c r="AH77" s="173">
        <f t="shared" si="195"/>
        <v>3.2580449878504045</v>
      </c>
      <c r="AI77" s="173">
        <f t="shared" si="196"/>
        <v>3.810443949411265</v>
      </c>
      <c r="AJ77" s="173">
        <f t="shared" si="197"/>
        <v>2.37646053865855</v>
      </c>
      <c r="AL77" s="545">
        <f t="shared" si="198"/>
        <v>720</v>
      </c>
      <c r="AM77" s="460">
        <f t="shared" si="199"/>
        <v>243.41977913491436</v>
      </c>
      <c r="AO77">
        <f t="shared" si="274"/>
        <v>720</v>
      </c>
      <c r="AP77">
        <f t="shared" si="200"/>
        <v>243.41977913491436</v>
      </c>
      <c r="AR77" s="5">
        <f t="shared" si="275"/>
        <v>4.1081296004535206</v>
      </c>
      <c r="AS77" s="5">
        <f t="shared" si="201"/>
        <v>1.5987264189446433</v>
      </c>
      <c r="AT77" s="5">
        <f t="shared" si="276"/>
        <v>2.5094031815088771</v>
      </c>
      <c r="AU77" s="173">
        <f t="shared" si="277"/>
        <v>0.38916163179665764</v>
      </c>
      <c r="AW77" s="5">
        <f t="shared" si="202"/>
        <v>4.7961792568339296</v>
      </c>
      <c r="AX77" s="5">
        <f t="shared" si="203"/>
        <v>0.63949056757785727</v>
      </c>
      <c r="AY77" s="5">
        <f t="shared" si="204"/>
        <v>1.516112786349171</v>
      </c>
      <c r="AZ77" s="5"/>
      <c r="BA77" s="173">
        <f t="shared" si="278"/>
        <v>1.3723976261483588</v>
      </c>
      <c r="BB77" s="173">
        <f t="shared" si="205"/>
        <v>1.1468429214316138</v>
      </c>
      <c r="BC77" s="173">
        <f t="shared" si="206"/>
        <v>0.1148392709163278</v>
      </c>
      <c r="BD77" s="173"/>
      <c r="BE77" s="528">
        <f t="shared" si="207"/>
        <v>7.5339009770306012E-2</v>
      </c>
      <c r="BF77" s="528">
        <f t="shared" si="208"/>
        <v>0.84175282617880931</v>
      </c>
      <c r="BG77" s="528">
        <f t="shared" si="209"/>
        <v>0.23206908038310897</v>
      </c>
      <c r="BH77" s="528">
        <f t="shared" si="210"/>
        <v>6.9300307156985166E-2</v>
      </c>
      <c r="BI77">
        <f t="shared" si="211"/>
        <v>1.0725410907808621E-2</v>
      </c>
      <c r="BJ77" s="460">
        <f t="shared" si="279"/>
        <v>242.79449129091759</v>
      </c>
      <c r="BK77">
        <f t="shared" si="212"/>
        <v>1.0250832280106024</v>
      </c>
      <c r="BL77" s="460">
        <f t="shared" si="280"/>
        <v>1025.0832280106024</v>
      </c>
      <c r="BM77" s="173">
        <f t="shared" si="213"/>
        <v>0.62495999999999996</v>
      </c>
      <c r="BN77" s="173">
        <f t="shared" si="214"/>
        <v>4.4639999999999999E-2</v>
      </c>
      <c r="BO77" s="528"/>
      <c r="BQ77" s="460">
        <f t="shared" si="281"/>
        <v>669.6</v>
      </c>
      <c r="BR77" s="528">
        <f t="shared" si="215"/>
        <v>5.6504257327729505E-2</v>
      </c>
      <c r="BS77" s="528">
        <f t="shared" si="216"/>
        <v>3.9457460593133965E-2</v>
      </c>
      <c r="BT77" s="528">
        <f t="shared" si="217"/>
        <v>6.5940290722968657E-5</v>
      </c>
      <c r="BU77" s="528">
        <f t="shared" si="218"/>
        <v>1.3100823888755639</v>
      </c>
      <c r="BV77" s="528">
        <f t="shared" si="219"/>
        <v>1.4402207672649832</v>
      </c>
      <c r="BW77" s="625">
        <f t="shared" si="220"/>
        <v>0.70686587346231866</v>
      </c>
      <c r="BX77" s="460">
        <f t="shared" si="282"/>
        <v>2147.0866407273015</v>
      </c>
      <c r="BY77" s="173">
        <f t="shared" si="283"/>
        <v>3.841769868737904</v>
      </c>
      <c r="BZ77" s="5">
        <f t="shared" si="284"/>
        <v>18.576000000000001</v>
      </c>
      <c r="CA77" s="173">
        <f t="shared" si="285"/>
        <v>0.82862836529982664</v>
      </c>
      <c r="CB77" s="5">
        <f t="shared" si="286"/>
        <v>82.862836529982658</v>
      </c>
      <c r="CC77">
        <f t="shared" si="287"/>
        <v>72</v>
      </c>
      <c r="CE77" s="562">
        <f t="shared" si="221"/>
        <v>-50</v>
      </c>
      <c r="CF77">
        <f t="shared" si="222"/>
        <v>-50</v>
      </c>
      <c r="CG77" s="173">
        <f t="shared" si="223"/>
        <v>0.58114024475735249</v>
      </c>
      <c r="CH77" s="173">
        <f t="shared" si="224"/>
        <v>0.1583991712777521</v>
      </c>
      <c r="CI77" s="170">
        <v>72</v>
      </c>
      <c r="CJ77" s="217">
        <f t="shared" si="309"/>
        <v>0.72</v>
      </c>
      <c r="CK77" s="217">
        <f t="shared" si="288"/>
        <v>7.1999999999999995E-2</v>
      </c>
      <c r="CL77" s="217">
        <f t="shared" si="225"/>
        <v>17.28</v>
      </c>
      <c r="CM77" s="217">
        <f t="shared" si="310"/>
        <v>1.2959999999999998</v>
      </c>
      <c r="CN77" s="541">
        <f t="shared" si="289"/>
        <v>24</v>
      </c>
      <c r="CO77" s="443">
        <f t="shared" si="226"/>
        <v>16.474900000000002</v>
      </c>
      <c r="CP77" s="443">
        <f t="shared" si="227"/>
        <v>40.474900000000005</v>
      </c>
      <c r="CQ77" s="443"/>
      <c r="CR77" s="217">
        <f t="shared" si="228"/>
        <v>0.40507913686898112</v>
      </c>
      <c r="CS77" s="172">
        <f t="shared" si="290"/>
        <v>50.242373565144938</v>
      </c>
      <c r="CT77" s="172">
        <f t="shared" si="229"/>
        <v>4.0507913686898105</v>
      </c>
      <c r="CU77" s="217">
        <f t="shared" si="230"/>
        <v>2.0934322318810392</v>
      </c>
      <c r="CV77" s="217">
        <f t="shared" si="231"/>
        <v>2.7912429758413855</v>
      </c>
      <c r="CW77" s="443">
        <f t="shared" si="232"/>
        <v>24</v>
      </c>
      <c r="CX77" s="217">
        <f t="shared" si="233"/>
        <v>3.8214755071443869</v>
      </c>
      <c r="CY77" s="217">
        <f t="shared" si="234"/>
        <v>1.5922814613101612</v>
      </c>
      <c r="CZ77" s="217">
        <f t="shared" si="235"/>
        <v>2.3195743264871935</v>
      </c>
      <c r="DA77" s="197">
        <f t="shared" si="236"/>
        <v>350</v>
      </c>
      <c r="DB77" s="443">
        <f t="shared" si="291"/>
        <v>255.63314555700151</v>
      </c>
      <c r="DD77" s="217">
        <f t="shared" si="237"/>
        <v>2.7911308701724487</v>
      </c>
      <c r="DE77" s="173">
        <f t="shared" si="238"/>
        <v>1.6941716612376698</v>
      </c>
      <c r="DF77" s="173">
        <f t="shared" si="239"/>
        <v>0.55195223422072148</v>
      </c>
      <c r="DG77" s="173"/>
      <c r="DH77" s="173">
        <f t="shared" si="240"/>
        <v>1.3488532386977903</v>
      </c>
      <c r="DI77" s="545">
        <f t="shared" si="241"/>
        <v>720.25199999999984</v>
      </c>
      <c r="DJ77" s="528">
        <f t="shared" si="242"/>
        <v>0.34987754285999911</v>
      </c>
      <c r="DL77" s="173">
        <f t="shared" si="243"/>
        <v>3.2580449878504045</v>
      </c>
      <c r="DM77" s="173">
        <f t="shared" si="244"/>
        <v>3.8214755071443869</v>
      </c>
      <c r="DN77" s="173">
        <f t="shared" si="245"/>
        <v>2.384632062905307</v>
      </c>
      <c r="DP77" s="545">
        <f t="shared" si="246"/>
        <v>720</v>
      </c>
      <c r="DQ77" s="460">
        <f t="shared" si="247"/>
        <v>255.63314555700151</v>
      </c>
      <c r="DS77">
        <f t="shared" si="292"/>
        <v>720</v>
      </c>
      <c r="DT77">
        <f t="shared" si="248"/>
        <v>255.63314555700151</v>
      </c>
      <c r="DV77" s="5">
        <f t="shared" si="293"/>
        <v>3.911855787797355</v>
      </c>
      <c r="DW77" s="5">
        <f t="shared" si="249"/>
        <v>1.5922814613101612</v>
      </c>
      <c r="DX77" s="5">
        <f t="shared" si="294"/>
        <v>2.319574326487194</v>
      </c>
      <c r="DY77" s="173">
        <f t="shared" si="295"/>
        <v>0.40703991856681548</v>
      </c>
      <c r="EA77" s="5">
        <f t="shared" si="250"/>
        <v>4.7768443839304835</v>
      </c>
      <c r="EB77" s="5">
        <f t="shared" si="251"/>
        <v>0.63691258452406441</v>
      </c>
      <c r="EC77" s="5">
        <f t="shared" si="252"/>
        <v>1.3917445958923162</v>
      </c>
      <c r="ED77" s="5"/>
      <c r="EE77" s="173">
        <f t="shared" si="296"/>
        <v>1.407631427116963</v>
      </c>
      <c r="EF77" s="173">
        <f t="shared" si="253"/>
        <v>1.1332063921770927</v>
      </c>
      <c r="EG77" s="173">
        <f t="shared" si="254"/>
        <v>0.11347377521665211</v>
      </c>
      <c r="EH77" s="173"/>
      <c r="EI77" s="528">
        <f t="shared" si="255"/>
        <v>7.9257049384293524E-2</v>
      </c>
      <c r="EJ77" s="528">
        <f t="shared" si="256"/>
        <v>1.0873434000000002</v>
      </c>
      <c r="EK77" s="528">
        <f t="shared" si="257"/>
        <v>5.1126629111400299E-2</v>
      </c>
      <c r="EL77" s="528">
        <f t="shared" si="258"/>
        <v>7.3286972553038635E-2</v>
      </c>
      <c r="EM77">
        <f t="shared" si="259"/>
        <v>1.0800000000000001E-2</v>
      </c>
      <c r="EN77" s="460">
        <f t="shared" si="297"/>
        <v>61.926629111400302</v>
      </c>
      <c r="EO77">
        <f t="shared" si="260"/>
        <v>1.3486097653744957</v>
      </c>
      <c r="EP77" s="460">
        <f t="shared" si="298"/>
        <v>1348.6097653744957</v>
      </c>
      <c r="EQ77" s="173">
        <f t="shared" si="261"/>
        <v>0.62495999999999996</v>
      </c>
      <c r="ER77" s="173">
        <f t="shared" si="262"/>
        <v>4.4639999999999999E-2</v>
      </c>
      <c r="ES77" s="528"/>
      <c r="EU77" s="460">
        <f t="shared" si="299"/>
        <v>669.6</v>
      </c>
      <c r="EV77" s="528">
        <f t="shared" si="263"/>
        <v>5.9442787038220132E-2</v>
      </c>
      <c r="EW77" s="528">
        <f t="shared" si="300"/>
        <v>3.8524701818130683E-2</v>
      </c>
      <c r="EX77" s="528">
        <f t="shared" si="264"/>
        <v>6.4381488309596459E-5</v>
      </c>
      <c r="EY77" s="528">
        <f t="shared" si="265"/>
        <v>1.4913879008629316</v>
      </c>
      <c r="EZ77" s="528">
        <f t="shared" si="266"/>
        <v>1.625697029725329</v>
      </c>
      <c r="FA77" s="625">
        <f t="shared" si="267"/>
        <v>0.74663667803190303</v>
      </c>
      <c r="FB77" s="460">
        <f t="shared" si="301"/>
        <v>2372.3337077572323</v>
      </c>
      <c r="FC77" s="173">
        <f t="shared" si="302"/>
        <v>4.3905434731317277</v>
      </c>
      <c r="FD77" s="5">
        <f t="shared" si="303"/>
        <v>18.576000000000001</v>
      </c>
      <c r="FE77" s="173">
        <f t="shared" si="304"/>
        <v>0.80882872173306486</v>
      </c>
      <c r="FF77" s="5">
        <f t="shared" si="305"/>
        <v>80.882872173306481</v>
      </c>
      <c r="FG77">
        <f t="shared" si="306"/>
        <v>72</v>
      </c>
      <c r="FI77" s="562">
        <f t="shared" si="268"/>
        <v>-50</v>
      </c>
      <c r="FJ77">
        <f t="shared" si="269"/>
        <v>-50</v>
      </c>
      <c r="FL77">
        <f t="shared" si="270"/>
        <v>0.58114024475735249</v>
      </c>
    </row>
    <row r="78" spans="5:168">
      <c r="E78" s="170">
        <v>73</v>
      </c>
      <c r="F78" s="217">
        <f t="shared" si="307"/>
        <v>0.73</v>
      </c>
      <c r="G78" s="217">
        <f t="shared" si="271"/>
        <v>7.2999999999999995E-2</v>
      </c>
      <c r="H78" s="217">
        <f t="shared" si="176"/>
        <v>17.52</v>
      </c>
      <c r="I78" s="217">
        <f t="shared" si="308"/>
        <v>1.3139999999999998</v>
      </c>
      <c r="J78" s="541">
        <f t="shared" si="177"/>
        <v>23.831944329321896</v>
      </c>
      <c r="K78" s="443">
        <f t="shared" si="178"/>
        <v>16.500035584967272</v>
      </c>
      <c r="L78" s="172">
        <f t="shared" si="179"/>
        <v>40.331979914289164</v>
      </c>
      <c r="M78" s="443"/>
      <c r="N78" s="217">
        <f t="shared" si="180"/>
        <v>0.40910551924383698</v>
      </c>
      <c r="O78" s="172">
        <f t="shared" si="272"/>
        <v>50.386459738694839</v>
      </c>
      <c r="P78" s="172">
        <f t="shared" si="181"/>
        <v>4.0624083164322711</v>
      </c>
      <c r="Q78" s="217">
        <f t="shared" si="182"/>
        <v>2.0994358224456184</v>
      </c>
      <c r="R78" s="217">
        <f t="shared" si="183"/>
        <v>2.7992477632608246</v>
      </c>
      <c r="S78" s="443">
        <f t="shared" si="184"/>
        <v>24</v>
      </c>
      <c r="T78" s="217">
        <f t="shared" si="185"/>
        <v>3.8634718072317802</v>
      </c>
      <c r="U78" s="217">
        <f t="shared" si="186"/>
        <v>1.6211316012845478</v>
      </c>
      <c r="V78" s="217">
        <f t="shared" si="187"/>
        <v>2.3414930151736661</v>
      </c>
      <c r="W78" s="197">
        <f t="shared" si="188"/>
        <v>350</v>
      </c>
      <c r="X78" s="443">
        <f t="shared" si="273"/>
        <v>240.23304817018402</v>
      </c>
      <c r="Z78" s="217">
        <f t="shared" si="189"/>
        <v>2.785651416982128</v>
      </c>
      <c r="AA78" s="173">
        <f t="shared" si="190"/>
        <v>1.6882699450176086</v>
      </c>
      <c r="AB78" s="173">
        <f t="shared" si="191"/>
        <v>0.54894968687637569</v>
      </c>
      <c r="AC78" s="173"/>
      <c r="AD78" s="173">
        <f t="shared" si="192"/>
        <v>1.3467984422087116</v>
      </c>
      <c r="AE78" s="545">
        <f t="shared" si="193"/>
        <v>731.36964328269448</v>
      </c>
      <c r="AF78" s="528">
        <f t="shared" si="194"/>
        <v>0.34934455148180416</v>
      </c>
      <c r="AH78" s="173">
        <f t="shared" si="195"/>
        <v>3.2805922810196506</v>
      </c>
      <c r="AI78" s="173">
        <f t="shared" si="196"/>
        <v>3.8634718072317802</v>
      </c>
      <c r="AJ78" s="173">
        <f t="shared" si="197"/>
        <v>2.4157404333404133</v>
      </c>
      <c r="AL78" s="545">
        <f t="shared" si="198"/>
        <v>730</v>
      </c>
      <c r="AM78" s="460">
        <f t="shared" si="199"/>
        <v>240.23304817018402</v>
      </c>
      <c r="AO78">
        <f t="shared" si="274"/>
        <v>730</v>
      </c>
      <c r="AP78">
        <f t="shared" si="200"/>
        <v>240.23304817018402</v>
      </c>
      <c r="AR78" s="5">
        <f t="shared" si="275"/>
        <v>4.1626246164582144</v>
      </c>
      <c r="AS78" s="5">
        <f t="shared" si="201"/>
        <v>1.6211316012845478</v>
      </c>
      <c r="AT78" s="5">
        <f t="shared" si="276"/>
        <v>2.5414930151736668</v>
      </c>
      <c r="AU78" s="173">
        <f t="shared" si="277"/>
        <v>0.38944938606159835</v>
      </c>
      <c r="AW78" s="5">
        <f t="shared" si="202"/>
        <v>4.9309419539071664</v>
      </c>
      <c r="AX78" s="5">
        <f t="shared" si="203"/>
        <v>0.65745892718762211</v>
      </c>
      <c r="AY78" s="5">
        <f t="shared" si="204"/>
        <v>1.5569773707419245</v>
      </c>
      <c r="AZ78" s="5"/>
      <c r="BA78" s="173">
        <f t="shared" si="278"/>
        <v>1.3920108867193135</v>
      </c>
      <c r="BB78" s="173">
        <f t="shared" si="205"/>
        <v>1.1625289857860774</v>
      </c>
      <c r="BC78" s="173">
        <f t="shared" si="206"/>
        <v>0.11640999709020043</v>
      </c>
      <c r="BD78" s="173"/>
      <c r="BE78" s="528">
        <f t="shared" si="207"/>
        <v>7.7507772349803578E-2</v>
      </c>
      <c r="BF78" s="528">
        <f t="shared" si="208"/>
        <v>0.84225298650126856</v>
      </c>
      <c r="BG78" s="528">
        <f t="shared" si="209"/>
        <v>0.22900882520220522</v>
      </c>
      <c r="BH78" s="528">
        <f t="shared" si="210"/>
        <v>6.8386422484660495E-2</v>
      </c>
      <c r="BI78">
        <f t="shared" si="211"/>
        <v>1.0724374948194853E-2</v>
      </c>
      <c r="BJ78" s="460">
        <f t="shared" si="279"/>
        <v>239.73320015040008</v>
      </c>
      <c r="BK78">
        <f t="shared" si="212"/>
        <v>1.0280058785467987</v>
      </c>
      <c r="BL78" s="460">
        <f t="shared" si="280"/>
        <v>1028.0058785467986</v>
      </c>
      <c r="BM78" s="173">
        <f t="shared" si="213"/>
        <v>0.63363999999999998</v>
      </c>
      <c r="BN78" s="173">
        <f t="shared" si="214"/>
        <v>4.5259999999999995E-2</v>
      </c>
      <c r="BO78" s="528"/>
      <c r="BQ78" s="460">
        <f t="shared" si="281"/>
        <v>678.9</v>
      </c>
      <c r="BR78" s="528">
        <f t="shared" si="215"/>
        <v>5.8130829262352683E-2</v>
      </c>
      <c r="BS78" s="528">
        <f t="shared" si="216"/>
        <v>4.0544209283784174E-2</v>
      </c>
      <c r="BT78" s="528">
        <f t="shared" si="217"/>
        <v>6.7756437112702364E-5</v>
      </c>
      <c r="BU78" s="528">
        <f t="shared" si="218"/>
        <v>1.3121885760779841</v>
      </c>
      <c r="BV78" s="528">
        <f t="shared" si="219"/>
        <v>1.4460526240807814</v>
      </c>
      <c r="BW78" s="625">
        <f t="shared" si="220"/>
        <v>0.71716360616610186</v>
      </c>
      <c r="BX78" s="460">
        <f t="shared" si="282"/>
        <v>2163.2162302468832</v>
      </c>
      <c r="BY78" s="173">
        <f t="shared" si="283"/>
        <v>3.8701221087936823</v>
      </c>
      <c r="BZ78" s="5">
        <f t="shared" si="284"/>
        <v>18.834</v>
      </c>
      <c r="CA78" s="173">
        <f t="shared" si="285"/>
        <v>0.82954099302986395</v>
      </c>
      <c r="CB78" s="5">
        <f t="shared" si="286"/>
        <v>82.954099302986393</v>
      </c>
      <c r="CC78">
        <f t="shared" si="287"/>
        <v>73</v>
      </c>
      <c r="CE78" s="562">
        <f t="shared" si="221"/>
        <v>-50</v>
      </c>
      <c r="CF78">
        <f t="shared" si="222"/>
        <v>-50</v>
      </c>
      <c r="CG78" s="173">
        <f t="shared" si="223"/>
        <v>0.58114024475735238</v>
      </c>
      <c r="CH78" s="173">
        <f t="shared" si="224"/>
        <v>0.15839917127775208</v>
      </c>
      <c r="CI78" s="170">
        <v>73</v>
      </c>
      <c r="CJ78" s="217">
        <f t="shared" si="309"/>
        <v>0.73</v>
      </c>
      <c r="CK78" s="217">
        <f t="shared" si="288"/>
        <v>7.2999999999999995E-2</v>
      </c>
      <c r="CL78" s="217">
        <f t="shared" si="225"/>
        <v>17.52</v>
      </c>
      <c r="CM78" s="217">
        <f t="shared" si="310"/>
        <v>1.3139999999999998</v>
      </c>
      <c r="CN78" s="541">
        <f t="shared" si="289"/>
        <v>24</v>
      </c>
      <c r="CO78" s="443">
        <f t="shared" si="226"/>
        <v>16.474900000000002</v>
      </c>
      <c r="CP78" s="443">
        <f t="shared" si="227"/>
        <v>40.474900000000005</v>
      </c>
      <c r="CQ78" s="443"/>
      <c r="CR78" s="217">
        <f t="shared" si="228"/>
        <v>0.40507913686898112</v>
      </c>
      <c r="CS78" s="172">
        <f t="shared" si="290"/>
        <v>50.242373565144938</v>
      </c>
      <c r="CT78" s="172">
        <f t="shared" si="229"/>
        <v>4.0507913686898105</v>
      </c>
      <c r="CU78" s="217">
        <f t="shared" si="230"/>
        <v>2.0934322318810392</v>
      </c>
      <c r="CV78" s="217">
        <f t="shared" si="231"/>
        <v>2.7912429758413855</v>
      </c>
      <c r="CW78" s="443">
        <f t="shared" si="232"/>
        <v>24</v>
      </c>
      <c r="CX78" s="217">
        <f t="shared" si="233"/>
        <v>3.8745515558547257</v>
      </c>
      <c r="CY78" s="217">
        <f t="shared" si="234"/>
        <v>1.6143964816061358</v>
      </c>
      <c r="CZ78" s="217">
        <f t="shared" si="235"/>
        <v>2.3517906365772938</v>
      </c>
      <c r="DA78" s="197">
        <f t="shared" si="236"/>
        <v>350</v>
      </c>
      <c r="DB78" s="443">
        <f t="shared" si="291"/>
        <v>252.13132164526169</v>
      </c>
      <c r="DD78" s="217">
        <f t="shared" si="237"/>
        <v>2.7911308701724487</v>
      </c>
      <c r="DE78" s="173">
        <f t="shared" si="238"/>
        <v>1.6941716612376698</v>
      </c>
      <c r="DF78" s="173">
        <f t="shared" si="239"/>
        <v>0.55195223422072148</v>
      </c>
      <c r="DG78" s="173"/>
      <c r="DH78" s="173">
        <f t="shared" si="240"/>
        <v>1.3488532386977903</v>
      </c>
      <c r="DI78" s="545">
        <f t="shared" si="241"/>
        <v>730.25549999999976</v>
      </c>
      <c r="DJ78" s="528">
        <f t="shared" si="242"/>
        <v>0.34987754285999911</v>
      </c>
      <c r="DL78" s="173">
        <f t="shared" si="243"/>
        <v>3.2805922810196506</v>
      </c>
      <c r="DM78" s="173">
        <f t="shared" si="244"/>
        <v>3.8745515558547257</v>
      </c>
      <c r="DN78" s="173">
        <f t="shared" si="245"/>
        <v>2.4239476545425953</v>
      </c>
      <c r="DP78" s="545">
        <f t="shared" si="246"/>
        <v>730</v>
      </c>
      <c r="DQ78" s="460">
        <f t="shared" si="247"/>
        <v>252.13132164526169</v>
      </c>
      <c r="DS78">
        <f t="shared" si="292"/>
        <v>730</v>
      </c>
      <c r="DT78">
        <f t="shared" si="248"/>
        <v>252.13132164526169</v>
      </c>
      <c r="DV78" s="5">
        <f t="shared" si="293"/>
        <v>3.9661871181834303</v>
      </c>
      <c r="DW78" s="5">
        <f t="shared" si="249"/>
        <v>1.6143964816061358</v>
      </c>
      <c r="DX78" s="5">
        <f t="shared" si="294"/>
        <v>2.3517906365772943</v>
      </c>
      <c r="DY78" s="173">
        <f t="shared" si="295"/>
        <v>0.40703991856681543</v>
      </c>
      <c r="EA78" s="5">
        <f t="shared" si="250"/>
        <v>4.9104559648853296</v>
      </c>
      <c r="EB78" s="5">
        <f t="shared" si="251"/>
        <v>0.65472746198471055</v>
      </c>
      <c r="EC78" s="5">
        <f t="shared" si="252"/>
        <v>1.4306726372511871</v>
      </c>
      <c r="ED78" s="5"/>
      <c r="EE78" s="173">
        <f t="shared" si="296"/>
        <v>1.4271818636046987</v>
      </c>
      <c r="EF78" s="173">
        <f t="shared" si="253"/>
        <v>1.1489453698462191</v>
      </c>
      <c r="EG78" s="173">
        <f t="shared" si="254"/>
        <v>0.11504979987243893</v>
      </c>
      <c r="EH78" s="173"/>
      <c r="EI78" s="528">
        <f t="shared" si="255"/>
        <v>8.1473922872087226E-2</v>
      </c>
      <c r="EJ78" s="528">
        <f t="shared" si="256"/>
        <v>1.0873434</v>
      </c>
      <c r="EK78" s="528">
        <f t="shared" si="257"/>
        <v>5.0426264329052332E-2</v>
      </c>
      <c r="EL78" s="528">
        <f t="shared" si="258"/>
        <v>7.2283041422175065E-2</v>
      </c>
      <c r="EM78">
        <f t="shared" si="259"/>
        <v>1.0800000000000001E-2</v>
      </c>
      <c r="EN78" s="460">
        <f t="shared" si="297"/>
        <v>61.226264329052327</v>
      </c>
      <c r="EO78">
        <f t="shared" si="260"/>
        <v>1.3504672075992807</v>
      </c>
      <c r="EP78" s="460">
        <f t="shared" si="298"/>
        <v>1350.4672075992808</v>
      </c>
      <c r="EQ78" s="173">
        <f t="shared" si="261"/>
        <v>0.63363999999999998</v>
      </c>
      <c r="ER78" s="173">
        <f t="shared" si="262"/>
        <v>4.5259999999999995E-2</v>
      </c>
      <c r="ES78" s="528"/>
      <c r="EU78" s="460">
        <f t="shared" si="299"/>
        <v>678.9</v>
      </c>
      <c r="EV78" s="528">
        <f t="shared" si="263"/>
        <v>6.1105442154065416E-2</v>
      </c>
      <c r="EW78" s="528">
        <f t="shared" si="300"/>
        <v>3.960226388673195E-2</v>
      </c>
      <c r="EX78" s="528">
        <f t="shared" si="264"/>
        <v>6.6182282253441252E-5</v>
      </c>
      <c r="EY78" s="528">
        <f t="shared" si="265"/>
        <v>1.4913879008629316</v>
      </c>
      <c r="EZ78" s="528">
        <f t="shared" si="266"/>
        <v>1.6294842797298881</v>
      </c>
      <c r="FA78" s="625">
        <f t="shared" si="267"/>
        <v>0.75700663189345707</v>
      </c>
      <c r="FB78" s="460">
        <f t="shared" si="301"/>
        <v>2386.4909116233453</v>
      </c>
      <c r="FC78" s="173">
        <f t="shared" si="302"/>
        <v>4.4158581192226256</v>
      </c>
      <c r="FD78" s="5">
        <f t="shared" si="303"/>
        <v>18.834</v>
      </c>
      <c r="FE78" s="173">
        <f t="shared" si="304"/>
        <v>0.81006945949611353</v>
      </c>
      <c r="FF78" s="5">
        <f t="shared" si="305"/>
        <v>81.00694594961135</v>
      </c>
      <c r="FG78">
        <f t="shared" si="306"/>
        <v>73</v>
      </c>
      <c r="FI78" s="562">
        <f t="shared" si="268"/>
        <v>-50</v>
      </c>
      <c r="FJ78">
        <f t="shared" si="269"/>
        <v>-50</v>
      </c>
      <c r="FL78">
        <f t="shared" si="270"/>
        <v>0.58114024475735226</v>
      </c>
    </row>
    <row r="79" spans="5:168">
      <c r="E79" s="170">
        <v>74</v>
      </c>
      <c r="F79" s="217">
        <f t="shared" si="307"/>
        <v>0.74</v>
      </c>
      <c r="G79" s="217">
        <f t="shared" si="271"/>
        <v>7.3999999999999996E-2</v>
      </c>
      <c r="H79" s="217">
        <f t="shared" si="176"/>
        <v>17.759999999999998</v>
      </c>
      <c r="I79" s="217">
        <f t="shared" si="308"/>
        <v>1.3319999999999999</v>
      </c>
      <c r="J79" s="541">
        <f t="shared" si="177"/>
        <v>23.829642196846851</v>
      </c>
      <c r="K79" s="443">
        <f t="shared" si="178"/>
        <v>16.500379908049016</v>
      </c>
      <c r="L79" s="172">
        <f t="shared" si="179"/>
        <v>40.330022104895868</v>
      </c>
      <c r="M79" s="443"/>
      <c r="N79" s="217">
        <f t="shared" si="180"/>
        <v>0.40913391679113287</v>
      </c>
      <c r="O79" s="172">
        <f t="shared" si="272"/>
        <v>50.385089652336987</v>
      </c>
      <c r="P79" s="172">
        <f t="shared" si="181"/>
        <v>4.0622978532196701</v>
      </c>
      <c r="Q79" s="217">
        <f t="shared" si="182"/>
        <v>2.099378735514041</v>
      </c>
      <c r="R79" s="217">
        <f t="shared" si="183"/>
        <v>2.7991716473520549</v>
      </c>
      <c r="S79" s="443">
        <f t="shared" si="184"/>
        <v>24</v>
      </c>
      <c r="T79" s="217">
        <f t="shared" si="185"/>
        <v>3.9165025743718305</v>
      </c>
      <c r="U79" s="217">
        <f t="shared" si="186"/>
        <v>1.6435423335437509</v>
      </c>
      <c r="V79" s="217">
        <f t="shared" si="187"/>
        <v>2.3735832727471502</v>
      </c>
      <c r="W79" s="197">
        <f t="shared" si="188"/>
        <v>350</v>
      </c>
      <c r="X79" s="443">
        <f t="shared" si="273"/>
        <v>237.12834128256674</v>
      </c>
      <c r="Z79" s="217">
        <f t="shared" si="189"/>
        <v>2.7855756707792021</v>
      </c>
      <c r="AA79" s="173">
        <f t="shared" si="190"/>
        <v>1.6881888091681916</v>
      </c>
      <c r="AB79" s="173">
        <f t="shared" si="191"/>
        <v>0.5489083790560858</v>
      </c>
      <c r="AC79" s="173"/>
      <c r="AD79" s="173">
        <f t="shared" si="192"/>
        <v>1.3467703377776199</v>
      </c>
      <c r="AE79" s="545">
        <f t="shared" si="193"/>
        <v>741.40387682792925</v>
      </c>
      <c r="AF79" s="528">
        <f t="shared" si="194"/>
        <v>0.34933726150465044</v>
      </c>
      <c r="AH79" s="173">
        <f t="shared" si="195"/>
        <v>3.3029856623537261</v>
      </c>
      <c r="AI79" s="173">
        <f t="shared" si="196"/>
        <v>3.9165025743718305</v>
      </c>
      <c r="AJ79" s="173">
        <f t="shared" si="197"/>
        <v>2.4550224830737841</v>
      </c>
      <c r="AL79" s="545">
        <f t="shared" si="198"/>
        <v>740</v>
      </c>
      <c r="AM79" s="460">
        <f t="shared" si="199"/>
        <v>237.12834128256674</v>
      </c>
      <c r="AO79">
        <f t="shared" si="274"/>
        <v>740</v>
      </c>
      <c r="AP79">
        <f t="shared" si="200"/>
        <v>237.12834128256674</v>
      </c>
      <c r="AR79" s="5">
        <f t="shared" si="275"/>
        <v>4.2171256062909013</v>
      </c>
      <c r="AS79" s="5">
        <f t="shared" si="201"/>
        <v>1.6435423335437509</v>
      </c>
      <c r="AT79" s="5">
        <f t="shared" si="276"/>
        <v>2.5735832727471504</v>
      </c>
      <c r="AU79" s="173">
        <f t="shared" si="277"/>
        <v>0.38973046738090872</v>
      </c>
      <c r="AW79" s="5">
        <f t="shared" si="202"/>
        <v>5.0675888617598979</v>
      </c>
      <c r="AX79" s="5">
        <f t="shared" si="203"/>
        <v>0.6756785149013198</v>
      </c>
      <c r="AY79" s="5">
        <f t="shared" si="204"/>
        <v>1.5983887681577431</v>
      </c>
      <c r="AZ79" s="5"/>
      <c r="BA79" s="173">
        <f t="shared" si="278"/>
        <v>1.4116270379806424</v>
      </c>
      <c r="BB79" s="173">
        <f t="shared" si="205"/>
        <v>1.1782147821519413</v>
      </c>
      <c r="BC79" s="173">
        <f t="shared" si="206"/>
        <v>0.11798069642899843</v>
      </c>
      <c r="BD79" s="173"/>
      <c r="BE79" s="528">
        <f t="shared" si="207"/>
        <v>7.9707635774320079E-2</v>
      </c>
      <c r="BF79" s="528">
        <f t="shared" si="208"/>
        <v>0.84273854474718723</v>
      </c>
      <c r="BG79" s="528">
        <f t="shared" si="209"/>
        <v>0.22602734109981415</v>
      </c>
      <c r="BH79" s="528">
        <f t="shared" si="210"/>
        <v>6.7496061558406512E-2</v>
      </c>
      <c r="BI79">
        <f t="shared" si="211"/>
        <v>1.0723338988581082E-2</v>
      </c>
      <c r="BJ79" s="460">
        <f t="shared" si="279"/>
        <v>236.75068008839523</v>
      </c>
      <c r="BK79">
        <f t="shared" si="212"/>
        <v>1.0309887189137801</v>
      </c>
      <c r="BL79" s="460">
        <f t="shared" si="280"/>
        <v>1030.9887189137801</v>
      </c>
      <c r="BM79" s="173">
        <f t="shared" si="213"/>
        <v>0.64232</v>
      </c>
      <c r="BN79" s="173">
        <f t="shared" si="214"/>
        <v>4.5879999999999997E-2</v>
      </c>
      <c r="BO79" s="528"/>
      <c r="BQ79" s="460">
        <f t="shared" si="281"/>
        <v>688.2</v>
      </c>
      <c r="BR79" s="528">
        <f t="shared" si="215"/>
        <v>5.9780726830740059E-2</v>
      </c>
      <c r="BS79" s="528">
        <f t="shared" si="216"/>
        <v>4.1645702186440398E-2</v>
      </c>
      <c r="BT79" s="528">
        <f t="shared" si="217"/>
        <v>6.9597223649357407E-5</v>
      </c>
      <c r="BU79" s="528">
        <f t="shared" si="218"/>
        <v>1.3142400682758506</v>
      </c>
      <c r="BV79" s="528">
        <f t="shared" si="219"/>
        <v>1.4518839771539884</v>
      </c>
      <c r="BW79" s="625">
        <f t="shared" si="220"/>
        <v>0.72746196566586596</v>
      </c>
      <c r="BX79" s="460">
        <f t="shared" si="282"/>
        <v>2179.3459428198544</v>
      </c>
      <c r="BY79" s="173">
        <f t="shared" si="283"/>
        <v>3.8985346617336343</v>
      </c>
      <c r="BZ79" s="5">
        <f t="shared" si="284"/>
        <v>19.091999999999999</v>
      </c>
      <c r="CA79" s="173">
        <f t="shared" si="285"/>
        <v>0.83042870820127068</v>
      </c>
      <c r="CB79" s="5">
        <f t="shared" si="286"/>
        <v>83.042870820127064</v>
      </c>
      <c r="CC79">
        <f t="shared" si="287"/>
        <v>74</v>
      </c>
      <c r="CE79" s="562">
        <f t="shared" si="221"/>
        <v>-50</v>
      </c>
      <c r="CF79">
        <f t="shared" si="222"/>
        <v>-50</v>
      </c>
      <c r="CG79" s="173">
        <f t="shared" si="223"/>
        <v>0.58114024475735238</v>
      </c>
      <c r="CH79" s="173">
        <f t="shared" si="224"/>
        <v>0.15839917127775208</v>
      </c>
      <c r="CI79" s="170">
        <v>74</v>
      </c>
      <c r="CJ79" s="217">
        <f t="shared" si="309"/>
        <v>0.74</v>
      </c>
      <c r="CK79" s="217">
        <f t="shared" si="288"/>
        <v>7.3999999999999996E-2</v>
      </c>
      <c r="CL79" s="217">
        <f t="shared" si="225"/>
        <v>17.759999999999998</v>
      </c>
      <c r="CM79" s="217">
        <f t="shared" si="310"/>
        <v>1.3319999999999999</v>
      </c>
      <c r="CN79" s="541">
        <f t="shared" si="289"/>
        <v>24</v>
      </c>
      <c r="CO79" s="443">
        <f t="shared" si="226"/>
        <v>16.474900000000002</v>
      </c>
      <c r="CP79" s="443">
        <f t="shared" si="227"/>
        <v>40.474900000000005</v>
      </c>
      <c r="CQ79" s="443"/>
      <c r="CR79" s="217">
        <f t="shared" si="228"/>
        <v>0.40507913686898112</v>
      </c>
      <c r="CS79" s="172">
        <f t="shared" si="290"/>
        <v>50.242373565144938</v>
      </c>
      <c r="CT79" s="172">
        <f t="shared" si="229"/>
        <v>4.0507913686898105</v>
      </c>
      <c r="CU79" s="217">
        <f t="shared" si="230"/>
        <v>2.0934322318810392</v>
      </c>
      <c r="CV79" s="217">
        <f t="shared" si="231"/>
        <v>2.7912429758413855</v>
      </c>
      <c r="CW79" s="443">
        <f t="shared" si="232"/>
        <v>24</v>
      </c>
      <c r="CX79" s="217">
        <f t="shared" si="233"/>
        <v>3.927627604565064</v>
      </c>
      <c r="CY79" s="217">
        <f t="shared" si="234"/>
        <v>1.6365115019021099</v>
      </c>
      <c r="CZ79" s="217">
        <f t="shared" si="235"/>
        <v>2.3840069466673932</v>
      </c>
      <c r="DA79" s="197">
        <f t="shared" si="236"/>
        <v>350</v>
      </c>
      <c r="DB79" s="443">
        <f t="shared" si="291"/>
        <v>248.72414162302849</v>
      </c>
      <c r="DD79" s="217">
        <f t="shared" si="237"/>
        <v>2.7911308701724487</v>
      </c>
      <c r="DE79" s="173">
        <f t="shared" si="238"/>
        <v>1.6941716612376698</v>
      </c>
      <c r="DF79" s="173">
        <f t="shared" si="239"/>
        <v>0.55195223422072148</v>
      </c>
      <c r="DG79" s="173"/>
      <c r="DH79" s="173">
        <f t="shared" si="240"/>
        <v>1.3488532386977903</v>
      </c>
      <c r="DI79" s="545">
        <f t="shared" si="241"/>
        <v>740.25899999999967</v>
      </c>
      <c r="DJ79" s="528">
        <f t="shared" si="242"/>
        <v>0.34987754285999911</v>
      </c>
      <c r="DL79" s="173">
        <f t="shared" si="243"/>
        <v>3.3029856623537261</v>
      </c>
      <c r="DM79" s="173">
        <f t="shared" si="244"/>
        <v>3.927627604565064</v>
      </c>
      <c r="DN79" s="173">
        <f t="shared" si="245"/>
        <v>2.4632632461798827</v>
      </c>
      <c r="DP79" s="545">
        <f t="shared" si="246"/>
        <v>740</v>
      </c>
      <c r="DQ79" s="460">
        <f t="shared" si="247"/>
        <v>248.72414162302849</v>
      </c>
      <c r="DS79">
        <f t="shared" si="292"/>
        <v>740</v>
      </c>
      <c r="DT79">
        <f t="shared" si="248"/>
        <v>248.72414162302849</v>
      </c>
      <c r="DV79" s="5">
        <f t="shared" si="293"/>
        <v>4.0205184485695034</v>
      </c>
      <c r="DW79" s="5">
        <f t="shared" si="249"/>
        <v>1.6365115019021099</v>
      </c>
      <c r="DX79" s="5">
        <f t="shared" si="294"/>
        <v>2.3840069466673937</v>
      </c>
      <c r="DY79" s="173">
        <f t="shared" si="295"/>
        <v>0.40703991856681548</v>
      </c>
      <c r="EA79" s="5">
        <f t="shared" si="250"/>
        <v>5.0459104641981716</v>
      </c>
      <c r="EB79" s="5">
        <f t="shared" si="251"/>
        <v>0.6727880618930896</v>
      </c>
      <c r="EC79" s="5">
        <f t="shared" si="252"/>
        <v>1.470137617111559</v>
      </c>
      <c r="ED79" s="5"/>
      <c r="EE79" s="173">
        <f t="shared" si="296"/>
        <v>1.4467323000924341</v>
      </c>
      <c r="EF79" s="173">
        <f t="shared" si="253"/>
        <v>1.1646843475153454</v>
      </c>
      <c r="EG79" s="173">
        <f t="shared" si="254"/>
        <v>0.11662582452822579</v>
      </c>
      <c r="EH79" s="173"/>
      <c r="EI79" s="528">
        <f t="shared" si="255"/>
        <v>8.3721373925229797E-2</v>
      </c>
      <c r="EJ79" s="528">
        <f t="shared" si="256"/>
        <v>1.0873434</v>
      </c>
      <c r="EK79" s="528">
        <f t="shared" si="257"/>
        <v>4.9744828324605694E-2</v>
      </c>
      <c r="EL79" s="528">
        <f t="shared" si="258"/>
        <v>7.1306243565118679E-2</v>
      </c>
      <c r="EM79">
        <f t="shared" si="259"/>
        <v>1.0800000000000001E-2</v>
      </c>
      <c r="EN79" s="460">
        <f t="shared" si="297"/>
        <v>60.544828324605696</v>
      </c>
      <c r="EO79">
        <f t="shared" si="260"/>
        <v>1.3524232892251788</v>
      </c>
      <c r="EP79" s="460">
        <f t="shared" si="298"/>
        <v>1352.4232892251789</v>
      </c>
      <c r="EQ79" s="173">
        <f t="shared" si="261"/>
        <v>0.64232</v>
      </c>
      <c r="ER79" s="173">
        <f t="shared" si="262"/>
        <v>4.5879999999999997E-2</v>
      </c>
      <c r="ES79" s="528"/>
      <c r="EU79" s="460">
        <f t="shared" si="299"/>
        <v>688.2</v>
      </c>
      <c r="EV79" s="528">
        <f t="shared" si="263"/>
        <v>6.2791030443922341E-2</v>
      </c>
      <c r="EW79" s="528">
        <f t="shared" si="300"/>
        <v>4.0694688880417378E-2</v>
      </c>
      <c r="EX79" s="528">
        <f t="shared" si="264"/>
        <v>6.8007914734442558E-5</v>
      </c>
      <c r="EY79" s="528">
        <f t="shared" si="265"/>
        <v>1.4913879008629343</v>
      </c>
      <c r="EZ79" s="528">
        <f t="shared" si="266"/>
        <v>1.6333254779220558</v>
      </c>
      <c r="FA79" s="625">
        <f t="shared" si="267"/>
        <v>0.76737658575501133</v>
      </c>
      <c r="FB79" s="460">
        <f t="shared" si="301"/>
        <v>2400.7020636770671</v>
      </c>
      <c r="FC79" s="173">
        <f t="shared" si="302"/>
        <v>4.4413253529022461</v>
      </c>
      <c r="FD79" s="5">
        <f t="shared" si="303"/>
        <v>19.091999999999999</v>
      </c>
      <c r="FE79" s="173">
        <f t="shared" si="304"/>
        <v>0.81127506264835958</v>
      </c>
      <c r="FF79" s="5">
        <f t="shared" si="305"/>
        <v>81.127506264835958</v>
      </c>
      <c r="FG79">
        <f t="shared" si="306"/>
        <v>74</v>
      </c>
      <c r="FI79" s="562">
        <f t="shared" si="268"/>
        <v>-50</v>
      </c>
      <c r="FJ79">
        <f t="shared" si="269"/>
        <v>-50</v>
      </c>
      <c r="FL79">
        <f t="shared" si="270"/>
        <v>0.58114024475735238</v>
      </c>
    </row>
    <row r="80" spans="5:168">
      <c r="E80" s="170">
        <v>75</v>
      </c>
      <c r="F80" s="217">
        <f t="shared" si="307"/>
        <v>0.75</v>
      </c>
      <c r="G80" s="217">
        <f t="shared" si="271"/>
        <v>7.5000000000000011E-2</v>
      </c>
      <c r="H80" s="217">
        <f t="shared" si="176"/>
        <v>18</v>
      </c>
      <c r="I80" s="217">
        <f t="shared" si="308"/>
        <v>1.35</v>
      </c>
      <c r="J80" s="541">
        <f t="shared" si="177"/>
        <v>23.827340064371811</v>
      </c>
      <c r="K80" s="443">
        <f t="shared" si="178"/>
        <v>16.500724231130757</v>
      </c>
      <c r="L80" s="172">
        <f t="shared" si="179"/>
        <v>40.328064295502571</v>
      </c>
      <c r="M80" s="443"/>
      <c r="N80" s="217">
        <f t="shared" si="180"/>
        <v>0.4091623170956642</v>
      </c>
      <c r="O80" s="172">
        <f t="shared" si="272"/>
        <v>50.383719229791843</v>
      </c>
      <c r="P80" s="172">
        <f t="shared" si="181"/>
        <v>4.0621873629019669</v>
      </c>
      <c r="Q80" s="217">
        <f t="shared" si="182"/>
        <v>2.0993216345746601</v>
      </c>
      <c r="R80" s="217">
        <f t="shared" si="183"/>
        <v>2.7990955127662134</v>
      </c>
      <c r="S80" s="443">
        <f t="shared" si="184"/>
        <v>24</v>
      </c>
      <c r="T80" s="217">
        <f t="shared" si="185"/>
        <v>3.9695362521340067</v>
      </c>
      <c r="U80" s="217">
        <f t="shared" si="186"/>
        <v>1.6659586178775851</v>
      </c>
      <c r="V80" s="217">
        <f t="shared" si="187"/>
        <v>2.4056739549922073</v>
      </c>
      <c r="W80" s="197">
        <f t="shared" si="188"/>
        <v>350</v>
      </c>
      <c r="X80" s="443">
        <f t="shared" si="273"/>
        <v>234.10253174658567</v>
      </c>
      <c r="Z80" s="217">
        <f t="shared" si="189"/>
        <v>2.7854999059899206</v>
      </c>
      <c r="AA80" s="173">
        <f t="shared" si="190"/>
        <v>1.6881076654409592</v>
      </c>
      <c r="AB80" s="173">
        <f t="shared" si="191"/>
        <v>0.54886706644680749</v>
      </c>
      <c r="AC80" s="173"/>
      <c r="AD80" s="173">
        <f t="shared" si="192"/>
        <v>1.3467422345194475</v>
      </c>
      <c r="AE80" s="545">
        <f t="shared" si="193"/>
        <v>751.43852851663667</v>
      </c>
      <c r="AF80" s="528">
        <f t="shared" si="194"/>
        <v>0.34932997183173892</v>
      </c>
      <c r="AH80" s="173">
        <f t="shared" si="195"/>
        <v>3.3252282413607124</v>
      </c>
      <c r="AI80" s="173">
        <f t="shared" si="196"/>
        <v>3.9695362521340067</v>
      </c>
      <c r="AJ80" s="173">
        <f t="shared" si="197"/>
        <v>2.4943066888235439</v>
      </c>
      <c r="AL80" s="545">
        <f t="shared" si="198"/>
        <v>750</v>
      </c>
      <c r="AM80" s="460">
        <f t="shared" si="199"/>
        <v>234.10253174658567</v>
      </c>
      <c r="AO80">
        <f t="shared" si="274"/>
        <v>750</v>
      </c>
      <c r="AP80">
        <f t="shared" si="200"/>
        <v>234.10253174658567</v>
      </c>
      <c r="AR80" s="5">
        <f t="shared" si="275"/>
        <v>4.2716325728697928</v>
      </c>
      <c r="AS80" s="5">
        <f t="shared" si="201"/>
        <v>1.6659586178775851</v>
      </c>
      <c r="AT80" s="5">
        <f t="shared" si="276"/>
        <v>2.6056739549922074</v>
      </c>
      <c r="AU80" s="173">
        <f t="shared" si="277"/>
        <v>0.39000513023018535</v>
      </c>
      <c r="AW80" s="5">
        <f t="shared" si="202"/>
        <v>5.2061206808674534</v>
      </c>
      <c r="AX80" s="5">
        <f t="shared" si="203"/>
        <v>0.69414942411566061</v>
      </c>
      <c r="AY80" s="5">
        <f t="shared" si="204"/>
        <v>1.640347148246132</v>
      </c>
      <c r="AZ80" s="5"/>
      <c r="BA80" s="173">
        <f t="shared" si="278"/>
        <v>1.4312460632129951</v>
      </c>
      <c r="BB80" s="173">
        <f t="shared" si="205"/>
        <v>1.1939003247526443</v>
      </c>
      <c r="BC80" s="173">
        <f t="shared" si="206"/>
        <v>0.11955137035698774</v>
      </c>
      <c r="BD80" s="173"/>
      <c r="BE80" s="528">
        <f t="shared" si="207"/>
        <v>8.1938611738507861E-2</v>
      </c>
      <c r="BF80" s="528">
        <f t="shared" si="208"/>
        <v>0.84321005740585131</v>
      </c>
      <c r="BG80" s="528">
        <f t="shared" si="209"/>
        <v>0.22312162535425178</v>
      </c>
      <c r="BH80" s="528">
        <f t="shared" si="210"/>
        <v>6.6628327662478157E-2</v>
      </c>
      <c r="BI80">
        <f t="shared" si="211"/>
        <v>1.0722303028967314E-2</v>
      </c>
      <c r="BJ80" s="460">
        <f t="shared" si="279"/>
        <v>233.84392838321909</v>
      </c>
      <c r="BK80">
        <f t="shared" si="212"/>
        <v>1.0340315839011571</v>
      </c>
      <c r="BL80" s="460">
        <f t="shared" si="280"/>
        <v>1034.0315839011571</v>
      </c>
      <c r="BM80" s="173">
        <f t="shared" si="213"/>
        <v>0.65099999999999991</v>
      </c>
      <c r="BN80" s="173">
        <f t="shared" si="214"/>
        <v>4.6500000000000007E-2</v>
      </c>
      <c r="BO80" s="528"/>
      <c r="BQ80" s="460">
        <f t="shared" si="281"/>
        <v>697.49999999999989</v>
      </c>
      <c r="BR80" s="528">
        <f t="shared" si="215"/>
        <v>6.1453958803880895E-2</v>
      </c>
      <c r="BS80" s="528">
        <f t="shared" si="216"/>
        <v>4.2761939563334087E-2</v>
      </c>
      <c r="BT80" s="528">
        <f t="shared" si="217"/>
        <v>7.1462650771168237E-5</v>
      </c>
      <c r="BU80" s="528">
        <f t="shared" si="218"/>
        <v>1.316238870048446</v>
      </c>
      <c r="BV80" s="528">
        <f t="shared" si="219"/>
        <v>1.4577169137141515</v>
      </c>
      <c r="BW80" s="625">
        <f t="shared" si="220"/>
        <v>0.73776092808562865</v>
      </c>
      <c r="BX80" s="460">
        <f t="shared" si="282"/>
        <v>2195.47784179978</v>
      </c>
      <c r="BY80" s="173">
        <f t="shared" si="283"/>
        <v>3.9270094257009371</v>
      </c>
      <c r="BZ80" s="5">
        <f t="shared" si="284"/>
        <v>19.350000000000001</v>
      </c>
      <c r="CA80" s="173">
        <f t="shared" si="285"/>
        <v>0.83129235573685889</v>
      </c>
      <c r="CB80" s="5">
        <f t="shared" si="286"/>
        <v>83.129235573685889</v>
      </c>
      <c r="CC80">
        <f t="shared" si="287"/>
        <v>75</v>
      </c>
      <c r="CE80" s="562">
        <f t="shared" si="221"/>
        <v>-50</v>
      </c>
      <c r="CF80">
        <f t="shared" si="222"/>
        <v>-50</v>
      </c>
      <c r="CG80" s="173">
        <f t="shared" si="223"/>
        <v>0.58114024475735238</v>
      </c>
      <c r="CH80" s="173">
        <f t="shared" si="224"/>
        <v>0.1583991712777521</v>
      </c>
      <c r="CI80" s="170">
        <v>75</v>
      </c>
      <c r="CJ80" s="217">
        <f t="shared" si="309"/>
        <v>0.75</v>
      </c>
      <c r="CK80" s="217">
        <f t="shared" si="288"/>
        <v>7.5000000000000011E-2</v>
      </c>
      <c r="CL80" s="217">
        <f t="shared" si="225"/>
        <v>18</v>
      </c>
      <c r="CM80" s="217">
        <f t="shared" si="310"/>
        <v>1.35</v>
      </c>
      <c r="CN80" s="541">
        <f t="shared" si="289"/>
        <v>24</v>
      </c>
      <c r="CO80" s="443">
        <f t="shared" si="226"/>
        <v>16.474900000000002</v>
      </c>
      <c r="CP80" s="443">
        <f t="shared" si="227"/>
        <v>40.474900000000005</v>
      </c>
      <c r="CQ80" s="443"/>
      <c r="CR80" s="217">
        <f t="shared" si="228"/>
        <v>0.40507913686898112</v>
      </c>
      <c r="CS80" s="172">
        <f t="shared" si="290"/>
        <v>50.242373565144938</v>
      </c>
      <c r="CT80" s="172">
        <f t="shared" si="229"/>
        <v>4.0507913686898105</v>
      </c>
      <c r="CU80" s="217">
        <f t="shared" si="230"/>
        <v>2.0934322318810392</v>
      </c>
      <c r="CV80" s="217">
        <f t="shared" si="231"/>
        <v>2.7912429758413855</v>
      </c>
      <c r="CW80" s="443">
        <f t="shared" si="232"/>
        <v>24</v>
      </c>
      <c r="CX80" s="217">
        <f t="shared" si="233"/>
        <v>3.9807036532754032</v>
      </c>
      <c r="CY80" s="217">
        <f t="shared" si="234"/>
        <v>1.6586265221980847</v>
      </c>
      <c r="CZ80" s="217">
        <f t="shared" si="235"/>
        <v>2.4162232567574935</v>
      </c>
      <c r="DA80" s="197">
        <f t="shared" si="236"/>
        <v>350</v>
      </c>
      <c r="DB80" s="443">
        <f t="shared" si="291"/>
        <v>245.40781973472144</v>
      </c>
      <c r="DD80" s="217">
        <f t="shared" si="237"/>
        <v>2.7911308701724487</v>
      </c>
      <c r="DE80" s="173">
        <f t="shared" si="238"/>
        <v>1.6941716612376698</v>
      </c>
      <c r="DF80" s="173">
        <f t="shared" si="239"/>
        <v>0.55195223422072148</v>
      </c>
      <c r="DG80" s="173"/>
      <c r="DH80" s="173">
        <f t="shared" si="240"/>
        <v>1.3488532386977903</v>
      </c>
      <c r="DI80" s="545">
        <f t="shared" si="241"/>
        <v>750.26249999999982</v>
      </c>
      <c r="DJ80" s="528">
        <f t="shared" si="242"/>
        <v>0.34987754285999911</v>
      </c>
      <c r="DL80" s="173">
        <f t="shared" si="243"/>
        <v>3.3252282413607124</v>
      </c>
      <c r="DM80" s="173">
        <f t="shared" si="244"/>
        <v>3.9807036532754032</v>
      </c>
      <c r="DN80" s="173">
        <f t="shared" si="245"/>
        <v>2.5025788378171709</v>
      </c>
      <c r="DP80" s="545">
        <f t="shared" si="246"/>
        <v>750</v>
      </c>
      <c r="DQ80" s="460">
        <f t="shared" si="247"/>
        <v>245.40781973472144</v>
      </c>
      <c r="DS80">
        <f t="shared" si="292"/>
        <v>750</v>
      </c>
      <c r="DT80">
        <f t="shared" si="248"/>
        <v>245.40781973472144</v>
      </c>
      <c r="DV80" s="5">
        <f t="shared" si="293"/>
        <v>4.0748497789555778</v>
      </c>
      <c r="DW80" s="5">
        <f t="shared" si="249"/>
        <v>1.6586265221980847</v>
      </c>
      <c r="DX80" s="5">
        <f t="shared" si="294"/>
        <v>2.4162232567574931</v>
      </c>
      <c r="DY80" s="173">
        <f t="shared" si="295"/>
        <v>0.40703991856681554</v>
      </c>
      <c r="EA80" s="5">
        <f t="shared" si="250"/>
        <v>5.1832078818690146</v>
      </c>
      <c r="EB80" s="5">
        <f t="shared" si="251"/>
        <v>0.69109438424920211</v>
      </c>
      <c r="EC80" s="5">
        <f t="shared" si="252"/>
        <v>1.5101395354734328</v>
      </c>
      <c r="ED80" s="5"/>
      <c r="EE80" s="173">
        <f t="shared" si="296"/>
        <v>1.4662827365801698</v>
      </c>
      <c r="EF80" s="173">
        <f t="shared" si="253"/>
        <v>1.1804233251844716</v>
      </c>
      <c r="EG80" s="173">
        <f t="shared" si="254"/>
        <v>0.11820184918401261</v>
      </c>
      <c r="EH80" s="173"/>
      <c r="EI80" s="528">
        <f t="shared" si="255"/>
        <v>8.5999402543721279E-2</v>
      </c>
      <c r="EJ80" s="528">
        <f t="shared" si="256"/>
        <v>1.0873434000000002</v>
      </c>
      <c r="EK80" s="528">
        <f t="shared" si="257"/>
        <v>4.9081563946944282E-2</v>
      </c>
      <c r="EL80" s="528">
        <f t="shared" si="258"/>
        <v>7.0355493650917089E-2</v>
      </c>
      <c r="EM80">
        <f t="shared" si="259"/>
        <v>1.0800000000000001E-2</v>
      </c>
      <c r="EN80" s="460">
        <f t="shared" si="297"/>
        <v>59.881563946944283</v>
      </c>
      <c r="EO80">
        <f t="shared" si="260"/>
        <v>1.3544763341748662</v>
      </c>
      <c r="EP80" s="460">
        <f t="shared" si="298"/>
        <v>1354.4763341748662</v>
      </c>
      <c r="EQ80" s="173">
        <f t="shared" si="261"/>
        <v>0.65099999999999991</v>
      </c>
      <c r="ER80" s="173">
        <f t="shared" si="262"/>
        <v>4.6500000000000007E-2</v>
      </c>
      <c r="ES80" s="528"/>
      <c r="EU80" s="460">
        <f t="shared" si="299"/>
        <v>697.49999999999989</v>
      </c>
      <c r="EV80" s="528">
        <f t="shared" si="263"/>
        <v>6.4499551907790956E-2</v>
      </c>
      <c r="EW80" s="528">
        <f t="shared" si="300"/>
        <v>4.1801976799186943E-2</v>
      </c>
      <c r="EX80" s="528">
        <f t="shared" si="264"/>
        <v>6.9858385752600308E-5</v>
      </c>
      <c r="EY80" s="528">
        <f t="shared" si="265"/>
        <v>1.4913879008629343</v>
      </c>
      <c r="EZ80" s="528">
        <f t="shared" si="266"/>
        <v>1.6372206957687883</v>
      </c>
      <c r="FA80" s="625">
        <f t="shared" si="267"/>
        <v>0.7777465396165657</v>
      </c>
      <c r="FB80" s="460">
        <f t="shared" si="301"/>
        <v>2414.9672353853539</v>
      </c>
      <c r="FC80" s="173">
        <f t="shared" si="302"/>
        <v>4.46694356956022</v>
      </c>
      <c r="FD80" s="5">
        <f t="shared" si="303"/>
        <v>19.350000000000001</v>
      </c>
      <c r="FE80" s="173">
        <f t="shared" si="304"/>
        <v>0.81244681726208989</v>
      </c>
      <c r="FF80" s="5">
        <f t="shared" si="305"/>
        <v>81.244681726208995</v>
      </c>
      <c r="FG80">
        <f t="shared" si="306"/>
        <v>75</v>
      </c>
      <c r="FI80" s="562">
        <f t="shared" si="268"/>
        <v>-50</v>
      </c>
      <c r="FJ80">
        <f t="shared" si="269"/>
        <v>-50</v>
      </c>
      <c r="FL80">
        <f t="shared" si="270"/>
        <v>0.58114024475735238</v>
      </c>
    </row>
    <row r="81" spans="5:168">
      <c r="E81" s="170">
        <v>76</v>
      </c>
      <c r="F81" s="217">
        <f t="shared" si="307"/>
        <v>0.76</v>
      </c>
      <c r="G81" s="217">
        <f t="shared" si="271"/>
        <v>7.6000000000000012E-2</v>
      </c>
      <c r="H81" s="217">
        <f t="shared" si="176"/>
        <v>18.240000000000002</v>
      </c>
      <c r="I81" s="217">
        <f t="shared" si="308"/>
        <v>1.3680000000000003</v>
      </c>
      <c r="J81" s="541">
        <f t="shared" si="177"/>
        <v>23.825037931896766</v>
      </c>
      <c r="K81" s="443">
        <f t="shared" si="178"/>
        <v>16.501068554212502</v>
      </c>
      <c r="L81" s="172">
        <f t="shared" si="179"/>
        <v>40.326106486109268</v>
      </c>
      <c r="M81" s="443"/>
      <c r="N81" s="217">
        <f t="shared" si="180"/>
        <v>0.40919072015783275</v>
      </c>
      <c r="O81" s="172">
        <f t="shared" si="272"/>
        <v>50.382348471010438</v>
      </c>
      <c r="P81" s="172">
        <f t="shared" si="181"/>
        <v>4.0620768454752172</v>
      </c>
      <c r="Q81" s="217">
        <f t="shared" si="182"/>
        <v>2.0992645196254349</v>
      </c>
      <c r="R81" s="217">
        <f t="shared" si="183"/>
        <v>2.7990193595005799</v>
      </c>
      <c r="S81" s="443">
        <f t="shared" si="184"/>
        <v>24</v>
      </c>
      <c r="T81" s="217">
        <f t="shared" si="185"/>
        <v>4.022572841821364</v>
      </c>
      <c r="U81" s="217">
        <f t="shared" si="186"/>
        <v>1.6883804564424119</v>
      </c>
      <c r="V81" s="217">
        <f t="shared" si="187"/>
        <v>2.4377650626719292</v>
      </c>
      <c r="W81" s="197">
        <f t="shared" si="188"/>
        <v>350</v>
      </c>
      <c r="X81" s="443">
        <f t="shared" si="273"/>
        <v>231.15264976216574</v>
      </c>
      <c r="Z81" s="217">
        <f t="shared" si="189"/>
        <v>2.7854241226115768</v>
      </c>
      <c r="AA81" s="173">
        <f t="shared" si="190"/>
        <v>1.6880265138347637</v>
      </c>
      <c r="AB81" s="173">
        <f t="shared" si="191"/>
        <v>0.54882574904837134</v>
      </c>
      <c r="AC81" s="173"/>
      <c r="AD81" s="173">
        <f t="shared" si="192"/>
        <v>1.3467141324341199</v>
      </c>
      <c r="AE81" s="545">
        <f t="shared" si="193"/>
        <v>761.47359834881661</v>
      </c>
      <c r="AF81" s="528">
        <f t="shared" si="194"/>
        <v>0.34932268246305037</v>
      </c>
      <c r="AH81" s="173">
        <f t="shared" si="195"/>
        <v>3.3473230242346537</v>
      </c>
      <c r="AI81" s="173">
        <f t="shared" si="196"/>
        <v>4.022572841821364</v>
      </c>
      <c r="AJ81" s="173">
        <f t="shared" si="197"/>
        <v>2.5335930515549201</v>
      </c>
      <c r="AL81" s="545">
        <f t="shared" si="198"/>
        <v>760</v>
      </c>
      <c r="AM81" s="460">
        <f t="shared" si="199"/>
        <v>231.15264976216574</v>
      </c>
      <c r="AO81">
        <f t="shared" si="274"/>
        <v>760</v>
      </c>
      <c r="AP81">
        <f t="shared" si="200"/>
        <v>231.15264976216574</v>
      </c>
      <c r="AR81" s="5">
        <f t="shared" si="275"/>
        <v>4.3261455191143412</v>
      </c>
      <c r="AS81" s="5">
        <f t="shared" si="201"/>
        <v>1.6883804564424119</v>
      </c>
      <c r="AT81" s="5">
        <f t="shared" si="276"/>
        <v>2.6377650626719293</v>
      </c>
      <c r="AU81" s="173">
        <f t="shared" si="277"/>
        <v>0.39027361631331836</v>
      </c>
      <c r="AW81" s="5">
        <f t="shared" si="202"/>
        <v>5.3465381120676367</v>
      </c>
      <c r="AX81" s="5">
        <f t="shared" si="203"/>
        <v>0.71287174827568522</v>
      </c>
      <c r="AY81" s="5">
        <f t="shared" si="204"/>
        <v>1.6828526807479187</v>
      </c>
      <c r="AZ81" s="5"/>
      <c r="BA81" s="173">
        <f t="shared" si="278"/>
        <v>1.4508679465797591</v>
      </c>
      <c r="BB81" s="173">
        <f t="shared" si="205"/>
        <v>1.2095856271132746</v>
      </c>
      <c r="BC81" s="173">
        <f t="shared" si="206"/>
        <v>0.12112202022850489</v>
      </c>
      <c r="BD81" s="173"/>
      <c r="BE81" s="528">
        <f t="shared" si="207"/>
        <v>8.4200711936502678E-2</v>
      </c>
      <c r="BF81" s="528">
        <f t="shared" si="208"/>
        <v>0.84366805303723136</v>
      </c>
      <c r="BG81" s="528">
        <f t="shared" si="209"/>
        <v>0.22028882594568186</v>
      </c>
      <c r="BH81" s="528">
        <f t="shared" si="210"/>
        <v>6.5782369085873899E-2</v>
      </c>
      <c r="BI81">
        <f t="shared" si="211"/>
        <v>1.0721267069353545E-2</v>
      </c>
      <c r="BJ81" s="460">
        <f t="shared" si="279"/>
        <v>231.01009301503541</v>
      </c>
      <c r="BK81">
        <f t="shared" si="212"/>
        <v>1.0371343281176506</v>
      </c>
      <c r="BL81" s="460">
        <f t="shared" si="280"/>
        <v>1037.1343281176505</v>
      </c>
      <c r="BM81" s="173">
        <f t="shared" si="213"/>
        <v>0.65967999999999993</v>
      </c>
      <c r="BN81" s="173">
        <f t="shared" si="214"/>
        <v>4.7120000000000009E-2</v>
      </c>
      <c r="BO81" s="528"/>
      <c r="BQ81" s="460">
        <f t="shared" si="281"/>
        <v>706.8</v>
      </c>
      <c r="BR81" s="528">
        <f t="shared" si="215"/>
        <v>6.3150533952377005E-2</v>
      </c>
      <c r="BS81" s="528">
        <f t="shared" si="216"/>
        <v>4.3892921679570408E-2</v>
      </c>
      <c r="BT81" s="528">
        <f t="shared" si="217"/>
        <v>7.3352718921171751E-5</v>
      </c>
      <c r="BU81" s="528">
        <f t="shared" si="218"/>
        <v>1.3181868892799602</v>
      </c>
      <c r="BV81" s="528">
        <f t="shared" si="219"/>
        <v>1.4635534253772284</v>
      </c>
      <c r="BW81" s="625">
        <f t="shared" si="220"/>
        <v>0.74806047074770787</v>
      </c>
      <c r="BX81" s="460">
        <f t="shared" si="282"/>
        <v>2211.6138961249362</v>
      </c>
      <c r="BY81" s="173">
        <f t="shared" si="283"/>
        <v>3.9555482242425875</v>
      </c>
      <c r="BZ81" s="5">
        <f t="shared" si="284"/>
        <v>19.608000000000004</v>
      </c>
      <c r="CA81" s="173">
        <f t="shared" si="285"/>
        <v>0.83213274220844846</v>
      </c>
      <c r="CB81" s="5">
        <f t="shared" si="286"/>
        <v>83.213274220844852</v>
      </c>
      <c r="CC81">
        <f t="shared" si="287"/>
        <v>76</v>
      </c>
      <c r="CE81" s="562">
        <f t="shared" si="221"/>
        <v>-50</v>
      </c>
      <c r="CF81">
        <f t="shared" si="222"/>
        <v>-50</v>
      </c>
      <c r="CG81" s="173">
        <f t="shared" si="223"/>
        <v>0.58114024475735238</v>
      </c>
      <c r="CH81" s="173">
        <f t="shared" si="224"/>
        <v>0.1583991712777521</v>
      </c>
      <c r="CI81" s="170">
        <v>76</v>
      </c>
      <c r="CJ81" s="217">
        <f t="shared" si="309"/>
        <v>0.76</v>
      </c>
      <c r="CK81" s="217">
        <f t="shared" si="288"/>
        <v>7.6000000000000012E-2</v>
      </c>
      <c r="CL81" s="217">
        <f t="shared" si="225"/>
        <v>18.240000000000002</v>
      </c>
      <c r="CM81" s="217">
        <f t="shared" si="310"/>
        <v>1.3680000000000003</v>
      </c>
      <c r="CN81" s="541">
        <f t="shared" si="289"/>
        <v>24</v>
      </c>
      <c r="CO81" s="443">
        <f t="shared" si="226"/>
        <v>16.474900000000002</v>
      </c>
      <c r="CP81" s="443">
        <f t="shared" si="227"/>
        <v>40.474900000000005</v>
      </c>
      <c r="CQ81" s="443"/>
      <c r="CR81" s="217">
        <f t="shared" si="228"/>
        <v>0.40507913686898112</v>
      </c>
      <c r="CS81" s="172">
        <f t="shared" si="290"/>
        <v>50.242373565144938</v>
      </c>
      <c r="CT81" s="172">
        <f t="shared" si="229"/>
        <v>4.0507913686898105</v>
      </c>
      <c r="CU81" s="217">
        <f t="shared" si="230"/>
        <v>2.0934322318810392</v>
      </c>
      <c r="CV81" s="217">
        <f t="shared" si="231"/>
        <v>2.7912429758413855</v>
      </c>
      <c r="CW81" s="443">
        <f t="shared" si="232"/>
        <v>24</v>
      </c>
      <c r="CX81" s="217">
        <f t="shared" si="233"/>
        <v>4.0337797019857424</v>
      </c>
      <c r="CY81" s="217">
        <f t="shared" si="234"/>
        <v>1.6807415424940597</v>
      </c>
      <c r="CZ81" s="217">
        <f t="shared" si="235"/>
        <v>2.4484395668475938</v>
      </c>
      <c r="DA81" s="197">
        <f t="shared" si="236"/>
        <v>350</v>
      </c>
      <c r="DB81" s="443">
        <f t="shared" si="291"/>
        <v>242.17876947505403</v>
      </c>
      <c r="DD81" s="217">
        <f t="shared" si="237"/>
        <v>2.7911308701724487</v>
      </c>
      <c r="DE81" s="173">
        <f t="shared" si="238"/>
        <v>1.6941716612376698</v>
      </c>
      <c r="DF81" s="173">
        <f t="shared" si="239"/>
        <v>0.55195223422072148</v>
      </c>
      <c r="DG81" s="173"/>
      <c r="DH81" s="173">
        <f t="shared" si="240"/>
        <v>1.3488532386977903</v>
      </c>
      <c r="DI81" s="545">
        <f t="shared" si="241"/>
        <v>760.26599999999974</v>
      </c>
      <c r="DJ81" s="528">
        <f t="shared" si="242"/>
        <v>0.34987754285999911</v>
      </c>
      <c r="DL81" s="173">
        <f t="shared" si="243"/>
        <v>3.3473230242346537</v>
      </c>
      <c r="DM81" s="173">
        <f t="shared" si="244"/>
        <v>4.0337797019857424</v>
      </c>
      <c r="DN81" s="173">
        <f t="shared" si="245"/>
        <v>2.5418944294544596</v>
      </c>
      <c r="DP81" s="545">
        <f t="shared" si="246"/>
        <v>760</v>
      </c>
      <c r="DQ81" s="460">
        <f t="shared" si="247"/>
        <v>242.17876947505403</v>
      </c>
      <c r="DS81">
        <f t="shared" si="292"/>
        <v>760</v>
      </c>
      <c r="DT81">
        <f t="shared" si="248"/>
        <v>242.17876947505403</v>
      </c>
      <c r="DV81" s="5">
        <f t="shared" si="293"/>
        <v>4.1291811093416531</v>
      </c>
      <c r="DW81" s="5">
        <f t="shared" si="249"/>
        <v>1.6807415424940597</v>
      </c>
      <c r="DX81" s="5">
        <f t="shared" si="294"/>
        <v>2.4484395668475933</v>
      </c>
      <c r="DY81" s="173">
        <f t="shared" si="295"/>
        <v>0.4070399185668156</v>
      </c>
      <c r="EA81" s="5">
        <f t="shared" si="250"/>
        <v>5.3223482178978561</v>
      </c>
      <c r="EB81" s="5">
        <f t="shared" si="251"/>
        <v>0.70964642905304764</v>
      </c>
      <c r="EC81" s="5">
        <f t="shared" si="252"/>
        <v>1.550678392336809</v>
      </c>
      <c r="ED81" s="5"/>
      <c r="EE81" s="173">
        <f t="shared" si="296"/>
        <v>1.485833173067906</v>
      </c>
      <c r="EF81" s="173">
        <f t="shared" si="253"/>
        <v>1.1961623028535979</v>
      </c>
      <c r="EG81" s="173">
        <f t="shared" si="254"/>
        <v>0.11977787383979945</v>
      </c>
      <c r="EH81" s="173"/>
      <c r="EI81" s="528">
        <f t="shared" si="255"/>
        <v>8.8308008727561685E-2</v>
      </c>
      <c r="EJ81" s="528">
        <f t="shared" si="256"/>
        <v>1.0873434000000002</v>
      </c>
      <c r="EK81" s="528">
        <f t="shared" si="257"/>
        <v>4.8435753895010807E-2</v>
      </c>
      <c r="EL81" s="528">
        <f t="shared" si="258"/>
        <v>6.9429763471299741E-2</v>
      </c>
      <c r="EM81">
        <f t="shared" si="259"/>
        <v>1.0800000000000001E-2</v>
      </c>
      <c r="EN81" s="460">
        <f t="shared" si="297"/>
        <v>59.235753895010802</v>
      </c>
      <c r="EO81">
        <f t="shared" si="260"/>
        <v>1.3566247660577322</v>
      </c>
      <c r="EP81" s="460">
        <f t="shared" si="298"/>
        <v>1356.6247660577321</v>
      </c>
      <c r="EQ81" s="173">
        <f t="shared" si="261"/>
        <v>0.65967999999999993</v>
      </c>
      <c r="ER81" s="173">
        <f t="shared" si="262"/>
        <v>4.7120000000000009E-2</v>
      </c>
      <c r="ES81" s="528"/>
      <c r="EU81" s="460">
        <f t="shared" si="299"/>
        <v>706.8</v>
      </c>
      <c r="EV81" s="528">
        <f t="shared" si="263"/>
        <v>6.6231006545671253E-2</v>
      </c>
      <c r="EW81" s="528">
        <f t="shared" si="300"/>
        <v>4.2924127643040669E-2</v>
      </c>
      <c r="EX81" s="528">
        <f t="shared" si="264"/>
        <v>7.1733695307914569E-5</v>
      </c>
      <c r="EY81" s="528">
        <f t="shared" si="265"/>
        <v>1.4913879008629314</v>
      </c>
      <c r="EZ81" s="528">
        <f t="shared" si="266"/>
        <v>1.6411700057909353</v>
      </c>
      <c r="FA81" s="625">
        <f t="shared" si="267"/>
        <v>0.78811649347812007</v>
      </c>
      <c r="FB81" s="460">
        <f t="shared" si="301"/>
        <v>2429.2864992690552</v>
      </c>
      <c r="FC81" s="173">
        <f t="shared" si="302"/>
        <v>4.492711265326788</v>
      </c>
      <c r="FD81" s="5">
        <f t="shared" si="303"/>
        <v>19.608000000000004</v>
      </c>
      <c r="FE81" s="173">
        <f t="shared" si="304"/>
        <v>0.81358594707574616</v>
      </c>
      <c r="FF81" s="5">
        <f t="shared" si="305"/>
        <v>81.358594707574611</v>
      </c>
      <c r="FG81">
        <f t="shared" si="306"/>
        <v>76</v>
      </c>
      <c r="FI81" s="562">
        <f t="shared" si="268"/>
        <v>-50</v>
      </c>
      <c r="FJ81">
        <f t="shared" si="269"/>
        <v>-50</v>
      </c>
      <c r="FL81">
        <f t="shared" si="270"/>
        <v>0.58114024475735226</v>
      </c>
    </row>
    <row r="82" spans="5:168">
      <c r="E82" s="170">
        <v>77</v>
      </c>
      <c r="F82" s="217">
        <f t="shared" si="307"/>
        <v>0.77</v>
      </c>
      <c r="G82" s="217">
        <f t="shared" si="271"/>
        <v>7.7000000000000013E-2</v>
      </c>
      <c r="H82" s="217">
        <f t="shared" si="176"/>
        <v>18.48</v>
      </c>
      <c r="I82" s="217">
        <f t="shared" si="308"/>
        <v>1.3860000000000001</v>
      </c>
      <c r="J82" s="541">
        <f t="shared" si="177"/>
        <v>23.822735799421725</v>
      </c>
      <c r="K82" s="443">
        <f t="shared" si="178"/>
        <v>16.501412877294246</v>
      </c>
      <c r="L82" s="172">
        <f t="shared" si="179"/>
        <v>40.324148676715971</v>
      </c>
      <c r="M82" s="443"/>
      <c r="N82" s="217">
        <f t="shared" si="180"/>
        <v>0.40921912597803994</v>
      </c>
      <c r="O82" s="172">
        <f t="shared" si="272"/>
        <v>50.380977375943772</v>
      </c>
      <c r="P82" s="172">
        <f t="shared" si="181"/>
        <v>4.0619663009354667</v>
      </c>
      <c r="Q82" s="217">
        <f t="shared" si="182"/>
        <v>2.0992073906643238</v>
      </c>
      <c r="R82" s="217">
        <f t="shared" si="183"/>
        <v>2.7989431875524318</v>
      </c>
      <c r="S82" s="443">
        <f t="shared" si="184"/>
        <v>24</v>
      </c>
      <c r="T82" s="217">
        <f t="shared" si="185"/>
        <v>4.075612344737424</v>
      </c>
      <c r="U82" s="217">
        <f t="shared" si="186"/>
        <v>1.710807851395622</v>
      </c>
      <c r="V82" s="217">
        <f t="shared" si="187"/>
        <v>2.4698565965496324</v>
      </c>
      <c r="W82" s="197">
        <f t="shared" si="188"/>
        <v>350</v>
      </c>
      <c r="X82" s="443">
        <f t="shared" si="273"/>
        <v>228.27587273182925</v>
      </c>
      <c r="Z82" s="217">
        <f t="shared" si="189"/>
        <v>2.7853483206414626</v>
      </c>
      <c r="AA82" s="173">
        <f t="shared" si="190"/>
        <v>1.687945354348457</v>
      </c>
      <c r="AB82" s="173">
        <f t="shared" si="191"/>
        <v>0.54878442686060791</v>
      </c>
      <c r="AC82" s="173"/>
      <c r="AD82" s="173">
        <f t="shared" si="192"/>
        <v>1.3466860315215643</v>
      </c>
      <c r="AE82" s="545">
        <f t="shared" si="193"/>
        <v>771.50908632446919</v>
      </c>
      <c r="AF82" s="528">
        <f t="shared" si="194"/>
        <v>0.34931539339856577</v>
      </c>
      <c r="AH82" s="173">
        <f t="shared" si="195"/>
        <v>3.3692729185983135</v>
      </c>
      <c r="AI82" s="173">
        <f t="shared" si="196"/>
        <v>4.075612344737424</v>
      </c>
      <c r="AJ82" s="173">
        <f t="shared" si="197"/>
        <v>2.5728815722334826</v>
      </c>
      <c r="AL82" s="545">
        <f t="shared" si="198"/>
        <v>770</v>
      </c>
      <c r="AM82" s="460">
        <f t="shared" si="199"/>
        <v>228.27587273182925</v>
      </c>
      <c r="AO82">
        <f t="shared" si="274"/>
        <v>770</v>
      </c>
      <c r="AP82">
        <f t="shared" si="200"/>
        <v>228.27587273182925</v>
      </c>
      <c r="AR82" s="5">
        <f t="shared" si="275"/>
        <v>4.3806644479452546</v>
      </c>
      <c r="AS82" s="5">
        <f t="shared" si="201"/>
        <v>1.710807851395622</v>
      </c>
      <c r="AT82" s="5">
        <f t="shared" si="276"/>
        <v>2.6698565965496326</v>
      </c>
      <c r="AU82" s="173">
        <f t="shared" si="277"/>
        <v>0.39053615535380126</v>
      </c>
      <c r="AW82" s="5">
        <f t="shared" si="202"/>
        <v>5.4888418565609536</v>
      </c>
      <c r="AX82" s="5">
        <f t="shared" si="203"/>
        <v>0.7318455808747939</v>
      </c>
      <c r="AY82" s="5">
        <f t="shared" si="204"/>
        <v>1.7259055354953139</v>
      </c>
      <c r="AZ82" s="5"/>
      <c r="BA82" s="173">
        <f t="shared" si="278"/>
        <v>1.4704926730719357</v>
      </c>
      <c r="BB82" s="173">
        <f t="shared" si="205"/>
        <v>1.2252707021034752</v>
      </c>
      <c r="BC82" s="173">
        <f t="shared" si="206"/>
        <v>0.12269264733225337</v>
      </c>
      <c r="BD82" s="173"/>
      <c r="BE82" s="528">
        <f t="shared" si="207"/>
        <v>8.6493948062329878E-2</v>
      </c>
      <c r="BF82" s="528">
        <f t="shared" si="208"/>
        <v>0.8441130340024291</v>
      </c>
      <c r="BG82" s="528">
        <f t="shared" si="209"/>
        <v>0.21752623221891146</v>
      </c>
      <c r="BH82" s="528">
        <f t="shared" si="210"/>
        <v>6.4957376333926328E-2</v>
      </c>
      <c r="BI82">
        <f t="shared" si="211"/>
        <v>1.0720231109739776E-2</v>
      </c>
      <c r="BJ82" s="460">
        <f t="shared" si="279"/>
        <v>228.24646332865123</v>
      </c>
      <c r="BK82">
        <f t="shared" si="212"/>
        <v>1.0402968249559157</v>
      </c>
      <c r="BL82" s="460">
        <f t="shared" si="280"/>
        <v>1040.2968249559158</v>
      </c>
      <c r="BM82" s="173">
        <f t="shared" si="213"/>
        <v>0.66835999999999995</v>
      </c>
      <c r="BN82" s="173">
        <f t="shared" si="214"/>
        <v>4.7740000000000005E-2</v>
      </c>
      <c r="BO82" s="528"/>
      <c r="BQ82" s="460">
        <f t="shared" si="281"/>
        <v>716.09999999999991</v>
      </c>
      <c r="BR82" s="528">
        <f t="shared" si="215"/>
        <v>6.4870461046747402E-2</v>
      </c>
      <c r="BS82" s="528">
        <f t="shared" si="216"/>
        <v>4.503864880299429E-2</v>
      </c>
      <c r="BT82" s="528">
        <f t="shared" si="217"/>
        <v>7.52674285469835E-5</v>
      </c>
      <c r="BU82" s="528">
        <f t="shared" si="218"/>
        <v>1.3200859429131522</v>
      </c>
      <c r="BV82" s="528">
        <f t="shared" si="219"/>
        <v>1.4693954139041356</v>
      </c>
      <c r="BW82" s="625">
        <f t="shared" si="220"/>
        <v>0.75836057209847574</v>
      </c>
      <c r="BX82" s="460">
        <f t="shared" si="282"/>
        <v>2227.7559860026113</v>
      </c>
      <c r="BY82" s="173">
        <f t="shared" si="283"/>
        <v>3.9841528109585269</v>
      </c>
      <c r="BZ82" s="5">
        <f t="shared" si="284"/>
        <v>19.866</v>
      </c>
      <c r="CA82" s="173">
        <f t="shared" si="285"/>
        <v>0.8329506379880337</v>
      </c>
      <c r="CB82" s="5">
        <f t="shared" si="286"/>
        <v>83.295063798803369</v>
      </c>
      <c r="CC82">
        <f t="shared" si="287"/>
        <v>77</v>
      </c>
      <c r="CE82" s="562">
        <f t="shared" si="221"/>
        <v>-50</v>
      </c>
      <c r="CF82">
        <f t="shared" si="222"/>
        <v>-50</v>
      </c>
      <c r="CG82" s="173">
        <f t="shared" si="223"/>
        <v>0.58114024475735238</v>
      </c>
      <c r="CH82" s="173">
        <f t="shared" si="224"/>
        <v>0.1583991712777521</v>
      </c>
      <c r="CI82" s="170">
        <v>77</v>
      </c>
      <c r="CJ82" s="217">
        <f t="shared" si="309"/>
        <v>0.77</v>
      </c>
      <c r="CK82" s="217">
        <f t="shared" si="288"/>
        <v>7.7000000000000013E-2</v>
      </c>
      <c r="CL82" s="217">
        <f t="shared" si="225"/>
        <v>18.48</v>
      </c>
      <c r="CM82" s="217">
        <f t="shared" si="310"/>
        <v>1.3860000000000001</v>
      </c>
      <c r="CN82" s="541">
        <f t="shared" si="289"/>
        <v>24</v>
      </c>
      <c r="CO82" s="443">
        <f t="shared" si="226"/>
        <v>16.474900000000002</v>
      </c>
      <c r="CP82" s="443">
        <f t="shared" si="227"/>
        <v>40.474900000000005</v>
      </c>
      <c r="CQ82" s="443"/>
      <c r="CR82" s="217">
        <f t="shared" si="228"/>
        <v>0.40507913686898112</v>
      </c>
      <c r="CS82" s="172">
        <f t="shared" si="290"/>
        <v>50.242373565144938</v>
      </c>
      <c r="CT82" s="172">
        <f t="shared" si="229"/>
        <v>4.0507913686898105</v>
      </c>
      <c r="CU82" s="217">
        <f t="shared" si="230"/>
        <v>2.0934322318810392</v>
      </c>
      <c r="CV82" s="217">
        <f t="shared" si="231"/>
        <v>2.7912429758413855</v>
      </c>
      <c r="CW82" s="443">
        <f t="shared" si="232"/>
        <v>24</v>
      </c>
      <c r="CX82" s="217">
        <f t="shared" si="233"/>
        <v>4.0868557506960803</v>
      </c>
      <c r="CY82" s="217">
        <f t="shared" si="234"/>
        <v>1.7028565627900336</v>
      </c>
      <c r="CZ82" s="217">
        <f t="shared" si="235"/>
        <v>2.4806558769376932</v>
      </c>
      <c r="DA82" s="197">
        <f t="shared" si="236"/>
        <v>350</v>
      </c>
      <c r="DB82" s="443">
        <f t="shared" si="291"/>
        <v>239.03359065070271</v>
      </c>
      <c r="DD82" s="217">
        <f t="shared" si="237"/>
        <v>2.7911308701724487</v>
      </c>
      <c r="DE82" s="173">
        <f t="shared" si="238"/>
        <v>1.6941716612376698</v>
      </c>
      <c r="DF82" s="173">
        <f t="shared" si="239"/>
        <v>0.55195223422072148</v>
      </c>
      <c r="DG82" s="173"/>
      <c r="DH82" s="173">
        <f t="shared" si="240"/>
        <v>1.3488532386977903</v>
      </c>
      <c r="DI82" s="545">
        <f t="shared" si="241"/>
        <v>770.26949999999977</v>
      </c>
      <c r="DJ82" s="528">
        <f t="shared" si="242"/>
        <v>0.34987754285999911</v>
      </c>
      <c r="DL82" s="173">
        <f t="shared" si="243"/>
        <v>3.3692729185983135</v>
      </c>
      <c r="DM82" s="173">
        <f t="shared" si="244"/>
        <v>4.0868557506960803</v>
      </c>
      <c r="DN82" s="173">
        <f t="shared" si="245"/>
        <v>2.5812100210917466</v>
      </c>
      <c r="DP82" s="545">
        <f t="shared" si="246"/>
        <v>770</v>
      </c>
      <c r="DQ82" s="460">
        <f t="shared" si="247"/>
        <v>239.03359065070271</v>
      </c>
      <c r="DS82">
        <f t="shared" si="292"/>
        <v>770</v>
      </c>
      <c r="DT82">
        <f t="shared" si="248"/>
        <v>239.03359065070271</v>
      </c>
      <c r="DV82" s="5">
        <f t="shared" si="293"/>
        <v>4.1835124397277266</v>
      </c>
      <c r="DW82" s="5">
        <f t="shared" si="249"/>
        <v>1.7028565627900336</v>
      </c>
      <c r="DX82" s="5">
        <f t="shared" si="294"/>
        <v>2.4806558769376927</v>
      </c>
      <c r="DY82" s="173">
        <f t="shared" si="295"/>
        <v>0.40703991856681554</v>
      </c>
      <c r="EA82" s="5">
        <f t="shared" si="250"/>
        <v>5.4633314722846906</v>
      </c>
      <c r="EB82" s="5">
        <f t="shared" si="251"/>
        <v>0.72844419630462565</v>
      </c>
      <c r="EC82" s="5">
        <f t="shared" si="252"/>
        <v>1.5917541877016861</v>
      </c>
      <c r="ED82" s="5"/>
      <c r="EE82" s="173">
        <f t="shared" si="296"/>
        <v>1.505383609555641</v>
      </c>
      <c r="EF82" s="173">
        <f t="shared" si="253"/>
        <v>1.2119012805227243</v>
      </c>
      <c r="EG82" s="173">
        <f t="shared" si="254"/>
        <v>0.12135389849558627</v>
      </c>
      <c r="EH82" s="173"/>
      <c r="EI82" s="528">
        <f t="shared" si="255"/>
        <v>9.0647192476750821E-2</v>
      </c>
      <c r="EJ82" s="528">
        <f t="shared" si="256"/>
        <v>1.0873434000000002</v>
      </c>
      <c r="EK82" s="528">
        <f t="shared" si="257"/>
        <v>4.7806718130140542E-2</v>
      </c>
      <c r="EL82" s="528">
        <f t="shared" si="258"/>
        <v>6.8528078231412756E-2</v>
      </c>
      <c r="EM82">
        <f t="shared" si="259"/>
        <v>1.0800000000000001E-2</v>
      </c>
      <c r="EN82" s="460">
        <f t="shared" si="297"/>
        <v>58.606718130140543</v>
      </c>
      <c r="EO82">
        <f t="shared" si="260"/>
        <v>1.3588671018930101</v>
      </c>
      <c r="EP82" s="460">
        <f t="shared" si="298"/>
        <v>1358.8671018930102</v>
      </c>
      <c r="EQ82" s="173">
        <f t="shared" si="261"/>
        <v>0.66835999999999995</v>
      </c>
      <c r="ER82" s="173">
        <f t="shared" si="262"/>
        <v>4.7740000000000005E-2</v>
      </c>
      <c r="ES82" s="528"/>
      <c r="EU82" s="460">
        <f t="shared" si="299"/>
        <v>716.09999999999991</v>
      </c>
      <c r="EV82" s="528">
        <f t="shared" si="263"/>
        <v>6.7985394357563109E-2</v>
      </c>
      <c r="EW82" s="528">
        <f t="shared" si="300"/>
        <v>4.406114141197856E-2</v>
      </c>
      <c r="EX82" s="528">
        <f t="shared" si="264"/>
        <v>7.3633843400385275E-5</v>
      </c>
      <c r="EY82" s="528">
        <f t="shared" si="265"/>
        <v>1.4913879008629314</v>
      </c>
      <c r="EZ82" s="528">
        <f t="shared" si="266"/>
        <v>1.645173481566657</v>
      </c>
      <c r="FA82" s="625">
        <f t="shared" si="267"/>
        <v>0.798486447339674</v>
      </c>
      <c r="FB82" s="460">
        <f t="shared" si="301"/>
        <v>2443.6599289063306</v>
      </c>
      <c r="FC82" s="173">
        <f t="shared" si="302"/>
        <v>4.5186270307993412</v>
      </c>
      <c r="FD82" s="5">
        <f t="shared" si="303"/>
        <v>19.866</v>
      </c>
      <c r="FE82" s="173">
        <f t="shared" si="304"/>
        <v>0.81469361720841471</v>
      </c>
      <c r="FF82" s="5">
        <f t="shared" si="305"/>
        <v>81.469361720841476</v>
      </c>
      <c r="FG82">
        <f t="shared" si="306"/>
        <v>77</v>
      </c>
      <c r="FI82" s="562">
        <f t="shared" si="268"/>
        <v>-50</v>
      </c>
      <c r="FJ82">
        <f t="shared" si="269"/>
        <v>-50</v>
      </c>
      <c r="FL82">
        <f t="shared" si="270"/>
        <v>0.58114024475735238</v>
      </c>
    </row>
    <row r="83" spans="5:168">
      <c r="E83" s="170">
        <v>78</v>
      </c>
      <c r="F83" s="217">
        <f t="shared" si="307"/>
        <v>0.78</v>
      </c>
      <c r="G83" s="217">
        <f t="shared" si="271"/>
        <v>7.8000000000000014E-2</v>
      </c>
      <c r="H83" s="217">
        <f t="shared" si="176"/>
        <v>18.72</v>
      </c>
      <c r="I83" s="217">
        <f t="shared" si="308"/>
        <v>1.4040000000000004</v>
      </c>
      <c r="J83" s="541">
        <f t="shared" si="177"/>
        <v>23.820433666946684</v>
      </c>
      <c r="K83" s="443">
        <f t="shared" si="178"/>
        <v>16.501757200375991</v>
      </c>
      <c r="L83" s="172">
        <f t="shared" si="179"/>
        <v>40.322190867322675</v>
      </c>
      <c r="M83" s="443"/>
      <c r="N83" s="217">
        <f t="shared" si="180"/>
        <v>0.40924753455668761</v>
      </c>
      <c r="O83" s="172">
        <f t="shared" si="272"/>
        <v>50.379605944542881</v>
      </c>
      <c r="P83" s="172">
        <f t="shared" si="181"/>
        <v>4.0618557292787694</v>
      </c>
      <c r="Q83" s="217">
        <f t="shared" si="182"/>
        <v>2.0991502476892867</v>
      </c>
      <c r="R83" s="217">
        <f t="shared" si="183"/>
        <v>2.7988669969190489</v>
      </c>
      <c r="S83" s="443">
        <f t="shared" si="184"/>
        <v>24</v>
      </c>
      <c r="T83" s="217">
        <f t="shared" si="185"/>
        <v>4.1286547621861764</v>
      </c>
      <c r="U83" s="217">
        <f t="shared" si="186"/>
        <v>1.7332408048956356</v>
      </c>
      <c r="V83" s="217">
        <f t="shared" si="187"/>
        <v>2.5019485573888494</v>
      </c>
      <c r="W83" s="197">
        <f t="shared" si="188"/>
        <v>350</v>
      </c>
      <c r="X83" s="443">
        <f t="shared" si="273"/>
        <v>225.4695162519325</v>
      </c>
      <c r="Z83" s="217">
        <f t="shared" si="189"/>
        <v>2.785272500076871</v>
      </c>
      <c r="AA83" s="173">
        <f t="shared" si="190"/>
        <v>1.6878641869808926</v>
      </c>
      <c r="AB83" s="173">
        <f t="shared" si="191"/>
        <v>0.54874309988334868</v>
      </c>
      <c r="AC83" s="173"/>
      <c r="AD83" s="173">
        <f t="shared" si="192"/>
        <v>1.3466579317817071</v>
      </c>
      <c r="AE83" s="545">
        <f t="shared" si="193"/>
        <v>781.54499244359431</v>
      </c>
      <c r="AF83" s="528">
        <f t="shared" si="194"/>
        <v>0.34930810463826623</v>
      </c>
      <c r="AH83" s="173">
        <f t="shared" si="195"/>
        <v>3.391080737969618</v>
      </c>
      <c r="AI83" s="173">
        <f t="shared" si="196"/>
        <v>4.1286547621861764</v>
      </c>
      <c r="AJ83" s="173">
        <f t="shared" si="197"/>
        <v>2.6121722518251511</v>
      </c>
      <c r="AL83" s="545">
        <f t="shared" si="198"/>
        <v>780</v>
      </c>
      <c r="AM83" s="460">
        <f t="shared" si="199"/>
        <v>225.4695162519325</v>
      </c>
      <c r="AO83">
        <f t="shared" si="274"/>
        <v>780</v>
      </c>
      <c r="AP83">
        <f t="shared" si="200"/>
        <v>225.4695162519325</v>
      </c>
      <c r="AR83" s="5">
        <f t="shared" si="275"/>
        <v>4.4351893622844853</v>
      </c>
      <c r="AS83" s="5">
        <f t="shared" si="201"/>
        <v>1.7332408048956356</v>
      </c>
      <c r="AT83" s="5">
        <f t="shared" si="276"/>
        <v>2.7019485573888495</v>
      </c>
      <c r="AU83" s="173">
        <f t="shared" si="277"/>
        <v>0.39079296582792911</v>
      </c>
      <c r="AW83" s="5">
        <f t="shared" si="202"/>
        <v>5.6330326159108157</v>
      </c>
      <c r="AX83" s="5">
        <f t="shared" si="203"/>
        <v>0.75107101545477539</v>
      </c>
      <c r="AY83" s="5">
        <f t="shared" si="204"/>
        <v>1.7695058824119596</v>
      </c>
      <c r="AZ83" s="5"/>
      <c r="BA83" s="173">
        <f t="shared" si="278"/>
        <v>1.4901202284570982</v>
      </c>
      <c r="BB83" s="173">
        <f t="shared" si="205"/>
        <v>1.2409555619772212</v>
      </c>
      <c r="BC83" s="173">
        <f t="shared" si="206"/>
        <v>0.1242632528952866</v>
      </c>
      <c r="BD83" s="173"/>
      <c r="BE83" s="528">
        <f t="shared" si="207"/>
        <v>8.8818331810281384E-2</v>
      </c>
      <c r="BF83" s="528">
        <f t="shared" si="208"/>
        <v>0.84454547806704272</v>
      </c>
      <c r="BG83" s="528">
        <f t="shared" si="209"/>
        <v>0.21483126623190862</v>
      </c>
      <c r="BH83" s="528">
        <f t="shared" si="210"/>
        <v>6.4152579544672336E-2</v>
      </c>
      <c r="BI83">
        <f t="shared" si="211"/>
        <v>1.0719195150126008E-2</v>
      </c>
      <c r="BJ83" s="460">
        <f t="shared" si="279"/>
        <v>225.55046138203463</v>
      </c>
      <c r="BK83">
        <f t="shared" si="212"/>
        <v>1.0435189656354271</v>
      </c>
      <c r="BL83" s="460">
        <f t="shared" si="280"/>
        <v>1043.5189656354271</v>
      </c>
      <c r="BM83" s="173">
        <f t="shared" si="213"/>
        <v>0.67703999999999986</v>
      </c>
      <c r="BN83" s="173">
        <f t="shared" si="214"/>
        <v>4.8360000000000007E-2</v>
      </c>
      <c r="BO83" s="528"/>
      <c r="BQ83" s="460">
        <f t="shared" si="281"/>
        <v>725.39999999999986</v>
      </c>
      <c r="BR83" s="528">
        <f t="shared" si="215"/>
        <v>6.6613748857711041E-2</v>
      </c>
      <c r="BS83" s="528">
        <f t="shared" si="216"/>
        <v>4.6199121204066031E-2</v>
      </c>
      <c r="BT83" s="528">
        <f t="shared" si="217"/>
        <v>7.7206780100589777E-5</v>
      </c>
      <c r="BU83" s="528">
        <f t="shared" si="218"/>
        <v>1.3219377622975637</v>
      </c>
      <c r="BV83" s="528">
        <f t="shared" si="219"/>
        <v>1.475244696553855</v>
      </c>
      <c r="BW83" s="625">
        <f t="shared" si="220"/>
        <v>0.76866121163956858</v>
      </c>
      <c r="BX83" s="460">
        <f t="shared" si="282"/>
        <v>2243.9059081934233</v>
      </c>
      <c r="BY83" s="173">
        <f t="shared" si="283"/>
        <v>4.0128248738288503</v>
      </c>
      <c r="BZ83" s="5">
        <f t="shared" si="284"/>
        <v>20.123999999999999</v>
      </c>
      <c r="CA83" s="173">
        <f t="shared" si="285"/>
        <v>0.83374677925513352</v>
      </c>
      <c r="CB83" s="5">
        <f t="shared" si="286"/>
        <v>83.374677925513353</v>
      </c>
      <c r="CC83">
        <f t="shared" si="287"/>
        <v>78</v>
      </c>
      <c r="CE83" s="562">
        <f t="shared" si="221"/>
        <v>-50</v>
      </c>
      <c r="CF83">
        <f t="shared" si="222"/>
        <v>-50</v>
      </c>
      <c r="CG83" s="173">
        <f t="shared" si="223"/>
        <v>0.58114024475735238</v>
      </c>
      <c r="CH83" s="173">
        <f t="shared" si="224"/>
        <v>0.1583991712777521</v>
      </c>
      <c r="CI83" s="170">
        <v>78</v>
      </c>
      <c r="CJ83" s="217">
        <f t="shared" si="309"/>
        <v>0.78</v>
      </c>
      <c r="CK83" s="217">
        <f t="shared" si="288"/>
        <v>7.8000000000000014E-2</v>
      </c>
      <c r="CL83" s="217">
        <f t="shared" si="225"/>
        <v>18.72</v>
      </c>
      <c r="CM83" s="217">
        <f t="shared" si="310"/>
        <v>1.4040000000000004</v>
      </c>
      <c r="CN83" s="541">
        <f t="shared" si="289"/>
        <v>24</v>
      </c>
      <c r="CO83" s="443">
        <f t="shared" si="226"/>
        <v>16.474900000000002</v>
      </c>
      <c r="CP83" s="443">
        <f t="shared" si="227"/>
        <v>40.474900000000005</v>
      </c>
      <c r="CQ83" s="443"/>
      <c r="CR83" s="217">
        <f t="shared" si="228"/>
        <v>0.40507913686898112</v>
      </c>
      <c r="CS83" s="172">
        <f t="shared" si="290"/>
        <v>50.242373565144938</v>
      </c>
      <c r="CT83" s="172">
        <f t="shared" si="229"/>
        <v>4.0507913686898105</v>
      </c>
      <c r="CU83" s="217">
        <f t="shared" si="230"/>
        <v>2.0934322318810392</v>
      </c>
      <c r="CV83" s="217">
        <f t="shared" si="231"/>
        <v>2.7912429758413855</v>
      </c>
      <c r="CW83" s="443">
        <f t="shared" si="232"/>
        <v>24</v>
      </c>
      <c r="CX83" s="217">
        <f t="shared" si="233"/>
        <v>4.1399317994064191</v>
      </c>
      <c r="CY83" s="217">
        <f t="shared" si="234"/>
        <v>1.7249715830860082</v>
      </c>
      <c r="CZ83" s="217">
        <f t="shared" si="235"/>
        <v>2.5128721870277935</v>
      </c>
      <c r="DA83" s="197">
        <f t="shared" si="236"/>
        <v>350</v>
      </c>
      <c r="DB83" s="443">
        <f t="shared" si="291"/>
        <v>235.96905743723212</v>
      </c>
      <c r="DD83" s="217">
        <f t="shared" si="237"/>
        <v>2.7911308701724487</v>
      </c>
      <c r="DE83" s="173">
        <f t="shared" si="238"/>
        <v>1.6941716612376698</v>
      </c>
      <c r="DF83" s="173">
        <f t="shared" si="239"/>
        <v>0.55195223422072148</v>
      </c>
      <c r="DG83" s="173"/>
      <c r="DH83" s="173">
        <f t="shared" si="240"/>
        <v>1.3488532386977903</v>
      </c>
      <c r="DI83" s="545">
        <f t="shared" si="241"/>
        <v>780.2729999999998</v>
      </c>
      <c r="DJ83" s="528">
        <f t="shared" si="242"/>
        <v>0.34987754285999911</v>
      </c>
      <c r="DL83" s="173">
        <f t="shared" si="243"/>
        <v>3.391080737969618</v>
      </c>
      <c r="DM83" s="173">
        <f t="shared" si="244"/>
        <v>4.1399317994064191</v>
      </c>
      <c r="DN83" s="173">
        <f t="shared" si="245"/>
        <v>2.6205256127290344</v>
      </c>
      <c r="DP83" s="545">
        <f t="shared" si="246"/>
        <v>780</v>
      </c>
      <c r="DQ83" s="460">
        <f t="shared" si="247"/>
        <v>235.96905743723212</v>
      </c>
      <c r="DS83">
        <f t="shared" si="292"/>
        <v>780</v>
      </c>
      <c r="DT83">
        <f t="shared" si="248"/>
        <v>235.96905743723212</v>
      </c>
      <c r="DV83" s="5">
        <f t="shared" si="293"/>
        <v>4.2378437701138019</v>
      </c>
      <c r="DW83" s="5">
        <f t="shared" si="249"/>
        <v>1.7249715830860082</v>
      </c>
      <c r="DX83" s="5">
        <f t="shared" si="294"/>
        <v>2.5128721870277939</v>
      </c>
      <c r="DY83" s="173">
        <f t="shared" si="295"/>
        <v>0.40703991856681548</v>
      </c>
      <c r="EA83" s="5">
        <f t="shared" si="250"/>
        <v>5.6061576450295272</v>
      </c>
      <c r="EB83" s="5">
        <f t="shared" si="251"/>
        <v>0.747487686003937</v>
      </c>
      <c r="EC83" s="5">
        <f t="shared" si="252"/>
        <v>1.6333669215680657</v>
      </c>
      <c r="ED83" s="5"/>
      <c r="EE83" s="173">
        <f t="shared" si="296"/>
        <v>1.5249340460433767</v>
      </c>
      <c r="EF83" s="173">
        <f t="shared" si="253"/>
        <v>1.2276402581918506</v>
      </c>
      <c r="EG83" s="173">
        <f t="shared" si="254"/>
        <v>0.12292992315137312</v>
      </c>
      <c r="EH83" s="173"/>
      <c r="EI83" s="528">
        <f t="shared" si="255"/>
        <v>9.3016953791288923E-2</v>
      </c>
      <c r="EJ83" s="528">
        <f t="shared" si="256"/>
        <v>1.0873434</v>
      </c>
      <c r="EK83" s="528">
        <f t="shared" si="257"/>
        <v>4.7193811487446419E-2</v>
      </c>
      <c r="EL83" s="528">
        <f t="shared" si="258"/>
        <v>6.7649513125881813E-2</v>
      </c>
      <c r="EM83">
        <f t="shared" si="259"/>
        <v>1.0800000000000001E-2</v>
      </c>
      <c r="EN83" s="460">
        <f t="shared" si="297"/>
        <v>57.993811487446422</v>
      </c>
      <c r="EO83">
        <f t="shared" si="260"/>
        <v>1.3612019463176643</v>
      </c>
      <c r="EP83" s="460">
        <f t="shared" si="298"/>
        <v>1361.2019463176644</v>
      </c>
      <c r="EQ83" s="173">
        <f t="shared" si="261"/>
        <v>0.67703999999999986</v>
      </c>
      <c r="ER83" s="173">
        <f t="shared" si="262"/>
        <v>4.8360000000000007E-2</v>
      </c>
      <c r="ES83" s="528"/>
      <c r="EU83" s="460">
        <f t="shared" si="299"/>
        <v>725.39999999999986</v>
      </c>
      <c r="EV83" s="528">
        <f t="shared" si="263"/>
        <v>6.9762715343466689E-2</v>
      </c>
      <c r="EW83" s="528">
        <f t="shared" si="300"/>
        <v>4.5213018106000605E-2</v>
      </c>
      <c r="EX83" s="528">
        <f t="shared" si="264"/>
        <v>7.5558830030012506E-5</v>
      </c>
      <c r="EY83" s="528">
        <f t="shared" si="265"/>
        <v>1.4913879008629329</v>
      </c>
      <c r="EZ83" s="528">
        <f t="shared" si="266"/>
        <v>1.6492311977348744</v>
      </c>
      <c r="FA83" s="625">
        <f t="shared" si="267"/>
        <v>0.80885640120122815</v>
      </c>
      <c r="FB83" s="460">
        <f t="shared" si="301"/>
        <v>2458.0875989361025</v>
      </c>
      <c r="FC83" s="173">
        <f t="shared" si="302"/>
        <v>4.5446895452537674</v>
      </c>
      <c r="FD83" s="5">
        <f t="shared" si="303"/>
        <v>20.123999999999999</v>
      </c>
      <c r="FE83" s="173">
        <f t="shared" si="304"/>
        <v>0.81577093761236452</v>
      </c>
      <c r="FF83" s="5">
        <f t="shared" si="305"/>
        <v>81.577093761236455</v>
      </c>
      <c r="FG83">
        <f t="shared" si="306"/>
        <v>78</v>
      </c>
      <c r="FI83" s="562">
        <f t="shared" si="268"/>
        <v>-50</v>
      </c>
      <c r="FJ83">
        <f t="shared" si="269"/>
        <v>-50</v>
      </c>
      <c r="FL83">
        <f t="shared" si="270"/>
        <v>0.58114024475735238</v>
      </c>
    </row>
    <row r="84" spans="5:168">
      <c r="E84" s="170">
        <v>79</v>
      </c>
      <c r="F84" s="217">
        <f t="shared" si="307"/>
        <v>0.79</v>
      </c>
      <c r="G84" s="217">
        <f t="shared" si="271"/>
        <v>7.9000000000000015E-2</v>
      </c>
      <c r="H84" s="217">
        <f t="shared" si="176"/>
        <v>18.96</v>
      </c>
      <c r="I84" s="217">
        <f t="shared" si="308"/>
        <v>1.4220000000000002</v>
      </c>
      <c r="J84" s="541">
        <f t="shared" si="177"/>
        <v>23.81813153447164</v>
      </c>
      <c r="K84" s="443">
        <f t="shared" si="178"/>
        <v>16.502101523457732</v>
      </c>
      <c r="L84" s="172">
        <f t="shared" si="179"/>
        <v>40.320233057929372</v>
      </c>
      <c r="M84" s="443"/>
      <c r="N84" s="217">
        <f t="shared" si="180"/>
        <v>0.4092759458941776</v>
      </c>
      <c r="O84" s="172">
        <f t="shared" si="272"/>
        <v>50.378234176758745</v>
      </c>
      <c r="P84" s="172">
        <f t="shared" si="181"/>
        <v>4.0617451305011745</v>
      </c>
      <c r="Q84" s="217">
        <f t="shared" si="182"/>
        <v>2.0990930906982812</v>
      </c>
      <c r="R84" s="217">
        <f t="shared" si="183"/>
        <v>2.7987907875977083</v>
      </c>
      <c r="S84" s="443">
        <f t="shared" si="184"/>
        <v>24</v>
      </c>
      <c r="T84" s="217">
        <f t="shared" si="185"/>
        <v>4.1817000954720758</v>
      </c>
      <c r="U84" s="217">
        <f t="shared" si="186"/>
        <v>1.7556793191019042</v>
      </c>
      <c r="V84" s="217">
        <f t="shared" si="187"/>
        <v>2.5340409459533326</v>
      </c>
      <c r="W84" s="197">
        <f t="shared" si="188"/>
        <v>350</v>
      </c>
      <c r="X84" s="443">
        <f t="shared" si="273"/>
        <v>222.73102575750269</v>
      </c>
      <c r="Z84" s="217">
        <f t="shared" si="189"/>
        <v>2.7851966609150907</v>
      </c>
      <c r="AA84" s="173">
        <f t="shared" si="190"/>
        <v>1.6877830117309212</v>
      </c>
      <c r="AB84" s="173">
        <f t="shared" si="191"/>
        <v>0.54870176811642368</v>
      </c>
      <c r="AC84" s="173"/>
      <c r="AD84" s="173">
        <f t="shared" si="192"/>
        <v>1.3466298332144753</v>
      </c>
      <c r="AE84" s="545">
        <f t="shared" si="193"/>
        <v>791.58131670619196</v>
      </c>
      <c r="AF84" s="528">
        <f t="shared" si="194"/>
        <v>0.34930081618213255</v>
      </c>
      <c r="AH84" s="173">
        <f t="shared" si="195"/>
        <v>3.4127492059712128</v>
      </c>
      <c r="AI84" s="173">
        <f t="shared" si="196"/>
        <v>4.1817000954720758</v>
      </c>
      <c r="AJ84" s="173">
        <f t="shared" si="197"/>
        <v>2.6514650912961875</v>
      </c>
      <c r="AL84" s="545">
        <f t="shared" si="198"/>
        <v>790</v>
      </c>
      <c r="AM84" s="460">
        <f t="shared" si="199"/>
        <v>222.73102575750269</v>
      </c>
      <c r="AO84">
        <f t="shared" si="274"/>
        <v>790</v>
      </c>
      <c r="AP84">
        <f t="shared" si="200"/>
        <v>222.73102575750269</v>
      </c>
      <c r="AR84" s="5">
        <f t="shared" si="275"/>
        <v>4.4897202650552384</v>
      </c>
      <c r="AS84" s="5">
        <f t="shared" si="201"/>
        <v>1.7556793191019042</v>
      </c>
      <c r="AT84" s="5">
        <f t="shared" si="276"/>
        <v>2.7340409459533341</v>
      </c>
      <c r="AU84" s="173">
        <f t="shared" si="277"/>
        <v>0.391044255644801</v>
      </c>
      <c r="AW84" s="5">
        <f t="shared" si="202"/>
        <v>5.7791110920437685</v>
      </c>
      <c r="AX84" s="5">
        <f t="shared" si="203"/>
        <v>0.77054814560583584</v>
      </c>
      <c r="AY84" s="5">
        <f t="shared" si="204"/>
        <v>1.8136538915129867</v>
      </c>
      <c r="AZ84" s="5"/>
      <c r="BA84" s="173">
        <f t="shared" si="278"/>
        <v>1.5097505992320837</v>
      </c>
      <c r="BB84" s="173">
        <f t="shared" si="205"/>
        <v>1.2566402184097354</v>
      </c>
      <c r="BC84" s="173">
        <f t="shared" si="206"/>
        <v>0.12583383808670456</v>
      </c>
      <c r="BD84" s="173"/>
      <c r="BE84" s="528">
        <f t="shared" si="207"/>
        <v>9.1173874875265432E-2</v>
      </c>
      <c r="BF84" s="528">
        <f t="shared" si="208"/>
        <v>0.8449658398882044</v>
      </c>
      <c r="BG84" s="528">
        <f t="shared" si="209"/>
        <v>0.2122014747319996</v>
      </c>
      <c r="BH84" s="528">
        <f t="shared" si="210"/>
        <v>6.3367246092670387E-2</v>
      </c>
      <c r="BI84">
        <f t="shared" si="211"/>
        <v>1.0718159190512238E-2</v>
      </c>
      <c r="BJ84" s="460">
        <f t="shared" si="279"/>
        <v>222.91963392251185</v>
      </c>
      <c r="BK84">
        <f t="shared" si="212"/>
        <v>1.0468006583168585</v>
      </c>
      <c r="BL84" s="460">
        <f t="shared" si="280"/>
        <v>1046.8006583168585</v>
      </c>
      <c r="BM84" s="173">
        <f t="shared" si="213"/>
        <v>0.68571999999999989</v>
      </c>
      <c r="BN84" s="173">
        <f t="shared" si="214"/>
        <v>4.898000000000001E-2</v>
      </c>
      <c r="BO84" s="528"/>
      <c r="BQ84" s="460">
        <f t="shared" si="281"/>
        <v>734.69999999999993</v>
      </c>
      <c r="BR84" s="528">
        <f t="shared" si="215"/>
        <v>6.8380406156449067E-2</v>
      </c>
      <c r="BS84" s="528">
        <f t="shared" si="216"/>
        <v>4.7374339155746022E-2</v>
      </c>
      <c r="BT84" s="528">
        <f t="shared" si="217"/>
        <v>7.917077403815489E-5</v>
      </c>
      <c r="BU84" s="528">
        <f t="shared" si="218"/>
        <v>1.3237439981651424</v>
      </c>
      <c r="BV84" s="528">
        <f t="shared" si="219"/>
        <v>1.4811030110639638</v>
      </c>
      <c r="BW84" s="625">
        <f t="shared" si="220"/>
        <v>0.77896236986408462</v>
      </c>
      <c r="BX84" s="460">
        <f t="shared" si="282"/>
        <v>2260.0653809280484</v>
      </c>
      <c r="BY84" s="173">
        <f t="shared" si="283"/>
        <v>4.0415660392449073</v>
      </c>
      <c r="BZ84" s="5">
        <f t="shared" si="284"/>
        <v>20.382000000000001</v>
      </c>
      <c r="CA84" s="173">
        <f t="shared" si="285"/>
        <v>0.83452186987147026</v>
      </c>
      <c r="CB84" s="5">
        <f t="shared" si="286"/>
        <v>83.45218698714703</v>
      </c>
      <c r="CC84">
        <f t="shared" si="287"/>
        <v>79</v>
      </c>
      <c r="CE84" s="562">
        <f t="shared" si="221"/>
        <v>-50</v>
      </c>
      <c r="CF84">
        <f t="shared" si="222"/>
        <v>-50</v>
      </c>
      <c r="CG84" s="173">
        <f t="shared" si="223"/>
        <v>0.58114024475735249</v>
      </c>
      <c r="CH84" s="173">
        <f t="shared" si="224"/>
        <v>0.1583991712777521</v>
      </c>
      <c r="CI84" s="170">
        <v>79</v>
      </c>
      <c r="CJ84" s="217">
        <f t="shared" si="309"/>
        <v>0.79</v>
      </c>
      <c r="CK84" s="217">
        <f t="shared" si="288"/>
        <v>7.9000000000000015E-2</v>
      </c>
      <c r="CL84" s="217">
        <f t="shared" si="225"/>
        <v>18.96</v>
      </c>
      <c r="CM84" s="217">
        <f t="shared" si="310"/>
        <v>1.4220000000000002</v>
      </c>
      <c r="CN84" s="541">
        <f t="shared" si="289"/>
        <v>24</v>
      </c>
      <c r="CO84" s="443">
        <f t="shared" si="226"/>
        <v>16.474900000000002</v>
      </c>
      <c r="CP84" s="443">
        <f t="shared" si="227"/>
        <v>40.474900000000005</v>
      </c>
      <c r="CQ84" s="443"/>
      <c r="CR84" s="217">
        <f t="shared" si="228"/>
        <v>0.40507913686898112</v>
      </c>
      <c r="CS84" s="172">
        <f t="shared" si="290"/>
        <v>50.242373565144938</v>
      </c>
      <c r="CT84" s="172">
        <f t="shared" si="229"/>
        <v>4.0507913686898105</v>
      </c>
      <c r="CU84" s="217">
        <f t="shared" si="230"/>
        <v>2.0934322318810392</v>
      </c>
      <c r="CV84" s="217">
        <f t="shared" si="231"/>
        <v>2.7912429758413855</v>
      </c>
      <c r="CW84" s="443">
        <f t="shared" si="232"/>
        <v>24</v>
      </c>
      <c r="CX84" s="217">
        <f t="shared" si="233"/>
        <v>4.1930078481167579</v>
      </c>
      <c r="CY84" s="217">
        <f t="shared" si="234"/>
        <v>1.7470866033819825</v>
      </c>
      <c r="CZ84" s="217">
        <f t="shared" si="235"/>
        <v>2.5450884971178933</v>
      </c>
      <c r="DA84" s="197">
        <f t="shared" si="236"/>
        <v>350</v>
      </c>
      <c r="DB84" s="443">
        <f t="shared" si="291"/>
        <v>232.98210734309001</v>
      </c>
      <c r="DD84" s="217">
        <f t="shared" si="237"/>
        <v>2.7911308701724487</v>
      </c>
      <c r="DE84" s="173">
        <f t="shared" si="238"/>
        <v>1.6941716612376698</v>
      </c>
      <c r="DF84" s="173">
        <f t="shared" si="239"/>
        <v>0.55195223422072148</v>
      </c>
      <c r="DG84" s="173"/>
      <c r="DH84" s="173">
        <f t="shared" si="240"/>
        <v>1.3488532386977903</v>
      </c>
      <c r="DI84" s="545">
        <f t="shared" si="241"/>
        <v>790.2764999999996</v>
      </c>
      <c r="DJ84" s="528">
        <f t="shared" si="242"/>
        <v>0.34987754285999911</v>
      </c>
      <c r="DL84" s="173">
        <f t="shared" si="243"/>
        <v>3.4127492059712128</v>
      </c>
      <c r="DM84" s="173">
        <f t="shared" si="244"/>
        <v>4.1930078481167579</v>
      </c>
      <c r="DN84" s="173">
        <f t="shared" si="245"/>
        <v>2.6598412043663227</v>
      </c>
      <c r="DP84" s="545">
        <f t="shared" si="246"/>
        <v>790</v>
      </c>
      <c r="DQ84" s="460">
        <f t="shared" si="247"/>
        <v>232.98210734309001</v>
      </c>
      <c r="DS84">
        <f t="shared" si="292"/>
        <v>790</v>
      </c>
      <c r="DT84">
        <f t="shared" si="248"/>
        <v>232.98210734309001</v>
      </c>
      <c r="DV84" s="5">
        <f t="shared" si="293"/>
        <v>4.2921751004998745</v>
      </c>
      <c r="DW84" s="5">
        <f t="shared" si="249"/>
        <v>1.7470866033819825</v>
      </c>
      <c r="DX84" s="5">
        <f t="shared" si="294"/>
        <v>2.545088497117892</v>
      </c>
      <c r="DY84" s="173">
        <f t="shared" si="295"/>
        <v>0.4070399185668156</v>
      </c>
      <c r="EA84" s="5">
        <f t="shared" si="250"/>
        <v>5.7508267361323595</v>
      </c>
      <c r="EB84" s="5">
        <f t="shared" si="251"/>
        <v>0.76677689815098138</v>
      </c>
      <c r="EC84" s="5">
        <f t="shared" si="252"/>
        <v>1.6755165939359453</v>
      </c>
      <c r="ED84" s="5"/>
      <c r="EE84" s="173">
        <f t="shared" si="296"/>
        <v>1.5444844825311124</v>
      </c>
      <c r="EF84" s="173">
        <f t="shared" si="253"/>
        <v>1.2433792358609768</v>
      </c>
      <c r="EG84" s="173">
        <f t="shared" si="254"/>
        <v>0.12450594780715993</v>
      </c>
      <c r="EH84" s="173"/>
      <c r="EI84" s="528">
        <f t="shared" si="255"/>
        <v>9.5417292671175921E-2</v>
      </c>
      <c r="EJ84" s="528">
        <f t="shared" si="256"/>
        <v>1.0873434000000002</v>
      </c>
      <c r="EK84" s="528">
        <f t="shared" si="257"/>
        <v>4.6596421468617998E-2</v>
      </c>
      <c r="EL84" s="528">
        <f t="shared" si="258"/>
        <v>6.6793190174921302E-2</v>
      </c>
      <c r="EM84">
        <f t="shared" si="259"/>
        <v>1.0800000000000001E-2</v>
      </c>
      <c r="EN84" s="460">
        <f t="shared" si="297"/>
        <v>57.396421468617994</v>
      </c>
      <c r="EO84">
        <f t="shared" si="260"/>
        <v>1.3636279862361065</v>
      </c>
      <c r="EP84" s="460">
        <f t="shared" si="298"/>
        <v>1363.6279862361064</v>
      </c>
      <c r="EQ84" s="173">
        <f t="shared" si="261"/>
        <v>0.68571999999999989</v>
      </c>
      <c r="ER84" s="173">
        <f t="shared" si="262"/>
        <v>4.898000000000001E-2</v>
      </c>
      <c r="ES84" s="528"/>
      <c r="EU84" s="460">
        <f t="shared" si="299"/>
        <v>734.69999999999993</v>
      </c>
      <c r="EV84" s="528">
        <f t="shared" si="263"/>
        <v>7.1562969503381937E-2</v>
      </c>
      <c r="EW84" s="528">
        <f t="shared" si="300"/>
        <v>4.6379757725106795E-2</v>
      </c>
      <c r="EX84" s="528">
        <f t="shared" si="264"/>
        <v>7.7508655196796168E-5</v>
      </c>
      <c r="EY84" s="528">
        <f t="shared" si="265"/>
        <v>1.4913879008629314</v>
      </c>
      <c r="EZ84" s="528">
        <f t="shared" si="266"/>
        <v>1.6533432299987936</v>
      </c>
      <c r="FA84" s="625">
        <f t="shared" si="267"/>
        <v>0.81922635506278263</v>
      </c>
      <c r="FB84" s="460">
        <f t="shared" si="301"/>
        <v>2472.5695850615762</v>
      </c>
      <c r="FC84" s="173">
        <f t="shared" si="302"/>
        <v>4.5708975712976816</v>
      </c>
      <c r="FD84" s="5">
        <f t="shared" si="303"/>
        <v>20.382000000000001</v>
      </c>
      <c r="FE84" s="173">
        <f t="shared" si="304"/>
        <v>0.81681896628488537</v>
      </c>
      <c r="FF84" s="5">
        <f t="shared" si="305"/>
        <v>81.681896628488531</v>
      </c>
      <c r="FG84">
        <f t="shared" si="306"/>
        <v>79</v>
      </c>
      <c r="FI84" s="562">
        <f t="shared" si="268"/>
        <v>-50</v>
      </c>
      <c r="FJ84">
        <f t="shared" si="269"/>
        <v>-50</v>
      </c>
      <c r="FL84">
        <f t="shared" si="270"/>
        <v>0.58114024475735249</v>
      </c>
    </row>
    <row r="85" spans="5:168">
      <c r="E85" s="170">
        <v>80</v>
      </c>
      <c r="F85" s="217">
        <f t="shared" si="307"/>
        <v>0.8</v>
      </c>
      <c r="G85" s="217">
        <f t="shared" si="271"/>
        <v>8.0000000000000016E-2</v>
      </c>
      <c r="H85" s="217">
        <f t="shared" si="176"/>
        <v>19.200000000000003</v>
      </c>
      <c r="I85" s="217">
        <f t="shared" si="308"/>
        <v>1.4400000000000004</v>
      </c>
      <c r="J85" s="541">
        <f t="shared" si="177"/>
        <v>23.815829401996599</v>
      </c>
      <c r="K85" s="443">
        <f t="shared" si="178"/>
        <v>16.502445846539477</v>
      </c>
      <c r="L85" s="172">
        <f t="shared" si="179"/>
        <v>40.318275248536075</v>
      </c>
      <c r="M85" s="443"/>
      <c r="N85" s="217">
        <f t="shared" si="180"/>
        <v>0.40930435999091175</v>
      </c>
      <c r="O85" s="172">
        <f t="shared" si="272"/>
        <v>50.376862072542409</v>
      </c>
      <c r="P85" s="172">
        <f t="shared" si="181"/>
        <v>4.0616345045987314</v>
      </c>
      <c r="Q85" s="217">
        <f t="shared" si="182"/>
        <v>2.0990359196892672</v>
      </c>
      <c r="R85" s="217">
        <f t="shared" si="183"/>
        <v>2.7987145595856893</v>
      </c>
      <c r="S85" s="443">
        <f t="shared" si="184"/>
        <v>24</v>
      </c>
      <c r="T85" s="217">
        <f t="shared" si="185"/>
        <v>4.234748345900039</v>
      </c>
      <c r="U85" s="217">
        <f t="shared" si="186"/>
        <v>1.778123396174907</v>
      </c>
      <c r="V85" s="217">
        <f t="shared" si="187"/>
        <v>2.5661337630070489</v>
      </c>
      <c r="W85" s="197">
        <f t="shared" si="188"/>
        <v>350</v>
      </c>
      <c r="X85" s="443">
        <f t="shared" si="273"/>
        <v>220.0579687660144</v>
      </c>
      <c r="Z85" s="217">
        <f t="shared" si="189"/>
        <v>2.7851208031534158</v>
      </c>
      <c r="AA85" s="173">
        <f t="shared" si="190"/>
        <v>1.687701828597395</v>
      </c>
      <c r="AB85" s="173">
        <f t="shared" si="191"/>
        <v>0.54866043155966449</v>
      </c>
      <c r="AC85" s="173"/>
      <c r="AD85" s="173">
        <f t="shared" si="192"/>
        <v>1.346601735819795</v>
      </c>
      <c r="AE85" s="545">
        <f t="shared" si="193"/>
        <v>801.61805911226236</v>
      </c>
      <c r="AF85" s="528">
        <f t="shared" si="194"/>
        <v>0.34929352803014579</v>
      </c>
      <c r="AH85" s="173">
        <f t="shared" si="195"/>
        <v>3.4342809603009647</v>
      </c>
      <c r="AI85" s="173">
        <f t="shared" si="196"/>
        <v>4.234748345900039</v>
      </c>
      <c r="AJ85" s="173">
        <f t="shared" si="197"/>
        <v>2.6907600916131975</v>
      </c>
      <c r="AL85" s="545">
        <f t="shared" si="198"/>
        <v>800</v>
      </c>
      <c r="AM85" s="460">
        <f t="shared" si="199"/>
        <v>220.0579687660144</v>
      </c>
      <c r="AO85">
        <f t="shared" si="274"/>
        <v>800</v>
      </c>
      <c r="AP85">
        <f t="shared" si="200"/>
        <v>220.0579687660144</v>
      </c>
      <c r="AR85" s="5">
        <f t="shared" si="275"/>
        <v>4.5442571591819556</v>
      </c>
      <c r="AS85" s="5">
        <f t="shared" si="201"/>
        <v>1.778123396174907</v>
      </c>
      <c r="AT85" s="5">
        <f t="shared" si="276"/>
        <v>2.7661337630070486</v>
      </c>
      <c r="AU85" s="173">
        <f t="shared" si="277"/>
        <v>0.39129022277757708</v>
      </c>
      <c r="AW85" s="5">
        <f t="shared" si="202"/>
        <v>5.9270779872496906</v>
      </c>
      <c r="AX85" s="5">
        <f t="shared" si="203"/>
        <v>0.79027706496662542</v>
      </c>
      <c r="AY85" s="5">
        <f t="shared" si="204"/>
        <v>1.8583497329050567</v>
      </c>
      <c r="AZ85" s="5"/>
      <c r="BA85" s="173">
        <f t="shared" si="278"/>
        <v>1.5293837725791011</v>
      </c>
      <c r="BB85" s="173">
        <f t="shared" si="205"/>
        <v>1.2723246825317782</v>
      </c>
      <c r="BC85" s="173">
        <f t="shared" si="206"/>
        <v>0.12740440402108749</v>
      </c>
      <c r="BD85" s="173"/>
      <c r="BE85" s="528">
        <f t="shared" si="207"/>
        <v>9.3560588953131352E-2</v>
      </c>
      <c r="BF85" s="528">
        <f t="shared" si="208"/>
        <v>0.84537455239502068</v>
      </c>
      <c r="BG85" s="528">
        <f t="shared" si="209"/>
        <v>0.2096345217072518</v>
      </c>
      <c r="BH85" s="528">
        <f t="shared" si="210"/>
        <v>6.2600678364587881E-2</v>
      </c>
      <c r="BI85">
        <f t="shared" si="211"/>
        <v>1.0717123230898469E-2</v>
      </c>
      <c r="BJ85" s="460">
        <f t="shared" si="279"/>
        <v>220.35164493815026</v>
      </c>
      <c r="BK85">
        <f t="shared" si="212"/>
        <v>1.0501418272820153</v>
      </c>
      <c r="BL85" s="460">
        <f t="shared" si="280"/>
        <v>1050.1418272820154</v>
      </c>
      <c r="BM85" s="173">
        <f t="shared" si="213"/>
        <v>0.69439999999999991</v>
      </c>
      <c r="BN85" s="173">
        <f t="shared" si="214"/>
        <v>4.9600000000000012E-2</v>
      </c>
      <c r="BO85" s="528"/>
      <c r="BQ85" s="460">
        <f t="shared" si="281"/>
        <v>743.99999999999989</v>
      </c>
      <c r="BR85" s="528">
        <f t="shared" si="215"/>
        <v>7.0170441714848514E-2</v>
      </c>
      <c r="BS85" s="528">
        <f t="shared" si="216"/>
        <v>4.8564302933387704E-2</v>
      </c>
      <c r="BT85" s="528">
        <f t="shared" si="217"/>
        <v>8.1159410819842473E-5</v>
      </c>
      <c r="BU85" s="528">
        <f t="shared" si="218"/>
        <v>1.3255062252632093</v>
      </c>
      <c r="BV85" s="528">
        <f t="shared" si="219"/>
        <v>1.486972020288527</v>
      </c>
      <c r="BW85" s="625">
        <f t="shared" si="220"/>
        <v>0.78926402819735608</v>
      </c>
      <c r="BX85" s="460">
        <f t="shared" si="282"/>
        <v>2276.2360484858832</v>
      </c>
      <c r="BY85" s="173">
        <f t="shared" si="283"/>
        <v>4.0703778757678979</v>
      </c>
      <c r="BZ85" s="5">
        <f t="shared" si="284"/>
        <v>20.640000000000004</v>
      </c>
      <c r="CA85" s="173">
        <f t="shared" si="285"/>
        <v>0.83527658313313402</v>
      </c>
      <c r="CB85" s="5">
        <f t="shared" si="286"/>
        <v>83.527658313313395</v>
      </c>
      <c r="CC85">
        <f t="shared" si="287"/>
        <v>80</v>
      </c>
      <c r="CE85" s="562">
        <f t="shared" si="221"/>
        <v>-50</v>
      </c>
      <c r="CF85">
        <f t="shared" si="222"/>
        <v>-50</v>
      </c>
      <c r="CG85" s="173">
        <f t="shared" si="223"/>
        <v>0.58114024475735238</v>
      </c>
      <c r="CH85" s="173">
        <f t="shared" si="224"/>
        <v>0.1583991712777521</v>
      </c>
      <c r="CI85" s="170">
        <v>80</v>
      </c>
      <c r="CJ85" s="217">
        <f t="shared" si="309"/>
        <v>0.8</v>
      </c>
      <c r="CK85" s="217">
        <f t="shared" si="288"/>
        <v>8.0000000000000016E-2</v>
      </c>
      <c r="CL85" s="217">
        <f t="shared" si="225"/>
        <v>19.200000000000003</v>
      </c>
      <c r="CM85" s="217">
        <f t="shared" si="310"/>
        <v>1.4400000000000004</v>
      </c>
      <c r="CN85" s="541">
        <f t="shared" si="289"/>
        <v>24</v>
      </c>
      <c r="CO85" s="443">
        <f t="shared" si="226"/>
        <v>16.474900000000002</v>
      </c>
      <c r="CP85" s="443">
        <f t="shared" si="227"/>
        <v>40.474900000000005</v>
      </c>
      <c r="CQ85" s="443"/>
      <c r="CR85" s="217">
        <f t="shared" si="228"/>
        <v>0.40507913686898112</v>
      </c>
      <c r="CS85" s="172">
        <f t="shared" si="290"/>
        <v>50.242373565144938</v>
      </c>
      <c r="CT85" s="172">
        <f t="shared" si="229"/>
        <v>4.0507913686898105</v>
      </c>
      <c r="CU85" s="217">
        <f t="shared" si="230"/>
        <v>2.0934322318810392</v>
      </c>
      <c r="CV85" s="217">
        <f t="shared" si="231"/>
        <v>2.7912429758413855</v>
      </c>
      <c r="CW85" s="443">
        <f t="shared" si="232"/>
        <v>24</v>
      </c>
      <c r="CX85" s="217">
        <f t="shared" si="233"/>
        <v>4.2460838968270975</v>
      </c>
      <c r="CY85" s="217">
        <f t="shared" si="234"/>
        <v>1.7692016236779573</v>
      </c>
      <c r="CZ85" s="217">
        <f t="shared" si="235"/>
        <v>2.5773048072079936</v>
      </c>
      <c r="DA85" s="197">
        <f t="shared" si="236"/>
        <v>350</v>
      </c>
      <c r="DB85" s="443">
        <f t="shared" si="291"/>
        <v>230.06983100130131</v>
      </c>
      <c r="DD85" s="217">
        <f t="shared" si="237"/>
        <v>2.7911308701724487</v>
      </c>
      <c r="DE85" s="173">
        <f t="shared" si="238"/>
        <v>1.6941716612376698</v>
      </c>
      <c r="DF85" s="173">
        <f t="shared" si="239"/>
        <v>0.55195223422072148</v>
      </c>
      <c r="DG85" s="173"/>
      <c r="DH85" s="173">
        <f t="shared" si="240"/>
        <v>1.3488532386977903</v>
      </c>
      <c r="DI85" s="545">
        <f t="shared" si="241"/>
        <v>800.27999999999975</v>
      </c>
      <c r="DJ85" s="528">
        <f t="shared" si="242"/>
        <v>0.34987754285999911</v>
      </c>
      <c r="DL85" s="173">
        <f t="shared" si="243"/>
        <v>3.4342809603009647</v>
      </c>
      <c r="DM85" s="173">
        <f t="shared" si="244"/>
        <v>4.2460838968270975</v>
      </c>
      <c r="DN85" s="173">
        <f t="shared" si="245"/>
        <v>2.6991567960036109</v>
      </c>
      <c r="DP85" s="545">
        <f t="shared" si="246"/>
        <v>800</v>
      </c>
      <c r="DQ85" s="460">
        <f t="shared" si="247"/>
        <v>230.06983100130131</v>
      </c>
      <c r="DS85">
        <f t="shared" si="292"/>
        <v>800</v>
      </c>
      <c r="DT85">
        <f t="shared" si="248"/>
        <v>230.06983100130131</v>
      </c>
      <c r="DV85" s="5">
        <f t="shared" si="293"/>
        <v>4.3465064308859507</v>
      </c>
      <c r="DW85" s="5">
        <f t="shared" si="249"/>
        <v>1.7692016236779573</v>
      </c>
      <c r="DX85" s="5">
        <f t="shared" si="294"/>
        <v>2.5773048072079936</v>
      </c>
      <c r="DY85" s="173">
        <f t="shared" si="295"/>
        <v>0.40703991856681554</v>
      </c>
      <c r="EA85" s="5">
        <f t="shared" si="250"/>
        <v>5.8973387455931912</v>
      </c>
      <c r="EB85" s="5">
        <f t="shared" si="251"/>
        <v>0.786311832745759</v>
      </c>
      <c r="EC85" s="5">
        <f t="shared" si="252"/>
        <v>1.7182032048053291</v>
      </c>
      <c r="ED85" s="5"/>
      <c r="EE85" s="173">
        <f t="shared" si="296"/>
        <v>1.5640349190188481</v>
      </c>
      <c r="EF85" s="173">
        <f t="shared" si="253"/>
        <v>1.2591182135301033</v>
      </c>
      <c r="EG85" s="173">
        <f t="shared" si="254"/>
        <v>0.12608197246294681</v>
      </c>
      <c r="EH85" s="173"/>
      <c r="EI85" s="528">
        <f t="shared" si="255"/>
        <v>9.7848209116411788E-2</v>
      </c>
      <c r="EJ85" s="528">
        <f t="shared" si="256"/>
        <v>1.0873434000000002</v>
      </c>
      <c r="EK85" s="528">
        <f t="shared" si="257"/>
        <v>4.6013966200260263E-2</v>
      </c>
      <c r="EL85" s="528">
        <f t="shared" si="258"/>
        <v>6.5958275297734764E-2</v>
      </c>
      <c r="EM85">
        <f t="shared" si="259"/>
        <v>1.0800000000000001E-2</v>
      </c>
      <c r="EN85" s="460">
        <f t="shared" si="297"/>
        <v>56.813966200260261</v>
      </c>
      <c r="EO85">
        <f t="shared" si="260"/>
        <v>1.3661439858731295</v>
      </c>
      <c r="EP85" s="460">
        <f t="shared" si="298"/>
        <v>1366.1439858731294</v>
      </c>
      <c r="EQ85" s="173">
        <f t="shared" si="261"/>
        <v>0.69439999999999991</v>
      </c>
      <c r="ER85" s="173">
        <f t="shared" si="262"/>
        <v>4.9600000000000012E-2</v>
      </c>
      <c r="ES85" s="528"/>
      <c r="EU85" s="460">
        <f t="shared" si="299"/>
        <v>743.99999999999989</v>
      </c>
      <c r="EV85" s="528">
        <f t="shared" si="263"/>
        <v>7.3386156837308841E-2</v>
      </c>
      <c r="EW85" s="528">
        <f t="shared" si="300"/>
        <v>4.7561360269297165E-2</v>
      </c>
      <c r="EX85" s="528">
        <f t="shared" si="264"/>
        <v>7.9483318900736396E-5</v>
      </c>
      <c r="EY85" s="528">
        <f t="shared" si="265"/>
        <v>1.4913879008629296</v>
      </c>
      <c r="EZ85" s="528">
        <f t="shared" si="266"/>
        <v>1.657509655129489</v>
      </c>
      <c r="FA85" s="625">
        <f t="shared" si="267"/>
        <v>0.829596308924337</v>
      </c>
      <c r="FB85" s="460">
        <f t="shared" si="301"/>
        <v>2487.1059640538256</v>
      </c>
      <c r="FC85" s="173">
        <f t="shared" si="302"/>
        <v>4.5972499499269555</v>
      </c>
      <c r="FD85" s="5">
        <f t="shared" si="303"/>
        <v>20.640000000000004</v>
      </c>
      <c r="FE85" s="173">
        <f t="shared" si="304"/>
        <v>0.81783871225873161</v>
      </c>
      <c r="FF85" s="5">
        <f t="shared" si="305"/>
        <v>81.783871225873156</v>
      </c>
      <c r="FG85">
        <f t="shared" si="306"/>
        <v>80</v>
      </c>
      <c r="FI85" s="562">
        <f t="shared" si="268"/>
        <v>-50</v>
      </c>
      <c r="FJ85">
        <f t="shared" si="269"/>
        <v>-50</v>
      </c>
      <c r="FL85">
        <f t="shared" si="270"/>
        <v>0.58114024475735226</v>
      </c>
    </row>
    <row r="86" spans="5:168">
      <c r="E86" s="170">
        <v>81</v>
      </c>
      <c r="F86" s="217">
        <f t="shared" si="307"/>
        <v>0.81</v>
      </c>
      <c r="G86" s="217">
        <f t="shared" si="271"/>
        <v>8.1000000000000016E-2</v>
      </c>
      <c r="H86" s="217">
        <f t="shared" si="176"/>
        <v>19.440000000000001</v>
      </c>
      <c r="I86" s="217">
        <f t="shared" si="308"/>
        <v>1.4580000000000002</v>
      </c>
      <c r="J86" s="541">
        <f t="shared" si="177"/>
        <v>23.813527269521554</v>
      </c>
      <c r="K86" s="443">
        <f t="shared" si="178"/>
        <v>16.502790169621221</v>
      </c>
      <c r="L86" s="172">
        <f t="shared" si="179"/>
        <v>40.316317439142779</v>
      </c>
      <c r="M86" s="443"/>
      <c r="N86" s="217">
        <f t="shared" si="180"/>
        <v>0.40933277684729208</v>
      </c>
      <c r="O86" s="172">
        <f t="shared" si="272"/>
        <v>50.375489631844808</v>
      </c>
      <c r="P86" s="172">
        <f t="shared" si="181"/>
        <v>4.0615238515674879</v>
      </c>
      <c r="Q86" s="217">
        <f t="shared" si="182"/>
        <v>2.0989787346602005</v>
      </c>
      <c r="R86" s="217">
        <f t="shared" si="183"/>
        <v>2.798638312880267</v>
      </c>
      <c r="S86" s="443">
        <f t="shared" si="184"/>
        <v>24</v>
      </c>
      <c r="T86" s="217">
        <f t="shared" si="185"/>
        <v>4.2877995147754531</v>
      </c>
      <c r="U86" s="217">
        <f t="shared" si="186"/>
        <v>1.8005730382761567</v>
      </c>
      <c r="V86" s="217">
        <f t="shared" si="187"/>
        <v>2.5982270093141886</v>
      </c>
      <c r="W86" s="197">
        <f t="shared" si="188"/>
        <v>350</v>
      </c>
      <c r="X86" s="443">
        <f t="shared" si="273"/>
        <v>217.44802767060389</v>
      </c>
      <c r="Z86" s="217">
        <f t="shared" si="189"/>
        <v>2.785044926789134</v>
      </c>
      <c r="AA86" s="173">
        <f t="shared" si="190"/>
        <v>1.6876206375791651</v>
      </c>
      <c r="AB86" s="173">
        <f t="shared" si="191"/>
        <v>0.54861909021290178</v>
      </c>
      <c r="AC86" s="173"/>
      <c r="AD86" s="173">
        <f t="shared" si="192"/>
        <v>1.3465736395975929</v>
      </c>
      <c r="AE86" s="545">
        <f t="shared" si="193"/>
        <v>811.65521966180529</v>
      </c>
      <c r="AF86" s="528">
        <f t="shared" si="194"/>
        <v>0.34928624018228677</v>
      </c>
      <c r="AH86" s="173">
        <f t="shared" si="195"/>
        <v>3.4556785564797958</v>
      </c>
      <c r="AI86" s="173">
        <f t="shared" si="196"/>
        <v>4.2877995147754531</v>
      </c>
      <c r="AJ86" s="173">
        <f t="shared" si="197"/>
        <v>2.7300572537431336</v>
      </c>
      <c r="AL86" s="545">
        <f t="shared" si="198"/>
        <v>810</v>
      </c>
      <c r="AM86" s="460">
        <f t="shared" si="199"/>
        <v>217.44802767060389</v>
      </c>
      <c r="AO86">
        <f t="shared" si="274"/>
        <v>810</v>
      </c>
      <c r="AP86">
        <f t="shared" si="200"/>
        <v>217.44802767060389</v>
      </c>
      <c r="AR86" s="5">
        <f t="shared" si="275"/>
        <v>4.5988000475903457</v>
      </c>
      <c r="AS86" s="5">
        <f t="shared" si="201"/>
        <v>1.8005730382761567</v>
      </c>
      <c r="AT86" s="5">
        <f t="shared" si="276"/>
        <v>2.7982270093141892</v>
      </c>
      <c r="AU86" s="173">
        <f t="shared" si="277"/>
        <v>0.39153105585001702</v>
      </c>
      <c r="AW86" s="5">
        <f t="shared" si="202"/>
        <v>6.0769340041820294</v>
      </c>
      <c r="AX86" s="5">
        <f t="shared" si="203"/>
        <v>0.81025786722427073</v>
      </c>
      <c r="AY86" s="5">
        <f t="shared" si="204"/>
        <v>1.9035935767864358</v>
      </c>
      <c r="AZ86" s="5"/>
      <c r="BA86" s="173">
        <f t="shared" si="278"/>
        <v>1.5490197363249743</v>
      </c>
      <c r="BB86" s="173">
        <f t="shared" si="205"/>
        <v>1.2880089649615327</v>
      </c>
      <c r="BC86" s="173">
        <f t="shared" si="206"/>
        <v>0.12897495176168858</v>
      </c>
      <c r="BD86" s="173"/>
      <c r="BE86" s="528">
        <f t="shared" si="207"/>
        <v>9.5978485740971703E-2</v>
      </c>
      <c r="BF86" s="528">
        <f t="shared" si="208"/>
        <v>0.84577202807122098</v>
      </c>
      <c r="BG86" s="528">
        <f t="shared" si="209"/>
        <v>0.20712818146550413</v>
      </c>
      <c r="BH86" s="528">
        <f t="shared" si="210"/>
        <v>6.1852211692361977E-2</v>
      </c>
      <c r="BI86">
        <f t="shared" si="211"/>
        <v>1.0716087271284699E-2</v>
      </c>
      <c r="BJ86" s="460">
        <f t="shared" si="279"/>
        <v>217.84426873678882</v>
      </c>
      <c r="BK86">
        <f t="shared" si="212"/>
        <v>1.0535424121739374</v>
      </c>
      <c r="BL86" s="460">
        <f t="shared" si="280"/>
        <v>1053.5424121739375</v>
      </c>
      <c r="BM86" s="173">
        <f t="shared" si="213"/>
        <v>0.70307999999999993</v>
      </c>
      <c r="BN86" s="173">
        <f t="shared" si="214"/>
        <v>5.0220000000000008E-2</v>
      </c>
      <c r="BO86" s="528"/>
      <c r="BQ86" s="460">
        <f t="shared" si="281"/>
        <v>753.3</v>
      </c>
      <c r="BR86" s="528">
        <f t="shared" si="215"/>
        <v>7.198386430572877E-2</v>
      </c>
      <c r="BS86" s="528">
        <f t="shared" si="216"/>
        <v>4.9769012814638365E-2</v>
      </c>
      <c r="BT86" s="528">
        <f t="shared" si="217"/>
        <v>8.3172690909649475E-5</v>
      </c>
      <c r="BU86" s="528">
        <f t="shared" si="218"/>
        <v>1.327225946671923</v>
      </c>
      <c r="BV86" s="528">
        <f t="shared" si="219"/>
        <v>1.4928533165205082</v>
      </c>
      <c r="BW86" s="625">
        <f t="shared" si="220"/>
        <v>0.7995661689419179</v>
      </c>
      <c r="BX86" s="460">
        <f t="shared" si="282"/>
        <v>2292.4194854624261</v>
      </c>
      <c r="BY86" s="173">
        <f t="shared" si="283"/>
        <v>4.0992618976363637</v>
      </c>
      <c r="BZ86" s="5">
        <f t="shared" si="284"/>
        <v>20.898000000000003</v>
      </c>
      <c r="CA86" s="173">
        <f t="shared" si="285"/>
        <v>0.83601156340951199</v>
      </c>
      <c r="CB86" s="5">
        <f t="shared" si="286"/>
        <v>83.601156340951206</v>
      </c>
      <c r="CC86">
        <f t="shared" si="287"/>
        <v>81</v>
      </c>
      <c r="CE86" s="562">
        <f t="shared" si="221"/>
        <v>-50</v>
      </c>
      <c r="CF86">
        <f t="shared" si="222"/>
        <v>-50</v>
      </c>
      <c r="CG86" s="173">
        <f t="shared" si="223"/>
        <v>0.58114024475735238</v>
      </c>
      <c r="CH86" s="173">
        <f t="shared" si="224"/>
        <v>0.15839917127775208</v>
      </c>
      <c r="CI86" s="170">
        <v>81</v>
      </c>
      <c r="CJ86" s="217">
        <f t="shared" si="309"/>
        <v>0.81</v>
      </c>
      <c r="CK86" s="217">
        <f t="shared" si="288"/>
        <v>8.1000000000000016E-2</v>
      </c>
      <c r="CL86" s="217">
        <f t="shared" si="225"/>
        <v>19.440000000000001</v>
      </c>
      <c r="CM86" s="217">
        <f t="shared" si="310"/>
        <v>1.4580000000000002</v>
      </c>
      <c r="CN86" s="541">
        <f t="shared" si="289"/>
        <v>24</v>
      </c>
      <c r="CO86" s="443">
        <f t="shared" si="226"/>
        <v>16.474900000000002</v>
      </c>
      <c r="CP86" s="443">
        <f t="shared" si="227"/>
        <v>40.474900000000005</v>
      </c>
      <c r="CQ86" s="443"/>
      <c r="CR86" s="217">
        <f t="shared" si="228"/>
        <v>0.40507913686898112</v>
      </c>
      <c r="CS86" s="172">
        <f t="shared" si="290"/>
        <v>50.242373565144938</v>
      </c>
      <c r="CT86" s="172">
        <f t="shared" si="229"/>
        <v>4.0507913686898105</v>
      </c>
      <c r="CU86" s="217">
        <f t="shared" si="230"/>
        <v>2.0934322318810392</v>
      </c>
      <c r="CV86" s="217">
        <f t="shared" si="231"/>
        <v>2.7912429758413855</v>
      </c>
      <c r="CW86" s="443">
        <f t="shared" si="232"/>
        <v>24</v>
      </c>
      <c r="CX86" s="217">
        <f t="shared" si="233"/>
        <v>4.2991599455374363</v>
      </c>
      <c r="CY86" s="217">
        <f t="shared" si="234"/>
        <v>1.7913166439739319</v>
      </c>
      <c r="CZ86" s="217">
        <f t="shared" si="235"/>
        <v>2.6095211172980939</v>
      </c>
      <c r="DA86" s="197">
        <f t="shared" si="236"/>
        <v>350</v>
      </c>
      <c r="DB86" s="443">
        <f t="shared" si="291"/>
        <v>227.22946271733457</v>
      </c>
      <c r="DD86" s="217">
        <f t="shared" si="237"/>
        <v>2.7911308701724487</v>
      </c>
      <c r="DE86" s="173">
        <f t="shared" si="238"/>
        <v>1.6941716612376698</v>
      </c>
      <c r="DF86" s="173">
        <f t="shared" si="239"/>
        <v>0.55195223422072148</v>
      </c>
      <c r="DG86" s="173"/>
      <c r="DH86" s="173">
        <f t="shared" si="240"/>
        <v>1.3488532386977903</v>
      </c>
      <c r="DI86" s="545">
        <f t="shared" si="241"/>
        <v>810.28349999999989</v>
      </c>
      <c r="DJ86" s="528">
        <f t="shared" si="242"/>
        <v>0.34987754285999911</v>
      </c>
      <c r="DL86" s="173">
        <f t="shared" si="243"/>
        <v>3.4556785564797958</v>
      </c>
      <c r="DM86" s="173">
        <f t="shared" si="244"/>
        <v>4.2991599455374363</v>
      </c>
      <c r="DN86" s="173">
        <f t="shared" si="245"/>
        <v>2.7384723876408992</v>
      </c>
      <c r="DP86" s="545">
        <f t="shared" si="246"/>
        <v>810</v>
      </c>
      <c r="DQ86" s="460">
        <f t="shared" si="247"/>
        <v>227.22946271733457</v>
      </c>
      <c r="DS86">
        <f t="shared" si="292"/>
        <v>810</v>
      </c>
      <c r="DT86">
        <f t="shared" si="248"/>
        <v>227.22946271733457</v>
      </c>
      <c r="DV86" s="5">
        <f t="shared" si="293"/>
        <v>4.400837761272026</v>
      </c>
      <c r="DW86" s="5">
        <f t="shared" si="249"/>
        <v>1.7913166439739319</v>
      </c>
      <c r="DX86" s="5">
        <f t="shared" si="294"/>
        <v>2.6095211172980939</v>
      </c>
      <c r="DY86" s="173">
        <f t="shared" si="295"/>
        <v>0.40703991856681543</v>
      </c>
      <c r="EA86" s="5">
        <f t="shared" si="250"/>
        <v>6.0456936734120212</v>
      </c>
      <c r="EB86" s="5">
        <f t="shared" si="251"/>
        <v>0.80609248978826942</v>
      </c>
      <c r="EC86" s="5">
        <f t="shared" si="252"/>
        <v>1.761426754176213</v>
      </c>
      <c r="ED86" s="5"/>
      <c r="EE86" s="173">
        <f t="shared" si="296"/>
        <v>1.5835853555065837</v>
      </c>
      <c r="EF86" s="173">
        <f t="shared" si="253"/>
        <v>1.2748571911992297</v>
      </c>
      <c r="EG86" s="173">
        <f t="shared" si="254"/>
        <v>0.12765799711873366</v>
      </c>
      <c r="EH86" s="173"/>
      <c r="EI86" s="528">
        <f t="shared" si="255"/>
        <v>0.10030970312699652</v>
      </c>
      <c r="EJ86" s="528">
        <f t="shared" si="256"/>
        <v>1.0873434</v>
      </c>
      <c r="EK86" s="528">
        <f t="shared" si="257"/>
        <v>4.5445892543466912E-2</v>
      </c>
      <c r="EL86" s="528">
        <f t="shared" si="258"/>
        <v>6.5143975602700979E-2</v>
      </c>
      <c r="EM86">
        <f t="shared" si="259"/>
        <v>1.0800000000000001E-2</v>
      </c>
      <c r="EN86" s="460">
        <f t="shared" si="297"/>
        <v>56.245892543466915</v>
      </c>
      <c r="EO86">
        <f t="shared" si="260"/>
        <v>1.3687487821952458</v>
      </c>
      <c r="EP86" s="460">
        <f t="shared" si="298"/>
        <v>1368.7487821952457</v>
      </c>
      <c r="EQ86" s="173">
        <f t="shared" si="261"/>
        <v>0.70307999999999993</v>
      </c>
      <c r="ER86" s="173">
        <f t="shared" si="262"/>
        <v>5.0220000000000008E-2</v>
      </c>
      <c r="ES86" s="528"/>
      <c r="EU86" s="460">
        <f t="shared" si="299"/>
        <v>753.3</v>
      </c>
      <c r="EV86" s="528">
        <f t="shared" si="263"/>
        <v>7.5232277345247386E-2</v>
      </c>
      <c r="EW86" s="528">
        <f t="shared" si="300"/>
        <v>4.8757825738571674E-2</v>
      </c>
      <c r="EX86" s="528">
        <f t="shared" si="264"/>
        <v>8.1482821141833054E-5</v>
      </c>
      <c r="EY86" s="528">
        <f t="shared" si="265"/>
        <v>1.4913879008629307</v>
      </c>
      <c r="EZ86" s="528">
        <f t="shared" si="266"/>
        <v>1.6617305509695233</v>
      </c>
      <c r="FA86" s="625">
        <f t="shared" si="267"/>
        <v>0.83996626278589093</v>
      </c>
      <c r="FB86" s="460">
        <f t="shared" si="301"/>
        <v>2501.696813755414</v>
      </c>
      <c r="FC86" s="173">
        <f t="shared" si="302"/>
        <v>4.6237455959506599</v>
      </c>
      <c r="FD86" s="5">
        <f t="shared" si="303"/>
        <v>20.898000000000003</v>
      </c>
      <c r="FE86" s="173">
        <f t="shared" si="304"/>
        <v>0.81883113838873656</v>
      </c>
      <c r="FF86" s="5">
        <f t="shared" si="305"/>
        <v>81.883113838873655</v>
      </c>
      <c r="FG86">
        <f t="shared" si="306"/>
        <v>81</v>
      </c>
      <c r="FI86" s="562">
        <f t="shared" si="268"/>
        <v>-50</v>
      </c>
      <c r="FJ86">
        <f t="shared" si="269"/>
        <v>-50</v>
      </c>
      <c r="FL86">
        <f t="shared" si="270"/>
        <v>0.58114024475735226</v>
      </c>
    </row>
    <row r="87" spans="5:168">
      <c r="E87" s="170">
        <v>82</v>
      </c>
      <c r="F87" s="217">
        <f t="shared" si="307"/>
        <v>0.82</v>
      </c>
      <c r="G87" s="217">
        <f t="shared" si="271"/>
        <v>8.2000000000000003E-2</v>
      </c>
      <c r="H87" s="217">
        <f t="shared" si="176"/>
        <v>19.68</v>
      </c>
      <c r="I87" s="217">
        <f t="shared" si="308"/>
        <v>1.476</v>
      </c>
      <c r="J87" s="541">
        <f t="shared" si="177"/>
        <v>23.811225137046513</v>
      </c>
      <c r="K87" s="443">
        <f t="shared" si="178"/>
        <v>16.503134492702962</v>
      </c>
      <c r="L87" s="172">
        <f t="shared" si="179"/>
        <v>40.314359629749475</v>
      </c>
      <c r="M87" s="443"/>
      <c r="N87" s="217">
        <f t="shared" si="180"/>
        <v>0.4093611964637206</v>
      </c>
      <c r="O87" s="172">
        <f t="shared" si="272"/>
        <v>50.37411685461695</v>
      </c>
      <c r="P87" s="172">
        <f t="shared" si="181"/>
        <v>4.0614131714034913</v>
      </c>
      <c r="Q87" s="217">
        <f t="shared" si="182"/>
        <v>2.0989215356090396</v>
      </c>
      <c r="R87" s="217">
        <f t="shared" si="183"/>
        <v>2.7985620474787196</v>
      </c>
      <c r="S87" s="443">
        <f t="shared" si="184"/>
        <v>24</v>
      </c>
      <c r="T87" s="217">
        <f t="shared" si="185"/>
        <v>4.3408536034041685</v>
      </c>
      <c r="U87" s="217">
        <f t="shared" si="186"/>
        <v>1.823028247568196</v>
      </c>
      <c r="V87" s="217">
        <f t="shared" si="187"/>
        <v>2.6303206856391577</v>
      </c>
      <c r="W87" s="197">
        <f t="shared" si="188"/>
        <v>350</v>
      </c>
      <c r="X87" s="443">
        <f t="shared" si="273"/>
        <v>214.89899303784705</v>
      </c>
      <c r="Z87" s="217">
        <f t="shared" si="189"/>
        <v>2.784969031819537</v>
      </c>
      <c r="AA87" s="173">
        <f t="shared" si="190"/>
        <v>1.6875394386750839</v>
      </c>
      <c r="AB87" s="173">
        <f t="shared" si="191"/>
        <v>0.54857774407596716</v>
      </c>
      <c r="AC87" s="173"/>
      <c r="AD87" s="173">
        <f t="shared" si="192"/>
        <v>1.3465455445477961</v>
      </c>
      <c r="AE87" s="545">
        <f t="shared" si="193"/>
        <v>821.69279835482041</v>
      </c>
      <c r="AF87" s="528">
        <f t="shared" si="194"/>
        <v>0.34927895263853664</v>
      </c>
      <c r="AH87" s="173">
        <f t="shared" si="195"/>
        <v>3.4769444713919224</v>
      </c>
      <c r="AI87" s="173">
        <f t="shared" si="196"/>
        <v>4.3408536034041685</v>
      </c>
      <c r="AJ87" s="173">
        <f t="shared" si="197"/>
        <v>2.7693565786532934</v>
      </c>
      <c r="AL87" s="545">
        <f t="shared" si="198"/>
        <v>820</v>
      </c>
      <c r="AM87" s="460">
        <f t="shared" si="199"/>
        <v>214.89899303784705</v>
      </c>
      <c r="AO87">
        <f t="shared" si="274"/>
        <v>820</v>
      </c>
      <c r="AP87">
        <f t="shared" si="200"/>
        <v>214.89899303784705</v>
      </c>
      <c r="AR87" s="5">
        <f t="shared" si="275"/>
        <v>4.6533489332073534</v>
      </c>
      <c r="AS87" s="5">
        <f t="shared" si="201"/>
        <v>1.823028247568196</v>
      </c>
      <c r="AT87" s="5">
        <f t="shared" si="276"/>
        <v>2.8303206856391574</v>
      </c>
      <c r="AU87" s="173">
        <f t="shared" si="277"/>
        <v>0.39176693468195622</v>
      </c>
      <c r="AW87" s="5">
        <f t="shared" si="202"/>
        <v>6.2286798458580037</v>
      </c>
      <c r="AX87" s="5">
        <f t="shared" si="203"/>
        <v>0.83049064611440049</v>
      </c>
      <c r="AY87" s="5">
        <f t="shared" si="204"/>
        <v>1.9493855934470266</v>
      </c>
      <c r="AZ87" s="5"/>
      <c r="BA87" s="173">
        <f t="shared" si="278"/>
        <v>1.5686584789032625</v>
      </c>
      <c r="BB87" s="173">
        <f t="shared" si="205"/>
        <v>1.30369307583427</v>
      </c>
      <c r="BC87" s="173">
        <f t="shared" si="206"/>
        <v>0.13054548232340454</v>
      </c>
      <c r="BD87" s="173"/>
      <c r="BE87" s="528">
        <f t="shared" si="207"/>
        <v>9.8427576937403893E-2</v>
      </c>
      <c r="BF87" s="528">
        <f t="shared" si="208"/>
        <v>0.84615866014801211</v>
      </c>
      <c r="BG87" s="528">
        <f t="shared" si="209"/>
        <v>0.20468033219795068</v>
      </c>
      <c r="BH87" s="528">
        <f t="shared" si="210"/>
        <v>6.1121212431064817E-2</v>
      </c>
      <c r="BI87">
        <f t="shared" si="211"/>
        <v>1.071505131167093E-2</v>
      </c>
      <c r="BJ87" s="460">
        <f t="shared" si="279"/>
        <v>215.39538350962161</v>
      </c>
      <c r="BK87">
        <f t="shared" si="212"/>
        <v>1.0570023672923123</v>
      </c>
      <c r="BL87" s="460">
        <f t="shared" si="280"/>
        <v>1057.0023672923123</v>
      </c>
      <c r="BM87" s="173">
        <f t="shared" si="213"/>
        <v>0.71175999999999995</v>
      </c>
      <c r="BN87" s="173">
        <f t="shared" si="214"/>
        <v>5.0840000000000003E-2</v>
      </c>
      <c r="BO87" s="528"/>
      <c r="BQ87" s="460">
        <f t="shared" si="281"/>
        <v>762.59999999999991</v>
      </c>
      <c r="BR87" s="528">
        <f t="shared" si="215"/>
        <v>7.3820682703052906E-2</v>
      </c>
      <c r="BS87" s="528">
        <f t="shared" si="216"/>
        <v>5.0988469079346586E-2</v>
      </c>
      <c r="BT87" s="528">
        <f t="shared" si="217"/>
        <v>8.521061477525164E-5</v>
      </c>
      <c r="BU87" s="528">
        <f t="shared" si="218"/>
        <v>1.3289045978310301</v>
      </c>
      <c r="BV87" s="528">
        <f t="shared" si="219"/>
        <v>1.4987484255234889</v>
      </c>
      <c r="BW87" s="625">
        <f t="shared" si="220"/>
        <v>0.80986877522633061</v>
      </c>
      <c r="BX87" s="460">
        <f t="shared" si="282"/>
        <v>2308.6172007498194</v>
      </c>
      <c r="BY87" s="173">
        <f t="shared" si="283"/>
        <v>4.1282195680421321</v>
      </c>
      <c r="BZ87" s="5">
        <f t="shared" si="284"/>
        <v>21.155999999999999</v>
      </c>
      <c r="CA87" s="173">
        <f t="shared" si="285"/>
        <v>0.83672742767746022</v>
      </c>
      <c r="CB87" s="5">
        <f t="shared" si="286"/>
        <v>83.672742767746016</v>
      </c>
      <c r="CC87">
        <f t="shared" si="287"/>
        <v>82</v>
      </c>
      <c r="CE87" s="562">
        <f t="shared" si="221"/>
        <v>-50</v>
      </c>
      <c r="CF87">
        <f t="shared" si="222"/>
        <v>-50</v>
      </c>
      <c r="CG87" s="173">
        <f t="shared" si="223"/>
        <v>0.58114024475735238</v>
      </c>
      <c r="CH87" s="173">
        <f t="shared" si="224"/>
        <v>0.15839917127775208</v>
      </c>
      <c r="CI87" s="170">
        <v>82</v>
      </c>
      <c r="CJ87" s="217">
        <f t="shared" si="309"/>
        <v>0.82</v>
      </c>
      <c r="CK87" s="217">
        <f t="shared" si="288"/>
        <v>8.2000000000000003E-2</v>
      </c>
      <c r="CL87" s="217">
        <f t="shared" si="225"/>
        <v>19.68</v>
      </c>
      <c r="CM87" s="217">
        <f t="shared" si="310"/>
        <v>1.476</v>
      </c>
      <c r="CN87" s="541">
        <f t="shared" si="289"/>
        <v>24</v>
      </c>
      <c r="CO87" s="443">
        <f t="shared" si="226"/>
        <v>16.474900000000002</v>
      </c>
      <c r="CP87" s="443">
        <f t="shared" si="227"/>
        <v>40.474900000000005</v>
      </c>
      <c r="CQ87" s="443"/>
      <c r="CR87" s="217">
        <f t="shared" si="228"/>
        <v>0.40507913686898112</v>
      </c>
      <c r="CS87" s="172">
        <f t="shared" si="290"/>
        <v>50.242373565144938</v>
      </c>
      <c r="CT87" s="172">
        <f t="shared" si="229"/>
        <v>4.0507913686898105</v>
      </c>
      <c r="CU87" s="217">
        <f t="shared" si="230"/>
        <v>2.0934322318810392</v>
      </c>
      <c r="CV87" s="217">
        <f t="shared" si="231"/>
        <v>2.7912429758413855</v>
      </c>
      <c r="CW87" s="443">
        <f t="shared" si="232"/>
        <v>24</v>
      </c>
      <c r="CX87" s="217">
        <f t="shared" si="233"/>
        <v>4.3522359942477742</v>
      </c>
      <c r="CY87" s="217">
        <f t="shared" si="234"/>
        <v>1.8134316642699062</v>
      </c>
      <c r="CZ87" s="217">
        <f t="shared" si="235"/>
        <v>2.6417374273881928</v>
      </c>
      <c r="DA87" s="197">
        <f t="shared" si="236"/>
        <v>350</v>
      </c>
      <c r="DB87" s="443">
        <f t="shared" si="291"/>
        <v>224.45837170858664</v>
      </c>
      <c r="DD87" s="217">
        <f t="shared" si="237"/>
        <v>2.7911308701724487</v>
      </c>
      <c r="DE87" s="173">
        <f t="shared" si="238"/>
        <v>1.6941716612376698</v>
      </c>
      <c r="DF87" s="173">
        <f t="shared" si="239"/>
        <v>0.55195223422072148</v>
      </c>
      <c r="DG87" s="173"/>
      <c r="DH87" s="173">
        <f t="shared" si="240"/>
        <v>1.3488532386977903</v>
      </c>
      <c r="DI87" s="545">
        <f t="shared" si="241"/>
        <v>820.28699999999969</v>
      </c>
      <c r="DJ87" s="528">
        <f t="shared" si="242"/>
        <v>0.34987754285999911</v>
      </c>
      <c r="DL87" s="173">
        <f t="shared" si="243"/>
        <v>3.4769444713919224</v>
      </c>
      <c r="DM87" s="173">
        <f t="shared" si="244"/>
        <v>4.3522359942477742</v>
      </c>
      <c r="DN87" s="173">
        <f t="shared" si="245"/>
        <v>2.7777879792781865</v>
      </c>
      <c r="DP87" s="545">
        <f t="shared" si="246"/>
        <v>820</v>
      </c>
      <c r="DQ87" s="460">
        <f t="shared" si="247"/>
        <v>224.45837170858664</v>
      </c>
      <c r="DS87">
        <f t="shared" si="292"/>
        <v>820</v>
      </c>
      <c r="DT87">
        <f t="shared" si="248"/>
        <v>224.45837170858664</v>
      </c>
      <c r="DV87" s="5">
        <f t="shared" si="293"/>
        <v>4.4551690916580995</v>
      </c>
      <c r="DW87" s="5">
        <f t="shared" si="249"/>
        <v>1.8134316642699062</v>
      </c>
      <c r="DX87" s="5">
        <f t="shared" si="294"/>
        <v>2.6417374273881933</v>
      </c>
      <c r="DY87" s="173">
        <f t="shared" si="295"/>
        <v>0.40703991856681548</v>
      </c>
      <c r="EA87" s="5">
        <f t="shared" si="250"/>
        <v>6.1958915195888453</v>
      </c>
      <c r="EB87" s="5">
        <f t="shared" si="251"/>
        <v>0.82611886927851286</v>
      </c>
      <c r="EC87" s="5">
        <f t="shared" si="252"/>
        <v>1.8051872420485982</v>
      </c>
      <c r="ED87" s="5"/>
      <c r="EE87" s="173">
        <f t="shared" si="296"/>
        <v>1.603135791994319</v>
      </c>
      <c r="EF87" s="173">
        <f t="shared" si="253"/>
        <v>1.2905961688683558</v>
      </c>
      <c r="EG87" s="173">
        <f t="shared" si="254"/>
        <v>0.12923402177452048</v>
      </c>
      <c r="EH87" s="173"/>
      <c r="EI87" s="528">
        <f t="shared" si="255"/>
        <v>0.1028017747029301</v>
      </c>
      <c r="EJ87" s="528">
        <f t="shared" si="256"/>
        <v>1.0873434</v>
      </c>
      <c r="EK87" s="528">
        <f t="shared" si="257"/>
        <v>4.4891674341717328E-2</v>
      </c>
      <c r="EL87" s="528">
        <f t="shared" si="258"/>
        <v>6.4349536875838789E-2</v>
      </c>
      <c r="EM87">
        <f t="shared" si="259"/>
        <v>1.0800000000000001E-2</v>
      </c>
      <c r="EN87" s="460">
        <f t="shared" si="297"/>
        <v>55.691674341717331</v>
      </c>
      <c r="EO87">
        <f t="shared" si="260"/>
        <v>1.3714412806690208</v>
      </c>
      <c r="EP87" s="460">
        <f t="shared" si="298"/>
        <v>1371.4412806690209</v>
      </c>
      <c r="EQ87" s="173">
        <f t="shared" si="261"/>
        <v>0.71175999999999995</v>
      </c>
      <c r="ER87" s="173">
        <f t="shared" si="262"/>
        <v>5.0840000000000003E-2</v>
      </c>
      <c r="ES87" s="528"/>
      <c r="EU87" s="460">
        <f t="shared" si="299"/>
        <v>762.59999999999991</v>
      </c>
      <c r="EV87" s="528">
        <f t="shared" si="263"/>
        <v>7.7101331027197573E-2</v>
      </c>
      <c r="EW87" s="528">
        <f t="shared" si="300"/>
        <v>4.9969154132930328E-2</v>
      </c>
      <c r="EX87" s="528">
        <f t="shared" si="264"/>
        <v>8.350716192008617E-5</v>
      </c>
      <c r="EY87" s="528">
        <f t="shared" si="265"/>
        <v>1.4913879008629296</v>
      </c>
      <c r="EZ87" s="528">
        <f t="shared" si="266"/>
        <v>1.6660059964366201</v>
      </c>
      <c r="FA87" s="625">
        <f t="shared" si="267"/>
        <v>0.85033621664744508</v>
      </c>
      <c r="FB87" s="460">
        <f t="shared" si="301"/>
        <v>2516.342213084065</v>
      </c>
      <c r="FC87" s="173">
        <f t="shared" si="302"/>
        <v>4.6503834937530861</v>
      </c>
      <c r="FD87" s="5">
        <f t="shared" si="303"/>
        <v>21.155999999999999</v>
      </c>
      <c r="FE87" s="173">
        <f t="shared" si="304"/>
        <v>0.81979716395058622</v>
      </c>
      <c r="FF87" s="5">
        <f t="shared" si="305"/>
        <v>81.979716395058617</v>
      </c>
      <c r="FG87">
        <f t="shared" si="306"/>
        <v>82</v>
      </c>
      <c r="FI87" s="562">
        <f t="shared" si="268"/>
        <v>-50</v>
      </c>
      <c r="FJ87">
        <f t="shared" si="269"/>
        <v>-50</v>
      </c>
      <c r="FL87">
        <f t="shared" si="270"/>
        <v>0.58114024475735226</v>
      </c>
    </row>
    <row r="88" spans="5:168">
      <c r="E88" s="170">
        <v>83</v>
      </c>
      <c r="F88" s="217">
        <f t="shared" si="307"/>
        <v>0.83</v>
      </c>
      <c r="G88" s="217">
        <f t="shared" si="271"/>
        <v>8.3000000000000004E-2</v>
      </c>
      <c r="H88" s="217">
        <f t="shared" si="176"/>
        <v>19.919999999999998</v>
      </c>
      <c r="I88" s="217">
        <f t="shared" si="308"/>
        <v>1.494</v>
      </c>
      <c r="J88" s="541">
        <f t="shared" si="177"/>
        <v>23.808923004571469</v>
      </c>
      <c r="K88" s="443">
        <f t="shared" si="178"/>
        <v>16.503478815784707</v>
      </c>
      <c r="L88" s="172">
        <f t="shared" si="179"/>
        <v>40.312401820356172</v>
      </c>
      <c r="M88" s="443"/>
      <c r="N88" s="217">
        <f t="shared" si="180"/>
        <v>0.4093896188405996</v>
      </c>
      <c r="O88" s="172">
        <f t="shared" si="272"/>
        <v>50.372743740809796</v>
      </c>
      <c r="P88" s="172">
        <f t="shared" si="181"/>
        <v>4.0613024641027895</v>
      </c>
      <c r="Q88" s="217">
        <f t="shared" si="182"/>
        <v>2.0988643225337413</v>
      </c>
      <c r="R88" s="217">
        <f t="shared" si="183"/>
        <v>2.7984857633783218</v>
      </c>
      <c r="S88" s="443">
        <f t="shared" si="184"/>
        <v>24</v>
      </c>
      <c r="T88" s="217">
        <f t="shared" si="185"/>
        <v>4.3939106130925065</v>
      </c>
      <c r="U88" s="217">
        <f t="shared" si="186"/>
        <v>1.8454890262146033</v>
      </c>
      <c r="V88" s="217">
        <f t="shared" si="187"/>
        <v>2.6624147927465831</v>
      </c>
      <c r="W88" s="197">
        <f t="shared" si="188"/>
        <v>350</v>
      </c>
      <c r="X88" s="443">
        <f t="shared" si="273"/>
        <v>212.40875736935786</v>
      </c>
      <c r="Z88" s="217">
        <f t="shared" si="189"/>
        <v>2.7848931182419125</v>
      </c>
      <c r="AA88" s="173">
        <f t="shared" si="190"/>
        <v>1.687458231884001</v>
      </c>
      <c r="AB88" s="173">
        <f t="shared" si="191"/>
        <v>0.54853639314869118</v>
      </c>
      <c r="AC88" s="173"/>
      <c r="AD88" s="173">
        <f t="shared" si="192"/>
        <v>1.3465174506703304</v>
      </c>
      <c r="AE88" s="545">
        <f t="shared" si="193"/>
        <v>831.73079519130852</v>
      </c>
      <c r="AF88" s="528">
        <f t="shared" si="194"/>
        <v>0.34927166539887633</v>
      </c>
      <c r="AH88" s="173">
        <f t="shared" si="195"/>
        <v>3.4980811066313806</v>
      </c>
      <c r="AI88" s="173">
        <f t="shared" si="196"/>
        <v>4.3939106130925065</v>
      </c>
      <c r="AJ88" s="173">
        <f t="shared" si="197"/>
        <v>2.8086580673113213</v>
      </c>
      <c r="AL88" s="545">
        <f t="shared" si="198"/>
        <v>830</v>
      </c>
      <c r="AM88" s="460">
        <f t="shared" si="199"/>
        <v>212.40875736935786</v>
      </c>
      <c r="AO88">
        <f t="shared" si="274"/>
        <v>830</v>
      </c>
      <c r="AP88">
        <f t="shared" si="200"/>
        <v>212.40875736935786</v>
      </c>
      <c r="AR88" s="5">
        <f t="shared" si="275"/>
        <v>4.7079038189611868</v>
      </c>
      <c r="AS88" s="5">
        <f t="shared" si="201"/>
        <v>1.8454890262146033</v>
      </c>
      <c r="AT88" s="5">
        <f t="shared" si="276"/>
        <v>2.8624147927465833</v>
      </c>
      <c r="AU88" s="173">
        <f t="shared" si="277"/>
        <v>0.39199803079703016</v>
      </c>
      <c r="AW88" s="5">
        <f t="shared" si="202"/>
        <v>6.382316215658836</v>
      </c>
      <c r="AX88" s="5">
        <f t="shared" si="203"/>
        <v>0.85097549542117823</v>
      </c>
      <c r="AY88" s="5">
        <f t="shared" si="204"/>
        <v>1.9957259532684395</v>
      </c>
      <c r="AZ88" s="5"/>
      <c r="BA88" s="173">
        <f t="shared" si="278"/>
        <v>1.5882999893190199</v>
      </c>
      <c r="BB88" s="173">
        <f t="shared" si="205"/>
        <v>1.319377024829981</v>
      </c>
      <c r="BC88" s="173">
        <f t="shared" si="206"/>
        <v>0.13211599667554266</v>
      </c>
      <c r="BD88" s="173"/>
      <c r="BE88" s="528">
        <f t="shared" si="207"/>
        <v>0.10090787424283196</v>
      </c>
      <c r="BF88" s="528">
        <f t="shared" si="208"/>
        <v>0.84653482371437361</v>
      </c>
      <c r="BG88" s="528">
        <f t="shared" si="209"/>
        <v>0.20228894998814972</v>
      </c>
      <c r="BH88" s="528">
        <f t="shared" si="210"/>
        <v>6.0407076169788097E-2</v>
      </c>
      <c r="BI88">
        <f t="shared" si="211"/>
        <v>1.071401535205716E-2</v>
      </c>
      <c r="BJ88" s="460">
        <f t="shared" si="279"/>
        <v>213.00296534020688</v>
      </c>
      <c r="BK88">
        <f t="shared" si="212"/>
        <v>1.0605216609397508</v>
      </c>
      <c r="BL88" s="460">
        <f t="shared" si="280"/>
        <v>1060.5216609397507</v>
      </c>
      <c r="BM88" s="173">
        <f t="shared" si="213"/>
        <v>0.72043999999999997</v>
      </c>
      <c r="BN88" s="173">
        <f t="shared" si="214"/>
        <v>5.1460000000000006E-2</v>
      </c>
      <c r="BO88" s="528"/>
      <c r="BQ88" s="460">
        <f t="shared" si="281"/>
        <v>771.9</v>
      </c>
      <c r="BR88" s="528">
        <f t="shared" si="215"/>
        <v>7.5680905682123961E-2</v>
      </c>
      <c r="BS88" s="528">
        <f t="shared" si="216"/>
        <v>5.2222672009476369E-2</v>
      </c>
      <c r="BT88" s="528">
        <f t="shared" si="217"/>
        <v>8.7273182887859997E-5</v>
      </c>
      <c r="BU88" s="528">
        <f t="shared" si="218"/>
        <v>1.3305435502983889</v>
      </c>
      <c r="BV88" s="528">
        <f t="shared" si="219"/>
        <v>1.5046588102951923</v>
      </c>
      <c r="BW88" s="625">
        <f t="shared" si="220"/>
        <v>0.82017183095754032</v>
      </c>
      <c r="BX88" s="460">
        <f t="shared" si="282"/>
        <v>2324.8306412527327</v>
      </c>
      <c r="BY88" s="173">
        <f t="shared" si="283"/>
        <v>4.1572523021924832</v>
      </c>
      <c r="BZ88" s="5">
        <f t="shared" si="284"/>
        <v>21.413999999999998</v>
      </c>
      <c r="CA88" s="173">
        <f t="shared" si="285"/>
        <v>0.83742476695847867</v>
      </c>
      <c r="CB88" s="5">
        <f t="shared" si="286"/>
        <v>83.74247669584787</v>
      </c>
      <c r="CC88">
        <f t="shared" si="287"/>
        <v>83</v>
      </c>
      <c r="CE88" s="562">
        <f t="shared" si="221"/>
        <v>-50</v>
      </c>
      <c r="CF88">
        <f t="shared" si="222"/>
        <v>-50</v>
      </c>
      <c r="CG88" s="173">
        <f t="shared" si="223"/>
        <v>0.58114024475735238</v>
      </c>
      <c r="CH88" s="173">
        <f t="shared" si="224"/>
        <v>0.1583991712777521</v>
      </c>
      <c r="CI88" s="170">
        <v>83</v>
      </c>
      <c r="CJ88" s="217">
        <f t="shared" si="309"/>
        <v>0.83</v>
      </c>
      <c r="CK88" s="217">
        <f t="shared" si="288"/>
        <v>8.3000000000000004E-2</v>
      </c>
      <c r="CL88" s="217">
        <f t="shared" si="225"/>
        <v>19.919999999999998</v>
      </c>
      <c r="CM88" s="217">
        <f t="shared" si="310"/>
        <v>1.494</v>
      </c>
      <c r="CN88" s="541">
        <f t="shared" si="289"/>
        <v>24</v>
      </c>
      <c r="CO88" s="443">
        <f t="shared" si="226"/>
        <v>16.474900000000002</v>
      </c>
      <c r="CP88" s="443">
        <f t="shared" si="227"/>
        <v>40.474900000000005</v>
      </c>
      <c r="CQ88" s="443"/>
      <c r="CR88" s="217">
        <f t="shared" si="228"/>
        <v>0.40507913686898112</v>
      </c>
      <c r="CS88" s="172">
        <f t="shared" si="290"/>
        <v>50.242373565144938</v>
      </c>
      <c r="CT88" s="172">
        <f t="shared" si="229"/>
        <v>4.0507913686898105</v>
      </c>
      <c r="CU88" s="217">
        <f t="shared" si="230"/>
        <v>2.0934322318810392</v>
      </c>
      <c r="CV88" s="217">
        <f t="shared" si="231"/>
        <v>2.7912429758413855</v>
      </c>
      <c r="CW88" s="443">
        <f t="shared" si="232"/>
        <v>24</v>
      </c>
      <c r="CX88" s="217">
        <f t="shared" si="233"/>
        <v>4.4053120429581121</v>
      </c>
      <c r="CY88" s="217">
        <f t="shared" si="234"/>
        <v>1.8355466845658801</v>
      </c>
      <c r="CZ88" s="217">
        <f t="shared" si="235"/>
        <v>2.6739537374782922</v>
      </c>
      <c r="DA88" s="197">
        <f t="shared" si="236"/>
        <v>350</v>
      </c>
      <c r="DB88" s="443">
        <f t="shared" si="291"/>
        <v>221.75405397715798</v>
      </c>
      <c r="DD88" s="217">
        <f t="shared" si="237"/>
        <v>2.7911308701724487</v>
      </c>
      <c r="DE88" s="173">
        <f t="shared" si="238"/>
        <v>1.6941716612376698</v>
      </c>
      <c r="DF88" s="173">
        <f t="shared" si="239"/>
        <v>0.55195223422072148</v>
      </c>
      <c r="DG88" s="173"/>
      <c r="DH88" s="173">
        <f t="shared" si="240"/>
        <v>1.3488532386977903</v>
      </c>
      <c r="DI88" s="545">
        <f t="shared" si="241"/>
        <v>830.29049999999961</v>
      </c>
      <c r="DJ88" s="528">
        <f t="shared" si="242"/>
        <v>0.34987754285999911</v>
      </c>
      <c r="DL88" s="173">
        <f t="shared" si="243"/>
        <v>3.4980811066313806</v>
      </c>
      <c r="DM88" s="173">
        <f t="shared" si="244"/>
        <v>4.4053120429581121</v>
      </c>
      <c r="DN88" s="173">
        <f t="shared" si="245"/>
        <v>2.8171035709154735</v>
      </c>
      <c r="DP88" s="545">
        <f t="shared" si="246"/>
        <v>830</v>
      </c>
      <c r="DQ88" s="460">
        <f t="shared" si="247"/>
        <v>221.75405397715798</v>
      </c>
      <c r="DS88">
        <f t="shared" si="292"/>
        <v>830</v>
      </c>
      <c r="DT88">
        <f t="shared" si="248"/>
        <v>221.75405397715798</v>
      </c>
      <c r="DV88" s="5">
        <f t="shared" si="293"/>
        <v>4.5095004220441721</v>
      </c>
      <c r="DW88" s="5">
        <f t="shared" si="249"/>
        <v>1.8355466845658801</v>
      </c>
      <c r="DX88" s="5">
        <f t="shared" si="294"/>
        <v>2.6739537374782918</v>
      </c>
      <c r="DY88" s="173">
        <f t="shared" si="295"/>
        <v>0.40703991856681554</v>
      </c>
      <c r="EA88" s="5">
        <f t="shared" si="250"/>
        <v>6.3479322841236687</v>
      </c>
      <c r="EB88" s="5">
        <f t="shared" si="251"/>
        <v>0.8463909712164891</v>
      </c>
      <c r="EC88" s="5">
        <f t="shared" si="252"/>
        <v>1.8494846684224846</v>
      </c>
      <c r="ED88" s="5"/>
      <c r="EE88" s="173">
        <f t="shared" si="296"/>
        <v>1.6226862284820545</v>
      </c>
      <c r="EF88" s="173">
        <f t="shared" si="253"/>
        <v>1.3063351465374817</v>
      </c>
      <c r="EG88" s="173">
        <f t="shared" si="254"/>
        <v>0.13081004643030725</v>
      </c>
      <c r="EH88" s="173"/>
      <c r="EI88" s="528">
        <f t="shared" si="255"/>
        <v>0.10532442384421258</v>
      </c>
      <c r="EJ88" s="528">
        <f t="shared" si="256"/>
        <v>1.0873434000000002</v>
      </c>
      <c r="EK88" s="528">
        <f t="shared" si="257"/>
        <v>4.4350810795431593E-2</v>
      </c>
      <c r="EL88" s="528">
        <f t="shared" si="258"/>
        <v>6.3574241250828709E-2</v>
      </c>
      <c r="EM88">
        <f t="shared" si="259"/>
        <v>1.0800000000000001E-2</v>
      </c>
      <c r="EN88" s="460">
        <f t="shared" si="297"/>
        <v>55.150810795431589</v>
      </c>
      <c r="EO88">
        <f t="shared" si="260"/>
        <v>1.3742204513280134</v>
      </c>
      <c r="EP88" s="460">
        <f t="shared" si="298"/>
        <v>1374.2204513280135</v>
      </c>
      <c r="EQ88" s="173">
        <f t="shared" si="261"/>
        <v>0.72043999999999997</v>
      </c>
      <c r="ER88" s="173">
        <f t="shared" si="262"/>
        <v>5.1460000000000006E-2</v>
      </c>
      <c r="ES88" s="528"/>
      <c r="EU88" s="460">
        <f t="shared" si="299"/>
        <v>771.9</v>
      </c>
      <c r="EV88" s="528">
        <f t="shared" si="263"/>
        <v>7.8993317883159428E-2</v>
      </c>
      <c r="EW88" s="528">
        <f t="shared" si="300"/>
        <v>5.1195345452373114E-2</v>
      </c>
      <c r="EX88" s="528">
        <f t="shared" si="264"/>
        <v>8.555634123549569E-5</v>
      </c>
      <c r="EY88" s="528">
        <f t="shared" si="265"/>
        <v>1.4913879008629345</v>
      </c>
      <c r="EZ88" s="528">
        <f t="shared" si="266"/>
        <v>1.6703360715274223</v>
      </c>
      <c r="FA88" s="625">
        <f t="shared" si="267"/>
        <v>0.86070617050899934</v>
      </c>
      <c r="FB88" s="460">
        <f t="shared" si="301"/>
        <v>2531.0422420364212</v>
      </c>
      <c r="FC88" s="173">
        <f t="shared" si="302"/>
        <v>4.6771626933644352</v>
      </c>
      <c r="FD88" s="5">
        <f t="shared" si="303"/>
        <v>21.413999999999998</v>
      </c>
      <c r="FE88" s="173">
        <f t="shared" si="304"/>
        <v>0.82073766706633045</v>
      </c>
      <c r="FF88" s="5">
        <f t="shared" si="305"/>
        <v>82.073766706633052</v>
      </c>
      <c r="FG88">
        <f t="shared" si="306"/>
        <v>83</v>
      </c>
      <c r="FI88" s="562">
        <f t="shared" si="268"/>
        <v>-50</v>
      </c>
      <c r="FJ88">
        <f t="shared" si="269"/>
        <v>-50</v>
      </c>
      <c r="FL88">
        <f t="shared" si="270"/>
        <v>0.58114024475735249</v>
      </c>
    </row>
    <row r="89" spans="5:168">
      <c r="E89" s="170">
        <v>84</v>
      </c>
      <c r="F89" s="217">
        <f t="shared" si="307"/>
        <v>0.84</v>
      </c>
      <c r="G89" s="217">
        <f t="shared" si="271"/>
        <v>8.4000000000000005E-2</v>
      </c>
      <c r="H89" s="217">
        <f t="shared" si="176"/>
        <v>20.16</v>
      </c>
      <c r="I89" s="217">
        <f t="shared" si="308"/>
        <v>1.512</v>
      </c>
      <c r="J89" s="541">
        <f t="shared" si="177"/>
        <v>23.806620872096428</v>
      </c>
      <c r="K89" s="443">
        <f t="shared" si="178"/>
        <v>16.503823138866451</v>
      </c>
      <c r="L89" s="172">
        <f t="shared" si="179"/>
        <v>40.310444010962883</v>
      </c>
      <c r="M89" s="443"/>
      <c r="N89" s="217">
        <f t="shared" si="180"/>
        <v>0.40941804397833104</v>
      </c>
      <c r="O89" s="172">
        <f t="shared" si="272"/>
        <v>50.371370290374308</v>
      </c>
      <c r="P89" s="172">
        <f t="shared" si="181"/>
        <v>4.0611917296614282</v>
      </c>
      <c r="Q89" s="217">
        <f t="shared" si="182"/>
        <v>2.0988070954322628</v>
      </c>
      <c r="R89" s="217">
        <f t="shared" si="183"/>
        <v>2.7984094605763503</v>
      </c>
      <c r="S89" s="443">
        <f t="shared" si="184"/>
        <v>24</v>
      </c>
      <c r="T89" s="217">
        <f t="shared" si="185"/>
        <v>4.4469705451472539</v>
      </c>
      <c r="U89" s="217">
        <f t="shared" si="186"/>
        <v>1.8679553763799872</v>
      </c>
      <c r="V89" s="217">
        <f t="shared" si="187"/>
        <v>2.6945093314013122</v>
      </c>
      <c r="W89" s="197">
        <f t="shared" si="188"/>
        <v>350</v>
      </c>
      <c r="X89" s="443">
        <f t="shared" si="273"/>
        <v>209.97530929019152</v>
      </c>
      <c r="Z89" s="217">
        <f t="shared" si="189"/>
        <v>2.7848171860535507</v>
      </c>
      <c r="AA89" s="173">
        <f t="shared" si="190"/>
        <v>1.6873770172047682</v>
      </c>
      <c r="AB89" s="173">
        <f t="shared" si="191"/>
        <v>0.54849503743090566</v>
      </c>
      <c r="AC89" s="173"/>
      <c r="AD89" s="173">
        <f t="shared" si="192"/>
        <v>1.3464893579651229</v>
      </c>
      <c r="AE89" s="545">
        <f t="shared" si="193"/>
        <v>841.76921017126904</v>
      </c>
      <c r="AF89" s="528">
        <f t="shared" si="194"/>
        <v>0.34926437846328667</v>
      </c>
      <c r="AH89" s="173">
        <f t="shared" si="195"/>
        <v>3.5190907916676428</v>
      </c>
      <c r="AI89" s="173">
        <f t="shared" si="196"/>
        <v>4.4469705451472539</v>
      </c>
      <c r="AJ89" s="173">
        <f t="shared" si="197"/>
        <v>2.8479617206852081</v>
      </c>
      <c r="AL89" s="545">
        <f t="shared" si="198"/>
        <v>840</v>
      </c>
      <c r="AM89" s="460">
        <f t="shared" si="199"/>
        <v>209.97530929019152</v>
      </c>
      <c r="AO89">
        <f t="shared" si="274"/>
        <v>840</v>
      </c>
      <c r="AP89">
        <f t="shared" si="200"/>
        <v>209.97530929019152</v>
      </c>
      <c r="AR89" s="5">
        <f t="shared" si="275"/>
        <v>4.7624647077812998</v>
      </c>
      <c r="AS89" s="5">
        <f t="shared" si="201"/>
        <v>1.8679553763799872</v>
      </c>
      <c r="AT89" s="5">
        <f t="shared" si="276"/>
        <v>2.8945093314013128</v>
      </c>
      <c r="AU89" s="173">
        <f t="shared" si="277"/>
        <v>0.39222450789566393</v>
      </c>
      <c r="AW89" s="5">
        <f t="shared" si="202"/>
        <v>6.5378438173299553</v>
      </c>
      <c r="AX89" s="5">
        <f t="shared" si="203"/>
        <v>0.87171250897732733</v>
      </c>
      <c r="AY89" s="5">
        <f t="shared" si="204"/>
        <v>2.0426148267240354</v>
      </c>
      <c r="AZ89" s="5"/>
      <c r="BA89" s="173">
        <f t="shared" si="278"/>
        <v>1.6079442571159841</v>
      </c>
      <c r="BB89" s="173">
        <f t="shared" si="205"/>
        <v>1.3350608211991319</v>
      </c>
      <c r="BC89" s="173">
        <f t="shared" si="206"/>
        <v>0.13368649574439956</v>
      </c>
      <c r="BD89" s="173"/>
      <c r="BE89" s="528">
        <f t="shared" si="207"/>
        <v>0.10341938935969097</v>
      </c>
      <c r="BF89" s="528">
        <f t="shared" si="208"/>
        <v>0.84690087675140102</v>
      </c>
      <c r="BG89" s="528">
        <f t="shared" si="209"/>
        <v>0.19995210323091106</v>
      </c>
      <c r="BH89" s="528">
        <f t="shared" si="210"/>
        <v>5.9709226064931231E-2</v>
      </c>
      <c r="BI89">
        <f t="shared" si="211"/>
        <v>1.0712979392443393E-2</v>
      </c>
      <c r="BJ89" s="460">
        <f t="shared" si="279"/>
        <v>210.66508262335446</v>
      </c>
      <c r="BK89">
        <f t="shared" si="212"/>
        <v>1.064100274814928</v>
      </c>
      <c r="BL89" s="460">
        <f t="shared" si="280"/>
        <v>1064.1002748149281</v>
      </c>
      <c r="BM89" s="173">
        <f t="shared" si="213"/>
        <v>0.72911999999999999</v>
      </c>
      <c r="BN89" s="173">
        <f t="shared" si="214"/>
        <v>5.2080000000000001E-2</v>
      </c>
      <c r="BO89" s="528"/>
      <c r="BQ89" s="460">
        <f t="shared" si="281"/>
        <v>781.2</v>
      </c>
      <c r="BR89" s="528">
        <f t="shared" si="215"/>
        <v>7.7564542019768229E-2</v>
      </c>
      <c r="BS89" s="528">
        <f t="shared" si="216"/>
        <v>5.3471621889027016E-2</v>
      </c>
      <c r="BT89" s="528">
        <f t="shared" si="217"/>
        <v>8.9360395722086811E-5</v>
      </c>
      <c r="BU89" s="528">
        <f t="shared" si="218"/>
        <v>1.3321441152609665</v>
      </c>
      <c r="BV89" s="528">
        <f t="shared" si="219"/>
        <v>1.510585874583509</v>
      </c>
      <c r="BW89" s="625">
        <f t="shared" si="220"/>
        <v>0.83047532077650366</v>
      </c>
      <c r="BX89" s="460">
        <f t="shared" si="282"/>
        <v>2341.0611953600123</v>
      </c>
      <c r="BY89" s="173">
        <f t="shared" si="283"/>
        <v>4.1863614701749405</v>
      </c>
      <c r="BZ89" s="5">
        <f t="shared" si="284"/>
        <v>21.672000000000001</v>
      </c>
      <c r="CA89" s="173">
        <f t="shared" si="285"/>
        <v>0.83810414766598829</v>
      </c>
      <c r="CB89" s="5">
        <f t="shared" si="286"/>
        <v>83.810414766598825</v>
      </c>
      <c r="CC89">
        <f t="shared" si="287"/>
        <v>84</v>
      </c>
      <c r="CE89" s="562">
        <f t="shared" si="221"/>
        <v>-50</v>
      </c>
      <c r="CF89">
        <f t="shared" si="222"/>
        <v>-50</v>
      </c>
      <c r="CG89" s="173">
        <f t="shared" si="223"/>
        <v>0.58114024475735238</v>
      </c>
      <c r="CH89" s="173">
        <f t="shared" si="224"/>
        <v>0.15839917127775208</v>
      </c>
      <c r="CI89" s="170">
        <v>84</v>
      </c>
      <c r="CJ89" s="217">
        <f t="shared" si="309"/>
        <v>0.84</v>
      </c>
      <c r="CK89" s="217">
        <f t="shared" si="288"/>
        <v>8.4000000000000005E-2</v>
      </c>
      <c r="CL89" s="217">
        <f t="shared" si="225"/>
        <v>20.16</v>
      </c>
      <c r="CM89" s="217">
        <f t="shared" si="310"/>
        <v>1.512</v>
      </c>
      <c r="CN89" s="541">
        <f t="shared" si="289"/>
        <v>24</v>
      </c>
      <c r="CO89" s="443">
        <f t="shared" si="226"/>
        <v>16.474900000000002</v>
      </c>
      <c r="CP89" s="443">
        <f t="shared" si="227"/>
        <v>40.474900000000005</v>
      </c>
      <c r="CQ89" s="443"/>
      <c r="CR89" s="217">
        <f t="shared" si="228"/>
        <v>0.40507913686898112</v>
      </c>
      <c r="CS89" s="172">
        <f t="shared" si="290"/>
        <v>50.242373565144938</v>
      </c>
      <c r="CT89" s="172">
        <f t="shared" si="229"/>
        <v>4.0507913686898105</v>
      </c>
      <c r="CU89" s="217">
        <f t="shared" si="230"/>
        <v>2.0934322318810392</v>
      </c>
      <c r="CV89" s="217">
        <f t="shared" si="231"/>
        <v>2.7912429758413855</v>
      </c>
      <c r="CW89" s="443">
        <f t="shared" si="232"/>
        <v>24</v>
      </c>
      <c r="CX89" s="217">
        <f t="shared" si="233"/>
        <v>4.4583880916684517</v>
      </c>
      <c r="CY89" s="217">
        <f t="shared" si="234"/>
        <v>1.8576617048618549</v>
      </c>
      <c r="CZ89" s="217">
        <f t="shared" si="235"/>
        <v>2.706170047568393</v>
      </c>
      <c r="DA89" s="197">
        <f t="shared" si="236"/>
        <v>350</v>
      </c>
      <c r="DB89" s="443">
        <f t="shared" si="291"/>
        <v>219.1141247631441</v>
      </c>
      <c r="DD89" s="217">
        <f t="shared" si="237"/>
        <v>2.7911308701724487</v>
      </c>
      <c r="DE89" s="173">
        <f t="shared" si="238"/>
        <v>1.6941716612376698</v>
      </c>
      <c r="DF89" s="173">
        <f t="shared" si="239"/>
        <v>0.55195223422072148</v>
      </c>
      <c r="DG89" s="173"/>
      <c r="DH89" s="173">
        <f t="shared" si="240"/>
        <v>1.3488532386977903</v>
      </c>
      <c r="DI89" s="545">
        <f t="shared" si="241"/>
        <v>840.29399999999953</v>
      </c>
      <c r="DJ89" s="528">
        <f t="shared" si="242"/>
        <v>0.34987754285999911</v>
      </c>
      <c r="DL89" s="173">
        <f t="shared" si="243"/>
        <v>3.5190907916676428</v>
      </c>
      <c r="DM89" s="173">
        <f t="shared" si="244"/>
        <v>4.4583880916684517</v>
      </c>
      <c r="DN89" s="173">
        <f t="shared" si="245"/>
        <v>2.8564191625527622</v>
      </c>
      <c r="DP89" s="545">
        <f t="shared" si="246"/>
        <v>840</v>
      </c>
      <c r="DQ89" s="460">
        <f t="shared" si="247"/>
        <v>219.1141247631441</v>
      </c>
      <c r="DS89">
        <f t="shared" si="292"/>
        <v>840</v>
      </c>
      <c r="DT89">
        <f t="shared" si="248"/>
        <v>219.1141247631441</v>
      </c>
      <c r="DV89" s="5">
        <f t="shared" si="293"/>
        <v>4.5638317524302483</v>
      </c>
      <c r="DW89" s="5">
        <f t="shared" si="249"/>
        <v>1.8576617048618549</v>
      </c>
      <c r="DX89" s="5">
        <f t="shared" si="294"/>
        <v>2.7061700475683934</v>
      </c>
      <c r="DY89" s="173">
        <f t="shared" si="295"/>
        <v>0.40703991856681543</v>
      </c>
      <c r="EA89" s="5">
        <f t="shared" si="250"/>
        <v>6.5018159670164914</v>
      </c>
      <c r="EB89" s="5">
        <f t="shared" si="251"/>
        <v>0.86690879560219891</v>
      </c>
      <c r="EC89" s="5">
        <f t="shared" si="252"/>
        <v>1.8943190332978752</v>
      </c>
      <c r="ED89" s="5"/>
      <c r="EE89" s="173">
        <f t="shared" si="296"/>
        <v>1.6422366649697904</v>
      </c>
      <c r="EF89" s="173">
        <f t="shared" si="253"/>
        <v>1.3220741242066085</v>
      </c>
      <c r="EG89" s="173">
        <f t="shared" si="254"/>
        <v>0.13238607108609413</v>
      </c>
      <c r="EH89" s="173"/>
      <c r="EI89" s="528">
        <f t="shared" si="255"/>
        <v>0.10787765055084397</v>
      </c>
      <c r="EJ89" s="528">
        <f t="shared" si="256"/>
        <v>1.0873434</v>
      </c>
      <c r="EK89" s="528">
        <f t="shared" si="257"/>
        <v>4.3822824952628819E-2</v>
      </c>
      <c r="EL89" s="528">
        <f t="shared" si="258"/>
        <v>6.2817405045461669E-2</v>
      </c>
      <c r="EM89">
        <f t="shared" si="259"/>
        <v>1.0800000000000001E-2</v>
      </c>
      <c r="EN89" s="460">
        <f t="shared" si="297"/>
        <v>54.622824952628825</v>
      </c>
      <c r="EO89">
        <f t="shared" si="260"/>
        <v>1.3770853251226516</v>
      </c>
      <c r="EP89" s="460">
        <f t="shared" si="298"/>
        <v>1377.0853251226515</v>
      </c>
      <c r="EQ89" s="173">
        <f t="shared" si="261"/>
        <v>0.72911999999999999</v>
      </c>
      <c r="ER89" s="173">
        <f t="shared" si="262"/>
        <v>5.2080000000000001E-2</v>
      </c>
      <c r="ES89" s="528"/>
      <c r="EU89" s="460">
        <f t="shared" si="299"/>
        <v>781.2</v>
      </c>
      <c r="EV89" s="528">
        <f t="shared" si="263"/>
        <v>8.090823791313298E-2</v>
      </c>
      <c r="EW89" s="528">
        <f t="shared" si="300"/>
        <v>5.2436399696900129E-2</v>
      </c>
      <c r="EX89" s="528">
        <f t="shared" si="264"/>
        <v>8.7630359088061843E-5</v>
      </c>
      <c r="EY89" s="528">
        <f t="shared" si="265"/>
        <v>1.4913879008629329</v>
      </c>
      <c r="EZ89" s="528">
        <f t="shared" si="266"/>
        <v>1.6747208573212486</v>
      </c>
      <c r="FA89" s="625">
        <f t="shared" si="267"/>
        <v>0.87107612437055348</v>
      </c>
      <c r="FB89" s="460">
        <f t="shared" si="301"/>
        <v>2545.7969816918021</v>
      </c>
      <c r="FC89" s="173">
        <f t="shared" si="302"/>
        <v>4.7040823068144535</v>
      </c>
      <c r="FD89" s="5">
        <f t="shared" si="303"/>
        <v>21.672000000000001</v>
      </c>
      <c r="FE89" s="173">
        <f t="shared" si="304"/>
        <v>0.82165348696993112</v>
      </c>
      <c r="FF89" s="5">
        <f t="shared" si="305"/>
        <v>82.165348696993107</v>
      </c>
      <c r="FG89">
        <f t="shared" si="306"/>
        <v>84</v>
      </c>
      <c r="FI89" s="562">
        <f t="shared" si="268"/>
        <v>-50</v>
      </c>
      <c r="FJ89">
        <f t="shared" si="269"/>
        <v>-50</v>
      </c>
      <c r="FL89">
        <f t="shared" si="270"/>
        <v>0.58114024475735226</v>
      </c>
    </row>
    <row r="90" spans="5:168">
      <c r="E90" s="170">
        <v>85</v>
      </c>
      <c r="F90" s="217">
        <f t="shared" si="307"/>
        <v>0.85</v>
      </c>
      <c r="G90" s="217">
        <f t="shared" si="271"/>
        <v>8.5000000000000006E-2</v>
      </c>
      <c r="H90" s="217">
        <f t="shared" si="176"/>
        <v>20.399999999999999</v>
      </c>
      <c r="I90" s="217">
        <f t="shared" si="308"/>
        <v>1.53</v>
      </c>
      <c r="J90" s="541">
        <f t="shared" si="177"/>
        <v>23.804318739621387</v>
      </c>
      <c r="K90" s="443">
        <f t="shared" si="178"/>
        <v>16.504167461948192</v>
      </c>
      <c r="L90" s="172">
        <f t="shared" si="179"/>
        <v>40.308486201569579</v>
      </c>
      <c r="M90" s="443"/>
      <c r="N90" s="217">
        <f t="shared" si="180"/>
        <v>0.40944647187731731</v>
      </c>
      <c r="O90" s="172">
        <f t="shared" si="272"/>
        <v>50.369996503261419</v>
      </c>
      <c r="P90" s="172">
        <f t="shared" si="181"/>
        <v>4.0610809680754514</v>
      </c>
      <c r="Q90" s="217">
        <f t="shared" si="182"/>
        <v>2.0987498543025591</v>
      </c>
      <c r="R90" s="217">
        <f t="shared" si="183"/>
        <v>2.798333139070079</v>
      </c>
      <c r="S90" s="443">
        <f t="shared" si="184"/>
        <v>24</v>
      </c>
      <c r="T90" s="217">
        <f t="shared" si="185"/>
        <v>4.5000334008756608</v>
      </c>
      <c r="U90" s="217">
        <f t="shared" si="186"/>
        <v>1.8904273002299896</v>
      </c>
      <c r="V90" s="217">
        <f t="shared" si="187"/>
        <v>2.7266043023684068</v>
      </c>
      <c r="W90" s="197">
        <f t="shared" si="188"/>
        <v>350</v>
      </c>
      <c r="X90" s="443">
        <f t="shared" si="273"/>
        <v>207.59672813036588</v>
      </c>
      <c r="Z90" s="217">
        <f t="shared" si="189"/>
        <v>2.7847412352517389</v>
      </c>
      <c r="AA90" s="173">
        <f t="shared" si="190"/>
        <v>1.6872957946362364</v>
      </c>
      <c r="AB90" s="173">
        <f t="shared" si="191"/>
        <v>0.54845367692244185</v>
      </c>
      <c r="AC90" s="173"/>
      <c r="AD90" s="173">
        <f t="shared" si="192"/>
        <v>1.3464612664321003</v>
      </c>
      <c r="AE90" s="545">
        <f t="shared" si="193"/>
        <v>851.80804329470209</v>
      </c>
      <c r="AF90" s="528">
        <f t="shared" si="194"/>
        <v>0.3492570918317488</v>
      </c>
      <c r="AH90" s="173">
        <f t="shared" si="195"/>
        <v>3.539975786842132</v>
      </c>
      <c r="AI90" s="173">
        <f t="shared" si="196"/>
        <v>4.5000334008756608</v>
      </c>
      <c r="AJ90" s="173">
        <f t="shared" si="197"/>
        <v>2.8872675397432879</v>
      </c>
      <c r="AL90" s="545">
        <f t="shared" si="198"/>
        <v>850</v>
      </c>
      <c r="AM90" s="460">
        <f t="shared" si="199"/>
        <v>207.59672813036588</v>
      </c>
      <c r="AO90">
        <f t="shared" si="274"/>
        <v>850</v>
      </c>
      <c r="AP90">
        <f t="shared" si="200"/>
        <v>207.59672813036588</v>
      </c>
      <c r="AR90" s="5">
        <f t="shared" si="275"/>
        <v>4.817031602598397</v>
      </c>
      <c r="AS90" s="5">
        <f t="shared" si="201"/>
        <v>1.8904273002299896</v>
      </c>
      <c r="AT90" s="5">
        <f t="shared" si="276"/>
        <v>2.9266043023684074</v>
      </c>
      <c r="AU90" s="173">
        <f t="shared" si="277"/>
        <v>0.39244652229606669</v>
      </c>
      <c r="AW90" s="5">
        <f t="shared" si="202"/>
        <v>6.6952633549812139</v>
      </c>
      <c r="AX90" s="5">
        <f t="shared" si="203"/>
        <v>0.89270178066416173</v>
      </c>
      <c r="AY90" s="5">
        <f t="shared" si="204"/>
        <v>2.0900523843789798</v>
      </c>
      <c r="AZ90" s="5"/>
      <c r="BA90" s="173">
        <f t="shared" si="278"/>
        <v>1.6275912723460009</v>
      </c>
      <c r="BB90" s="173">
        <f t="shared" si="205"/>
        <v>1.3507444737866887</v>
      </c>
      <c r="BC90" s="173">
        <f t="shared" si="206"/>
        <v>0.13525698041566706</v>
      </c>
      <c r="BD90" s="173"/>
      <c r="BE90" s="528">
        <f t="shared" si="207"/>
        <v>0.10596213399267496</v>
      </c>
      <c r="BF90" s="528">
        <f t="shared" si="208"/>
        <v>0.84725716109667271</v>
      </c>
      <c r="BG90" s="528">
        <f t="shared" si="209"/>
        <v>0.19766794742871019</v>
      </c>
      <c r="BH90" s="528">
        <f t="shared" si="210"/>
        <v>5.9027111286231962E-2</v>
      </c>
      <c r="BI90">
        <f t="shared" si="211"/>
        <v>1.0711943432829624E-2</v>
      </c>
      <c r="BJ90" s="460">
        <f t="shared" si="279"/>
        <v>208.37989086153982</v>
      </c>
      <c r="BK90">
        <f t="shared" si="212"/>
        <v>1.0677382034489111</v>
      </c>
      <c r="BL90" s="460">
        <f t="shared" si="280"/>
        <v>1067.7382034489112</v>
      </c>
      <c r="BM90" s="173">
        <f t="shared" si="213"/>
        <v>0.73780000000000001</v>
      </c>
      <c r="BN90" s="173">
        <f t="shared" si="214"/>
        <v>5.2700000000000004E-2</v>
      </c>
      <c r="BO90" s="528"/>
      <c r="BQ90" s="460">
        <f t="shared" si="281"/>
        <v>790.5</v>
      </c>
      <c r="BR90" s="528">
        <f t="shared" si="215"/>
        <v>7.9471600494506217E-2</v>
      </c>
      <c r="BS90" s="528">
        <f t="shared" si="216"/>
        <v>5.4735319003958352E-2</v>
      </c>
      <c r="BT90" s="528">
        <f t="shared" si="217"/>
        <v>9.1472253755820712E-5</v>
      </c>
      <c r="BU90" s="528">
        <f t="shared" si="218"/>
        <v>1.3337075468170032</v>
      </c>
      <c r="BV90" s="528">
        <f t="shared" si="219"/>
        <v>1.5165309661737221</v>
      </c>
      <c r="BW90" s="625">
        <f t="shared" si="220"/>
        <v>0.84077923001680854</v>
      </c>
      <c r="BX90" s="460">
        <f t="shared" si="282"/>
        <v>2357.3101961905304</v>
      </c>
      <c r="BY90" s="173">
        <f t="shared" si="283"/>
        <v>4.2155483996394416</v>
      </c>
      <c r="BZ90" s="5">
        <f t="shared" si="284"/>
        <v>21.93</v>
      </c>
      <c r="CA90" s="173">
        <f t="shared" si="285"/>
        <v>0.83876611286923419</v>
      </c>
      <c r="CB90" s="5">
        <f t="shared" si="286"/>
        <v>83.876611286923421</v>
      </c>
      <c r="CC90">
        <f t="shared" si="287"/>
        <v>85</v>
      </c>
      <c r="CE90" s="562">
        <f t="shared" si="221"/>
        <v>-50</v>
      </c>
      <c r="CF90">
        <f t="shared" si="222"/>
        <v>-50</v>
      </c>
      <c r="CG90" s="173">
        <f t="shared" si="223"/>
        <v>0.58114024475735238</v>
      </c>
      <c r="CH90" s="173">
        <f t="shared" si="224"/>
        <v>0.1583991712777521</v>
      </c>
      <c r="CI90" s="170">
        <v>85</v>
      </c>
      <c r="CJ90" s="217">
        <f t="shared" si="309"/>
        <v>0.85</v>
      </c>
      <c r="CK90" s="217">
        <f t="shared" si="288"/>
        <v>8.5000000000000006E-2</v>
      </c>
      <c r="CL90" s="217">
        <f t="shared" si="225"/>
        <v>20.399999999999999</v>
      </c>
      <c r="CM90" s="217">
        <f t="shared" si="310"/>
        <v>1.53</v>
      </c>
      <c r="CN90" s="541">
        <f t="shared" si="289"/>
        <v>24</v>
      </c>
      <c r="CO90" s="443">
        <f t="shared" si="226"/>
        <v>16.474900000000002</v>
      </c>
      <c r="CP90" s="443">
        <f t="shared" si="227"/>
        <v>40.474900000000005</v>
      </c>
      <c r="CQ90" s="443"/>
      <c r="CR90" s="217">
        <f t="shared" si="228"/>
        <v>0.40507913686898112</v>
      </c>
      <c r="CS90" s="172">
        <f t="shared" si="290"/>
        <v>50.242373565144938</v>
      </c>
      <c r="CT90" s="172">
        <f t="shared" si="229"/>
        <v>4.0507913686898105</v>
      </c>
      <c r="CU90" s="217">
        <f t="shared" si="230"/>
        <v>2.0934322318810392</v>
      </c>
      <c r="CV90" s="217">
        <f t="shared" si="231"/>
        <v>2.7912429758413855</v>
      </c>
      <c r="CW90" s="443">
        <f t="shared" si="232"/>
        <v>24</v>
      </c>
      <c r="CX90" s="217">
        <f t="shared" si="233"/>
        <v>4.5114641403787905</v>
      </c>
      <c r="CY90" s="217">
        <f t="shared" si="234"/>
        <v>1.8797767251578295</v>
      </c>
      <c r="CZ90" s="217">
        <f t="shared" si="235"/>
        <v>2.7383863576584928</v>
      </c>
      <c r="DA90" s="197">
        <f t="shared" si="236"/>
        <v>350</v>
      </c>
      <c r="DB90" s="443">
        <f t="shared" si="291"/>
        <v>216.53631153063657</v>
      </c>
      <c r="DD90" s="217">
        <f t="shared" si="237"/>
        <v>2.7911308701724487</v>
      </c>
      <c r="DE90" s="173">
        <f t="shared" si="238"/>
        <v>1.6941716612376698</v>
      </c>
      <c r="DF90" s="173">
        <f t="shared" si="239"/>
        <v>0.55195223422072148</v>
      </c>
      <c r="DG90" s="173"/>
      <c r="DH90" s="173">
        <f t="shared" si="240"/>
        <v>1.3488532386977903</v>
      </c>
      <c r="DI90" s="545">
        <f t="shared" si="241"/>
        <v>850.29749999999967</v>
      </c>
      <c r="DJ90" s="528">
        <f t="shared" si="242"/>
        <v>0.34987754285999911</v>
      </c>
      <c r="DL90" s="173">
        <f t="shared" si="243"/>
        <v>3.539975786842132</v>
      </c>
      <c r="DM90" s="173">
        <f t="shared" si="244"/>
        <v>4.5114641403787905</v>
      </c>
      <c r="DN90" s="173">
        <f t="shared" si="245"/>
        <v>2.8957347541900504</v>
      </c>
      <c r="DP90" s="545">
        <f t="shared" si="246"/>
        <v>850</v>
      </c>
      <c r="DQ90" s="460">
        <f t="shared" si="247"/>
        <v>216.53631153063657</v>
      </c>
      <c r="DS90">
        <f t="shared" si="292"/>
        <v>850</v>
      </c>
      <c r="DT90">
        <f t="shared" si="248"/>
        <v>216.53631153063657</v>
      </c>
      <c r="DV90" s="5">
        <f t="shared" si="293"/>
        <v>4.6181630828163209</v>
      </c>
      <c r="DW90" s="5">
        <f t="shared" si="249"/>
        <v>1.8797767251578295</v>
      </c>
      <c r="DX90" s="5">
        <f t="shared" si="294"/>
        <v>2.7383863576584915</v>
      </c>
      <c r="DY90" s="173">
        <f t="shared" si="295"/>
        <v>0.4070399185668156</v>
      </c>
      <c r="EA90" s="5">
        <f t="shared" si="250"/>
        <v>6.6575425682673126</v>
      </c>
      <c r="EB90" s="5">
        <f t="shared" si="251"/>
        <v>0.88767234243564175</v>
      </c>
      <c r="EC90" s="5">
        <f t="shared" si="252"/>
        <v>1.9396903366747642</v>
      </c>
      <c r="ED90" s="5"/>
      <c r="EE90" s="173">
        <f t="shared" si="296"/>
        <v>1.6617871014575263</v>
      </c>
      <c r="EF90" s="173">
        <f t="shared" si="253"/>
        <v>1.3378131018757344</v>
      </c>
      <c r="EG90" s="173">
        <f t="shared" si="254"/>
        <v>0.13396209574188092</v>
      </c>
      <c r="EH90" s="173"/>
      <c r="EI90" s="528">
        <f t="shared" si="255"/>
        <v>0.11046145482282427</v>
      </c>
      <c r="EJ90" s="528">
        <f t="shared" si="256"/>
        <v>1.0873434000000002</v>
      </c>
      <c r="EK90" s="528">
        <f t="shared" si="257"/>
        <v>4.330726230612731E-2</v>
      </c>
      <c r="EL90" s="528">
        <f t="shared" si="258"/>
        <v>6.207837675080919E-2</v>
      </c>
      <c r="EM90">
        <f t="shared" si="259"/>
        <v>1.0800000000000001E-2</v>
      </c>
      <c r="EN90" s="460">
        <f t="shared" si="297"/>
        <v>54.107262306127311</v>
      </c>
      <c r="EO90">
        <f t="shared" si="260"/>
        <v>1.3800349905297757</v>
      </c>
      <c r="EP90" s="460">
        <f t="shared" si="298"/>
        <v>1380.0349905297758</v>
      </c>
      <c r="EQ90" s="173">
        <f t="shared" si="261"/>
        <v>0.73780000000000001</v>
      </c>
      <c r="ER90" s="173">
        <f t="shared" si="262"/>
        <v>5.2700000000000004E-2</v>
      </c>
      <c r="ES90" s="528"/>
      <c r="EU90" s="460">
        <f t="shared" si="299"/>
        <v>790.5</v>
      </c>
      <c r="EV90" s="528">
        <f t="shared" si="263"/>
        <v>8.2846091117118201E-2</v>
      </c>
      <c r="EW90" s="528">
        <f t="shared" si="300"/>
        <v>5.3692316866511221E-2</v>
      </c>
      <c r="EX90" s="528">
        <f t="shared" si="264"/>
        <v>8.9729215477784359E-5</v>
      </c>
      <c r="EY90" s="528">
        <f t="shared" si="265"/>
        <v>1.49138790086293</v>
      </c>
      <c r="EZ90" s="528">
        <f t="shared" si="266"/>
        <v>1.6791604359839776</v>
      </c>
      <c r="FA90" s="625">
        <f t="shared" si="267"/>
        <v>0.88144607823210785</v>
      </c>
      <c r="FB90" s="460">
        <f t="shared" si="301"/>
        <v>2560.6065142160855</v>
      </c>
      <c r="FC90" s="173">
        <f t="shared" si="302"/>
        <v>4.731141504745862</v>
      </c>
      <c r="FD90" s="5">
        <f t="shared" si="303"/>
        <v>21.93</v>
      </c>
      <c r="FE90" s="173">
        <f t="shared" si="304"/>
        <v>0.82254542612499582</v>
      </c>
      <c r="FF90" s="5">
        <f t="shared" si="305"/>
        <v>82.254542612499577</v>
      </c>
      <c r="FG90">
        <f t="shared" si="306"/>
        <v>85</v>
      </c>
      <c r="FI90" s="562">
        <f t="shared" si="268"/>
        <v>-50</v>
      </c>
      <c r="FJ90">
        <f t="shared" si="269"/>
        <v>-50</v>
      </c>
      <c r="FL90">
        <f t="shared" si="270"/>
        <v>0.58114024475735238</v>
      </c>
    </row>
    <row r="91" spans="5:168">
      <c r="E91" s="170">
        <v>86</v>
      </c>
      <c r="F91" s="217">
        <f t="shared" si="307"/>
        <v>0.86</v>
      </c>
      <c r="G91" s="217">
        <f t="shared" si="271"/>
        <v>8.6000000000000007E-2</v>
      </c>
      <c r="H91" s="217">
        <f t="shared" si="176"/>
        <v>20.64</v>
      </c>
      <c r="I91" s="217">
        <f t="shared" si="308"/>
        <v>1.548</v>
      </c>
      <c r="J91" s="541">
        <f t="shared" si="177"/>
        <v>23.802016607146342</v>
      </c>
      <c r="K91" s="443">
        <f t="shared" si="178"/>
        <v>16.504511785029937</v>
      </c>
      <c r="L91" s="172">
        <f t="shared" si="179"/>
        <v>40.306528392176276</v>
      </c>
      <c r="M91" s="443"/>
      <c r="N91" s="217">
        <f t="shared" si="180"/>
        <v>0.40947490253796098</v>
      </c>
      <c r="O91" s="172">
        <f t="shared" si="272"/>
        <v>50.368622379422106</v>
      </c>
      <c r="P91" s="172">
        <f t="shared" si="181"/>
        <v>4.0609701793409068</v>
      </c>
      <c r="Q91" s="217">
        <f t="shared" si="182"/>
        <v>2.0986925991425878</v>
      </c>
      <c r="R91" s="217">
        <f t="shared" si="183"/>
        <v>2.7982567988567837</v>
      </c>
      <c r="S91" s="443">
        <f t="shared" si="184"/>
        <v>24</v>
      </c>
      <c r="T91" s="217">
        <f t="shared" si="185"/>
        <v>4.5530991815854494</v>
      </c>
      <c r="U91" s="217">
        <f t="shared" si="186"/>
        <v>1.9129047999312891</v>
      </c>
      <c r="V91" s="217">
        <f t="shared" si="187"/>
        <v>2.758699706413152</v>
      </c>
      <c r="W91" s="197">
        <f t="shared" si="188"/>
        <v>350</v>
      </c>
      <c r="X91" s="443">
        <f t="shared" si="273"/>
        <v>205.27117886882422</v>
      </c>
      <c r="Z91" s="217">
        <f t="shared" si="189"/>
        <v>2.7846652658337638</v>
      </c>
      <c r="AA91" s="173">
        <f t="shared" si="190"/>
        <v>1.6872145641772542</v>
      </c>
      <c r="AB91" s="173">
        <f t="shared" si="191"/>
        <v>0.5484123116231302</v>
      </c>
      <c r="AC91" s="173"/>
      <c r="AD91" s="173">
        <f t="shared" si="192"/>
        <v>1.346433176071189</v>
      </c>
      <c r="AE91" s="545">
        <f t="shared" si="193"/>
        <v>861.84729456160812</v>
      </c>
      <c r="AF91" s="528">
        <f t="shared" si="194"/>
        <v>0.34924980550424345</v>
      </c>
      <c r="AH91" s="173">
        <f t="shared" si="195"/>
        <v>3.5607382862065475</v>
      </c>
      <c r="AI91" s="173">
        <f t="shared" si="196"/>
        <v>4.5530991815854494</v>
      </c>
      <c r="AJ91" s="173">
        <f t="shared" si="197"/>
        <v>2.926575525454242</v>
      </c>
      <c r="AL91" s="545">
        <f t="shared" si="198"/>
        <v>860</v>
      </c>
      <c r="AM91" s="460">
        <f t="shared" si="199"/>
        <v>205.27117886882422</v>
      </c>
      <c r="AO91">
        <f t="shared" si="274"/>
        <v>860</v>
      </c>
      <c r="AP91">
        <f t="shared" si="200"/>
        <v>205.27117886882422</v>
      </c>
      <c r="AR91" s="5">
        <f t="shared" si="275"/>
        <v>4.8716045063444415</v>
      </c>
      <c r="AS91" s="5">
        <f t="shared" si="201"/>
        <v>1.9129047999312891</v>
      </c>
      <c r="AT91" s="5">
        <f t="shared" si="276"/>
        <v>2.9586997064131522</v>
      </c>
      <c r="AU91" s="173">
        <f t="shared" si="277"/>
        <v>0.39266422334572809</v>
      </c>
      <c r="AW91" s="5">
        <f t="shared" si="202"/>
        <v>6.8545755330871199</v>
      </c>
      <c r="AX91" s="5">
        <f t="shared" si="203"/>
        <v>0.91394340441161603</v>
      </c>
      <c r="AY91" s="5">
        <f t="shared" si="204"/>
        <v>2.1380387968903043</v>
      </c>
      <c r="AZ91" s="5"/>
      <c r="BA91" s="173">
        <f t="shared" si="278"/>
        <v>1.6472410255405132</v>
      </c>
      <c r="BB91" s="173">
        <f t="shared" si="205"/>
        <v>1.3664279910545505</v>
      </c>
      <c r="BC91" s="173">
        <f t="shared" si="206"/>
        <v>0.13682745153667858</v>
      </c>
      <c r="BD91" s="173"/>
      <c r="BE91" s="528">
        <f t="shared" si="207"/>
        <v>0.10853611984895047</v>
      </c>
      <c r="BF91" s="528">
        <f t="shared" si="208"/>
        <v>0.84760400334411734</v>
      </c>
      <c r="BG91" s="528">
        <f t="shared" si="209"/>
        <v>0.19543472033617046</v>
      </c>
      <c r="BH91" s="528">
        <f t="shared" si="210"/>
        <v>5.836020556674227E-2</v>
      </c>
      <c r="BI91">
        <f t="shared" si="211"/>
        <v>1.0710907473215854E-2</v>
      </c>
      <c r="BJ91" s="460">
        <f t="shared" si="279"/>
        <v>206.1456278093863</v>
      </c>
      <c r="BK91">
        <f t="shared" si="212"/>
        <v>1.0714354536813619</v>
      </c>
      <c r="BL91" s="460">
        <f t="shared" si="280"/>
        <v>1071.4354536813619</v>
      </c>
      <c r="BM91" s="173">
        <f t="shared" si="213"/>
        <v>0.74647999999999992</v>
      </c>
      <c r="BN91" s="173">
        <f t="shared" si="214"/>
        <v>5.3320000000000006E-2</v>
      </c>
      <c r="BO91" s="528"/>
      <c r="BQ91" s="460">
        <f t="shared" si="281"/>
        <v>799.8</v>
      </c>
      <c r="BR91" s="528">
        <f t="shared" si="215"/>
        <v>8.1402089886712839E-2</v>
      </c>
      <c r="BS91" s="528">
        <f t="shared" si="216"/>
        <v>5.6013763642121239E-2</v>
      </c>
      <c r="BT91" s="528">
        <f t="shared" si="217"/>
        <v>9.3608757470110617E-5</v>
      </c>
      <c r="BU91" s="528">
        <f t="shared" si="218"/>
        <v>1.3352350450465593</v>
      </c>
      <c r="BV91" s="528">
        <f t="shared" si="219"/>
        <v>1.522495379964157</v>
      </c>
      <c r="BW91" s="625">
        <f t="shared" si="220"/>
        <v>0.85108354466606795</v>
      </c>
      <c r="BX91" s="460">
        <f t="shared" si="282"/>
        <v>2373.5789246302252</v>
      </c>
      <c r="BY91" s="173">
        <f t="shared" si="283"/>
        <v>4.2448143783115873</v>
      </c>
      <c r="BZ91" s="5">
        <f t="shared" si="284"/>
        <v>22.188000000000002</v>
      </c>
      <c r="CA91" s="173">
        <f t="shared" si="285"/>
        <v>0.83941118347978472</v>
      </c>
      <c r="CB91" s="5">
        <f t="shared" si="286"/>
        <v>83.941118347978474</v>
      </c>
      <c r="CC91">
        <f t="shared" si="287"/>
        <v>86</v>
      </c>
      <c r="CE91" s="562">
        <f t="shared" si="221"/>
        <v>-50</v>
      </c>
      <c r="CF91">
        <f t="shared" si="222"/>
        <v>-50</v>
      </c>
      <c r="CG91" s="173">
        <f t="shared" si="223"/>
        <v>0.58114024475735238</v>
      </c>
      <c r="CH91" s="173">
        <f t="shared" si="224"/>
        <v>0.15839917127775208</v>
      </c>
      <c r="CI91" s="170">
        <v>86</v>
      </c>
      <c r="CJ91" s="217">
        <f t="shared" si="309"/>
        <v>0.86</v>
      </c>
      <c r="CK91" s="217">
        <f t="shared" si="288"/>
        <v>8.6000000000000007E-2</v>
      </c>
      <c r="CL91" s="217">
        <f t="shared" si="225"/>
        <v>20.64</v>
      </c>
      <c r="CM91" s="217">
        <f t="shared" si="310"/>
        <v>1.548</v>
      </c>
      <c r="CN91" s="541">
        <f t="shared" si="289"/>
        <v>24</v>
      </c>
      <c r="CO91" s="443">
        <f t="shared" si="226"/>
        <v>16.474900000000002</v>
      </c>
      <c r="CP91" s="443">
        <f t="shared" si="227"/>
        <v>40.474900000000005</v>
      </c>
      <c r="CQ91" s="443"/>
      <c r="CR91" s="217">
        <f t="shared" si="228"/>
        <v>0.40507913686898112</v>
      </c>
      <c r="CS91" s="172">
        <f t="shared" si="290"/>
        <v>50.242373565144938</v>
      </c>
      <c r="CT91" s="172">
        <f t="shared" si="229"/>
        <v>4.0507913686898105</v>
      </c>
      <c r="CU91" s="217">
        <f t="shared" si="230"/>
        <v>2.0934322318810392</v>
      </c>
      <c r="CV91" s="217">
        <f t="shared" si="231"/>
        <v>2.7912429758413855</v>
      </c>
      <c r="CW91" s="443">
        <f t="shared" si="232"/>
        <v>24</v>
      </c>
      <c r="CX91" s="217">
        <f t="shared" si="233"/>
        <v>4.5645401890891293</v>
      </c>
      <c r="CY91" s="217">
        <f t="shared" si="234"/>
        <v>1.901891745453804</v>
      </c>
      <c r="CZ91" s="217">
        <f t="shared" si="235"/>
        <v>2.7706026677485927</v>
      </c>
      <c r="DA91" s="197">
        <f t="shared" si="236"/>
        <v>350</v>
      </c>
      <c r="DB91" s="443">
        <f t="shared" si="291"/>
        <v>214.01844744307098</v>
      </c>
      <c r="DD91" s="217">
        <f t="shared" si="237"/>
        <v>2.7911308701724487</v>
      </c>
      <c r="DE91" s="173">
        <f t="shared" si="238"/>
        <v>1.6941716612376698</v>
      </c>
      <c r="DF91" s="173">
        <f t="shared" si="239"/>
        <v>0.55195223422072148</v>
      </c>
      <c r="DG91" s="173"/>
      <c r="DH91" s="173">
        <f t="shared" si="240"/>
        <v>1.3488532386977903</v>
      </c>
      <c r="DI91" s="545">
        <f t="shared" si="241"/>
        <v>860.30099999999982</v>
      </c>
      <c r="DJ91" s="528">
        <f t="shared" si="242"/>
        <v>0.34987754285999911</v>
      </c>
      <c r="DL91" s="173">
        <f t="shared" si="243"/>
        <v>3.5607382862065475</v>
      </c>
      <c r="DM91" s="173">
        <f t="shared" si="244"/>
        <v>4.5645401890891293</v>
      </c>
      <c r="DN91" s="173">
        <f t="shared" si="245"/>
        <v>2.9350503458273387</v>
      </c>
      <c r="DP91" s="545">
        <f t="shared" si="246"/>
        <v>860</v>
      </c>
      <c r="DQ91" s="460">
        <f t="shared" si="247"/>
        <v>214.01844744307098</v>
      </c>
      <c r="DS91">
        <f>IF(CL91&gt;CS91, "",DP91)</f>
        <v>860</v>
      </c>
      <c r="DT91">
        <f>IF(CL91&gt;CS91, "",DQ91)</f>
        <v>214.01844744307098</v>
      </c>
      <c r="DV91" s="5">
        <f t="shared" si="293"/>
        <v>4.6724944132023971</v>
      </c>
      <c r="DW91" s="5">
        <f t="shared" si="249"/>
        <v>1.901891745453804</v>
      </c>
      <c r="DX91" s="5">
        <f t="shared" si="294"/>
        <v>2.7706026677485931</v>
      </c>
      <c r="DY91" s="173">
        <f t="shared" si="295"/>
        <v>0.40703991856681548</v>
      </c>
      <c r="EA91" s="5">
        <f t="shared" si="250"/>
        <v>6.8151120878761313</v>
      </c>
      <c r="EB91" s="5">
        <f t="shared" si="251"/>
        <v>0.90868161171681749</v>
      </c>
      <c r="EC91" s="5">
        <f t="shared" si="252"/>
        <v>1.985598578553158</v>
      </c>
      <c r="ED91" s="5"/>
      <c r="EE91" s="173">
        <f t="shared" si="296"/>
        <v>1.6813375379452615</v>
      </c>
      <c r="EF91" s="173">
        <f t="shared" si="253"/>
        <v>1.353552079544861</v>
      </c>
      <c r="EG91" s="173">
        <f t="shared" si="254"/>
        <v>0.13553812039766783</v>
      </c>
      <c r="EH91" s="173"/>
      <c r="EI91" s="528">
        <f t="shared" si="255"/>
        <v>0.11307583666015335</v>
      </c>
      <c r="EJ91" s="528">
        <f t="shared" si="256"/>
        <v>1.0873434</v>
      </c>
      <c r="EK91" s="528">
        <f t="shared" si="257"/>
        <v>4.2803689488614197E-2</v>
      </c>
      <c r="EL91" s="528">
        <f t="shared" si="258"/>
        <v>6.1356535160683498E-2</v>
      </c>
      <c r="EM91">
        <f t="shared" si="259"/>
        <v>1.0800000000000001E-2</v>
      </c>
      <c r="EN91" s="460">
        <f t="shared" si="297"/>
        <v>53.603689488614201</v>
      </c>
      <c r="EO91">
        <f t="shared" si="260"/>
        <v>1.3830685904007558</v>
      </c>
      <c r="EP91" s="460">
        <f t="shared" si="298"/>
        <v>1383.0685904007557</v>
      </c>
      <c r="EQ91" s="173">
        <f t="shared" si="261"/>
        <v>0.74647999999999992</v>
      </c>
      <c r="ER91" s="173">
        <f t="shared" si="262"/>
        <v>5.3320000000000006E-2</v>
      </c>
      <c r="ES91" s="528"/>
      <c r="EU91" s="460">
        <f t="shared" si="299"/>
        <v>799.8</v>
      </c>
      <c r="EV91" s="528">
        <f t="shared" si="263"/>
        <v>8.4806877495115007E-2</v>
      </c>
      <c r="EW91" s="528">
        <f t="shared" si="300"/>
        <v>5.4963096961206527E-2</v>
      </c>
      <c r="EX91" s="528">
        <f t="shared" si="264"/>
        <v>9.1852910404663496E-5</v>
      </c>
      <c r="EY91" s="528">
        <f t="shared" si="265"/>
        <v>1.49138790086293</v>
      </c>
      <c r="EZ91" s="528">
        <f t="shared" si="266"/>
        <v>1.6836548907719338</v>
      </c>
      <c r="FA91" s="625">
        <f t="shared" si="267"/>
        <v>0.891816032093662</v>
      </c>
      <c r="FB91" s="460">
        <f t="shared" si="301"/>
        <v>2575.4709228655956</v>
      </c>
      <c r="FC91" s="173">
        <f t="shared" si="302"/>
        <v>4.7583395132663515</v>
      </c>
      <c r="FD91" s="5">
        <f t="shared" si="303"/>
        <v>22.188000000000002</v>
      </c>
      <c r="FE91" s="173">
        <f t="shared" si="304"/>
        <v>0.823414252205807</v>
      </c>
      <c r="FF91" s="5">
        <f t="shared" si="305"/>
        <v>82.341425220580703</v>
      </c>
      <c r="FG91">
        <f t="shared" si="306"/>
        <v>86</v>
      </c>
      <c r="FI91" s="562">
        <f t="shared" si="268"/>
        <v>-50</v>
      </c>
      <c r="FJ91">
        <f t="shared" si="269"/>
        <v>-50</v>
      </c>
      <c r="FL91">
        <f t="shared" si="270"/>
        <v>0.58114024475735226</v>
      </c>
    </row>
    <row r="92" spans="5:168">
      <c r="E92" s="170">
        <v>87</v>
      </c>
      <c r="F92" s="217">
        <f t="shared" si="307"/>
        <v>0.87</v>
      </c>
      <c r="G92" s="217">
        <f t="shared" si="271"/>
        <v>8.7000000000000008E-2</v>
      </c>
      <c r="H92" s="217">
        <f t="shared" si="176"/>
        <v>20.88</v>
      </c>
      <c r="I92" s="217">
        <f t="shared" si="308"/>
        <v>1.5660000000000001</v>
      </c>
      <c r="J92" s="541">
        <f t="shared" si="177"/>
        <v>23.799714474671301</v>
      </c>
      <c r="K92" s="443">
        <f t="shared" si="178"/>
        <v>16.504856108111682</v>
      </c>
      <c r="L92" s="172">
        <f t="shared" si="179"/>
        <v>40.304570582782986</v>
      </c>
      <c r="M92" s="443"/>
      <c r="N92" s="217">
        <f t="shared" si="180"/>
        <v>0.40950333596066413</v>
      </c>
      <c r="O92" s="172">
        <f t="shared" si="272"/>
        <v>50.367247918807244</v>
      </c>
      <c r="P92" s="172">
        <f t="shared" si="181"/>
        <v>4.0608593634538348</v>
      </c>
      <c r="Q92" s="217">
        <f t="shared" si="182"/>
        <v>2.098635329950302</v>
      </c>
      <c r="R92" s="217">
        <f t="shared" si="183"/>
        <v>2.798180439933736</v>
      </c>
      <c r="S92" s="443">
        <f t="shared" si="184"/>
        <v>24</v>
      </c>
      <c r="T92" s="217">
        <f t="shared" si="185"/>
        <v>4.6061678885848085</v>
      </c>
      <c r="U92" s="217">
        <f t="shared" si="186"/>
        <v>1.9353878776515971</v>
      </c>
      <c r="V92" s="217">
        <f t="shared" si="187"/>
        <v>2.7907955443010524</v>
      </c>
      <c r="W92" s="197">
        <f t="shared" si="188"/>
        <v>350</v>
      </c>
      <c r="X92" s="443">
        <f t="shared" si="273"/>
        <v>202.99690741186777</v>
      </c>
      <c r="Z92" s="217">
        <f t="shared" si="189"/>
        <v>2.7845892777969143</v>
      </c>
      <c r="AA92" s="173">
        <f t="shared" si="190"/>
        <v>1.6871333258266734</v>
      </c>
      <c r="AB92" s="173">
        <f t="shared" si="191"/>
        <v>0.54837094153280352</v>
      </c>
      <c r="AC92" s="173"/>
      <c r="AD92" s="173">
        <f t="shared" si="192"/>
        <v>1.3464050868823156</v>
      </c>
      <c r="AE92" s="545">
        <f t="shared" si="193"/>
        <v>871.88696397198646</v>
      </c>
      <c r="AF92" s="528">
        <f t="shared" si="194"/>
        <v>0.34924251948075175</v>
      </c>
      <c r="AH92" s="173">
        <f t="shared" si="195"/>
        <v>3.581380420213093</v>
      </c>
      <c r="AI92" s="173">
        <f t="shared" si="196"/>
        <v>4.6061678885848085</v>
      </c>
      <c r="AJ92" s="173">
        <f t="shared" si="197"/>
        <v>2.9658856787871013</v>
      </c>
      <c r="AL92" s="545">
        <f t="shared" si="198"/>
        <v>870</v>
      </c>
      <c r="AM92" s="460">
        <f t="shared" si="199"/>
        <v>202.99690741186777</v>
      </c>
      <c r="AO92">
        <f t="shared" si="274"/>
        <v>870</v>
      </c>
      <c r="AP92">
        <f t="shared" si="200"/>
        <v>202.99690741186777</v>
      </c>
      <c r="AR92" s="5">
        <f t="shared" si="275"/>
        <v>4.9261834219526497</v>
      </c>
      <c r="AS92" s="5">
        <f t="shared" si="201"/>
        <v>1.9353878776515971</v>
      </c>
      <c r="AT92" s="5">
        <f t="shared" si="276"/>
        <v>2.9907955443010525</v>
      </c>
      <c r="AU92" s="173">
        <f t="shared" si="277"/>
        <v>0.39287775380569256</v>
      </c>
      <c r="AW92" s="5">
        <f t="shared" si="202"/>
        <v>7.0157810564870395</v>
      </c>
      <c r="AX92" s="5">
        <f t="shared" si="203"/>
        <v>0.93543747419827217</v>
      </c>
      <c r="AY92" s="5">
        <f t="shared" si="204"/>
        <v>2.1865742350069528</v>
      </c>
      <c r="AZ92" s="5"/>
      <c r="BA92" s="173">
        <f t="shared" si="278"/>
        <v>1.6668935076839437</v>
      </c>
      <c r="BB92" s="173">
        <f t="shared" si="205"/>
        <v>1.3821113811025088</v>
      </c>
      <c r="BC92" s="173">
        <f t="shared" si="206"/>
        <v>0.13839790991850795</v>
      </c>
      <c r="BD92" s="173"/>
      <c r="BE92" s="528">
        <f t="shared" si="207"/>
        <v>0.11114135863835527</v>
      </c>
      <c r="BF92" s="528">
        <f t="shared" si="208"/>
        <v>0.84794171568435062</v>
      </c>
      <c r="BG92" s="528">
        <f t="shared" si="209"/>
        <v>0.19325073742574958</v>
      </c>
      <c r="BH92" s="528">
        <f t="shared" si="210"/>
        <v>5.7708005848726637E-2</v>
      </c>
      <c r="BI92">
        <f t="shared" si="211"/>
        <v>1.0709871513602085E-2</v>
      </c>
      <c r="BJ92" s="460">
        <f t="shared" si="279"/>
        <v>203.96060893935166</v>
      </c>
      <c r="BK92">
        <f t="shared" si="212"/>
        <v>1.0751920441735647</v>
      </c>
      <c r="BL92" s="460">
        <f t="shared" si="280"/>
        <v>1075.1920441735647</v>
      </c>
      <c r="BM92" s="173">
        <f t="shared" si="213"/>
        <v>0.75515999999999994</v>
      </c>
      <c r="BN92" s="173">
        <f t="shared" si="214"/>
        <v>5.3940000000000002E-2</v>
      </c>
      <c r="BO92" s="528"/>
      <c r="BQ92" s="460">
        <f t="shared" si="281"/>
        <v>809.09999999999991</v>
      </c>
      <c r="BR92" s="528">
        <f t="shared" si="215"/>
        <v>8.3356018978766447E-2</v>
      </c>
      <c r="BS92" s="528">
        <f t="shared" si="216"/>
        <v>5.7306956093192522E-2</v>
      </c>
      <c r="BT92" s="528">
        <f t="shared" si="217"/>
        <v>9.5769907349057201E-5</v>
      </c>
      <c r="BU92" s="528">
        <f t="shared" si="218"/>
        <v>1.3367277588862354</v>
      </c>
      <c r="BV92" s="528">
        <f t="shared" si="219"/>
        <v>1.5284803608460338</v>
      </c>
      <c r="BW92" s="625">
        <f t="shared" si="220"/>
        <v>0.86138825132986574</v>
      </c>
      <c r="BX92" s="460">
        <f t="shared" si="282"/>
        <v>2389.8686121758997</v>
      </c>
      <c r="BY92" s="173">
        <f t="shared" si="283"/>
        <v>4.2741606563494647</v>
      </c>
      <c r="BZ92" s="5">
        <f t="shared" si="284"/>
        <v>22.445999999999998</v>
      </c>
      <c r="CA92" s="173">
        <f t="shared" si="285"/>
        <v>0.84003985936612235</v>
      </c>
      <c r="CB92" s="5">
        <f t="shared" si="286"/>
        <v>84.003985936612239</v>
      </c>
      <c r="CC92">
        <f t="shared" si="287"/>
        <v>87</v>
      </c>
      <c r="CE92" s="562">
        <f t="shared" si="221"/>
        <v>-50</v>
      </c>
      <c r="CF92">
        <f t="shared" si="222"/>
        <v>-50</v>
      </c>
      <c r="CG92" s="173">
        <f t="shared" si="223"/>
        <v>0.58114024475735238</v>
      </c>
      <c r="CH92" s="173">
        <f t="shared" si="224"/>
        <v>0.1583991712777521</v>
      </c>
      <c r="CI92" s="170">
        <v>87</v>
      </c>
      <c r="CJ92" s="217">
        <f t="shared" si="309"/>
        <v>0.87</v>
      </c>
      <c r="CK92" s="217">
        <f t="shared" si="288"/>
        <v>8.7000000000000008E-2</v>
      </c>
      <c r="CL92" s="217">
        <f t="shared" si="225"/>
        <v>20.88</v>
      </c>
      <c r="CM92" s="217">
        <f t="shared" si="310"/>
        <v>1.5660000000000001</v>
      </c>
      <c r="CN92" s="541">
        <f t="shared" si="289"/>
        <v>24</v>
      </c>
      <c r="CO92" s="443">
        <f t="shared" si="226"/>
        <v>16.474900000000002</v>
      </c>
      <c r="CP92" s="443">
        <f t="shared" si="227"/>
        <v>40.474900000000005</v>
      </c>
      <c r="CQ92" s="443"/>
      <c r="CR92" s="217">
        <f t="shared" si="228"/>
        <v>0.40507913686898112</v>
      </c>
      <c r="CS92" s="172">
        <f t="shared" si="290"/>
        <v>50.242373565144938</v>
      </c>
      <c r="CT92" s="172">
        <f t="shared" si="229"/>
        <v>4.0507913686898105</v>
      </c>
      <c r="CU92" s="217">
        <f t="shared" si="230"/>
        <v>2.0934322318810392</v>
      </c>
      <c r="CV92" s="217">
        <f t="shared" si="231"/>
        <v>2.7912429758413855</v>
      </c>
      <c r="CW92" s="443">
        <f t="shared" si="232"/>
        <v>24</v>
      </c>
      <c r="CX92" s="217">
        <f t="shared" si="233"/>
        <v>4.6176162377994672</v>
      </c>
      <c r="CY92" s="217">
        <f t="shared" si="234"/>
        <v>1.9240067657497784</v>
      </c>
      <c r="CZ92" s="217">
        <f t="shared" si="235"/>
        <v>2.8028189778386925</v>
      </c>
      <c r="DA92" s="197">
        <f t="shared" si="236"/>
        <v>350</v>
      </c>
      <c r="DB92" s="443">
        <f t="shared" si="291"/>
        <v>211.55846528855295</v>
      </c>
      <c r="DD92" s="217">
        <f t="shared" si="237"/>
        <v>2.7911308701724487</v>
      </c>
      <c r="DE92" s="173">
        <f t="shared" si="238"/>
        <v>1.6941716612376698</v>
      </c>
      <c r="DF92" s="173">
        <f t="shared" si="239"/>
        <v>0.55195223422072148</v>
      </c>
      <c r="DG92" s="173"/>
      <c r="DH92" s="173">
        <f t="shared" si="240"/>
        <v>1.3488532386977903</v>
      </c>
      <c r="DI92" s="545">
        <f t="shared" si="241"/>
        <v>870.30449999999962</v>
      </c>
      <c r="DJ92" s="528">
        <f t="shared" si="242"/>
        <v>0.34987754285999911</v>
      </c>
      <c r="DL92" s="173">
        <f t="shared" si="243"/>
        <v>3.581380420213093</v>
      </c>
      <c r="DM92" s="173">
        <f t="shared" si="244"/>
        <v>4.6176162377994672</v>
      </c>
      <c r="DN92" s="173">
        <f t="shared" si="245"/>
        <v>2.9743659374646256</v>
      </c>
      <c r="DP92" s="545">
        <f t="shared" si="246"/>
        <v>870</v>
      </c>
      <c r="DQ92" s="460">
        <f t="shared" si="247"/>
        <v>211.55846528855295</v>
      </c>
      <c r="DS92">
        <f>IF(CL92&gt;CS92, "",DP92)</f>
        <v>870</v>
      </c>
      <c r="DT92">
        <f>IF(CL92&gt;CS92, "",DQ92)</f>
        <v>211.55846528855295</v>
      </c>
      <c r="DV92" s="5">
        <f t="shared" si="293"/>
        <v>4.7268257435884706</v>
      </c>
      <c r="DW92" s="5">
        <f t="shared" si="249"/>
        <v>1.9240067657497784</v>
      </c>
      <c r="DX92" s="5">
        <f t="shared" si="294"/>
        <v>2.802818977838692</v>
      </c>
      <c r="DY92" s="173">
        <f t="shared" si="295"/>
        <v>0.40703991856681554</v>
      </c>
      <c r="EA92" s="5">
        <f t="shared" si="250"/>
        <v>6.9745245258429467</v>
      </c>
      <c r="EB92" s="5">
        <f t="shared" si="251"/>
        <v>0.92993660344572626</v>
      </c>
      <c r="EC92" s="5">
        <f t="shared" si="252"/>
        <v>2.0320437589330513</v>
      </c>
      <c r="ED92" s="5"/>
      <c r="EE92" s="173">
        <f t="shared" si="296"/>
        <v>1.7008879744329968</v>
      </c>
      <c r="EF92" s="173">
        <f t="shared" si="253"/>
        <v>1.3692910572139869</v>
      </c>
      <c r="EG92" s="173">
        <f t="shared" si="254"/>
        <v>0.13711414505345462</v>
      </c>
      <c r="EH92" s="173"/>
      <c r="EI92" s="528">
        <f t="shared" si="255"/>
        <v>0.11572079606283131</v>
      </c>
      <c r="EJ92" s="528">
        <f t="shared" si="256"/>
        <v>1.0873434</v>
      </c>
      <c r="EK92" s="528">
        <f t="shared" si="257"/>
        <v>4.2311693057710591E-2</v>
      </c>
      <c r="EL92" s="528">
        <f t="shared" si="258"/>
        <v>6.0651287630100935E-2</v>
      </c>
      <c r="EM92">
        <f t="shared" si="259"/>
        <v>1.0800000000000001E-2</v>
      </c>
      <c r="EN92" s="460">
        <f t="shared" si="297"/>
        <v>53.111693057710589</v>
      </c>
      <c r="EO92">
        <f t="shared" si="260"/>
        <v>1.3861853190290219</v>
      </c>
      <c r="EP92" s="460">
        <f t="shared" si="298"/>
        <v>1386.1853190290219</v>
      </c>
      <c r="EQ92" s="173">
        <f t="shared" si="261"/>
        <v>0.75515999999999994</v>
      </c>
      <c r="ER92" s="173">
        <f t="shared" si="262"/>
        <v>5.3940000000000002E-2</v>
      </c>
      <c r="ES92" s="528"/>
      <c r="EU92" s="460">
        <f t="shared" si="299"/>
        <v>809.09999999999991</v>
      </c>
      <c r="EV92" s="528">
        <f t="shared" si="263"/>
        <v>8.6790597047123483E-2</v>
      </c>
      <c r="EW92" s="528">
        <f t="shared" si="300"/>
        <v>5.6248739980985937E-2</v>
      </c>
      <c r="EX92" s="528">
        <f t="shared" si="264"/>
        <v>9.4001443868698981E-5</v>
      </c>
      <c r="EY92" s="528">
        <f t="shared" si="265"/>
        <v>1.4913879008629309</v>
      </c>
      <c r="EZ92" s="528">
        <f t="shared" si="266"/>
        <v>1.688204306035838</v>
      </c>
      <c r="FA92" s="625">
        <f t="shared" si="267"/>
        <v>0.90218598595521604</v>
      </c>
      <c r="FB92" s="460">
        <f t="shared" si="301"/>
        <v>2590.3902919910543</v>
      </c>
      <c r="FC92" s="173">
        <f t="shared" si="302"/>
        <v>4.7856756110200758</v>
      </c>
      <c r="FD92" s="5">
        <f t="shared" si="303"/>
        <v>22.445999999999998</v>
      </c>
      <c r="FE92" s="173">
        <f t="shared" si="304"/>
        <v>0.82426069995180851</v>
      </c>
      <c r="FF92" s="5">
        <f t="shared" si="305"/>
        <v>82.426069995180853</v>
      </c>
      <c r="FG92">
        <f t="shared" si="306"/>
        <v>87</v>
      </c>
      <c r="FI92" s="562">
        <f t="shared" si="268"/>
        <v>-50</v>
      </c>
      <c r="FJ92">
        <f t="shared" si="269"/>
        <v>-50</v>
      </c>
      <c r="FL92">
        <f t="shared" si="270"/>
        <v>0.58114024475735238</v>
      </c>
    </row>
    <row r="93" spans="5:168">
      <c r="E93" s="170">
        <v>88</v>
      </c>
      <c r="F93" s="217">
        <f t="shared" si="307"/>
        <v>0.88</v>
      </c>
      <c r="G93" s="217">
        <f t="shared" si="271"/>
        <v>8.8000000000000009E-2</v>
      </c>
      <c r="H93" s="217">
        <f t="shared" si="176"/>
        <v>21.12</v>
      </c>
      <c r="I93" s="217">
        <f t="shared" si="308"/>
        <v>1.5840000000000001</v>
      </c>
      <c r="J93" s="541">
        <f t="shared" si="177"/>
        <v>23.797412342196257</v>
      </c>
      <c r="K93" s="443">
        <f t="shared" si="178"/>
        <v>16.505200431193426</v>
      </c>
      <c r="L93" s="172">
        <f t="shared" si="179"/>
        <v>40.302612773389683</v>
      </c>
      <c r="M93" s="443"/>
      <c r="N93" s="217">
        <f t="shared" si="180"/>
        <v>0.40953177214582964</v>
      </c>
      <c r="O93" s="172">
        <f t="shared" si="272"/>
        <v>50.365873121367812</v>
      </c>
      <c r="P93" s="172">
        <f t="shared" si="181"/>
        <v>4.0607485204102796</v>
      </c>
      <c r="Q93" s="217">
        <f t="shared" si="182"/>
        <v>2.098578046723659</v>
      </c>
      <c r="R93" s="217">
        <f t="shared" si="183"/>
        <v>2.7981040622982118</v>
      </c>
      <c r="S93" s="443">
        <f t="shared" si="184"/>
        <v>24</v>
      </c>
      <c r="T93" s="217">
        <f t="shared" si="185"/>
        <v>4.6592395231823929</v>
      </c>
      <c r="U93" s="217">
        <f t="shared" si="186"/>
        <v>1.9578765355596615</v>
      </c>
      <c r="V93" s="217">
        <f t="shared" si="187"/>
        <v>2.8228918167978296</v>
      </c>
      <c r="W93" s="197">
        <f t="shared" si="188"/>
        <v>350</v>
      </c>
      <c r="X93" s="443">
        <f t="shared" si="273"/>
        <v>200.77223618052449</v>
      </c>
      <c r="Z93" s="217">
        <f t="shared" si="189"/>
        <v>2.784513271138477</v>
      </c>
      <c r="AA93" s="173">
        <f t="shared" si="190"/>
        <v>1.6870520795833437</v>
      </c>
      <c r="AB93" s="173">
        <f t="shared" si="191"/>
        <v>0.54832956665129284</v>
      </c>
      <c r="AC93" s="173"/>
      <c r="AD93" s="173">
        <f t="shared" si="192"/>
        <v>1.3463769988654068</v>
      </c>
      <c r="AE93" s="545">
        <f t="shared" si="193"/>
        <v>881.92705152583733</v>
      </c>
      <c r="AF93" s="528">
        <f t="shared" si="194"/>
        <v>0.34923523376125476</v>
      </c>
      <c r="AH93" s="173">
        <f t="shared" si="195"/>
        <v>3.6019042582659364</v>
      </c>
      <c r="AI93" s="173">
        <f t="shared" si="196"/>
        <v>4.6592395231823929</v>
      </c>
      <c r="AJ93" s="173">
        <f t="shared" si="197"/>
        <v>3.0051980007112373</v>
      </c>
      <c r="AL93" s="545">
        <f t="shared" si="198"/>
        <v>880</v>
      </c>
      <c r="AM93" s="460">
        <f t="shared" si="199"/>
        <v>200.77223618052449</v>
      </c>
      <c r="AO93">
        <f t="shared" si="274"/>
        <v>880</v>
      </c>
      <c r="AP93">
        <f t="shared" si="200"/>
        <v>200.77223618052449</v>
      </c>
      <c r="AR93" s="5">
        <f t="shared" si="275"/>
        <v>4.980768352357491</v>
      </c>
      <c r="AS93" s="5">
        <f t="shared" si="201"/>
        <v>1.9578765355596615</v>
      </c>
      <c r="AT93" s="5">
        <f t="shared" si="276"/>
        <v>3.0228918167978298</v>
      </c>
      <c r="AU93" s="173">
        <f t="shared" si="277"/>
        <v>0.39308725020969137</v>
      </c>
      <c r="AW93" s="5">
        <f t="shared" si="202"/>
        <v>7.178880630385426</v>
      </c>
      <c r="AX93" s="5">
        <f t="shared" si="203"/>
        <v>0.95718408405139022</v>
      </c>
      <c r="AY93" s="5">
        <f t="shared" si="204"/>
        <v>2.2356588695698378</v>
      </c>
      <c r="AZ93" s="5"/>
      <c r="BA93" s="173">
        <f t="shared" si="278"/>
        <v>1.6865487101888359</v>
      </c>
      <c r="BB93" s="173">
        <f t="shared" si="205"/>
        <v>1.3977946516878441</v>
      </c>
      <c r="BC93" s="173">
        <f t="shared" si="206"/>
        <v>0.13996835633793139</v>
      </c>
      <c r="BD93" s="173"/>
      <c r="BE93" s="528">
        <f t="shared" si="207"/>
        <v>0.11377786207358505</v>
      </c>
      <c r="BF93" s="528">
        <f t="shared" si="208"/>
        <v>0.84827059669002614</v>
      </c>
      <c r="BG93" s="528">
        <f t="shared" si="209"/>
        <v>0.19111438765011021</v>
      </c>
      <c r="BH93" s="528">
        <f t="shared" si="210"/>
        <v>5.7070031018160425E-2</v>
      </c>
      <c r="BI93">
        <f t="shared" si="211"/>
        <v>1.0708835553988315E-2</v>
      </c>
      <c r="BJ93" s="460">
        <f t="shared" si="279"/>
        <v>201.82322320409855</v>
      </c>
      <c r="BK93">
        <f t="shared" si="212"/>
        <v>1.0790080049555153</v>
      </c>
      <c r="BL93" s="460">
        <f t="shared" si="280"/>
        <v>1079.0080049555154</v>
      </c>
      <c r="BM93" s="173">
        <f t="shared" si="213"/>
        <v>0.76383999999999996</v>
      </c>
      <c r="BN93" s="173">
        <f t="shared" si="214"/>
        <v>5.4560000000000004E-2</v>
      </c>
      <c r="BO93" s="528"/>
      <c r="BQ93" s="460">
        <f t="shared" si="281"/>
        <v>818.4</v>
      </c>
      <c r="BR93" s="528">
        <f t="shared" si="215"/>
        <v>8.5333396555188776E-2</v>
      </c>
      <c r="BS93" s="528">
        <f t="shared" si="216"/>
        <v>5.8614896648614238E-2</v>
      </c>
      <c r="BT93" s="528">
        <f t="shared" si="217"/>
        <v>9.7955703879710709E-5</v>
      </c>
      <c r="BU93" s="528">
        <f t="shared" si="218"/>
        <v>1.3381867888223742</v>
      </c>
      <c r="BV93" s="528">
        <f t="shared" si="219"/>
        <v>1.5344871064018519</v>
      </c>
      <c r="BW93" s="625">
        <f t="shared" si="220"/>
        <v>0.87169333719805897</v>
      </c>
      <c r="BX93" s="460">
        <f t="shared" si="282"/>
        <v>2406.1804435999111</v>
      </c>
      <c r="BY93" s="173">
        <f t="shared" si="283"/>
        <v>4.3035884485554261</v>
      </c>
      <c r="BZ93" s="5">
        <f t="shared" si="284"/>
        <v>22.704000000000001</v>
      </c>
      <c r="CA93" s="173">
        <f t="shared" si="285"/>
        <v>0.84065262040137401</v>
      </c>
      <c r="CB93" s="5">
        <f t="shared" si="286"/>
        <v>84.065262040137398</v>
      </c>
      <c r="CC93">
        <f t="shared" si="287"/>
        <v>88</v>
      </c>
      <c r="CE93" s="562">
        <f t="shared" si="221"/>
        <v>-50</v>
      </c>
      <c r="CF93">
        <f t="shared" si="222"/>
        <v>-50</v>
      </c>
      <c r="CG93" s="173">
        <f t="shared" si="223"/>
        <v>0.58114024475735249</v>
      </c>
      <c r="CH93" s="173">
        <f t="shared" si="224"/>
        <v>0.1583991712777521</v>
      </c>
      <c r="CI93" s="170">
        <v>88</v>
      </c>
      <c r="CJ93" s="217">
        <f t="shared" si="309"/>
        <v>0.88</v>
      </c>
      <c r="CK93" s="217">
        <f t="shared" si="288"/>
        <v>8.8000000000000009E-2</v>
      </c>
      <c r="CL93" s="217">
        <f t="shared" si="225"/>
        <v>21.12</v>
      </c>
      <c r="CM93" s="217">
        <f t="shared" si="310"/>
        <v>1.5840000000000001</v>
      </c>
      <c r="CN93" s="541">
        <f t="shared" si="289"/>
        <v>24</v>
      </c>
      <c r="CO93" s="443">
        <f t="shared" si="226"/>
        <v>16.474900000000002</v>
      </c>
      <c r="CP93" s="443">
        <f t="shared" si="227"/>
        <v>40.474900000000005</v>
      </c>
      <c r="CQ93" s="443"/>
      <c r="CR93" s="217">
        <f t="shared" si="228"/>
        <v>0.40507913686898112</v>
      </c>
      <c r="CS93" s="172">
        <f t="shared" si="290"/>
        <v>50.242373565144938</v>
      </c>
      <c r="CT93" s="172">
        <f t="shared" si="229"/>
        <v>4.0507913686898105</v>
      </c>
      <c r="CU93" s="217">
        <f t="shared" si="230"/>
        <v>2.0934322318810392</v>
      </c>
      <c r="CV93" s="217">
        <f t="shared" si="231"/>
        <v>2.7912429758413855</v>
      </c>
      <c r="CW93" s="443">
        <f t="shared" si="232"/>
        <v>24</v>
      </c>
      <c r="CX93" s="217">
        <f t="shared" si="233"/>
        <v>4.6706922865098068</v>
      </c>
      <c r="CY93" s="217">
        <f t="shared" si="234"/>
        <v>1.9461217860457529</v>
      </c>
      <c r="CZ93" s="217">
        <f t="shared" si="235"/>
        <v>2.8350352879287923</v>
      </c>
      <c r="DA93" s="197">
        <f t="shared" si="236"/>
        <v>350</v>
      </c>
      <c r="DB93" s="443">
        <f t="shared" si="291"/>
        <v>209.15439181936486</v>
      </c>
      <c r="DD93" s="217">
        <f t="shared" si="237"/>
        <v>2.7911308701724487</v>
      </c>
      <c r="DE93" s="173">
        <f t="shared" si="238"/>
        <v>1.6941716612376698</v>
      </c>
      <c r="DF93" s="173">
        <f t="shared" si="239"/>
        <v>0.55195223422072148</v>
      </c>
      <c r="DG93" s="173"/>
      <c r="DH93" s="173">
        <f t="shared" si="240"/>
        <v>1.3488532386977903</v>
      </c>
      <c r="DI93" s="545">
        <f t="shared" si="241"/>
        <v>880.30799999999965</v>
      </c>
      <c r="DJ93" s="528">
        <f t="shared" si="242"/>
        <v>0.34987754285999911</v>
      </c>
      <c r="DL93" s="173">
        <f t="shared" si="243"/>
        <v>3.6019042582659364</v>
      </c>
      <c r="DM93" s="173">
        <f t="shared" si="244"/>
        <v>4.6706922865098068</v>
      </c>
      <c r="DN93" s="173">
        <f t="shared" si="245"/>
        <v>3.0136815291019143</v>
      </c>
      <c r="DP93" s="545">
        <f t="shared" si="246"/>
        <v>880</v>
      </c>
      <c r="DQ93" s="460">
        <f t="shared" si="247"/>
        <v>209.15439181936486</v>
      </c>
      <c r="DS93">
        <f>IF(CL93&gt;CS93, "",DP93)</f>
        <v>880</v>
      </c>
      <c r="DT93">
        <f>IF(CL93&gt;CS93, "",DQ93)</f>
        <v>209.15439181936486</v>
      </c>
      <c r="DV93" s="5">
        <f t="shared" si="293"/>
        <v>4.781157073974545</v>
      </c>
      <c r="DW93" s="5">
        <f t="shared" si="249"/>
        <v>1.9461217860457529</v>
      </c>
      <c r="DX93" s="5">
        <f t="shared" si="294"/>
        <v>2.8350352879287923</v>
      </c>
      <c r="DY93" s="173">
        <f t="shared" si="295"/>
        <v>0.40703991856681554</v>
      </c>
      <c r="EA93" s="5">
        <f t="shared" si="250"/>
        <v>7.1357798821677605</v>
      </c>
      <c r="EB93" s="5">
        <f t="shared" si="251"/>
        <v>0.95143731762236827</v>
      </c>
      <c r="EC93" s="5">
        <f t="shared" si="252"/>
        <v>2.0790258778144475</v>
      </c>
      <c r="ED93" s="5"/>
      <c r="EE93" s="173">
        <f t="shared" si="296"/>
        <v>1.7204384109207329</v>
      </c>
      <c r="EF93" s="173">
        <f t="shared" si="253"/>
        <v>1.3850300348831135</v>
      </c>
      <c r="EG93" s="173">
        <f t="shared" si="254"/>
        <v>0.13869016970924147</v>
      </c>
      <c r="EH93" s="173"/>
      <c r="EI93" s="528">
        <f t="shared" si="255"/>
        <v>0.11839633303085827</v>
      </c>
      <c r="EJ93" s="528">
        <f t="shared" si="256"/>
        <v>1.0873434000000004</v>
      </c>
      <c r="EK93" s="528">
        <f t="shared" si="257"/>
        <v>4.1830878363872975E-2</v>
      </c>
      <c r="EL93" s="528">
        <f t="shared" si="258"/>
        <v>5.9962068452486153E-2</v>
      </c>
      <c r="EM93">
        <f t="shared" si="259"/>
        <v>1.0800000000000001E-2</v>
      </c>
      <c r="EN93" s="460">
        <f t="shared" si="297"/>
        <v>52.630878363872981</v>
      </c>
      <c r="EO93">
        <f t="shared" si="260"/>
        <v>1.3893844194195959</v>
      </c>
      <c r="EP93" s="460">
        <f t="shared" si="298"/>
        <v>1389.3844194195958</v>
      </c>
      <c r="EQ93" s="173">
        <f t="shared" si="261"/>
        <v>0.76383999999999996</v>
      </c>
      <c r="ER93" s="173">
        <f t="shared" si="262"/>
        <v>5.4560000000000004E-2</v>
      </c>
      <c r="ES93" s="528"/>
      <c r="EU93" s="460">
        <f t="shared" si="299"/>
        <v>818.4</v>
      </c>
      <c r="EV93" s="528">
        <f t="shared" si="263"/>
        <v>8.8797249773143697E-2</v>
      </c>
      <c r="EW93" s="528">
        <f t="shared" si="300"/>
        <v>5.7549245925849556E-2</v>
      </c>
      <c r="EX93" s="528">
        <f t="shared" si="264"/>
        <v>9.6174815869891006E-5</v>
      </c>
      <c r="EY93" s="528">
        <f t="shared" si="265"/>
        <v>1.491387900862934</v>
      </c>
      <c r="EZ93" s="528">
        <f t="shared" si="266"/>
        <v>1.6928087672248346</v>
      </c>
      <c r="FA93" s="625">
        <f t="shared" si="267"/>
        <v>0.91255593981677052</v>
      </c>
      <c r="FB93" s="460">
        <f t="shared" si="301"/>
        <v>2605.364707041605</v>
      </c>
      <c r="FC93" s="173">
        <f t="shared" si="302"/>
        <v>4.8131491264612007</v>
      </c>
      <c r="FD93" s="5">
        <f t="shared" si="303"/>
        <v>22.704000000000001</v>
      </c>
      <c r="FE93" s="173">
        <f t="shared" si="304"/>
        <v>0.82508547290486745</v>
      </c>
      <c r="FF93" s="5">
        <f t="shared" si="305"/>
        <v>82.508547290486746</v>
      </c>
      <c r="FG93">
        <f t="shared" si="306"/>
        <v>88</v>
      </c>
      <c r="FI93" s="562">
        <f t="shared" si="268"/>
        <v>-50</v>
      </c>
      <c r="FJ93">
        <f t="shared" si="269"/>
        <v>-50</v>
      </c>
      <c r="FL93">
        <f t="shared" si="270"/>
        <v>0.58114024475735238</v>
      </c>
    </row>
    <row r="94" spans="5:168">
      <c r="E94" s="170">
        <v>89</v>
      </c>
      <c r="F94" s="217">
        <f t="shared" si="307"/>
        <v>0.89</v>
      </c>
      <c r="G94" s="217">
        <f t="shared" si="271"/>
        <v>8.900000000000001E-2</v>
      </c>
      <c r="H94" s="217">
        <f t="shared" si="176"/>
        <v>21.36</v>
      </c>
      <c r="I94" s="217">
        <f t="shared" si="308"/>
        <v>1.6020000000000001</v>
      </c>
      <c r="J94" s="541">
        <f t="shared" si="177"/>
        <v>23.795110209721216</v>
      </c>
      <c r="K94" s="443">
        <f t="shared" si="178"/>
        <v>16.505544754275167</v>
      </c>
      <c r="L94" s="172">
        <f t="shared" si="179"/>
        <v>40.300654963996379</v>
      </c>
      <c r="M94" s="443"/>
      <c r="N94" s="217">
        <f t="shared" si="180"/>
        <v>0.40956021109385982</v>
      </c>
      <c r="O94" s="172">
        <f t="shared" si="272"/>
        <v>50.364497987054669</v>
      </c>
      <c r="P94" s="172">
        <f t="shared" si="181"/>
        <v>4.0606376502062824</v>
      </c>
      <c r="Q94" s="217">
        <f t="shared" si="182"/>
        <v>2.0985207494606111</v>
      </c>
      <c r="R94" s="217">
        <f t="shared" si="183"/>
        <v>2.7980276659474814</v>
      </c>
      <c r="S94" s="443">
        <f t="shared" si="184"/>
        <v>24</v>
      </c>
      <c r="T94" s="217">
        <f t="shared" si="185"/>
        <v>4.7123140866873285</v>
      </c>
      <c r="U94" s="217">
        <f t="shared" si="186"/>
        <v>1.9803707758252651</v>
      </c>
      <c r="V94" s="217">
        <f t="shared" si="187"/>
        <v>2.8549885246694289</v>
      </c>
      <c r="W94" s="197">
        <f t="shared" si="188"/>
        <v>350</v>
      </c>
      <c r="X94" s="443">
        <f t="shared" si="273"/>
        <v>198.59555998352607</v>
      </c>
      <c r="Z94" s="217">
        <f t="shared" si="189"/>
        <v>2.7844372458557367</v>
      </c>
      <c r="AA94" s="173">
        <f t="shared" si="190"/>
        <v>1.6869708254461149</v>
      </c>
      <c r="AB94" s="173">
        <f t="shared" si="191"/>
        <v>0.54828818697842951</v>
      </c>
      <c r="AC94" s="173"/>
      <c r="AD94" s="173">
        <f t="shared" si="192"/>
        <v>1.34634891202039</v>
      </c>
      <c r="AE94" s="545">
        <f t="shared" si="193"/>
        <v>891.96755722316084</v>
      </c>
      <c r="AF94" s="528">
        <f t="shared" si="194"/>
        <v>0.3492279483457334</v>
      </c>
      <c r="AH94" s="173">
        <f t="shared" si="195"/>
        <v>3.6223118111425547</v>
      </c>
      <c r="AI94" s="173">
        <f t="shared" si="196"/>
        <v>4.7123140866873285</v>
      </c>
      <c r="AJ94" s="173">
        <f t="shared" si="197"/>
        <v>3.0445124921963753</v>
      </c>
      <c r="AL94" s="545">
        <f t="shared" si="198"/>
        <v>890</v>
      </c>
      <c r="AM94" s="460">
        <f t="shared" si="199"/>
        <v>198.59555998352607</v>
      </c>
      <c r="AO94">
        <f t="shared" si="274"/>
        <v>890</v>
      </c>
      <c r="AP94">
        <f t="shared" si="200"/>
        <v>198.59555998352607</v>
      </c>
      <c r="AR94" s="5">
        <f t="shared" si="275"/>
        <v>5.0353593004946946</v>
      </c>
      <c r="AS94" s="5">
        <f t="shared" si="201"/>
        <v>1.9803707758252651</v>
      </c>
      <c r="AT94" s="5">
        <f t="shared" si="276"/>
        <v>3.0549885246694295</v>
      </c>
      <c r="AU94" s="173">
        <f t="shared" si="277"/>
        <v>0.3932928432000285</v>
      </c>
      <c r="AW94" s="5">
        <f t="shared" si="202"/>
        <v>7.343874960352025</v>
      </c>
      <c r="AX94" s="5">
        <f t="shared" si="203"/>
        <v>0.97918332804693664</v>
      </c>
      <c r="AY94" s="5">
        <f t="shared" si="204"/>
        <v>2.2852928715118961</v>
      </c>
      <c r="AZ94" s="5"/>
      <c r="BA94" s="173">
        <f t="shared" si="278"/>
        <v>1.7062066248726133</v>
      </c>
      <c r="BB94" s="173">
        <f t="shared" si="205"/>
        <v>1.4134778102436658</v>
      </c>
      <c r="BC94" s="173">
        <f t="shared" si="206"/>
        <v>0.14153879153926435</v>
      </c>
      <c r="BD94" s="173"/>
      <c r="BE94" s="528">
        <f t="shared" si="207"/>
        <v>0.11644564187036778</v>
      </c>
      <c r="BF94" s="528">
        <f t="shared" si="208"/>
        <v>0.84859093205035763</v>
      </c>
      <c r="BG94" s="528">
        <f t="shared" si="209"/>
        <v>0.18902412947877215</v>
      </c>
      <c r="BH94" s="528">
        <f t="shared" si="210"/>
        <v>5.644582072113833E-2</v>
      </c>
      <c r="BI94">
        <f t="shared" si="211"/>
        <v>1.0707799594374547E-2</v>
      </c>
      <c r="BJ94" s="460">
        <f t="shared" si="279"/>
        <v>199.73192907314669</v>
      </c>
      <c r="BK94">
        <f t="shared" si="212"/>
        <v>1.0828833770045394</v>
      </c>
      <c r="BL94" s="460">
        <f t="shared" si="280"/>
        <v>1082.8833770045394</v>
      </c>
      <c r="BM94" s="173">
        <f t="shared" si="213"/>
        <v>0.77251999999999998</v>
      </c>
      <c r="BN94" s="173">
        <f t="shared" si="214"/>
        <v>5.5180000000000007E-2</v>
      </c>
      <c r="BO94" s="528"/>
      <c r="BQ94" s="460">
        <f t="shared" si="281"/>
        <v>827.7</v>
      </c>
      <c r="BR94" s="528">
        <f t="shared" si="215"/>
        <v>8.7334231402775825E-2</v>
      </c>
      <c r="BS94" s="528">
        <f t="shared" si="216"/>
        <v>5.9937585601536857E-2</v>
      </c>
      <c r="BT94" s="528">
        <f t="shared" si="217"/>
        <v>1.0016614755197665E-4</v>
      </c>
      <c r="BU94" s="528">
        <f t="shared" si="218"/>
        <v>1.339613189416065</v>
      </c>
      <c r="BV94" s="528">
        <f t="shared" si="219"/>
        <v>1.5405167694356114</v>
      </c>
      <c r="BW94" s="625">
        <f t="shared" si="220"/>
        <v>0.88199879001326598</v>
      </c>
      <c r="BX94" s="460">
        <f t="shared" si="282"/>
        <v>2422.5155594488774</v>
      </c>
      <c r="BY94" s="173">
        <f t="shared" si="283"/>
        <v>4.3330989364534167</v>
      </c>
      <c r="BZ94" s="5">
        <f t="shared" si="284"/>
        <v>22.962</v>
      </c>
      <c r="CA94" s="173">
        <f t="shared" si="285"/>
        <v>0.84124992744882732</v>
      </c>
      <c r="CB94" s="5">
        <f t="shared" si="286"/>
        <v>84.124992744882732</v>
      </c>
      <c r="CC94">
        <f t="shared" si="287"/>
        <v>89</v>
      </c>
      <c r="CE94" s="562">
        <f t="shared" si="221"/>
        <v>-50</v>
      </c>
      <c r="CF94">
        <f t="shared" si="222"/>
        <v>-50</v>
      </c>
      <c r="CG94" s="173">
        <f t="shared" si="223"/>
        <v>0.58114024475735238</v>
      </c>
      <c r="CH94" s="173">
        <f t="shared" si="224"/>
        <v>0.1583991712777521</v>
      </c>
      <c r="CI94" s="170">
        <v>89</v>
      </c>
      <c r="CJ94" s="217">
        <f t="shared" si="309"/>
        <v>0.89</v>
      </c>
      <c r="CK94" s="217">
        <f t="shared" si="288"/>
        <v>8.900000000000001E-2</v>
      </c>
      <c r="CL94" s="217">
        <f t="shared" si="225"/>
        <v>21.36</v>
      </c>
      <c r="CM94" s="217">
        <f t="shared" si="310"/>
        <v>1.6020000000000001</v>
      </c>
      <c r="CN94" s="541">
        <f t="shared" si="289"/>
        <v>24</v>
      </c>
      <c r="CO94" s="443">
        <f t="shared" si="226"/>
        <v>16.474900000000002</v>
      </c>
      <c r="CP94" s="443">
        <f t="shared" si="227"/>
        <v>40.474900000000005</v>
      </c>
      <c r="CQ94" s="443"/>
      <c r="CR94" s="217">
        <f t="shared" si="228"/>
        <v>0.40507913686898112</v>
      </c>
      <c r="CS94" s="172">
        <f t="shared" si="290"/>
        <v>50.242373565144938</v>
      </c>
      <c r="CT94" s="172">
        <f t="shared" si="229"/>
        <v>4.0507913686898105</v>
      </c>
      <c r="CU94" s="217">
        <f t="shared" si="230"/>
        <v>2.0934322318810392</v>
      </c>
      <c r="CV94" s="217">
        <f t="shared" si="231"/>
        <v>2.7912429758413855</v>
      </c>
      <c r="CW94" s="443">
        <f t="shared" si="232"/>
        <v>24</v>
      </c>
      <c r="CX94" s="217">
        <f t="shared" si="233"/>
        <v>4.7237683352201447</v>
      </c>
      <c r="CY94" s="217">
        <f t="shared" si="234"/>
        <v>1.9682368063417273</v>
      </c>
      <c r="CZ94" s="217">
        <f t="shared" si="235"/>
        <v>2.8672515980188922</v>
      </c>
      <c r="DA94" s="197">
        <f t="shared" si="236"/>
        <v>350</v>
      </c>
      <c r="DB94" s="443">
        <f t="shared" si="291"/>
        <v>206.80434247307986</v>
      </c>
      <c r="DD94" s="217">
        <f t="shared" si="237"/>
        <v>2.7911308701724487</v>
      </c>
      <c r="DE94" s="173">
        <f t="shared" si="238"/>
        <v>1.6941716612376698</v>
      </c>
      <c r="DF94" s="173">
        <f t="shared" si="239"/>
        <v>0.55195223422072148</v>
      </c>
      <c r="DG94" s="173"/>
      <c r="DH94" s="173">
        <f t="shared" si="240"/>
        <v>1.3488532386977903</v>
      </c>
      <c r="DI94" s="545">
        <f t="shared" si="241"/>
        <v>890.31149999999968</v>
      </c>
      <c r="DJ94" s="528">
        <f t="shared" si="242"/>
        <v>0.34987754285999911</v>
      </c>
      <c r="DL94" s="173">
        <f t="shared" si="243"/>
        <v>3.6223118111425547</v>
      </c>
      <c r="DM94" s="173">
        <f t="shared" si="244"/>
        <v>4.7237683352201447</v>
      </c>
      <c r="DN94" s="173">
        <f t="shared" si="245"/>
        <v>3.0529971207392017</v>
      </c>
      <c r="DP94" s="545">
        <f t="shared" si="246"/>
        <v>890</v>
      </c>
      <c r="DQ94" s="460">
        <f t="shared" si="247"/>
        <v>206.80434247307986</v>
      </c>
      <c r="DS94">
        <f>IF(CL94&gt;CS94, "",DP94)</f>
        <v>890</v>
      </c>
      <c r="DT94">
        <f>IF(CL94&gt;CS94, "",DQ94)</f>
        <v>206.80434247307986</v>
      </c>
      <c r="DV94" s="5">
        <f t="shared" si="293"/>
        <v>4.8354884043606194</v>
      </c>
      <c r="DW94" s="5">
        <f t="shared" si="249"/>
        <v>1.9682368063417273</v>
      </c>
      <c r="DX94" s="5">
        <f t="shared" si="294"/>
        <v>2.8672515980188922</v>
      </c>
      <c r="DY94" s="173">
        <f t="shared" si="295"/>
        <v>0.40703991856681554</v>
      </c>
      <c r="EA94" s="5">
        <f t="shared" si="250"/>
        <v>7.2988781568505718</v>
      </c>
      <c r="EB94" s="5">
        <f t="shared" si="251"/>
        <v>0.97318375424674297</v>
      </c>
      <c r="EC94" s="5">
        <f t="shared" si="252"/>
        <v>2.1265449351973444</v>
      </c>
      <c r="ED94" s="5"/>
      <c r="EE94" s="173">
        <f t="shared" si="296"/>
        <v>1.7399888474084682</v>
      </c>
      <c r="EF94" s="173">
        <f t="shared" si="253"/>
        <v>1.4007690125522396</v>
      </c>
      <c r="EG94" s="173">
        <f t="shared" si="254"/>
        <v>0.14026619436502827</v>
      </c>
      <c r="EH94" s="173"/>
      <c r="EI94" s="528">
        <f t="shared" si="255"/>
        <v>0.12110244756423398</v>
      </c>
      <c r="EJ94" s="528">
        <f t="shared" si="256"/>
        <v>1.0873434</v>
      </c>
      <c r="EK94" s="528">
        <f t="shared" si="257"/>
        <v>4.1360868494615968E-2</v>
      </c>
      <c r="EL94" s="528">
        <f t="shared" si="258"/>
        <v>5.928833734627844E-2</v>
      </c>
      <c r="EM94">
        <f t="shared" si="259"/>
        <v>1.0800000000000001E-2</v>
      </c>
      <c r="EN94" s="460">
        <f t="shared" si="297"/>
        <v>52.160868494615976</v>
      </c>
      <c r="EO94">
        <f t="shared" si="260"/>
        <v>1.3926651807447727</v>
      </c>
      <c r="EP94" s="460">
        <f t="shared" si="298"/>
        <v>1392.6651807447727</v>
      </c>
      <c r="EQ94" s="173">
        <f t="shared" si="261"/>
        <v>0.77251999999999998</v>
      </c>
      <c r="ER94" s="173">
        <f t="shared" si="262"/>
        <v>5.5180000000000007E-2</v>
      </c>
      <c r="ES94" s="528"/>
      <c r="EU94" s="460">
        <f t="shared" si="299"/>
        <v>827.7</v>
      </c>
      <c r="EV94" s="528">
        <f t="shared" si="263"/>
        <v>9.0826835673175482E-2</v>
      </c>
      <c r="EW94" s="528">
        <f t="shared" si="300"/>
        <v>5.8864614795797292E-2</v>
      </c>
      <c r="EX94" s="528">
        <f t="shared" si="264"/>
        <v>9.8373026408239434E-5</v>
      </c>
      <c r="EY94" s="528">
        <f t="shared" si="265"/>
        <v>1.4913879008629314</v>
      </c>
      <c r="EZ94" s="528">
        <f t="shared" si="266"/>
        <v>1.6974683608905468</v>
      </c>
      <c r="FA94" s="625">
        <f t="shared" si="267"/>
        <v>0.92292589367832434</v>
      </c>
      <c r="FB94" s="460">
        <f t="shared" si="301"/>
        <v>2620.394254568871</v>
      </c>
      <c r="FC94" s="173">
        <f t="shared" si="302"/>
        <v>4.8407594353136441</v>
      </c>
      <c r="FD94" s="5">
        <f t="shared" si="303"/>
        <v>22.962</v>
      </c>
      <c r="FE94" s="173">
        <f t="shared" si="304"/>
        <v>0.82588924503784478</v>
      </c>
      <c r="FF94" s="5">
        <f t="shared" si="305"/>
        <v>82.588924503784483</v>
      </c>
      <c r="FG94">
        <f t="shared" si="306"/>
        <v>89</v>
      </c>
      <c r="FI94" s="562">
        <f t="shared" si="268"/>
        <v>-50</v>
      </c>
      <c r="FJ94">
        <f t="shared" si="269"/>
        <v>-50</v>
      </c>
      <c r="FL94">
        <f t="shared" si="270"/>
        <v>0.58114024475735238</v>
      </c>
    </row>
    <row r="95" spans="5:168">
      <c r="E95" s="170">
        <v>90</v>
      </c>
      <c r="F95" s="217">
        <f t="shared" si="307"/>
        <v>0.9</v>
      </c>
      <c r="G95" s="217">
        <f t="shared" si="271"/>
        <v>9.0000000000000011E-2</v>
      </c>
      <c r="H95" s="217">
        <f t="shared" si="176"/>
        <v>21.6</v>
      </c>
      <c r="I95" s="217">
        <f t="shared" si="308"/>
        <v>1.62</v>
      </c>
      <c r="J95" s="541">
        <f t="shared" si="177"/>
        <v>23.792808077246171</v>
      </c>
      <c r="K95" s="443">
        <f t="shared" si="178"/>
        <v>16.505889077356912</v>
      </c>
      <c r="L95" s="172">
        <f t="shared" si="179"/>
        <v>40.298697154603083</v>
      </c>
      <c r="M95" s="443"/>
      <c r="N95" s="217">
        <f t="shared" si="180"/>
        <v>0.40958865280515755</v>
      </c>
      <c r="O95" s="172">
        <f t="shared" si="272"/>
        <v>50.363122515818759</v>
      </c>
      <c r="P95" s="172">
        <f t="shared" si="181"/>
        <v>4.0605267528378874</v>
      </c>
      <c r="Q95" s="217">
        <f t="shared" si="182"/>
        <v>2.098463438159115</v>
      </c>
      <c r="R95" s="217">
        <f t="shared" si="183"/>
        <v>2.7979512508788198</v>
      </c>
      <c r="S95" s="443">
        <f t="shared" si="184"/>
        <v>24</v>
      </c>
      <c r="T95" s="217">
        <f t="shared" si="185"/>
        <v>4.7653915804092062</v>
      </c>
      <c r="U95" s="217">
        <f t="shared" si="186"/>
        <v>2.0028706006192287</v>
      </c>
      <c r="V95" s="217">
        <f t="shared" si="187"/>
        <v>2.8870856686820101</v>
      </c>
      <c r="W95" s="197">
        <f t="shared" si="188"/>
        <v>350</v>
      </c>
      <c r="X95" s="443">
        <f t="shared" si="273"/>
        <v>196.46534215455691</v>
      </c>
      <c r="Z95" s="217">
        <f t="shared" si="189"/>
        <v>2.7843612019459796</v>
      </c>
      <c r="AA95" s="173">
        <f t="shared" si="190"/>
        <v>1.6868895634138357</v>
      </c>
      <c r="AB95" s="173">
        <f t="shared" si="191"/>
        <v>0.54824680251404523</v>
      </c>
      <c r="AC95" s="173"/>
      <c r="AD95" s="173">
        <f t="shared" si="192"/>
        <v>1.3463208263471906</v>
      </c>
      <c r="AE95" s="545">
        <f t="shared" si="193"/>
        <v>902.00848106395699</v>
      </c>
      <c r="AF95" s="528">
        <f t="shared" si="194"/>
        <v>0.34922066323416856</v>
      </c>
      <c r="AH95" s="173">
        <f t="shared" si="195"/>
        <v>3.6426050332929907</v>
      </c>
      <c r="AI95" s="173">
        <f t="shared" si="196"/>
        <v>4.7653915804092062</v>
      </c>
      <c r="AJ95" s="173">
        <f t="shared" si="197"/>
        <v>3.0838291542125806</v>
      </c>
      <c r="AL95" s="545">
        <f t="shared" si="198"/>
        <v>900</v>
      </c>
      <c r="AM95" s="460">
        <f t="shared" si="199"/>
        <v>196.46534215455691</v>
      </c>
      <c r="AO95">
        <f t="shared" si="274"/>
        <v>900</v>
      </c>
      <c r="AP95">
        <f t="shared" si="200"/>
        <v>196.46534215455691</v>
      </c>
      <c r="AR95" s="5">
        <f t="shared" si="275"/>
        <v>5.0899562693012399</v>
      </c>
      <c r="AS95" s="5">
        <f t="shared" si="201"/>
        <v>2.0028706006192287</v>
      </c>
      <c r="AT95" s="5">
        <f t="shared" si="276"/>
        <v>3.0870856686820112</v>
      </c>
      <c r="AU95" s="173">
        <f t="shared" si="277"/>
        <v>0.39349465784195964</v>
      </c>
      <c r="AW95" s="5">
        <f t="shared" si="202"/>
        <v>7.5107647523221077</v>
      </c>
      <c r="AX95" s="5">
        <f t="shared" si="203"/>
        <v>1.0014353003096144</v>
      </c>
      <c r="AY95" s="5">
        <f t="shared" si="204"/>
        <v>2.3354764118581373</v>
      </c>
      <c r="AZ95" s="5"/>
      <c r="BA95" s="173">
        <f t="shared" si="278"/>
        <v>1.7258672439358405</v>
      </c>
      <c r="BB95" s="173">
        <f t="shared" si="205"/>
        <v>1.4291608638960838</v>
      </c>
      <c r="BC95" s="173">
        <f t="shared" si="206"/>
        <v>0.14310921623608083</v>
      </c>
      <c r="BD95" s="173"/>
      <c r="BE95" s="528">
        <f t="shared" si="207"/>
        <v>0.11914470974762775</v>
      </c>
      <c r="BF95" s="528">
        <f t="shared" si="208"/>
        <v>0.84890299525860435</v>
      </c>
      <c r="BG95" s="528">
        <f t="shared" si="209"/>
        <v>0.18697848718855495</v>
      </c>
      <c r="BH95" s="528">
        <f t="shared" si="210"/>
        <v>5.5834934256073249E-2</v>
      </c>
      <c r="BI95">
        <f t="shared" si="211"/>
        <v>1.0706763634760776E-2</v>
      </c>
      <c r="BJ95" s="460">
        <f t="shared" si="279"/>
        <v>197.68525082331573</v>
      </c>
      <c r="BK95">
        <f t="shared" si="212"/>
        <v>1.0868182118531282</v>
      </c>
      <c r="BL95" s="460">
        <f t="shared" si="280"/>
        <v>1086.8182118531281</v>
      </c>
      <c r="BM95" s="173">
        <f t="shared" si="213"/>
        <v>0.78120000000000001</v>
      </c>
      <c r="BN95" s="173">
        <f t="shared" si="214"/>
        <v>5.5800000000000009E-2</v>
      </c>
      <c r="BO95" s="528"/>
      <c r="BQ95" s="460">
        <f t="shared" si="281"/>
        <v>837</v>
      </c>
      <c r="BR95" s="528">
        <f t="shared" si="215"/>
        <v>8.9358532310720815E-2</v>
      </c>
      <c r="BS95" s="528">
        <f t="shared" si="216"/>
        <v>6.1275023246766015E-2</v>
      </c>
      <c r="BT95" s="528">
        <f t="shared" si="217"/>
        <v>1.0240123885852672E-4</v>
      </c>
      <c r="BU95" s="528">
        <f t="shared" si="218"/>
        <v>1.3410079716719443</v>
      </c>
      <c r="BV95" s="528">
        <f t="shared" si="219"/>
        <v>1.5465704603468808</v>
      </c>
      <c r="BW95" s="625">
        <f t="shared" si="220"/>
        <v>0.89230459804136952</v>
      </c>
      <c r="BX95" s="460">
        <f t="shared" si="282"/>
        <v>2438.8750583882502</v>
      </c>
      <c r="BY95" s="173">
        <f t="shared" si="283"/>
        <v>4.3626932702413788</v>
      </c>
      <c r="BZ95" s="5">
        <f t="shared" si="284"/>
        <v>23.220000000000002</v>
      </c>
      <c r="CA95" s="173">
        <f t="shared" si="285"/>
        <v>0.84183222328951346</v>
      </c>
      <c r="CB95" s="5">
        <f t="shared" si="286"/>
        <v>84.183222328951345</v>
      </c>
      <c r="CC95">
        <f t="shared" si="287"/>
        <v>90</v>
      </c>
      <c r="CE95" s="562">
        <f t="shared" si="221"/>
        <v>-50</v>
      </c>
      <c r="CF95">
        <f t="shared" si="222"/>
        <v>-50</v>
      </c>
      <c r="CG95" s="173">
        <f t="shared" si="223"/>
        <v>0.58114024475735238</v>
      </c>
      <c r="CH95" s="173">
        <f t="shared" si="224"/>
        <v>0.15839917127775208</v>
      </c>
      <c r="CI95" s="170">
        <v>90</v>
      </c>
      <c r="CJ95" s="217">
        <f t="shared" si="309"/>
        <v>0.9</v>
      </c>
      <c r="CK95" s="217">
        <f t="shared" si="288"/>
        <v>9.0000000000000011E-2</v>
      </c>
      <c r="CL95" s="217">
        <f t="shared" si="225"/>
        <v>21.6</v>
      </c>
      <c r="CM95" s="217">
        <f t="shared" si="310"/>
        <v>1.62</v>
      </c>
      <c r="CN95" s="541">
        <f t="shared" si="289"/>
        <v>24</v>
      </c>
      <c r="CO95" s="443">
        <f t="shared" si="226"/>
        <v>16.474900000000002</v>
      </c>
      <c r="CP95" s="443">
        <f t="shared" si="227"/>
        <v>40.474900000000005</v>
      </c>
      <c r="CQ95" s="443"/>
      <c r="CR95" s="217">
        <f t="shared" si="228"/>
        <v>0.40507913686898112</v>
      </c>
      <c r="CS95" s="172">
        <f t="shared" si="290"/>
        <v>50.242373565144938</v>
      </c>
      <c r="CT95" s="172">
        <f t="shared" si="229"/>
        <v>4.0507913686898105</v>
      </c>
      <c r="CU95" s="217">
        <f t="shared" si="230"/>
        <v>2.0934322318810392</v>
      </c>
      <c r="CV95" s="217">
        <f t="shared" si="231"/>
        <v>2.7912429758413855</v>
      </c>
      <c r="CW95" s="443">
        <f t="shared" si="232"/>
        <v>24</v>
      </c>
      <c r="CX95" s="217">
        <f t="shared" si="233"/>
        <v>4.7768443839304844</v>
      </c>
      <c r="CY95" s="217">
        <f t="shared" si="234"/>
        <v>1.9903518266377018</v>
      </c>
      <c r="CZ95" s="217">
        <f t="shared" si="235"/>
        <v>2.8994679081089929</v>
      </c>
      <c r="DA95" s="197">
        <f t="shared" si="236"/>
        <v>350</v>
      </c>
      <c r="DB95" s="443">
        <f t="shared" si="291"/>
        <v>204.50651644560116</v>
      </c>
      <c r="DD95" s="217">
        <f t="shared" si="237"/>
        <v>2.7911308701724487</v>
      </c>
      <c r="DE95" s="173">
        <f t="shared" si="238"/>
        <v>1.6941716612376698</v>
      </c>
      <c r="DF95" s="173">
        <f t="shared" si="239"/>
        <v>0.55195223422072148</v>
      </c>
      <c r="DG95" s="173"/>
      <c r="DH95" s="173">
        <f t="shared" si="240"/>
        <v>1.3488532386977903</v>
      </c>
      <c r="DI95" s="545">
        <f t="shared" si="241"/>
        <v>900.31499999999971</v>
      </c>
      <c r="DJ95" s="528">
        <f t="shared" si="242"/>
        <v>0.34987754285999911</v>
      </c>
      <c r="DL95" s="173">
        <f t="shared" si="243"/>
        <v>3.6426050332929907</v>
      </c>
      <c r="DM95" s="173">
        <f t="shared" si="244"/>
        <v>4.7768443839304844</v>
      </c>
      <c r="DN95" s="173">
        <f t="shared" si="245"/>
        <v>3.0923127123764904</v>
      </c>
      <c r="DP95" s="545">
        <f t="shared" si="246"/>
        <v>900</v>
      </c>
      <c r="DQ95" s="460">
        <f t="shared" si="247"/>
        <v>204.50651644560116</v>
      </c>
      <c r="DS95">
        <f>IF(CL95&gt;CS95, "",DP95)</f>
        <v>900</v>
      </c>
      <c r="DT95">
        <f>IF(CL95&gt;CS95, "",DQ95)</f>
        <v>204.50651644560116</v>
      </c>
      <c r="DV95" s="5">
        <f t="shared" si="293"/>
        <v>4.8898197347466938</v>
      </c>
      <c r="DW95" s="5">
        <f t="shared" si="249"/>
        <v>1.9903518266377018</v>
      </c>
      <c r="DX95" s="5">
        <f t="shared" si="294"/>
        <v>2.899467908108992</v>
      </c>
      <c r="DY95" s="173">
        <f t="shared" si="295"/>
        <v>0.40703991856681554</v>
      </c>
      <c r="EA95" s="5">
        <f t="shared" si="250"/>
        <v>7.4638193498913816</v>
      </c>
      <c r="EB95" s="5">
        <f t="shared" si="251"/>
        <v>0.99517591331885114</v>
      </c>
      <c r="EC95" s="5">
        <f t="shared" si="252"/>
        <v>2.174600931081744</v>
      </c>
      <c r="ED95" s="5"/>
      <c r="EE95" s="173">
        <f t="shared" si="296"/>
        <v>1.7595392838962041</v>
      </c>
      <c r="EF95" s="173">
        <f t="shared" si="253"/>
        <v>1.4165079902213662</v>
      </c>
      <c r="EG95" s="173">
        <f t="shared" si="254"/>
        <v>0.14184221902081515</v>
      </c>
      <c r="EH95" s="173"/>
      <c r="EI95" s="528">
        <f t="shared" si="255"/>
        <v>0.12383913966295866</v>
      </c>
      <c r="EJ95" s="528">
        <f t="shared" si="256"/>
        <v>1.0873434000000002</v>
      </c>
      <c r="EK95" s="528">
        <f t="shared" si="257"/>
        <v>4.0901303289120235E-2</v>
      </c>
      <c r="EL95" s="528">
        <f t="shared" si="258"/>
        <v>5.8629578042430894E-2</v>
      </c>
      <c r="EM95">
        <f t="shared" si="259"/>
        <v>1.0800000000000001E-2</v>
      </c>
      <c r="EN95" s="460">
        <f t="shared" si="297"/>
        <v>51.701303289120233</v>
      </c>
      <c r="EO95">
        <f t="shared" si="260"/>
        <v>1.3960269359715229</v>
      </c>
      <c r="EP95" s="460">
        <f t="shared" si="298"/>
        <v>1396.026935971523</v>
      </c>
      <c r="EQ95" s="173">
        <f t="shared" si="261"/>
        <v>0.78120000000000001</v>
      </c>
      <c r="ER95" s="173">
        <f t="shared" si="262"/>
        <v>5.5800000000000009E-2</v>
      </c>
      <c r="ES95" s="528"/>
      <c r="EU95" s="460">
        <f t="shared" si="299"/>
        <v>837</v>
      </c>
      <c r="EV95" s="528">
        <f t="shared" si="263"/>
        <v>9.2879354747218992E-2</v>
      </c>
      <c r="EW95" s="528">
        <f t="shared" si="300"/>
        <v>6.0194846590829215E-2</v>
      </c>
      <c r="EX95" s="528">
        <f t="shared" si="264"/>
        <v>1.0059607548374447E-4</v>
      </c>
      <c r="EY95" s="528">
        <f t="shared" si="265"/>
        <v>1.4913879008629327</v>
      </c>
      <c r="EZ95" s="528">
        <f t="shared" si="266"/>
        <v>1.7021831746912366</v>
      </c>
      <c r="FA95" s="625">
        <f t="shared" si="267"/>
        <v>0.93329584753987904</v>
      </c>
      <c r="FB95" s="460">
        <f t="shared" si="301"/>
        <v>2635.4790222311158</v>
      </c>
      <c r="FC95" s="173">
        <f t="shared" si="302"/>
        <v>4.8685059582026389</v>
      </c>
      <c r="FD95" s="5">
        <f t="shared" si="303"/>
        <v>23.220000000000002</v>
      </c>
      <c r="FE95" s="173">
        <f t="shared" si="304"/>
        <v>0.82667266228231351</v>
      </c>
      <c r="FF95" s="5">
        <f t="shared" si="305"/>
        <v>82.667266228231355</v>
      </c>
      <c r="FG95">
        <f t="shared" si="306"/>
        <v>90</v>
      </c>
      <c r="FI95" s="562">
        <f t="shared" si="268"/>
        <v>-50</v>
      </c>
      <c r="FJ95">
        <f t="shared" si="269"/>
        <v>-50</v>
      </c>
      <c r="FL95">
        <f t="shared" si="270"/>
        <v>0.58114024475735226</v>
      </c>
    </row>
    <row r="96" spans="5:168">
      <c r="E96" s="170">
        <v>91</v>
      </c>
      <c r="F96" s="217">
        <f t="shared" si="307"/>
        <v>0.91</v>
      </c>
      <c r="G96" s="217">
        <f t="shared" si="271"/>
        <v>9.1000000000000011E-2</v>
      </c>
      <c r="H96" s="217">
        <f t="shared" si="176"/>
        <v>21.84</v>
      </c>
      <c r="I96" s="217">
        <f t="shared" si="308"/>
        <v>1.6380000000000001</v>
      </c>
      <c r="J96" s="541">
        <f t="shared" si="177"/>
        <v>23.79050594477113</v>
      </c>
      <c r="K96" s="443">
        <f t="shared" si="178"/>
        <v>16.506233400438656</v>
      </c>
      <c r="L96" s="172">
        <f t="shared" si="179"/>
        <v>40.296739345209787</v>
      </c>
      <c r="M96" s="443"/>
      <c r="N96" s="217">
        <f t="shared" si="180"/>
        <v>0.40961709728012546</v>
      </c>
      <c r="O96" s="172">
        <f t="shared" si="272"/>
        <v>50.361746707610948</v>
      </c>
      <c r="P96" s="172">
        <f t="shared" si="181"/>
        <v>4.0604158283011333</v>
      </c>
      <c r="Q96" s="217">
        <f t="shared" si="182"/>
        <v>2.098406112817123</v>
      </c>
      <c r="R96" s="217">
        <f t="shared" si="183"/>
        <v>2.7978748170894971</v>
      </c>
      <c r="S96" s="443">
        <f t="shared" si="184"/>
        <v>24</v>
      </c>
      <c r="T96" s="217">
        <f t="shared" si="185"/>
        <v>4.8184720056580863</v>
      </c>
      <c r="U96" s="217">
        <f t="shared" si="186"/>
        <v>2.0253760121134077</v>
      </c>
      <c r="V96" s="217">
        <f t="shared" si="187"/>
        <v>2.9191832496019563</v>
      </c>
      <c r="W96" s="197">
        <f t="shared" si="188"/>
        <v>350</v>
      </c>
      <c r="X96" s="443">
        <f t="shared" si="273"/>
        <v>194.38011093423916</v>
      </c>
      <c r="Z96" s="217">
        <f t="shared" si="189"/>
        <v>2.7842851394064909</v>
      </c>
      <c r="AA96" s="173">
        <f t="shared" si="190"/>
        <v>1.6868082934853559</v>
      </c>
      <c r="AB96" s="173">
        <f t="shared" si="191"/>
        <v>0.54820541325797201</v>
      </c>
      <c r="AC96" s="173"/>
      <c r="AD96" s="173">
        <f t="shared" si="192"/>
        <v>1.346292741845736</v>
      </c>
      <c r="AE96" s="545">
        <f t="shared" si="193"/>
        <v>912.04982304822568</v>
      </c>
      <c r="AF96" s="528">
        <f t="shared" si="194"/>
        <v>0.34921337842654127</v>
      </c>
      <c r="AH96" s="173">
        <f t="shared" si="195"/>
        <v>3.6627858250244443</v>
      </c>
      <c r="AI96" s="173">
        <f t="shared" si="196"/>
        <v>4.8184720056580863</v>
      </c>
      <c r="AJ96" s="173">
        <f t="shared" si="197"/>
        <v>3.1231479877302695</v>
      </c>
      <c r="AL96" s="545">
        <f t="shared" si="198"/>
        <v>910</v>
      </c>
      <c r="AM96" s="460">
        <f t="shared" si="199"/>
        <v>194.38011093423916</v>
      </c>
      <c r="AO96">
        <f t="shared" si="274"/>
        <v>910</v>
      </c>
      <c r="AP96">
        <f t="shared" si="200"/>
        <v>194.38011093423916</v>
      </c>
      <c r="AR96" s="5">
        <f t="shared" si="275"/>
        <v>5.144559261715365</v>
      </c>
      <c r="AS96" s="5">
        <f t="shared" si="201"/>
        <v>2.0253760121134077</v>
      </c>
      <c r="AT96" s="5">
        <f t="shared" si="276"/>
        <v>3.1191832496019574</v>
      </c>
      <c r="AU96" s="173">
        <f t="shared" si="277"/>
        <v>0.39369281391815103</v>
      </c>
      <c r="AW96" s="5">
        <f t="shared" si="202"/>
        <v>7.6795507125966713</v>
      </c>
      <c r="AX96" s="5">
        <f t="shared" si="203"/>
        <v>1.0239400950128896</v>
      </c>
      <c r="AY96" s="5">
        <f t="shared" si="204"/>
        <v>2.3862096617257014</v>
      </c>
      <c r="AZ96" s="5"/>
      <c r="BA96" s="173">
        <f t="shared" si="278"/>
        <v>1.7455305599418667</v>
      </c>
      <c r="BB96" s="173">
        <f t="shared" si="205"/>
        <v>1.4448438194803037</v>
      </c>
      <c r="BC96" s="173">
        <f t="shared" si="206"/>
        <v>0.14467963111282497</v>
      </c>
      <c r="BD96" s="173"/>
      <c r="BE96" s="528">
        <f t="shared" si="207"/>
        <v>0.12187507742763867</v>
      </c>
      <c r="BF96" s="528">
        <f t="shared" si="208"/>
        <v>0.84920704825599946</v>
      </c>
      <c r="BG96" s="528">
        <f t="shared" si="209"/>
        <v>0.18497604738905152</v>
      </c>
      <c r="BH96" s="528">
        <f t="shared" si="210"/>
        <v>5.5236949536083241E-2</v>
      </c>
      <c r="BI96">
        <f t="shared" si="211"/>
        <v>1.0705727675147008E-2</v>
      </c>
      <c r="BJ96" s="460">
        <f t="shared" si="279"/>
        <v>195.68177506419855</v>
      </c>
      <c r="BK96">
        <f t="shared" si="212"/>
        <v>1.0908125712238674</v>
      </c>
      <c r="BL96" s="460">
        <f t="shared" si="280"/>
        <v>1090.8125712238675</v>
      </c>
      <c r="BM96" s="173">
        <f t="shared" si="213"/>
        <v>0.78988000000000003</v>
      </c>
      <c r="BN96" s="173">
        <f t="shared" si="214"/>
        <v>5.6420000000000005E-2</v>
      </c>
      <c r="BO96" s="528"/>
      <c r="BQ96" s="460">
        <f t="shared" si="281"/>
        <v>846.30000000000007</v>
      </c>
      <c r="BR96" s="528">
        <f t="shared" si="215"/>
        <v>9.1406308070728998E-2</v>
      </c>
      <c r="BS96" s="528">
        <f t="shared" si="216"/>
        <v>6.2627209880712978E-2</v>
      </c>
      <c r="BT96" s="528">
        <f t="shared" si="217"/>
        <v>1.0466097829471556E-4</v>
      </c>
      <c r="BU96" s="528">
        <f t="shared" si="218"/>
        <v>1.3423721052620741</v>
      </c>
      <c r="BV96" s="528">
        <f t="shared" si="219"/>
        <v>1.5526492493599853</v>
      </c>
      <c r="BW96" s="625">
        <f t="shared" si="220"/>
        <v>0.90261075004388736</v>
      </c>
      <c r="BX96" s="460">
        <f t="shared" si="282"/>
        <v>2455.2599994038724</v>
      </c>
      <c r="BY96" s="173">
        <f t="shared" si="283"/>
        <v>4.3923725706277406</v>
      </c>
      <c r="BZ96" s="5">
        <f t="shared" si="284"/>
        <v>23.478000000000002</v>
      </c>
      <c r="CA96" s="173">
        <f t="shared" si="285"/>
        <v>0.84239993349580078</v>
      </c>
      <c r="CB96" s="5">
        <f t="shared" si="286"/>
        <v>84.239993349580075</v>
      </c>
      <c r="CC96">
        <f t="shared" si="287"/>
        <v>91</v>
      </c>
      <c r="CE96" s="562">
        <f t="shared" si="221"/>
        <v>-50</v>
      </c>
      <c r="CF96">
        <f t="shared" si="222"/>
        <v>-50</v>
      </c>
      <c r="CG96" s="173">
        <f t="shared" si="223"/>
        <v>0.58114024475735238</v>
      </c>
      <c r="CH96" s="173">
        <f t="shared" si="224"/>
        <v>0.1583991712777521</v>
      </c>
      <c r="CI96" s="170">
        <v>91</v>
      </c>
      <c r="CJ96" s="217">
        <f t="shared" si="309"/>
        <v>0.91</v>
      </c>
      <c r="CK96" s="217">
        <f t="shared" si="288"/>
        <v>9.1000000000000011E-2</v>
      </c>
      <c r="CL96" s="217">
        <f t="shared" si="225"/>
        <v>21.84</v>
      </c>
      <c r="CM96" s="217">
        <f t="shared" si="310"/>
        <v>1.6380000000000001</v>
      </c>
      <c r="CN96" s="541">
        <f t="shared" si="289"/>
        <v>24</v>
      </c>
      <c r="CO96" s="443">
        <f t="shared" si="226"/>
        <v>16.474900000000002</v>
      </c>
      <c r="CP96" s="443">
        <f t="shared" si="227"/>
        <v>40.474900000000005</v>
      </c>
      <c r="CQ96" s="443"/>
      <c r="CR96" s="217">
        <f t="shared" si="228"/>
        <v>0.40507913686898112</v>
      </c>
      <c r="CS96" s="172">
        <f t="shared" si="290"/>
        <v>50.242373565144938</v>
      </c>
      <c r="CT96" s="172">
        <f t="shared" si="229"/>
        <v>4.0507913686898105</v>
      </c>
      <c r="CU96" s="217">
        <f t="shared" si="230"/>
        <v>2.0934322318810392</v>
      </c>
      <c r="CV96" s="217">
        <f t="shared" si="231"/>
        <v>2.7912429758413855</v>
      </c>
      <c r="CW96" s="443">
        <f t="shared" si="232"/>
        <v>24</v>
      </c>
      <c r="CX96" s="217">
        <f t="shared" si="233"/>
        <v>4.8299204326408223</v>
      </c>
      <c r="CY96" s="217">
        <f t="shared" si="234"/>
        <v>2.0124668469336764</v>
      </c>
      <c r="CZ96" s="217">
        <f t="shared" si="235"/>
        <v>2.9316842181990919</v>
      </c>
      <c r="DA96" s="197">
        <f t="shared" si="236"/>
        <v>350</v>
      </c>
      <c r="DB96" s="443">
        <f t="shared" si="291"/>
        <v>202.25919208905611</v>
      </c>
      <c r="DD96" s="217">
        <f t="shared" si="237"/>
        <v>2.7911308701724487</v>
      </c>
      <c r="DE96" s="173">
        <f t="shared" si="238"/>
        <v>1.6941716612376698</v>
      </c>
      <c r="DF96" s="173">
        <f t="shared" si="239"/>
        <v>0.55195223422072148</v>
      </c>
      <c r="DG96" s="173"/>
      <c r="DH96" s="173">
        <f t="shared" si="240"/>
        <v>1.3488532386977903</v>
      </c>
      <c r="DI96" s="545">
        <f t="shared" si="241"/>
        <v>910.31849999999974</v>
      </c>
      <c r="DJ96" s="528">
        <f t="shared" si="242"/>
        <v>0.34987754285999911</v>
      </c>
      <c r="DL96" s="173">
        <f t="shared" si="243"/>
        <v>3.6627858250244443</v>
      </c>
      <c r="DM96" s="173">
        <f t="shared" si="244"/>
        <v>4.8299204326408223</v>
      </c>
      <c r="DN96" s="173">
        <f t="shared" si="245"/>
        <v>3.1316283040137778</v>
      </c>
      <c r="DP96" s="545">
        <f t="shared" si="246"/>
        <v>910</v>
      </c>
      <c r="DQ96" s="460">
        <f t="shared" si="247"/>
        <v>202.25919208905611</v>
      </c>
      <c r="DS96">
        <f t="shared" ref="DS96:DS105" si="311">IF(CL96&gt;CS96, "",DP96)</f>
        <v>910</v>
      </c>
      <c r="DT96">
        <f t="shared" ref="DT96:DT105" si="312">IF(CL96&gt;CS96, "",DQ96)</f>
        <v>202.25919208905611</v>
      </c>
      <c r="DV96" s="5">
        <f t="shared" si="293"/>
        <v>4.9441510651327683</v>
      </c>
      <c r="DW96" s="5">
        <f t="shared" si="249"/>
        <v>2.0124668469336764</v>
      </c>
      <c r="DX96" s="5">
        <f t="shared" si="294"/>
        <v>2.9316842181990919</v>
      </c>
      <c r="DY96" s="173">
        <f t="shared" si="295"/>
        <v>0.40703991856681554</v>
      </c>
      <c r="EA96" s="5">
        <f t="shared" si="250"/>
        <v>7.6306034612901898</v>
      </c>
      <c r="EB96" s="5">
        <f t="shared" si="251"/>
        <v>1.0174137948386921</v>
      </c>
      <c r="EC96" s="5">
        <f t="shared" si="252"/>
        <v>2.2231938654676444</v>
      </c>
      <c r="ED96" s="5"/>
      <c r="EE96" s="173">
        <f t="shared" si="296"/>
        <v>1.7790897203839393</v>
      </c>
      <c r="EF96" s="173">
        <f t="shared" si="253"/>
        <v>1.4322469678904923</v>
      </c>
      <c r="EG96" s="173">
        <f t="shared" si="254"/>
        <v>0.14341824367660197</v>
      </c>
      <c r="EH96" s="173"/>
      <c r="EI96" s="528">
        <f t="shared" si="255"/>
        <v>0.12660640932703213</v>
      </c>
      <c r="EJ96" s="528">
        <f t="shared" si="256"/>
        <v>1.0873434</v>
      </c>
      <c r="EK96" s="528">
        <f t="shared" si="257"/>
        <v>4.045183841781122E-2</v>
      </c>
      <c r="EL96" s="528">
        <f t="shared" si="258"/>
        <v>5.7985296965041545E-2</v>
      </c>
      <c r="EM96">
        <f t="shared" si="259"/>
        <v>1.0800000000000001E-2</v>
      </c>
      <c r="EN96" s="460">
        <f t="shared" si="297"/>
        <v>51.251838417811221</v>
      </c>
      <c r="EO96">
        <f t="shared" si="260"/>
        <v>1.3994690596474257</v>
      </c>
      <c r="EP96" s="460">
        <f t="shared" si="298"/>
        <v>1399.4690596474256</v>
      </c>
      <c r="EQ96" s="173">
        <f t="shared" si="261"/>
        <v>0.78988000000000003</v>
      </c>
      <c r="ER96" s="173">
        <f t="shared" si="262"/>
        <v>5.6420000000000005E-2</v>
      </c>
      <c r="ES96" s="528"/>
      <c r="EU96" s="460">
        <f t="shared" si="299"/>
        <v>846.30000000000007</v>
      </c>
      <c r="EV96" s="528">
        <f t="shared" si="263"/>
        <v>9.4954806995274102E-2</v>
      </c>
      <c r="EW96" s="528">
        <f t="shared" si="300"/>
        <v>6.1539941310945263E-2</v>
      </c>
      <c r="EX96" s="528">
        <f t="shared" si="264"/>
        <v>1.0284396309640591E-4</v>
      </c>
      <c r="EY96" s="528">
        <f t="shared" si="265"/>
        <v>1.4913879008629316</v>
      </c>
      <c r="EZ96" s="528">
        <f t="shared" si="266"/>
        <v>1.7069532973959531</v>
      </c>
      <c r="FA96" s="625">
        <f t="shared" si="267"/>
        <v>0.94366580140143275</v>
      </c>
      <c r="FB96" s="460">
        <f t="shared" si="301"/>
        <v>2650.619098797386</v>
      </c>
      <c r="FC96" s="173">
        <f t="shared" si="302"/>
        <v>4.8963881584448119</v>
      </c>
      <c r="FD96" s="5">
        <f t="shared" si="303"/>
        <v>23.478000000000002</v>
      </c>
      <c r="FE96" s="173">
        <f t="shared" si="304"/>
        <v>0.82743634396262589</v>
      </c>
      <c r="FF96" s="5">
        <f t="shared" si="305"/>
        <v>82.743634396262593</v>
      </c>
      <c r="FG96">
        <f t="shared" si="306"/>
        <v>91</v>
      </c>
      <c r="FI96" s="562">
        <f t="shared" si="268"/>
        <v>-50</v>
      </c>
      <c r="FJ96">
        <f t="shared" si="269"/>
        <v>-50</v>
      </c>
      <c r="FL96">
        <f t="shared" si="270"/>
        <v>0.58114024475735238</v>
      </c>
    </row>
    <row r="97" spans="5:169">
      <c r="E97" s="170">
        <v>92</v>
      </c>
      <c r="F97" s="217">
        <f t="shared" si="307"/>
        <v>0.92</v>
      </c>
      <c r="G97" s="217">
        <f t="shared" si="271"/>
        <v>9.2000000000000012E-2</v>
      </c>
      <c r="H97" s="217">
        <f t="shared" si="176"/>
        <v>22.080000000000002</v>
      </c>
      <c r="I97" s="217">
        <f t="shared" si="308"/>
        <v>1.6560000000000001</v>
      </c>
      <c r="J97" s="541">
        <f t="shared" si="177"/>
        <v>23.788203812296086</v>
      </c>
      <c r="K97" s="443">
        <f t="shared" si="178"/>
        <v>16.506577723520397</v>
      </c>
      <c r="L97" s="172">
        <f t="shared" si="179"/>
        <v>40.294781535816483</v>
      </c>
      <c r="M97" s="443"/>
      <c r="N97" s="217">
        <f t="shared" si="180"/>
        <v>0.40964554451916646</v>
      </c>
      <c r="O97" s="172">
        <f t="shared" si="272"/>
        <v>50.360370562382116</v>
      </c>
      <c r="P97" s="172">
        <f t="shared" si="181"/>
        <v>4.060304876592058</v>
      </c>
      <c r="Q97" s="217">
        <f t="shared" si="182"/>
        <v>2.0983487734325883</v>
      </c>
      <c r="R97" s="217">
        <f t="shared" si="183"/>
        <v>2.7977983645767841</v>
      </c>
      <c r="S97" s="443">
        <f t="shared" si="184"/>
        <v>24</v>
      </c>
      <c r="T97" s="217">
        <f t="shared" si="185"/>
        <v>4.8715553637445019</v>
      </c>
      <c r="U97" s="217">
        <f t="shared" si="186"/>
        <v>2.0478870124806998</v>
      </c>
      <c r="V97" s="217">
        <f t="shared" si="187"/>
        <v>2.9512812681958729</v>
      </c>
      <c r="W97" s="197">
        <f t="shared" si="188"/>
        <v>350</v>
      </c>
      <c r="X97" s="443">
        <f t="shared" si="273"/>
        <v>192.33845607895367</v>
      </c>
      <c r="Z97" s="217">
        <f t="shared" si="189"/>
        <v>2.7842090582345538</v>
      </c>
      <c r="AA97" s="173">
        <f t="shared" si="190"/>
        <v>1.6867270156595242</v>
      </c>
      <c r="AB97" s="173">
        <f t="shared" si="191"/>
        <v>0.54816401921004121</v>
      </c>
      <c r="AC97" s="173"/>
      <c r="AD97" s="173">
        <f t="shared" si="192"/>
        <v>1.346264658515953</v>
      </c>
      <c r="AE97" s="545">
        <f t="shared" si="193"/>
        <v>922.091583175967</v>
      </c>
      <c r="AF97" s="528">
        <f t="shared" si="194"/>
        <v>0.34920609392283253</v>
      </c>
      <c r="AH97" s="173">
        <f t="shared" si="195"/>
        <v>3.6828560345781329</v>
      </c>
      <c r="AI97" s="173">
        <f t="shared" si="196"/>
        <v>4.8715553637445019</v>
      </c>
      <c r="AJ97" s="173">
        <f t="shared" si="197"/>
        <v>3.1624689937202071</v>
      </c>
      <c r="AL97" s="545">
        <f t="shared" si="198"/>
        <v>920</v>
      </c>
      <c r="AM97" s="460">
        <f t="shared" si="199"/>
        <v>192.33845607895367</v>
      </c>
      <c r="AO97">
        <f t="shared" si="274"/>
        <v>920</v>
      </c>
      <c r="AP97">
        <f t="shared" si="200"/>
        <v>192.33845607895367</v>
      </c>
      <c r="AR97" s="5">
        <f t="shared" si="275"/>
        <v>5.1991682806765729</v>
      </c>
      <c r="AS97" s="5">
        <f t="shared" si="201"/>
        <v>2.0478870124806998</v>
      </c>
      <c r="AT97" s="5">
        <f t="shared" si="276"/>
        <v>3.1512812681958731</v>
      </c>
      <c r="AU97" s="173">
        <f t="shared" si="277"/>
        <v>0.3938874262046787</v>
      </c>
      <c r="AW97" s="5">
        <f t="shared" si="202"/>
        <v>7.8502335478426826</v>
      </c>
      <c r="AX97" s="5">
        <f t="shared" si="203"/>
        <v>1.0466978063790244</v>
      </c>
      <c r="AY97" s="5">
        <f t="shared" si="204"/>
        <v>2.4374927923239178</v>
      </c>
      <c r="AZ97" s="5"/>
      <c r="BA97" s="173">
        <f t="shared" si="278"/>
        <v>1.7651965657977591</v>
      </c>
      <c r="BB97" s="173">
        <f t="shared" si="205"/>
        <v>1.4605266835557167</v>
      </c>
      <c r="BC97" s="173">
        <f t="shared" si="206"/>
        <v>0.14625003682632243</v>
      </c>
      <c r="BD97" s="173"/>
      <c r="BE97" s="528">
        <f t="shared" si="207"/>
        <v>0.12463675663616811</v>
      </c>
      <c r="BF97" s="528">
        <f t="shared" si="208"/>
        <v>0.84950334203530375</v>
      </c>
      <c r="BG97" s="528">
        <f t="shared" si="209"/>
        <v>0.18301545576594036</v>
      </c>
      <c r="BH97" s="528">
        <f t="shared" si="210"/>
        <v>5.4651462116433028E-2</v>
      </c>
      <c r="BI97">
        <f t="shared" si="211"/>
        <v>1.0704691715533239E-2</v>
      </c>
      <c r="BJ97" s="460">
        <f t="shared" si="279"/>
        <v>193.72014748147359</v>
      </c>
      <c r="BK97">
        <f t="shared" si="212"/>
        <v>1.094866526689525</v>
      </c>
      <c r="BL97" s="460">
        <f t="shared" si="280"/>
        <v>1094.866526689525</v>
      </c>
      <c r="BM97" s="173">
        <f t="shared" si="213"/>
        <v>0.79856000000000005</v>
      </c>
      <c r="BN97" s="173">
        <f t="shared" si="214"/>
        <v>5.7040000000000007E-2</v>
      </c>
      <c r="BO97" s="528"/>
      <c r="BQ97" s="460">
        <f t="shared" si="281"/>
        <v>855.6</v>
      </c>
      <c r="BR97" s="528">
        <f t="shared" si="215"/>
        <v>9.3477567477126072E-2</v>
      </c>
      <c r="BS97" s="528">
        <f t="shared" si="216"/>
        <v>6.3994145801347824E-2</v>
      </c>
      <c r="BT97" s="528">
        <f t="shared" si="217"/>
        <v>1.0694536635850334E-4</v>
      </c>
      <c r="BU97" s="528">
        <f t="shared" si="218"/>
        <v>1.3437065206150278</v>
      </c>
      <c r="BV97" s="528">
        <f t="shared" si="219"/>
        <v>1.5587541686184549</v>
      </c>
      <c r="BW97" s="625">
        <f t="shared" si="220"/>
        <v>0.91291723525207968</v>
      </c>
      <c r="BX97" s="460">
        <f t="shared" si="282"/>
        <v>2471.6714038705345</v>
      </c>
      <c r="BY97" s="173">
        <f t="shared" si="283"/>
        <v>4.4221379305600594</v>
      </c>
      <c r="BZ97" s="5">
        <f t="shared" si="284"/>
        <v>23.736000000000001</v>
      </c>
      <c r="CA97" s="173">
        <f t="shared" si="285"/>
        <v>0.84295346725464015</v>
      </c>
      <c r="CB97" s="5">
        <f t="shared" si="286"/>
        <v>84.295346725464015</v>
      </c>
      <c r="CC97">
        <f t="shared" si="287"/>
        <v>92</v>
      </c>
      <c r="CE97" s="562">
        <f t="shared" si="221"/>
        <v>-50</v>
      </c>
      <c r="CF97">
        <f t="shared" si="222"/>
        <v>-50</v>
      </c>
      <c r="CG97" s="173">
        <f t="shared" si="223"/>
        <v>0.58114024475735249</v>
      </c>
      <c r="CH97" s="173">
        <f t="shared" si="224"/>
        <v>0.1583991712777521</v>
      </c>
      <c r="CI97" s="170">
        <v>92</v>
      </c>
      <c r="CJ97" s="217">
        <f t="shared" si="309"/>
        <v>0.92</v>
      </c>
      <c r="CK97" s="217">
        <f t="shared" si="288"/>
        <v>9.2000000000000012E-2</v>
      </c>
      <c r="CL97" s="217">
        <f t="shared" si="225"/>
        <v>22.080000000000002</v>
      </c>
      <c r="CM97" s="217">
        <f t="shared" si="310"/>
        <v>1.6560000000000001</v>
      </c>
      <c r="CN97" s="541">
        <f t="shared" si="289"/>
        <v>24</v>
      </c>
      <c r="CO97" s="443">
        <f t="shared" si="226"/>
        <v>16.474900000000002</v>
      </c>
      <c r="CP97" s="443">
        <f t="shared" si="227"/>
        <v>40.474900000000005</v>
      </c>
      <c r="CQ97" s="443"/>
      <c r="CR97" s="217">
        <f t="shared" si="228"/>
        <v>0.40507913686898112</v>
      </c>
      <c r="CS97" s="172">
        <f t="shared" si="290"/>
        <v>50.242373565144938</v>
      </c>
      <c r="CT97" s="172">
        <f t="shared" si="229"/>
        <v>4.0507913686898105</v>
      </c>
      <c r="CU97" s="217">
        <f t="shared" si="230"/>
        <v>2.0934322318810392</v>
      </c>
      <c r="CV97" s="217">
        <f t="shared" si="231"/>
        <v>2.7912429758413855</v>
      </c>
      <c r="CW97" s="443">
        <f t="shared" si="232"/>
        <v>24</v>
      </c>
      <c r="CX97" s="217">
        <f t="shared" si="233"/>
        <v>4.882996481351161</v>
      </c>
      <c r="CY97" s="217">
        <f t="shared" si="234"/>
        <v>2.0345818672296505</v>
      </c>
      <c r="CZ97" s="217">
        <f t="shared" si="235"/>
        <v>2.9639005282891917</v>
      </c>
      <c r="DA97" s="197">
        <f t="shared" si="236"/>
        <v>350</v>
      </c>
      <c r="DB97" s="443">
        <f t="shared" si="291"/>
        <v>200.06072260982731</v>
      </c>
      <c r="DD97" s="217">
        <f t="shared" si="237"/>
        <v>2.7911308701724487</v>
      </c>
      <c r="DE97" s="173">
        <f t="shared" si="238"/>
        <v>1.6941716612376698</v>
      </c>
      <c r="DF97" s="173">
        <f t="shared" si="239"/>
        <v>0.55195223422072148</v>
      </c>
      <c r="DG97" s="173"/>
      <c r="DH97" s="173">
        <f t="shared" si="240"/>
        <v>1.3488532386977903</v>
      </c>
      <c r="DI97" s="545">
        <f t="shared" si="241"/>
        <v>920.32199999999978</v>
      </c>
      <c r="DJ97" s="528">
        <f t="shared" si="242"/>
        <v>0.34987754285999911</v>
      </c>
      <c r="DL97" s="173">
        <f t="shared" si="243"/>
        <v>3.6828560345781329</v>
      </c>
      <c r="DM97" s="173">
        <f t="shared" si="244"/>
        <v>4.882996481351161</v>
      </c>
      <c r="DN97" s="173">
        <f t="shared" si="245"/>
        <v>3.1709438956510656</v>
      </c>
      <c r="DP97" s="545">
        <f t="shared" si="246"/>
        <v>920</v>
      </c>
      <c r="DQ97" s="460">
        <f t="shared" si="247"/>
        <v>200.06072260982731</v>
      </c>
      <c r="DS97">
        <f t="shared" si="311"/>
        <v>920</v>
      </c>
      <c r="DT97">
        <f t="shared" si="312"/>
        <v>200.06072260982731</v>
      </c>
      <c r="DV97" s="5">
        <f t="shared" si="293"/>
        <v>4.9984823955188409</v>
      </c>
      <c r="DW97" s="5">
        <f t="shared" si="249"/>
        <v>2.0345818672296505</v>
      </c>
      <c r="DX97" s="5">
        <f t="shared" si="294"/>
        <v>2.9639005282891904</v>
      </c>
      <c r="DY97" s="173">
        <f t="shared" si="295"/>
        <v>0.40703991856681565</v>
      </c>
      <c r="EA97" s="5">
        <f t="shared" si="250"/>
        <v>7.7992304910469947</v>
      </c>
      <c r="EB97" s="5">
        <f t="shared" si="251"/>
        <v>1.0398973988062659</v>
      </c>
      <c r="EC97" s="5">
        <f t="shared" si="252"/>
        <v>2.2723237383550456</v>
      </c>
      <c r="ED97" s="5"/>
      <c r="EE97" s="173">
        <f t="shared" si="296"/>
        <v>1.7986401568716752</v>
      </c>
      <c r="EF97" s="173">
        <f t="shared" si="253"/>
        <v>1.4479859455596185</v>
      </c>
      <c r="EG97" s="173">
        <f t="shared" si="254"/>
        <v>0.14499426833238879</v>
      </c>
      <c r="EH97" s="173"/>
      <c r="EI97" s="528">
        <f t="shared" si="255"/>
        <v>0.12940425655645457</v>
      </c>
      <c r="EJ97" s="528">
        <f t="shared" si="256"/>
        <v>1.0873434000000004</v>
      </c>
      <c r="EK97" s="528">
        <f t="shared" si="257"/>
        <v>4.0012144521965463E-2</v>
      </c>
      <c r="EL97" s="528">
        <f t="shared" si="258"/>
        <v>5.7355021998030241E-2</v>
      </c>
      <c r="EM97">
        <f t="shared" si="259"/>
        <v>1.0800000000000001E-2</v>
      </c>
      <c r="EN97" s="460">
        <f t="shared" si="297"/>
        <v>50.812144521965457</v>
      </c>
      <c r="EO97">
        <f t="shared" si="260"/>
        <v>1.4029909658331337</v>
      </c>
      <c r="EP97" s="460">
        <f t="shared" si="298"/>
        <v>1402.9909658331337</v>
      </c>
      <c r="EQ97" s="173">
        <f t="shared" si="261"/>
        <v>0.79856000000000005</v>
      </c>
      <c r="ER97" s="173">
        <f t="shared" si="262"/>
        <v>5.7040000000000007E-2</v>
      </c>
      <c r="ES97" s="528"/>
      <c r="EU97" s="460">
        <f t="shared" si="299"/>
        <v>855.6</v>
      </c>
      <c r="EV97" s="528">
        <f t="shared" si="263"/>
        <v>9.7053192417340922E-2</v>
      </c>
      <c r="EW97" s="528">
        <f t="shared" si="300"/>
        <v>6.2899898956145478E-2</v>
      </c>
      <c r="EX97" s="528">
        <f t="shared" si="264"/>
        <v>1.0511668924622383E-4</v>
      </c>
      <c r="EY97" s="528">
        <f t="shared" si="265"/>
        <v>1.491387900862934</v>
      </c>
      <c r="EZ97" s="528">
        <f t="shared" si="266"/>
        <v>1.7117788188888092</v>
      </c>
      <c r="FA97" s="625">
        <f t="shared" si="267"/>
        <v>0.95403575526298756</v>
      </c>
      <c r="FB97" s="460">
        <f t="shared" si="301"/>
        <v>2665.8145741517969</v>
      </c>
      <c r="FC97" s="173">
        <f t="shared" si="302"/>
        <v>4.9244055399849307</v>
      </c>
      <c r="FD97" s="5">
        <f t="shared" si="303"/>
        <v>23.736000000000001</v>
      </c>
      <c r="FE97" s="173">
        <f t="shared" si="304"/>
        <v>0.82818088414294222</v>
      </c>
      <c r="FF97" s="5">
        <f t="shared" si="305"/>
        <v>82.818088414294223</v>
      </c>
      <c r="FG97">
        <f t="shared" si="306"/>
        <v>92</v>
      </c>
      <c r="FI97" s="562">
        <f t="shared" si="268"/>
        <v>-50</v>
      </c>
      <c r="FJ97">
        <f t="shared" si="269"/>
        <v>-50</v>
      </c>
      <c r="FL97">
        <f t="shared" si="270"/>
        <v>0.58114024475735249</v>
      </c>
    </row>
    <row r="98" spans="5:169">
      <c r="E98" s="170">
        <v>93</v>
      </c>
      <c r="F98" s="217">
        <f t="shared" si="307"/>
        <v>0.93</v>
      </c>
      <c r="G98" s="217">
        <f t="shared" si="271"/>
        <v>9.3000000000000013E-2</v>
      </c>
      <c r="H98" s="217">
        <f t="shared" si="176"/>
        <v>22.32</v>
      </c>
      <c r="I98" s="217">
        <f t="shared" si="308"/>
        <v>1.6740000000000002</v>
      </c>
      <c r="J98" s="541">
        <f t="shared" si="177"/>
        <v>23.785901679821045</v>
      </c>
      <c r="K98" s="443">
        <f t="shared" si="178"/>
        <v>16.506922046602142</v>
      </c>
      <c r="L98" s="172">
        <f t="shared" si="179"/>
        <v>40.292823726423187</v>
      </c>
      <c r="M98" s="443"/>
      <c r="N98" s="217">
        <f t="shared" si="180"/>
        <v>0.40967399452268344</v>
      </c>
      <c r="O98" s="172">
        <f t="shared" si="272"/>
        <v>50.358994080083164</v>
      </c>
      <c r="P98" s="172">
        <f t="shared" si="181"/>
        <v>4.0601938977067045</v>
      </c>
      <c r="Q98" s="217">
        <f t="shared" si="182"/>
        <v>2.098291420003465</v>
      </c>
      <c r="R98" s="217">
        <f t="shared" si="183"/>
        <v>2.7977218933379535</v>
      </c>
      <c r="S98" s="443">
        <f t="shared" si="184"/>
        <v>24</v>
      </c>
      <c r="T98" s="217">
        <f t="shared" si="185"/>
        <v>4.9246416559794479</v>
      </c>
      <c r="U98" s="217">
        <f t="shared" si="186"/>
        <v>2.0704036038950355</v>
      </c>
      <c r="V98" s="217">
        <f t="shared" si="187"/>
        <v>2.9833797252305785</v>
      </c>
      <c r="W98" s="197">
        <f t="shared" si="188"/>
        <v>350</v>
      </c>
      <c r="X98" s="443">
        <f t="shared" si="273"/>
        <v>190.33902568007684</v>
      </c>
      <c r="Z98" s="217">
        <f t="shared" si="189"/>
        <v>2.7841329584274552</v>
      </c>
      <c r="AA98" s="173">
        <f t="shared" si="190"/>
        <v>1.6866457299351902</v>
      </c>
      <c r="AB98" s="173">
        <f t="shared" si="191"/>
        <v>0.54812262037008563</v>
      </c>
      <c r="AC98" s="173"/>
      <c r="AD98" s="173">
        <f t="shared" si="192"/>
        <v>1.3462365763577679</v>
      </c>
      <c r="AE98" s="545">
        <f t="shared" si="193"/>
        <v>932.13376144718075</v>
      </c>
      <c r="AF98" s="528">
        <f t="shared" si="194"/>
        <v>0.34919880972302325</v>
      </c>
      <c r="AH98" s="173">
        <f t="shared" si="195"/>
        <v>3.702817460104824</v>
      </c>
      <c r="AI98" s="173">
        <f t="shared" si="196"/>
        <v>4.9246416559794479</v>
      </c>
      <c r="AJ98" s="173">
        <f t="shared" si="197"/>
        <v>3.2017921731535006</v>
      </c>
      <c r="AL98" s="545">
        <f t="shared" si="198"/>
        <v>930</v>
      </c>
      <c r="AM98" s="460">
        <f t="shared" si="199"/>
        <v>190.33902568007684</v>
      </c>
      <c r="AO98">
        <f t="shared" si="274"/>
        <v>930</v>
      </c>
      <c r="AP98">
        <f t="shared" si="200"/>
        <v>190.33902568007684</v>
      </c>
      <c r="AR98" s="5">
        <f t="shared" si="275"/>
        <v>5.2537833291256142</v>
      </c>
      <c r="AS98" s="5">
        <f t="shared" si="201"/>
        <v>2.0704036038950355</v>
      </c>
      <c r="AT98" s="5">
        <f t="shared" si="276"/>
        <v>3.1833797252305787</v>
      </c>
      <c r="AU98" s="173">
        <f t="shared" si="277"/>
        <v>0.39407860472990086</v>
      </c>
      <c r="AW98" s="5">
        <f t="shared" si="202"/>
        <v>8.0228139650932633</v>
      </c>
      <c r="AX98" s="5">
        <f t="shared" si="203"/>
        <v>1.0697085286791017</v>
      </c>
      <c r="AY98" s="5">
        <f t="shared" si="204"/>
        <v>2.4893259749543466</v>
      </c>
      <c r="AZ98" s="5"/>
      <c r="BA98" s="173">
        <f t="shared" si="278"/>
        <v>1.784865254736421</v>
      </c>
      <c r="BB98" s="173">
        <f t="shared" si="205"/>
        <v>1.4762094624200617</v>
      </c>
      <c r="BC98" s="173">
        <f t="shared" si="206"/>
        <v>0.14782043400719805</v>
      </c>
      <c r="BD98" s="173"/>
      <c r="BE98" s="528">
        <f t="shared" si="207"/>
        <v>0.12742975910261237</v>
      </c>
      <c r="BF98" s="528">
        <f t="shared" si="208"/>
        <v>0.84979211720691783</v>
      </c>
      <c r="BG98" s="528">
        <f t="shared" si="209"/>
        <v>0.18109541402636964</v>
      </c>
      <c r="BH98" s="528">
        <f t="shared" si="210"/>
        <v>5.4078084282320804E-2</v>
      </c>
      <c r="BI98">
        <f t="shared" si="211"/>
        <v>1.0703655755919471E-2</v>
      </c>
      <c r="BJ98" s="460">
        <f t="shared" si="279"/>
        <v>191.79906978228911</v>
      </c>
      <c r="BK98">
        <f t="shared" si="212"/>
        <v>1.098980159356524</v>
      </c>
      <c r="BL98" s="460">
        <f t="shared" si="280"/>
        <v>1098.9801593565242</v>
      </c>
      <c r="BM98" s="173">
        <f t="shared" si="213"/>
        <v>0.80724000000000007</v>
      </c>
      <c r="BN98" s="173">
        <f t="shared" si="214"/>
        <v>5.766000000000001E-2</v>
      </c>
      <c r="BO98" s="528"/>
      <c r="BQ98" s="460">
        <f t="shared" si="281"/>
        <v>864.90000000000009</v>
      </c>
      <c r="BR98" s="528">
        <f t="shared" si="215"/>
        <v>9.5572319326959268E-2</v>
      </c>
      <c r="BS98" s="528">
        <f t="shared" si="216"/>
        <v>6.5375831308155816E-2</v>
      </c>
      <c r="BT98" s="528">
        <f t="shared" si="217"/>
        <v>1.0925440355038196E-4</v>
      </c>
      <c r="BU98" s="528">
        <f t="shared" si="218"/>
        <v>1.3450121108796627</v>
      </c>
      <c r="BV98" s="528">
        <f t="shared" si="219"/>
        <v>1.5648862141542044</v>
      </c>
      <c r="BW98" s="625">
        <f t="shared" si="220"/>
        <v>0.92322404334265795</v>
      </c>
      <c r="BX98" s="460">
        <f t="shared" si="282"/>
        <v>2488.1102574968622</v>
      </c>
      <c r="BY98" s="173">
        <f t="shared" si="283"/>
        <v>4.4519904168533868</v>
      </c>
      <c r="BZ98" s="5">
        <f t="shared" si="284"/>
        <v>23.994</v>
      </c>
      <c r="CA98" s="173">
        <f t="shared" si="285"/>
        <v>0.8434932181438225</v>
      </c>
      <c r="CB98" s="5">
        <f t="shared" si="286"/>
        <v>84.34932181438225</v>
      </c>
      <c r="CC98">
        <f t="shared" si="287"/>
        <v>93</v>
      </c>
      <c r="CE98" s="562">
        <f t="shared" si="221"/>
        <v>-50</v>
      </c>
      <c r="CF98">
        <f t="shared" si="222"/>
        <v>-50</v>
      </c>
      <c r="CG98" s="173">
        <f t="shared" si="223"/>
        <v>0.58114024475735238</v>
      </c>
      <c r="CH98" s="173">
        <f t="shared" si="224"/>
        <v>0.1583991712777521</v>
      </c>
      <c r="CI98" s="170">
        <v>93</v>
      </c>
      <c r="CJ98" s="217">
        <f t="shared" si="309"/>
        <v>0.93</v>
      </c>
      <c r="CK98" s="217">
        <f t="shared" si="288"/>
        <v>9.3000000000000013E-2</v>
      </c>
      <c r="CL98" s="217">
        <f t="shared" si="225"/>
        <v>22.32</v>
      </c>
      <c r="CM98" s="217">
        <f t="shared" si="310"/>
        <v>1.6740000000000002</v>
      </c>
      <c r="CN98" s="541">
        <f t="shared" si="289"/>
        <v>24</v>
      </c>
      <c r="CO98" s="443">
        <f t="shared" si="226"/>
        <v>16.474900000000002</v>
      </c>
      <c r="CP98" s="443">
        <f t="shared" si="227"/>
        <v>40.474900000000005</v>
      </c>
      <c r="CQ98" s="443"/>
      <c r="CR98" s="217">
        <f t="shared" si="228"/>
        <v>0.40507913686898112</v>
      </c>
      <c r="CS98" s="172">
        <f t="shared" si="290"/>
        <v>50.242373565144938</v>
      </c>
      <c r="CT98" s="172">
        <f t="shared" si="229"/>
        <v>4.0507913686898105</v>
      </c>
      <c r="CU98" s="217">
        <f t="shared" si="230"/>
        <v>2.0934322318810392</v>
      </c>
      <c r="CV98" s="217">
        <f t="shared" si="231"/>
        <v>2.7912429758413855</v>
      </c>
      <c r="CW98" s="443">
        <f t="shared" si="232"/>
        <v>24</v>
      </c>
      <c r="CX98" s="217">
        <f t="shared" si="233"/>
        <v>4.9360725300614998</v>
      </c>
      <c r="CY98" s="217">
        <f t="shared" si="234"/>
        <v>2.0566968875256251</v>
      </c>
      <c r="CZ98" s="217">
        <f t="shared" si="235"/>
        <v>2.996116838379292</v>
      </c>
      <c r="DA98" s="197">
        <f t="shared" si="236"/>
        <v>350</v>
      </c>
      <c r="DB98" s="443">
        <f t="shared" si="291"/>
        <v>197.90953204413017</v>
      </c>
      <c r="DD98" s="217">
        <f t="shared" si="237"/>
        <v>2.7911308701724487</v>
      </c>
      <c r="DE98" s="173">
        <f t="shared" si="238"/>
        <v>1.6941716612376698</v>
      </c>
      <c r="DF98" s="173">
        <f t="shared" si="239"/>
        <v>0.55195223422072148</v>
      </c>
      <c r="DG98" s="173"/>
      <c r="DH98" s="173">
        <f t="shared" si="240"/>
        <v>1.3488532386977903</v>
      </c>
      <c r="DI98" s="545">
        <f t="shared" si="241"/>
        <v>930.32549999999981</v>
      </c>
      <c r="DJ98" s="528">
        <f t="shared" si="242"/>
        <v>0.34987754285999911</v>
      </c>
      <c r="DL98" s="173">
        <f t="shared" si="243"/>
        <v>3.702817460104824</v>
      </c>
      <c r="DM98" s="173">
        <f t="shared" si="244"/>
        <v>4.9360725300614998</v>
      </c>
      <c r="DN98" s="173">
        <f t="shared" si="245"/>
        <v>3.2102594872883534</v>
      </c>
      <c r="DP98" s="545">
        <f t="shared" si="246"/>
        <v>930</v>
      </c>
      <c r="DQ98" s="460">
        <f t="shared" si="247"/>
        <v>197.90953204413017</v>
      </c>
      <c r="DS98">
        <f t="shared" si="311"/>
        <v>930</v>
      </c>
      <c r="DT98">
        <f t="shared" si="312"/>
        <v>197.90953204413017</v>
      </c>
      <c r="DV98" s="5">
        <f t="shared" si="293"/>
        <v>5.052813725904918</v>
      </c>
      <c r="DW98" s="5">
        <f t="shared" si="249"/>
        <v>2.0566968875256251</v>
      </c>
      <c r="DX98" s="5">
        <f t="shared" si="294"/>
        <v>2.9961168383792929</v>
      </c>
      <c r="DY98" s="173">
        <f t="shared" si="295"/>
        <v>0.40703991856681543</v>
      </c>
      <c r="EA98" s="5">
        <f t="shared" si="250"/>
        <v>7.9697004391617972</v>
      </c>
      <c r="EB98" s="5">
        <f t="shared" si="251"/>
        <v>1.0626267252215731</v>
      </c>
      <c r="EC98" s="5">
        <f t="shared" si="252"/>
        <v>2.3219905497439521</v>
      </c>
      <c r="ED98" s="5"/>
      <c r="EE98" s="173">
        <f t="shared" si="296"/>
        <v>1.8181905933594107</v>
      </c>
      <c r="EF98" s="173">
        <f t="shared" si="253"/>
        <v>1.463724923228745</v>
      </c>
      <c r="EG98" s="173">
        <f t="shared" si="254"/>
        <v>0.14657029298817567</v>
      </c>
      <c r="EH98" s="173"/>
      <c r="EI98" s="528">
        <f t="shared" si="255"/>
        <v>0.13223268135122584</v>
      </c>
      <c r="EJ98" s="528">
        <f t="shared" si="256"/>
        <v>1.0873434</v>
      </c>
      <c r="EK98" s="528">
        <f t="shared" si="257"/>
        <v>3.9581906408826036E-2</v>
      </c>
      <c r="EL98" s="528">
        <f t="shared" si="258"/>
        <v>5.6738301331384744E-2</v>
      </c>
      <c r="EM98">
        <f t="shared" si="259"/>
        <v>1.0800000000000001E-2</v>
      </c>
      <c r="EN98" s="460">
        <f t="shared" si="297"/>
        <v>50.381906408826033</v>
      </c>
      <c r="EO98">
        <f t="shared" si="260"/>
        <v>1.4065921061703581</v>
      </c>
      <c r="EP98" s="460">
        <f t="shared" si="298"/>
        <v>1406.5921061703582</v>
      </c>
      <c r="EQ98" s="173">
        <f t="shared" si="261"/>
        <v>0.80724000000000007</v>
      </c>
      <c r="ER98" s="173">
        <f t="shared" si="262"/>
        <v>5.766000000000001E-2</v>
      </c>
      <c r="ES98" s="528"/>
      <c r="EU98" s="460">
        <f t="shared" si="299"/>
        <v>864.90000000000009</v>
      </c>
      <c r="EV98" s="528">
        <f t="shared" si="263"/>
        <v>9.9174511013419384E-2</v>
      </c>
      <c r="EW98" s="528">
        <f t="shared" si="300"/>
        <v>6.4274719526429852E-2</v>
      </c>
      <c r="EX98" s="528">
        <f t="shared" si="264"/>
        <v>1.0741425393319829E-4</v>
      </c>
      <c r="EY98" s="528">
        <f t="shared" si="265"/>
        <v>1.4913879008629312</v>
      </c>
      <c r="EZ98" s="528">
        <f t="shared" si="266"/>
        <v>1.7166598301732534</v>
      </c>
      <c r="FA98" s="625">
        <f t="shared" si="267"/>
        <v>0.96440570912454127</v>
      </c>
      <c r="FB98" s="460">
        <f t="shared" si="301"/>
        <v>2681.0655392977947</v>
      </c>
      <c r="FC98" s="173">
        <f t="shared" si="302"/>
        <v>4.9525576454681532</v>
      </c>
      <c r="FD98" s="5">
        <f t="shared" si="303"/>
        <v>23.994</v>
      </c>
      <c r="FE98" s="173">
        <f t="shared" si="304"/>
        <v>0.82890685289331734</v>
      </c>
      <c r="FF98" s="5">
        <f t="shared" si="305"/>
        <v>82.890685289331728</v>
      </c>
      <c r="FG98">
        <f t="shared" si="306"/>
        <v>93</v>
      </c>
      <c r="FI98" s="562">
        <f t="shared" si="268"/>
        <v>-50</v>
      </c>
      <c r="FJ98">
        <f t="shared" si="269"/>
        <v>-50</v>
      </c>
      <c r="FL98">
        <f t="shared" si="270"/>
        <v>0.58114024475735238</v>
      </c>
    </row>
    <row r="99" spans="5:169">
      <c r="E99" s="170">
        <v>94</v>
      </c>
      <c r="F99" s="217">
        <f t="shared" si="307"/>
        <v>0.94</v>
      </c>
      <c r="G99" s="217">
        <f t="shared" si="271"/>
        <v>9.4E-2</v>
      </c>
      <c r="H99" s="217">
        <f t="shared" si="176"/>
        <v>22.56</v>
      </c>
      <c r="I99" s="217">
        <f t="shared" si="308"/>
        <v>1.6919999999999999</v>
      </c>
      <c r="J99" s="541">
        <f t="shared" si="177"/>
        <v>23.783599547346004</v>
      </c>
      <c r="K99" s="443">
        <f t="shared" si="178"/>
        <v>16.507266369683887</v>
      </c>
      <c r="L99" s="172">
        <f t="shared" si="179"/>
        <v>40.29086591702989</v>
      </c>
      <c r="M99" s="443"/>
      <c r="N99" s="217">
        <f t="shared" si="180"/>
        <v>0.40970244729107941</v>
      </c>
      <c r="O99" s="172">
        <f t="shared" si="272"/>
        <v>50.357617260664945</v>
      </c>
      <c r="P99" s="172">
        <f t="shared" si="181"/>
        <v>4.0600828916411107</v>
      </c>
      <c r="Q99" s="217">
        <f t="shared" si="182"/>
        <v>2.0982340525277059</v>
      </c>
      <c r="R99" s="217">
        <f t="shared" si="183"/>
        <v>2.7976454033702747</v>
      </c>
      <c r="S99" s="443">
        <f t="shared" si="184"/>
        <v>24</v>
      </c>
      <c r="T99" s="217">
        <f t="shared" si="185"/>
        <v>4.9777308836743943</v>
      </c>
      <c r="U99" s="217">
        <f t="shared" si="186"/>
        <v>2.0929257885313901</v>
      </c>
      <c r="V99" s="217">
        <f t="shared" si="187"/>
        <v>3.0154786214731191</v>
      </c>
      <c r="W99" s="197">
        <f t="shared" si="188"/>
        <v>350</v>
      </c>
      <c r="X99" s="443">
        <f t="shared" si="273"/>
        <v>188.38052317855539</v>
      </c>
      <c r="Z99" s="217">
        <f t="shared" si="189"/>
        <v>2.7840568399824761</v>
      </c>
      <c r="AA99" s="173">
        <f t="shared" si="190"/>
        <v>1.6865644363112018</v>
      </c>
      <c r="AB99" s="173">
        <f t="shared" si="191"/>
        <v>0.54808121673793631</v>
      </c>
      <c r="AC99" s="173"/>
      <c r="AD99" s="173">
        <f t="shared" si="192"/>
        <v>1.3462084953711073</v>
      </c>
      <c r="AE99" s="545">
        <f t="shared" si="193"/>
        <v>942.17635786186713</v>
      </c>
      <c r="AF99" s="528">
        <f t="shared" si="194"/>
        <v>0.34919152582709451</v>
      </c>
      <c r="AH99" s="173">
        <f t="shared" si="195"/>
        <v>3.7226718515450314</v>
      </c>
      <c r="AI99" s="173">
        <f t="shared" si="196"/>
        <v>4.9777308836743943</v>
      </c>
      <c r="AJ99" s="173">
        <f t="shared" si="197"/>
        <v>3.2411175270016086</v>
      </c>
      <c r="AL99" s="545">
        <f t="shared" si="198"/>
        <v>940</v>
      </c>
      <c r="AM99" s="460">
        <f t="shared" si="199"/>
        <v>188.38052317855539</v>
      </c>
      <c r="AO99">
        <f t="shared" si="274"/>
        <v>940</v>
      </c>
      <c r="AP99">
        <f t="shared" si="200"/>
        <v>188.38052317855539</v>
      </c>
      <c r="AR99" s="5">
        <f t="shared" si="275"/>
        <v>5.3084044100045089</v>
      </c>
      <c r="AS99" s="5">
        <f t="shared" si="201"/>
        <v>2.0929257885313901</v>
      </c>
      <c r="AT99" s="5">
        <f t="shared" si="276"/>
        <v>3.2154786214731188</v>
      </c>
      <c r="AU99" s="173">
        <f t="shared" si="277"/>
        <v>0.39426645501743385</v>
      </c>
      <c r="AW99" s="5">
        <f t="shared" si="202"/>
        <v>8.1972926717479435</v>
      </c>
      <c r="AX99" s="5">
        <f t="shared" si="203"/>
        <v>1.0929723562330593</v>
      </c>
      <c r="AY99" s="5">
        <f t="shared" si="204"/>
        <v>2.5417093810108446</v>
      </c>
      <c r="AZ99" s="5"/>
      <c r="BA99" s="173">
        <f t="shared" si="278"/>
        <v>1.8045366202998248</v>
      </c>
      <c r="BB99" s="173">
        <f t="shared" si="205"/>
        <v>1.4918921621227228</v>
      </c>
      <c r="BC99" s="173">
        <f t="shared" si="206"/>
        <v>0.14939082326120773</v>
      </c>
      <c r="BD99" s="173"/>
      <c r="BE99" s="528">
        <f t="shared" si="207"/>
        <v>0.13025409656012454</v>
      </c>
      <c r="BF99" s="528">
        <f t="shared" si="208"/>
        <v>0.8500736045302173</v>
      </c>
      <c r="BG99" s="528">
        <f t="shared" si="209"/>
        <v>0.17921467703193172</v>
      </c>
      <c r="BH99" s="528">
        <f t="shared" si="210"/>
        <v>5.3516444192685926E-2</v>
      </c>
      <c r="BI99">
        <f t="shared" si="211"/>
        <v>1.0702619796305702E-2</v>
      </c>
      <c r="BJ99" s="460">
        <f t="shared" si="279"/>
        <v>189.91729682823743</v>
      </c>
      <c r="BK99">
        <f t="shared" si="212"/>
        <v>1.1031535595701509</v>
      </c>
      <c r="BL99" s="460">
        <f t="shared" si="280"/>
        <v>1103.1535595701509</v>
      </c>
      <c r="BM99" s="173">
        <f t="shared" si="213"/>
        <v>0.81591999999999987</v>
      </c>
      <c r="BN99" s="173">
        <f t="shared" si="214"/>
        <v>5.8279999999999998E-2</v>
      </c>
      <c r="BO99" s="528"/>
      <c r="BQ99" s="460">
        <f t="shared" si="281"/>
        <v>874.19999999999982</v>
      </c>
      <c r="BR99" s="528">
        <f t="shared" si="215"/>
        <v>9.7690572420093408E-2</v>
      </c>
      <c r="BS99" s="528">
        <f t="shared" si="216"/>
        <v>6.6772266702096378E-2</v>
      </c>
      <c r="BT99" s="528">
        <f t="shared" si="217"/>
        <v>1.1158809037330701E-4</v>
      </c>
      <c r="BU99" s="528">
        <f t="shared" si="218"/>
        <v>1.3462897337722324</v>
      </c>
      <c r="BV99" s="528">
        <f t="shared" si="219"/>
        <v>1.571046347740108</v>
      </c>
      <c r="BW99" s="625">
        <f t="shared" si="220"/>
        <v>0.9335311644149894</v>
      </c>
      <c r="BX99" s="460">
        <f t="shared" si="282"/>
        <v>2504.5775121550973</v>
      </c>
      <c r="BY99" s="173">
        <f t="shared" si="283"/>
        <v>4.4819310717252483</v>
      </c>
      <c r="BZ99" s="5">
        <f t="shared" si="284"/>
        <v>24.251999999999999</v>
      </c>
      <c r="CA99" s="173">
        <f t="shared" si="285"/>
        <v>0.84401956486435792</v>
      </c>
      <c r="CB99" s="5">
        <f t="shared" si="286"/>
        <v>84.401956486435793</v>
      </c>
      <c r="CC99">
        <f t="shared" si="287"/>
        <v>94</v>
      </c>
      <c r="CE99" s="562">
        <f t="shared" si="221"/>
        <v>-50</v>
      </c>
      <c r="CF99">
        <f t="shared" si="222"/>
        <v>-50</v>
      </c>
      <c r="CG99" s="173">
        <f t="shared" si="223"/>
        <v>0.58114024475735238</v>
      </c>
      <c r="CH99" s="173">
        <f t="shared" si="224"/>
        <v>0.15839917127775208</v>
      </c>
      <c r="CI99" s="170">
        <v>94</v>
      </c>
      <c r="CJ99" s="217">
        <f t="shared" si="309"/>
        <v>0.94</v>
      </c>
      <c r="CK99" s="217">
        <f t="shared" si="288"/>
        <v>9.4E-2</v>
      </c>
      <c r="CL99" s="217">
        <f t="shared" si="225"/>
        <v>22.56</v>
      </c>
      <c r="CM99" s="217">
        <f t="shared" si="310"/>
        <v>1.6919999999999999</v>
      </c>
      <c r="CN99" s="541">
        <f t="shared" si="289"/>
        <v>24</v>
      </c>
      <c r="CO99" s="443">
        <f t="shared" si="226"/>
        <v>16.474900000000002</v>
      </c>
      <c r="CP99" s="443">
        <f t="shared" si="227"/>
        <v>40.474900000000005</v>
      </c>
      <c r="CQ99" s="443"/>
      <c r="CR99" s="217">
        <f t="shared" si="228"/>
        <v>0.40507913686898112</v>
      </c>
      <c r="CS99" s="172">
        <f t="shared" si="290"/>
        <v>50.242373565144938</v>
      </c>
      <c r="CT99" s="172">
        <f t="shared" si="229"/>
        <v>4.0507913686898105</v>
      </c>
      <c r="CU99" s="217">
        <f t="shared" si="230"/>
        <v>2.0934322318810392</v>
      </c>
      <c r="CV99" s="217">
        <f t="shared" si="231"/>
        <v>2.7912429758413855</v>
      </c>
      <c r="CW99" s="443">
        <f t="shared" si="232"/>
        <v>24</v>
      </c>
      <c r="CX99" s="217">
        <f t="shared" si="233"/>
        <v>4.9891485787718386</v>
      </c>
      <c r="CY99" s="217">
        <f t="shared" si="234"/>
        <v>2.0788119078215996</v>
      </c>
      <c r="CZ99" s="217">
        <f t="shared" si="235"/>
        <v>3.0283331484693918</v>
      </c>
      <c r="DA99" s="197">
        <f t="shared" si="236"/>
        <v>350</v>
      </c>
      <c r="DB99" s="443">
        <f t="shared" si="291"/>
        <v>195.80411149046921</v>
      </c>
      <c r="DD99" s="217">
        <f t="shared" si="237"/>
        <v>2.7911308701724487</v>
      </c>
      <c r="DE99" s="173">
        <f t="shared" si="238"/>
        <v>1.6941716612376698</v>
      </c>
      <c r="DF99" s="173">
        <f t="shared" si="239"/>
        <v>0.55195223422072148</v>
      </c>
      <c r="DG99" s="173"/>
      <c r="DH99" s="173">
        <f t="shared" si="240"/>
        <v>1.3488532386977903</v>
      </c>
      <c r="DI99" s="545">
        <f t="shared" si="241"/>
        <v>940.32899999999961</v>
      </c>
      <c r="DJ99" s="528">
        <f t="shared" si="242"/>
        <v>0.34987754285999911</v>
      </c>
      <c r="DL99" s="173">
        <f t="shared" si="243"/>
        <v>3.7226718515450314</v>
      </c>
      <c r="DM99" s="173">
        <f t="shared" si="244"/>
        <v>4.9891485787718386</v>
      </c>
      <c r="DN99" s="173">
        <f t="shared" si="245"/>
        <v>3.2495750789256412</v>
      </c>
      <c r="DP99" s="545">
        <f t="shared" si="246"/>
        <v>940</v>
      </c>
      <c r="DQ99" s="460">
        <f t="shared" si="247"/>
        <v>195.80411149046921</v>
      </c>
      <c r="DS99">
        <f t="shared" si="311"/>
        <v>940</v>
      </c>
      <c r="DT99">
        <f t="shared" si="312"/>
        <v>195.80411149046921</v>
      </c>
      <c r="DV99" s="5">
        <f t="shared" si="293"/>
        <v>5.1071450562909915</v>
      </c>
      <c r="DW99" s="5">
        <f t="shared" si="249"/>
        <v>2.0788119078215996</v>
      </c>
      <c r="DX99" s="5">
        <f t="shared" si="294"/>
        <v>3.0283331484693918</v>
      </c>
      <c r="DY99" s="173">
        <f t="shared" si="295"/>
        <v>0.40703991856681554</v>
      </c>
      <c r="EA99" s="5">
        <f t="shared" si="250"/>
        <v>8.1420133056345971</v>
      </c>
      <c r="EB99" s="5">
        <f t="shared" si="251"/>
        <v>1.0856017740846131</v>
      </c>
      <c r="EC99" s="5">
        <f t="shared" si="252"/>
        <v>2.3721942996343564</v>
      </c>
      <c r="ED99" s="5"/>
      <c r="EE99" s="173">
        <f t="shared" si="296"/>
        <v>1.8377410298471462</v>
      </c>
      <c r="EF99" s="173">
        <f t="shared" si="253"/>
        <v>1.4794639008978712</v>
      </c>
      <c r="EG99" s="173">
        <f t="shared" si="254"/>
        <v>0.14814631764396247</v>
      </c>
      <c r="EH99" s="173"/>
      <c r="EI99" s="528">
        <f t="shared" si="255"/>
        <v>0.13509168371134597</v>
      </c>
      <c r="EJ99" s="528">
        <f t="shared" si="256"/>
        <v>1.0873434</v>
      </c>
      <c r="EK99" s="528">
        <f t="shared" si="257"/>
        <v>3.9160822298093839E-2</v>
      </c>
      <c r="EL99" s="528">
        <f t="shared" si="258"/>
        <v>5.6134702381050859E-2</v>
      </c>
      <c r="EM99">
        <f t="shared" si="259"/>
        <v>1.0800000000000001E-2</v>
      </c>
      <c r="EN99" s="460">
        <f t="shared" si="297"/>
        <v>49.960822298093845</v>
      </c>
      <c r="EO99">
        <f t="shared" si="260"/>
        <v>1.4102719680753453</v>
      </c>
      <c r="EP99" s="460">
        <f t="shared" si="298"/>
        <v>1410.2719680753453</v>
      </c>
      <c r="EQ99" s="173">
        <f t="shared" si="261"/>
        <v>0.81591999999999987</v>
      </c>
      <c r="ER99" s="173">
        <f t="shared" si="262"/>
        <v>5.8279999999999998E-2</v>
      </c>
      <c r="ES99" s="528"/>
      <c r="EU99" s="460">
        <f t="shared" si="299"/>
        <v>874.19999999999982</v>
      </c>
      <c r="EV99" s="528">
        <f t="shared" si="263"/>
        <v>0.10131876278350947</v>
      </c>
      <c r="EW99" s="528">
        <f t="shared" si="300"/>
        <v>6.5664403021798379E-2</v>
      </c>
      <c r="EX99" s="528">
        <f t="shared" si="264"/>
        <v>1.0973665715732913E-4</v>
      </c>
      <c r="EY99" s="528">
        <f t="shared" si="265"/>
        <v>1.4913879008629327</v>
      </c>
      <c r="EZ99" s="528">
        <f t="shared" si="266"/>
        <v>1.7215964233764673</v>
      </c>
      <c r="FA99" s="625">
        <f t="shared" si="267"/>
        <v>0.97477566298609564</v>
      </c>
      <c r="FB99" s="460">
        <f t="shared" si="301"/>
        <v>2696.3720863625631</v>
      </c>
      <c r="FC99" s="173">
        <f t="shared" si="302"/>
        <v>4.9808440544379078</v>
      </c>
      <c r="FD99" s="5">
        <f t="shared" si="303"/>
        <v>24.251999999999999</v>
      </c>
      <c r="FE99" s="173">
        <f t="shared" si="304"/>
        <v>0.8296147974804472</v>
      </c>
      <c r="FF99" s="5">
        <f t="shared" si="305"/>
        <v>82.961479748044724</v>
      </c>
      <c r="FG99">
        <f t="shared" si="306"/>
        <v>94</v>
      </c>
      <c r="FI99" s="562">
        <f t="shared" si="268"/>
        <v>-50</v>
      </c>
      <c r="FJ99">
        <f t="shared" si="269"/>
        <v>-50</v>
      </c>
      <c r="FL99">
        <f t="shared" si="270"/>
        <v>0.58114024475735238</v>
      </c>
    </row>
    <row r="100" spans="5:169">
      <c r="E100" s="170">
        <v>95</v>
      </c>
      <c r="F100" s="217">
        <f t="shared" si="307"/>
        <v>0.95</v>
      </c>
      <c r="G100" s="217">
        <f t="shared" si="271"/>
        <v>9.5000000000000001E-2</v>
      </c>
      <c r="H100" s="217">
        <f t="shared" si="176"/>
        <v>22.799999999999997</v>
      </c>
      <c r="I100" s="217">
        <f t="shared" si="308"/>
        <v>1.71</v>
      </c>
      <c r="J100" s="541">
        <f t="shared" si="177"/>
        <v>23.781297414870959</v>
      </c>
      <c r="K100" s="443">
        <f t="shared" si="178"/>
        <v>16.507610692765628</v>
      </c>
      <c r="L100" s="172">
        <f t="shared" si="179"/>
        <v>40.288908107636587</v>
      </c>
      <c r="M100" s="443"/>
      <c r="N100" s="217">
        <f t="shared" si="180"/>
        <v>0.40973090282475744</v>
      </c>
      <c r="O100" s="172">
        <f t="shared" si="272"/>
        <v>50.356240104078282</v>
      </c>
      <c r="P100" s="172">
        <f t="shared" si="181"/>
        <v>4.0599718583913118</v>
      </c>
      <c r="Q100" s="217">
        <f t="shared" si="182"/>
        <v>2.0981766710032619</v>
      </c>
      <c r="R100" s="217">
        <f t="shared" si="183"/>
        <v>2.7975688946710155</v>
      </c>
      <c r="S100" s="443">
        <f t="shared" si="184"/>
        <v>24</v>
      </c>
      <c r="T100" s="217">
        <f t="shared" si="185"/>
        <v>5.0308230481412801</v>
      </c>
      <c r="U100" s="217">
        <f t="shared" si="186"/>
        <v>2.1154535685657749</v>
      </c>
      <c r="V100" s="217">
        <f t="shared" si="187"/>
        <v>3.0475779576907591</v>
      </c>
      <c r="W100" s="197">
        <f t="shared" si="188"/>
        <v>350</v>
      </c>
      <c r="X100" s="443">
        <f t="shared" si="273"/>
        <v>186.46170456096741</v>
      </c>
      <c r="Z100" s="217">
        <f t="shared" si="189"/>
        <v>2.783980702896899</v>
      </c>
      <c r="AA100" s="173">
        <f t="shared" si="190"/>
        <v>1.6864831347864075</v>
      </c>
      <c r="AB100" s="173">
        <f t="shared" si="191"/>
        <v>0.54803980831342536</v>
      </c>
      <c r="AC100" s="173"/>
      <c r="AD100" s="173">
        <f t="shared" si="192"/>
        <v>1.3461804155558985</v>
      </c>
      <c r="AE100" s="545">
        <f t="shared" si="193"/>
        <v>952.21937242002593</v>
      </c>
      <c r="AF100" s="528">
        <f t="shared" si="194"/>
        <v>0.34918424223502725</v>
      </c>
      <c r="AH100" s="173">
        <f t="shared" si="195"/>
        <v>3.7424209124194308</v>
      </c>
      <c r="AI100" s="173">
        <f t="shared" si="196"/>
        <v>5.0308230481412801</v>
      </c>
      <c r="AJ100" s="173">
        <f t="shared" si="197"/>
        <v>3.2804450562363385</v>
      </c>
      <c r="AL100" s="545">
        <f t="shared" si="198"/>
        <v>950</v>
      </c>
      <c r="AM100" s="460">
        <f t="shared" si="199"/>
        <v>186.46170456096741</v>
      </c>
      <c r="AO100">
        <f t="shared" si="274"/>
        <v>950</v>
      </c>
      <c r="AP100">
        <f t="shared" si="200"/>
        <v>186.46170456096741</v>
      </c>
      <c r="AR100" s="5">
        <f t="shared" si="275"/>
        <v>5.3630315262565338</v>
      </c>
      <c r="AS100" s="5">
        <f t="shared" si="201"/>
        <v>2.1154535685657749</v>
      </c>
      <c r="AT100" s="5">
        <f t="shared" si="276"/>
        <v>3.2475779576907589</v>
      </c>
      <c r="AU100" s="173">
        <f t="shared" si="277"/>
        <v>0.39445107831435577</v>
      </c>
      <c r="AW100" s="5">
        <f t="shared" si="202"/>
        <v>8.3736703755728588</v>
      </c>
      <c r="AX100" s="5">
        <f t="shared" si="203"/>
        <v>1.1164893834097145</v>
      </c>
      <c r="AY100" s="5">
        <f t="shared" si="204"/>
        <v>2.5946431819796159</v>
      </c>
      <c r="AZ100" s="5"/>
      <c r="BA100" s="173">
        <f t="shared" si="278"/>
        <v>1.8242106563232612</v>
      </c>
      <c r="BB100" s="173">
        <f t="shared" si="205"/>
        <v>1.5075747884772253</v>
      </c>
      <c r="BC100" s="173">
        <f t="shared" si="206"/>
        <v>0.15096120517048969</v>
      </c>
      <c r="BD100" s="173"/>
      <c r="BE100" s="528">
        <f t="shared" si="207"/>
        <v>0.13310978074573374</v>
      </c>
      <c r="BF100" s="528">
        <f t="shared" si="208"/>
        <v>0.85034802541259613</v>
      </c>
      <c r="BG100" s="528">
        <f t="shared" si="209"/>
        <v>0.17737205010592666</v>
      </c>
      <c r="BH100" s="528">
        <f t="shared" si="210"/>
        <v>5.2966185076065452E-2</v>
      </c>
      <c r="BI100">
        <f t="shared" si="211"/>
        <v>1.0701583836691932E-2</v>
      </c>
      <c r="BJ100" s="460">
        <f t="shared" si="279"/>
        <v>188.07363394261859</v>
      </c>
      <c r="BK100">
        <f t="shared" si="212"/>
        <v>1.10738682664002</v>
      </c>
      <c r="BL100" s="460">
        <f t="shared" si="280"/>
        <v>1107.38682664002</v>
      </c>
      <c r="BM100" s="173">
        <f t="shared" si="213"/>
        <v>0.82459999999999989</v>
      </c>
      <c r="BN100" s="173">
        <f t="shared" si="214"/>
        <v>5.8900000000000001E-2</v>
      </c>
      <c r="BO100" s="528"/>
      <c r="BQ100" s="460">
        <f t="shared" si="281"/>
        <v>883.49999999999989</v>
      </c>
      <c r="BR100" s="528">
        <f t="shared" si="215"/>
        <v>9.9832335559300295E-2</v>
      </c>
      <c r="BS100" s="528">
        <f t="shared" si="216"/>
        <v>6.8183452285564522E-2</v>
      </c>
      <c r="BT100" s="528">
        <f t="shared" si="217"/>
        <v>1.1394642733263343E-4</v>
      </c>
      <c r="BU100" s="528">
        <f t="shared" si="218"/>
        <v>1.347540213314832</v>
      </c>
      <c r="BV100" s="528">
        <f t="shared" si="219"/>
        <v>1.5772354986339572</v>
      </c>
      <c r="BW100" s="625">
        <f t="shared" si="220"/>
        <v>0.9438385889696852</v>
      </c>
      <c r="BX100" s="460">
        <f t="shared" si="282"/>
        <v>2521.0740876036421</v>
      </c>
      <c r="BY100" s="173">
        <f t="shared" si="283"/>
        <v>4.5119609142436623</v>
      </c>
      <c r="BZ100" s="5">
        <f t="shared" si="284"/>
        <v>24.509999999999998</v>
      </c>
      <c r="CA100" s="173">
        <f t="shared" si="285"/>
        <v>0.84453287193184656</v>
      </c>
      <c r="CB100" s="5">
        <f t="shared" si="286"/>
        <v>84.45328719318465</v>
      </c>
      <c r="CC100">
        <f t="shared" si="287"/>
        <v>95</v>
      </c>
      <c r="CE100" s="562">
        <f t="shared" si="221"/>
        <v>-50</v>
      </c>
      <c r="CF100">
        <f t="shared" si="222"/>
        <v>-50</v>
      </c>
      <c r="CG100" s="173">
        <f t="shared" si="223"/>
        <v>0.58114024475735238</v>
      </c>
      <c r="CH100" s="173">
        <f t="shared" si="224"/>
        <v>0.1583991712777521</v>
      </c>
      <c r="CI100" s="170">
        <v>95</v>
      </c>
      <c r="CJ100" s="217">
        <f t="shared" si="309"/>
        <v>0.95</v>
      </c>
      <c r="CK100" s="217">
        <f t="shared" si="288"/>
        <v>9.5000000000000001E-2</v>
      </c>
      <c r="CL100" s="217">
        <f t="shared" si="225"/>
        <v>22.799999999999997</v>
      </c>
      <c r="CM100" s="217">
        <f t="shared" si="310"/>
        <v>1.71</v>
      </c>
      <c r="CN100" s="541">
        <f t="shared" si="289"/>
        <v>24</v>
      </c>
      <c r="CO100" s="443">
        <f t="shared" si="226"/>
        <v>16.474900000000002</v>
      </c>
      <c r="CP100" s="443">
        <f t="shared" si="227"/>
        <v>40.474900000000005</v>
      </c>
      <c r="CQ100" s="443"/>
      <c r="CR100" s="217">
        <f t="shared" si="228"/>
        <v>0.40507913686898112</v>
      </c>
      <c r="CS100" s="172">
        <f t="shared" si="290"/>
        <v>50.242373565144938</v>
      </c>
      <c r="CT100" s="172">
        <f t="shared" si="229"/>
        <v>4.0507913686898105</v>
      </c>
      <c r="CU100" s="217">
        <f t="shared" si="230"/>
        <v>2.0934322318810392</v>
      </c>
      <c r="CV100" s="217">
        <f t="shared" si="231"/>
        <v>2.7912429758413855</v>
      </c>
      <c r="CW100" s="443">
        <f t="shared" si="232"/>
        <v>24</v>
      </c>
      <c r="CX100" s="217">
        <f t="shared" si="233"/>
        <v>5.0422246274821765</v>
      </c>
      <c r="CY100" s="217">
        <f t="shared" si="234"/>
        <v>2.1009269281175738</v>
      </c>
      <c r="CZ100" s="217">
        <f t="shared" si="235"/>
        <v>3.0605494585594912</v>
      </c>
      <c r="DA100" s="197">
        <f t="shared" si="236"/>
        <v>350</v>
      </c>
      <c r="DB100" s="443">
        <f t="shared" si="291"/>
        <v>193.74301558004325</v>
      </c>
      <c r="DD100" s="217">
        <f t="shared" si="237"/>
        <v>2.7911308701724487</v>
      </c>
      <c r="DE100" s="173">
        <f t="shared" si="238"/>
        <v>1.6941716612376698</v>
      </c>
      <c r="DF100" s="173">
        <f t="shared" si="239"/>
        <v>0.55195223422072148</v>
      </c>
      <c r="DG100" s="173"/>
      <c r="DH100" s="173">
        <f t="shared" si="240"/>
        <v>1.3488532386977903</v>
      </c>
      <c r="DI100" s="545">
        <f t="shared" si="241"/>
        <v>950.33249999999964</v>
      </c>
      <c r="DJ100" s="528">
        <f t="shared" si="242"/>
        <v>0.34987754285999911</v>
      </c>
      <c r="DL100" s="173">
        <f t="shared" si="243"/>
        <v>3.7424209124194308</v>
      </c>
      <c r="DM100" s="173">
        <f t="shared" si="244"/>
        <v>5.0422246274821765</v>
      </c>
      <c r="DN100" s="173">
        <f t="shared" si="245"/>
        <v>3.2888906705629291</v>
      </c>
      <c r="DP100" s="545">
        <f t="shared" si="246"/>
        <v>950</v>
      </c>
      <c r="DQ100" s="460">
        <f t="shared" si="247"/>
        <v>193.74301558004325</v>
      </c>
      <c r="DS100">
        <f t="shared" si="311"/>
        <v>950</v>
      </c>
      <c r="DT100">
        <f t="shared" si="312"/>
        <v>193.74301558004325</v>
      </c>
      <c r="DV100" s="5">
        <f t="shared" si="293"/>
        <v>5.161476386677065</v>
      </c>
      <c r="DW100" s="5">
        <f t="shared" si="249"/>
        <v>2.1009269281175738</v>
      </c>
      <c r="DX100" s="5">
        <f t="shared" si="294"/>
        <v>3.0605494585594912</v>
      </c>
      <c r="DY100" s="173">
        <f t="shared" si="295"/>
        <v>0.40703991856681554</v>
      </c>
      <c r="EA100" s="5">
        <f t="shared" si="250"/>
        <v>8.3161690904653955</v>
      </c>
      <c r="EB100" s="5">
        <f t="shared" si="251"/>
        <v>1.1088225453953862</v>
      </c>
      <c r="EC100" s="5">
        <f t="shared" si="252"/>
        <v>2.4229349880262632</v>
      </c>
      <c r="ED100" s="5"/>
      <c r="EE100" s="173">
        <f t="shared" si="296"/>
        <v>1.8572914663348816</v>
      </c>
      <c r="EF100" s="173">
        <f t="shared" si="253"/>
        <v>1.4952028785669973</v>
      </c>
      <c r="EG100" s="173">
        <f t="shared" si="254"/>
        <v>0.14972234229974926</v>
      </c>
      <c r="EH100" s="173"/>
      <c r="EI100" s="528">
        <f t="shared" si="255"/>
        <v>0.13798126363681498</v>
      </c>
      <c r="EJ100" s="528">
        <f t="shared" si="256"/>
        <v>1.0873434</v>
      </c>
      <c r="EK100" s="528">
        <f t="shared" si="257"/>
        <v>3.8748603116008647E-2</v>
      </c>
      <c r="EL100" s="528">
        <f t="shared" si="258"/>
        <v>5.5543810777039807E-2</v>
      </c>
      <c r="EM100">
        <f t="shared" si="259"/>
        <v>1.0800000000000001E-2</v>
      </c>
      <c r="EN100" s="460">
        <f t="shared" si="297"/>
        <v>49.548603116008643</v>
      </c>
      <c r="EO100">
        <f t="shared" si="260"/>
        <v>1.4140300730486135</v>
      </c>
      <c r="EP100" s="460">
        <f t="shared" si="298"/>
        <v>1414.0300730486135</v>
      </c>
      <c r="EQ100" s="173">
        <f t="shared" si="261"/>
        <v>0.82459999999999989</v>
      </c>
      <c r="ER100" s="173">
        <f t="shared" si="262"/>
        <v>5.8900000000000001E-2</v>
      </c>
      <c r="ES100" s="528"/>
      <c r="EU100" s="460">
        <f t="shared" si="299"/>
        <v>883.49999999999989</v>
      </c>
      <c r="EV100" s="528">
        <f t="shared" si="263"/>
        <v>0.10348594772761124</v>
      </c>
      <c r="EW100" s="528">
        <f t="shared" si="300"/>
        <v>6.7068949442251044E-2</v>
      </c>
      <c r="EX100" s="528">
        <f t="shared" si="264"/>
        <v>1.1208389891861643E-4</v>
      </c>
      <c r="EY100" s="528">
        <f t="shared" si="265"/>
        <v>1.4913879008629314</v>
      </c>
      <c r="EZ100" s="528">
        <f t="shared" si="266"/>
        <v>1.7265886917537481</v>
      </c>
      <c r="FA100" s="625">
        <f t="shared" si="267"/>
        <v>0.98514561684764956</v>
      </c>
      <c r="FB100" s="460">
        <f t="shared" si="301"/>
        <v>2711.7343086013975</v>
      </c>
      <c r="FC100" s="173">
        <f t="shared" si="302"/>
        <v>5.0092643816500111</v>
      </c>
      <c r="FD100" s="5">
        <f t="shared" si="303"/>
        <v>24.509999999999998</v>
      </c>
      <c r="FE100" s="173">
        <f t="shared" si="304"/>
        <v>0.83030524348825208</v>
      </c>
      <c r="FF100" s="5">
        <f t="shared" si="305"/>
        <v>83.03052434882521</v>
      </c>
      <c r="FG100">
        <f t="shared" si="306"/>
        <v>95</v>
      </c>
      <c r="FI100" s="562">
        <f t="shared" si="268"/>
        <v>-50</v>
      </c>
      <c r="FJ100">
        <f t="shared" si="269"/>
        <v>-50</v>
      </c>
      <c r="FL100">
        <f t="shared" si="270"/>
        <v>0.58114024475735238</v>
      </c>
    </row>
    <row r="101" spans="5:169">
      <c r="E101" s="170">
        <v>96</v>
      </c>
      <c r="F101" s="217">
        <f t="shared" si="307"/>
        <v>0.96</v>
      </c>
      <c r="G101" s="217">
        <f t="shared" si="271"/>
        <v>9.6000000000000002E-2</v>
      </c>
      <c r="H101" s="217">
        <f t="shared" si="176"/>
        <v>23.04</v>
      </c>
      <c r="I101" s="217">
        <f t="shared" si="308"/>
        <v>1.728</v>
      </c>
      <c r="J101" s="541">
        <f t="shared" si="177"/>
        <v>23.778995282395918</v>
      </c>
      <c r="K101" s="443">
        <f t="shared" si="178"/>
        <v>16.507955015847372</v>
      </c>
      <c r="L101" s="172">
        <f t="shared" si="179"/>
        <v>40.286950298243291</v>
      </c>
      <c r="M101" s="443"/>
      <c r="N101" s="217">
        <f t="shared" si="180"/>
        <v>0.40975936112412065</v>
      </c>
      <c r="O101" s="172">
        <f t="shared" si="272"/>
        <v>50.354862610274054</v>
      </c>
      <c r="P101" s="172">
        <f t="shared" si="181"/>
        <v>4.0598607979533456</v>
      </c>
      <c r="Q101" s="217">
        <f t="shared" si="182"/>
        <v>2.0981192754280857</v>
      </c>
      <c r="R101" s="217">
        <f t="shared" si="183"/>
        <v>2.7974923672374477</v>
      </c>
      <c r="S101" s="443">
        <f t="shared" si="184"/>
        <v>24</v>
      </c>
      <c r="T101" s="217">
        <f t="shared" si="185"/>
        <v>5.0839181506925124</v>
      </c>
      <c r="U101" s="217">
        <f t="shared" si="186"/>
        <v>2.1379869461752419</v>
      </c>
      <c r="V101" s="217">
        <f t="shared" si="187"/>
        <v>3.0796777346509807</v>
      </c>
      <c r="W101" s="197">
        <f t="shared" si="188"/>
        <v>350</v>
      </c>
      <c r="X101" s="443">
        <f t="shared" si="273"/>
        <v>184.58137572432679</v>
      </c>
      <c r="Z101" s="217">
        <f t="shared" si="189"/>
        <v>2.7839045471680079</v>
      </c>
      <c r="AA101" s="173">
        <f t="shared" si="190"/>
        <v>1.6864018253596549</v>
      </c>
      <c r="AB101" s="173">
        <f>0.5*AA101*Z101*Nps*W101/1000*(Pout/Pout_total)</f>
        <v>0.54799839509638515</v>
      </c>
      <c r="AC101" s="173"/>
      <c r="AD101" s="173">
        <f t="shared" si="192"/>
        <v>1.3461523369120676</v>
      </c>
      <c r="AE101" s="545">
        <f>MAX(10, F101/(0.5*AD101/1000000*Isw_min*Nps)/1000*Pout_total/Pout)</f>
        <v>962.26280512165761</v>
      </c>
      <c r="AF101" s="528">
        <f t="shared" si="194"/>
        <v>0.34917695894680245</v>
      </c>
      <c r="AH101" s="173">
        <f t="shared" si="195"/>
        <v>3.7620663015346838</v>
      </c>
      <c r="AI101" s="173">
        <f>MAX(IF(F101&gt;AB101,T101,AH101),Isw_min)</f>
        <v>5.0839181506925124</v>
      </c>
      <c r="AJ101" s="173">
        <f>IF(F101&gt;AF101, (AI101-Isw_min)/1.08*0.8+1.2, AE101*0.2/350+1)</f>
        <v>3.3197747618298443</v>
      </c>
      <c r="AL101" s="545">
        <f t="shared" si="198"/>
        <v>960</v>
      </c>
      <c r="AM101" s="460">
        <f t="shared" si="199"/>
        <v>184.58137572432679</v>
      </c>
      <c r="AO101">
        <f t="shared" si="274"/>
        <v>960</v>
      </c>
      <c r="AP101">
        <f t="shared" si="200"/>
        <v>184.58137572432679</v>
      </c>
      <c r="AR101" s="5">
        <f t="shared" si="275"/>
        <v>5.4176646808262223</v>
      </c>
      <c r="AS101" s="5">
        <f t="shared" si="201"/>
        <v>2.1379869461752419</v>
      </c>
      <c r="AT101" s="5">
        <f t="shared" si="276"/>
        <v>3.2796777346509804</v>
      </c>
      <c r="AU101" s="173">
        <f t="shared" si="277"/>
        <v>0.3946325718056784</v>
      </c>
      <c r="AW101" s="5">
        <f t="shared" si="202"/>
        <v>8.5519477847009675</v>
      </c>
      <c r="AX101" s="5">
        <f t="shared" si="203"/>
        <v>1.1402597046267957</v>
      </c>
      <c r="AY101" s="5">
        <f t="shared" si="204"/>
        <v>2.6481275494392595</v>
      </c>
      <c r="AZ101" s="5"/>
      <c r="BA101" s="173">
        <f t="shared" si="278"/>
        <v>1.8438873569205503</v>
      </c>
      <c r="BB101" s="173">
        <f t="shared" si="205"/>
        <v>1.5232573470729844</v>
      </c>
      <c r="BC101" s="173">
        <f t="shared" si="206"/>
        <v>0.15253158029474068</v>
      </c>
      <c r="BD101" s="173"/>
      <c r="BE101" s="528">
        <f t="shared" si="207"/>
        <v>0.13599682340045813</v>
      </c>
      <c r="BF101" s="528">
        <f t="shared" si="208"/>
        <v>0.85061559237847506</v>
      </c>
      <c r="BG101" s="528">
        <f t="shared" si="209"/>
        <v>0.17556638650267661</v>
      </c>
      <c r="BH101" s="528">
        <f t="shared" si="210"/>
        <v>5.2426964474844635E-2</v>
      </c>
      <c r="BI101">
        <f t="shared" si="211"/>
        <v>1.0700547877078163E-2</v>
      </c>
      <c r="BJ101" s="460">
        <f t="shared" si="279"/>
        <v>186.26693437975479</v>
      </c>
      <c r="BK101">
        <f t="shared" si="212"/>
        <v>1.111680068584405</v>
      </c>
      <c r="BL101" s="460">
        <f t="shared" si="280"/>
        <v>1111.680068584405</v>
      </c>
      <c r="BM101" s="173">
        <f t="shared" si="213"/>
        <v>0.83327999999999991</v>
      </c>
      <c r="BN101" s="173">
        <f t="shared" si="214"/>
        <v>5.9520000000000003E-2</v>
      </c>
      <c r="BO101" s="528"/>
      <c r="BQ101" s="460">
        <f t="shared" si="281"/>
        <v>892.8</v>
      </c>
      <c r="BR101" s="528">
        <f t="shared" si="215"/>
        <v>0.10199761755034359</v>
      </c>
      <c r="BS101" s="528">
        <f t="shared" si="216"/>
        <v>6.9609388362354793E-2</v>
      </c>
      <c r="BT101" s="528">
        <f t="shared" si="217"/>
        <v>1.1632941493605461E-4</v>
      </c>
      <c r="BU101" s="528">
        <f t="shared" si="218"/>
        <v>1.3487643414725932</v>
      </c>
      <c r="BV101" s="528">
        <f>(BU101+(BR101+BS101+BT101)*(1+Ltc*(Ta-25)))/(1-(BR101+BS101+BT101)*Ltc*ThetaCa)</f>
        <v>1.5834545652212246</v>
      </c>
      <c r="BW101" s="625">
        <f t="shared" si="220"/>
        <v>0.95414630788847898</v>
      </c>
      <c r="BX101" s="460">
        <f t="shared" si="282"/>
        <v>2537.6008731097036</v>
      </c>
      <c r="BY101" s="173">
        <f t="shared" si="283"/>
        <v>4.5420809416941088</v>
      </c>
      <c r="BZ101" s="5">
        <f t="shared" si="284"/>
        <v>24.768000000000001</v>
      </c>
      <c r="CA101" s="173">
        <f t="shared" si="285"/>
        <v>0.84503349032950237</v>
      </c>
      <c r="CB101" s="5">
        <f t="shared" si="286"/>
        <v>84.50334903295024</v>
      </c>
      <c r="CC101">
        <f t="shared" si="287"/>
        <v>96</v>
      </c>
      <c r="CE101" s="562">
        <f t="shared" si="221"/>
        <v>-50</v>
      </c>
      <c r="CF101">
        <f t="shared" si="222"/>
        <v>-50</v>
      </c>
      <c r="CG101" s="173">
        <f t="shared" si="223"/>
        <v>0.58114024475735238</v>
      </c>
      <c r="CH101" s="173">
        <f t="shared" si="224"/>
        <v>0.15839917127775208</v>
      </c>
      <c r="CI101" s="170">
        <v>96</v>
      </c>
      <c r="CJ101" s="217">
        <f t="shared" si="309"/>
        <v>0.96</v>
      </c>
      <c r="CK101" s="217">
        <f t="shared" si="288"/>
        <v>9.6000000000000002E-2</v>
      </c>
      <c r="CL101" s="217">
        <f t="shared" si="225"/>
        <v>23.04</v>
      </c>
      <c r="CM101" s="217">
        <f t="shared" si="310"/>
        <v>1.728</v>
      </c>
      <c r="CN101" s="541">
        <f t="shared" si="289"/>
        <v>24</v>
      </c>
      <c r="CO101" s="443">
        <f t="shared" si="226"/>
        <v>16.474900000000002</v>
      </c>
      <c r="CP101" s="443">
        <f t="shared" si="227"/>
        <v>40.474900000000005</v>
      </c>
      <c r="CQ101" s="443"/>
      <c r="CR101" s="217">
        <f t="shared" si="228"/>
        <v>0.40507913686898112</v>
      </c>
      <c r="CS101" s="172">
        <f t="shared" si="290"/>
        <v>50.242373565144938</v>
      </c>
      <c r="CT101" s="172">
        <f t="shared" si="229"/>
        <v>4.0507913686898105</v>
      </c>
      <c r="CU101" s="217">
        <f t="shared" si="230"/>
        <v>2.0934322318810392</v>
      </c>
      <c r="CV101" s="217">
        <f t="shared" si="231"/>
        <v>2.7912429758413855</v>
      </c>
      <c r="CW101" s="443">
        <f t="shared" si="232"/>
        <v>24</v>
      </c>
      <c r="CX101" s="217">
        <f t="shared" si="233"/>
        <v>5.0953006761925161</v>
      </c>
      <c r="CY101" s="217">
        <f t="shared" si="234"/>
        <v>2.1230419484135488</v>
      </c>
      <c r="CZ101" s="217">
        <f t="shared" si="235"/>
        <v>3.092765768649592</v>
      </c>
      <c r="DA101" s="197">
        <f t="shared" si="236"/>
        <v>350</v>
      </c>
      <c r="DB101" s="443">
        <f t="shared" si="291"/>
        <v>191.72485916775108</v>
      </c>
      <c r="DD101" s="217">
        <f t="shared" si="237"/>
        <v>2.7911308701724487</v>
      </c>
      <c r="DE101" s="173">
        <f t="shared" si="238"/>
        <v>1.6941716612376698</v>
      </c>
      <c r="DF101" s="173">
        <f t="shared" si="239"/>
        <v>0.55195223422072148</v>
      </c>
      <c r="DG101" s="173"/>
      <c r="DH101" s="173">
        <f t="shared" si="240"/>
        <v>1.3488532386977903</v>
      </c>
      <c r="DI101" s="545">
        <f t="shared" si="241"/>
        <v>960.33599999999967</v>
      </c>
      <c r="DJ101" s="528">
        <f t="shared" si="242"/>
        <v>0.34987754285999911</v>
      </c>
      <c r="DL101" s="173">
        <f t="shared" si="243"/>
        <v>3.7620663015346838</v>
      </c>
      <c r="DM101" s="173">
        <f t="shared" si="244"/>
        <v>5.0953006761925161</v>
      </c>
      <c r="DN101" s="173">
        <f t="shared" si="245"/>
        <v>3.3282062622002178</v>
      </c>
      <c r="DP101" s="545">
        <f t="shared" si="246"/>
        <v>960</v>
      </c>
      <c r="DQ101" s="460">
        <f t="shared" si="247"/>
        <v>191.72485916775108</v>
      </c>
      <c r="DS101">
        <f t="shared" si="311"/>
        <v>960</v>
      </c>
      <c r="DT101">
        <f t="shared" si="312"/>
        <v>191.72485916775108</v>
      </c>
      <c r="DV101" s="5">
        <f t="shared" si="293"/>
        <v>5.2158077170631412</v>
      </c>
      <c r="DW101" s="5">
        <f t="shared" si="249"/>
        <v>2.1230419484135488</v>
      </c>
      <c r="DX101" s="5">
        <f t="shared" si="294"/>
        <v>3.0927657686495924</v>
      </c>
      <c r="DY101" s="173">
        <f t="shared" si="295"/>
        <v>0.40703991856681548</v>
      </c>
      <c r="EA101" s="5">
        <f t="shared" si="250"/>
        <v>8.4921677936541951</v>
      </c>
      <c r="EB101" s="5">
        <f t="shared" si="251"/>
        <v>1.1322890391538927</v>
      </c>
      <c r="EC101" s="5">
        <f t="shared" si="252"/>
        <v>2.4742126149196735</v>
      </c>
      <c r="ED101" s="5"/>
      <c r="EE101" s="173">
        <f t="shared" si="296"/>
        <v>1.8768419028226175</v>
      </c>
      <c r="EF101" s="173">
        <f t="shared" si="253"/>
        <v>1.5109418562361239</v>
      </c>
      <c r="EG101" s="173">
        <f t="shared" si="254"/>
        <v>0.15129836695553617</v>
      </c>
      <c r="EH101" s="173"/>
      <c r="EI101" s="528">
        <f t="shared" si="255"/>
        <v>0.14090142112763296</v>
      </c>
      <c r="EJ101" s="528">
        <f t="shared" si="256"/>
        <v>1.0873434</v>
      </c>
      <c r="EK101" s="528">
        <f t="shared" si="257"/>
        <v>3.8344971833550213E-2</v>
      </c>
      <c r="EL101" s="528">
        <f t="shared" si="258"/>
        <v>5.4965229414778966E-2</v>
      </c>
      <c r="EM101">
        <f t="shared" si="259"/>
        <v>1.0800000000000001E-2</v>
      </c>
      <c r="EN101" s="460">
        <f t="shared" si="297"/>
        <v>49.144971833550208</v>
      </c>
      <c r="EO101">
        <f t="shared" si="260"/>
        <v>1.4178659750925342</v>
      </c>
      <c r="EP101" s="460">
        <f t="shared" si="298"/>
        <v>1417.8659750925342</v>
      </c>
      <c r="EQ101" s="173">
        <f t="shared" si="261"/>
        <v>0.83327999999999991</v>
      </c>
      <c r="ER101" s="173">
        <f t="shared" si="262"/>
        <v>5.9520000000000003E-2</v>
      </c>
      <c r="ES101" s="528"/>
      <c r="EU101" s="460">
        <f t="shared" si="299"/>
        <v>892.8</v>
      </c>
      <c r="EV101" s="528">
        <f t="shared" si="263"/>
        <v>0.10567606584572471</v>
      </c>
      <c r="EW101" s="528">
        <f t="shared" si="300"/>
        <v>6.8488358787787904E-2</v>
      </c>
      <c r="EX101" s="528">
        <f t="shared" si="264"/>
        <v>1.144559792170604E-4</v>
      </c>
      <c r="EY101" s="528">
        <f t="shared" si="265"/>
        <v>1.4913879008629327</v>
      </c>
      <c r="EZ101" s="528">
        <f t="shared" si="266"/>
        <v>1.7316367296930204</v>
      </c>
      <c r="FA101" s="625">
        <f t="shared" si="267"/>
        <v>0.99551557070920382</v>
      </c>
      <c r="FB101" s="460">
        <f t="shared" si="301"/>
        <v>2727.1523004022242</v>
      </c>
      <c r="FC101" s="173">
        <f t="shared" si="302"/>
        <v>5.0378182754947582</v>
      </c>
      <c r="FD101" s="5">
        <f t="shared" si="303"/>
        <v>24.768000000000001</v>
      </c>
      <c r="FE101" s="173">
        <f t="shared" si="304"/>
        <v>0.83097869587305828</v>
      </c>
      <c r="FF101" s="5">
        <f t="shared" si="305"/>
        <v>83.097869587305823</v>
      </c>
      <c r="FG101">
        <f t="shared" si="306"/>
        <v>96</v>
      </c>
      <c r="FI101" s="562">
        <f t="shared" si="268"/>
        <v>-50</v>
      </c>
      <c r="FJ101">
        <f t="shared" si="269"/>
        <v>-50</v>
      </c>
      <c r="FL101">
        <f t="shared" si="270"/>
        <v>0.58114024475735226</v>
      </c>
    </row>
    <row r="102" spans="5:169">
      <c r="E102" s="170">
        <v>97</v>
      </c>
      <c r="F102" s="217">
        <f t="shared" si="307"/>
        <v>0.97</v>
      </c>
      <c r="G102" s="217">
        <f t="shared" si="271"/>
        <v>9.7000000000000003E-2</v>
      </c>
      <c r="H102" s="217">
        <f t="shared" si="176"/>
        <v>23.28</v>
      </c>
      <c r="I102" s="217">
        <f t="shared" si="308"/>
        <v>1.746</v>
      </c>
      <c r="J102" s="541">
        <f t="shared" si="177"/>
        <v>23.776693149920874</v>
      </c>
      <c r="K102" s="443">
        <f t="shared" si="178"/>
        <v>16.508299338929117</v>
      </c>
      <c r="L102" s="172">
        <f t="shared" si="179"/>
        <v>40.284992488849994</v>
      </c>
      <c r="M102" s="443"/>
      <c r="N102" s="217">
        <f t="shared" si="180"/>
        <v>0.40978782218957227</v>
      </c>
      <c r="O102" s="172">
        <f>N102*J102*Isw_max*0.5*Efficiency*Pout/(Pout+Pout2)</f>
        <v>50.353484779203079</v>
      </c>
      <c r="P102" s="172">
        <f t="shared" si="181"/>
        <v>4.0597497103232483</v>
      </c>
      <c r="Q102" s="217">
        <f t="shared" si="182"/>
        <v>2.0980618658001284</v>
      </c>
      <c r="R102" s="217">
        <f t="shared" si="183"/>
        <v>2.7974158210668376</v>
      </c>
      <c r="S102" s="443">
        <f t="shared" si="184"/>
        <v>24</v>
      </c>
      <c r="T102" s="217">
        <f t="shared" si="185"/>
        <v>5.1370161926409663</v>
      </c>
      <c r="U102" s="217">
        <f t="shared" si="186"/>
        <v>2.1605259235378838</v>
      </c>
      <c r="V102" s="217">
        <f t="shared" si="187"/>
        <v>3.1117779531214884</v>
      </c>
      <c r="W102" s="197">
        <f t="shared" si="188"/>
        <v>350</v>
      </c>
      <c r="X102" s="443">
        <f t="shared" si="273"/>
        <v>182.73838999789993</v>
      </c>
      <c r="Z102" s="217">
        <f t="shared" si="189"/>
        <v>2.7838283727930846</v>
      </c>
      <c r="AA102" s="173">
        <f t="shared" si="190"/>
        <v>1.6863205080297932</v>
      </c>
      <c r="AB102" s="173">
        <f>0.5*AA102*Z102*Nps*W102/1000*(Pout/Pout_total)</f>
        <v>0.54795697708664781</v>
      </c>
      <c r="AC102" s="173"/>
      <c r="AD102" s="173">
        <f t="shared" si="192"/>
        <v>1.3461242594395413</v>
      </c>
      <c r="AE102" s="545">
        <f>MAX(10, F102/(0.5*AD102/1000000*Isw_min*Nps)/1000*Pout_total/Pout)</f>
        <v>972.30665596676192</v>
      </c>
      <c r="AF102" s="528">
        <f t="shared" si="194"/>
        <v>0.34916967596240106</v>
      </c>
      <c r="AH102" s="173">
        <f t="shared" si="195"/>
        <v>3.7816096346095041</v>
      </c>
      <c r="AI102" s="173">
        <f>MAX(IF(F102&gt;AB102,T102,AH102),Isw_min)</f>
        <v>5.1370161926409663</v>
      </c>
      <c r="AJ102" s="173">
        <f>IF(F102&gt;AF102, (AI102-Isw_min)/1.08*0.8+1.2, AE102*0.2/350+1)</f>
        <v>3.3591066447546254</v>
      </c>
      <c r="AL102" s="545">
        <f t="shared" si="198"/>
        <v>970</v>
      </c>
      <c r="AM102" s="460">
        <f t="shared" si="199"/>
        <v>182.73838999789993</v>
      </c>
      <c r="AO102">
        <f t="shared" si="274"/>
        <v>970</v>
      </c>
      <c r="AP102">
        <f t="shared" si="200"/>
        <v>182.73838999789993</v>
      </c>
      <c r="AR102" s="5">
        <f t="shared" si="275"/>
        <v>5.4723038766593719</v>
      </c>
      <c r="AS102" s="5">
        <f t="shared" si="201"/>
        <v>2.1605259235378838</v>
      </c>
      <c r="AT102" s="5">
        <f t="shared" si="276"/>
        <v>3.3117779531214881</v>
      </c>
      <c r="AU102" s="173">
        <f t="shared" si="277"/>
        <v>0.39481102881603874</v>
      </c>
      <c r="AW102" s="5">
        <f t="shared" si="202"/>
        <v>8.7321256076322804</v>
      </c>
      <c r="AX102" s="5">
        <f t="shared" si="203"/>
        <v>1.1642834143509708</v>
      </c>
      <c r="AY102" s="5">
        <f t="shared" si="204"/>
        <v>2.7021626550608309</v>
      </c>
      <c r="AZ102" s="5"/>
      <c r="BA102" s="173">
        <f t="shared" si="278"/>
        <v>1.8635667164701319</v>
      </c>
      <c r="BB102" s="173">
        <f t="shared" si="205"/>
        <v>1.5389398432863566</v>
      </c>
      <c r="BC102" s="173">
        <f t="shared" si="206"/>
        <v>0.15410194917232298</v>
      </c>
      <c r="BD102" s="173"/>
      <c r="BE102" s="528">
        <f t="shared" si="207"/>
        <v>0.13891523626941077</v>
      </c>
      <c r="BF102" s="528">
        <f t="shared" si="208"/>
        <v>0.85087650951036187</v>
      </c>
      <c r="BG102" s="528">
        <f t="shared" si="209"/>
        <v>0.17379658502762546</v>
      </c>
      <c r="BH102" s="528">
        <f t="shared" si="210"/>
        <v>5.1898453534536898E-2</v>
      </c>
      <c r="BI102">
        <f t="shared" si="211"/>
        <v>1.0699511917464393E-2</v>
      </c>
      <c r="BJ102" s="460">
        <f t="shared" si="279"/>
        <v>184.49609694508987</v>
      </c>
      <c r="BK102">
        <f t="shared" si="212"/>
        <v>1.1160334018921674</v>
      </c>
      <c r="BL102" s="460">
        <f t="shared" si="280"/>
        <v>1116.0334018921674</v>
      </c>
      <c r="BM102" s="173">
        <f t="shared" si="213"/>
        <v>0.84195999999999993</v>
      </c>
      <c r="BN102" s="173">
        <f t="shared" si="214"/>
        <v>6.0139999999999999E-2</v>
      </c>
      <c r="BO102" s="528"/>
      <c r="BQ102" s="460">
        <f t="shared" si="281"/>
        <v>902.09999999999991</v>
      </c>
      <c r="BR102" s="528">
        <f t="shared" si="215"/>
        <v>0.10418642720205806</v>
      </c>
      <c r="BS102" s="528">
        <f t="shared" si="216"/>
        <v>7.1050075237627061E-2</v>
      </c>
      <c r="BT102" s="528">
        <f t="shared" si="217"/>
        <v>1.1873705369354608E-4</v>
      </c>
      <c r="BU102" s="528">
        <f t="shared" si="218"/>
        <v>1.3499628796963921</v>
      </c>
      <c r="BV102" s="528">
        <f>(BU102+(BR102+BS102+BT102)*(1+Ltc*(Ta-25)))/(1-(BR102+BS102+BT102)*Ltc*ThetaCa)</f>
        <v>1.589704416563394</v>
      </c>
      <c r="BW102" s="625">
        <f t="shared" si="220"/>
        <v>0.96445431241530044</v>
      </c>
      <c r="BX102" s="460">
        <f t="shared" si="282"/>
        <v>2554.1587289786944</v>
      </c>
      <c r="BY102" s="173">
        <f t="shared" si="283"/>
        <v>4.5722921308708617</v>
      </c>
      <c r="BZ102" s="5">
        <f t="shared" si="284"/>
        <v>25.026</v>
      </c>
      <c r="CA102" s="173">
        <f t="shared" si="285"/>
        <v>0.84552175812529451</v>
      </c>
      <c r="CB102" s="5">
        <f t="shared" si="286"/>
        <v>84.552175812529455</v>
      </c>
      <c r="CC102">
        <f t="shared" si="287"/>
        <v>97</v>
      </c>
      <c r="CE102" s="562">
        <f t="shared" si="221"/>
        <v>-50</v>
      </c>
      <c r="CF102">
        <f t="shared" si="222"/>
        <v>-50</v>
      </c>
      <c r="CG102" s="173">
        <f t="shared" si="223"/>
        <v>0.58114024475735238</v>
      </c>
      <c r="CH102" s="173">
        <f t="shared" si="224"/>
        <v>0.1583991712777521</v>
      </c>
      <c r="CI102" s="170">
        <v>97</v>
      </c>
      <c r="CJ102" s="217">
        <f t="shared" si="309"/>
        <v>0.97</v>
      </c>
      <c r="CK102" s="217">
        <f t="shared" si="288"/>
        <v>9.7000000000000003E-2</v>
      </c>
      <c r="CL102" s="217">
        <f t="shared" si="225"/>
        <v>23.28</v>
      </c>
      <c r="CM102" s="217">
        <f t="shared" si="310"/>
        <v>1.746</v>
      </c>
      <c r="CN102" s="541">
        <f t="shared" si="289"/>
        <v>24</v>
      </c>
      <c r="CO102" s="443">
        <f t="shared" si="226"/>
        <v>16.474900000000002</v>
      </c>
      <c r="CP102" s="443">
        <f t="shared" si="227"/>
        <v>40.474900000000005</v>
      </c>
      <c r="CQ102" s="443"/>
      <c r="CR102" s="217">
        <f t="shared" si="228"/>
        <v>0.40507913686898112</v>
      </c>
      <c r="CS102" s="172">
        <f t="shared" si="290"/>
        <v>50.242373565144938</v>
      </c>
      <c r="CT102" s="172">
        <f t="shared" si="229"/>
        <v>4.0507913686898105</v>
      </c>
      <c r="CU102" s="217">
        <f t="shared" si="230"/>
        <v>2.0934322318810392</v>
      </c>
      <c r="CV102" s="217">
        <f t="shared" si="231"/>
        <v>2.7912429758413855</v>
      </c>
      <c r="CW102" s="443">
        <f t="shared" si="232"/>
        <v>24</v>
      </c>
      <c r="CX102" s="217">
        <f t="shared" si="233"/>
        <v>5.1483767249028549</v>
      </c>
      <c r="CY102" s="217">
        <f t="shared" si="234"/>
        <v>2.1451569687095229</v>
      </c>
      <c r="CZ102" s="217">
        <f t="shared" si="235"/>
        <v>3.1249820787396918</v>
      </c>
      <c r="DA102" s="197">
        <f t="shared" si="236"/>
        <v>350</v>
      </c>
      <c r="DB102" s="443">
        <f t="shared" si="291"/>
        <v>189.74831422787739</v>
      </c>
      <c r="DD102" s="217">
        <f t="shared" si="237"/>
        <v>2.7911308701724487</v>
      </c>
      <c r="DE102" s="173">
        <f t="shared" si="238"/>
        <v>1.6941716612376698</v>
      </c>
      <c r="DF102" s="173">
        <f t="shared" si="239"/>
        <v>0.55195223422072148</v>
      </c>
      <c r="DG102" s="173"/>
      <c r="DH102" s="173">
        <f t="shared" si="240"/>
        <v>1.3488532386977903</v>
      </c>
      <c r="DI102" s="545">
        <f t="shared" si="241"/>
        <v>970.3394999999997</v>
      </c>
      <c r="DJ102" s="528">
        <f t="shared" si="242"/>
        <v>0.34987754285999911</v>
      </c>
      <c r="DL102" s="173">
        <f t="shared" si="243"/>
        <v>3.7816096346095041</v>
      </c>
      <c r="DM102" s="173">
        <f t="shared" si="244"/>
        <v>5.1483767249028549</v>
      </c>
      <c r="DN102" s="173">
        <f t="shared" si="245"/>
        <v>3.3675218538375056</v>
      </c>
      <c r="DP102" s="545">
        <f t="shared" si="246"/>
        <v>970</v>
      </c>
      <c r="DQ102" s="460">
        <f t="shared" si="247"/>
        <v>189.74831422787739</v>
      </c>
      <c r="DS102">
        <f t="shared" si="311"/>
        <v>970</v>
      </c>
      <c r="DT102">
        <f t="shared" si="312"/>
        <v>189.74831422787739</v>
      </c>
      <c r="DV102" s="5">
        <f t="shared" si="293"/>
        <v>5.2701390474492147</v>
      </c>
      <c r="DW102" s="5">
        <f t="shared" si="249"/>
        <v>2.1451569687095229</v>
      </c>
      <c r="DX102" s="5">
        <f t="shared" si="294"/>
        <v>3.1249820787396918</v>
      </c>
      <c r="DY102" s="173">
        <f t="shared" si="295"/>
        <v>0.40703991856681548</v>
      </c>
      <c r="EA102" s="5">
        <f t="shared" si="250"/>
        <v>8.6700094152009868</v>
      </c>
      <c r="EB102" s="5">
        <f t="shared" si="251"/>
        <v>1.1560012553601318</v>
      </c>
      <c r="EC102" s="5">
        <f t="shared" si="252"/>
        <v>2.5260271803145837</v>
      </c>
      <c r="ED102" s="5"/>
      <c r="EE102" s="173">
        <f t="shared" si="296"/>
        <v>1.896392339310353</v>
      </c>
      <c r="EF102" s="173">
        <f t="shared" si="253"/>
        <v>1.5266808339052502</v>
      </c>
      <c r="EG102" s="173">
        <f t="shared" si="254"/>
        <v>0.15287439161132302</v>
      </c>
      <c r="EH102" s="173"/>
      <c r="EI102" s="528">
        <f t="shared" si="255"/>
        <v>0.14385215618379973</v>
      </c>
      <c r="EJ102" s="528">
        <f t="shared" si="256"/>
        <v>1.0873434000000002</v>
      </c>
      <c r="EK102" s="528">
        <f t="shared" si="257"/>
        <v>3.794966284557548E-2</v>
      </c>
      <c r="EL102" s="528">
        <f t="shared" si="258"/>
        <v>5.4398577565142069E-2</v>
      </c>
      <c r="EM102">
        <f t="shared" si="259"/>
        <v>1.0800000000000001E-2</v>
      </c>
      <c r="EN102" s="460">
        <f t="shared" si="297"/>
        <v>48.749662845575486</v>
      </c>
      <c r="EO102">
        <f t="shared" si="260"/>
        <v>1.4217792592290051</v>
      </c>
      <c r="EP102" s="460">
        <f t="shared" si="298"/>
        <v>1421.779259229005</v>
      </c>
      <c r="EQ102" s="173">
        <f t="shared" si="261"/>
        <v>0.84195999999999993</v>
      </c>
      <c r="ER102" s="173">
        <f t="shared" si="262"/>
        <v>6.0139999999999999E-2</v>
      </c>
      <c r="ES102" s="528"/>
      <c r="EU102" s="460">
        <f t="shared" si="299"/>
        <v>902.09999999999991</v>
      </c>
      <c r="EV102" s="528">
        <f t="shared" si="263"/>
        <v>0.10788911713784978</v>
      </c>
      <c r="EW102" s="528">
        <f t="shared" si="300"/>
        <v>6.9922631058408902E-2</v>
      </c>
      <c r="EX102" s="528">
        <f t="shared" si="264"/>
        <v>1.1685289805266074E-4</v>
      </c>
      <c r="EY102" s="528">
        <f t="shared" si="265"/>
        <v>1.4913879008629327</v>
      </c>
      <c r="EZ102" s="528">
        <f t="shared" si="266"/>
        <v>1.7367406327193511</v>
      </c>
      <c r="FA102" s="625">
        <f t="shared" si="267"/>
        <v>1.0058855245707583</v>
      </c>
      <c r="FB102" s="460">
        <f t="shared" si="301"/>
        <v>2742.6261572901094</v>
      </c>
      <c r="FC102" s="173">
        <f t="shared" si="302"/>
        <v>5.0665054165191146</v>
      </c>
      <c r="FD102" s="5">
        <f t="shared" si="303"/>
        <v>25.026</v>
      </c>
      <c r="FE102" s="173">
        <f t="shared" si="304"/>
        <v>0.83163563995778556</v>
      </c>
      <c r="FF102" s="5">
        <f t="shared" si="305"/>
        <v>83.16356399577856</v>
      </c>
      <c r="FG102">
        <f t="shared" si="306"/>
        <v>97</v>
      </c>
      <c r="FI102" s="562">
        <f t="shared" si="268"/>
        <v>-50</v>
      </c>
      <c r="FJ102">
        <f t="shared" si="269"/>
        <v>-50</v>
      </c>
      <c r="FL102">
        <f t="shared" si="270"/>
        <v>0.58114024475735238</v>
      </c>
    </row>
    <row r="103" spans="5:169">
      <c r="E103" s="170">
        <v>98</v>
      </c>
      <c r="F103" s="217">
        <f t="shared" si="307"/>
        <v>0.98</v>
      </c>
      <c r="G103" s="217">
        <f t="shared" si="271"/>
        <v>9.8000000000000004E-2</v>
      </c>
      <c r="H103" s="217">
        <f t="shared" si="176"/>
        <v>23.52</v>
      </c>
      <c r="I103" s="217">
        <f t="shared" si="308"/>
        <v>1.764</v>
      </c>
      <c r="J103" s="541">
        <f t="shared" si="177"/>
        <v>23.774391017445833</v>
      </c>
      <c r="K103" s="443">
        <f t="shared" si="178"/>
        <v>16.508643662010861</v>
      </c>
      <c r="L103" s="172">
        <f t="shared" si="179"/>
        <v>40.283034679456691</v>
      </c>
      <c r="M103" s="443"/>
      <c r="N103" s="217">
        <f t="shared" si="180"/>
        <v>0.40981628602151576</v>
      </c>
      <c r="O103" s="172">
        <f>N103*J103*Isw_max*0.5*Efficiency*Pout/(Pout+Pout2)</f>
        <v>50.352106610816215</v>
      </c>
      <c r="P103" s="172">
        <f t="shared" si="181"/>
        <v>4.0596385954970566</v>
      </c>
      <c r="Q103" s="217">
        <f t="shared" si="182"/>
        <v>2.0980044421173423</v>
      </c>
      <c r="R103" s="217">
        <f t="shared" si="183"/>
        <v>2.7973392561564565</v>
      </c>
      <c r="S103" s="443">
        <f t="shared" si="184"/>
        <v>24</v>
      </c>
      <c r="T103" s="217">
        <f t="shared" si="185"/>
        <v>5.1901171752999886</v>
      </c>
      <c r="U103" s="217">
        <f t="shared" si="186"/>
        <v>2.1830705028328339</v>
      </c>
      <c r="V103" s="217">
        <f t="shared" si="187"/>
        <v>3.1438786138702071</v>
      </c>
      <c r="W103" s="197">
        <f t="shared" si="188"/>
        <v>350</v>
      </c>
      <c r="X103" s="443">
        <f t="shared" si="273"/>
        <v>180.93164581122906</v>
      </c>
      <c r="Z103" s="217">
        <f t="shared" si="189"/>
        <v>2.7837521797694098</v>
      </c>
      <c r="AA103" s="173">
        <f t="shared" si="190"/>
        <v>1.6862391827956693</v>
      </c>
      <c r="AB103" s="173">
        <f>0.5*AA103*Z103*Nps*W103/1000*(Pout/Pout_total)</f>
        <v>0.54791555428404581</v>
      </c>
      <c r="AC103" s="173"/>
      <c r="AD103" s="173">
        <f t="shared" si="192"/>
        <v>1.3460961831382465</v>
      </c>
      <c r="AE103" s="545">
        <f>MAX(10, F103/(0.5*AD103/1000000*Isw_min*Nps)/1000*Pout_total/Pout)</f>
        <v>982.35092495533866</v>
      </c>
      <c r="AF103" s="528">
        <f t="shared" si="194"/>
        <v>0.3491623932818041</v>
      </c>
      <c r="AH103" s="173">
        <f t="shared" si="195"/>
        <v>3.8010524858254717</v>
      </c>
      <c r="AI103" s="173">
        <f>MAX(IF(F103&gt;AB103,T103,AH103),Isw_min)</f>
        <v>5.1901171752999886</v>
      </c>
      <c r="AJ103" s="173">
        <f>IF(F103&gt;AF103, (AI103-Isw_min)/1.08*0.8+1.2, AE103*0.2/350+1)</f>
        <v>3.3984407059835302</v>
      </c>
      <c r="AL103" s="545">
        <f t="shared" si="198"/>
        <v>980</v>
      </c>
      <c r="AM103" s="460">
        <f t="shared" si="199"/>
        <v>180.93164581122906</v>
      </c>
      <c r="AO103">
        <f t="shared" si="274"/>
        <v>980</v>
      </c>
      <c r="AP103">
        <f t="shared" si="200"/>
        <v>180.93164581122906</v>
      </c>
      <c r="AR103" s="5">
        <f t="shared" si="275"/>
        <v>5.5269491167030411</v>
      </c>
      <c r="AS103" s="5">
        <f t="shared" si="201"/>
        <v>2.1830705028328339</v>
      </c>
      <c r="AT103" s="5">
        <f t="shared" si="276"/>
        <v>3.3438786138702072</v>
      </c>
      <c r="AU103" s="173">
        <f t="shared" si="277"/>
        <v>0.39498653899949204</v>
      </c>
      <c r="AW103" s="5">
        <f t="shared" si="202"/>
        <v>8.9142045532340717</v>
      </c>
      <c r="AX103" s="5">
        <f t="shared" si="203"/>
        <v>1.1885606070978763</v>
      </c>
      <c r="AY103" s="5">
        <f t="shared" si="204"/>
        <v>2.7567486706078941</v>
      </c>
      <c r="AZ103" s="5"/>
      <c r="BA103" s="173">
        <f t="shared" si="278"/>
        <v>1.8832487296019915</v>
      </c>
      <c r="BB103" s="173">
        <f t="shared" si="205"/>
        <v>1.554622282291048</v>
      </c>
      <c r="BC103" s="173">
        <f t="shared" si="206"/>
        <v>0.15567231232130627</v>
      </c>
      <c r="BD103" s="173"/>
      <c r="BE103" s="528">
        <f t="shared" si="207"/>
        <v>0.1418650311019006</v>
      </c>
      <c r="BF103" s="528">
        <f t="shared" si="208"/>
        <v>0.85113097286389383</v>
      </c>
      <c r="BG103" s="528">
        <f t="shared" si="209"/>
        <v>0.172061587797847</v>
      </c>
      <c r="BH103" s="528">
        <f t="shared" si="210"/>
        <v>5.1380336334994725E-2</v>
      </c>
      <c r="BI103">
        <f t="shared" si="211"/>
        <v>1.0698475957850624E-2</v>
      </c>
      <c r="BJ103" s="460">
        <f t="shared" si="279"/>
        <v>182.76006375569762</v>
      </c>
      <c r="BK103">
        <f t="shared" si="212"/>
        <v>1.1204469513011233</v>
      </c>
      <c r="BL103" s="460">
        <f t="shared" si="280"/>
        <v>1120.4469513011234</v>
      </c>
      <c r="BM103" s="173">
        <f t="shared" si="213"/>
        <v>0.85063999999999995</v>
      </c>
      <c r="BN103" s="173">
        <f t="shared" si="214"/>
        <v>6.0760000000000002E-2</v>
      </c>
      <c r="BO103" s="528"/>
      <c r="BQ103" s="460">
        <f t="shared" si="281"/>
        <v>911.4</v>
      </c>
      <c r="BR103" s="528">
        <f t="shared" si="215"/>
        <v>0.10639877332642544</v>
      </c>
      <c r="BS103" s="528">
        <f t="shared" si="216"/>
        <v>7.2505513217874809E-2</v>
      </c>
      <c r="BT103" s="528">
        <f t="shared" si="217"/>
        <v>1.2116934411731161E-4</v>
      </c>
      <c r="BU103" s="528">
        <f t="shared" si="218"/>
        <v>1.3511365603773977</v>
      </c>
      <c r="BV103" s="528">
        <f>(BU103+(BR103+BS103+BT103)*(1+Ltc*(Ta-25)))/(1-(BR103+BS103+BT103)*Ltc*ThetaCa)</f>
        <v>1.5959858938581912</v>
      </c>
      <c r="BW103" s="625">
        <f t="shared" si="220"/>
        <v>0.97476259413847088</v>
      </c>
      <c r="BX103" s="460">
        <f t="shared" si="282"/>
        <v>2570.7484879966623</v>
      </c>
      <c r="BY103" s="173">
        <f t="shared" si="283"/>
        <v>4.6025954392977857</v>
      </c>
      <c r="BZ103" s="5">
        <f t="shared" si="284"/>
        <v>25.283999999999999</v>
      </c>
      <c r="CA103" s="173">
        <f t="shared" si="285"/>
        <v>0.84599800105548828</v>
      </c>
      <c r="CB103" s="5">
        <f t="shared" si="286"/>
        <v>84.599800105548823</v>
      </c>
      <c r="CC103">
        <f t="shared" si="287"/>
        <v>98</v>
      </c>
      <c r="CE103" s="562">
        <f t="shared" si="221"/>
        <v>-50</v>
      </c>
      <c r="CF103">
        <f t="shared" si="222"/>
        <v>-50</v>
      </c>
      <c r="CG103" s="173">
        <f t="shared" si="223"/>
        <v>0.58114024475735249</v>
      </c>
      <c r="CH103" s="173">
        <f t="shared" si="224"/>
        <v>0.1583991712777521</v>
      </c>
      <c r="CI103" s="170">
        <v>98</v>
      </c>
      <c r="CJ103" s="217">
        <f t="shared" si="309"/>
        <v>0.98</v>
      </c>
      <c r="CK103" s="217">
        <f t="shared" si="288"/>
        <v>9.8000000000000004E-2</v>
      </c>
      <c r="CL103" s="217">
        <f t="shared" si="225"/>
        <v>23.52</v>
      </c>
      <c r="CM103" s="217">
        <f t="shared" si="310"/>
        <v>1.764</v>
      </c>
      <c r="CN103" s="541">
        <f t="shared" si="289"/>
        <v>24</v>
      </c>
      <c r="CO103" s="443">
        <f t="shared" si="226"/>
        <v>16.474900000000002</v>
      </c>
      <c r="CP103" s="443">
        <f t="shared" si="227"/>
        <v>40.474900000000005</v>
      </c>
      <c r="CQ103" s="443"/>
      <c r="CR103" s="217">
        <f t="shared" si="228"/>
        <v>0.40507913686898112</v>
      </c>
      <c r="CS103" s="172">
        <f t="shared" si="290"/>
        <v>50.242373565144938</v>
      </c>
      <c r="CT103" s="172">
        <f t="shared" si="229"/>
        <v>4.0507913686898105</v>
      </c>
      <c r="CU103" s="217">
        <f t="shared" si="230"/>
        <v>2.0934322318810392</v>
      </c>
      <c r="CV103" s="217">
        <f t="shared" si="231"/>
        <v>2.7912429758413855</v>
      </c>
      <c r="CW103" s="443">
        <f t="shared" si="232"/>
        <v>24</v>
      </c>
      <c r="CX103" s="217">
        <f t="shared" si="233"/>
        <v>5.2014527736131928</v>
      </c>
      <c r="CY103" s="217">
        <f t="shared" si="234"/>
        <v>2.167271989005497</v>
      </c>
      <c r="CZ103" s="217">
        <f t="shared" si="235"/>
        <v>3.1571983888297912</v>
      </c>
      <c r="DA103" s="197">
        <f t="shared" si="236"/>
        <v>350</v>
      </c>
      <c r="DB103" s="443">
        <f t="shared" si="291"/>
        <v>187.81210693983786</v>
      </c>
      <c r="DD103" s="217">
        <f t="shared" si="237"/>
        <v>2.7911308701724487</v>
      </c>
      <c r="DE103" s="173">
        <f t="shared" si="238"/>
        <v>1.6941716612376698</v>
      </c>
      <c r="DF103" s="173">
        <f t="shared" si="239"/>
        <v>0.55195223422072148</v>
      </c>
      <c r="DG103" s="173"/>
      <c r="DH103" s="173">
        <f t="shared" si="240"/>
        <v>1.3488532386977903</v>
      </c>
      <c r="DI103" s="545">
        <f t="shared" si="241"/>
        <v>980.34299999999951</v>
      </c>
      <c r="DJ103" s="528">
        <f t="shared" si="242"/>
        <v>0.34987754285999911</v>
      </c>
      <c r="DL103" s="173">
        <f t="shared" si="243"/>
        <v>3.8010524858254717</v>
      </c>
      <c r="DM103" s="173">
        <f t="shared" si="244"/>
        <v>5.2014527736131928</v>
      </c>
      <c r="DN103" s="173">
        <f t="shared" si="245"/>
        <v>3.4068374454747925</v>
      </c>
      <c r="DP103" s="545">
        <f t="shared" si="246"/>
        <v>980</v>
      </c>
      <c r="DQ103" s="460">
        <f t="shared" si="247"/>
        <v>187.81210693983786</v>
      </c>
      <c r="DS103">
        <f t="shared" si="311"/>
        <v>980</v>
      </c>
      <c r="DT103">
        <f t="shared" si="312"/>
        <v>187.81210693983786</v>
      </c>
      <c r="DV103" s="5">
        <f t="shared" si="293"/>
        <v>5.3244703778352882</v>
      </c>
      <c r="DW103" s="5">
        <f t="shared" si="249"/>
        <v>2.167271989005497</v>
      </c>
      <c r="DX103" s="5">
        <f t="shared" si="294"/>
        <v>3.1571983888297912</v>
      </c>
      <c r="DY103" s="173">
        <f t="shared" si="295"/>
        <v>0.40703991856681548</v>
      </c>
      <c r="EA103" s="5">
        <f t="shared" si="250"/>
        <v>8.8496939551057796</v>
      </c>
      <c r="EB103" s="5">
        <f t="shared" si="251"/>
        <v>1.1799591940141041</v>
      </c>
      <c r="EC103" s="5">
        <f t="shared" si="252"/>
        <v>2.5783786842109957</v>
      </c>
      <c r="ED103" s="5"/>
      <c r="EE103" s="173">
        <f t="shared" si="296"/>
        <v>1.9159427757980885</v>
      </c>
      <c r="EF103" s="173">
        <f t="shared" si="253"/>
        <v>1.5424198115743764</v>
      </c>
      <c r="EG103" s="173">
        <f t="shared" si="254"/>
        <v>0.15445041626710981</v>
      </c>
      <c r="EH103" s="173"/>
      <c r="EI103" s="528">
        <f t="shared" si="255"/>
        <v>0.14683346880531539</v>
      </c>
      <c r="EJ103" s="528">
        <f t="shared" si="256"/>
        <v>1.0873434000000002</v>
      </c>
      <c r="EK103" s="528">
        <f t="shared" si="257"/>
        <v>3.7562421387967573E-2</v>
      </c>
      <c r="EL103" s="528">
        <f t="shared" si="258"/>
        <v>5.3843490038967171E-2</v>
      </c>
      <c r="EM103">
        <f t="shared" si="259"/>
        <v>1.0800000000000001E-2</v>
      </c>
      <c r="EN103" s="460">
        <f t="shared" si="297"/>
        <v>48.362421387967579</v>
      </c>
      <c r="EO103">
        <f t="shared" si="260"/>
        <v>1.4257695401101045</v>
      </c>
      <c r="EP103" s="460">
        <f t="shared" si="298"/>
        <v>1425.7695401101046</v>
      </c>
      <c r="EQ103" s="173">
        <f t="shared" si="261"/>
        <v>0.85063999999999995</v>
      </c>
      <c r="ER103" s="173">
        <f t="shared" si="262"/>
        <v>6.0760000000000002E-2</v>
      </c>
      <c r="ES103" s="528"/>
      <c r="EU103" s="460">
        <f t="shared" si="299"/>
        <v>911.4</v>
      </c>
      <c r="EV103" s="528">
        <f t="shared" si="263"/>
        <v>0.11012510160398653</v>
      </c>
      <c r="EW103" s="528">
        <f t="shared" si="300"/>
        <v>7.1371766254114039E-2</v>
      </c>
      <c r="EX103" s="528">
        <f t="shared" si="264"/>
        <v>1.192746554254175E-4</v>
      </c>
      <c r="EY103" s="528">
        <f t="shared" si="265"/>
        <v>1.491387900862934</v>
      </c>
      <c r="EZ103" s="528">
        <f t="shared" si="266"/>
        <v>1.7419004974995671</v>
      </c>
      <c r="FA103" s="625">
        <f t="shared" si="267"/>
        <v>1.0162554784323123</v>
      </c>
      <c r="FB103" s="460">
        <f t="shared" si="301"/>
        <v>2758.1559759318798</v>
      </c>
      <c r="FC103" s="173">
        <f t="shared" si="302"/>
        <v>5.0953255160419841</v>
      </c>
      <c r="FD103" s="5">
        <f t="shared" si="303"/>
        <v>25.283999999999999</v>
      </c>
      <c r="FE103" s="173">
        <f t="shared" si="304"/>
        <v>0.83227654236920545</v>
      </c>
      <c r="FF103" s="5">
        <f t="shared" si="305"/>
        <v>83.227654236920543</v>
      </c>
      <c r="FG103">
        <f t="shared" si="306"/>
        <v>98</v>
      </c>
      <c r="FI103" s="562">
        <f t="shared" si="268"/>
        <v>-50</v>
      </c>
      <c r="FJ103">
        <f t="shared" si="269"/>
        <v>-50</v>
      </c>
      <c r="FL103">
        <f t="shared" si="270"/>
        <v>0.58114024475735249</v>
      </c>
    </row>
    <row r="104" spans="5:169">
      <c r="E104" s="170">
        <v>99</v>
      </c>
      <c r="F104" s="217">
        <f>IF(PLOT_TYPE=1, E104/100*Iout_max, min_I*EXP(O104*rr/100))</f>
        <v>0.99</v>
      </c>
      <c r="G104" s="217">
        <f t="shared" si="271"/>
        <v>9.9000000000000005E-2</v>
      </c>
      <c r="H104" s="217">
        <f t="shared" si="176"/>
        <v>23.759999999999998</v>
      </c>
      <c r="I104" s="217">
        <f t="shared" si="308"/>
        <v>1.782</v>
      </c>
      <c r="J104" s="541">
        <f t="shared" si="177"/>
        <v>23.772088884970788</v>
      </c>
      <c r="K104" s="443">
        <f t="shared" si="178"/>
        <v>16.508987985092602</v>
      </c>
      <c r="L104" s="172">
        <f t="shared" si="179"/>
        <v>40.281076870063387</v>
      </c>
      <c r="M104" s="443"/>
      <c r="N104" s="217">
        <f t="shared" si="180"/>
        <v>0.40984475262035425</v>
      </c>
      <c r="O104" s="172">
        <f>N104*J104*Isw_max*0.5*Efficiency*Pout/(Pout+Pout2)</f>
        <v>50.350728105064213</v>
      </c>
      <c r="P104" s="172">
        <f t="shared" si="181"/>
        <v>4.0595274534708023</v>
      </c>
      <c r="Q104" s="217">
        <f t="shared" si="182"/>
        <v>2.0979470043776756</v>
      </c>
      <c r="R104" s="217">
        <f t="shared" si="183"/>
        <v>2.7972626725035674</v>
      </c>
      <c r="S104" s="443">
        <f t="shared" si="184"/>
        <v>24</v>
      </c>
      <c r="T104" s="217">
        <f t="shared" si="185"/>
        <v>5.2432210999834021</v>
      </c>
      <c r="U104" s="217">
        <f t="shared" si="186"/>
        <v>2.2056206862402727</v>
      </c>
      <c r="V104" s="217">
        <f t="shared" si="187"/>
        <v>3.1759797176652875</v>
      </c>
      <c r="W104" s="197">
        <f t="shared" si="188"/>
        <v>350</v>
      </c>
      <c r="X104" s="443">
        <f t="shared" si="273"/>
        <v>179.16008449839575</v>
      </c>
      <c r="Z104" s="217">
        <f t="shared" si="189"/>
        <v>2.783675968094264</v>
      </c>
      <c r="AA104" s="173">
        <f t="shared" si="190"/>
        <v>1.6861578496561309</v>
      </c>
      <c r="AB104" s="173">
        <f>0.5*AA104*Z104*Nps*W104/1000*(Pout/Pout_total)</f>
        <v>0.54787412668841118</v>
      </c>
      <c r="AC104" s="173"/>
      <c r="AD104" s="173">
        <f t="shared" si="192"/>
        <v>1.3460681080081105</v>
      </c>
      <c r="AE104" s="545">
        <f>MAX(10, F104/(0.5*AD104/1000000*Isw_min*Nps)/1000*Pout_total/Pout)</f>
        <v>992.3956120873878</v>
      </c>
      <c r="AF104" s="528">
        <f t="shared" si="194"/>
        <v>0.34915511090499268</v>
      </c>
      <c r="AH104" s="173">
        <f t="shared" si="195"/>
        <v>3.8203963893068176</v>
      </c>
      <c r="AI104" s="173">
        <f>MAX(IF(F104&gt;AB104,T104,AH104),Isw_min)</f>
        <v>5.2432210999834021</v>
      </c>
      <c r="AJ104" s="173">
        <f>IF(F104&gt;AF104, (AI104-Isw_min)/1.08*0.8+1.2, AE104*0.2/350+1)</f>
        <v>3.4377769464897625</v>
      </c>
      <c r="AL104" s="545">
        <f t="shared" si="198"/>
        <v>990</v>
      </c>
      <c r="AM104" s="460">
        <f t="shared" si="199"/>
        <v>179.16008449839575</v>
      </c>
      <c r="AO104">
        <f t="shared" si="274"/>
        <v>990</v>
      </c>
      <c r="AP104">
        <f t="shared" si="200"/>
        <v>179.16008449839575</v>
      </c>
      <c r="AR104" s="5">
        <f t="shared" si="275"/>
        <v>5.5816004039055596</v>
      </c>
      <c r="AS104" s="5">
        <f t="shared" si="201"/>
        <v>2.2056206862402727</v>
      </c>
      <c r="AT104" s="5">
        <f t="shared" si="276"/>
        <v>3.3759797176652868</v>
      </c>
      <c r="AU104" s="173">
        <f t="shared" si="277"/>
        <v>0.39515918851821691</v>
      </c>
      <c r="AW104" s="5">
        <f t="shared" si="202"/>
        <v>9.098185330741126</v>
      </c>
      <c r="AX104" s="5">
        <f t="shared" si="203"/>
        <v>1.2130913774321501</v>
      </c>
      <c r="AY104" s="5">
        <f t="shared" si="204"/>
        <v>2.8118857679365776</v>
      </c>
      <c r="AZ104" s="5"/>
      <c r="BA104" s="173">
        <f t="shared" si="278"/>
        <v>1.9029333911853488</v>
      </c>
      <c r="BB104" s="173">
        <f t="shared" si="205"/>
        <v>1.5703046690679159</v>
      </c>
      <c r="BC104" s="173">
        <f t="shared" si="206"/>
        <v>0.15724267024044936</v>
      </c>
      <c r="BD104" s="173"/>
      <c r="BE104" s="528">
        <f t="shared" si="207"/>
        <v>0.14484621965152686</v>
      </c>
      <c r="BF104" s="528">
        <f t="shared" si="208"/>
        <v>0.85137917085863157</v>
      </c>
      <c r="BG104" s="528">
        <f t="shared" si="209"/>
        <v>0.17036037813338964</v>
      </c>
      <c r="BH104" s="528">
        <f t="shared" si="210"/>
        <v>5.0872309260692923E-2</v>
      </c>
      <c r="BI104">
        <f t="shared" si="211"/>
        <v>1.0697439998236854E-2</v>
      </c>
      <c r="BJ104" s="460">
        <f t="shared" si="279"/>
        <v>181.0578181316265</v>
      </c>
      <c r="BK104">
        <f t="shared" si="212"/>
        <v>1.1249208495917666</v>
      </c>
      <c r="BL104" s="460">
        <f t="shared" si="280"/>
        <v>1124.9208495917667</v>
      </c>
      <c r="BM104" s="173">
        <f t="shared" si="213"/>
        <v>0.85931999999999997</v>
      </c>
      <c r="BN104" s="173">
        <f t="shared" si="214"/>
        <v>6.1380000000000004E-2</v>
      </c>
      <c r="BO104" s="528"/>
      <c r="BQ104" s="460">
        <f t="shared" si="281"/>
        <v>920.69999999999993</v>
      </c>
      <c r="BR104" s="528">
        <f t="shared" si="215"/>
        <v>0.10863466473864514</v>
      </c>
      <c r="BS104" s="528">
        <f t="shared" si="216"/>
        <v>7.3975702610894908E-2</v>
      </c>
      <c r="BT104" s="528">
        <f t="shared" si="217"/>
        <v>1.2362628672173349E-4</v>
      </c>
      <c r="BU104" s="528">
        <f t="shared" si="218"/>
        <v>1.3522860882192431</v>
      </c>
      <c r="BV104" s="528">
        <f>(BU104+(BR104+BS104+BT104)*(1+Ltc*(Ta-25)))/(1-(BR104+BS104+BT104)*Ltc*ThetaCa)</f>
        <v>1.6022998118174911</v>
      </c>
      <c r="BW104" s="625">
        <f t="shared" si="220"/>
        <v>0.98507114497393578</v>
      </c>
      <c r="BX104" s="460">
        <f t="shared" si="282"/>
        <v>2587.370956791427</v>
      </c>
      <c r="BY104" s="173">
        <f t="shared" si="283"/>
        <v>4.6329918063831936</v>
      </c>
      <c r="BZ104" s="5">
        <f t="shared" si="284"/>
        <v>25.541999999999998</v>
      </c>
      <c r="CA104" s="173">
        <f t="shared" si="285"/>
        <v>0.84646253307670716</v>
      </c>
      <c r="CB104" s="5">
        <f t="shared" si="286"/>
        <v>84.646253307670719</v>
      </c>
      <c r="CC104">
        <f t="shared" si="287"/>
        <v>99</v>
      </c>
      <c r="CE104" s="562">
        <f t="shared" si="221"/>
        <v>-50</v>
      </c>
      <c r="CF104">
        <f t="shared" si="222"/>
        <v>-50</v>
      </c>
      <c r="CG104" s="173">
        <f t="shared" si="223"/>
        <v>0.58114024475735238</v>
      </c>
      <c r="CH104" s="173">
        <f t="shared" si="224"/>
        <v>0.1583991712777521</v>
      </c>
      <c r="CI104" s="170">
        <v>99</v>
      </c>
      <c r="CJ104" s="217">
        <f t="shared" si="309"/>
        <v>0.99</v>
      </c>
      <c r="CK104" s="217">
        <f t="shared" si="288"/>
        <v>9.9000000000000005E-2</v>
      </c>
      <c r="CL104" s="217">
        <f t="shared" si="225"/>
        <v>23.759999999999998</v>
      </c>
      <c r="CM104" s="217">
        <f t="shared" si="310"/>
        <v>1.782</v>
      </c>
      <c r="CN104" s="541">
        <f t="shared" si="289"/>
        <v>24</v>
      </c>
      <c r="CO104" s="443">
        <f t="shared" si="226"/>
        <v>16.474900000000002</v>
      </c>
      <c r="CP104" s="443">
        <f t="shared" si="227"/>
        <v>40.474900000000005</v>
      </c>
      <c r="CQ104" s="443"/>
      <c r="CR104" s="217">
        <f t="shared" si="228"/>
        <v>0.40507913686898112</v>
      </c>
      <c r="CS104" s="172">
        <f t="shared" si="290"/>
        <v>50.242373565144938</v>
      </c>
      <c r="CT104" s="172">
        <f t="shared" si="229"/>
        <v>4.0507913686898105</v>
      </c>
      <c r="CU104" s="217">
        <f t="shared" si="230"/>
        <v>2.0934322318810392</v>
      </c>
      <c r="CV104" s="217">
        <f t="shared" si="231"/>
        <v>2.7912429758413855</v>
      </c>
      <c r="CW104" s="443">
        <f t="shared" si="232"/>
        <v>24</v>
      </c>
      <c r="CX104" s="217">
        <f t="shared" si="233"/>
        <v>5.2545288223235316</v>
      </c>
      <c r="CY104" s="217">
        <f t="shared" si="234"/>
        <v>2.1893870093014716</v>
      </c>
      <c r="CZ104" s="217">
        <f t="shared" si="235"/>
        <v>3.189414698919891</v>
      </c>
      <c r="DA104" s="197">
        <f t="shared" si="236"/>
        <v>350</v>
      </c>
      <c r="DB104" s="443">
        <f t="shared" si="291"/>
        <v>185.91501495054655</v>
      </c>
      <c r="DD104" s="217">
        <f t="shared" si="237"/>
        <v>2.7911308701724487</v>
      </c>
      <c r="DE104" s="173">
        <f t="shared" si="238"/>
        <v>1.6941716612376698</v>
      </c>
      <c r="DF104" s="173">
        <f t="shared" si="239"/>
        <v>0.55195223422072148</v>
      </c>
      <c r="DG104" s="173"/>
      <c r="DH104" s="173">
        <f t="shared" si="240"/>
        <v>1.3488532386977903</v>
      </c>
      <c r="DI104" s="545">
        <f t="shared" si="241"/>
        <v>990.34649999999965</v>
      </c>
      <c r="DJ104" s="528">
        <f t="shared" si="242"/>
        <v>0.34987754285999911</v>
      </c>
      <c r="DL104" s="173">
        <f t="shared" si="243"/>
        <v>3.8203963893068176</v>
      </c>
      <c r="DM104" s="173">
        <f t="shared" si="244"/>
        <v>5.2545288223235316</v>
      </c>
      <c r="DN104" s="173">
        <f t="shared" si="245"/>
        <v>3.4461530371120812</v>
      </c>
      <c r="DP104" s="545">
        <f t="shared" si="246"/>
        <v>990</v>
      </c>
      <c r="DQ104" s="460">
        <f t="shared" si="247"/>
        <v>185.91501495054655</v>
      </c>
      <c r="DS104">
        <f t="shared" si="311"/>
        <v>990</v>
      </c>
      <c r="DT104">
        <f t="shared" si="312"/>
        <v>185.91501495054655</v>
      </c>
      <c r="DV104" s="5">
        <f t="shared" si="293"/>
        <v>5.3788017082213626</v>
      </c>
      <c r="DW104" s="5">
        <f t="shared" si="249"/>
        <v>2.1893870093014716</v>
      </c>
      <c r="DX104" s="5">
        <f t="shared" si="294"/>
        <v>3.189414698919891</v>
      </c>
      <c r="DY104" s="173">
        <f t="shared" si="295"/>
        <v>0.40703991856681548</v>
      </c>
      <c r="EA104" s="5">
        <f t="shared" si="250"/>
        <v>9.03122141336857</v>
      </c>
      <c r="EB104" s="5">
        <f t="shared" si="251"/>
        <v>1.2041628551158094</v>
      </c>
      <c r="EC104" s="5">
        <f t="shared" si="252"/>
        <v>2.6312671266089094</v>
      </c>
      <c r="ED104" s="5"/>
      <c r="EE104" s="173">
        <f t="shared" si="296"/>
        <v>1.9354932122858239</v>
      </c>
      <c r="EF104" s="173">
        <f t="shared" si="253"/>
        <v>1.5581587892435027</v>
      </c>
      <c r="EG104" s="173">
        <f t="shared" si="254"/>
        <v>0.15602644092289664</v>
      </c>
      <c r="EH104" s="173"/>
      <c r="EI104" s="528">
        <f t="shared" si="255"/>
        <v>0.14984535899217991</v>
      </c>
      <c r="EJ104" s="528">
        <f t="shared" si="256"/>
        <v>1.0873434</v>
      </c>
      <c r="EK104" s="528">
        <f t="shared" si="257"/>
        <v>3.7183002990109307E-2</v>
      </c>
      <c r="EL104" s="528">
        <f t="shared" si="258"/>
        <v>5.3299616402209912E-2</v>
      </c>
      <c r="EM104">
        <f t="shared" si="259"/>
        <v>1.0800000000000001E-2</v>
      </c>
      <c r="EN104" s="460">
        <f t="shared" si="297"/>
        <v>47.983002990109313</v>
      </c>
      <c r="EO104">
        <f t="shared" si="260"/>
        <v>1.4298364607152079</v>
      </c>
      <c r="EP104" s="460">
        <f t="shared" si="298"/>
        <v>1429.836460715208</v>
      </c>
      <c r="EQ104" s="173">
        <f t="shared" si="261"/>
        <v>0.85931999999999997</v>
      </c>
      <c r="ER104" s="173">
        <f t="shared" si="262"/>
        <v>6.1380000000000004E-2</v>
      </c>
      <c r="ES104" s="528"/>
      <c r="EU104" s="460">
        <f t="shared" si="299"/>
        <v>920.69999999999993</v>
      </c>
      <c r="EV104" s="528">
        <f t="shared" si="263"/>
        <v>0.11238401924413492</v>
      </c>
      <c r="EW104" s="528">
        <f t="shared" si="300"/>
        <v>7.2835764374903342E-2</v>
      </c>
      <c r="EX104" s="528">
        <f t="shared" si="264"/>
        <v>1.2172125133533078E-4</v>
      </c>
      <c r="EY104" s="528">
        <f t="shared" si="265"/>
        <v>1.4913879008629312</v>
      </c>
      <c r="EZ104" s="528">
        <f t="shared" si="266"/>
        <v>1.7471164218469022</v>
      </c>
      <c r="FA104" s="625">
        <f t="shared" si="267"/>
        <v>1.0266254322938666</v>
      </c>
      <c r="FB104" s="460">
        <f t="shared" si="301"/>
        <v>2773.7418541407692</v>
      </c>
      <c r="FC104" s="173">
        <f t="shared" si="302"/>
        <v>5.1242783148559772</v>
      </c>
      <c r="FD104" s="5">
        <f t="shared" si="303"/>
        <v>25.541999999999998</v>
      </c>
      <c r="FE104" s="173">
        <f t="shared" si="304"/>
        <v>0.83290185192203214</v>
      </c>
      <c r="FF104" s="5">
        <f t="shared" si="305"/>
        <v>83.290185192203211</v>
      </c>
      <c r="FG104">
        <f t="shared" si="306"/>
        <v>99</v>
      </c>
      <c r="FI104" s="562">
        <f t="shared" si="268"/>
        <v>-50</v>
      </c>
      <c r="FJ104">
        <f t="shared" si="269"/>
        <v>-50</v>
      </c>
      <c r="FL104">
        <f t="shared" si="270"/>
        <v>0.58114024475735238</v>
      </c>
    </row>
    <row r="105" spans="5:169" ht="13">
      <c r="E105" s="170">
        <v>100</v>
      </c>
      <c r="F105" s="217">
        <f>IF(PLOT_TYPE=1, E105/100*Iout_max, min_I*EXP(O105*rr/100))</f>
        <v>1</v>
      </c>
      <c r="G105" s="217">
        <f t="shared" si="271"/>
        <v>0.1</v>
      </c>
      <c r="H105" s="217">
        <f t="shared" si="176"/>
        <v>24</v>
      </c>
      <c r="I105" s="217">
        <f t="shared" si="308"/>
        <v>1.8</v>
      </c>
      <c r="J105" s="541">
        <f t="shared" si="177"/>
        <v>23.769786752495747</v>
      </c>
      <c r="K105" s="443">
        <f t="shared" si="178"/>
        <v>16.509332308174347</v>
      </c>
      <c r="L105" s="172">
        <f t="shared" si="179"/>
        <v>40.279119060670098</v>
      </c>
      <c r="M105" s="443"/>
      <c r="N105" s="217">
        <f t="shared" si="180"/>
        <v>0.40987322198649129</v>
      </c>
      <c r="O105" s="172">
        <f>N105*J105*Isw_max*0.5*Efficiency*Pout/(Pout+Pout2)</f>
        <v>50.349349261897927</v>
      </c>
      <c r="P105" s="172">
        <f t="shared" si="181"/>
        <v>4.0594162842405206</v>
      </c>
      <c r="Q105" s="217">
        <f t="shared" si="182"/>
        <v>2.0978895525790802</v>
      </c>
      <c r="R105" s="217">
        <f t="shared" si="183"/>
        <v>2.7971860701054405</v>
      </c>
      <c r="S105" s="443">
        <f t="shared" si="184"/>
        <v>24</v>
      </c>
      <c r="T105" s="217">
        <f t="shared" si="185"/>
        <v>5.2963279680054915</v>
      </c>
      <c r="U105" s="217">
        <f t="shared" si="186"/>
        <v>2.2281764759414155</v>
      </c>
      <c r="V105" s="217">
        <f t="shared" si="187"/>
        <v>3.2080812652750925</v>
      </c>
      <c r="W105" s="197">
        <f t="shared" si="188"/>
        <v>350</v>
      </c>
      <c r="X105" s="443">
        <f t="shared" si="273"/>
        <v>177.42268822932925</v>
      </c>
      <c r="Z105" s="217">
        <f t="shared" si="189"/>
        <v>2.7835997377649284</v>
      </c>
      <c r="AA105" s="173">
        <f t="shared" si="190"/>
        <v>1.6860765086100251</v>
      </c>
      <c r="AB105" s="173">
        <f>0.5*AA105*Z105*Nps*W105/1000*(Pout/Pout_total)</f>
        <v>0.54783269429957615</v>
      </c>
      <c r="AC105" s="173"/>
      <c r="AD105" s="173">
        <f t="shared" si="192"/>
        <v>1.346040034049059</v>
      </c>
      <c r="AE105" s="545">
        <f>MAX(10, F105/(0.5*AD105/1000000*Isw_min*Nps)/1000*Pout_total/Pout)</f>
        <v>1002.44071736291</v>
      </c>
      <c r="AF105" s="528">
        <f t="shared" si="194"/>
        <v>0.34914782883194756</v>
      </c>
      <c r="AH105" s="173">
        <f t="shared" si="195"/>
        <v>3.8396428405331062</v>
      </c>
      <c r="AI105" s="173">
        <f>MAX(IF(F105&gt;AB105,T105,AH105),Isw_min)</f>
        <v>5.2963279680054915</v>
      </c>
      <c r="AJ105" s="173">
        <f>IF(F105&gt;AF105, (AI105-Isw_min)/1.08*0.8+1.2, AE105*0.2/350+1)</f>
        <v>3.4771153672468662</v>
      </c>
      <c r="AL105" s="545">
        <f t="shared" si="198"/>
        <v>1000</v>
      </c>
      <c r="AM105" s="460">
        <f t="shared" si="199"/>
        <v>177.42268822932925</v>
      </c>
      <c r="AO105">
        <f t="shared" si="274"/>
        <v>1000</v>
      </c>
      <c r="AP105" s="3">
        <f t="shared" si="200"/>
        <v>177.42268822932925</v>
      </c>
      <c r="AR105" s="5">
        <f t="shared" si="275"/>
        <v>5.6362577412165082</v>
      </c>
      <c r="AS105" s="5">
        <f t="shared" si="201"/>
        <v>2.2281764759414155</v>
      </c>
      <c r="AT105" s="5">
        <f t="shared" si="276"/>
        <v>3.4080812652750927</v>
      </c>
      <c r="AU105" s="173">
        <f t="shared" si="277"/>
        <v>0.39532906021087932</v>
      </c>
      <c r="AW105" s="5">
        <f t="shared" si="202"/>
        <v>9.2840686497558984</v>
      </c>
      <c r="AX105" s="5">
        <f t="shared" si="203"/>
        <v>1.2378758199674531</v>
      </c>
      <c r="AY105" s="5">
        <f t="shared" si="204"/>
        <v>2.8675741189956234</v>
      </c>
      <c r="AZ105" s="5"/>
      <c r="BA105" s="173">
        <f t="shared" si="278"/>
        <v>1.9226206963170589</v>
      </c>
      <c r="BB105" s="173">
        <f t="shared" si="205"/>
        <v>1.5859870084142038</v>
      </c>
      <c r="BC105" s="173">
        <f t="shared" si="206"/>
        <v>0.15881302341012499</v>
      </c>
      <c r="BD105" s="173"/>
      <c r="BE105" s="528">
        <f t="shared" si="207"/>
        <v>0.14785881367626771</v>
      </c>
      <c r="BF105" s="528">
        <f t="shared" si="208"/>
        <v>0.85162128464624187</v>
      </c>
      <c r="BG105" s="528">
        <f t="shared" si="209"/>
        <v>0.16869197857062773</v>
      </c>
      <c r="BH105" s="528">
        <f t="shared" si="210"/>
        <v>5.0374080407447085E-2</v>
      </c>
      <c r="BI105">
        <f t="shared" si="211"/>
        <v>1.0696404038623085E-2</v>
      </c>
      <c r="BJ105" s="460">
        <f t="shared" si="279"/>
        <v>179.38838260925084</v>
      </c>
      <c r="BK105">
        <f t="shared" si="212"/>
        <v>1.1294552373953588</v>
      </c>
      <c r="BL105" s="460">
        <f t="shared" si="280"/>
        <v>1129.4552373953588</v>
      </c>
      <c r="BM105" s="173">
        <f t="shared" si="213"/>
        <v>0.86799999999999999</v>
      </c>
      <c r="BN105" s="173">
        <f t="shared" si="214"/>
        <v>6.2E-2</v>
      </c>
      <c r="BO105" s="528"/>
      <c r="BQ105" s="460">
        <f t="shared" si="281"/>
        <v>929.99999999999989</v>
      </c>
      <c r="BR105" s="528">
        <f t="shared" si="215"/>
        <v>0.11089411025720076</v>
      </c>
      <c r="BS105" s="528">
        <f t="shared" si="216"/>
        <v>7.5460643725759072E-2</v>
      </c>
      <c r="BT105" s="528">
        <f t="shared" si="217"/>
        <v>1.2610788202332455E-4</v>
      </c>
      <c r="BU105" s="528">
        <f t="shared" si="218"/>
        <v>1.3534121415332694</v>
      </c>
      <c r="BV105" s="528">
        <f>(BU105+(BR105+BS105+BT105)*(1+Ltc*(Ta-25)))/(1-(BR105+BS105+BT105)*Ltc*ThetaCa)</f>
        <v>1.6086469599683593</v>
      </c>
      <c r="BW105" s="625">
        <f t="shared" si="220"/>
        <v>0.99537995714946648</v>
      </c>
      <c r="BX105" s="460">
        <f t="shared" si="282"/>
        <v>2604.0269171178256</v>
      </c>
      <c r="BY105" s="173">
        <f>SUM(BK105,BM105:BP105,BV105:BW105)+BI105+BG105</f>
        <v>4.8428705371224359</v>
      </c>
      <c r="BZ105" s="5">
        <f t="shared" si="284"/>
        <v>25.8</v>
      </c>
      <c r="CA105" s="173">
        <f t="shared" si="285"/>
        <v>0.84195767393085708</v>
      </c>
      <c r="CB105" s="5">
        <f t="shared" si="286"/>
        <v>84.195767393085703</v>
      </c>
      <c r="CC105">
        <f t="shared" si="287"/>
        <v>100</v>
      </c>
      <c r="CE105" s="562">
        <f t="shared" si="221"/>
        <v>-50</v>
      </c>
      <c r="CF105">
        <f t="shared" si="222"/>
        <v>-50</v>
      </c>
      <c r="CG105" s="173">
        <f t="shared" si="223"/>
        <v>0.58114024475735238</v>
      </c>
      <c r="CH105" s="173">
        <f t="shared" si="224"/>
        <v>0.15839917127775208</v>
      </c>
      <c r="CI105" s="170">
        <v>100</v>
      </c>
      <c r="CJ105" s="217">
        <f t="shared" si="309"/>
        <v>1</v>
      </c>
      <c r="CK105" s="217">
        <f t="shared" si="288"/>
        <v>0.1</v>
      </c>
      <c r="CL105" s="217">
        <f t="shared" si="225"/>
        <v>24</v>
      </c>
      <c r="CM105" s="217">
        <f t="shared" si="310"/>
        <v>1.8</v>
      </c>
      <c r="CN105" s="541">
        <f t="shared" si="289"/>
        <v>24</v>
      </c>
      <c r="CO105" s="443">
        <f t="shared" si="226"/>
        <v>16.474900000000002</v>
      </c>
      <c r="CP105" s="443">
        <f t="shared" si="227"/>
        <v>40.474900000000005</v>
      </c>
      <c r="CQ105" s="443"/>
      <c r="CR105" s="217">
        <f t="shared" si="228"/>
        <v>0.40507913686898112</v>
      </c>
      <c r="CS105" s="172">
        <f t="shared" si="290"/>
        <v>50.242373565144938</v>
      </c>
      <c r="CT105" s="172">
        <f t="shared" si="229"/>
        <v>4.0507913686898105</v>
      </c>
      <c r="CU105" s="217">
        <f t="shared" si="230"/>
        <v>2.0934322318810392</v>
      </c>
      <c r="CV105" s="217">
        <f t="shared" si="231"/>
        <v>2.7912429758413855</v>
      </c>
      <c r="CW105" s="443">
        <f t="shared" si="232"/>
        <v>24</v>
      </c>
      <c r="CX105" s="217">
        <f t="shared" si="233"/>
        <v>5.3076048710338712</v>
      </c>
      <c r="CY105" s="217">
        <f t="shared" si="234"/>
        <v>2.2115020295974466</v>
      </c>
      <c r="CZ105" s="217">
        <f t="shared" si="235"/>
        <v>3.2216310090099918</v>
      </c>
      <c r="DA105" s="197">
        <f t="shared" si="236"/>
        <v>350</v>
      </c>
      <c r="DB105" s="443">
        <f t="shared" si="291"/>
        <v>184.05586480104103</v>
      </c>
      <c r="DD105" s="217">
        <f t="shared" si="237"/>
        <v>2.7911308701724487</v>
      </c>
      <c r="DE105" s="173">
        <f t="shared" si="238"/>
        <v>1.6941716612376698</v>
      </c>
      <c r="DF105" s="173">
        <f t="shared" si="239"/>
        <v>0.55195223422072148</v>
      </c>
      <c r="DG105" s="173"/>
      <c r="DH105" s="173">
        <f t="shared" si="240"/>
        <v>1.3488532386977903</v>
      </c>
      <c r="DI105" s="545">
        <f t="shared" si="241"/>
        <v>1000.3499999999998</v>
      </c>
      <c r="DJ105" s="528">
        <f t="shared" si="242"/>
        <v>0.34987754285999911</v>
      </c>
      <c r="DL105" s="173">
        <f t="shared" si="243"/>
        <v>3.8396428405331062</v>
      </c>
      <c r="DM105" s="173">
        <f t="shared" si="244"/>
        <v>5.3076048710338712</v>
      </c>
      <c r="DN105" s="173">
        <f t="shared" si="245"/>
        <v>3.4854686287493699</v>
      </c>
      <c r="DP105" s="545">
        <f t="shared" si="246"/>
        <v>1000</v>
      </c>
      <c r="DQ105" s="460">
        <f t="shared" si="247"/>
        <v>184.05586480104103</v>
      </c>
      <c r="DS105">
        <f t="shared" si="311"/>
        <v>1000</v>
      </c>
      <c r="DT105">
        <f t="shared" si="312"/>
        <v>184.05586480104103</v>
      </c>
      <c r="DV105" s="5">
        <f t="shared" si="293"/>
        <v>5.4331330386074388</v>
      </c>
      <c r="DW105" s="5">
        <f t="shared" si="249"/>
        <v>2.2115020295974466</v>
      </c>
      <c r="DX105" s="5">
        <f t="shared" si="294"/>
        <v>3.2216310090099922</v>
      </c>
      <c r="DY105" s="173">
        <f t="shared" si="295"/>
        <v>0.40703991856681548</v>
      </c>
      <c r="EA105" s="5">
        <f t="shared" si="250"/>
        <v>9.2145917899893615</v>
      </c>
      <c r="EB105" s="5">
        <f t="shared" si="251"/>
        <v>1.2286122386652483</v>
      </c>
      <c r="EC105" s="5">
        <f t="shared" si="252"/>
        <v>2.6846925075083266</v>
      </c>
      <c r="ED105" s="5"/>
      <c r="EE105" s="173">
        <f t="shared" si="296"/>
        <v>1.9550436487735601</v>
      </c>
      <c r="EF105" s="173">
        <f t="shared" si="253"/>
        <v>1.5738977669126291</v>
      </c>
      <c r="EG105" s="173">
        <f t="shared" si="254"/>
        <v>0.15760246557868351</v>
      </c>
      <c r="EH105" s="173"/>
      <c r="EI105" s="528">
        <f t="shared" si="255"/>
        <v>0.15288782674439341</v>
      </c>
      <c r="EJ105" s="528">
        <f t="shared" si="256"/>
        <v>1.0873434</v>
      </c>
      <c r="EK105" s="528">
        <f t="shared" si="257"/>
        <v>3.6811172960208208E-2</v>
      </c>
      <c r="EL105" s="528">
        <f t="shared" si="258"/>
        <v>5.2766620238187796E-2</v>
      </c>
      <c r="EM105">
        <f t="shared" si="259"/>
        <v>1.0800000000000001E-2</v>
      </c>
      <c r="EN105" s="460">
        <f t="shared" si="297"/>
        <v>47.611172960208215</v>
      </c>
      <c r="EO105">
        <f t="shared" si="260"/>
        <v>1.4339796911285396</v>
      </c>
      <c r="EP105" s="460">
        <f t="shared" si="298"/>
        <v>1433.9796911285396</v>
      </c>
      <c r="EQ105" s="173">
        <f t="shared" si="261"/>
        <v>0.86799999999999999</v>
      </c>
      <c r="ER105" s="173">
        <f t="shared" si="262"/>
        <v>6.2E-2</v>
      </c>
      <c r="ES105" s="528"/>
      <c r="EU105" s="460">
        <f t="shared" si="299"/>
        <v>929.99999999999989</v>
      </c>
      <c r="EV105" s="528">
        <f t="shared" si="263"/>
        <v>0.11466587005829505</v>
      </c>
      <c r="EW105" s="528">
        <f t="shared" si="300"/>
        <v>7.4314625420776811E-2</v>
      </c>
      <c r="EX105" s="528">
        <f t="shared" si="264"/>
        <v>1.2419268578240061E-4</v>
      </c>
      <c r="EY105" s="528">
        <f t="shared" si="265"/>
        <v>1.4913879008629287</v>
      </c>
      <c r="EZ105" s="528">
        <f t="shared" si="266"/>
        <v>1.7523885047257348</v>
      </c>
      <c r="FA105" s="625">
        <f t="shared" si="267"/>
        <v>1.0369953861554209</v>
      </c>
      <c r="FB105" s="460">
        <f t="shared" si="301"/>
        <v>2789.3838908811554</v>
      </c>
      <c r="FC105" s="173">
        <f t="shared" si="302"/>
        <v>5.1533635820096952</v>
      </c>
      <c r="FD105" s="5">
        <f t="shared" si="303"/>
        <v>25.8</v>
      </c>
      <c r="FE105" s="173">
        <f t="shared" si="304"/>
        <v>0.83351200045332507</v>
      </c>
      <c r="FF105" s="5">
        <f t="shared" si="305"/>
        <v>83.351200045332504</v>
      </c>
      <c r="FG105">
        <f t="shared" si="306"/>
        <v>100</v>
      </c>
      <c r="FI105" s="562">
        <f t="shared" si="268"/>
        <v>-50</v>
      </c>
      <c r="FJ105">
        <f t="shared" si="269"/>
        <v>-50</v>
      </c>
      <c r="FL105">
        <f t="shared" si="270"/>
        <v>0.58114024475735226</v>
      </c>
    </row>
    <row r="106" spans="5:169" ht="13">
      <c r="E106" s="170"/>
      <c r="F106" s="217"/>
      <c r="G106" s="217"/>
      <c r="H106" s="217"/>
      <c r="I106" s="217"/>
      <c r="J106" s="541"/>
      <c r="K106" s="443"/>
      <c r="L106" s="443"/>
      <c r="M106" s="443"/>
      <c r="N106" s="217"/>
      <c r="O106" s="172"/>
      <c r="P106" s="172"/>
      <c r="Q106" s="217"/>
      <c r="R106" s="217"/>
      <c r="S106" s="217"/>
      <c r="T106" s="217"/>
      <c r="U106" s="217"/>
      <c r="V106" s="217"/>
      <c r="W106" s="197"/>
      <c r="X106" s="443"/>
      <c r="Z106" s="217"/>
      <c r="AA106" s="173"/>
      <c r="AB106" s="173"/>
      <c r="AC106" s="173"/>
      <c r="AD106" s="173"/>
      <c r="AE106" s="545"/>
      <c r="AF106" s="528"/>
      <c r="AH106" s="173"/>
      <c r="AI106" s="173"/>
      <c r="AJ106" s="173"/>
      <c r="AL106" s="545"/>
      <c r="AM106" s="460"/>
      <c r="AP106" s="3"/>
      <c r="AR106" s="5"/>
      <c r="AS106" s="5"/>
      <c r="AT106" s="5"/>
      <c r="AU106" s="173"/>
      <c r="AW106" s="5"/>
      <c r="AX106" s="5"/>
      <c r="AY106" s="5"/>
      <c r="AZ106" s="5"/>
      <c r="BA106" s="173"/>
      <c r="BB106" s="173"/>
      <c r="BC106" s="173"/>
      <c r="BD106" s="173"/>
      <c r="BE106" s="528"/>
      <c r="BF106" s="528"/>
      <c r="BG106" s="528"/>
      <c r="BH106" s="528"/>
      <c r="BL106" s="460"/>
      <c r="BM106" s="173"/>
      <c r="BN106" s="173"/>
      <c r="BO106" s="528"/>
      <c r="BQ106" s="460"/>
      <c r="BR106" s="528"/>
      <c r="BS106" s="528"/>
      <c r="BT106" s="528"/>
      <c r="BU106" s="528"/>
      <c r="BV106" s="528"/>
      <c r="BW106" s="625"/>
      <c r="BX106" s="460"/>
      <c r="BY106" s="173"/>
      <c r="BZ106" s="5"/>
      <c r="CA106" s="173"/>
      <c r="CB106" s="5"/>
      <c r="CI106" s="170"/>
      <c r="CJ106" s="217"/>
      <c r="CK106" s="217"/>
      <c r="CL106" s="217"/>
      <c r="CM106" s="217"/>
      <c r="CN106" s="541"/>
      <c r="CO106" s="443"/>
      <c r="CP106" s="443"/>
      <c r="CQ106" s="443"/>
      <c r="CR106" s="217"/>
      <c r="CS106" s="172"/>
      <c r="CT106" s="172"/>
      <c r="CU106" s="217"/>
      <c r="CV106" s="217"/>
      <c r="CW106" s="217"/>
      <c r="CX106" s="217"/>
      <c r="CY106" s="217"/>
      <c r="CZ106" s="217"/>
      <c r="DA106" s="197"/>
      <c r="DB106" s="443"/>
      <c r="DD106" s="217"/>
      <c r="DE106" s="173"/>
      <c r="DF106" s="173"/>
      <c r="DG106" s="173"/>
      <c r="DH106" s="173"/>
      <c r="DI106" s="545"/>
      <c r="DJ106" s="528"/>
      <c r="DL106" s="173"/>
      <c r="DM106" s="173"/>
      <c r="DN106" s="173"/>
      <c r="DP106" s="545"/>
      <c r="DQ106" s="460"/>
      <c r="DT106" s="3"/>
      <c r="DV106" s="5"/>
      <c r="DW106" s="5"/>
      <c r="DX106" s="5"/>
      <c r="DY106" s="173"/>
      <c r="EA106" s="5"/>
      <c r="EB106" s="5"/>
      <c r="EC106" s="5"/>
      <c r="ED106" s="5"/>
      <c r="EE106" s="173"/>
      <c r="EF106" s="173"/>
      <c r="EG106" s="173"/>
      <c r="EH106" s="173"/>
      <c r="EI106" s="528"/>
      <c r="EJ106" s="528"/>
      <c r="EK106" s="528"/>
      <c r="EL106" s="528"/>
      <c r="EP106" s="460"/>
      <c r="EQ106" s="173"/>
      <c r="ER106" s="173"/>
      <c r="ES106" s="528"/>
      <c r="EU106" s="460"/>
      <c r="EV106" s="528"/>
      <c r="EW106" s="528"/>
      <c r="EX106" s="528"/>
      <c r="EY106" s="528"/>
      <c r="EZ106" s="528"/>
      <c r="FA106" s="625"/>
      <c r="FB106" s="460"/>
      <c r="FC106" s="173"/>
      <c r="FD106" s="5"/>
      <c r="FE106" s="173"/>
      <c r="FF106" s="5"/>
    </row>
    <row r="107" spans="5:169">
      <c r="G107" s="217"/>
      <c r="H107" s="217"/>
      <c r="I107" s="217"/>
      <c r="J107" s="541"/>
      <c r="K107" s="443"/>
      <c r="L107" s="443"/>
      <c r="M107" s="443"/>
      <c r="N107" s="217"/>
      <c r="O107" s="172"/>
      <c r="P107" s="172"/>
      <c r="Q107" s="217"/>
      <c r="R107" s="217"/>
      <c r="S107" s="217"/>
      <c r="T107" s="217"/>
      <c r="U107" s="217"/>
      <c r="V107" s="217"/>
      <c r="W107" s="197"/>
      <c r="X107" s="443"/>
      <c r="Z107" s="217"/>
      <c r="AA107" s="173"/>
      <c r="AB107" s="173"/>
      <c r="AC107" s="173"/>
      <c r="AD107" s="173"/>
      <c r="AE107" s="545"/>
      <c r="AF107" s="528"/>
      <c r="AH107" s="173"/>
      <c r="AI107" s="173"/>
      <c r="AJ107" s="173"/>
      <c r="AL107" s="545"/>
      <c r="AM107" s="460"/>
      <c r="AR107" s="5"/>
      <c r="AS107" s="5"/>
      <c r="AT107" s="5"/>
      <c r="AU107" s="173"/>
      <c r="AW107" s="5"/>
      <c r="AX107" s="5"/>
      <c r="AY107" s="5"/>
      <c r="AZ107" s="5"/>
      <c r="BA107" s="173"/>
      <c r="BB107" s="173"/>
      <c r="BC107" s="173"/>
      <c r="BD107" s="173"/>
      <c r="BE107" s="528"/>
      <c r="BF107" s="528"/>
      <c r="BG107" s="528"/>
      <c r="BH107" s="528"/>
      <c r="BL107" s="460"/>
      <c r="BM107" s="173"/>
      <c r="BN107" s="173"/>
      <c r="BO107" s="528"/>
      <c r="BQ107" s="460"/>
      <c r="BR107" s="528"/>
      <c r="BS107" s="528"/>
      <c r="BT107" s="528"/>
      <c r="BU107" s="528"/>
      <c r="BV107" s="528"/>
      <c r="BW107" s="625"/>
      <c r="BX107" s="460"/>
      <c r="BY107" s="173"/>
      <c r="BZ107" s="5"/>
      <c r="CA107" s="173"/>
      <c r="CB107" s="5"/>
      <c r="CK107" s="217"/>
      <c r="CL107" s="217"/>
      <c r="CM107" s="217"/>
      <c r="CN107" s="541"/>
      <c r="CO107" s="443"/>
      <c r="CP107" s="443"/>
      <c r="CQ107" s="443"/>
      <c r="CR107" s="217"/>
      <c r="CS107" s="172"/>
      <c r="CT107" s="172"/>
      <c r="CU107" s="217"/>
      <c r="CV107" s="217"/>
      <c r="CW107" s="217"/>
      <c r="CX107" s="217"/>
      <c r="CY107" s="217"/>
      <c r="CZ107" s="217"/>
      <c r="DA107" s="197"/>
      <c r="DB107" s="443"/>
      <c r="DD107" s="217"/>
      <c r="DE107" s="173"/>
      <c r="DF107" s="173"/>
      <c r="DG107" s="173"/>
      <c r="DH107" s="173"/>
      <c r="DI107" s="545"/>
      <c r="DJ107" s="528"/>
      <c r="DL107" s="173"/>
      <c r="DM107" s="173"/>
      <c r="DN107" s="173"/>
      <c r="DP107" s="545"/>
      <c r="DQ107" s="460"/>
      <c r="DV107" s="5"/>
      <c r="DW107" s="5"/>
      <c r="DX107" s="5"/>
      <c r="DY107" s="173"/>
      <c r="EA107" s="5"/>
      <c r="EB107" s="5"/>
      <c r="EC107" s="5"/>
      <c r="ED107" s="5"/>
      <c r="EE107" s="173"/>
      <c r="EF107" s="173"/>
      <c r="EG107" s="173"/>
      <c r="EH107" s="173"/>
      <c r="EI107" s="528"/>
      <c r="EJ107" s="528"/>
      <c r="EK107" s="528"/>
      <c r="EL107" s="528"/>
      <c r="EP107" s="460"/>
      <c r="EQ107" s="173"/>
      <c r="ER107" s="173"/>
      <c r="ES107" s="528"/>
      <c r="EU107" s="460"/>
      <c r="EV107" s="528"/>
      <c r="EW107" s="528"/>
      <c r="EX107" s="528"/>
      <c r="EY107" s="528"/>
      <c r="EZ107" s="528"/>
      <c r="FA107" s="625"/>
      <c r="FB107" s="460"/>
      <c r="FC107" s="173"/>
      <c r="FD107" s="5"/>
      <c r="FE107" s="173"/>
      <c r="FF107" s="5"/>
    </row>
    <row r="108" spans="5:169" ht="13">
      <c r="E108" s="445" t="s">
        <v>434</v>
      </c>
      <c r="G108" s="217"/>
      <c r="H108" s="217"/>
      <c r="I108" s="217"/>
      <c r="J108" s="541"/>
      <c r="K108" s="443"/>
      <c r="L108" s="443"/>
      <c r="M108" s="443"/>
      <c r="N108" s="217"/>
      <c r="O108" s="172"/>
      <c r="P108" s="172"/>
      <c r="Q108" s="217"/>
      <c r="R108" s="217"/>
      <c r="S108" s="217"/>
      <c r="T108" s="217"/>
      <c r="U108" s="217"/>
      <c r="V108" s="217"/>
      <c r="W108" s="197"/>
      <c r="X108" s="443"/>
      <c r="Z108" s="217"/>
      <c r="AA108" s="173"/>
      <c r="AB108" s="173"/>
      <c r="AC108" s="173"/>
      <c r="AD108" s="173"/>
      <c r="AE108" s="545"/>
      <c r="AF108" s="528"/>
      <c r="AH108" s="173"/>
      <c r="AI108" s="173"/>
      <c r="AJ108" s="173"/>
      <c r="AL108" s="545"/>
      <c r="AM108" s="460"/>
      <c r="AR108" s="5"/>
      <c r="AS108" s="5"/>
      <c r="AT108" s="5"/>
      <c r="AU108" s="173"/>
      <c r="AW108" s="533" t="s">
        <v>470</v>
      </c>
      <c r="AX108" s="533" t="s">
        <v>470</v>
      </c>
      <c r="AY108" s="533"/>
      <c r="AZ108" s="533"/>
      <c r="BA108" s="558" t="s">
        <v>471</v>
      </c>
      <c r="BB108" s="533"/>
      <c r="BC108" s="533"/>
      <c r="BD108" s="533"/>
      <c r="BE108" s="558" t="s">
        <v>493</v>
      </c>
      <c r="BF108" s="533"/>
      <c r="BG108" s="533"/>
      <c r="BH108" s="533"/>
      <c r="BI108" s="533"/>
      <c r="BJ108" s="533"/>
      <c r="BK108" s="533"/>
      <c r="BL108" s="533"/>
      <c r="BM108" s="558" t="s">
        <v>489</v>
      </c>
      <c r="BN108" s="533"/>
      <c r="BO108" s="533"/>
      <c r="BP108" s="533"/>
      <c r="BQ108" s="533"/>
      <c r="BR108" s="559" t="s">
        <v>490</v>
      </c>
      <c r="BS108" s="533"/>
      <c r="BT108" s="533"/>
      <c r="BU108" s="533"/>
      <c r="BV108" s="533"/>
      <c r="BW108" s="533"/>
      <c r="BX108" s="533"/>
      <c r="BY108" s="558"/>
      <c r="BZ108" s="533"/>
      <c r="CA108" s="533"/>
      <c r="CB108" s="533"/>
      <c r="CC108" s="533"/>
      <c r="CI108" s="445" t="s">
        <v>434</v>
      </c>
      <c r="CK108" s="217"/>
      <c r="CL108" s="217"/>
      <c r="CM108" s="217"/>
      <c r="CN108" s="541"/>
      <c r="CO108" s="443"/>
      <c r="CP108" s="443"/>
      <c r="CQ108" s="443"/>
      <c r="CR108" s="217"/>
      <c r="CS108" s="172"/>
      <c r="CT108" s="172"/>
      <c r="CU108" s="217"/>
      <c r="CV108" s="217"/>
      <c r="CW108" s="217"/>
      <c r="CX108" s="217"/>
      <c r="CY108" s="217"/>
      <c r="CZ108" s="217"/>
      <c r="DA108" s="197"/>
      <c r="DB108" s="443"/>
      <c r="DD108" s="217"/>
      <c r="DE108" s="173"/>
      <c r="DF108" s="173"/>
      <c r="DG108" s="173"/>
      <c r="DH108" s="173"/>
      <c r="DI108" s="545"/>
      <c r="DJ108" s="528"/>
      <c r="DL108" s="173"/>
      <c r="DM108" s="173"/>
      <c r="DN108" s="173"/>
      <c r="DP108" s="545"/>
      <c r="DQ108" s="460"/>
      <c r="DV108" s="5"/>
      <c r="DW108" s="5"/>
      <c r="DX108" s="5"/>
      <c r="DY108" s="173"/>
      <c r="EA108" s="533" t="s">
        <v>470</v>
      </c>
      <c r="EB108" s="533" t="s">
        <v>470</v>
      </c>
      <c r="EC108" s="533"/>
      <c r="ED108" s="533"/>
      <c r="EE108" s="558" t="s">
        <v>471</v>
      </c>
      <c r="EF108" s="533"/>
      <c r="EG108" s="533"/>
      <c r="EH108" s="533"/>
      <c r="EI108" s="558" t="s">
        <v>493</v>
      </c>
      <c r="EJ108" s="533"/>
      <c r="EK108" s="533"/>
      <c r="EL108" s="533"/>
      <c r="EM108" s="533"/>
      <c r="EN108" s="533"/>
      <c r="EO108" s="533"/>
      <c r="EP108" s="533"/>
      <c r="EQ108" s="558" t="s">
        <v>489</v>
      </c>
      <c r="ER108" s="533"/>
      <c r="ES108" s="533"/>
      <c r="ET108" s="533"/>
      <c r="EU108" s="533"/>
      <c r="EV108" s="559" t="s">
        <v>490</v>
      </c>
      <c r="EW108" s="533"/>
      <c r="EX108" s="533"/>
      <c r="EY108" s="533"/>
      <c r="EZ108" s="533"/>
      <c r="FA108" s="533"/>
      <c r="FB108" s="533"/>
      <c r="FC108" s="558"/>
      <c r="FD108" s="533"/>
      <c r="FE108" s="533"/>
      <c r="FF108" s="533"/>
      <c r="FG108" s="533"/>
    </row>
    <row r="109" spans="5:169" ht="45" customHeight="1" thickBot="1">
      <c r="E109" s="241" t="s">
        <v>25</v>
      </c>
      <c r="F109" s="602" t="s">
        <v>580</v>
      </c>
      <c r="G109" s="444" t="s">
        <v>579</v>
      </c>
      <c r="H109" s="603" t="s">
        <v>581</v>
      </c>
      <c r="I109" s="604" t="s">
        <v>582</v>
      </c>
      <c r="J109" s="242" t="s">
        <v>412</v>
      </c>
      <c r="K109" s="243" t="s">
        <v>586</v>
      </c>
      <c r="L109" s="605" t="s">
        <v>413</v>
      </c>
      <c r="M109" s="606"/>
      <c r="N109" s="244" t="s">
        <v>48</v>
      </c>
      <c r="O109" s="606" t="s">
        <v>590</v>
      </c>
      <c r="P109" s="606" t="s">
        <v>606</v>
      </c>
      <c r="Q109" s="606" t="s">
        <v>583</v>
      </c>
      <c r="R109" s="606" t="s">
        <v>584</v>
      </c>
      <c r="S109" s="606" t="s">
        <v>585</v>
      </c>
      <c r="T109" s="606" t="s">
        <v>414</v>
      </c>
      <c r="U109" s="606" t="s">
        <v>466</v>
      </c>
      <c r="V109" s="606" t="s">
        <v>465</v>
      </c>
      <c r="W109" s="607" t="s">
        <v>420</v>
      </c>
      <c r="X109" s="608" t="s">
        <v>425</v>
      </c>
      <c r="Z109" s="245" t="s">
        <v>417</v>
      </c>
      <c r="AA109" s="245" t="s">
        <v>464</v>
      </c>
      <c r="AB109" s="245" t="s">
        <v>587</v>
      </c>
      <c r="AC109" s="544"/>
      <c r="AD109" s="245" t="s">
        <v>463</v>
      </c>
      <c r="AE109" s="607" t="s">
        <v>426</v>
      </c>
      <c r="AF109" s="245" t="s">
        <v>588</v>
      </c>
      <c r="AG109" s="544"/>
      <c r="AH109" s="245" t="s">
        <v>429</v>
      </c>
      <c r="AI109" s="547" t="s">
        <v>430</v>
      </c>
      <c r="AJ109" s="547" t="s">
        <v>431</v>
      </c>
      <c r="AL109" s="543" t="s">
        <v>275</v>
      </c>
      <c r="AM109" s="543" t="s">
        <v>432</v>
      </c>
      <c r="AO109" s="245" t="s">
        <v>275</v>
      </c>
      <c r="AP109" s="245" t="s">
        <v>432</v>
      </c>
      <c r="AQ109" s="548"/>
      <c r="AR109" s="245" t="s">
        <v>467</v>
      </c>
      <c r="AS109" s="245" t="s">
        <v>461</v>
      </c>
      <c r="AT109" s="245" t="s">
        <v>462</v>
      </c>
      <c r="AU109" s="245" t="s">
        <v>48</v>
      </c>
      <c r="AV109" s="544"/>
      <c r="AW109" s="245" t="s">
        <v>591</v>
      </c>
      <c r="AX109" s="245" t="s">
        <v>592</v>
      </c>
      <c r="AY109" s="245" t="s">
        <v>514</v>
      </c>
      <c r="AZ109" s="544"/>
      <c r="BA109" s="557" t="s">
        <v>456</v>
      </c>
      <c r="BB109" s="245" t="s">
        <v>599</v>
      </c>
      <c r="BC109" s="245" t="s">
        <v>598</v>
      </c>
      <c r="BD109" s="544"/>
      <c r="BE109" s="557" t="s">
        <v>474</v>
      </c>
      <c r="BF109" s="245" t="s">
        <v>475</v>
      </c>
      <c r="BG109" s="245" t="s">
        <v>473</v>
      </c>
      <c r="BH109" s="245" t="s">
        <v>469</v>
      </c>
      <c r="BI109" s="245" t="s">
        <v>478</v>
      </c>
      <c r="BJ109" s="245" t="s">
        <v>491</v>
      </c>
      <c r="BK109" s="245" t="s">
        <v>776</v>
      </c>
      <c r="BL109" s="245" t="s">
        <v>778</v>
      </c>
      <c r="BM109" s="557" t="s">
        <v>601</v>
      </c>
      <c r="BN109" s="245" t="s">
        <v>600</v>
      </c>
      <c r="BO109" s="245" t="s">
        <v>477</v>
      </c>
      <c r="BP109" s="245" t="s">
        <v>483</v>
      </c>
      <c r="BQ109" s="245" t="s">
        <v>487</v>
      </c>
      <c r="BR109" s="557" t="s">
        <v>458</v>
      </c>
      <c r="BS109" s="245" t="s">
        <v>603</v>
      </c>
      <c r="BT109" s="245" t="s">
        <v>602</v>
      </c>
      <c r="BU109" s="245" t="s">
        <v>468</v>
      </c>
      <c r="BV109" s="245" t="s">
        <v>673</v>
      </c>
      <c r="BW109" s="245" t="s">
        <v>484</v>
      </c>
      <c r="BX109" s="245" t="s">
        <v>667</v>
      </c>
      <c r="BY109" s="557" t="s">
        <v>482</v>
      </c>
      <c r="BZ109" s="245" t="s">
        <v>223</v>
      </c>
      <c r="CA109" s="245" t="s">
        <v>47</v>
      </c>
      <c r="CB109" s="245" t="s">
        <v>485</v>
      </c>
      <c r="CC109" s="245" t="s">
        <v>604</v>
      </c>
      <c r="CE109" s="569" t="s">
        <v>497</v>
      </c>
      <c r="CG109" s="782" t="s">
        <v>829</v>
      </c>
      <c r="CH109" s="783" t="s">
        <v>830</v>
      </c>
      <c r="CI109" s="241" t="s">
        <v>25</v>
      </c>
      <c r="CJ109" s="602" t="s">
        <v>580</v>
      </c>
      <c r="CK109" s="444" t="s">
        <v>579</v>
      </c>
      <c r="CL109" s="603" t="s">
        <v>581</v>
      </c>
      <c r="CM109" s="604" t="s">
        <v>582</v>
      </c>
      <c r="CN109" s="242" t="s">
        <v>412</v>
      </c>
      <c r="CO109" s="243" t="s">
        <v>586</v>
      </c>
      <c r="CP109" s="605" t="s">
        <v>413</v>
      </c>
      <c r="CQ109" s="606"/>
      <c r="CR109" s="244" t="s">
        <v>48</v>
      </c>
      <c r="CS109" s="606" t="s">
        <v>590</v>
      </c>
      <c r="CT109" s="606" t="s">
        <v>606</v>
      </c>
      <c r="CU109" s="606" t="s">
        <v>583</v>
      </c>
      <c r="CV109" s="606" t="s">
        <v>584</v>
      </c>
      <c r="CW109" s="606" t="s">
        <v>585</v>
      </c>
      <c r="CX109" s="606" t="s">
        <v>414</v>
      </c>
      <c r="CY109" s="606" t="s">
        <v>466</v>
      </c>
      <c r="CZ109" s="606" t="s">
        <v>465</v>
      </c>
      <c r="DA109" s="607" t="s">
        <v>420</v>
      </c>
      <c r="DB109" s="608" t="s">
        <v>425</v>
      </c>
      <c r="DD109" s="245" t="s">
        <v>417</v>
      </c>
      <c r="DE109" s="245" t="s">
        <v>464</v>
      </c>
      <c r="DF109" s="245" t="s">
        <v>587</v>
      </c>
      <c r="DG109" s="544"/>
      <c r="DH109" s="245" t="s">
        <v>463</v>
      </c>
      <c r="DI109" s="607" t="s">
        <v>426</v>
      </c>
      <c r="DJ109" s="245" t="s">
        <v>588</v>
      </c>
      <c r="DK109" s="544"/>
      <c r="DL109" s="245" t="s">
        <v>429</v>
      </c>
      <c r="DM109" s="547" t="s">
        <v>430</v>
      </c>
      <c r="DN109" s="547" t="s">
        <v>431</v>
      </c>
      <c r="DP109" s="543" t="s">
        <v>275</v>
      </c>
      <c r="DQ109" s="543" t="s">
        <v>432</v>
      </c>
      <c r="DS109" s="245" t="s">
        <v>275</v>
      </c>
      <c r="DT109" s="245" t="s">
        <v>432</v>
      </c>
      <c r="DU109" s="548"/>
      <c r="DV109" s="245" t="s">
        <v>467</v>
      </c>
      <c r="DW109" s="245" t="s">
        <v>461</v>
      </c>
      <c r="DX109" s="245" t="s">
        <v>462</v>
      </c>
      <c r="DY109" s="245" t="s">
        <v>48</v>
      </c>
      <c r="DZ109" s="544"/>
      <c r="EA109" s="245" t="s">
        <v>591</v>
      </c>
      <c r="EB109" s="245" t="s">
        <v>592</v>
      </c>
      <c r="EC109" s="245" t="s">
        <v>514</v>
      </c>
      <c r="ED109" s="544"/>
      <c r="EE109" s="557" t="s">
        <v>456</v>
      </c>
      <c r="EF109" s="245" t="s">
        <v>599</v>
      </c>
      <c r="EG109" s="245" t="s">
        <v>598</v>
      </c>
      <c r="EH109" s="544"/>
      <c r="EI109" s="557" t="s">
        <v>474</v>
      </c>
      <c r="EJ109" s="245" t="s">
        <v>475</v>
      </c>
      <c r="EK109" s="245" t="s">
        <v>473</v>
      </c>
      <c r="EL109" s="245" t="s">
        <v>469</v>
      </c>
      <c r="EM109" s="245" t="s">
        <v>478</v>
      </c>
      <c r="EN109" s="245" t="s">
        <v>491</v>
      </c>
      <c r="EO109" s="245" t="s">
        <v>776</v>
      </c>
      <c r="EP109" s="245" t="s">
        <v>778</v>
      </c>
      <c r="EQ109" s="557" t="s">
        <v>601</v>
      </c>
      <c r="ER109" s="245" t="s">
        <v>600</v>
      </c>
      <c r="ES109" s="245" t="s">
        <v>477</v>
      </c>
      <c r="ET109" s="245" t="s">
        <v>483</v>
      </c>
      <c r="EU109" s="245" t="s">
        <v>487</v>
      </c>
      <c r="EV109" s="557" t="s">
        <v>458</v>
      </c>
      <c r="EW109" s="245" t="s">
        <v>603</v>
      </c>
      <c r="EX109" s="245" t="s">
        <v>602</v>
      </c>
      <c r="EY109" s="245" t="s">
        <v>468</v>
      </c>
      <c r="EZ109" s="245" t="s">
        <v>673</v>
      </c>
      <c r="FA109" s="245" t="s">
        <v>484</v>
      </c>
      <c r="FB109" s="245" t="s">
        <v>486</v>
      </c>
      <c r="FC109" s="557" t="s">
        <v>482</v>
      </c>
      <c r="FD109" s="245" t="s">
        <v>223</v>
      </c>
      <c r="FE109" s="245" t="s">
        <v>47</v>
      </c>
      <c r="FF109" s="245" t="s">
        <v>485</v>
      </c>
      <c r="FG109" s="245" t="s">
        <v>604</v>
      </c>
      <c r="FI109" s="569" t="s">
        <v>497</v>
      </c>
      <c r="FL109" s="782" t="s">
        <v>876</v>
      </c>
      <c r="FM109" s="782" t="s">
        <v>875</v>
      </c>
    </row>
    <row r="110" spans="5:169">
      <c r="E110" s="170">
        <v>0.1</v>
      </c>
      <c r="F110" s="217">
        <v>1.0000000000000001E-9</v>
      </c>
      <c r="G110" s="217">
        <f t="shared" ref="G110:G141" si="313">IF(PLOT_TYPE=1, E110/100*Iout2, min_I*EXP(Q110*rr/100))</f>
        <v>1E-4</v>
      </c>
      <c r="H110" s="217">
        <f t="shared" ref="H110:H141" si="314">F110*Vout</f>
        <v>2.4000000000000003E-8</v>
      </c>
      <c r="I110" s="217">
        <f t="shared" ref="I110:I141" si="315">Vout2*G110</f>
        <v>1.8000000000000002E-3</v>
      </c>
      <c r="J110" s="541">
        <f t="shared" ref="J110:J141" si="316">VIN_min-(F110/CG110/Nps+G110/CH110/(Nps/Nsec1sec2))*(Rdcr_pri+RON/1000)</f>
        <v>8.9932431155784158</v>
      </c>
      <c r="K110" s="443">
        <f t="shared" ref="K110:K141" si="317">MAX((S110+Vfwd2+Rdcr_sec*F110/CG110)*Nps,(Vout2+Vfwd22+Rdcr_sec2*G110/CH110)*Nps/Nsec1sec2)</f>
        <v>16.47528136689267</v>
      </c>
      <c r="L110" s="172">
        <f t="shared" ref="L110:L141" si="318">MAX((Vout+Vfwd2+F110/CG110*Rdcr_sec)*Nps+J110, (Vout2+Vfwd22+G110/CH110*Rdcr_sec2)*Nps/Nsec1sec2+J110)</f>
        <v>25.468524482471086</v>
      </c>
      <c r="M110" s="443"/>
      <c r="N110" s="217">
        <f t="shared" ref="N110:N141" si="319">MAX((Vout+Vfwd2+F110/CG110*Rdcr_sec)*Nps/((Vout+Vfwd2+F110/CG110*Rdcr_sec)*Nps+J110), (Vout2+Vfwd22+G110/CH110*Rdcr_sec2)*Nps/Nsec1sec2/((Vout2+Vfwd22+G110/CH110*Rdcr_sec2)*Nps/Nsec1sec2+J110))</f>
        <v>0.64688794116172343</v>
      </c>
      <c r="O110" s="172">
        <f t="shared" ref="O110:O141" si="320">N110*J110*Isw_max*0.5*Efficiency*Pout/(Pout+Pout2)</f>
        <v>30.06522234316984</v>
      </c>
      <c r="P110" s="172">
        <f t="shared" ref="P110:P141" si="321">N110*J110*Isw_max*0.5*Efficiency*(Pout2/Pout_total)</f>
        <v>2.4240085514180687</v>
      </c>
      <c r="Q110" s="217">
        <f t="shared" ref="Q110:Q173" si="322">O110/Vout</f>
        <v>1.2527175976320766</v>
      </c>
      <c r="R110" s="217">
        <f t="shared" ref="R110:R141" si="323">O110/Vout2</f>
        <v>1.6702901301761022</v>
      </c>
      <c r="S110" s="217">
        <f t="shared" ref="S110:S141" si="324">MIN(Vout,O110/F110)</f>
        <v>24</v>
      </c>
      <c r="T110" s="217">
        <f t="shared" ref="T110:T141" si="325">MIN(2*(Vout*F110+Vout2*G110)/(Efficiency*J110*N110), Isw_max)</f>
        <v>6.1881794893936071E-4</v>
      </c>
      <c r="U110" s="217">
        <f t="shared" ref="U110:U173" si="326">L*T110/J110*1000000</f>
        <v>6.880920942384203E-4</v>
      </c>
      <c r="V110" s="217">
        <f t="shared" ref="V110:V173" si="327">L*T110/K110*1000000</f>
        <v>3.756038729528983E-4</v>
      </c>
      <c r="W110" s="197">
        <f t="shared" ref="W110:W173" si="328">IF(1/((350000*L)*(1/J110+1/K110))&gt;Isw_min, 350, 0.001/((Isw_min*L)*(1/J110+1/K110)))</f>
        <v>261.79292355315135</v>
      </c>
      <c r="X110" s="443">
        <f>MIN(1/(U110+V110+0.2)*1000, 350)</f>
        <v>350</v>
      </c>
      <c r="Z110" s="217">
        <f t="shared" ref="Z110:Z173" si="329">1/((W110*1000*L)*(1/J110+1/K110))</f>
        <v>2.2222222222222228</v>
      </c>
      <c r="AA110" s="173">
        <f t="shared" ref="AA110:AA173" si="330">L*Z110/K110*1000000</f>
        <v>1.3488220156821191</v>
      </c>
      <c r="AB110" s="173">
        <f t="shared" ref="AB110:AB141" si="331">0.5*AA110*Z110*Nps*W110/1000*(Pout/(Pout+Pout2))</f>
        <v>0.24343746071848119</v>
      </c>
      <c r="AC110" s="173"/>
      <c r="AD110" s="173">
        <f t="shared" ref="AD110:AD173" si="332">L*Isw_min/K110*1000000</f>
        <v>1.3488220156821189</v>
      </c>
      <c r="AE110" s="545">
        <f t="shared" ref="AE110:AE141" si="333">MAX(10, F110/(0.5*AD110/1000000*Isw_min*Nps)/1000*Pout_total/Pout)</f>
        <v>10</v>
      </c>
      <c r="AF110" s="528">
        <f t="shared" ref="AF110:AF141" si="334">0.5*AD110/1000000*Isw_min*Nps*W110*1000*(Pout/Pout_total)</f>
        <v>0.26169527027236716</v>
      </c>
      <c r="AH110" s="173">
        <f t="shared" ref="AH110:AH141" si="335">SQRT((H110+I110)/(0.5*L*Fsw_DCM))</f>
        <v>3.2071562837771767E-2</v>
      </c>
      <c r="AI110" s="173">
        <f t="shared" ref="AI110:AI141" si="336">MAX(IF(F110&gt;AB110,T110,AH110),Isw_min)</f>
        <v>2.2222222222222223</v>
      </c>
      <c r="AJ110" s="173">
        <f t="shared" ref="AJ110:AJ141" si="337">IF(F110&gt;AF110, (AI110-Isw_min)/1.08*0.8+1.2, AE110*0.2/350+1)</f>
        <v>1.0057142857142858</v>
      </c>
      <c r="AL110" s="545">
        <f t="shared" ref="AL110:AL141" si="338">F110*1000</f>
        <v>1.0000000000000002E-6</v>
      </c>
      <c r="AM110" s="460">
        <f t="shared" ref="AM110:AM141" si="339">IF(F110&gt;AF110, X110, AE110)</f>
        <v>10</v>
      </c>
      <c r="AO110" s="460">
        <f t="shared" ref="AO110:AO173" si="340">IF(H110&gt;O110, "",AL110)</f>
        <v>1.0000000000000002E-6</v>
      </c>
      <c r="AP110" s="460">
        <f t="shared" ref="AP110:AP173" si="341">IF(H110&gt;O110, "",AM110)</f>
        <v>10</v>
      </c>
      <c r="AR110" s="5">
        <f t="shared" si="275"/>
        <v>100</v>
      </c>
      <c r="AS110" s="5">
        <f>L*AI110/J110*1000000</f>
        <v>2.4709909358202609</v>
      </c>
      <c r="AT110" s="5">
        <f>AR110-AS110</f>
        <v>97.529009064179746</v>
      </c>
      <c r="AU110" s="173">
        <f>AS110/AR110</f>
        <v>2.4709909358202609E-2</v>
      </c>
      <c r="AW110" s="5">
        <f t="shared" ref="AW110:AW169" si="342">F110*AS110/Vout_ripple*1000</f>
        <v>1.0295795565917754E-8</v>
      </c>
      <c r="AX110" s="5">
        <f t="shared" ref="AX110:AX169" si="343">G110*AS110/Vout_ripple2*1000</f>
        <v>1.3727727421223672E-3</v>
      </c>
      <c r="AY110" s="5">
        <f t="shared" ref="AY110:AY169" si="344">H110/Efficiency/J110*AT110/Vinripple1</f>
        <v>2.1689396763940812E-7</v>
      </c>
      <c r="AZ110" s="5"/>
      <c r="BA110" s="173">
        <f t="shared" ref="BA110:BA169" si="345">AI110*SQRT(AU110/3)</f>
        <v>0.20167981533791826</v>
      </c>
      <c r="BB110" s="173">
        <f t="shared" ref="BB110:BB169" si="346">AI110*Npri_sec1*SQRT((1-AU110)/3)*(Pout/Pout_total)</f>
        <v>0.84512237225825559</v>
      </c>
      <c r="BC110" s="173">
        <f t="shared" ref="BC110:BC169" si="347">AI110*Npri_sec2*SQRT((1-AU110)/3)*(Pout2/Pout_total)</f>
        <v>8.4626442951806394E-2</v>
      </c>
      <c r="BD110" s="173"/>
      <c r="BE110" s="528">
        <f t="shared" ref="BE110:BE169" si="348">Rdson*BA110^2</f>
        <v>1.6269899165894724E-3</v>
      </c>
      <c r="BF110" s="528">
        <f t="shared" ref="BF110:BF141" si="349">0.5*L110*AI110*AM110*1000*Tfall</f>
        <v>1.2734262241235543E-2</v>
      </c>
      <c r="BG110" s="528">
        <f t="shared" ref="BG110:BG141" si="350">Qg*Vdd*AM110*1000*0+Qg*J110*AM110*1000</f>
        <v>3.5972972462313666E-3</v>
      </c>
      <c r="BH110" s="528">
        <f t="shared" ref="BH110:BH169" si="351">0.5*(Coss+Csw)*L110^2*AM110*1000</f>
        <v>1.1351300437999008E-3</v>
      </c>
      <c r="BI110">
        <f t="shared" ref="BI110:BI169" si="352">J110*IQ</f>
        <v>4.0469594020102872E-3</v>
      </c>
      <c r="BJ110" s="460">
        <f>(BG110+BI110)*1000</f>
        <v>7.6442566482416536</v>
      </c>
      <c r="BK110">
        <f t="shared" ref="BK110:BK141" si="353">(BF110+BG110*0+BH110+BI110*0+BE110*(1+RdsonTC*(Ta-25)))/(1-BE110*RdsonTC*ThetaJA)</f>
        <v>1.5941832157865134E-2</v>
      </c>
      <c r="BL110" s="460">
        <f>SUM(BE110:BI110)*1000</f>
        <v>23.140638849866573</v>
      </c>
      <c r="BM110" s="173">
        <f t="shared" ref="BM110:BM141" si="354">Vfwd2*F110*(1+Diode_TC/1000*(Ta-25))</f>
        <v>8.679999999999999E-10</v>
      </c>
      <c r="BN110" s="173">
        <f t="shared" ref="BN110:BN141" si="355">Vfwd2*G110*(1+Diode_TC/1000*(Ta-25))</f>
        <v>8.6799999999999996E-5</v>
      </c>
      <c r="BO110" s="528"/>
      <c r="BQ110" s="460">
        <f t="shared" ref="BQ110:BQ169" si="356">SUM(BM110:BP110)*1000</f>
        <v>8.6800868000000003E-2</v>
      </c>
      <c r="BR110" s="528">
        <f t="shared" ref="BR110:BR169" si="357">Rdcr_pri*BA110^2</f>
        <v>1.2202424374421043E-3</v>
      </c>
      <c r="BS110" s="528">
        <f t="shared" ref="BS110:BS169" si="358">Rdcr_sec*BB110^2</f>
        <v>2.1426954722742645E-2</v>
      </c>
      <c r="BT110" s="528">
        <f t="shared" ref="BT110:BT169" si="359">Rdcr_sec2*BC110^2</f>
        <v>3.5808174233376709E-5</v>
      </c>
      <c r="BU110" s="528">
        <f t="shared" ref="BU110:BU169" si="360">AI110^2.5*AM110^2.5*k_core</f>
        <v>1.1639617797309435E-4</v>
      </c>
      <c r="BV110" s="528"/>
      <c r="BW110" s="625">
        <f t="shared" ref="BW110:BW141" si="361">0.5*Lleak*0.000000001*AI110^2*AM110*1000</f>
        <v>9.8765432098765465E-3</v>
      </c>
      <c r="BX110" s="460">
        <f t="shared" ref="BX110:BX169" si="362">SUM(BR110:BW110)*1000</f>
        <v>32.675944722267765</v>
      </c>
      <c r="BY110" s="173">
        <f t="shared" ref="BY110:BY169" si="363">SUM(BE110:BI110,BM110:BP110,BR110:BW110)</f>
        <v>5.5903384440134339E-2</v>
      </c>
      <c r="BZ110" s="5">
        <f t="shared" ref="BZ110:BZ169" si="364">MIN(H110+I110,O110+P110)</f>
        <v>1.8000240000000001E-3</v>
      </c>
      <c r="CA110" s="173">
        <f t="shared" ref="CA110:CA169" si="365">BZ110/(BZ110+BY110)</f>
        <v>3.1194413790434482E-2</v>
      </c>
      <c r="CB110" s="5">
        <f t="shared" ref="CB110:CB169" si="366">CA110*100</f>
        <v>3.1194413790434483</v>
      </c>
      <c r="CC110">
        <f t="shared" ref="CC110:CC169" si="367">F110/Iout*100</f>
        <v>1.0000000000000001E-7</v>
      </c>
      <c r="CE110" s="562">
        <f t="shared" ref="CE110:CE141" si="368">IF(ABS(F110-Ioutmax_Vinmin)&lt;Iout/200, AM110, -50)</f>
        <v>-50</v>
      </c>
      <c r="CF110">
        <f t="shared" ref="CF110:CF141" si="369">IF(ABS(F110-Ioutmax_Vinmin)&lt;Iout/200, (O110+P110)*CA110, -50)</f>
        <v>-50</v>
      </c>
      <c r="CG110" s="173">
        <f t="shared" ref="CG110:CG173" si="370">MIN(SQRT(2*DT110*1000*Ls1_*(CL110+CJ110*Vfwd1))/(CW110+Vfwd1), 1-DY110)</f>
        <v>4.2835724994645538E-6</v>
      </c>
      <c r="CH110" s="173">
        <f t="shared" ref="CH110:CH141" si="371">MIN(SQRT(2*DT110*1000*Ls2_*(CM110+CK110*Vfwd22))/(Vout2+Vfwd22), 1-DY110)</f>
        <v>1.1675569540131564E-3</v>
      </c>
      <c r="CI110" s="170">
        <v>0.1</v>
      </c>
      <c r="CJ110" s="217">
        <v>1.0000000000000001E-9</v>
      </c>
      <c r="CK110" s="217">
        <f t="shared" ref="CK110:CK173" si="372">IF(PLOT_TYPE=1, CI110/100*Iout2, min_I*EXP(CU110*rr/100))</f>
        <v>1E-4</v>
      </c>
      <c r="CL110" s="217">
        <f t="shared" ref="CL110:CL173" si="373">CJ110*Vout</f>
        <v>2.4000000000000003E-8</v>
      </c>
      <c r="CM110" s="217">
        <f t="shared" ref="CM110:CM173" si="374">Vout2*CK110</f>
        <v>1.8000000000000002E-3</v>
      </c>
      <c r="CN110" s="541">
        <f t="shared" ref="CN110:CN173" si="375">VIN_min</f>
        <v>9</v>
      </c>
      <c r="CO110" s="443">
        <f t="shared" ref="CO110:CO141" si="376">(CW110+Vfwd2)*Nps</f>
        <v>16.474900000000002</v>
      </c>
      <c r="CP110" s="443">
        <f t="shared" ref="CP110:CP141" si="377">(Vout+Vfwd2)*Nps+CN110</f>
        <v>25.474900000000002</v>
      </c>
      <c r="CQ110" s="443"/>
      <c r="CR110" s="217">
        <f t="shared" ref="CR110:CR173" si="378">(Vout+Vfwd1)*Nps/((Vout+Vfwd1)*Nps+CN110)</f>
        <v>0.64485133082098534</v>
      </c>
      <c r="CS110" s="172">
        <f t="shared" ref="CS110:CS173" si="379">CR110*CN110*Isw_max*0.5*Efficiency*Pout/(Pout+Pout2)</f>
        <v>29.993085154464438</v>
      </c>
      <c r="CT110" s="172">
        <f t="shared" ref="CT110:CT173" si="380">CR110*CN110*Isw_max*0.5*Efficiency*(Pout2/Pout_total)</f>
        <v>2.4181924905786953</v>
      </c>
      <c r="CU110" s="217">
        <f t="shared" ref="CU110:CU173" si="381">CS110/Vout</f>
        <v>1.2497118814360182</v>
      </c>
      <c r="CV110" s="217">
        <f t="shared" ref="CV110:CV173" si="382">CS110/Vout2</f>
        <v>1.6662825085813577</v>
      </c>
      <c r="CW110" s="217">
        <f t="shared" ref="CW110:CW173" si="383">MIN(Vout,CS110/CJ110)</f>
        <v>24</v>
      </c>
      <c r="CX110" s="217">
        <f t="shared" ref="CX110:CX173" si="384">MIN(2*(Vout*CJ110+Vout2*CK110)/(Efficiency*CN110*CR110), Isw_max)</f>
        <v>6.203062848983671E-4</v>
      </c>
      <c r="CY110" s="217">
        <f t="shared" ref="CY110:CY173" si="385">L*CX110/CN110*1000000</f>
        <v>6.8922920544263022E-4</v>
      </c>
      <c r="CZ110" s="217">
        <f t="shared" ref="CZ110:CZ173" si="386">L*CX110/CO110*1000000</f>
        <v>3.7651596361639047E-4</v>
      </c>
      <c r="DA110" s="197">
        <f t="shared" ref="DA110:DA173" si="387">IF(1/((350000*L)*(1/CN110+1/CO110))&gt;Isw_min, 350, 0.001/((Isw_min*L)*(1/CN110+1/CO110)))</f>
        <v>261.91798593910079</v>
      </c>
      <c r="DB110" s="443">
        <f t="shared" ref="DB110:DB173" si="388">MIN(1/(CY110+CZ110)*1000, 350)</f>
        <v>350</v>
      </c>
      <c r="DD110" s="217">
        <f t="shared" ref="DD110:DD173" si="389">1/((DA110*1000*L)*(1/CN110+1/CO110))</f>
        <v>2.2222222222222228</v>
      </c>
      <c r="DE110" s="173">
        <f t="shared" ref="DE110:DE173" si="390">L*DD110/CO110*1000000</f>
        <v>1.3488532386977905</v>
      </c>
      <c r="DF110" s="173">
        <f t="shared" ref="DF110:DF173" si="391">0.5*DE110*DD110*Nps*DA110/1000*(Pout/(Pout+Pout2))</f>
        <v>0.24355939229558116</v>
      </c>
      <c r="DG110" s="173"/>
      <c r="DH110" s="173">
        <f t="shared" ref="DH110:DH173" si="392">L*Isw_min/CO110*1000000</f>
        <v>1.3488532386977903</v>
      </c>
      <c r="DI110" s="545">
        <f t="shared" ref="DI110:DI173" si="393">MAX(10, CJ110/(0.5*DH110/1000000*Isw_min*Nps)/1000*Pout_total/Pout)</f>
        <v>10</v>
      </c>
      <c r="DJ110" s="528">
        <f t="shared" ref="DJ110:DJ173" si="394">0.5*DH110/1000000*Isw_min*Nps*DA110*1000*(Pout/Pout_total)</f>
        <v>0.26182634671774968</v>
      </c>
      <c r="DL110" s="173">
        <f t="shared" ref="DL110:DL173" si="395">SQRT((CL110+CM110)/(0.5*L*Fsw_DCM))</f>
        <v>3.2071562837771767E-2</v>
      </c>
      <c r="DM110" s="173">
        <f t="shared" ref="DM110:DM173" si="396">MAX(IF(CJ110&gt;DF110,CX110,DL110),Isw_min)</f>
        <v>2.2222222222222223</v>
      </c>
      <c r="DN110" s="173">
        <f t="shared" ref="DN110:DN173" si="397">IF(CJ110&gt;DJ110, (DM110-Isw_min)/1.08*0.8+1.2, DI110*0.2/350+1)</f>
        <v>1.0057142857142858</v>
      </c>
      <c r="DP110" s="545">
        <f t="shared" ref="DP110:DP173" si="398">CJ110*1000</f>
        <v>1.0000000000000002E-6</v>
      </c>
      <c r="DQ110" s="460">
        <f t="shared" ref="DQ110:DQ173" si="399">IF(CJ110&gt;DJ110, DB110, DI110)</f>
        <v>10</v>
      </c>
      <c r="DS110" s="460">
        <f t="shared" ref="DS110:DS173" si="400">IF(CL110&gt;CS110, "",DP110)</f>
        <v>1.0000000000000002E-6</v>
      </c>
      <c r="DT110" s="460">
        <f t="shared" ref="DT110:DT173" si="401">IF(CL110&gt;CS110, "",DQ110)</f>
        <v>10</v>
      </c>
      <c r="DV110" s="5">
        <f t="shared" ref="DV110:DV173" si="402">1/DQ110*1000</f>
        <v>100</v>
      </c>
      <c r="DW110" s="5">
        <f t="shared" ref="DW110:DW173" si="403">L*DM110/CN110*1000000</f>
        <v>2.4691358024691361</v>
      </c>
      <c r="DX110" s="5">
        <f t="shared" ref="DX110:DX173" si="404">DV110-DW110</f>
        <v>97.53086419753086</v>
      </c>
      <c r="DY110" s="173">
        <f t="shared" ref="DY110:DY173" si="405">DW110/DV110</f>
        <v>2.469135802469136E-2</v>
      </c>
      <c r="EA110" s="5">
        <f t="shared" ref="EA110:EA173" si="406">CJ110*DW110/Vout_ripple*1000</f>
        <v>1.0288065843621401E-8</v>
      </c>
      <c r="EB110" s="5">
        <f t="shared" ref="EB110:EB173" si="407">CK110*DW110/Vout_ripple2*1000</f>
        <v>1.3717421124828536E-3</v>
      </c>
      <c r="EC110" s="5">
        <f t="shared" ref="EC110:EC173" si="408">CL110/Efficiency/CN110*DX110/Vinripple1</f>
        <v>2.1673525377229082E-7</v>
      </c>
      <c r="ED110" s="5"/>
      <c r="EE110" s="173">
        <f t="shared" ref="EE110:EE173" si="409">DM110*SQRT(DY110/3)</f>
        <v>0.20160409405622867</v>
      </c>
      <c r="EF110" s="173">
        <f t="shared" ref="EF110:EF173" si="410">DM110*Npri_sec1*SQRT((1-DY110)/3)*(Pout/Pout_total)</f>
        <v>0.84513040990396848</v>
      </c>
      <c r="EG110" s="173">
        <f t="shared" ref="EG110:EG173" si="411">DM110*Npri_sec2*SQRT((1-DY110)/3)*(Pout2/Pout_total)</f>
        <v>8.4627247802546018E-2</v>
      </c>
      <c r="EH110" s="173"/>
      <c r="EI110" s="528">
        <f t="shared" ref="EI110:EI173" si="412">Rdson*EE110^2</f>
        <v>1.6257684296093079E-3</v>
      </c>
      <c r="EJ110" s="528">
        <f t="shared" ref="EJ110:EJ173" si="413">0.5*CP110*DM110*DQ110*1000*Trise</f>
        <v>1.5567994444444448E-2</v>
      </c>
      <c r="EK110" s="528">
        <f t="shared" ref="EK110:EK173" si="414">Qg*Vdd*DQ110*1000</f>
        <v>2E-3</v>
      </c>
      <c r="EL110" s="528">
        <f t="shared" ref="EL110:EL173" si="415">0.5*(Coss+Csw)*CP110^2*DQ110*1000</f>
        <v>1.1356984275175E-3</v>
      </c>
      <c r="EM110">
        <f t="shared" ref="EM110:EM173" si="416">CN110*IQ</f>
        <v>4.0499999999999998E-3</v>
      </c>
      <c r="EN110" s="460">
        <f t="shared" ref="EN110:EN173" si="417">(EK110+EM110)*1000</f>
        <v>6.05</v>
      </c>
      <c r="EP110" s="460">
        <f>SUM(EI110:EM110)*1000</f>
        <v>24.379461301571258</v>
      </c>
      <c r="EQ110" s="173">
        <f t="shared" ref="EQ110:EQ173" si="418">Vfwd2*CJ110</f>
        <v>6.9999999999999996E-10</v>
      </c>
      <c r="ER110" s="173">
        <f t="shared" ref="ER110:ER141" si="419">Vfwd22*CK110*(1+Diode_TC/1000*(Ta-25))</f>
        <v>6.2000000000000003E-5</v>
      </c>
      <c r="ES110" s="528"/>
      <c r="EU110" s="460">
        <f t="shared" ref="EU110:EU169" si="420">SUM(EQ110:ET110)*1000</f>
        <v>6.2000699999999999E-2</v>
      </c>
      <c r="EV110" s="528">
        <f t="shared" ref="EV110:EV173" si="421">Rdcr_pri*EE110^2</f>
        <v>1.2193263222069809E-3</v>
      </c>
      <c r="EW110" s="528">
        <f t="shared" ref="EW110:EW173" si="422">Rdcr_sec*EF110^2</f>
        <v>2.1427362292333493E-2</v>
      </c>
      <c r="EX110" s="528">
        <f t="shared" ref="EX110:EX173" si="423">Rdcr_sec2*EG110^2</f>
        <v>3.5808855353167649E-5</v>
      </c>
      <c r="EY110" s="528">
        <f t="shared" ref="EY110:EY173" si="424">DM110^2.5*DQ110^2.5*k_core</f>
        <v>1.1639617797309435E-4</v>
      </c>
      <c r="EZ110" s="528"/>
      <c r="FA110" s="625">
        <f t="shared" ref="FA110:FA173" si="425">0.5*Lleak*0.000000001*DM110^2*DQ110*1000</f>
        <v>9.8765432098765465E-3</v>
      </c>
      <c r="FB110" s="460">
        <f t="shared" ref="FB110:FB169" si="426">SUM(EV110:FA110)*1000</f>
        <v>32.675436857743279</v>
      </c>
      <c r="FC110" s="173">
        <f t="shared" ref="FC110:FC173" si="427">SUM(EI110:EM110,EQ110:ET110,EV110:FA110)</f>
        <v>5.7116898859314535E-2</v>
      </c>
      <c r="FD110" s="5">
        <f t="shared" ref="FD110:FD173" si="428">MIN(CL110+CM110,CS110+CT110)</f>
        <v>1.8000240000000001E-3</v>
      </c>
      <c r="FE110" s="173">
        <f t="shared" ref="FE110:FE173" si="429">FD110/(FD110+FC110)</f>
        <v>3.0551901094668651E-2</v>
      </c>
      <c r="FF110" s="5">
        <f t="shared" ref="FF110:FF173" si="430">FE110*100</f>
        <v>3.055190109466865</v>
      </c>
      <c r="FG110">
        <f t="shared" ref="FG110:FG173" si="431">CJ110/Iout*100</f>
        <v>1.0000000000000001E-7</v>
      </c>
      <c r="FI110" s="562">
        <f t="shared" ref="FI110:FI173" si="432">IF(ABS(CJ110-Ioutmax_Vinmin)&lt;Iout/200, DQ110, -50)</f>
        <v>-50</v>
      </c>
      <c r="FJ110">
        <f t="shared" ref="FJ110:FJ173" si="433">IF(ABS(CJ110-Ioutmax_Vinmin)&lt;Iout/200, (CS110+CT110)*FE110, -50)</f>
        <v>-50</v>
      </c>
    </row>
    <row r="111" spans="5:169">
      <c r="E111" s="170">
        <v>1</v>
      </c>
      <c r="F111" s="217">
        <f t="shared" ref="F111:F142" si="434">IF(PLOT_TYPE=1, E111/100*Iout_max, min_I*EXP(O111*rr/100))</f>
        <v>0.01</v>
      </c>
      <c r="G111" s="217">
        <f t="shared" si="313"/>
        <v>1E-3</v>
      </c>
      <c r="H111" s="217">
        <f t="shared" si="314"/>
        <v>0.24</v>
      </c>
      <c r="I111" s="217">
        <f t="shared" si="315"/>
        <v>1.8000000000000002E-2</v>
      </c>
      <c r="J111" s="541">
        <f t="shared" si="316"/>
        <v>8.901251807891633</v>
      </c>
      <c r="K111" s="443">
        <f t="shared" si="317"/>
        <v>16.489669472300989</v>
      </c>
      <c r="L111" s="172">
        <f t="shared" si="318"/>
        <v>25.390921280192622</v>
      </c>
      <c r="M111" s="443"/>
      <c r="N111" s="217">
        <f t="shared" si="319"/>
        <v>0.64943171184436421</v>
      </c>
      <c r="O111" s="172">
        <f t="shared" si="320"/>
        <v>29.874703871611391</v>
      </c>
      <c r="P111" s="172">
        <f t="shared" si="321"/>
        <v>2.4086479996486685</v>
      </c>
      <c r="Q111" s="217">
        <f t="shared" si="322"/>
        <v>1.244779327983808</v>
      </c>
      <c r="R111" s="217">
        <f t="shared" si="323"/>
        <v>1.6597057706450773</v>
      </c>
      <c r="S111" s="217">
        <f t="shared" si="324"/>
        <v>24</v>
      </c>
      <c r="T111" s="217">
        <f t="shared" si="325"/>
        <v>8.9261693710064913E-2</v>
      </c>
      <c r="U111" s="217">
        <f t="shared" si="326"/>
        <v>0.10027993324593702</v>
      </c>
      <c r="V111" s="217">
        <f t="shared" si="327"/>
        <v>5.413188776161032E-2</v>
      </c>
      <c r="W111" s="197">
        <f t="shared" si="328"/>
        <v>260.13398396205616</v>
      </c>
      <c r="X111" s="443">
        <f t="shared" ref="X111:X174" si="435">MIN(1/(U111+V111+0.2)*1000, 350)</f>
        <v>350</v>
      </c>
      <c r="Z111" s="217">
        <f t="shared" si="329"/>
        <v>2.2222222222222223</v>
      </c>
      <c r="AA111" s="173">
        <f t="shared" si="330"/>
        <v>1.3476450974078444</v>
      </c>
      <c r="AB111" s="173">
        <f t="shared" si="331"/>
        <v>0.24168377074915673</v>
      </c>
      <c r="AC111" s="173"/>
      <c r="AD111" s="173">
        <f t="shared" si="332"/>
        <v>1.3476450974078444</v>
      </c>
      <c r="AE111" s="545">
        <f t="shared" si="333"/>
        <v>10.012467970437628</v>
      </c>
      <c r="AF111" s="528">
        <f t="shared" si="334"/>
        <v>0.25981005355534348</v>
      </c>
      <c r="AH111" s="173">
        <f t="shared" si="335"/>
        <v>0.38396428405331062</v>
      </c>
      <c r="AI111" s="173">
        <f t="shared" si="336"/>
        <v>2.2222222222222223</v>
      </c>
      <c r="AJ111" s="173">
        <f t="shared" si="337"/>
        <v>1.0057214102688214</v>
      </c>
      <c r="AL111" s="545">
        <f t="shared" si="338"/>
        <v>10</v>
      </c>
      <c r="AM111" s="460">
        <f t="shared" si="339"/>
        <v>10.012467970437628</v>
      </c>
      <c r="AO111" s="460">
        <f t="shared" si="340"/>
        <v>10</v>
      </c>
      <c r="AP111" s="460">
        <f t="shared" si="341"/>
        <v>10.012467970437628</v>
      </c>
      <c r="AR111" s="5">
        <f t="shared" si="275"/>
        <v>99.875475552336951</v>
      </c>
      <c r="AS111" s="5">
        <f>L*AI111/J111*1000000</f>
        <v>2.496527758322773</v>
      </c>
      <c r="AT111" s="5">
        <f>AR111-AS111</f>
        <v>97.378947794014181</v>
      </c>
      <c r="AU111" s="173">
        <f>AS111/AR111</f>
        <v>2.4996404217515214E-2</v>
      </c>
      <c r="AW111" s="5">
        <f t="shared" si="342"/>
        <v>0.10402198993011554</v>
      </c>
      <c r="AX111" s="5">
        <f t="shared" si="343"/>
        <v>1.386959865734874E-2</v>
      </c>
      <c r="AY111" s="5">
        <f t="shared" si="344"/>
        <v>2.1879832161961841</v>
      </c>
      <c r="AZ111" s="5"/>
      <c r="BA111" s="173">
        <f t="shared" si="345"/>
        <v>0.20284561713522811</v>
      </c>
      <c r="BB111" s="173">
        <f t="shared" si="346"/>
        <v>0.84499823432165</v>
      </c>
      <c r="BC111" s="173">
        <f t="shared" si="347"/>
        <v>8.4614012382748988E-2</v>
      </c>
      <c r="BD111" s="173"/>
      <c r="BE111" s="528">
        <f t="shared" si="348"/>
        <v>1.645853775638862E-3</v>
      </c>
      <c r="BF111" s="528">
        <f t="shared" si="349"/>
        <v>1.2711289302891587E-2</v>
      </c>
      <c r="BG111" s="528">
        <f t="shared" si="350"/>
        <v>3.5649399449326001E-3</v>
      </c>
      <c r="BH111" s="528">
        <f t="shared" si="351"/>
        <v>1.1296297112081623E-3</v>
      </c>
      <c r="BI111">
        <f t="shared" si="352"/>
        <v>4.0055633135512346E-3</v>
      </c>
      <c r="BJ111" s="460">
        <f t="shared" ref="BJ111:BJ174" si="436">(BG111+BI111)*1000</f>
        <v>7.5705032584838339</v>
      </c>
      <c r="BK111">
        <f t="shared" si="353"/>
        <v>1.5937385701248922E-2</v>
      </c>
      <c r="BL111" s="460">
        <f t="shared" ref="BL111:BL174" si="437">SUM(BE111:BI111)*1000</f>
        <v>23.057276048222445</v>
      </c>
      <c r="BM111" s="173">
        <f t="shared" si="354"/>
        <v>8.6799999999999985E-3</v>
      </c>
      <c r="BN111" s="173">
        <f t="shared" si="355"/>
        <v>8.6799999999999996E-4</v>
      </c>
      <c r="BO111" s="528"/>
      <c r="BQ111" s="460">
        <f t="shared" si="356"/>
        <v>9.548</v>
      </c>
      <c r="BR111" s="528">
        <f t="shared" si="357"/>
        <v>1.2343903317291465E-3</v>
      </c>
      <c r="BS111" s="528">
        <f t="shared" si="358"/>
        <v>2.1420660480201182E-2</v>
      </c>
      <c r="BT111" s="528">
        <f t="shared" si="359"/>
        <v>3.579765545754E-5</v>
      </c>
      <c r="BU111" s="528">
        <f t="shared" si="360"/>
        <v>1.1675932332919747E-4</v>
      </c>
      <c r="BV111" s="528"/>
      <c r="BW111" s="625">
        <f t="shared" si="361"/>
        <v>9.8888572547532159E-3</v>
      </c>
      <c r="BX111" s="460">
        <f t="shared" si="362"/>
        <v>32.696465045470283</v>
      </c>
      <c r="BY111" s="173">
        <f t="shared" si="363"/>
        <v>6.5301741093692717E-2</v>
      </c>
      <c r="BZ111" s="5">
        <f t="shared" si="364"/>
        <v>0.25800000000000001</v>
      </c>
      <c r="CA111" s="173">
        <f t="shared" si="365"/>
        <v>0.79801611685484775</v>
      </c>
      <c r="CB111" s="5">
        <f t="shared" si="366"/>
        <v>79.801611685484772</v>
      </c>
      <c r="CC111">
        <f t="shared" si="367"/>
        <v>1</v>
      </c>
      <c r="CE111" s="562">
        <f t="shared" si="368"/>
        <v>-50</v>
      </c>
      <c r="CF111">
        <f t="shared" si="369"/>
        <v>-50</v>
      </c>
      <c r="CG111" s="173">
        <f t="shared" si="370"/>
        <v>1.3548215936367545E-2</v>
      </c>
      <c r="CH111" s="173">
        <f t="shared" si="371"/>
        <v>3.6927853404967663E-3</v>
      </c>
      <c r="CI111" s="170">
        <v>1</v>
      </c>
      <c r="CJ111" s="217">
        <f t="shared" ref="CJ111:CJ174" si="438">IF(PLOT_TYPE=1, CI111/100*Iout_max, min_I*EXP(CS111*rr/100))</f>
        <v>0.01</v>
      </c>
      <c r="CK111" s="217">
        <f t="shared" si="372"/>
        <v>1E-3</v>
      </c>
      <c r="CL111" s="217">
        <f t="shared" si="373"/>
        <v>0.24</v>
      </c>
      <c r="CM111" s="217">
        <f t="shared" si="374"/>
        <v>1.8000000000000002E-2</v>
      </c>
      <c r="CN111" s="541">
        <f t="shared" si="375"/>
        <v>9</v>
      </c>
      <c r="CO111" s="443">
        <f t="shared" si="376"/>
        <v>16.474900000000002</v>
      </c>
      <c r="CP111" s="443">
        <f t="shared" si="377"/>
        <v>25.474900000000002</v>
      </c>
      <c r="CQ111" s="443"/>
      <c r="CR111" s="217">
        <f t="shared" si="378"/>
        <v>0.64485133082098534</v>
      </c>
      <c r="CS111" s="172">
        <f t="shared" si="379"/>
        <v>29.993085154464438</v>
      </c>
      <c r="CT111" s="172">
        <f t="shared" si="380"/>
        <v>2.4181924905786953</v>
      </c>
      <c r="CU111" s="217">
        <f t="shared" si="381"/>
        <v>1.2497118814360182</v>
      </c>
      <c r="CV111" s="217">
        <f t="shared" si="382"/>
        <v>1.6662825085813577</v>
      </c>
      <c r="CW111" s="217">
        <f t="shared" si="383"/>
        <v>24</v>
      </c>
      <c r="CX111" s="217">
        <f t="shared" si="384"/>
        <v>8.8909382043672033E-2</v>
      </c>
      <c r="CY111" s="217">
        <f t="shared" si="385"/>
        <v>9.8788202270746708E-2</v>
      </c>
      <c r="CZ111" s="217">
        <f t="shared" si="386"/>
        <v>5.3966568564101772E-2</v>
      </c>
      <c r="DA111" s="197">
        <f t="shared" si="387"/>
        <v>261.91798593910079</v>
      </c>
      <c r="DB111" s="443">
        <f t="shared" si="388"/>
        <v>350</v>
      </c>
      <c r="DD111" s="217">
        <f t="shared" si="389"/>
        <v>2.2222222222222228</v>
      </c>
      <c r="DE111" s="173">
        <f t="shared" si="390"/>
        <v>1.3488532386977905</v>
      </c>
      <c r="DF111" s="173">
        <f t="shared" si="391"/>
        <v>0.24355939229558116</v>
      </c>
      <c r="DG111" s="173"/>
      <c r="DH111" s="173">
        <f t="shared" si="392"/>
        <v>1.3488532386977903</v>
      </c>
      <c r="DI111" s="545">
        <f t="shared" si="393"/>
        <v>10.003499999999997</v>
      </c>
      <c r="DJ111" s="528">
        <f t="shared" si="394"/>
        <v>0.26182634671774968</v>
      </c>
      <c r="DL111" s="173">
        <f t="shared" si="395"/>
        <v>0.38396428405331062</v>
      </c>
      <c r="DM111" s="173">
        <f t="shared" si="396"/>
        <v>2.2222222222222223</v>
      </c>
      <c r="DN111" s="173">
        <f t="shared" si="397"/>
        <v>1.0057162857142856</v>
      </c>
      <c r="DP111" s="545">
        <f t="shared" si="398"/>
        <v>10</v>
      </c>
      <c r="DQ111" s="460">
        <f t="shared" si="399"/>
        <v>10.003499999999997</v>
      </c>
      <c r="DS111" s="460">
        <f t="shared" si="400"/>
        <v>10</v>
      </c>
      <c r="DT111" s="460">
        <f t="shared" si="401"/>
        <v>10.003499999999997</v>
      </c>
      <c r="DV111" s="5">
        <f t="shared" si="402"/>
        <v>99.965012245714021</v>
      </c>
      <c r="DW111" s="5">
        <f t="shared" si="403"/>
        <v>2.4691358024691361</v>
      </c>
      <c r="DX111" s="5">
        <f t="shared" si="404"/>
        <v>97.495876443244882</v>
      </c>
      <c r="DY111" s="173">
        <f t="shared" si="405"/>
        <v>2.4699999999999996E-2</v>
      </c>
      <c r="EA111" s="5">
        <f t="shared" si="406"/>
        <v>0.10288065843621401</v>
      </c>
      <c r="EB111" s="5">
        <f t="shared" si="407"/>
        <v>1.3717421124828533E-2</v>
      </c>
      <c r="EC111" s="5">
        <f t="shared" si="408"/>
        <v>2.166575032072108</v>
      </c>
      <c r="ED111" s="5"/>
      <c r="EE111" s="173">
        <f t="shared" si="409"/>
        <v>0.20163937168616589</v>
      </c>
      <c r="EF111" s="173">
        <f t="shared" si="410"/>
        <v>0.84512666564702277</v>
      </c>
      <c r="EG111" s="173">
        <f t="shared" si="411"/>
        <v>8.462687287087077E-2</v>
      </c>
      <c r="EH111" s="173"/>
      <c r="EI111" s="528">
        <f t="shared" si="412"/>
        <v>1.6263374485596701E-3</v>
      </c>
      <c r="EJ111" s="528">
        <f t="shared" si="413"/>
        <v>1.55734432425E-2</v>
      </c>
      <c r="EK111" s="528">
        <f t="shared" si="414"/>
        <v>2.0006999999999994E-3</v>
      </c>
      <c r="EL111" s="528">
        <f t="shared" si="415"/>
        <v>1.1360959219671306E-3</v>
      </c>
      <c r="EM111">
        <f t="shared" si="416"/>
        <v>4.0499999999999998E-3</v>
      </c>
      <c r="EN111" s="460">
        <f t="shared" si="417"/>
        <v>6.0506999999999991</v>
      </c>
      <c r="EP111" s="460">
        <f t="shared" ref="EP111:EP174" si="439">SUM(EI111:EM111)*1000</f>
        <v>24.386576613026797</v>
      </c>
      <c r="EQ111" s="173">
        <f t="shared" si="418"/>
        <v>6.9999999999999993E-3</v>
      </c>
      <c r="ER111" s="173">
        <f t="shared" si="419"/>
        <v>6.2E-4</v>
      </c>
      <c r="ES111" s="528"/>
      <c r="EU111" s="460">
        <f t="shared" si="420"/>
        <v>7.6199999999999992</v>
      </c>
      <c r="EV111" s="528">
        <f t="shared" si="421"/>
        <v>1.2197530864197525E-3</v>
      </c>
      <c r="EW111" s="528">
        <f t="shared" si="422"/>
        <v>2.1427172429629639E-2</v>
      </c>
      <c r="EX111" s="528">
        <f t="shared" si="423"/>
        <v>3.5808538059512615E-5</v>
      </c>
      <c r="EY111" s="528">
        <f t="shared" si="424"/>
        <v>1.1649805136512729E-4</v>
      </c>
      <c r="EZ111" s="528"/>
      <c r="FA111" s="625">
        <f t="shared" si="425"/>
        <v>9.8799999999999999E-3</v>
      </c>
      <c r="FB111" s="460">
        <f t="shared" si="426"/>
        <v>32.679232105474036</v>
      </c>
      <c r="FC111" s="173">
        <f t="shared" si="427"/>
        <v>6.4685808718500826E-2</v>
      </c>
      <c r="FD111" s="5">
        <f t="shared" si="428"/>
        <v>0.25800000000000001</v>
      </c>
      <c r="FE111" s="173">
        <f t="shared" si="429"/>
        <v>0.79953934455503017</v>
      </c>
      <c r="FF111" s="5">
        <f t="shared" si="430"/>
        <v>79.953934455503017</v>
      </c>
      <c r="FG111">
        <f t="shared" si="431"/>
        <v>1</v>
      </c>
      <c r="FI111" s="562">
        <f t="shared" si="432"/>
        <v>-50</v>
      </c>
      <c r="FJ111">
        <f t="shared" si="433"/>
        <v>-50</v>
      </c>
    </row>
    <row r="112" spans="5:169">
      <c r="E112" s="170">
        <v>3</v>
      </c>
      <c r="F112" s="217">
        <f>IF(PLOT_TYPE=1, E112/100*Iout_max, min_I*EXP(O112*rr/100))</f>
        <v>0.03</v>
      </c>
      <c r="G112" s="217">
        <f>IF(PLOT_TYPE=1, E112/100*Iout2, min_I*EXP(Q112*rr/100))</f>
        <v>3.0000000000000001E-3</v>
      </c>
      <c r="H112" s="217">
        <f>F112*Vout</f>
        <v>0.72</v>
      </c>
      <c r="I112" s="217">
        <f>Vout2*G112</f>
        <v>5.3999999999999999E-2</v>
      </c>
      <c r="J112" s="541">
        <f>VIN_min-(F112/CG112/Nps+G112/CH112/(Nps/Nsec1sec2))*(Rdcr_pri+RON/1000)</f>
        <v>8.901251807891633</v>
      </c>
      <c r="K112" s="443">
        <f t="shared" si="317"/>
        <v>16.489669472300989</v>
      </c>
      <c r="L112" s="172">
        <f t="shared" si="318"/>
        <v>25.390921280192622</v>
      </c>
      <c r="M112" s="443"/>
      <c r="N112" s="217">
        <f t="shared" si="319"/>
        <v>0.64943171184436421</v>
      </c>
      <c r="O112" s="172">
        <f>N112*J112*Isw_max*0.5*Efficiency*Pout/(Pout+Pout2)</f>
        <v>29.874703871611391</v>
      </c>
      <c r="P112" s="172">
        <f>N112*J112*Isw_max*0.5*Efficiency*(Pout2/Pout_total)</f>
        <v>2.4086479996486685</v>
      </c>
      <c r="Q112" s="217">
        <f>O112/Vout</f>
        <v>1.244779327983808</v>
      </c>
      <c r="R112" s="217">
        <f>O112/Vout2</f>
        <v>1.6597057706450773</v>
      </c>
      <c r="S112" s="217">
        <f>MIN(Vout,O112/F112)</f>
        <v>24</v>
      </c>
      <c r="T112" s="217">
        <f>MIN(2*(Vout*F112+Vout2*G112)/(Efficiency*J112*N112), Isw_max)</f>
        <v>0.26778508113019472</v>
      </c>
      <c r="U112" s="217">
        <f>L*T112/J112*1000000</f>
        <v>0.30083979973781105</v>
      </c>
      <c r="V112" s="217">
        <f>L*T112/K112*1000000</f>
        <v>0.16239566328483096</v>
      </c>
      <c r="W112" s="197">
        <f>IF(1/((350000*L)*(1/J112+1/K112))&gt;Isw_min, 350, 0.001/((Isw_min*L)*(1/J112+1/K112)))</f>
        <v>260.13398396205616</v>
      </c>
      <c r="X112" s="443">
        <f t="shared" si="435"/>
        <v>350</v>
      </c>
      <c r="Z112" s="217">
        <f>1/((W112*1000*L)*(1/J112+1/K112))</f>
        <v>2.2222222222222223</v>
      </c>
      <c r="AA112" s="173">
        <f>L*Z112/K112*1000000</f>
        <v>1.3476450974078444</v>
      </c>
      <c r="AB112" s="173">
        <f>0.5*AA112*Z112*Nps*W112/1000*(Pout/(Pout+Pout2))</f>
        <v>0.24168377074915673</v>
      </c>
      <c r="AC112" s="173"/>
      <c r="AD112" s="173">
        <f>L*Isw_min/K112*1000000</f>
        <v>1.3476450974078444</v>
      </c>
      <c r="AE112" s="545">
        <f>MAX(10, F112/(0.5*AD112/1000000*Isw_min*Nps)/1000*Pout_total/Pout)</f>
        <v>30.037403911312889</v>
      </c>
      <c r="AF112" s="528">
        <f>0.5*AD112/1000000*Isw_min*Nps*W112*1000*(Pout/Pout_total)</f>
        <v>0.25981005355534348</v>
      </c>
      <c r="AH112" s="173">
        <f>SQRT((H112+I112)/(0.5*L*Fsw_DCM))</f>
        <v>0.66504564827214241</v>
      </c>
      <c r="AI112" s="173">
        <f>MAX(IF(F112&gt;AB112,T112,AH112),Isw_min)</f>
        <v>2.2222222222222223</v>
      </c>
      <c r="AJ112" s="173">
        <f>IF(F112&gt;AF112, (AI112-Isw_min)/1.08*0.8+1.2, AE112*0.2/350+1)</f>
        <v>1.0171642308064646</v>
      </c>
      <c r="AL112" s="545">
        <f>F112*1000</f>
        <v>30</v>
      </c>
      <c r="AM112" s="460">
        <f>IF(F112&gt;AF112, X112, AE112)</f>
        <v>30.037403911312889</v>
      </c>
      <c r="AO112" s="460">
        <f>IF(H112&gt;O112, "",AL112)</f>
        <v>30</v>
      </c>
      <c r="AP112" s="460">
        <f>IF(H112&gt;O112, "",AM112)</f>
        <v>30.037403911312889</v>
      </c>
      <c r="AR112" s="5">
        <f>1/AM112*1000</f>
        <v>33.291825184112305</v>
      </c>
      <c r="AS112" s="5">
        <f>L*AI112/J112*1000000</f>
        <v>2.496527758322773</v>
      </c>
      <c r="AT112" s="5">
        <f>AR112-AS112</f>
        <v>30.795297425789531</v>
      </c>
      <c r="AU112" s="173">
        <f>AS112/AR112</f>
        <v>7.498921265254567E-2</v>
      </c>
      <c r="AW112" s="5">
        <f>F112*AS112/Vout_ripple*1000</f>
        <v>0.31206596979034662</v>
      </c>
      <c r="AX112" s="5">
        <f>G112*AS112/Vout_ripple2*1000</f>
        <v>4.1608795972046211E-2</v>
      </c>
      <c r="AY112" s="5">
        <f>H112/Efficiency/J112*AT112/Vinripple1</f>
        <v>2.0757955009308127</v>
      </c>
      <c r="AZ112" s="5"/>
      <c r="BA112" s="173">
        <f>AI112*SQRT(AU112/3)</f>
        <v>0.35133891497087921</v>
      </c>
      <c r="BB112" s="173">
        <f>AI112*Npri_sec1*SQRT((1-AU112)/3)*(Pout/Pout_total)</f>
        <v>0.82304975790482815</v>
      </c>
      <c r="BC112" s="173">
        <f>AI112*Npri_sec2*SQRT((1-AU112)/3)*(Pout2/Pout_total)</f>
        <v>8.2416198730740214E-2</v>
      </c>
      <c r="BD112" s="173"/>
      <c r="BE112" s="528">
        <f>Rdson*BA112^2</f>
        <v>4.9375613269165885E-3</v>
      </c>
      <c r="BF112" s="528">
        <f t="shared" si="349"/>
        <v>3.8133867908674776E-2</v>
      </c>
      <c r="BG112" s="528">
        <f t="shared" si="350"/>
        <v>1.0694819834797802E-2</v>
      </c>
      <c r="BH112" s="528">
        <f>0.5*(Coss+Csw)*L112^2*AM112*1000</f>
        <v>3.3888891336244869E-3</v>
      </c>
      <c r="BI112">
        <f>J112*IQ</f>
        <v>4.0055633135512346E-3</v>
      </c>
      <c r="BJ112" s="460">
        <f>(BG112+BI112)*1000</f>
        <v>14.700383148349035</v>
      </c>
      <c r="BK112">
        <f t="shared" si="353"/>
        <v>4.7849595377530106E-2</v>
      </c>
      <c r="BL112" s="460">
        <f>SUM(BE112:BI112)*1000</f>
        <v>61.160701517564888</v>
      </c>
      <c r="BM112" s="173">
        <f t="shared" si="354"/>
        <v>2.6039999999999997E-2</v>
      </c>
      <c r="BN112" s="173">
        <f t="shared" si="355"/>
        <v>2.604E-3</v>
      </c>
      <c r="BO112" s="528"/>
      <c r="BQ112" s="460">
        <f>SUM(BM112:BP112)*1000</f>
        <v>28.643999999999995</v>
      </c>
      <c r="BR112" s="528">
        <f>Rdcr_pri*BA112^2</f>
        <v>3.7031709951874407E-3</v>
      </c>
      <c r="BS112" s="528">
        <f>Rdcr_sec*BB112^2</f>
        <v>2.0322327119615888E-2</v>
      </c>
      <c r="BT112" s="528">
        <f>Rdcr_sec2*BC112^2</f>
        <v>3.3962149066124324E-5</v>
      </c>
      <c r="BU112" s="528">
        <f>AI112^2.5*AM112^2.5*k_core</f>
        <v>1.8200977223717916E-3</v>
      </c>
      <c r="BV112" s="528"/>
      <c r="BW112" s="625">
        <f>0.5*Lleak*0.000000001*AI112^2*AM112*1000</f>
        <v>2.9666571764259655E-2</v>
      </c>
      <c r="BX112" s="460">
        <f>SUM(BR112:BW112)*1000</f>
        <v>55.546129750500896</v>
      </c>
      <c r="BY112" s="173">
        <f>SUM(BE112:BI112,BM112:BP112,BR112:BW112)</f>
        <v>0.14535083126806578</v>
      </c>
      <c r="BZ112" s="5">
        <f>MIN(H112+I112,O112+P112)</f>
        <v>0.77400000000000002</v>
      </c>
      <c r="CA112" s="173">
        <f>BZ112/(BZ112+BY112)</f>
        <v>0.84189840665333104</v>
      </c>
      <c r="CB112" s="5">
        <f>CA112*100</f>
        <v>84.189840665333108</v>
      </c>
      <c r="CC112">
        <f>F112/Iout*100</f>
        <v>3</v>
      </c>
      <c r="CE112" s="562">
        <f>IF(ABS(F112-Ioutmax_Vinmin)&lt;Iout/200, AM112, -50)</f>
        <v>-50</v>
      </c>
      <c r="CF112">
        <f>IF(ABS(F112-Ioutmax_Vinmin)&lt;Iout/200, (O112+P112)*CA112, -50)</f>
        <v>-50</v>
      </c>
      <c r="CG112" s="173">
        <f>MIN(SQRT(2*DT112*1000*Ls1_*(CL112+CJ112*Vfwd1))/(CW112+Vfwd1), 1-DY112)</f>
        <v>4.0644647809102638E-2</v>
      </c>
      <c r="CH112" s="173">
        <f t="shared" si="371"/>
        <v>1.1078356021490297E-2</v>
      </c>
      <c r="CI112" s="170">
        <v>3</v>
      </c>
      <c r="CJ112" s="217">
        <f>IF(PLOT_TYPE=1, CI112/100*Iout_max, min_I*EXP(CS112*rr/100))</f>
        <v>0.03</v>
      </c>
      <c r="CK112" s="217">
        <f>IF(PLOT_TYPE=1, CI112/100*Iout2, min_I*EXP(CU112*rr/100))</f>
        <v>3.0000000000000001E-3</v>
      </c>
      <c r="CL112" s="217">
        <f>CJ112*Vout</f>
        <v>0.72</v>
      </c>
      <c r="CM112" s="217">
        <f>Vout2*CK112</f>
        <v>5.3999999999999999E-2</v>
      </c>
      <c r="CN112" s="541">
        <f t="shared" si="375"/>
        <v>9</v>
      </c>
      <c r="CO112" s="443">
        <f t="shared" si="376"/>
        <v>16.474900000000002</v>
      </c>
      <c r="CP112" s="443">
        <f t="shared" si="377"/>
        <v>25.474900000000002</v>
      </c>
      <c r="CQ112" s="443"/>
      <c r="CR112" s="217">
        <f>(Vout+Vfwd1)*Nps/((Vout+Vfwd1)*Nps+CN112)</f>
        <v>0.64485133082098534</v>
      </c>
      <c r="CS112" s="172">
        <f>CR112*CN112*Isw_max*0.5*Efficiency*Pout/(Pout+Pout2)</f>
        <v>29.993085154464438</v>
      </c>
      <c r="CT112" s="172">
        <f>CR112*CN112*Isw_max*0.5*Efficiency*(Pout2/Pout_total)</f>
        <v>2.4181924905786953</v>
      </c>
      <c r="CU112" s="217">
        <f>CS112/Vout</f>
        <v>1.2497118814360182</v>
      </c>
      <c r="CV112" s="217">
        <f>CS112/Vout2</f>
        <v>1.6662825085813577</v>
      </c>
      <c r="CW112" s="217">
        <f>MIN(Vout,CS112/CJ112)</f>
        <v>24</v>
      </c>
      <c r="CX112" s="217">
        <f>MIN(2*(Vout*CJ112+Vout2*CK112)/(Efficiency*CN112*CR112), Isw_max)</f>
        <v>0.26672814613101609</v>
      </c>
      <c r="CY112" s="217">
        <f>L*CX112/CN112*1000000</f>
        <v>0.29636460681224014</v>
      </c>
      <c r="CZ112" s="217">
        <f>L*CX112/CO112*1000000</f>
        <v>0.16189970569230533</v>
      </c>
      <c r="DA112" s="197">
        <f>IF(1/((350000*L)*(1/CN112+1/CO112))&gt;Isw_min, 350, 0.001/((Isw_min*L)*(1/CN112+1/CO112)))</f>
        <v>261.91798593910079</v>
      </c>
      <c r="DB112" s="443">
        <f>MIN(1/(CY112+CZ112)*1000, 350)</f>
        <v>350</v>
      </c>
      <c r="DD112" s="217">
        <f>1/((DA112*1000*L)*(1/CN112+1/CO112))</f>
        <v>2.2222222222222228</v>
      </c>
      <c r="DE112" s="173">
        <f>L*DD112/CO112*1000000</f>
        <v>1.3488532386977905</v>
      </c>
      <c r="DF112" s="173">
        <f>0.5*DE112*DD112*Nps*DA112/1000*(Pout/(Pout+Pout2))</f>
        <v>0.24355939229558116</v>
      </c>
      <c r="DG112" s="173"/>
      <c r="DH112" s="173">
        <f>L*Isw_min/CO112*1000000</f>
        <v>1.3488532386977903</v>
      </c>
      <c r="DI112" s="545">
        <f>MAX(10, CJ112/(0.5*DH112/1000000*Isw_min*Nps)/1000*Pout_total/Pout)</f>
        <v>30.01049999999999</v>
      </c>
      <c r="DJ112" s="528">
        <f>0.5*DH112/1000000*Isw_min*Nps*DA112*1000*(Pout/Pout_total)</f>
        <v>0.26182634671774968</v>
      </c>
      <c r="DL112" s="173">
        <f>SQRT((CL112+CM112)/(0.5*L*Fsw_DCM))</f>
        <v>0.66504564827214241</v>
      </c>
      <c r="DM112" s="173">
        <f>MAX(IF(CJ112&gt;DF112,CX112,DL112),Isw_min)</f>
        <v>2.2222222222222223</v>
      </c>
      <c r="DN112" s="173">
        <f>IF(CJ112&gt;DJ112, (DM112-Isw_min)/1.08*0.8+1.2, DI112*0.2/350+1)</f>
        <v>1.0171488571428571</v>
      </c>
      <c r="DP112" s="545">
        <f>CJ112*1000</f>
        <v>30</v>
      </c>
      <c r="DQ112" s="460">
        <f>IF(CJ112&gt;DJ112, DB112, DI112)</f>
        <v>30.01049999999999</v>
      </c>
      <c r="DS112" s="460">
        <f>IF(CL112&gt;CS112, "",DP112)</f>
        <v>30</v>
      </c>
      <c r="DT112" s="460">
        <f>IF(CL112&gt;CS112, "",DQ112)</f>
        <v>30.01049999999999</v>
      </c>
      <c r="DV112" s="5">
        <f>1/DQ112*1000</f>
        <v>33.321670748571343</v>
      </c>
      <c r="DW112" s="5">
        <f>L*DM112/CN112*1000000</f>
        <v>2.4691358024691361</v>
      </c>
      <c r="DX112" s="5">
        <f>DV112-DW112</f>
        <v>30.852534946102207</v>
      </c>
      <c r="DY112" s="173">
        <f>DW112/DV112</f>
        <v>7.4099999999999985E-2</v>
      </c>
      <c r="EA112" s="5">
        <f>CJ112*DW112/Vout_ripple*1000</f>
        <v>0.30864197530864201</v>
      </c>
      <c r="EB112" s="5">
        <f>CK112*DW112/Vout_ripple2*1000</f>
        <v>4.1152263374485597E-2</v>
      </c>
      <c r="EC112" s="5">
        <f>CL112/Efficiency/CN112*DX112/Vinripple1</f>
        <v>2.0568356630734801</v>
      </c>
      <c r="ED112" s="5"/>
      <c r="EE112" s="173">
        <f>DM112*SQRT(DY112/3)</f>
        <v>0.34924963656670466</v>
      </c>
      <c r="EF112" s="173">
        <f>DM112*Npri_sec1*SQRT((1-DY112)/3)*(Pout/Pout_total)</f>
        <v>0.82344526164769527</v>
      </c>
      <c r="EG112" s="173">
        <f>DM112*Npri_sec2*SQRT((1-DY112)/3)*(Pout2/Pout_total)</f>
        <v>8.2455802551478663E-2</v>
      </c>
      <c r="EH112" s="173"/>
      <c r="EI112" s="528">
        <f>Rdson*EE112^2</f>
        <v>4.8790123456790117E-3</v>
      </c>
      <c r="EJ112" s="528">
        <f>0.5*CP112*DM112*DQ112*1000*Trise</f>
        <v>4.6720329727499989E-2</v>
      </c>
      <c r="EK112" s="528">
        <f>Qg*Vdd*DQ112*1000</f>
        <v>6.0020999999999981E-3</v>
      </c>
      <c r="EL112" s="528">
        <f>0.5*(Coss+Csw)*CP112^2*DQ112*1000</f>
        <v>3.4082877659013921E-3</v>
      </c>
      <c r="EM112">
        <f>CN112*IQ</f>
        <v>4.0499999999999998E-3</v>
      </c>
      <c r="EN112" s="460">
        <f>(EK112+EM112)*1000</f>
        <v>10.052099999999998</v>
      </c>
      <c r="EP112" s="460">
        <f>SUM(EI112:EM112)*1000</f>
        <v>65.05972983908039</v>
      </c>
      <c r="EQ112" s="173">
        <f>Vfwd2*CJ112</f>
        <v>2.0999999999999998E-2</v>
      </c>
      <c r="ER112" s="173">
        <f t="shared" si="419"/>
        <v>1.8600000000000001E-3</v>
      </c>
      <c r="ES112" s="528"/>
      <c r="EU112" s="460">
        <f>SUM(EQ112:ET112)*1000</f>
        <v>22.86</v>
      </c>
      <c r="EV112" s="528">
        <f>Rdcr_pri*EE112^2</f>
        <v>3.6592592592592584E-3</v>
      </c>
      <c r="EW112" s="528">
        <f>Rdcr_sec*EF112^2</f>
        <v>2.0341862967901241E-2</v>
      </c>
      <c r="EX112" s="528">
        <f>Rdcr_sec2*EG112^2</f>
        <v>3.3994796872042175E-5</v>
      </c>
      <c r="EY112" s="528">
        <f>DM112^2.5*DQ112^2.5*k_core</f>
        <v>1.8160248955245227E-3</v>
      </c>
      <c r="EZ112" s="528"/>
      <c r="FA112" s="625">
        <f>0.5*Lleak*0.000000001*DM112^2*DQ112*1000</f>
        <v>2.9639999999999996E-2</v>
      </c>
      <c r="FB112" s="460">
        <f>SUM(EV112:FA112)*1000</f>
        <v>55.491141919557066</v>
      </c>
      <c r="FC112" s="173">
        <f>SUM(EI112:EM112,EQ112:ET112,EV112:FA112)</f>
        <v>0.14341087175863745</v>
      </c>
      <c r="FD112" s="5">
        <f>MIN(CL112+CM112,CS112+CT112)</f>
        <v>0.77400000000000002</v>
      </c>
      <c r="FE112" s="173">
        <f>FD112/(FD112+FC112)</f>
        <v>0.84367868729991735</v>
      </c>
      <c r="FF112" s="5">
        <f>FE112*100</f>
        <v>84.367868729991741</v>
      </c>
      <c r="FG112">
        <f>CJ112/Iout*100</f>
        <v>3</v>
      </c>
      <c r="FI112" s="562">
        <f>IF(ABS(CJ112-Ioutmax_Vinmin)&lt;Iout/200, DQ112, -50)</f>
        <v>-50</v>
      </c>
      <c r="FJ112">
        <f>IF(ABS(CJ112-Ioutmax_Vinmin)&lt;Iout/200, (CS112+CT112)*FE112, -50)</f>
        <v>-50</v>
      </c>
    </row>
    <row r="113" spans="5:166">
      <c r="E113" s="170">
        <v>3</v>
      </c>
      <c r="F113" s="217">
        <f t="shared" si="434"/>
        <v>0.03</v>
      </c>
      <c r="G113" s="217">
        <f t="shared" si="313"/>
        <v>3.0000000000000001E-3</v>
      </c>
      <c r="H113" s="217">
        <f t="shared" si="314"/>
        <v>0.72</v>
      </c>
      <c r="I113" s="217">
        <f t="shared" si="315"/>
        <v>5.3999999999999999E-2</v>
      </c>
      <c r="J113" s="541">
        <f t="shared" si="316"/>
        <v>8.901251807891633</v>
      </c>
      <c r="K113" s="443">
        <f t="shared" si="317"/>
        <v>16.489669472300989</v>
      </c>
      <c r="L113" s="172">
        <f t="shared" si="318"/>
        <v>25.390921280192622</v>
      </c>
      <c r="M113" s="443"/>
      <c r="N113" s="217">
        <f t="shared" si="319"/>
        <v>0.64943171184436421</v>
      </c>
      <c r="O113" s="172">
        <f t="shared" si="320"/>
        <v>29.874703871611391</v>
      </c>
      <c r="P113" s="172">
        <f t="shared" si="321"/>
        <v>2.4086479996486685</v>
      </c>
      <c r="Q113" s="217">
        <f t="shared" si="322"/>
        <v>1.244779327983808</v>
      </c>
      <c r="R113" s="217">
        <f t="shared" si="323"/>
        <v>1.6597057706450773</v>
      </c>
      <c r="S113" s="217">
        <f t="shared" si="324"/>
        <v>24</v>
      </c>
      <c r="T113" s="217">
        <f t="shared" si="325"/>
        <v>0.26778508113019472</v>
      </c>
      <c r="U113" s="217">
        <f t="shared" si="326"/>
        <v>0.30083979973781105</v>
      </c>
      <c r="V113" s="217">
        <f t="shared" si="327"/>
        <v>0.16239566328483096</v>
      </c>
      <c r="W113" s="197">
        <f t="shared" si="328"/>
        <v>260.13398396205616</v>
      </c>
      <c r="X113" s="443">
        <f t="shared" si="435"/>
        <v>350</v>
      </c>
      <c r="Z113" s="217">
        <f t="shared" si="329"/>
        <v>2.2222222222222223</v>
      </c>
      <c r="AA113" s="173">
        <f t="shared" si="330"/>
        <v>1.3476450974078444</v>
      </c>
      <c r="AB113" s="173">
        <f t="shared" si="331"/>
        <v>0.24168377074915673</v>
      </c>
      <c r="AC113" s="173"/>
      <c r="AD113" s="173">
        <f t="shared" si="332"/>
        <v>1.3476450974078444</v>
      </c>
      <c r="AE113" s="545">
        <f t="shared" si="333"/>
        <v>30.037403911312889</v>
      </c>
      <c r="AF113" s="528">
        <f t="shared" si="334"/>
        <v>0.25981005355534348</v>
      </c>
      <c r="AH113" s="173">
        <f t="shared" si="335"/>
        <v>0.66504564827214241</v>
      </c>
      <c r="AI113" s="173">
        <f t="shared" si="336"/>
        <v>2.2222222222222223</v>
      </c>
      <c r="AJ113" s="173">
        <f t="shared" si="337"/>
        <v>1.0171642308064646</v>
      </c>
      <c r="AL113" s="545">
        <f t="shared" si="338"/>
        <v>30</v>
      </c>
      <c r="AM113" s="460">
        <f t="shared" si="339"/>
        <v>30.037403911312889</v>
      </c>
      <c r="AO113" s="460">
        <f t="shared" si="340"/>
        <v>30</v>
      </c>
      <c r="AP113" s="460">
        <f t="shared" si="341"/>
        <v>30.037403911312889</v>
      </c>
      <c r="AR113" s="5">
        <f t="shared" si="275"/>
        <v>33.291825184112305</v>
      </c>
      <c r="AS113" s="5">
        <f>L*AI113/J113*1000000</f>
        <v>2.496527758322773</v>
      </c>
      <c r="AT113" s="5">
        <f>AR113-AS113</f>
        <v>30.795297425789531</v>
      </c>
      <c r="AU113" s="173">
        <f>AS113/AR113</f>
        <v>7.498921265254567E-2</v>
      </c>
      <c r="AW113" s="5">
        <f t="shared" si="342"/>
        <v>0.31206596979034662</v>
      </c>
      <c r="AX113" s="5">
        <f t="shared" si="343"/>
        <v>4.1608795972046211E-2</v>
      </c>
      <c r="AY113" s="5">
        <f t="shared" si="344"/>
        <v>2.0757955009308127</v>
      </c>
      <c r="AZ113" s="5"/>
      <c r="BA113" s="173">
        <f t="shared" si="345"/>
        <v>0.35133891497087921</v>
      </c>
      <c r="BB113" s="173">
        <f t="shared" si="346"/>
        <v>0.82304975790482815</v>
      </c>
      <c r="BC113" s="173">
        <f t="shared" si="347"/>
        <v>8.2416198730740214E-2</v>
      </c>
      <c r="BD113" s="173"/>
      <c r="BE113" s="528">
        <f t="shared" si="348"/>
        <v>4.9375613269165885E-3</v>
      </c>
      <c r="BF113" s="528">
        <f t="shared" si="349"/>
        <v>3.8133867908674776E-2</v>
      </c>
      <c r="BG113" s="528">
        <f t="shared" si="350"/>
        <v>1.0694819834797802E-2</v>
      </c>
      <c r="BH113" s="528">
        <f t="shared" si="351"/>
        <v>3.3888891336244869E-3</v>
      </c>
      <c r="BI113">
        <f t="shared" si="352"/>
        <v>4.0055633135512346E-3</v>
      </c>
      <c r="BJ113" s="460">
        <f t="shared" si="436"/>
        <v>14.700383148349035</v>
      </c>
      <c r="BK113">
        <f t="shared" si="353"/>
        <v>4.7849595377530106E-2</v>
      </c>
      <c r="BL113" s="460">
        <f t="shared" si="437"/>
        <v>61.160701517564888</v>
      </c>
      <c r="BM113" s="173">
        <f t="shared" si="354"/>
        <v>2.6039999999999997E-2</v>
      </c>
      <c r="BN113" s="173">
        <f t="shared" si="355"/>
        <v>2.604E-3</v>
      </c>
      <c r="BO113" s="528"/>
      <c r="BQ113" s="460">
        <f t="shared" si="356"/>
        <v>28.643999999999995</v>
      </c>
      <c r="BR113" s="528">
        <f t="shared" si="357"/>
        <v>3.7031709951874407E-3</v>
      </c>
      <c r="BS113" s="528">
        <f t="shared" si="358"/>
        <v>2.0322327119615888E-2</v>
      </c>
      <c r="BT113" s="528">
        <f t="shared" si="359"/>
        <v>3.3962149066124324E-5</v>
      </c>
      <c r="BU113" s="528">
        <f t="shared" si="360"/>
        <v>1.8200977223717916E-3</v>
      </c>
      <c r="BV113" s="528"/>
      <c r="BW113" s="625">
        <f t="shared" si="361"/>
        <v>2.9666571764259655E-2</v>
      </c>
      <c r="BX113" s="460">
        <f t="shared" si="362"/>
        <v>55.546129750500896</v>
      </c>
      <c r="BY113" s="173">
        <f t="shared" si="363"/>
        <v>0.14535083126806578</v>
      </c>
      <c r="BZ113" s="5">
        <f t="shared" si="364"/>
        <v>0.77400000000000002</v>
      </c>
      <c r="CA113" s="173">
        <f t="shared" si="365"/>
        <v>0.84189840665333104</v>
      </c>
      <c r="CB113" s="5">
        <f t="shared" si="366"/>
        <v>84.189840665333108</v>
      </c>
      <c r="CC113">
        <f t="shared" si="367"/>
        <v>3</v>
      </c>
      <c r="CE113" s="562">
        <f t="shared" si="368"/>
        <v>-50</v>
      </c>
      <c r="CF113">
        <f t="shared" si="369"/>
        <v>-50</v>
      </c>
      <c r="CG113" s="173">
        <f t="shared" si="370"/>
        <v>4.0644647809102638E-2</v>
      </c>
      <c r="CH113" s="173">
        <f t="shared" si="371"/>
        <v>1.1078356021490297E-2</v>
      </c>
      <c r="CI113" s="170">
        <v>3</v>
      </c>
      <c r="CJ113" s="217">
        <f t="shared" si="438"/>
        <v>0.03</v>
      </c>
      <c r="CK113" s="217">
        <f t="shared" si="372"/>
        <v>3.0000000000000001E-3</v>
      </c>
      <c r="CL113" s="217">
        <f t="shared" si="373"/>
        <v>0.72</v>
      </c>
      <c r="CM113" s="217">
        <f t="shared" si="374"/>
        <v>5.3999999999999999E-2</v>
      </c>
      <c r="CN113" s="541">
        <f t="shared" si="375"/>
        <v>9</v>
      </c>
      <c r="CO113" s="443">
        <f t="shared" si="376"/>
        <v>16.474900000000002</v>
      </c>
      <c r="CP113" s="443">
        <f t="shared" si="377"/>
        <v>25.474900000000002</v>
      </c>
      <c r="CQ113" s="443"/>
      <c r="CR113" s="217">
        <f t="shared" si="378"/>
        <v>0.64485133082098534</v>
      </c>
      <c r="CS113" s="172">
        <f t="shared" si="379"/>
        <v>29.993085154464438</v>
      </c>
      <c r="CT113" s="172">
        <f t="shared" si="380"/>
        <v>2.4181924905786953</v>
      </c>
      <c r="CU113" s="217">
        <f t="shared" si="381"/>
        <v>1.2497118814360182</v>
      </c>
      <c r="CV113" s="217">
        <f t="shared" si="382"/>
        <v>1.6662825085813577</v>
      </c>
      <c r="CW113" s="217">
        <f t="shared" si="383"/>
        <v>24</v>
      </c>
      <c r="CX113" s="217">
        <f t="shared" si="384"/>
        <v>0.26672814613101609</v>
      </c>
      <c r="CY113" s="217">
        <f t="shared" si="385"/>
        <v>0.29636460681224014</v>
      </c>
      <c r="CZ113" s="217">
        <f t="shared" si="386"/>
        <v>0.16189970569230533</v>
      </c>
      <c r="DA113" s="197">
        <f t="shared" si="387"/>
        <v>261.91798593910079</v>
      </c>
      <c r="DB113" s="443">
        <f t="shared" si="388"/>
        <v>350</v>
      </c>
      <c r="DD113" s="217">
        <f t="shared" si="389"/>
        <v>2.2222222222222228</v>
      </c>
      <c r="DE113" s="173">
        <f t="shared" si="390"/>
        <v>1.3488532386977905</v>
      </c>
      <c r="DF113" s="173">
        <f t="shared" si="391"/>
        <v>0.24355939229558116</v>
      </c>
      <c r="DG113" s="173"/>
      <c r="DH113" s="173">
        <f t="shared" si="392"/>
        <v>1.3488532386977903</v>
      </c>
      <c r="DI113" s="545">
        <f t="shared" si="393"/>
        <v>30.01049999999999</v>
      </c>
      <c r="DJ113" s="528">
        <f t="shared" si="394"/>
        <v>0.26182634671774968</v>
      </c>
      <c r="DL113" s="173">
        <f t="shared" si="395"/>
        <v>0.66504564827214241</v>
      </c>
      <c r="DM113" s="173">
        <f t="shared" si="396"/>
        <v>2.2222222222222223</v>
      </c>
      <c r="DN113" s="173">
        <f t="shared" si="397"/>
        <v>1.0171488571428571</v>
      </c>
      <c r="DP113" s="545">
        <f t="shared" si="398"/>
        <v>30</v>
      </c>
      <c r="DQ113" s="460">
        <f t="shared" si="399"/>
        <v>30.01049999999999</v>
      </c>
      <c r="DS113" s="460">
        <f t="shared" si="400"/>
        <v>30</v>
      </c>
      <c r="DT113" s="460">
        <f t="shared" si="401"/>
        <v>30.01049999999999</v>
      </c>
      <c r="DV113" s="5">
        <f t="shared" si="402"/>
        <v>33.321670748571343</v>
      </c>
      <c r="DW113" s="5">
        <f t="shared" si="403"/>
        <v>2.4691358024691361</v>
      </c>
      <c r="DX113" s="5">
        <f t="shared" si="404"/>
        <v>30.852534946102207</v>
      </c>
      <c r="DY113" s="173">
        <f t="shared" si="405"/>
        <v>7.4099999999999985E-2</v>
      </c>
      <c r="EA113" s="5">
        <f t="shared" si="406"/>
        <v>0.30864197530864201</v>
      </c>
      <c r="EB113" s="5">
        <f t="shared" si="407"/>
        <v>4.1152263374485597E-2</v>
      </c>
      <c r="EC113" s="5">
        <f t="shared" si="408"/>
        <v>2.0568356630734801</v>
      </c>
      <c r="ED113" s="5"/>
      <c r="EE113" s="173">
        <f t="shared" si="409"/>
        <v>0.34924963656670466</v>
      </c>
      <c r="EF113" s="173">
        <f t="shared" si="410"/>
        <v>0.82344526164769527</v>
      </c>
      <c r="EG113" s="173">
        <f t="shared" si="411"/>
        <v>8.2455802551478663E-2</v>
      </c>
      <c r="EH113" s="173"/>
      <c r="EI113" s="528">
        <f t="shared" si="412"/>
        <v>4.8790123456790117E-3</v>
      </c>
      <c r="EJ113" s="528">
        <f t="shared" si="413"/>
        <v>4.6720329727499989E-2</v>
      </c>
      <c r="EK113" s="528">
        <f t="shared" si="414"/>
        <v>6.0020999999999981E-3</v>
      </c>
      <c r="EL113" s="528">
        <f t="shared" si="415"/>
        <v>3.4082877659013921E-3</v>
      </c>
      <c r="EM113">
        <f t="shared" si="416"/>
        <v>4.0499999999999998E-3</v>
      </c>
      <c r="EN113" s="460">
        <f t="shared" si="417"/>
        <v>10.052099999999998</v>
      </c>
      <c r="EP113" s="460">
        <f t="shared" si="439"/>
        <v>65.05972983908039</v>
      </c>
      <c r="EQ113" s="173">
        <f t="shared" si="418"/>
        <v>2.0999999999999998E-2</v>
      </c>
      <c r="ER113" s="173">
        <f t="shared" si="419"/>
        <v>1.8600000000000001E-3</v>
      </c>
      <c r="ES113" s="528"/>
      <c r="EU113" s="460">
        <f t="shared" si="420"/>
        <v>22.86</v>
      </c>
      <c r="EV113" s="528">
        <f t="shared" si="421"/>
        <v>3.6592592592592584E-3</v>
      </c>
      <c r="EW113" s="528">
        <f t="shared" si="422"/>
        <v>2.0341862967901241E-2</v>
      </c>
      <c r="EX113" s="528">
        <f t="shared" si="423"/>
        <v>3.3994796872042175E-5</v>
      </c>
      <c r="EY113" s="528">
        <f t="shared" si="424"/>
        <v>1.8160248955245227E-3</v>
      </c>
      <c r="EZ113" s="528"/>
      <c r="FA113" s="625">
        <f t="shared" si="425"/>
        <v>2.9639999999999996E-2</v>
      </c>
      <c r="FB113" s="460">
        <f t="shared" si="426"/>
        <v>55.491141919557066</v>
      </c>
      <c r="FC113" s="173">
        <f t="shared" si="427"/>
        <v>0.14341087175863745</v>
      </c>
      <c r="FD113" s="5">
        <f t="shared" si="428"/>
        <v>0.77400000000000002</v>
      </c>
      <c r="FE113" s="173">
        <f t="shared" si="429"/>
        <v>0.84367868729991735</v>
      </c>
      <c r="FF113" s="5">
        <f t="shared" si="430"/>
        <v>84.367868729991741</v>
      </c>
      <c r="FG113">
        <f t="shared" si="431"/>
        <v>3</v>
      </c>
      <c r="FI113" s="562">
        <f t="shared" si="432"/>
        <v>-50</v>
      </c>
      <c r="FJ113">
        <f t="shared" si="433"/>
        <v>-50</v>
      </c>
    </row>
    <row r="114" spans="5:166">
      <c r="E114" s="170">
        <v>4</v>
      </c>
      <c r="F114" s="217">
        <f t="shared" si="434"/>
        <v>0.04</v>
      </c>
      <c r="G114" s="217">
        <f t="shared" si="313"/>
        <v>4.0000000000000001E-3</v>
      </c>
      <c r="H114" s="217">
        <f t="shared" si="314"/>
        <v>0.96</v>
      </c>
      <c r="I114" s="217">
        <f t="shared" si="315"/>
        <v>7.2000000000000008E-2</v>
      </c>
      <c r="J114" s="541">
        <f t="shared" si="316"/>
        <v>8.901251807891633</v>
      </c>
      <c r="K114" s="443">
        <f t="shared" si="317"/>
        <v>16.489669472300989</v>
      </c>
      <c r="L114" s="172">
        <f t="shared" si="318"/>
        <v>25.390921280192622</v>
      </c>
      <c r="M114" s="443"/>
      <c r="N114" s="217">
        <f t="shared" si="319"/>
        <v>0.64943171184436421</v>
      </c>
      <c r="O114" s="172">
        <f t="shared" si="320"/>
        <v>29.874703871611391</v>
      </c>
      <c r="P114" s="172">
        <f t="shared" si="321"/>
        <v>2.4086479996486685</v>
      </c>
      <c r="Q114" s="217">
        <f t="shared" si="322"/>
        <v>1.244779327983808</v>
      </c>
      <c r="R114" s="217">
        <f t="shared" si="323"/>
        <v>1.6597057706450773</v>
      </c>
      <c r="S114" s="217">
        <f t="shared" si="324"/>
        <v>24</v>
      </c>
      <c r="T114" s="217">
        <f t="shared" si="325"/>
        <v>0.35704677484025965</v>
      </c>
      <c r="U114" s="217">
        <f t="shared" si="326"/>
        <v>0.40111973298374809</v>
      </c>
      <c r="V114" s="217">
        <f t="shared" si="327"/>
        <v>0.21652755104644128</v>
      </c>
      <c r="W114" s="197">
        <f t="shared" si="328"/>
        <v>260.13398396205616</v>
      </c>
      <c r="X114" s="443">
        <f t="shared" si="435"/>
        <v>350</v>
      </c>
      <c r="Z114" s="217">
        <f t="shared" si="329"/>
        <v>2.2222222222222223</v>
      </c>
      <c r="AA114" s="173">
        <f t="shared" si="330"/>
        <v>1.3476450974078444</v>
      </c>
      <c r="AB114" s="173">
        <f t="shared" si="331"/>
        <v>0.24168377074915673</v>
      </c>
      <c r="AC114" s="173"/>
      <c r="AD114" s="173">
        <f t="shared" si="332"/>
        <v>1.3476450974078444</v>
      </c>
      <c r="AE114" s="545">
        <f t="shared" si="333"/>
        <v>40.049871881750512</v>
      </c>
      <c r="AF114" s="528">
        <f t="shared" si="334"/>
        <v>0.25981005355534348</v>
      </c>
      <c r="AH114" s="173">
        <f t="shared" si="335"/>
        <v>0.76792856810662125</v>
      </c>
      <c r="AI114" s="173">
        <f t="shared" si="336"/>
        <v>2.2222222222222223</v>
      </c>
      <c r="AJ114" s="173">
        <f t="shared" si="337"/>
        <v>1.022885641075286</v>
      </c>
      <c r="AL114" s="545">
        <f t="shared" si="338"/>
        <v>40</v>
      </c>
      <c r="AM114" s="460">
        <f t="shared" si="339"/>
        <v>40.049871881750512</v>
      </c>
      <c r="AO114" s="460">
        <f t="shared" si="340"/>
        <v>40</v>
      </c>
      <c r="AP114" s="460">
        <f t="shared" si="341"/>
        <v>40.049871881750512</v>
      </c>
      <c r="AR114" s="5">
        <f t="shared" si="275"/>
        <v>24.968868888084238</v>
      </c>
      <c r="AS114" s="5">
        <f>L*AI114/J114*1000000</f>
        <v>2.496527758322773</v>
      </c>
      <c r="AT114" s="5">
        <f>AR114-AS114</f>
        <v>22.472341129761464</v>
      </c>
      <c r="AU114" s="173">
        <f>AS114/AR114</f>
        <v>9.9985616870060856E-2</v>
      </c>
      <c r="AW114" s="5">
        <f t="shared" si="342"/>
        <v>0.41608795972046214</v>
      </c>
      <c r="AX114" s="5">
        <f t="shared" si="343"/>
        <v>5.547839462939496E-2</v>
      </c>
      <c r="AY114" s="5">
        <f t="shared" si="344"/>
        <v>2.0197016432981285</v>
      </c>
      <c r="AZ114" s="5"/>
      <c r="BA114" s="173">
        <f t="shared" si="345"/>
        <v>0.40569123427045622</v>
      </c>
      <c r="BB114" s="173">
        <f t="shared" si="346"/>
        <v>0.81185303348416527</v>
      </c>
      <c r="BC114" s="173">
        <f t="shared" si="347"/>
        <v>8.1295013217806272E-2</v>
      </c>
      <c r="BD114" s="173"/>
      <c r="BE114" s="528">
        <f t="shared" si="348"/>
        <v>6.5834151025554481E-3</v>
      </c>
      <c r="BF114" s="528">
        <f t="shared" si="349"/>
        <v>5.084515721156635E-2</v>
      </c>
      <c r="BG114" s="528">
        <f t="shared" si="350"/>
        <v>1.42597597797304E-2</v>
      </c>
      <c r="BH114" s="528">
        <f t="shared" si="351"/>
        <v>4.5185188448326492E-3</v>
      </c>
      <c r="BI114">
        <f t="shared" si="352"/>
        <v>4.0055633135512346E-3</v>
      </c>
      <c r="BJ114" s="460">
        <f t="shared" si="436"/>
        <v>18.265323093281637</v>
      </c>
      <c r="BK114">
        <f t="shared" si="353"/>
        <v>6.3824448679273352E-2</v>
      </c>
      <c r="BL114" s="460">
        <f t="shared" si="437"/>
        <v>80.212414252236073</v>
      </c>
      <c r="BM114" s="173">
        <f t="shared" si="354"/>
        <v>3.4719999999999994E-2</v>
      </c>
      <c r="BN114" s="173">
        <f t="shared" si="355"/>
        <v>3.4719999999999998E-3</v>
      </c>
      <c r="BO114" s="528"/>
      <c r="BQ114" s="460">
        <f t="shared" si="356"/>
        <v>38.192</v>
      </c>
      <c r="BR114" s="528">
        <f t="shared" si="357"/>
        <v>4.9375613269165858E-3</v>
      </c>
      <c r="BS114" s="528">
        <f t="shared" si="358"/>
        <v>1.9773160439323232E-2</v>
      </c>
      <c r="BT114" s="528">
        <f t="shared" si="359"/>
        <v>3.3044395870416482E-5</v>
      </c>
      <c r="BU114" s="528">
        <f t="shared" si="360"/>
        <v>3.7362983465343211E-3</v>
      </c>
      <c r="BV114" s="528"/>
      <c r="BW114" s="625">
        <f t="shared" si="361"/>
        <v>3.9555429019012864E-2</v>
      </c>
      <c r="BX114" s="460">
        <f t="shared" si="362"/>
        <v>68.035493527657422</v>
      </c>
      <c r="BY114" s="173">
        <f t="shared" si="363"/>
        <v>0.1864399077798935</v>
      </c>
      <c r="BZ114" s="5">
        <f t="shared" si="364"/>
        <v>1.032</v>
      </c>
      <c r="CA114" s="173">
        <f t="shared" si="365"/>
        <v>0.84698473302667532</v>
      </c>
      <c r="CB114" s="5">
        <f t="shared" si="366"/>
        <v>84.698473302667537</v>
      </c>
      <c r="CC114">
        <f t="shared" si="367"/>
        <v>4</v>
      </c>
      <c r="CE114" s="562">
        <f t="shared" si="368"/>
        <v>-50</v>
      </c>
      <c r="CF114">
        <f t="shared" si="369"/>
        <v>-50</v>
      </c>
      <c r="CG114" s="173">
        <f t="shared" si="370"/>
        <v>5.4192863745470179E-2</v>
      </c>
      <c r="CH114" s="173">
        <f t="shared" si="371"/>
        <v>1.4771141361987065E-2</v>
      </c>
      <c r="CI114" s="170">
        <v>4</v>
      </c>
      <c r="CJ114" s="217">
        <f t="shared" si="438"/>
        <v>0.04</v>
      </c>
      <c r="CK114" s="217">
        <f t="shared" si="372"/>
        <v>4.0000000000000001E-3</v>
      </c>
      <c r="CL114" s="217">
        <f t="shared" si="373"/>
        <v>0.96</v>
      </c>
      <c r="CM114" s="217">
        <f t="shared" si="374"/>
        <v>7.2000000000000008E-2</v>
      </c>
      <c r="CN114" s="541">
        <f t="shared" si="375"/>
        <v>9</v>
      </c>
      <c r="CO114" s="443">
        <f t="shared" si="376"/>
        <v>16.474900000000002</v>
      </c>
      <c r="CP114" s="443">
        <f t="shared" si="377"/>
        <v>25.474900000000002</v>
      </c>
      <c r="CQ114" s="443"/>
      <c r="CR114" s="217">
        <f t="shared" si="378"/>
        <v>0.64485133082098534</v>
      </c>
      <c r="CS114" s="172">
        <f t="shared" si="379"/>
        <v>29.993085154464438</v>
      </c>
      <c r="CT114" s="172">
        <f t="shared" si="380"/>
        <v>2.4181924905786953</v>
      </c>
      <c r="CU114" s="217">
        <f t="shared" si="381"/>
        <v>1.2497118814360182</v>
      </c>
      <c r="CV114" s="217">
        <f t="shared" si="382"/>
        <v>1.6662825085813577</v>
      </c>
      <c r="CW114" s="217">
        <f t="shared" si="383"/>
        <v>24</v>
      </c>
      <c r="CX114" s="217">
        <f t="shared" si="384"/>
        <v>0.35563752817468813</v>
      </c>
      <c r="CY114" s="217">
        <f t="shared" si="385"/>
        <v>0.39515280908298683</v>
      </c>
      <c r="CZ114" s="217">
        <f t="shared" si="386"/>
        <v>0.21586627425640709</v>
      </c>
      <c r="DA114" s="197">
        <f t="shared" si="387"/>
        <v>261.91798593910079</v>
      </c>
      <c r="DB114" s="443">
        <f t="shared" si="388"/>
        <v>350</v>
      </c>
      <c r="DD114" s="217">
        <f t="shared" si="389"/>
        <v>2.2222222222222228</v>
      </c>
      <c r="DE114" s="173">
        <f t="shared" si="390"/>
        <v>1.3488532386977905</v>
      </c>
      <c r="DF114" s="173">
        <f t="shared" si="391"/>
        <v>0.24355939229558116</v>
      </c>
      <c r="DG114" s="173"/>
      <c r="DH114" s="173">
        <f t="shared" si="392"/>
        <v>1.3488532386977903</v>
      </c>
      <c r="DI114" s="545">
        <f t="shared" si="393"/>
        <v>40.013999999999989</v>
      </c>
      <c r="DJ114" s="528">
        <f t="shared" si="394"/>
        <v>0.26182634671774968</v>
      </c>
      <c r="DL114" s="173">
        <f t="shared" si="395"/>
        <v>0.76792856810662125</v>
      </c>
      <c r="DM114" s="173">
        <f t="shared" si="396"/>
        <v>2.2222222222222223</v>
      </c>
      <c r="DN114" s="173">
        <f t="shared" si="397"/>
        <v>1.0228651428571429</v>
      </c>
      <c r="DP114" s="545">
        <f t="shared" si="398"/>
        <v>40</v>
      </c>
      <c r="DQ114" s="460">
        <f t="shared" si="399"/>
        <v>40.013999999999989</v>
      </c>
      <c r="DS114" s="460">
        <f t="shared" si="400"/>
        <v>40</v>
      </c>
      <c r="DT114" s="460">
        <f t="shared" si="401"/>
        <v>40.013999999999989</v>
      </c>
      <c r="DV114" s="5">
        <f t="shared" si="402"/>
        <v>24.991253061428505</v>
      </c>
      <c r="DW114" s="5">
        <f t="shared" si="403"/>
        <v>2.4691358024691361</v>
      </c>
      <c r="DX114" s="5">
        <f t="shared" si="404"/>
        <v>22.522117258959369</v>
      </c>
      <c r="DY114" s="173">
        <f t="shared" si="405"/>
        <v>9.8799999999999985E-2</v>
      </c>
      <c r="EA114" s="5">
        <f t="shared" si="406"/>
        <v>0.41152263374485604</v>
      </c>
      <c r="EB114" s="5">
        <f t="shared" si="407"/>
        <v>5.4869684499314134E-2</v>
      </c>
      <c r="EC114" s="5">
        <f t="shared" si="408"/>
        <v>2.0019659785741659</v>
      </c>
      <c r="ED114" s="5"/>
      <c r="EE114" s="173">
        <f t="shared" si="409"/>
        <v>0.40327874337233177</v>
      </c>
      <c r="EF114" s="173">
        <f t="shared" si="410"/>
        <v>0.81238759708727371</v>
      </c>
      <c r="EG114" s="173">
        <f t="shared" si="411"/>
        <v>8.1348541816441869E-2</v>
      </c>
      <c r="EH114" s="173"/>
      <c r="EI114" s="528">
        <f t="shared" si="412"/>
        <v>6.5053497942386806E-3</v>
      </c>
      <c r="EJ114" s="528">
        <f t="shared" si="413"/>
        <v>6.2293772970000001E-2</v>
      </c>
      <c r="EK114" s="528">
        <f t="shared" si="414"/>
        <v>8.0027999999999974E-3</v>
      </c>
      <c r="EL114" s="528">
        <f t="shared" si="415"/>
        <v>4.5443836878685225E-3</v>
      </c>
      <c r="EM114">
        <f t="shared" si="416"/>
        <v>4.0499999999999998E-3</v>
      </c>
      <c r="EN114" s="460">
        <f t="shared" si="417"/>
        <v>12.052799999999998</v>
      </c>
      <c r="EP114" s="460">
        <f t="shared" si="439"/>
        <v>85.396306452107197</v>
      </c>
      <c r="EQ114" s="173">
        <f t="shared" si="418"/>
        <v>2.7999999999999997E-2</v>
      </c>
      <c r="ER114" s="173">
        <f t="shared" si="419"/>
        <v>2.48E-3</v>
      </c>
      <c r="ES114" s="528"/>
      <c r="EU114" s="460">
        <f t="shared" si="420"/>
        <v>30.479999999999997</v>
      </c>
      <c r="EV114" s="528">
        <f t="shared" si="421"/>
        <v>4.87901234567901E-3</v>
      </c>
      <c r="EW114" s="528">
        <f t="shared" si="422"/>
        <v>1.9799208237037038E-2</v>
      </c>
      <c r="EX114" s="528">
        <f t="shared" si="423"/>
        <v>3.3087926278306956E-5</v>
      </c>
      <c r="EY114" s="528">
        <f t="shared" si="424"/>
        <v>3.7279376436840689E-3</v>
      </c>
      <c r="EZ114" s="528"/>
      <c r="FA114" s="625">
        <f t="shared" si="425"/>
        <v>3.952E-2</v>
      </c>
      <c r="FB114" s="460">
        <f t="shared" si="426"/>
        <v>67.959246152678432</v>
      </c>
      <c r="FC114" s="173">
        <f t="shared" si="427"/>
        <v>0.18383555260478562</v>
      </c>
      <c r="FD114" s="5">
        <f t="shared" si="428"/>
        <v>1.032</v>
      </c>
      <c r="FE114" s="173">
        <f t="shared" si="429"/>
        <v>0.84879899900036693</v>
      </c>
      <c r="FF114" s="5">
        <f t="shared" si="430"/>
        <v>84.87989990003669</v>
      </c>
      <c r="FG114">
        <f t="shared" si="431"/>
        <v>4</v>
      </c>
      <c r="FI114" s="562">
        <f t="shared" si="432"/>
        <v>-50</v>
      </c>
      <c r="FJ114">
        <f t="shared" si="433"/>
        <v>-50</v>
      </c>
    </row>
    <row r="115" spans="5:166">
      <c r="E115" s="170">
        <v>5</v>
      </c>
      <c r="F115" s="217">
        <f t="shared" si="434"/>
        <v>0.05</v>
      </c>
      <c r="G115" s="217">
        <f t="shared" si="313"/>
        <v>5.000000000000001E-3</v>
      </c>
      <c r="H115" s="217">
        <f t="shared" si="314"/>
        <v>1.2000000000000002</v>
      </c>
      <c r="I115" s="217">
        <f t="shared" si="315"/>
        <v>9.0000000000000024E-2</v>
      </c>
      <c r="J115" s="541">
        <f t="shared" si="316"/>
        <v>8.901251807891633</v>
      </c>
      <c r="K115" s="443">
        <f t="shared" si="317"/>
        <v>16.489669472300989</v>
      </c>
      <c r="L115" s="172">
        <f t="shared" si="318"/>
        <v>25.390921280192622</v>
      </c>
      <c r="M115" s="443"/>
      <c r="N115" s="217">
        <f t="shared" si="319"/>
        <v>0.64943171184436421</v>
      </c>
      <c r="O115" s="172">
        <f t="shared" si="320"/>
        <v>29.874703871611391</v>
      </c>
      <c r="P115" s="172">
        <f t="shared" si="321"/>
        <v>2.4086479996486685</v>
      </c>
      <c r="Q115" s="217">
        <f t="shared" si="322"/>
        <v>1.244779327983808</v>
      </c>
      <c r="R115" s="217">
        <f t="shared" si="323"/>
        <v>1.6597057706450773</v>
      </c>
      <c r="S115" s="217">
        <f t="shared" si="324"/>
        <v>24</v>
      </c>
      <c r="T115" s="217">
        <f t="shared" si="325"/>
        <v>0.44630846855032463</v>
      </c>
      <c r="U115" s="217">
        <f t="shared" si="326"/>
        <v>0.50139966622968524</v>
      </c>
      <c r="V115" s="217">
        <f t="shared" si="327"/>
        <v>0.27065943880805166</v>
      </c>
      <c r="W115" s="197">
        <f t="shared" si="328"/>
        <v>260.13398396205616</v>
      </c>
      <c r="X115" s="443">
        <f t="shared" si="435"/>
        <v>350</v>
      </c>
      <c r="Z115" s="217">
        <f t="shared" si="329"/>
        <v>2.2222222222222223</v>
      </c>
      <c r="AA115" s="173">
        <f t="shared" si="330"/>
        <v>1.3476450974078444</v>
      </c>
      <c r="AB115" s="173">
        <f t="shared" si="331"/>
        <v>0.24168377074915673</v>
      </c>
      <c r="AC115" s="173"/>
      <c r="AD115" s="173">
        <f t="shared" si="332"/>
        <v>1.3476450974078444</v>
      </c>
      <c r="AE115" s="545">
        <f t="shared" si="333"/>
        <v>50.062339852188153</v>
      </c>
      <c r="AF115" s="528">
        <f t="shared" si="334"/>
        <v>0.25981005355534348</v>
      </c>
      <c r="AH115" s="173">
        <f t="shared" si="335"/>
        <v>0.85857024007524119</v>
      </c>
      <c r="AI115" s="173">
        <f t="shared" si="336"/>
        <v>2.2222222222222223</v>
      </c>
      <c r="AJ115" s="173">
        <f t="shared" si="337"/>
        <v>1.0286070513441075</v>
      </c>
      <c r="AL115" s="545">
        <f t="shared" si="338"/>
        <v>50</v>
      </c>
      <c r="AM115" s="460">
        <f t="shared" si="339"/>
        <v>50.062339852188153</v>
      </c>
      <c r="AO115" s="460">
        <f t="shared" si="340"/>
        <v>50</v>
      </c>
      <c r="AP115" s="460">
        <f t="shared" si="341"/>
        <v>50.062339852188153</v>
      </c>
      <c r="AR115" s="5">
        <f t="shared" si="275"/>
        <v>19.975095110467382</v>
      </c>
      <c r="AS115" s="5">
        <f t="shared" ref="AS115:AS178" si="440">L*AI115/J115*1000000</f>
        <v>2.496527758322773</v>
      </c>
      <c r="AT115" s="5">
        <f t="shared" ref="AT115:AT178" si="441">AR115-AS115</f>
        <v>17.478567352144609</v>
      </c>
      <c r="AU115" s="173">
        <f t="shared" ref="AU115:AU178" si="442">AS115/AR115</f>
        <v>0.12498202108757611</v>
      </c>
      <c r="AW115" s="5">
        <f t="shared" si="342"/>
        <v>0.52010994965057777</v>
      </c>
      <c r="AX115" s="5">
        <f t="shared" si="343"/>
        <v>6.9347993286743709E-2</v>
      </c>
      <c r="AY115" s="5">
        <f t="shared" si="344"/>
        <v>1.963607785665443</v>
      </c>
      <c r="AZ115" s="5"/>
      <c r="BA115" s="173">
        <f t="shared" si="345"/>
        <v>0.45357658885226632</v>
      </c>
      <c r="BB115" s="173">
        <f t="shared" si="346"/>
        <v>0.8004997139085599</v>
      </c>
      <c r="BC115" s="173">
        <f t="shared" si="347"/>
        <v>8.0158147027870649E-2</v>
      </c>
      <c r="BD115" s="173"/>
      <c r="BE115" s="528">
        <f t="shared" si="348"/>
        <v>8.2292688781943138E-3</v>
      </c>
      <c r="BF115" s="528">
        <f t="shared" si="349"/>
        <v>6.3556446514457979E-2</v>
      </c>
      <c r="BG115" s="528">
        <f t="shared" si="350"/>
        <v>1.7824699724663006E-2</v>
      </c>
      <c r="BH115" s="528">
        <f t="shared" si="351"/>
        <v>5.6481485560408119E-3</v>
      </c>
      <c r="BI115">
        <f t="shared" si="352"/>
        <v>4.0055633135512346E-3</v>
      </c>
      <c r="BJ115" s="460">
        <f t="shared" si="436"/>
        <v>21.830263038214241</v>
      </c>
      <c r="BK115">
        <f t="shared" si="353"/>
        <v>7.9811820546195206E-2</v>
      </c>
      <c r="BL115" s="460">
        <f t="shared" si="437"/>
        <v>99.264126986907357</v>
      </c>
      <c r="BM115" s="173">
        <f t="shared" si="354"/>
        <v>4.3399999999999994E-2</v>
      </c>
      <c r="BN115" s="173">
        <f t="shared" si="355"/>
        <v>4.340000000000001E-3</v>
      </c>
      <c r="BO115" s="528"/>
      <c r="BQ115" s="460">
        <f t="shared" si="356"/>
        <v>47.739999999999995</v>
      </c>
      <c r="BR115" s="528">
        <f t="shared" si="357"/>
        <v>6.1719516586457345E-3</v>
      </c>
      <c r="BS115" s="528">
        <f t="shared" si="358"/>
        <v>1.9223993759030587E-2</v>
      </c>
      <c r="BT115" s="528">
        <f t="shared" si="359"/>
        <v>3.2126642674708641E-5</v>
      </c>
      <c r="BU115" s="528">
        <f t="shared" si="360"/>
        <v>6.5270445992740636E-3</v>
      </c>
      <c r="BV115" s="528"/>
      <c r="BW115" s="625">
        <f t="shared" si="361"/>
        <v>4.944428627376609E-2</v>
      </c>
      <c r="BX115" s="460">
        <f t="shared" si="362"/>
        <v>81.399402933391173</v>
      </c>
      <c r="BY115" s="173">
        <f t="shared" si="363"/>
        <v>0.22840352992029853</v>
      </c>
      <c r="BZ115" s="5">
        <f t="shared" si="364"/>
        <v>1.2900000000000003</v>
      </c>
      <c r="CA115" s="173">
        <f t="shared" si="365"/>
        <v>0.84957652862392419</v>
      </c>
      <c r="CB115" s="5">
        <f t="shared" si="366"/>
        <v>84.957652862392422</v>
      </c>
      <c r="CC115">
        <f t="shared" si="367"/>
        <v>5</v>
      </c>
      <c r="CE115" s="562">
        <f t="shared" si="368"/>
        <v>-50</v>
      </c>
      <c r="CF115">
        <f t="shared" si="369"/>
        <v>-50</v>
      </c>
      <c r="CG115" s="173">
        <f t="shared" si="370"/>
        <v>6.7741079681837735E-2</v>
      </c>
      <c r="CH115" s="173">
        <f t="shared" si="371"/>
        <v>1.8463926702483834E-2</v>
      </c>
      <c r="CI115" s="170">
        <v>5</v>
      </c>
      <c r="CJ115" s="217">
        <f t="shared" si="438"/>
        <v>0.05</v>
      </c>
      <c r="CK115" s="217">
        <f t="shared" si="372"/>
        <v>5.000000000000001E-3</v>
      </c>
      <c r="CL115" s="217">
        <f t="shared" si="373"/>
        <v>1.2000000000000002</v>
      </c>
      <c r="CM115" s="217">
        <f t="shared" si="374"/>
        <v>9.0000000000000024E-2</v>
      </c>
      <c r="CN115" s="541">
        <f t="shared" si="375"/>
        <v>9</v>
      </c>
      <c r="CO115" s="443">
        <f t="shared" si="376"/>
        <v>16.474900000000002</v>
      </c>
      <c r="CP115" s="443">
        <f t="shared" si="377"/>
        <v>25.474900000000002</v>
      </c>
      <c r="CQ115" s="443"/>
      <c r="CR115" s="217">
        <f t="shared" si="378"/>
        <v>0.64485133082098534</v>
      </c>
      <c r="CS115" s="172">
        <f t="shared" si="379"/>
        <v>29.993085154464438</v>
      </c>
      <c r="CT115" s="172">
        <f t="shared" si="380"/>
        <v>2.4181924905786953</v>
      </c>
      <c r="CU115" s="217">
        <f t="shared" si="381"/>
        <v>1.2497118814360182</v>
      </c>
      <c r="CV115" s="217">
        <f t="shared" si="382"/>
        <v>1.6662825085813577</v>
      </c>
      <c r="CW115" s="217">
        <f t="shared" si="383"/>
        <v>24</v>
      </c>
      <c r="CX115" s="217">
        <f t="shared" si="384"/>
        <v>0.44454691021836029</v>
      </c>
      <c r="CY115" s="217">
        <f t="shared" si="385"/>
        <v>0.49394101135373369</v>
      </c>
      <c r="CZ115" s="217">
        <f t="shared" si="386"/>
        <v>0.26983284282050896</v>
      </c>
      <c r="DA115" s="197">
        <f t="shared" si="387"/>
        <v>261.91798593910079</v>
      </c>
      <c r="DB115" s="443">
        <f t="shared" si="388"/>
        <v>350</v>
      </c>
      <c r="DD115" s="217">
        <f t="shared" si="389"/>
        <v>2.2222222222222228</v>
      </c>
      <c r="DE115" s="173">
        <f t="shared" si="390"/>
        <v>1.3488532386977905</v>
      </c>
      <c r="DF115" s="173">
        <f t="shared" si="391"/>
        <v>0.24355939229558116</v>
      </c>
      <c r="DG115" s="173"/>
      <c r="DH115" s="173">
        <f t="shared" si="392"/>
        <v>1.3488532386977903</v>
      </c>
      <c r="DI115" s="545">
        <f t="shared" si="393"/>
        <v>50.017499999999984</v>
      </c>
      <c r="DJ115" s="528">
        <f t="shared" si="394"/>
        <v>0.26182634671774968</v>
      </c>
      <c r="DL115" s="173">
        <f t="shared" si="395"/>
        <v>0.85857024007524119</v>
      </c>
      <c r="DM115" s="173">
        <f t="shared" si="396"/>
        <v>2.2222222222222223</v>
      </c>
      <c r="DN115" s="173">
        <f t="shared" si="397"/>
        <v>1.0285814285714285</v>
      </c>
      <c r="DP115" s="545">
        <f t="shared" si="398"/>
        <v>50</v>
      </c>
      <c r="DQ115" s="460">
        <f t="shared" si="399"/>
        <v>50.017499999999984</v>
      </c>
      <c r="DS115" s="460">
        <f t="shared" si="400"/>
        <v>50</v>
      </c>
      <c r="DT115" s="460">
        <f t="shared" si="401"/>
        <v>50.017499999999984</v>
      </c>
      <c r="DV115" s="5">
        <f t="shared" si="402"/>
        <v>19.993002449142807</v>
      </c>
      <c r="DW115" s="5">
        <f t="shared" si="403"/>
        <v>2.4691358024691361</v>
      </c>
      <c r="DX115" s="5">
        <f t="shared" si="404"/>
        <v>17.523866646673671</v>
      </c>
      <c r="DY115" s="173">
        <f t="shared" si="405"/>
        <v>0.12349999999999997</v>
      </c>
      <c r="EA115" s="5">
        <f t="shared" si="406"/>
        <v>0.51440329218106995</v>
      </c>
      <c r="EB115" s="5">
        <f t="shared" si="407"/>
        <v>6.8587105624142691E-2</v>
      </c>
      <c r="EC115" s="5">
        <f t="shared" si="408"/>
        <v>1.9470962940748524</v>
      </c>
      <c r="ED115" s="5"/>
      <c r="EE115" s="173">
        <f t="shared" si="409"/>
        <v>0.45087934203061336</v>
      </c>
      <c r="EF115" s="173">
        <f t="shared" si="410"/>
        <v>0.80117733172652117</v>
      </c>
      <c r="EG115" s="173">
        <f t="shared" si="411"/>
        <v>8.0226000379642184E-2</v>
      </c>
      <c r="EH115" s="173"/>
      <c r="EI115" s="528">
        <f t="shared" si="412"/>
        <v>8.1316872427983529E-3</v>
      </c>
      <c r="EJ115" s="528">
        <f t="shared" si="413"/>
        <v>7.7867216212499979E-2</v>
      </c>
      <c r="EK115" s="528">
        <f t="shared" si="414"/>
        <v>1.0003499999999997E-2</v>
      </c>
      <c r="EL115" s="528">
        <f t="shared" si="415"/>
        <v>5.6804796098356538E-3</v>
      </c>
      <c r="EM115">
        <f t="shared" si="416"/>
        <v>4.0499999999999998E-3</v>
      </c>
      <c r="EN115" s="460">
        <f t="shared" si="417"/>
        <v>14.053499999999996</v>
      </c>
      <c r="EP115" s="460">
        <f t="shared" si="439"/>
        <v>105.73288306513398</v>
      </c>
      <c r="EQ115" s="173">
        <f t="shared" si="418"/>
        <v>3.4999999999999996E-2</v>
      </c>
      <c r="ER115" s="173">
        <f t="shared" si="419"/>
        <v>3.1000000000000008E-3</v>
      </c>
      <c r="ES115" s="528"/>
      <c r="EU115" s="460">
        <f t="shared" si="420"/>
        <v>38.099999999999994</v>
      </c>
      <c r="EV115" s="528">
        <f t="shared" si="421"/>
        <v>6.0987654320987647E-3</v>
      </c>
      <c r="EW115" s="528">
        <f t="shared" si="422"/>
        <v>1.9256553506172842E-2</v>
      </c>
      <c r="EX115" s="528">
        <f t="shared" si="423"/>
        <v>3.2181055684571736E-5</v>
      </c>
      <c r="EY115" s="528">
        <f t="shared" si="424"/>
        <v>6.5124390524671583E-3</v>
      </c>
      <c r="EZ115" s="528"/>
      <c r="FA115" s="625">
        <f t="shared" si="425"/>
        <v>4.9399999999999993E-2</v>
      </c>
      <c r="FB115" s="460">
        <f t="shared" si="426"/>
        <v>81.299939046423319</v>
      </c>
      <c r="FC115" s="173">
        <f t="shared" si="427"/>
        <v>0.22513282211155727</v>
      </c>
      <c r="FD115" s="5">
        <f t="shared" si="428"/>
        <v>1.2900000000000003</v>
      </c>
      <c r="FE115" s="173">
        <f t="shared" si="429"/>
        <v>0.85141050419737996</v>
      </c>
      <c r="FF115" s="5">
        <f t="shared" si="430"/>
        <v>85.141050419737994</v>
      </c>
      <c r="FG115">
        <f t="shared" si="431"/>
        <v>5</v>
      </c>
      <c r="FI115" s="562">
        <f t="shared" si="432"/>
        <v>-50</v>
      </c>
      <c r="FJ115">
        <f t="shared" si="433"/>
        <v>-50</v>
      </c>
    </row>
    <row r="116" spans="5:166">
      <c r="E116" s="170">
        <v>6</v>
      </c>
      <c r="F116" s="217">
        <f t="shared" si="434"/>
        <v>0.06</v>
      </c>
      <c r="G116" s="217">
        <f t="shared" si="313"/>
        <v>6.0000000000000001E-3</v>
      </c>
      <c r="H116" s="217">
        <f t="shared" si="314"/>
        <v>1.44</v>
      </c>
      <c r="I116" s="217">
        <f t="shared" si="315"/>
        <v>0.108</v>
      </c>
      <c r="J116" s="541">
        <f t="shared" si="316"/>
        <v>8.901251807891633</v>
      </c>
      <c r="K116" s="443">
        <f t="shared" si="317"/>
        <v>16.489669472300989</v>
      </c>
      <c r="L116" s="172">
        <f t="shared" si="318"/>
        <v>25.390921280192622</v>
      </c>
      <c r="M116" s="443"/>
      <c r="N116" s="217">
        <f t="shared" si="319"/>
        <v>0.64943171184436421</v>
      </c>
      <c r="O116" s="172">
        <f t="shared" si="320"/>
        <v>29.874703871611391</v>
      </c>
      <c r="P116" s="172">
        <f t="shared" si="321"/>
        <v>2.4086479996486685</v>
      </c>
      <c r="Q116" s="217">
        <f t="shared" si="322"/>
        <v>1.244779327983808</v>
      </c>
      <c r="R116" s="217">
        <f t="shared" si="323"/>
        <v>1.6597057706450773</v>
      </c>
      <c r="S116" s="217">
        <f t="shared" si="324"/>
        <v>24</v>
      </c>
      <c r="T116" s="217">
        <f t="shared" si="325"/>
        <v>0.53557016226038945</v>
      </c>
      <c r="U116" s="217">
        <f t="shared" si="326"/>
        <v>0.60167959947562211</v>
      </c>
      <c r="V116" s="217">
        <f t="shared" si="327"/>
        <v>0.32479132656966192</v>
      </c>
      <c r="W116" s="197">
        <f t="shared" si="328"/>
        <v>260.13398396205616</v>
      </c>
      <c r="X116" s="443">
        <f t="shared" si="435"/>
        <v>350</v>
      </c>
      <c r="Z116" s="217">
        <f t="shared" si="329"/>
        <v>2.2222222222222223</v>
      </c>
      <c r="AA116" s="173">
        <f t="shared" si="330"/>
        <v>1.3476450974078444</v>
      </c>
      <c r="AB116" s="173">
        <f t="shared" si="331"/>
        <v>0.24168377074915673</v>
      </c>
      <c r="AC116" s="173"/>
      <c r="AD116" s="173">
        <f t="shared" si="332"/>
        <v>1.3476450974078444</v>
      </c>
      <c r="AE116" s="545">
        <f t="shared" si="333"/>
        <v>60.074807822625779</v>
      </c>
      <c r="AF116" s="528">
        <f t="shared" si="334"/>
        <v>0.25981005355534348</v>
      </c>
      <c r="AH116" s="173">
        <f t="shared" si="335"/>
        <v>0.94051657538367095</v>
      </c>
      <c r="AI116" s="173">
        <f t="shared" si="336"/>
        <v>2.2222222222222223</v>
      </c>
      <c r="AJ116" s="173">
        <f t="shared" si="337"/>
        <v>1.0343284616129291</v>
      </c>
      <c r="AL116" s="545">
        <f t="shared" si="338"/>
        <v>60</v>
      </c>
      <c r="AM116" s="460">
        <f t="shared" si="339"/>
        <v>60.074807822625779</v>
      </c>
      <c r="AO116" s="460">
        <f t="shared" si="340"/>
        <v>60</v>
      </c>
      <c r="AP116" s="460">
        <f t="shared" si="341"/>
        <v>60.074807822625779</v>
      </c>
      <c r="AR116" s="5">
        <f t="shared" si="275"/>
        <v>16.645912592056153</v>
      </c>
      <c r="AS116" s="5">
        <f t="shared" si="440"/>
        <v>2.496527758322773</v>
      </c>
      <c r="AT116" s="5">
        <f t="shared" si="441"/>
        <v>14.149384833733379</v>
      </c>
      <c r="AU116" s="173">
        <f t="shared" si="442"/>
        <v>0.14997842530509134</v>
      </c>
      <c r="AW116" s="5">
        <f t="shared" si="342"/>
        <v>0.62413193958069324</v>
      </c>
      <c r="AX116" s="5">
        <f t="shared" si="343"/>
        <v>8.3217591944092423E-2</v>
      </c>
      <c r="AY116" s="5">
        <f t="shared" si="344"/>
        <v>1.9075139280327573</v>
      </c>
      <c r="AZ116" s="5"/>
      <c r="BA116" s="173">
        <f t="shared" si="345"/>
        <v>0.49686825854126504</v>
      </c>
      <c r="BB116" s="173">
        <f t="shared" si="346"/>
        <v>0.78898303908127931</v>
      </c>
      <c r="BC116" s="173">
        <f t="shared" si="347"/>
        <v>7.900492323773349E-2</v>
      </c>
      <c r="BD116" s="173"/>
      <c r="BE116" s="528">
        <f t="shared" si="348"/>
        <v>9.8751226538331769E-3</v>
      </c>
      <c r="BF116" s="528">
        <f t="shared" si="349"/>
        <v>7.6267735817349552E-2</v>
      </c>
      <c r="BG116" s="528">
        <f t="shared" si="350"/>
        <v>2.1389639669595603E-2</v>
      </c>
      <c r="BH116" s="528">
        <f t="shared" si="351"/>
        <v>6.7777782672489737E-3</v>
      </c>
      <c r="BI116">
        <f t="shared" si="352"/>
        <v>4.0055633135512346E-3</v>
      </c>
      <c r="BJ116" s="460">
        <f t="shared" si="436"/>
        <v>25.395202983146838</v>
      </c>
      <c r="BK116">
        <f t="shared" si="353"/>
        <v>9.5811725699172706E-2</v>
      </c>
      <c r="BL116" s="460">
        <f t="shared" si="437"/>
        <v>118.31583972157854</v>
      </c>
      <c r="BM116" s="173">
        <f t="shared" si="354"/>
        <v>5.2079999999999994E-2</v>
      </c>
      <c r="BN116" s="173">
        <f t="shared" si="355"/>
        <v>5.208E-3</v>
      </c>
      <c r="BO116" s="528"/>
      <c r="BQ116" s="460">
        <f t="shared" si="356"/>
        <v>57.28799999999999</v>
      </c>
      <c r="BR116" s="528">
        <f t="shared" si="357"/>
        <v>7.4063419903748814E-3</v>
      </c>
      <c r="BS116" s="528">
        <f t="shared" si="358"/>
        <v>1.8674827078737945E-2</v>
      </c>
      <c r="BT116" s="528">
        <f t="shared" si="359"/>
        <v>3.1208889479000806E-5</v>
      </c>
      <c r="BU116" s="528">
        <f t="shared" si="360"/>
        <v>1.0296027535290245E-2</v>
      </c>
      <c r="BV116" s="528"/>
      <c r="BW116" s="625">
        <f t="shared" si="361"/>
        <v>5.933314352851931E-2</v>
      </c>
      <c r="BX116" s="460">
        <f t="shared" si="362"/>
        <v>95.741549022401401</v>
      </c>
      <c r="BY116" s="173">
        <f t="shared" si="363"/>
        <v>0.2713453887439799</v>
      </c>
      <c r="BZ116" s="5">
        <f t="shared" si="364"/>
        <v>1.548</v>
      </c>
      <c r="CA116" s="173">
        <f t="shared" si="365"/>
        <v>0.85085548328384841</v>
      </c>
      <c r="CB116" s="5">
        <f t="shared" si="366"/>
        <v>85.085548328384846</v>
      </c>
      <c r="CC116">
        <f t="shared" si="367"/>
        <v>6</v>
      </c>
      <c r="CE116" s="562">
        <f t="shared" si="368"/>
        <v>-50</v>
      </c>
      <c r="CF116">
        <f t="shared" si="369"/>
        <v>-50</v>
      </c>
      <c r="CG116" s="173">
        <f t="shared" si="370"/>
        <v>8.1289295618205276E-2</v>
      </c>
      <c r="CH116" s="173">
        <f t="shared" si="371"/>
        <v>2.2156712042980593E-2</v>
      </c>
      <c r="CI116" s="170">
        <v>6</v>
      </c>
      <c r="CJ116" s="217">
        <f t="shared" si="438"/>
        <v>0.06</v>
      </c>
      <c r="CK116" s="217">
        <f t="shared" si="372"/>
        <v>6.0000000000000001E-3</v>
      </c>
      <c r="CL116" s="217">
        <f t="shared" si="373"/>
        <v>1.44</v>
      </c>
      <c r="CM116" s="217">
        <f t="shared" si="374"/>
        <v>0.108</v>
      </c>
      <c r="CN116" s="541">
        <f t="shared" si="375"/>
        <v>9</v>
      </c>
      <c r="CO116" s="443">
        <f t="shared" si="376"/>
        <v>16.474900000000002</v>
      </c>
      <c r="CP116" s="443">
        <f t="shared" si="377"/>
        <v>25.474900000000002</v>
      </c>
      <c r="CQ116" s="443"/>
      <c r="CR116" s="217">
        <f t="shared" si="378"/>
        <v>0.64485133082098534</v>
      </c>
      <c r="CS116" s="172">
        <f t="shared" si="379"/>
        <v>29.993085154464438</v>
      </c>
      <c r="CT116" s="172">
        <f t="shared" si="380"/>
        <v>2.4181924905786953</v>
      </c>
      <c r="CU116" s="217">
        <f t="shared" si="381"/>
        <v>1.2497118814360182</v>
      </c>
      <c r="CV116" s="217">
        <f t="shared" si="382"/>
        <v>1.6662825085813577</v>
      </c>
      <c r="CW116" s="217">
        <f t="shared" si="383"/>
        <v>24</v>
      </c>
      <c r="CX116" s="217">
        <f t="shared" si="384"/>
        <v>0.53345629226203217</v>
      </c>
      <c r="CY116" s="217">
        <f t="shared" si="385"/>
        <v>0.59272921362448028</v>
      </c>
      <c r="CZ116" s="217">
        <f t="shared" si="386"/>
        <v>0.32379941138461066</v>
      </c>
      <c r="DA116" s="197">
        <f t="shared" si="387"/>
        <v>261.91798593910079</v>
      </c>
      <c r="DB116" s="443">
        <f t="shared" si="388"/>
        <v>350</v>
      </c>
      <c r="DD116" s="217">
        <f t="shared" si="389"/>
        <v>2.2222222222222228</v>
      </c>
      <c r="DE116" s="173">
        <f t="shared" si="390"/>
        <v>1.3488532386977905</v>
      </c>
      <c r="DF116" s="173">
        <f t="shared" si="391"/>
        <v>0.24355939229558116</v>
      </c>
      <c r="DG116" s="173"/>
      <c r="DH116" s="173">
        <f t="shared" si="392"/>
        <v>1.3488532386977903</v>
      </c>
      <c r="DI116" s="545">
        <f t="shared" si="393"/>
        <v>60.020999999999979</v>
      </c>
      <c r="DJ116" s="528">
        <f t="shared" si="394"/>
        <v>0.26182634671774968</v>
      </c>
      <c r="DL116" s="173">
        <f t="shared" si="395"/>
        <v>0.94051657538367095</v>
      </c>
      <c r="DM116" s="173">
        <f t="shared" si="396"/>
        <v>2.2222222222222223</v>
      </c>
      <c r="DN116" s="173">
        <f t="shared" si="397"/>
        <v>1.0342977142857144</v>
      </c>
      <c r="DP116" s="545">
        <f t="shared" si="398"/>
        <v>60</v>
      </c>
      <c r="DQ116" s="460">
        <f t="shared" si="399"/>
        <v>60.020999999999979</v>
      </c>
      <c r="DS116" s="460">
        <f t="shared" si="400"/>
        <v>60</v>
      </c>
      <c r="DT116" s="460">
        <f t="shared" si="401"/>
        <v>60.020999999999979</v>
      </c>
      <c r="DV116" s="5">
        <f t="shared" si="402"/>
        <v>16.660835374285671</v>
      </c>
      <c r="DW116" s="5">
        <f t="shared" si="403"/>
        <v>2.4691358024691361</v>
      </c>
      <c r="DX116" s="5">
        <f t="shared" si="404"/>
        <v>14.191699571816535</v>
      </c>
      <c r="DY116" s="173">
        <f t="shared" si="405"/>
        <v>0.14819999999999997</v>
      </c>
      <c r="EA116" s="5">
        <f t="shared" si="406"/>
        <v>0.61728395061728403</v>
      </c>
      <c r="EB116" s="5">
        <f t="shared" si="407"/>
        <v>8.2304526748971193E-2</v>
      </c>
      <c r="EC116" s="5">
        <f t="shared" si="408"/>
        <v>1.8922266095755378</v>
      </c>
      <c r="ED116" s="5"/>
      <c r="EE116" s="173">
        <f t="shared" si="409"/>
        <v>0.49391357268650821</v>
      </c>
      <c r="EF116" s="173">
        <f t="shared" si="410"/>
        <v>0.78980796770077055</v>
      </c>
      <c r="EG116" s="173">
        <f t="shared" si="411"/>
        <v>7.9087527576523098E-2</v>
      </c>
      <c r="EH116" s="173"/>
      <c r="EI116" s="528">
        <f t="shared" si="412"/>
        <v>9.7580246913580252E-3</v>
      </c>
      <c r="EJ116" s="528">
        <f t="shared" si="413"/>
        <v>9.3440659454999977E-2</v>
      </c>
      <c r="EK116" s="528">
        <f t="shared" si="414"/>
        <v>1.2004199999999996E-2</v>
      </c>
      <c r="EL116" s="528">
        <f t="shared" si="415"/>
        <v>6.8165755318027842E-3</v>
      </c>
      <c r="EM116">
        <f t="shared" si="416"/>
        <v>4.0499999999999998E-3</v>
      </c>
      <c r="EN116" s="460">
        <f t="shared" si="417"/>
        <v>16.054199999999998</v>
      </c>
      <c r="EP116" s="460">
        <f t="shared" si="439"/>
        <v>126.0694596781608</v>
      </c>
      <c r="EQ116" s="173">
        <f t="shared" si="418"/>
        <v>4.1999999999999996E-2</v>
      </c>
      <c r="ER116" s="173">
        <f t="shared" si="419"/>
        <v>3.7200000000000002E-3</v>
      </c>
      <c r="ES116" s="528"/>
      <c r="EU116" s="460">
        <f t="shared" si="420"/>
        <v>45.72</v>
      </c>
      <c r="EV116" s="528">
        <f t="shared" si="421"/>
        <v>7.3185185185185185E-3</v>
      </c>
      <c r="EW116" s="528">
        <f t="shared" si="422"/>
        <v>1.871389877530864E-2</v>
      </c>
      <c r="EX116" s="528">
        <f t="shared" si="423"/>
        <v>3.1274185090836503E-5</v>
      </c>
      <c r="EY116" s="528">
        <f t="shared" si="424"/>
        <v>1.0272988147431845E-2</v>
      </c>
      <c r="EZ116" s="528"/>
      <c r="FA116" s="625">
        <f t="shared" si="425"/>
        <v>5.9279999999999992E-2</v>
      </c>
      <c r="FB116" s="460">
        <f t="shared" si="426"/>
        <v>95.61667962634985</v>
      </c>
      <c r="FC116" s="173">
        <f t="shared" si="427"/>
        <v>0.26740613930451063</v>
      </c>
      <c r="FD116" s="5">
        <f t="shared" si="428"/>
        <v>1.548</v>
      </c>
      <c r="FE116" s="173">
        <f t="shared" si="429"/>
        <v>0.85270175443663809</v>
      </c>
      <c r="FF116" s="5">
        <f t="shared" si="430"/>
        <v>85.270175443663803</v>
      </c>
      <c r="FG116">
        <f t="shared" si="431"/>
        <v>6</v>
      </c>
      <c r="FI116" s="562">
        <f t="shared" si="432"/>
        <v>-50</v>
      </c>
      <c r="FJ116">
        <f t="shared" si="433"/>
        <v>-50</v>
      </c>
    </row>
    <row r="117" spans="5:166">
      <c r="E117" s="170">
        <v>7</v>
      </c>
      <c r="F117" s="217">
        <f t="shared" si="434"/>
        <v>7.0000000000000007E-2</v>
      </c>
      <c r="G117" s="217">
        <f t="shared" si="313"/>
        <v>7.000000000000001E-3</v>
      </c>
      <c r="H117" s="217">
        <f t="shared" si="314"/>
        <v>1.6800000000000002</v>
      </c>
      <c r="I117" s="217">
        <f t="shared" si="315"/>
        <v>0.12600000000000003</v>
      </c>
      <c r="J117" s="541">
        <f t="shared" si="316"/>
        <v>8.901251807891633</v>
      </c>
      <c r="K117" s="443">
        <f t="shared" si="317"/>
        <v>16.489669472300989</v>
      </c>
      <c r="L117" s="172">
        <f t="shared" si="318"/>
        <v>25.390921280192622</v>
      </c>
      <c r="M117" s="443"/>
      <c r="N117" s="217">
        <f t="shared" si="319"/>
        <v>0.64943171184436421</v>
      </c>
      <c r="O117" s="172">
        <f t="shared" si="320"/>
        <v>29.874703871611391</v>
      </c>
      <c r="P117" s="172">
        <f t="shared" si="321"/>
        <v>2.4086479996486685</v>
      </c>
      <c r="Q117" s="217">
        <f t="shared" si="322"/>
        <v>1.244779327983808</v>
      </c>
      <c r="R117" s="217">
        <f t="shared" si="323"/>
        <v>1.6597057706450773</v>
      </c>
      <c r="S117" s="217">
        <f t="shared" si="324"/>
        <v>24</v>
      </c>
      <c r="T117" s="217">
        <f t="shared" si="325"/>
        <v>0.62483185597045443</v>
      </c>
      <c r="U117" s="217">
        <f t="shared" si="326"/>
        <v>0.70195953272155931</v>
      </c>
      <c r="V117" s="217">
        <f t="shared" si="327"/>
        <v>0.3789232143312723</v>
      </c>
      <c r="W117" s="197">
        <f t="shared" si="328"/>
        <v>260.13398396205616</v>
      </c>
      <c r="X117" s="443">
        <f t="shared" si="435"/>
        <v>350</v>
      </c>
      <c r="Z117" s="217">
        <f t="shared" si="329"/>
        <v>2.2222222222222223</v>
      </c>
      <c r="AA117" s="173">
        <f t="shared" si="330"/>
        <v>1.3476450974078444</v>
      </c>
      <c r="AB117" s="173">
        <f t="shared" si="331"/>
        <v>0.24168377074915673</v>
      </c>
      <c r="AC117" s="173"/>
      <c r="AD117" s="173">
        <f t="shared" si="332"/>
        <v>1.3476450974078444</v>
      </c>
      <c r="AE117" s="545">
        <f t="shared" si="333"/>
        <v>70.087275793063412</v>
      </c>
      <c r="AF117" s="528">
        <f t="shared" si="334"/>
        <v>0.25981005355534348</v>
      </c>
      <c r="AH117" s="173">
        <f t="shared" si="335"/>
        <v>1.0158740079360236</v>
      </c>
      <c r="AI117" s="173">
        <f t="shared" si="336"/>
        <v>2.2222222222222223</v>
      </c>
      <c r="AJ117" s="173">
        <f t="shared" si="337"/>
        <v>1.0400498718817506</v>
      </c>
      <c r="AL117" s="545">
        <f t="shared" si="338"/>
        <v>70</v>
      </c>
      <c r="AM117" s="460">
        <f t="shared" si="339"/>
        <v>70.087275793063412</v>
      </c>
      <c r="AO117" s="460">
        <f t="shared" si="340"/>
        <v>70</v>
      </c>
      <c r="AP117" s="460">
        <f t="shared" si="341"/>
        <v>70.087275793063412</v>
      </c>
      <c r="AR117" s="5">
        <f t="shared" si="275"/>
        <v>14.267925078905273</v>
      </c>
      <c r="AS117" s="5">
        <f t="shared" si="440"/>
        <v>2.496527758322773</v>
      </c>
      <c r="AT117" s="5">
        <f t="shared" si="441"/>
        <v>11.771397320582501</v>
      </c>
      <c r="AU117" s="173">
        <f t="shared" si="442"/>
        <v>0.17497482952260657</v>
      </c>
      <c r="AW117" s="5">
        <f t="shared" si="342"/>
        <v>0.72815392951080882</v>
      </c>
      <c r="AX117" s="5">
        <f t="shared" si="343"/>
        <v>9.7087190601441192E-2</v>
      </c>
      <c r="AY117" s="5">
        <f t="shared" si="344"/>
        <v>1.8514200704000727</v>
      </c>
      <c r="AZ117" s="5"/>
      <c r="BA117" s="173">
        <f t="shared" si="345"/>
        <v>0.53667905747923583</v>
      </c>
      <c r="BB117" s="173">
        <f t="shared" si="346"/>
        <v>0.77729574805744073</v>
      </c>
      <c r="BC117" s="173">
        <f t="shared" si="347"/>
        <v>7.7834614771697772E-2</v>
      </c>
      <c r="BD117" s="173"/>
      <c r="BE117" s="528">
        <f t="shared" si="348"/>
        <v>1.1520976429472037E-2</v>
      </c>
      <c r="BF117" s="528">
        <f t="shared" si="349"/>
        <v>8.8979025120241154E-2</v>
      </c>
      <c r="BG117" s="528">
        <f t="shared" si="350"/>
        <v>2.4954579614528207E-2</v>
      </c>
      <c r="BH117" s="528">
        <f t="shared" si="351"/>
        <v>7.9074079784571365E-3</v>
      </c>
      <c r="BI117">
        <f t="shared" si="352"/>
        <v>4.0055633135512346E-3</v>
      </c>
      <c r="BJ117" s="460">
        <f t="shared" si="436"/>
        <v>28.960142928079442</v>
      </c>
      <c r="BK117">
        <f t="shared" si="353"/>
        <v>0.111824178882173</v>
      </c>
      <c r="BL117" s="460">
        <f t="shared" si="437"/>
        <v>137.36755245624977</v>
      </c>
      <c r="BM117" s="173">
        <f t="shared" si="354"/>
        <v>6.0760000000000002E-2</v>
      </c>
      <c r="BN117" s="173">
        <f t="shared" si="355"/>
        <v>6.0760000000000007E-3</v>
      </c>
      <c r="BO117" s="528"/>
      <c r="BQ117" s="460">
        <f t="shared" si="356"/>
        <v>66.836000000000013</v>
      </c>
      <c r="BR117" s="528">
        <f t="shared" si="357"/>
        <v>8.6407323221040274E-3</v>
      </c>
      <c r="BS117" s="528">
        <f t="shared" si="358"/>
        <v>1.8125660398445289E-2</v>
      </c>
      <c r="BT117" s="528">
        <f t="shared" si="359"/>
        <v>3.0291136283292965E-5</v>
      </c>
      <c r="BU117" s="528">
        <f t="shared" si="360"/>
        <v>1.5136890506084714E-2</v>
      </c>
      <c r="BV117" s="528"/>
      <c r="BW117" s="625">
        <f t="shared" si="361"/>
        <v>6.9222000783272536E-2</v>
      </c>
      <c r="BX117" s="460">
        <f t="shared" si="362"/>
        <v>111.15557514618986</v>
      </c>
      <c r="BY117" s="173">
        <f t="shared" si="363"/>
        <v>0.31535912760243967</v>
      </c>
      <c r="BZ117" s="5">
        <f t="shared" si="364"/>
        <v>1.8060000000000003</v>
      </c>
      <c r="CA117" s="173">
        <f t="shared" si="365"/>
        <v>0.85134099950400277</v>
      </c>
      <c r="CB117" s="5">
        <f t="shared" si="366"/>
        <v>85.134099950400284</v>
      </c>
      <c r="CC117">
        <f t="shared" si="367"/>
        <v>7.0000000000000009</v>
      </c>
      <c r="CE117" s="562">
        <f t="shared" si="368"/>
        <v>-50</v>
      </c>
      <c r="CF117">
        <f t="shared" si="369"/>
        <v>-50</v>
      </c>
      <c r="CG117" s="173">
        <f t="shared" si="370"/>
        <v>9.4837511554572818E-2</v>
      </c>
      <c r="CH117" s="173">
        <f t="shared" si="371"/>
        <v>2.5849497383477367E-2</v>
      </c>
      <c r="CI117" s="170">
        <v>7</v>
      </c>
      <c r="CJ117" s="217">
        <f t="shared" si="438"/>
        <v>7.0000000000000007E-2</v>
      </c>
      <c r="CK117" s="217">
        <f t="shared" si="372"/>
        <v>7.000000000000001E-3</v>
      </c>
      <c r="CL117" s="217">
        <f t="shared" si="373"/>
        <v>1.6800000000000002</v>
      </c>
      <c r="CM117" s="217">
        <f t="shared" si="374"/>
        <v>0.12600000000000003</v>
      </c>
      <c r="CN117" s="541">
        <f t="shared" si="375"/>
        <v>9</v>
      </c>
      <c r="CO117" s="443">
        <f t="shared" si="376"/>
        <v>16.474900000000002</v>
      </c>
      <c r="CP117" s="443">
        <f t="shared" si="377"/>
        <v>25.474900000000002</v>
      </c>
      <c r="CQ117" s="443"/>
      <c r="CR117" s="217">
        <f t="shared" si="378"/>
        <v>0.64485133082098534</v>
      </c>
      <c r="CS117" s="172">
        <f t="shared" si="379"/>
        <v>29.993085154464438</v>
      </c>
      <c r="CT117" s="172">
        <f t="shared" si="380"/>
        <v>2.4181924905786953</v>
      </c>
      <c r="CU117" s="217">
        <f t="shared" si="381"/>
        <v>1.2497118814360182</v>
      </c>
      <c r="CV117" s="217">
        <f t="shared" si="382"/>
        <v>1.6662825085813577</v>
      </c>
      <c r="CW117" s="217">
        <f t="shared" si="383"/>
        <v>24</v>
      </c>
      <c r="CX117" s="217">
        <f t="shared" si="384"/>
        <v>0.62236567430570433</v>
      </c>
      <c r="CY117" s="217">
        <f t="shared" si="385"/>
        <v>0.69151741589522719</v>
      </c>
      <c r="CZ117" s="217">
        <f t="shared" si="386"/>
        <v>0.37776597994871247</v>
      </c>
      <c r="DA117" s="197">
        <f t="shared" si="387"/>
        <v>261.91798593910079</v>
      </c>
      <c r="DB117" s="443">
        <f t="shared" si="388"/>
        <v>350</v>
      </c>
      <c r="DD117" s="217">
        <f t="shared" si="389"/>
        <v>2.2222222222222228</v>
      </c>
      <c r="DE117" s="173">
        <f t="shared" si="390"/>
        <v>1.3488532386977905</v>
      </c>
      <c r="DF117" s="173">
        <f t="shared" si="391"/>
        <v>0.24355939229558116</v>
      </c>
      <c r="DG117" s="173"/>
      <c r="DH117" s="173">
        <f t="shared" si="392"/>
        <v>1.3488532386977903</v>
      </c>
      <c r="DI117" s="545">
        <f t="shared" si="393"/>
        <v>70.024499999999989</v>
      </c>
      <c r="DJ117" s="528">
        <f t="shared" si="394"/>
        <v>0.26182634671774968</v>
      </c>
      <c r="DL117" s="173">
        <f t="shared" si="395"/>
        <v>1.0158740079360236</v>
      </c>
      <c r="DM117" s="173">
        <f t="shared" si="396"/>
        <v>2.2222222222222223</v>
      </c>
      <c r="DN117" s="173">
        <f t="shared" si="397"/>
        <v>1.040014</v>
      </c>
      <c r="DP117" s="545">
        <f t="shared" si="398"/>
        <v>70</v>
      </c>
      <c r="DQ117" s="460">
        <f t="shared" si="399"/>
        <v>70.024499999999989</v>
      </c>
      <c r="DS117" s="460">
        <f t="shared" si="400"/>
        <v>70</v>
      </c>
      <c r="DT117" s="460">
        <f t="shared" si="401"/>
        <v>70.024499999999989</v>
      </c>
      <c r="DV117" s="5">
        <f t="shared" si="402"/>
        <v>14.280716035102001</v>
      </c>
      <c r="DW117" s="5">
        <f t="shared" si="403"/>
        <v>2.4691358024691361</v>
      </c>
      <c r="DX117" s="5">
        <f t="shared" si="404"/>
        <v>11.811580232632865</v>
      </c>
      <c r="DY117" s="173">
        <f t="shared" si="405"/>
        <v>0.1729</v>
      </c>
      <c r="EA117" s="5">
        <f t="shared" si="406"/>
        <v>0.72016460905349811</v>
      </c>
      <c r="EB117" s="5">
        <f t="shared" si="407"/>
        <v>9.6021947873799751E-2</v>
      </c>
      <c r="EC117" s="5">
        <f t="shared" si="408"/>
        <v>1.8373569250762232</v>
      </c>
      <c r="ED117" s="5"/>
      <c r="EE117" s="173">
        <f t="shared" si="409"/>
        <v>0.53348763200091376</v>
      </c>
      <c r="EF117" s="173">
        <f t="shared" si="410"/>
        <v>0.77827253248127348</v>
      </c>
      <c r="EG117" s="173">
        <f t="shared" si="411"/>
        <v>7.7932425211976172E-2</v>
      </c>
      <c r="EH117" s="173"/>
      <c r="EI117" s="528">
        <f t="shared" si="412"/>
        <v>1.1384362139917694E-2</v>
      </c>
      <c r="EJ117" s="528">
        <f t="shared" si="413"/>
        <v>0.1090141026975</v>
      </c>
      <c r="EK117" s="528">
        <f t="shared" si="414"/>
        <v>1.4004899999999997E-2</v>
      </c>
      <c r="EL117" s="528">
        <f t="shared" si="415"/>
        <v>7.9526714537699172E-3</v>
      </c>
      <c r="EM117">
        <f t="shared" si="416"/>
        <v>4.0499999999999998E-3</v>
      </c>
      <c r="EN117" s="460">
        <f t="shared" si="417"/>
        <v>18.0549</v>
      </c>
      <c r="EP117" s="460">
        <f t="shared" si="439"/>
        <v>146.4060362911876</v>
      </c>
      <c r="EQ117" s="173">
        <f t="shared" si="418"/>
        <v>4.9000000000000002E-2</v>
      </c>
      <c r="ER117" s="173">
        <f t="shared" si="419"/>
        <v>4.340000000000001E-3</v>
      </c>
      <c r="ES117" s="528"/>
      <c r="EU117" s="460">
        <f t="shared" si="420"/>
        <v>53.34</v>
      </c>
      <c r="EV117" s="528">
        <f t="shared" si="421"/>
        <v>8.5382716049382697E-3</v>
      </c>
      <c r="EW117" s="528">
        <f t="shared" si="422"/>
        <v>1.8171244044444448E-2</v>
      </c>
      <c r="EX117" s="528">
        <f t="shared" si="423"/>
        <v>3.03673144971013E-5</v>
      </c>
      <c r="EY117" s="528">
        <f t="shared" si="424"/>
        <v>1.5103018734652016E-2</v>
      </c>
      <c r="EZ117" s="528"/>
      <c r="FA117" s="625">
        <f t="shared" si="425"/>
        <v>6.9160000000000013E-2</v>
      </c>
      <c r="FB117" s="460">
        <f t="shared" si="426"/>
        <v>111.00290169853184</v>
      </c>
      <c r="FC117" s="173">
        <f t="shared" si="427"/>
        <v>0.31074893798971942</v>
      </c>
      <c r="FD117" s="5">
        <f t="shared" si="428"/>
        <v>1.8060000000000003</v>
      </c>
      <c r="FE117" s="173">
        <f t="shared" si="429"/>
        <v>0.85319518417482321</v>
      </c>
      <c r="FF117" s="5">
        <f t="shared" si="430"/>
        <v>85.319518417482314</v>
      </c>
      <c r="FG117">
        <f t="shared" si="431"/>
        <v>7.0000000000000009</v>
      </c>
      <c r="FI117" s="562">
        <f t="shared" si="432"/>
        <v>-50</v>
      </c>
      <c r="FJ117">
        <f t="shared" si="433"/>
        <v>-50</v>
      </c>
    </row>
    <row r="118" spans="5:166">
      <c r="E118" s="170">
        <v>8</v>
      </c>
      <c r="F118" s="217">
        <f t="shared" si="434"/>
        <v>0.08</v>
      </c>
      <c r="G118" s="217">
        <f t="shared" si="313"/>
        <v>8.0000000000000002E-3</v>
      </c>
      <c r="H118" s="217">
        <f t="shared" si="314"/>
        <v>1.92</v>
      </c>
      <c r="I118" s="217">
        <f t="shared" si="315"/>
        <v>0.14400000000000002</v>
      </c>
      <c r="J118" s="541">
        <f t="shared" si="316"/>
        <v>8.901251807891633</v>
      </c>
      <c r="K118" s="443">
        <f t="shared" si="317"/>
        <v>16.489669472300989</v>
      </c>
      <c r="L118" s="172">
        <f t="shared" si="318"/>
        <v>25.390921280192622</v>
      </c>
      <c r="M118" s="443"/>
      <c r="N118" s="217">
        <f t="shared" si="319"/>
        <v>0.64943171184436421</v>
      </c>
      <c r="O118" s="172">
        <f t="shared" si="320"/>
        <v>29.874703871611391</v>
      </c>
      <c r="P118" s="172">
        <f t="shared" si="321"/>
        <v>2.4086479996486685</v>
      </c>
      <c r="Q118" s="217">
        <f t="shared" si="322"/>
        <v>1.244779327983808</v>
      </c>
      <c r="R118" s="217">
        <f t="shared" si="323"/>
        <v>1.6597057706450773</v>
      </c>
      <c r="S118" s="217">
        <f t="shared" si="324"/>
        <v>24</v>
      </c>
      <c r="T118" s="217">
        <f t="shared" si="325"/>
        <v>0.7140935496805193</v>
      </c>
      <c r="U118" s="217">
        <f t="shared" si="326"/>
        <v>0.80223946596749618</v>
      </c>
      <c r="V118" s="217">
        <f t="shared" si="327"/>
        <v>0.43305510209288256</v>
      </c>
      <c r="W118" s="197">
        <f t="shared" si="328"/>
        <v>260.13398396205616</v>
      </c>
      <c r="X118" s="443">
        <f t="shared" si="435"/>
        <v>350</v>
      </c>
      <c r="Z118" s="217">
        <f t="shared" si="329"/>
        <v>2.2222222222222223</v>
      </c>
      <c r="AA118" s="173">
        <f t="shared" si="330"/>
        <v>1.3476450974078444</v>
      </c>
      <c r="AB118" s="173">
        <f t="shared" si="331"/>
        <v>0.24168377074915673</v>
      </c>
      <c r="AC118" s="173"/>
      <c r="AD118" s="173">
        <f t="shared" si="332"/>
        <v>1.3476450974078444</v>
      </c>
      <c r="AE118" s="545">
        <f t="shared" si="333"/>
        <v>80.099743763501024</v>
      </c>
      <c r="AF118" s="528">
        <f t="shared" si="334"/>
        <v>0.25981005355534348</v>
      </c>
      <c r="AH118" s="173">
        <f t="shared" si="335"/>
        <v>1.0860149959501348</v>
      </c>
      <c r="AI118" s="173">
        <f t="shared" si="336"/>
        <v>2.2222222222222223</v>
      </c>
      <c r="AJ118" s="173">
        <f t="shared" si="337"/>
        <v>1.045771282150572</v>
      </c>
      <c r="AL118" s="545">
        <f t="shared" si="338"/>
        <v>80</v>
      </c>
      <c r="AM118" s="460">
        <f t="shared" si="339"/>
        <v>80.099743763501024</v>
      </c>
      <c r="AO118" s="460">
        <f t="shared" si="340"/>
        <v>80</v>
      </c>
      <c r="AP118" s="460">
        <f t="shared" si="341"/>
        <v>80.099743763501024</v>
      </c>
      <c r="AR118" s="5">
        <f t="shared" si="275"/>
        <v>12.484434444042119</v>
      </c>
      <c r="AS118" s="5">
        <f t="shared" si="440"/>
        <v>2.496527758322773</v>
      </c>
      <c r="AT118" s="5">
        <f t="shared" si="441"/>
        <v>9.987906685719345</v>
      </c>
      <c r="AU118" s="173">
        <f t="shared" si="442"/>
        <v>0.19997123374012171</v>
      </c>
      <c r="AW118" s="5">
        <f t="shared" si="342"/>
        <v>0.83217591944092428</v>
      </c>
      <c r="AX118" s="5">
        <f t="shared" si="343"/>
        <v>0.11095678925878992</v>
      </c>
      <c r="AY118" s="5">
        <f t="shared" si="344"/>
        <v>1.7953262127673879</v>
      </c>
      <c r="AZ118" s="5"/>
      <c r="BA118" s="173">
        <f t="shared" si="345"/>
        <v>0.57373404564115971</v>
      </c>
      <c r="BB118" s="173">
        <f t="shared" si="346"/>
        <v>0.76543002550097383</v>
      </c>
      <c r="BC118" s="173">
        <f t="shared" si="347"/>
        <v>7.6646439040029934E-2</v>
      </c>
      <c r="BD118" s="173"/>
      <c r="BE118" s="528">
        <f t="shared" si="348"/>
        <v>1.3166830205110893E-2</v>
      </c>
      <c r="BF118" s="528">
        <f t="shared" si="349"/>
        <v>0.1016903144231327</v>
      </c>
      <c r="BG118" s="528">
        <f t="shared" si="350"/>
        <v>2.8519519559460801E-2</v>
      </c>
      <c r="BH118" s="528">
        <f t="shared" si="351"/>
        <v>9.0370376896652983E-3</v>
      </c>
      <c r="BI118">
        <f t="shared" si="352"/>
        <v>4.0055633135512346E-3</v>
      </c>
      <c r="BJ118" s="460">
        <f t="shared" si="436"/>
        <v>32.525082873012032</v>
      </c>
      <c r="BK118">
        <f t="shared" si="353"/>
        <v>0.12784919486229823</v>
      </c>
      <c r="BL118" s="460">
        <f t="shared" si="437"/>
        <v>156.41926519092092</v>
      </c>
      <c r="BM118" s="173">
        <f t="shared" si="354"/>
        <v>6.9439999999999988E-2</v>
      </c>
      <c r="BN118" s="173">
        <f t="shared" si="355"/>
        <v>6.9439999999999997E-3</v>
      </c>
      <c r="BO118" s="528"/>
      <c r="BQ118" s="460">
        <f t="shared" si="356"/>
        <v>76.384</v>
      </c>
      <c r="BR118" s="528">
        <f t="shared" si="357"/>
        <v>9.87512265383317E-3</v>
      </c>
      <c r="BS118" s="528">
        <f t="shared" si="358"/>
        <v>1.7576493718152644E-2</v>
      </c>
      <c r="BT118" s="528">
        <f t="shared" si="359"/>
        <v>2.9373383087585127E-5</v>
      </c>
      <c r="BU118" s="528">
        <f t="shared" si="360"/>
        <v>2.113569517896401E-2</v>
      </c>
      <c r="BV118" s="528"/>
      <c r="BW118" s="625">
        <f t="shared" si="361"/>
        <v>7.9110858038025728E-2</v>
      </c>
      <c r="BX118" s="460">
        <f t="shared" si="362"/>
        <v>127.72754297206312</v>
      </c>
      <c r="BY118" s="173">
        <f t="shared" si="363"/>
        <v>0.360530808162984</v>
      </c>
      <c r="BZ118" s="5">
        <f t="shared" si="364"/>
        <v>2.0640000000000001</v>
      </c>
      <c r="CA118" s="173">
        <f t="shared" si="365"/>
        <v>0.85129873089294728</v>
      </c>
      <c r="CB118" s="5">
        <f t="shared" si="366"/>
        <v>85.129873089294733</v>
      </c>
      <c r="CC118">
        <f t="shared" si="367"/>
        <v>8</v>
      </c>
      <c r="CE118" s="562">
        <f t="shared" si="368"/>
        <v>-50</v>
      </c>
      <c r="CF118">
        <f t="shared" si="369"/>
        <v>-50</v>
      </c>
      <c r="CG118" s="173">
        <f t="shared" si="370"/>
        <v>0.10838572749094036</v>
      </c>
      <c r="CH118" s="173">
        <f t="shared" si="371"/>
        <v>2.954228272397413E-2</v>
      </c>
      <c r="CI118" s="170">
        <v>8</v>
      </c>
      <c r="CJ118" s="217">
        <f t="shared" si="438"/>
        <v>0.08</v>
      </c>
      <c r="CK118" s="217">
        <f t="shared" si="372"/>
        <v>8.0000000000000002E-3</v>
      </c>
      <c r="CL118" s="217">
        <f t="shared" si="373"/>
        <v>1.92</v>
      </c>
      <c r="CM118" s="217">
        <f t="shared" si="374"/>
        <v>0.14400000000000002</v>
      </c>
      <c r="CN118" s="541">
        <f t="shared" si="375"/>
        <v>9</v>
      </c>
      <c r="CO118" s="443">
        <f t="shared" si="376"/>
        <v>16.474900000000002</v>
      </c>
      <c r="CP118" s="443">
        <f t="shared" si="377"/>
        <v>25.474900000000002</v>
      </c>
      <c r="CQ118" s="443"/>
      <c r="CR118" s="217">
        <f t="shared" si="378"/>
        <v>0.64485133082098534</v>
      </c>
      <c r="CS118" s="172">
        <f t="shared" si="379"/>
        <v>29.993085154464438</v>
      </c>
      <c r="CT118" s="172">
        <f t="shared" si="380"/>
        <v>2.4181924905786953</v>
      </c>
      <c r="CU118" s="217">
        <f t="shared" si="381"/>
        <v>1.2497118814360182</v>
      </c>
      <c r="CV118" s="217">
        <f t="shared" si="382"/>
        <v>1.6662825085813577</v>
      </c>
      <c r="CW118" s="217">
        <f t="shared" si="383"/>
        <v>24</v>
      </c>
      <c r="CX118" s="217">
        <f t="shared" si="384"/>
        <v>0.71127505634937627</v>
      </c>
      <c r="CY118" s="217">
        <f t="shared" si="385"/>
        <v>0.79030561816597367</v>
      </c>
      <c r="CZ118" s="217">
        <f t="shared" si="386"/>
        <v>0.43173254851281417</v>
      </c>
      <c r="DA118" s="197">
        <f t="shared" si="387"/>
        <v>261.91798593910079</v>
      </c>
      <c r="DB118" s="443">
        <f t="shared" si="388"/>
        <v>350</v>
      </c>
      <c r="DD118" s="217">
        <f t="shared" si="389"/>
        <v>2.2222222222222228</v>
      </c>
      <c r="DE118" s="173">
        <f t="shared" si="390"/>
        <v>1.3488532386977905</v>
      </c>
      <c r="DF118" s="173">
        <f t="shared" si="391"/>
        <v>0.24355939229558116</v>
      </c>
      <c r="DG118" s="173"/>
      <c r="DH118" s="173">
        <f t="shared" si="392"/>
        <v>1.3488532386977903</v>
      </c>
      <c r="DI118" s="545">
        <f t="shared" si="393"/>
        <v>80.027999999999977</v>
      </c>
      <c r="DJ118" s="528">
        <f t="shared" si="394"/>
        <v>0.26182634671774968</v>
      </c>
      <c r="DL118" s="173">
        <f t="shared" si="395"/>
        <v>1.0860149959501348</v>
      </c>
      <c r="DM118" s="173">
        <f t="shared" si="396"/>
        <v>2.2222222222222223</v>
      </c>
      <c r="DN118" s="173">
        <f t="shared" si="397"/>
        <v>1.0457302857142856</v>
      </c>
      <c r="DP118" s="545">
        <f t="shared" si="398"/>
        <v>80</v>
      </c>
      <c r="DQ118" s="460">
        <f t="shared" si="399"/>
        <v>80.027999999999977</v>
      </c>
      <c r="DS118" s="460">
        <f t="shared" si="400"/>
        <v>80</v>
      </c>
      <c r="DT118" s="460">
        <f t="shared" si="401"/>
        <v>80.027999999999977</v>
      </c>
      <c r="DV118" s="5">
        <f t="shared" si="402"/>
        <v>12.495626530714253</v>
      </c>
      <c r="DW118" s="5">
        <f t="shared" si="403"/>
        <v>2.4691358024691361</v>
      </c>
      <c r="DX118" s="5">
        <f t="shared" si="404"/>
        <v>10.026490728245117</v>
      </c>
      <c r="DY118" s="173">
        <f t="shared" si="405"/>
        <v>0.19759999999999997</v>
      </c>
      <c r="EA118" s="5">
        <f t="shared" si="406"/>
        <v>0.82304526748971207</v>
      </c>
      <c r="EB118" s="5">
        <f t="shared" si="407"/>
        <v>0.10973936899862827</v>
      </c>
      <c r="EC118" s="5">
        <f t="shared" si="408"/>
        <v>1.7824872405769092</v>
      </c>
      <c r="ED118" s="5"/>
      <c r="EE118" s="173">
        <f t="shared" si="409"/>
        <v>0.57032226829393062</v>
      </c>
      <c r="EF118" s="173">
        <f t="shared" si="410"/>
        <v>0.76656352886503054</v>
      </c>
      <c r="EG118" s="173">
        <f t="shared" si="411"/>
        <v>7.675994255256588E-2</v>
      </c>
      <c r="EH118" s="173"/>
      <c r="EI118" s="528">
        <f t="shared" si="412"/>
        <v>1.3010699588477368E-2</v>
      </c>
      <c r="EJ118" s="528">
        <f t="shared" si="413"/>
        <v>0.12458754594</v>
      </c>
      <c r="EK118" s="528">
        <f t="shared" si="414"/>
        <v>1.6005599999999995E-2</v>
      </c>
      <c r="EL118" s="528">
        <f t="shared" si="415"/>
        <v>9.088767375737045E-3</v>
      </c>
      <c r="EM118">
        <f t="shared" si="416"/>
        <v>4.0499999999999998E-3</v>
      </c>
      <c r="EN118" s="460">
        <f t="shared" si="417"/>
        <v>20.055599999999991</v>
      </c>
      <c r="EP118" s="460">
        <f t="shared" si="439"/>
        <v>166.74261290421444</v>
      </c>
      <c r="EQ118" s="173">
        <f t="shared" si="418"/>
        <v>5.5999999999999994E-2</v>
      </c>
      <c r="ER118" s="173">
        <f t="shared" si="419"/>
        <v>4.96E-3</v>
      </c>
      <c r="ES118" s="528"/>
      <c r="EU118" s="460">
        <f t="shared" si="420"/>
        <v>60.959999999999994</v>
      </c>
      <c r="EV118" s="528">
        <f t="shared" si="421"/>
        <v>9.7580246913580252E-3</v>
      </c>
      <c r="EW118" s="528">
        <f t="shared" si="422"/>
        <v>1.7628589313580256E-2</v>
      </c>
      <c r="EX118" s="528">
        <f t="shared" si="423"/>
        <v>2.946044390336607E-5</v>
      </c>
      <c r="EY118" s="528">
        <f t="shared" si="424"/>
        <v>2.1088399901516858E-2</v>
      </c>
      <c r="EZ118" s="528"/>
      <c r="FA118" s="625">
        <f t="shared" si="425"/>
        <v>7.9039999999999999E-2</v>
      </c>
      <c r="FB118" s="460">
        <f t="shared" si="426"/>
        <v>127.54447435035851</v>
      </c>
      <c r="FC118" s="173">
        <f t="shared" si="427"/>
        <v>0.35524708725457288</v>
      </c>
      <c r="FD118" s="5">
        <f t="shared" si="428"/>
        <v>2.0640000000000001</v>
      </c>
      <c r="FE118" s="173">
        <f t="shared" si="429"/>
        <v>0.85315799732646702</v>
      </c>
      <c r="FF118" s="5">
        <f t="shared" si="430"/>
        <v>85.315799732646695</v>
      </c>
      <c r="FG118">
        <f t="shared" si="431"/>
        <v>8</v>
      </c>
      <c r="FI118" s="562">
        <f t="shared" si="432"/>
        <v>-50</v>
      </c>
      <c r="FJ118">
        <f t="shared" si="433"/>
        <v>-50</v>
      </c>
    </row>
    <row r="119" spans="5:166">
      <c r="E119" s="170">
        <v>9</v>
      </c>
      <c r="F119" s="217">
        <f t="shared" si="434"/>
        <v>0.09</v>
      </c>
      <c r="G119" s="217">
        <f t="shared" si="313"/>
        <v>8.9999999999999993E-3</v>
      </c>
      <c r="H119" s="217">
        <f t="shared" si="314"/>
        <v>2.16</v>
      </c>
      <c r="I119" s="217">
        <f t="shared" si="315"/>
        <v>0.16199999999999998</v>
      </c>
      <c r="J119" s="541">
        <f t="shared" si="316"/>
        <v>8.901251807891633</v>
      </c>
      <c r="K119" s="443">
        <f t="shared" si="317"/>
        <v>16.489669472300989</v>
      </c>
      <c r="L119" s="172">
        <f t="shared" si="318"/>
        <v>25.390921280192622</v>
      </c>
      <c r="M119" s="443"/>
      <c r="N119" s="217">
        <f t="shared" si="319"/>
        <v>0.64943171184436421</v>
      </c>
      <c r="O119" s="172">
        <f t="shared" si="320"/>
        <v>29.874703871611391</v>
      </c>
      <c r="P119" s="172">
        <f t="shared" si="321"/>
        <v>2.4086479996486685</v>
      </c>
      <c r="Q119" s="217">
        <f t="shared" si="322"/>
        <v>1.244779327983808</v>
      </c>
      <c r="R119" s="217">
        <f t="shared" si="323"/>
        <v>1.6597057706450773</v>
      </c>
      <c r="S119" s="217">
        <f t="shared" si="324"/>
        <v>24</v>
      </c>
      <c r="T119" s="217">
        <f t="shared" si="325"/>
        <v>0.80335524339058417</v>
      </c>
      <c r="U119" s="217">
        <f t="shared" si="326"/>
        <v>0.90251939921343316</v>
      </c>
      <c r="V119" s="217">
        <f t="shared" si="327"/>
        <v>0.48718698985449288</v>
      </c>
      <c r="W119" s="197">
        <f t="shared" si="328"/>
        <v>260.13398396205616</v>
      </c>
      <c r="X119" s="443">
        <f t="shared" si="435"/>
        <v>350</v>
      </c>
      <c r="Z119" s="217">
        <f t="shared" si="329"/>
        <v>2.2222222222222223</v>
      </c>
      <c r="AA119" s="173">
        <f t="shared" si="330"/>
        <v>1.3476450974078444</v>
      </c>
      <c r="AB119" s="173">
        <f t="shared" si="331"/>
        <v>0.24168377074915673</v>
      </c>
      <c r="AC119" s="173"/>
      <c r="AD119" s="173">
        <f t="shared" si="332"/>
        <v>1.3476450974078444</v>
      </c>
      <c r="AE119" s="545">
        <f t="shared" si="333"/>
        <v>90.112211733938651</v>
      </c>
      <c r="AF119" s="528">
        <f t="shared" si="334"/>
        <v>0.25981005355534348</v>
      </c>
      <c r="AH119" s="173">
        <f t="shared" si="335"/>
        <v>1.1518928521599319</v>
      </c>
      <c r="AI119" s="173">
        <f t="shared" si="336"/>
        <v>2.2222222222222223</v>
      </c>
      <c r="AJ119" s="173">
        <f t="shared" si="337"/>
        <v>1.0514926924193935</v>
      </c>
      <c r="AL119" s="545">
        <f t="shared" si="338"/>
        <v>90</v>
      </c>
      <c r="AM119" s="460">
        <f t="shared" si="339"/>
        <v>90.112211733938651</v>
      </c>
      <c r="AO119" s="460">
        <f t="shared" si="340"/>
        <v>90</v>
      </c>
      <c r="AP119" s="460">
        <f t="shared" si="341"/>
        <v>90.112211733938651</v>
      </c>
      <c r="AR119" s="5">
        <f t="shared" si="275"/>
        <v>11.097275061370771</v>
      </c>
      <c r="AS119" s="5">
        <f t="shared" si="440"/>
        <v>2.496527758322773</v>
      </c>
      <c r="AT119" s="5">
        <f t="shared" si="441"/>
        <v>8.6007473030479993</v>
      </c>
      <c r="AU119" s="173">
        <f t="shared" si="442"/>
        <v>0.22496763795763694</v>
      </c>
      <c r="AW119" s="5">
        <f t="shared" si="342"/>
        <v>0.93619790937103986</v>
      </c>
      <c r="AX119" s="5">
        <f t="shared" si="343"/>
        <v>0.12482638791613863</v>
      </c>
      <c r="AY119" s="5">
        <f t="shared" si="344"/>
        <v>1.7392323551347031</v>
      </c>
      <c r="AZ119" s="5"/>
      <c r="BA119" s="173">
        <f t="shared" si="345"/>
        <v>0.60853685140568436</v>
      </c>
      <c r="BB119" s="173">
        <f t="shared" si="346"/>
        <v>0.75337744054933486</v>
      </c>
      <c r="BC119" s="173">
        <f t="shared" si="347"/>
        <v>7.5439551817169867E-2</v>
      </c>
      <c r="BD119" s="173"/>
      <c r="BE119" s="528">
        <f t="shared" si="348"/>
        <v>1.4812683980749759E-2</v>
      </c>
      <c r="BF119" s="528">
        <f t="shared" si="349"/>
        <v>0.11440160372602429</v>
      </c>
      <c r="BG119" s="528">
        <f t="shared" si="350"/>
        <v>3.2084459504393405E-2</v>
      </c>
      <c r="BH119" s="528">
        <f t="shared" si="351"/>
        <v>1.0166667400873458E-2</v>
      </c>
      <c r="BI119">
        <f t="shared" si="352"/>
        <v>4.0055633135512346E-3</v>
      </c>
      <c r="BJ119" s="460">
        <f t="shared" si="436"/>
        <v>36.090022817944643</v>
      </c>
      <c r="BK119">
        <f t="shared" si="353"/>
        <v>0.14388678842983135</v>
      </c>
      <c r="BL119" s="460">
        <f t="shared" si="437"/>
        <v>175.47097792559214</v>
      </c>
      <c r="BM119" s="173">
        <f t="shared" si="354"/>
        <v>7.8119999999999995E-2</v>
      </c>
      <c r="BN119" s="173">
        <f t="shared" si="355"/>
        <v>7.8119999999999986E-3</v>
      </c>
      <c r="BO119" s="528"/>
      <c r="BQ119" s="460">
        <f t="shared" si="356"/>
        <v>85.931999999999988</v>
      </c>
      <c r="BR119" s="528">
        <f t="shared" si="357"/>
        <v>1.1109512985562319E-2</v>
      </c>
      <c r="BS119" s="528">
        <f t="shared" si="358"/>
        <v>1.7027327037859995E-2</v>
      </c>
      <c r="BT119" s="528">
        <f t="shared" si="359"/>
        <v>2.8455629891877286E-5</v>
      </c>
      <c r="BU119" s="528">
        <f t="shared" si="360"/>
        <v>2.8372515568995001E-2</v>
      </c>
      <c r="BV119" s="528"/>
      <c r="BW119" s="625">
        <f t="shared" si="361"/>
        <v>8.8999715292778933E-2</v>
      </c>
      <c r="BX119" s="460">
        <f t="shared" si="362"/>
        <v>145.5375265150881</v>
      </c>
      <c r="BY119" s="173">
        <f t="shared" si="363"/>
        <v>0.40694050444068031</v>
      </c>
      <c r="BZ119" s="5">
        <f t="shared" si="364"/>
        <v>2.3220000000000001</v>
      </c>
      <c r="CA119" s="173">
        <f t="shared" si="365"/>
        <v>0.85087967151409694</v>
      </c>
      <c r="CB119" s="5">
        <f t="shared" si="366"/>
        <v>85.0879671514097</v>
      </c>
      <c r="CC119">
        <f t="shared" si="367"/>
        <v>9</v>
      </c>
      <c r="CE119" s="562">
        <f t="shared" si="368"/>
        <v>-50</v>
      </c>
      <c r="CF119">
        <f t="shared" si="369"/>
        <v>-50</v>
      </c>
      <c r="CG119" s="173">
        <f t="shared" si="370"/>
        <v>0.12193394342730793</v>
      </c>
      <c r="CH119" s="173">
        <f t="shared" si="371"/>
        <v>3.3235068064470893E-2</v>
      </c>
      <c r="CI119" s="170">
        <v>9</v>
      </c>
      <c r="CJ119" s="217">
        <f t="shared" si="438"/>
        <v>0.09</v>
      </c>
      <c r="CK119" s="217">
        <f t="shared" si="372"/>
        <v>8.9999999999999993E-3</v>
      </c>
      <c r="CL119" s="217">
        <f t="shared" si="373"/>
        <v>2.16</v>
      </c>
      <c r="CM119" s="217">
        <f t="shared" si="374"/>
        <v>0.16199999999999998</v>
      </c>
      <c r="CN119" s="541">
        <f t="shared" si="375"/>
        <v>9</v>
      </c>
      <c r="CO119" s="443">
        <f t="shared" si="376"/>
        <v>16.474900000000002</v>
      </c>
      <c r="CP119" s="443">
        <f t="shared" si="377"/>
        <v>25.474900000000002</v>
      </c>
      <c r="CQ119" s="443"/>
      <c r="CR119" s="217">
        <f t="shared" si="378"/>
        <v>0.64485133082098534</v>
      </c>
      <c r="CS119" s="172">
        <f t="shared" si="379"/>
        <v>29.993085154464438</v>
      </c>
      <c r="CT119" s="172">
        <f t="shared" si="380"/>
        <v>2.4181924905786953</v>
      </c>
      <c r="CU119" s="217">
        <f t="shared" si="381"/>
        <v>1.2497118814360182</v>
      </c>
      <c r="CV119" s="217">
        <f t="shared" si="382"/>
        <v>1.6662825085813577</v>
      </c>
      <c r="CW119" s="217">
        <f t="shared" si="383"/>
        <v>24</v>
      </c>
      <c r="CX119" s="217">
        <f t="shared" si="384"/>
        <v>0.80018443839304831</v>
      </c>
      <c r="CY119" s="217">
        <f t="shared" si="385"/>
        <v>0.88909382043672047</v>
      </c>
      <c r="CZ119" s="217">
        <f t="shared" si="386"/>
        <v>0.48569911707691604</v>
      </c>
      <c r="DA119" s="197">
        <f t="shared" si="387"/>
        <v>261.91798593910079</v>
      </c>
      <c r="DB119" s="443">
        <f t="shared" si="388"/>
        <v>350</v>
      </c>
      <c r="DD119" s="217">
        <f t="shared" si="389"/>
        <v>2.2222222222222228</v>
      </c>
      <c r="DE119" s="173">
        <f t="shared" si="390"/>
        <v>1.3488532386977905</v>
      </c>
      <c r="DF119" s="173">
        <f t="shared" si="391"/>
        <v>0.24355939229558116</v>
      </c>
      <c r="DG119" s="173"/>
      <c r="DH119" s="173">
        <f t="shared" si="392"/>
        <v>1.3488532386977903</v>
      </c>
      <c r="DI119" s="545">
        <f t="shared" si="393"/>
        <v>90.03149999999998</v>
      </c>
      <c r="DJ119" s="528">
        <f t="shared" si="394"/>
        <v>0.26182634671774968</v>
      </c>
      <c r="DL119" s="173">
        <f t="shared" si="395"/>
        <v>1.1518928521599319</v>
      </c>
      <c r="DM119" s="173">
        <f t="shared" si="396"/>
        <v>2.2222222222222223</v>
      </c>
      <c r="DN119" s="173">
        <f t="shared" si="397"/>
        <v>1.0514465714285715</v>
      </c>
      <c r="DP119" s="545">
        <f t="shared" si="398"/>
        <v>90</v>
      </c>
      <c r="DQ119" s="460">
        <f t="shared" si="399"/>
        <v>90.03149999999998</v>
      </c>
      <c r="DS119" s="460">
        <f t="shared" si="400"/>
        <v>90</v>
      </c>
      <c r="DT119" s="460">
        <f t="shared" si="401"/>
        <v>90.03149999999998</v>
      </c>
      <c r="DV119" s="5">
        <f t="shared" si="402"/>
        <v>11.107223582857115</v>
      </c>
      <c r="DW119" s="5">
        <f t="shared" si="403"/>
        <v>2.4691358024691361</v>
      </c>
      <c r="DX119" s="5">
        <f t="shared" si="404"/>
        <v>8.6380877803879788</v>
      </c>
      <c r="DY119" s="173">
        <f t="shared" si="405"/>
        <v>0.22229999999999994</v>
      </c>
      <c r="EA119" s="5">
        <f t="shared" si="406"/>
        <v>0.92592592592592593</v>
      </c>
      <c r="EB119" s="5">
        <f t="shared" si="407"/>
        <v>0.1234567901234568</v>
      </c>
      <c r="EC119" s="5">
        <f t="shared" si="408"/>
        <v>1.7276175560775957</v>
      </c>
      <c r="ED119" s="5"/>
      <c r="EE119" s="173">
        <f t="shared" si="409"/>
        <v>0.60491811505849769</v>
      </c>
      <c r="EF119" s="173">
        <f t="shared" si="410"/>
        <v>0.75467287797906302</v>
      </c>
      <c r="EG119" s="173">
        <f t="shared" si="411"/>
        <v>7.5569270619254822E-2</v>
      </c>
      <c r="EH119" s="173"/>
      <c r="EI119" s="528">
        <f t="shared" si="412"/>
        <v>1.4637037037037033E-2</v>
      </c>
      <c r="EJ119" s="528">
        <f t="shared" si="413"/>
        <v>0.1401609891825</v>
      </c>
      <c r="EK119" s="528">
        <f t="shared" si="414"/>
        <v>1.8006299999999992E-2</v>
      </c>
      <c r="EL119" s="528">
        <f t="shared" si="415"/>
        <v>1.0224863297704178E-2</v>
      </c>
      <c r="EM119">
        <f t="shared" si="416"/>
        <v>4.0499999999999998E-3</v>
      </c>
      <c r="EN119" s="460">
        <f t="shared" si="417"/>
        <v>22.056299999999993</v>
      </c>
      <c r="EP119" s="460">
        <f t="shared" si="439"/>
        <v>187.07918951724119</v>
      </c>
      <c r="EQ119" s="173">
        <f t="shared" si="418"/>
        <v>6.3E-2</v>
      </c>
      <c r="ER119" s="173">
        <f t="shared" si="419"/>
        <v>5.5799999999999999E-3</v>
      </c>
      <c r="ES119" s="528"/>
      <c r="EU119" s="460">
        <f t="shared" si="420"/>
        <v>68.58</v>
      </c>
      <c r="EV119" s="528">
        <f t="shared" si="421"/>
        <v>1.0977777777777774E-2</v>
      </c>
      <c r="EW119" s="528">
        <f t="shared" si="422"/>
        <v>1.7085934582716053E-2</v>
      </c>
      <c r="EX119" s="528">
        <f t="shared" si="423"/>
        <v>2.8553573309630847E-5</v>
      </c>
      <c r="EY119" s="528">
        <f t="shared" si="424"/>
        <v>2.8309026481725903E-2</v>
      </c>
      <c r="EZ119" s="528"/>
      <c r="FA119" s="625">
        <f t="shared" si="425"/>
        <v>8.8920000000000013E-2</v>
      </c>
      <c r="FB119" s="460">
        <f t="shared" si="426"/>
        <v>145.32129241552937</v>
      </c>
      <c r="FC119" s="173">
        <f t="shared" si="427"/>
        <v>0.40098048193277047</v>
      </c>
      <c r="FD119" s="5">
        <f t="shared" si="428"/>
        <v>2.3220000000000001</v>
      </c>
      <c r="FE119" s="173">
        <f t="shared" si="429"/>
        <v>0.85274206532389285</v>
      </c>
      <c r="FF119" s="5">
        <f t="shared" si="430"/>
        <v>85.274206532389286</v>
      </c>
      <c r="FG119">
        <f t="shared" si="431"/>
        <v>9</v>
      </c>
      <c r="FI119" s="562">
        <f t="shared" si="432"/>
        <v>-50</v>
      </c>
      <c r="FJ119">
        <f t="shared" si="433"/>
        <v>-50</v>
      </c>
    </row>
    <row r="120" spans="5:166">
      <c r="E120" s="170">
        <v>10</v>
      </c>
      <c r="F120" s="217">
        <f t="shared" si="434"/>
        <v>0.1</v>
      </c>
      <c r="G120" s="217">
        <f t="shared" si="313"/>
        <v>1.0000000000000002E-2</v>
      </c>
      <c r="H120" s="217">
        <f t="shared" si="314"/>
        <v>2.4000000000000004</v>
      </c>
      <c r="I120" s="217">
        <f t="shared" si="315"/>
        <v>0.18000000000000005</v>
      </c>
      <c r="J120" s="541">
        <f t="shared" si="316"/>
        <v>8.901251807891633</v>
      </c>
      <c r="K120" s="443">
        <f t="shared" si="317"/>
        <v>16.489669472300989</v>
      </c>
      <c r="L120" s="172">
        <f t="shared" si="318"/>
        <v>25.390921280192622</v>
      </c>
      <c r="M120" s="443"/>
      <c r="N120" s="217">
        <f t="shared" si="319"/>
        <v>0.64943171184436421</v>
      </c>
      <c r="O120" s="172">
        <f t="shared" si="320"/>
        <v>29.874703871611391</v>
      </c>
      <c r="P120" s="172">
        <f t="shared" si="321"/>
        <v>2.4086479996486685</v>
      </c>
      <c r="Q120" s="217">
        <f t="shared" si="322"/>
        <v>1.244779327983808</v>
      </c>
      <c r="R120" s="217">
        <f t="shared" si="323"/>
        <v>1.6597057706450773</v>
      </c>
      <c r="S120" s="217">
        <f t="shared" si="324"/>
        <v>24</v>
      </c>
      <c r="T120" s="217">
        <f t="shared" si="325"/>
        <v>0.89261693710064927</v>
      </c>
      <c r="U120" s="217">
        <f t="shared" si="326"/>
        <v>1.0027993324593705</v>
      </c>
      <c r="V120" s="217">
        <f t="shared" si="327"/>
        <v>0.54131887761610331</v>
      </c>
      <c r="W120" s="197">
        <f t="shared" si="328"/>
        <v>260.13398396205616</v>
      </c>
      <c r="X120" s="443">
        <f t="shared" si="435"/>
        <v>350</v>
      </c>
      <c r="Z120" s="217">
        <f t="shared" si="329"/>
        <v>2.2222222222222223</v>
      </c>
      <c r="AA120" s="173">
        <f t="shared" si="330"/>
        <v>1.3476450974078444</v>
      </c>
      <c r="AB120" s="173">
        <f t="shared" si="331"/>
        <v>0.24168377074915673</v>
      </c>
      <c r="AC120" s="173"/>
      <c r="AD120" s="173">
        <f t="shared" si="332"/>
        <v>1.3476450974078444</v>
      </c>
      <c r="AE120" s="545">
        <f t="shared" si="333"/>
        <v>100.12467970437631</v>
      </c>
      <c r="AF120" s="528">
        <f t="shared" si="334"/>
        <v>0.25981005355534348</v>
      </c>
      <c r="AH120" s="173">
        <f t="shared" si="335"/>
        <v>1.2142016777643303</v>
      </c>
      <c r="AI120" s="173">
        <f t="shared" si="336"/>
        <v>2.2222222222222223</v>
      </c>
      <c r="AJ120" s="173">
        <f t="shared" si="337"/>
        <v>1.0572141026882151</v>
      </c>
      <c r="AL120" s="545">
        <f t="shared" si="338"/>
        <v>100</v>
      </c>
      <c r="AM120" s="460">
        <f t="shared" si="339"/>
        <v>100.12467970437631</v>
      </c>
      <c r="AO120" s="460">
        <f t="shared" si="340"/>
        <v>100</v>
      </c>
      <c r="AP120" s="460">
        <f t="shared" si="341"/>
        <v>100.12467970437631</v>
      </c>
      <c r="AR120" s="5">
        <f t="shared" si="275"/>
        <v>9.9875475552336912</v>
      </c>
      <c r="AS120" s="5">
        <f t="shared" si="440"/>
        <v>2.496527758322773</v>
      </c>
      <c r="AT120" s="5">
        <f t="shared" si="441"/>
        <v>7.4910197969109182</v>
      </c>
      <c r="AU120" s="173">
        <f t="shared" si="442"/>
        <v>0.24996404217515222</v>
      </c>
      <c r="AW120" s="5">
        <f t="shared" si="342"/>
        <v>1.0402198993011555</v>
      </c>
      <c r="AX120" s="5">
        <f t="shared" si="343"/>
        <v>0.13869598657348742</v>
      </c>
      <c r="AY120" s="5">
        <f t="shared" si="344"/>
        <v>1.6831384975020172</v>
      </c>
      <c r="AZ120" s="5"/>
      <c r="BA120" s="173">
        <f t="shared" si="345"/>
        <v>0.64145416352980011</v>
      </c>
      <c r="BB120" s="173">
        <f t="shared" si="346"/>
        <v>0.74112887672719352</v>
      </c>
      <c r="BC120" s="173">
        <f t="shared" si="347"/>
        <v>7.4213040223628415E-2</v>
      </c>
      <c r="BD120" s="173"/>
      <c r="BE120" s="528">
        <f t="shared" si="348"/>
        <v>1.6458537756388624E-2</v>
      </c>
      <c r="BF120" s="528">
        <f t="shared" si="349"/>
        <v>0.12711289302891596</v>
      </c>
      <c r="BG120" s="528">
        <f t="shared" si="350"/>
        <v>3.5649399449326012E-2</v>
      </c>
      <c r="BH120" s="528">
        <f t="shared" si="351"/>
        <v>1.1296297112081624E-2</v>
      </c>
      <c r="BI120">
        <f t="shared" si="352"/>
        <v>4.0055633135512346E-3</v>
      </c>
      <c r="BJ120" s="460">
        <f t="shared" si="436"/>
        <v>39.654962762877247</v>
      </c>
      <c r="BK120">
        <f t="shared" si="353"/>
        <v>0.15993697439828128</v>
      </c>
      <c r="BL120" s="460">
        <f t="shared" si="437"/>
        <v>194.52269066026346</v>
      </c>
      <c r="BM120" s="173">
        <f t="shared" si="354"/>
        <v>8.6799999999999988E-2</v>
      </c>
      <c r="BN120" s="173">
        <f t="shared" si="355"/>
        <v>8.680000000000002E-3</v>
      </c>
      <c r="BO120" s="528"/>
      <c r="BQ120" s="460">
        <f t="shared" si="356"/>
        <v>95.47999999999999</v>
      </c>
      <c r="BR120" s="528">
        <f t="shared" si="357"/>
        <v>1.2343903317291467E-2</v>
      </c>
      <c r="BS120" s="528">
        <f t="shared" si="358"/>
        <v>1.6478160357567349E-2</v>
      </c>
      <c r="BT120" s="528">
        <f t="shared" si="359"/>
        <v>2.7537876696169444E-5</v>
      </c>
      <c r="BU120" s="528">
        <f t="shared" si="360"/>
        <v>3.6922539978029821E-2</v>
      </c>
      <c r="BV120" s="528"/>
      <c r="BW120" s="625">
        <f t="shared" si="361"/>
        <v>9.888857254753218E-2</v>
      </c>
      <c r="BX120" s="460">
        <f t="shared" si="362"/>
        <v>164.66071407711698</v>
      </c>
      <c r="BY120" s="173">
        <f t="shared" si="363"/>
        <v>0.45466340473738043</v>
      </c>
      <c r="BZ120" s="5">
        <f t="shared" si="364"/>
        <v>2.5800000000000005</v>
      </c>
      <c r="CA120" s="173">
        <f t="shared" si="365"/>
        <v>0.85017666076982035</v>
      </c>
      <c r="CB120" s="5">
        <f t="shared" si="366"/>
        <v>85.017666076982039</v>
      </c>
      <c r="CC120">
        <f t="shared" si="367"/>
        <v>10</v>
      </c>
      <c r="CE120" s="562">
        <f t="shared" si="368"/>
        <v>-50</v>
      </c>
      <c r="CF120">
        <f t="shared" si="369"/>
        <v>-50</v>
      </c>
      <c r="CG120" s="173">
        <f t="shared" si="370"/>
        <v>0.13548215936367547</v>
      </c>
      <c r="CH120" s="173">
        <f t="shared" si="371"/>
        <v>3.6927853404967667E-2</v>
      </c>
      <c r="CI120" s="170">
        <v>10</v>
      </c>
      <c r="CJ120" s="217">
        <f t="shared" si="438"/>
        <v>0.1</v>
      </c>
      <c r="CK120" s="217">
        <f t="shared" si="372"/>
        <v>1.0000000000000002E-2</v>
      </c>
      <c r="CL120" s="217">
        <f t="shared" si="373"/>
        <v>2.4000000000000004</v>
      </c>
      <c r="CM120" s="217">
        <f t="shared" si="374"/>
        <v>0.18000000000000005</v>
      </c>
      <c r="CN120" s="541">
        <f t="shared" si="375"/>
        <v>9</v>
      </c>
      <c r="CO120" s="443">
        <f t="shared" si="376"/>
        <v>16.474900000000002</v>
      </c>
      <c r="CP120" s="443">
        <f t="shared" si="377"/>
        <v>25.474900000000002</v>
      </c>
      <c r="CQ120" s="443"/>
      <c r="CR120" s="217">
        <f t="shared" si="378"/>
        <v>0.64485133082098534</v>
      </c>
      <c r="CS120" s="172">
        <f t="shared" si="379"/>
        <v>29.993085154464438</v>
      </c>
      <c r="CT120" s="172">
        <f t="shared" si="380"/>
        <v>2.4181924905786953</v>
      </c>
      <c r="CU120" s="217">
        <f t="shared" si="381"/>
        <v>1.2497118814360182</v>
      </c>
      <c r="CV120" s="217">
        <f t="shared" si="382"/>
        <v>1.6662825085813577</v>
      </c>
      <c r="CW120" s="217">
        <f t="shared" si="383"/>
        <v>24</v>
      </c>
      <c r="CX120" s="217">
        <f t="shared" si="384"/>
        <v>0.88909382043672058</v>
      </c>
      <c r="CY120" s="217">
        <f t="shared" si="385"/>
        <v>0.98788202270746739</v>
      </c>
      <c r="CZ120" s="217">
        <f t="shared" si="386"/>
        <v>0.53966568564101791</v>
      </c>
      <c r="DA120" s="197">
        <f t="shared" si="387"/>
        <v>261.91798593910079</v>
      </c>
      <c r="DB120" s="443">
        <f t="shared" si="388"/>
        <v>350</v>
      </c>
      <c r="DD120" s="217">
        <f t="shared" si="389"/>
        <v>2.2222222222222228</v>
      </c>
      <c r="DE120" s="173">
        <f t="shared" si="390"/>
        <v>1.3488532386977905</v>
      </c>
      <c r="DF120" s="173">
        <f t="shared" si="391"/>
        <v>0.24355939229558116</v>
      </c>
      <c r="DG120" s="173"/>
      <c r="DH120" s="173">
        <f t="shared" si="392"/>
        <v>1.3488532386977903</v>
      </c>
      <c r="DI120" s="545">
        <f t="shared" si="393"/>
        <v>100.03499999999997</v>
      </c>
      <c r="DJ120" s="528">
        <f t="shared" si="394"/>
        <v>0.26182634671774968</v>
      </c>
      <c r="DL120" s="173">
        <f t="shared" si="395"/>
        <v>1.2142016777643303</v>
      </c>
      <c r="DM120" s="173">
        <f t="shared" si="396"/>
        <v>2.2222222222222223</v>
      </c>
      <c r="DN120" s="173">
        <f t="shared" si="397"/>
        <v>1.0571628571428571</v>
      </c>
      <c r="DP120" s="545">
        <f t="shared" si="398"/>
        <v>100</v>
      </c>
      <c r="DQ120" s="460">
        <f t="shared" si="399"/>
        <v>100.03499999999997</v>
      </c>
      <c r="DS120" s="460">
        <f t="shared" si="400"/>
        <v>100</v>
      </c>
      <c r="DT120" s="460">
        <f t="shared" si="401"/>
        <v>100.03499999999997</v>
      </c>
      <c r="DV120" s="5">
        <f t="shared" si="402"/>
        <v>9.9965012245714036</v>
      </c>
      <c r="DW120" s="5">
        <f t="shared" si="403"/>
        <v>2.4691358024691361</v>
      </c>
      <c r="DX120" s="5">
        <f t="shared" si="404"/>
        <v>7.5273654221022674</v>
      </c>
      <c r="DY120" s="173">
        <f t="shared" si="405"/>
        <v>0.24699999999999994</v>
      </c>
      <c r="EA120" s="5">
        <f t="shared" si="406"/>
        <v>1.0288065843621399</v>
      </c>
      <c r="EB120" s="5">
        <f t="shared" si="407"/>
        <v>0.13717421124828538</v>
      </c>
      <c r="EC120" s="5">
        <f t="shared" si="408"/>
        <v>1.672747871578282</v>
      </c>
      <c r="ED120" s="5"/>
      <c r="EE120" s="173">
        <f t="shared" si="409"/>
        <v>0.63763968049355091</v>
      </c>
      <c r="EF120" s="173">
        <f t="shared" si="410"/>
        <v>0.7425918540681653</v>
      </c>
      <c r="EG120" s="173">
        <f t="shared" si="411"/>
        <v>7.4359535657366277E-2</v>
      </c>
      <c r="EH120" s="173"/>
      <c r="EI120" s="528">
        <f t="shared" si="412"/>
        <v>1.6263374485596706E-2</v>
      </c>
      <c r="EJ120" s="528">
        <f t="shared" si="413"/>
        <v>0.15573443242499996</v>
      </c>
      <c r="EK120" s="528">
        <f t="shared" si="414"/>
        <v>2.0006999999999994E-2</v>
      </c>
      <c r="EL120" s="528">
        <f t="shared" si="415"/>
        <v>1.1360959219671308E-2</v>
      </c>
      <c r="EM120">
        <f t="shared" si="416"/>
        <v>4.0499999999999998E-3</v>
      </c>
      <c r="EN120" s="460">
        <f t="shared" si="417"/>
        <v>24.056999999999995</v>
      </c>
      <c r="EP120" s="460">
        <f t="shared" si="439"/>
        <v>207.41576613026797</v>
      </c>
      <c r="EQ120" s="173">
        <f t="shared" si="418"/>
        <v>6.9999999999999993E-2</v>
      </c>
      <c r="ER120" s="173">
        <f t="shared" si="419"/>
        <v>6.2000000000000015E-3</v>
      </c>
      <c r="ES120" s="528"/>
      <c r="EU120" s="460">
        <f t="shared" si="420"/>
        <v>76.199999999999989</v>
      </c>
      <c r="EV120" s="528">
        <f t="shared" si="421"/>
        <v>1.2197530864197529E-2</v>
      </c>
      <c r="EW120" s="528">
        <f t="shared" si="422"/>
        <v>1.6543279851851857E-2</v>
      </c>
      <c r="EX120" s="528">
        <f t="shared" si="423"/>
        <v>2.7646702715895631E-5</v>
      </c>
      <c r="EY120" s="528">
        <f t="shared" si="424"/>
        <v>3.6839918528509083E-2</v>
      </c>
      <c r="EZ120" s="528"/>
      <c r="FA120" s="625">
        <f t="shared" si="425"/>
        <v>9.8799999999999985E-2</v>
      </c>
      <c r="FB120" s="460">
        <f t="shared" si="426"/>
        <v>164.40837594727438</v>
      </c>
      <c r="FC120" s="173">
        <f t="shared" si="427"/>
        <v>0.44802414207754226</v>
      </c>
      <c r="FD120" s="5">
        <f t="shared" si="428"/>
        <v>2.5800000000000005</v>
      </c>
      <c r="FE120" s="173">
        <f t="shared" si="429"/>
        <v>0.85204076286850516</v>
      </c>
      <c r="FF120" s="5">
        <f t="shared" si="430"/>
        <v>85.204076286850523</v>
      </c>
      <c r="FG120">
        <f t="shared" si="431"/>
        <v>10</v>
      </c>
      <c r="FI120" s="562">
        <f t="shared" si="432"/>
        <v>-50</v>
      </c>
      <c r="FJ120">
        <f t="shared" si="433"/>
        <v>-50</v>
      </c>
    </row>
    <row r="121" spans="5:166">
      <c r="E121" s="170">
        <v>11</v>
      </c>
      <c r="F121" s="217">
        <f t="shared" si="434"/>
        <v>0.11</v>
      </c>
      <c r="G121" s="217">
        <f t="shared" si="313"/>
        <v>1.1000000000000001E-2</v>
      </c>
      <c r="H121" s="217">
        <f t="shared" si="314"/>
        <v>2.64</v>
      </c>
      <c r="I121" s="217">
        <f t="shared" si="315"/>
        <v>0.19800000000000001</v>
      </c>
      <c r="J121" s="541">
        <f t="shared" si="316"/>
        <v>8.901251807891633</v>
      </c>
      <c r="K121" s="443">
        <f t="shared" si="317"/>
        <v>16.489669472300989</v>
      </c>
      <c r="L121" s="172">
        <f t="shared" si="318"/>
        <v>25.390921280192622</v>
      </c>
      <c r="M121" s="443"/>
      <c r="N121" s="217">
        <f t="shared" si="319"/>
        <v>0.64943171184436421</v>
      </c>
      <c r="O121" s="172">
        <f t="shared" si="320"/>
        <v>29.874703871611391</v>
      </c>
      <c r="P121" s="172">
        <f t="shared" si="321"/>
        <v>2.4086479996486685</v>
      </c>
      <c r="Q121" s="217">
        <f t="shared" si="322"/>
        <v>1.244779327983808</v>
      </c>
      <c r="R121" s="217">
        <f t="shared" si="323"/>
        <v>1.6597057706450773</v>
      </c>
      <c r="S121" s="217">
        <f t="shared" si="324"/>
        <v>24</v>
      </c>
      <c r="T121" s="217">
        <f t="shared" si="325"/>
        <v>0.98187863081071403</v>
      </c>
      <c r="U121" s="217">
        <f t="shared" si="326"/>
        <v>1.1030792657053072</v>
      </c>
      <c r="V121" s="217">
        <f t="shared" si="327"/>
        <v>0.59545076537771358</v>
      </c>
      <c r="W121" s="197">
        <f t="shared" si="328"/>
        <v>260.13398396205616</v>
      </c>
      <c r="X121" s="443">
        <f t="shared" si="435"/>
        <v>350</v>
      </c>
      <c r="Z121" s="217">
        <f t="shared" si="329"/>
        <v>2.2222222222222223</v>
      </c>
      <c r="AA121" s="173">
        <f t="shared" si="330"/>
        <v>1.3476450974078444</v>
      </c>
      <c r="AB121" s="173">
        <f t="shared" si="331"/>
        <v>0.24168377074915673</v>
      </c>
      <c r="AC121" s="173"/>
      <c r="AD121" s="173">
        <f t="shared" si="332"/>
        <v>1.3476450974078444</v>
      </c>
      <c r="AE121" s="545">
        <f t="shared" si="333"/>
        <v>110.13714767481393</v>
      </c>
      <c r="AF121" s="528">
        <f t="shared" si="334"/>
        <v>0.25981005355534348</v>
      </c>
      <c r="AH121" s="173">
        <f t="shared" si="335"/>
        <v>1.2734654631022726</v>
      </c>
      <c r="AI121" s="173">
        <f t="shared" si="336"/>
        <v>2.2222222222222223</v>
      </c>
      <c r="AJ121" s="173">
        <f t="shared" si="337"/>
        <v>1.0629355129570366</v>
      </c>
      <c r="AL121" s="545">
        <f t="shared" si="338"/>
        <v>110</v>
      </c>
      <c r="AM121" s="460">
        <f t="shared" si="339"/>
        <v>110.13714767481393</v>
      </c>
      <c r="AO121" s="460">
        <f t="shared" si="340"/>
        <v>110</v>
      </c>
      <c r="AP121" s="460">
        <f t="shared" si="341"/>
        <v>110.13714767481393</v>
      </c>
      <c r="AR121" s="5">
        <f t="shared" si="275"/>
        <v>9.0795886865760842</v>
      </c>
      <c r="AS121" s="5">
        <f t="shared" si="440"/>
        <v>2.496527758322773</v>
      </c>
      <c r="AT121" s="5">
        <f t="shared" si="441"/>
        <v>6.5830609282533112</v>
      </c>
      <c r="AU121" s="173">
        <f t="shared" si="442"/>
        <v>0.27496044639266742</v>
      </c>
      <c r="AW121" s="5">
        <f t="shared" si="342"/>
        <v>1.1442418892312711</v>
      </c>
      <c r="AX121" s="5">
        <f t="shared" si="343"/>
        <v>0.15256558523083613</v>
      </c>
      <c r="AY121" s="5">
        <f t="shared" si="344"/>
        <v>1.6270446398693321</v>
      </c>
      <c r="AZ121" s="5"/>
      <c r="BA121" s="173">
        <f t="shared" si="345"/>
        <v>0.67276280240563768</v>
      </c>
      <c r="BB121" s="173">
        <f t="shared" si="346"/>
        <v>0.72867445125320307</v>
      </c>
      <c r="BC121" s="173">
        <f t="shared" si="347"/>
        <v>7.2965914645759924E-2</v>
      </c>
      <c r="BD121" s="173"/>
      <c r="BE121" s="528">
        <f t="shared" si="348"/>
        <v>1.8104391532027485E-2</v>
      </c>
      <c r="BF121" s="528">
        <f t="shared" si="349"/>
        <v>0.13982418233180752</v>
      </c>
      <c r="BG121" s="528">
        <f t="shared" si="350"/>
        <v>3.9214339394258606E-2</v>
      </c>
      <c r="BH121" s="528">
        <f t="shared" si="351"/>
        <v>1.2425926823289786E-2</v>
      </c>
      <c r="BI121">
        <f t="shared" si="352"/>
        <v>4.0055633135512346E-3</v>
      </c>
      <c r="BJ121" s="460">
        <f t="shared" si="436"/>
        <v>43.219902707809844</v>
      </c>
      <c r="BK121">
        <f t="shared" si="353"/>
        <v>0.17599976760442834</v>
      </c>
      <c r="BL121" s="460">
        <f t="shared" si="437"/>
        <v>213.57440339493462</v>
      </c>
      <c r="BM121" s="173">
        <f t="shared" si="354"/>
        <v>9.5479999999999995E-2</v>
      </c>
      <c r="BN121" s="173">
        <f t="shared" si="355"/>
        <v>9.5480000000000009E-3</v>
      </c>
      <c r="BO121" s="528"/>
      <c r="BQ121" s="460">
        <f t="shared" si="356"/>
        <v>105.02799999999999</v>
      </c>
      <c r="BR121" s="528">
        <f t="shared" si="357"/>
        <v>1.3578293649020613E-2</v>
      </c>
      <c r="BS121" s="528">
        <f t="shared" si="358"/>
        <v>1.5928993677274697E-2</v>
      </c>
      <c r="BT121" s="528">
        <f t="shared" si="359"/>
        <v>2.6620123500461613E-5</v>
      </c>
      <c r="BU121" s="528">
        <f t="shared" si="360"/>
        <v>4.6856870817307349E-2</v>
      </c>
      <c r="BV121" s="528"/>
      <c r="BW121" s="625">
        <f t="shared" si="361"/>
        <v>0.10877742980228539</v>
      </c>
      <c r="BX121" s="460">
        <f t="shared" si="362"/>
        <v>185.1682080693885</v>
      </c>
      <c r="BY121" s="173">
        <f t="shared" si="363"/>
        <v>0.50377061146432311</v>
      </c>
      <c r="BZ121" s="5">
        <f t="shared" si="364"/>
        <v>2.8380000000000001</v>
      </c>
      <c r="CA121" s="173">
        <f t="shared" si="365"/>
        <v>0.8492503914732864</v>
      </c>
      <c r="CB121" s="5">
        <f t="shared" si="366"/>
        <v>84.925039147328647</v>
      </c>
      <c r="CC121">
        <f t="shared" si="367"/>
        <v>11</v>
      </c>
      <c r="CE121" s="562">
        <f t="shared" si="368"/>
        <v>-50</v>
      </c>
      <c r="CF121">
        <f t="shared" si="369"/>
        <v>-50</v>
      </c>
      <c r="CG121" s="173">
        <f t="shared" si="370"/>
        <v>0.14903037530004304</v>
      </c>
      <c r="CH121" s="173">
        <f t="shared" si="371"/>
        <v>4.062063874546442E-2</v>
      </c>
      <c r="CI121" s="170">
        <v>11</v>
      </c>
      <c r="CJ121" s="217">
        <f t="shared" si="438"/>
        <v>0.11</v>
      </c>
      <c r="CK121" s="217">
        <f t="shared" si="372"/>
        <v>1.1000000000000001E-2</v>
      </c>
      <c r="CL121" s="217">
        <f t="shared" si="373"/>
        <v>2.64</v>
      </c>
      <c r="CM121" s="217">
        <f t="shared" si="374"/>
        <v>0.19800000000000001</v>
      </c>
      <c r="CN121" s="541">
        <f t="shared" si="375"/>
        <v>9</v>
      </c>
      <c r="CO121" s="443">
        <f t="shared" si="376"/>
        <v>16.474900000000002</v>
      </c>
      <c r="CP121" s="443">
        <f t="shared" si="377"/>
        <v>25.474900000000002</v>
      </c>
      <c r="CQ121" s="443"/>
      <c r="CR121" s="217">
        <f t="shared" si="378"/>
        <v>0.64485133082098534</v>
      </c>
      <c r="CS121" s="172">
        <f t="shared" si="379"/>
        <v>29.993085154464438</v>
      </c>
      <c r="CT121" s="172">
        <f t="shared" si="380"/>
        <v>2.4181924905786953</v>
      </c>
      <c r="CU121" s="217">
        <f t="shared" si="381"/>
        <v>1.2497118814360182</v>
      </c>
      <c r="CV121" s="217">
        <f t="shared" si="382"/>
        <v>1.6662825085813577</v>
      </c>
      <c r="CW121" s="217">
        <f t="shared" si="383"/>
        <v>24</v>
      </c>
      <c r="CX121" s="217">
        <f t="shared" si="384"/>
        <v>0.97800320248039241</v>
      </c>
      <c r="CY121" s="217">
        <f t="shared" si="385"/>
        <v>1.0866702249782139</v>
      </c>
      <c r="CZ121" s="217">
        <f t="shared" si="386"/>
        <v>0.59363225420511956</v>
      </c>
      <c r="DA121" s="197">
        <f t="shared" si="387"/>
        <v>261.91798593910079</v>
      </c>
      <c r="DB121" s="443">
        <f t="shared" si="388"/>
        <v>350</v>
      </c>
      <c r="DD121" s="217">
        <f t="shared" si="389"/>
        <v>2.2222222222222228</v>
      </c>
      <c r="DE121" s="173">
        <f t="shared" si="390"/>
        <v>1.3488532386977905</v>
      </c>
      <c r="DF121" s="173">
        <f t="shared" si="391"/>
        <v>0.24355939229558116</v>
      </c>
      <c r="DG121" s="173"/>
      <c r="DH121" s="173">
        <f t="shared" si="392"/>
        <v>1.3488532386977903</v>
      </c>
      <c r="DI121" s="545">
        <f t="shared" si="393"/>
        <v>110.03849999999996</v>
      </c>
      <c r="DJ121" s="528">
        <f t="shared" si="394"/>
        <v>0.26182634671774968</v>
      </c>
      <c r="DL121" s="173">
        <f t="shared" si="395"/>
        <v>1.2734654631022726</v>
      </c>
      <c r="DM121" s="173">
        <f t="shared" si="396"/>
        <v>2.2222222222222223</v>
      </c>
      <c r="DN121" s="173">
        <f t="shared" si="397"/>
        <v>1.0628791428571429</v>
      </c>
      <c r="DP121" s="545">
        <f t="shared" si="398"/>
        <v>110</v>
      </c>
      <c r="DQ121" s="460">
        <f t="shared" si="399"/>
        <v>110.03849999999996</v>
      </c>
      <c r="DS121" s="460">
        <f t="shared" si="400"/>
        <v>110</v>
      </c>
      <c r="DT121" s="460">
        <f t="shared" si="401"/>
        <v>110.03849999999996</v>
      </c>
      <c r="DV121" s="5">
        <f t="shared" si="402"/>
        <v>9.087728385974005</v>
      </c>
      <c r="DW121" s="5">
        <f t="shared" si="403"/>
        <v>2.4691358024691361</v>
      </c>
      <c r="DX121" s="5">
        <f t="shared" si="404"/>
        <v>6.6185925835048689</v>
      </c>
      <c r="DY121" s="173">
        <f t="shared" si="405"/>
        <v>0.27169999999999989</v>
      </c>
      <c r="EA121" s="5">
        <f t="shared" si="406"/>
        <v>1.131687242798354</v>
      </c>
      <c r="EB121" s="5">
        <f t="shared" si="407"/>
        <v>0.1508916323731139</v>
      </c>
      <c r="EC121" s="5">
        <f t="shared" si="408"/>
        <v>1.6178781870789676</v>
      </c>
      <c r="ED121" s="5"/>
      <c r="EE121" s="173">
        <f t="shared" si="409"/>
        <v>0.66876213884602453</v>
      </c>
      <c r="EF121" s="173">
        <f t="shared" si="410"/>
        <v>0.7303110095702986</v>
      </c>
      <c r="EG121" s="173">
        <f t="shared" si="411"/>
        <v>7.3129791633998811E-2</v>
      </c>
      <c r="EH121" s="173"/>
      <c r="EI121" s="528">
        <f t="shared" si="412"/>
        <v>1.7889711934156376E-2</v>
      </c>
      <c r="EJ121" s="528">
        <f t="shared" si="413"/>
        <v>0.17130787566749997</v>
      </c>
      <c r="EK121" s="528">
        <f t="shared" si="414"/>
        <v>2.2007699999999988E-2</v>
      </c>
      <c r="EL121" s="528">
        <f t="shared" si="415"/>
        <v>1.2497055141638437E-2</v>
      </c>
      <c r="EM121">
        <f t="shared" si="416"/>
        <v>4.0499999999999998E-3</v>
      </c>
      <c r="EN121" s="460">
        <f t="shared" si="417"/>
        <v>26.05769999999999</v>
      </c>
      <c r="EP121" s="460">
        <f t="shared" si="439"/>
        <v>227.75234274329475</v>
      </c>
      <c r="EQ121" s="173">
        <f t="shared" si="418"/>
        <v>7.6999999999999999E-2</v>
      </c>
      <c r="ER121" s="173">
        <f t="shared" si="419"/>
        <v>6.8200000000000005E-3</v>
      </c>
      <c r="ES121" s="528"/>
      <c r="EU121" s="460">
        <f t="shared" si="420"/>
        <v>83.820000000000007</v>
      </c>
      <c r="EV121" s="528">
        <f t="shared" si="421"/>
        <v>1.3417283950617281E-2</v>
      </c>
      <c r="EW121" s="528">
        <f t="shared" si="422"/>
        <v>1.6000625120987662E-2</v>
      </c>
      <c r="EX121" s="528">
        <f t="shared" si="423"/>
        <v>2.6739832122160412E-5</v>
      </c>
      <c r="EY121" s="528">
        <f t="shared" si="424"/>
        <v>4.6752019347467005E-2</v>
      </c>
      <c r="EZ121" s="528"/>
      <c r="FA121" s="625">
        <f t="shared" si="425"/>
        <v>0.10867999999999998</v>
      </c>
      <c r="FB121" s="460">
        <f t="shared" si="426"/>
        <v>184.87666825119408</v>
      </c>
      <c r="FC121" s="173">
        <f t="shared" si="427"/>
        <v>0.4964490109944889</v>
      </c>
      <c r="FD121" s="5">
        <f t="shared" si="428"/>
        <v>2.8380000000000001</v>
      </c>
      <c r="FE121" s="173">
        <f t="shared" si="429"/>
        <v>0.8511151289590646</v>
      </c>
      <c r="FF121" s="5">
        <f t="shared" si="430"/>
        <v>85.111512895906458</v>
      </c>
      <c r="FG121">
        <f t="shared" si="431"/>
        <v>11</v>
      </c>
      <c r="FI121" s="562">
        <f t="shared" si="432"/>
        <v>-50</v>
      </c>
      <c r="FJ121">
        <f t="shared" si="433"/>
        <v>-50</v>
      </c>
    </row>
    <row r="122" spans="5:166">
      <c r="E122" s="170">
        <v>12</v>
      </c>
      <c r="F122" s="217">
        <f t="shared" si="434"/>
        <v>0.12</v>
      </c>
      <c r="G122" s="217">
        <f t="shared" si="313"/>
        <v>1.2E-2</v>
      </c>
      <c r="H122" s="217">
        <f t="shared" si="314"/>
        <v>2.88</v>
      </c>
      <c r="I122" s="217">
        <f t="shared" si="315"/>
        <v>0.216</v>
      </c>
      <c r="J122" s="541">
        <f t="shared" si="316"/>
        <v>8.901251807891633</v>
      </c>
      <c r="K122" s="443">
        <f t="shared" si="317"/>
        <v>16.489669472300989</v>
      </c>
      <c r="L122" s="172">
        <f t="shared" si="318"/>
        <v>25.390921280192622</v>
      </c>
      <c r="M122" s="443"/>
      <c r="N122" s="217">
        <f t="shared" si="319"/>
        <v>0.64943171184436421</v>
      </c>
      <c r="O122" s="172">
        <f t="shared" si="320"/>
        <v>29.874703871611391</v>
      </c>
      <c r="P122" s="172">
        <f t="shared" si="321"/>
        <v>2.4086479996486685</v>
      </c>
      <c r="Q122" s="217">
        <f t="shared" si="322"/>
        <v>1.244779327983808</v>
      </c>
      <c r="R122" s="217">
        <f t="shared" si="323"/>
        <v>1.6597057706450773</v>
      </c>
      <c r="S122" s="217">
        <f t="shared" si="324"/>
        <v>24</v>
      </c>
      <c r="T122" s="217">
        <f t="shared" si="325"/>
        <v>1.0711403245207789</v>
      </c>
      <c r="U122" s="217">
        <f t="shared" si="326"/>
        <v>1.2033591989512442</v>
      </c>
      <c r="V122" s="217">
        <f t="shared" si="327"/>
        <v>0.64958265313932384</v>
      </c>
      <c r="W122" s="197">
        <f t="shared" si="328"/>
        <v>260.13398396205616</v>
      </c>
      <c r="X122" s="443">
        <f t="shared" si="435"/>
        <v>350</v>
      </c>
      <c r="Z122" s="217">
        <f t="shared" si="329"/>
        <v>2.2222222222222223</v>
      </c>
      <c r="AA122" s="173">
        <f t="shared" si="330"/>
        <v>1.3476450974078444</v>
      </c>
      <c r="AB122" s="173">
        <f t="shared" si="331"/>
        <v>0.24168377074915673</v>
      </c>
      <c r="AC122" s="173"/>
      <c r="AD122" s="173">
        <f t="shared" si="332"/>
        <v>1.3476450974078444</v>
      </c>
      <c r="AE122" s="545">
        <f t="shared" si="333"/>
        <v>120.14961564525156</v>
      </c>
      <c r="AF122" s="528">
        <f t="shared" si="334"/>
        <v>0.25981005355534348</v>
      </c>
      <c r="AH122" s="173">
        <f t="shared" si="335"/>
        <v>1.3300912965442848</v>
      </c>
      <c r="AI122" s="173">
        <f t="shared" si="336"/>
        <v>2.2222222222222223</v>
      </c>
      <c r="AJ122" s="173">
        <f t="shared" si="337"/>
        <v>1.068656923225858</v>
      </c>
      <c r="AL122" s="545">
        <f t="shared" si="338"/>
        <v>120</v>
      </c>
      <c r="AM122" s="460">
        <f t="shared" si="339"/>
        <v>120.14961564525156</v>
      </c>
      <c r="AO122" s="460">
        <f t="shared" si="340"/>
        <v>120</v>
      </c>
      <c r="AP122" s="460">
        <f t="shared" si="341"/>
        <v>120.14961564525156</v>
      </c>
      <c r="AR122" s="5">
        <f t="shared" si="275"/>
        <v>8.3229562960280763</v>
      </c>
      <c r="AS122" s="5">
        <f t="shared" si="440"/>
        <v>2.496527758322773</v>
      </c>
      <c r="AT122" s="5">
        <f t="shared" si="441"/>
        <v>5.8264285377053033</v>
      </c>
      <c r="AU122" s="173">
        <f t="shared" si="442"/>
        <v>0.29995685061018268</v>
      </c>
      <c r="AW122" s="5">
        <f t="shared" si="342"/>
        <v>1.2482638791613865</v>
      </c>
      <c r="AX122" s="5">
        <f t="shared" si="343"/>
        <v>0.16643518388818485</v>
      </c>
      <c r="AY122" s="5">
        <f t="shared" si="344"/>
        <v>1.5709507822366466</v>
      </c>
      <c r="AZ122" s="5"/>
      <c r="BA122" s="173">
        <f t="shared" si="345"/>
        <v>0.70267782994175843</v>
      </c>
      <c r="BB122" s="173">
        <f t="shared" si="346"/>
        <v>0.71600342170928322</v>
      </c>
      <c r="BC122" s="173">
        <f t="shared" si="347"/>
        <v>7.1697099390078206E-2</v>
      </c>
      <c r="BD122" s="173"/>
      <c r="BE122" s="528">
        <f t="shared" si="348"/>
        <v>1.9750245307666354E-2</v>
      </c>
      <c r="BF122" s="528">
        <f t="shared" si="349"/>
        <v>0.1525354716346991</v>
      </c>
      <c r="BG122" s="528">
        <f t="shared" si="350"/>
        <v>4.2779279339191206E-2</v>
      </c>
      <c r="BH122" s="528">
        <f t="shared" si="351"/>
        <v>1.3555556534497947E-2</v>
      </c>
      <c r="BI122">
        <f t="shared" si="352"/>
        <v>4.0055633135512346E-3</v>
      </c>
      <c r="BJ122" s="460">
        <f t="shared" si="436"/>
        <v>46.784842652742441</v>
      </c>
      <c r="BK122">
        <f t="shared" si="353"/>
        <v>0.1920751829083707</v>
      </c>
      <c r="BL122" s="460">
        <f t="shared" si="437"/>
        <v>232.62611612960586</v>
      </c>
      <c r="BM122" s="173">
        <f t="shared" si="354"/>
        <v>0.10415999999999999</v>
      </c>
      <c r="BN122" s="173">
        <f t="shared" si="355"/>
        <v>1.0416E-2</v>
      </c>
      <c r="BO122" s="528"/>
      <c r="BQ122" s="460">
        <f t="shared" si="356"/>
        <v>114.57599999999998</v>
      </c>
      <c r="BR122" s="528">
        <f t="shared" si="357"/>
        <v>1.4812683980749763E-2</v>
      </c>
      <c r="BS122" s="528">
        <f t="shared" si="358"/>
        <v>1.537982699698205E-2</v>
      </c>
      <c r="BT122" s="528">
        <f t="shared" si="359"/>
        <v>2.5702370304753765E-5</v>
      </c>
      <c r="BU122" s="528">
        <f t="shared" si="360"/>
        <v>5.8243127115897249E-2</v>
      </c>
      <c r="BV122" s="528"/>
      <c r="BW122" s="625">
        <f t="shared" si="361"/>
        <v>0.11866628705703862</v>
      </c>
      <c r="BX122" s="460">
        <f t="shared" si="362"/>
        <v>207.12762752097242</v>
      </c>
      <c r="BY122" s="173">
        <f t="shared" si="363"/>
        <v>0.55432974365057819</v>
      </c>
      <c r="BZ122" s="5">
        <f t="shared" si="364"/>
        <v>3.0960000000000001</v>
      </c>
      <c r="CA122" s="173">
        <f t="shared" si="365"/>
        <v>0.84814255626774948</v>
      </c>
      <c r="CB122" s="5">
        <f t="shared" si="366"/>
        <v>84.814255626774951</v>
      </c>
      <c r="CC122">
        <f t="shared" si="367"/>
        <v>12</v>
      </c>
      <c r="CE122" s="562">
        <f t="shared" si="368"/>
        <v>-50</v>
      </c>
      <c r="CF122">
        <f t="shared" si="369"/>
        <v>-50</v>
      </c>
      <c r="CG122" s="173">
        <f t="shared" si="370"/>
        <v>0.16257859123641055</v>
      </c>
      <c r="CH122" s="173">
        <f t="shared" si="371"/>
        <v>4.4313424085961187E-2</v>
      </c>
      <c r="CI122" s="170">
        <v>12</v>
      </c>
      <c r="CJ122" s="217">
        <f t="shared" si="438"/>
        <v>0.12</v>
      </c>
      <c r="CK122" s="217">
        <f t="shared" si="372"/>
        <v>1.2E-2</v>
      </c>
      <c r="CL122" s="217">
        <f t="shared" si="373"/>
        <v>2.88</v>
      </c>
      <c r="CM122" s="217">
        <f t="shared" si="374"/>
        <v>0.216</v>
      </c>
      <c r="CN122" s="541">
        <f t="shared" si="375"/>
        <v>9</v>
      </c>
      <c r="CO122" s="443">
        <f t="shared" si="376"/>
        <v>16.474900000000002</v>
      </c>
      <c r="CP122" s="443">
        <f t="shared" si="377"/>
        <v>25.474900000000002</v>
      </c>
      <c r="CQ122" s="443"/>
      <c r="CR122" s="217">
        <f t="shared" si="378"/>
        <v>0.64485133082098534</v>
      </c>
      <c r="CS122" s="172">
        <f t="shared" si="379"/>
        <v>29.993085154464438</v>
      </c>
      <c r="CT122" s="172">
        <f t="shared" si="380"/>
        <v>2.4181924905786953</v>
      </c>
      <c r="CU122" s="217">
        <f t="shared" si="381"/>
        <v>1.2497118814360182</v>
      </c>
      <c r="CV122" s="217">
        <f t="shared" si="382"/>
        <v>1.6662825085813577</v>
      </c>
      <c r="CW122" s="217">
        <f t="shared" si="383"/>
        <v>24</v>
      </c>
      <c r="CX122" s="217">
        <f t="shared" si="384"/>
        <v>1.0669125845240643</v>
      </c>
      <c r="CY122" s="217">
        <f t="shared" si="385"/>
        <v>1.1854584272489606</v>
      </c>
      <c r="CZ122" s="217">
        <f t="shared" si="386"/>
        <v>0.64759882276922132</v>
      </c>
      <c r="DA122" s="197">
        <f t="shared" si="387"/>
        <v>261.91798593910079</v>
      </c>
      <c r="DB122" s="443">
        <f t="shared" si="388"/>
        <v>350</v>
      </c>
      <c r="DD122" s="217">
        <f t="shared" si="389"/>
        <v>2.2222222222222228</v>
      </c>
      <c r="DE122" s="173">
        <f t="shared" si="390"/>
        <v>1.3488532386977905</v>
      </c>
      <c r="DF122" s="173">
        <f t="shared" si="391"/>
        <v>0.24355939229558116</v>
      </c>
      <c r="DG122" s="173"/>
      <c r="DH122" s="173">
        <f t="shared" si="392"/>
        <v>1.3488532386977903</v>
      </c>
      <c r="DI122" s="545">
        <f t="shared" si="393"/>
        <v>120.04199999999996</v>
      </c>
      <c r="DJ122" s="528">
        <f t="shared" si="394"/>
        <v>0.26182634671774968</v>
      </c>
      <c r="DL122" s="173">
        <f t="shared" si="395"/>
        <v>1.3300912965442848</v>
      </c>
      <c r="DM122" s="173">
        <f t="shared" si="396"/>
        <v>2.2222222222222223</v>
      </c>
      <c r="DN122" s="173">
        <f t="shared" si="397"/>
        <v>1.0685954285714285</v>
      </c>
      <c r="DP122" s="545">
        <f t="shared" si="398"/>
        <v>120</v>
      </c>
      <c r="DQ122" s="460">
        <f t="shared" si="399"/>
        <v>120.04199999999996</v>
      </c>
      <c r="DS122" s="460">
        <f t="shared" si="400"/>
        <v>120</v>
      </c>
      <c r="DT122" s="460">
        <f t="shared" si="401"/>
        <v>120.04199999999996</v>
      </c>
      <c r="DV122" s="5">
        <f t="shared" si="402"/>
        <v>8.3304176871428357</v>
      </c>
      <c r="DW122" s="5">
        <f t="shared" si="403"/>
        <v>2.4691358024691361</v>
      </c>
      <c r="DX122" s="5">
        <f t="shared" si="404"/>
        <v>5.8612818846736996</v>
      </c>
      <c r="DY122" s="173">
        <f t="shared" si="405"/>
        <v>0.29639999999999994</v>
      </c>
      <c r="EA122" s="5">
        <f t="shared" si="406"/>
        <v>1.2345679012345681</v>
      </c>
      <c r="EB122" s="5">
        <f t="shared" si="407"/>
        <v>0.16460905349794239</v>
      </c>
      <c r="EC122" s="5">
        <f t="shared" si="408"/>
        <v>1.563008502579653</v>
      </c>
      <c r="ED122" s="5"/>
      <c r="EE122" s="173">
        <f t="shared" si="409"/>
        <v>0.69849927313340932</v>
      </c>
      <c r="EF122" s="173">
        <f t="shared" si="410"/>
        <v>0.7178200886508973</v>
      </c>
      <c r="EG122" s="173">
        <f t="shared" si="411"/>
        <v>7.1879011579772278E-2</v>
      </c>
      <c r="EH122" s="173"/>
      <c r="EI122" s="528">
        <f t="shared" si="412"/>
        <v>1.9516049382716047E-2</v>
      </c>
      <c r="EJ122" s="528">
        <f t="shared" si="413"/>
        <v>0.18688131890999995</v>
      </c>
      <c r="EK122" s="528">
        <f t="shared" si="414"/>
        <v>2.4008399999999992E-2</v>
      </c>
      <c r="EL122" s="528">
        <f t="shared" si="415"/>
        <v>1.3633151063605568E-2</v>
      </c>
      <c r="EM122">
        <f t="shared" si="416"/>
        <v>4.0499999999999998E-3</v>
      </c>
      <c r="EN122" s="460">
        <f t="shared" si="417"/>
        <v>28.058399999999992</v>
      </c>
      <c r="EP122" s="460">
        <f t="shared" si="439"/>
        <v>248.08891935632155</v>
      </c>
      <c r="EQ122" s="173">
        <f t="shared" si="418"/>
        <v>8.3999999999999991E-2</v>
      </c>
      <c r="ER122" s="173">
        <f t="shared" si="419"/>
        <v>7.4400000000000004E-3</v>
      </c>
      <c r="ES122" s="528"/>
      <c r="EU122" s="460">
        <f t="shared" si="420"/>
        <v>91.44</v>
      </c>
      <c r="EV122" s="528">
        <f t="shared" si="421"/>
        <v>1.4637037037037033E-2</v>
      </c>
      <c r="EW122" s="528">
        <f t="shared" si="422"/>
        <v>1.5457970390123461E-2</v>
      </c>
      <c r="EX122" s="528">
        <f t="shared" si="423"/>
        <v>2.5832961528425189E-5</v>
      </c>
      <c r="EY122" s="528">
        <f t="shared" si="424"/>
        <v>5.8112796656784649E-2</v>
      </c>
      <c r="EZ122" s="528"/>
      <c r="FA122" s="625">
        <f t="shared" si="425"/>
        <v>0.11855999999999998</v>
      </c>
      <c r="FB122" s="460">
        <f t="shared" si="426"/>
        <v>206.79363704547353</v>
      </c>
      <c r="FC122" s="173">
        <f t="shared" si="427"/>
        <v>0.54632255640179517</v>
      </c>
      <c r="FD122" s="5">
        <f t="shared" si="428"/>
        <v>3.0960000000000001</v>
      </c>
      <c r="FE122" s="173">
        <f t="shared" si="429"/>
        <v>0.85000709082133008</v>
      </c>
      <c r="FF122" s="5">
        <f t="shared" si="430"/>
        <v>85.000709082133014</v>
      </c>
      <c r="FG122">
        <f t="shared" si="431"/>
        <v>12</v>
      </c>
      <c r="FI122" s="562">
        <f t="shared" si="432"/>
        <v>-50</v>
      </c>
      <c r="FJ122">
        <f t="shared" si="433"/>
        <v>-50</v>
      </c>
    </row>
    <row r="123" spans="5:166">
      <c r="E123" s="170">
        <v>13</v>
      </c>
      <c r="F123" s="217">
        <f t="shared" si="434"/>
        <v>0.13</v>
      </c>
      <c r="G123" s="217">
        <f t="shared" si="313"/>
        <v>1.3000000000000001E-2</v>
      </c>
      <c r="H123" s="217">
        <f t="shared" si="314"/>
        <v>3.12</v>
      </c>
      <c r="I123" s="217">
        <f t="shared" si="315"/>
        <v>0.23400000000000001</v>
      </c>
      <c r="J123" s="541">
        <f t="shared" si="316"/>
        <v>8.901251807891633</v>
      </c>
      <c r="K123" s="443">
        <f t="shared" si="317"/>
        <v>16.489669472300989</v>
      </c>
      <c r="L123" s="172">
        <f t="shared" si="318"/>
        <v>25.390921280192622</v>
      </c>
      <c r="M123" s="443"/>
      <c r="N123" s="217">
        <f t="shared" si="319"/>
        <v>0.64943171184436421</v>
      </c>
      <c r="O123" s="172">
        <f t="shared" si="320"/>
        <v>29.874703871611391</v>
      </c>
      <c r="P123" s="172">
        <f t="shared" si="321"/>
        <v>2.4086479996486685</v>
      </c>
      <c r="Q123" s="217">
        <f t="shared" si="322"/>
        <v>1.244779327983808</v>
      </c>
      <c r="R123" s="217">
        <f t="shared" si="323"/>
        <v>1.6597057706450773</v>
      </c>
      <c r="S123" s="217">
        <f t="shared" si="324"/>
        <v>24</v>
      </c>
      <c r="T123" s="217">
        <f t="shared" si="325"/>
        <v>1.1604020182308439</v>
      </c>
      <c r="U123" s="217">
        <f t="shared" si="326"/>
        <v>1.3036391321971814</v>
      </c>
      <c r="V123" s="217">
        <f t="shared" si="327"/>
        <v>0.7037145409009341</v>
      </c>
      <c r="W123" s="197">
        <f t="shared" si="328"/>
        <v>260.13398396205616</v>
      </c>
      <c r="X123" s="443">
        <f t="shared" si="435"/>
        <v>350</v>
      </c>
      <c r="Z123" s="217">
        <f t="shared" si="329"/>
        <v>2.2222222222222223</v>
      </c>
      <c r="AA123" s="173">
        <f t="shared" si="330"/>
        <v>1.3476450974078444</v>
      </c>
      <c r="AB123" s="173">
        <f t="shared" si="331"/>
        <v>0.24168377074915673</v>
      </c>
      <c r="AC123" s="173"/>
      <c r="AD123" s="173">
        <f t="shared" si="332"/>
        <v>1.3476450974078444</v>
      </c>
      <c r="AE123" s="545">
        <f t="shared" si="333"/>
        <v>130.16208361568917</v>
      </c>
      <c r="AF123" s="528">
        <f t="shared" si="334"/>
        <v>0.25981005355534348</v>
      </c>
      <c r="AH123" s="173">
        <f t="shared" si="335"/>
        <v>1.3844029141010317</v>
      </c>
      <c r="AI123" s="173">
        <f t="shared" si="336"/>
        <v>2.2222222222222223</v>
      </c>
      <c r="AJ123" s="173">
        <f t="shared" si="337"/>
        <v>1.0743783334946795</v>
      </c>
      <c r="AL123" s="545">
        <f t="shared" si="338"/>
        <v>130</v>
      </c>
      <c r="AM123" s="460">
        <f t="shared" si="339"/>
        <v>130.16208361568917</v>
      </c>
      <c r="AO123" s="460">
        <f t="shared" si="340"/>
        <v>130</v>
      </c>
      <c r="AP123" s="460">
        <f t="shared" si="341"/>
        <v>130.16208361568917</v>
      </c>
      <c r="AR123" s="5">
        <f t="shared" si="275"/>
        <v>7.6827288886413028</v>
      </c>
      <c r="AS123" s="5">
        <f t="shared" si="440"/>
        <v>2.496527758322773</v>
      </c>
      <c r="AT123" s="5">
        <f t="shared" si="441"/>
        <v>5.1862011303185298</v>
      </c>
      <c r="AU123" s="173">
        <f t="shared" si="442"/>
        <v>0.32495325482769782</v>
      </c>
      <c r="AW123" s="5">
        <f t="shared" si="342"/>
        <v>1.3522858690915021</v>
      </c>
      <c r="AX123" s="5">
        <f t="shared" si="343"/>
        <v>0.18030478254553362</v>
      </c>
      <c r="AY123" s="5">
        <f t="shared" si="344"/>
        <v>1.514856924603962</v>
      </c>
      <c r="AZ123" s="5"/>
      <c r="BA123" s="173">
        <f t="shared" si="345"/>
        <v>0.73137027358420181</v>
      </c>
      <c r="BB123" s="173">
        <f t="shared" si="346"/>
        <v>0.70310407756579441</v>
      </c>
      <c r="BC123" s="173">
        <f t="shared" si="347"/>
        <v>7.0405421821115352E-2</v>
      </c>
      <c r="BD123" s="173"/>
      <c r="BE123" s="528">
        <f t="shared" si="348"/>
        <v>2.1396099083305208E-2</v>
      </c>
      <c r="BF123" s="528">
        <f t="shared" si="349"/>
        <v>0.16524676093759066</v>
      </c>
      <c r="BG123" s="528">
        <f t="shared" si="350"/>
        <v>4.6344219284123807E-2</v>
      </c>
      <c r="BH123" s="528">
        <f t="shared" si="351"/>
        <v>1.4685186245706109E-2</v>
      </c>
      <c r="BI123">
        <f t="shared" si="352"/>
        <v>4.0055633135512346E-3</v>
      </c>
      <c r="BJ123" s="460">
        <f t="shared" si="436"/>
        <v>50.349782597675045</v>
      </c>
      <c r="BK123">
        <f t="shared" si="353"/>
        <v>0.20816323519356941</v>
      </c>
      <c r="BL123" s="460">
        <f t="shared" si="437"/>
        <v>251.67782886427702</v>
      </c>
      <c r="BM123" s="173">
        <f t="shared" si="354"/>
        <v>0.11284</v>
      </c>
      <c r="BN123" s="173">
        <f t="shared" si="355"/>
        <v>1.1284000000000001E-2</v>
      </c>
      <c r="BO123" s="528"/>
      <c r="BQ123" s="460">
        <f t="shared" si="356"/>
        <v>124.124</v>
      </c>
      <c r="BR123" s="528">
        <f t="shared" si="357"/>
        <v>1.6047074312478905E-2</v>
      </c>
      <c r="BS123" s="528">
        <f t="shared" si="358"/>
        <v>1.4830660316689399E-2</v>
      </c>
      <c r="BT123" s="528">
        <f t="shared" si="359"/>
        <v>2.478461710904593E-5</v>
      </c>
      <c r="BU123" s="528">
        <f t="shared" si="360"/>
        <v>7.1145911888671073E-2</v>
      </c>
      <c r="BV123" s="528"/>
      <c r="BW123" s="625">
        <f t="shared" si="361"/>
        <v>0.1285551443117918</v>
      </c>
      <c r="BX123" s="460">
        <f t="shared" si="362"/>
        <v>230.60357544674019</v>
      </c>
      <c r="BY123" s="173">
        <f t="shared" si="363"/>
        <v>0.6064054043110173</v>
      </c>
      <c r="BZ123" s="5">
        <f t="shared" si="364"/>
        <v>3.3540000000000001</v>
      </c>
      <c r="CA123" s="173">
        <f t="shared" si="365"/>
        <v>0.84688299747017637</v>
      </c>
      <c r="CB123" s="5">
        <f t="shared" si="366"/>
        <v>84.688299747017638</v>
      </c>
      <c r="CC123">
        <f t="shared" si="367"/>
        <v>13</v>
      </c>
      <c r="CE123" s="562">
        <f t="shared" si="368"/>
        <v>-50</v>
      </c>
      <c r="CF123">
        <f t="shared" si="369"/>
        <v>-50</v>
      </c>
      <c r="CG123" s="173">
        <f t="shared" si="370"/>
        <v>0.17612680717277812</v>
      </c>
      <c r="CH123" s="173">
        <f t="shared" si="371"/>
        <v>4.800620942645796E-2</v>
      </c>
      <c r="CI123" s="170">
        <v>13</v>
      </c>
      <c r="CJ123" s="217">
        <f t="shared" si="438"/>
        <v>0.13</v>
      </c>
      <c r="CK123" s="217">
        <f t="shared" si="372"/>
        <v>1.3000000000000001E-2</v>
      </c>
      <c r="CL123" s="217">
        <f t="shared" si="373"/>
        <v>3.12</v>
      </c>
      <c r="CM123" s="217">
        <f t="shared" si="374"/>
        <v>0.23400000000000001</v>
      </c>
      <c r="CN123" s="541">
        <f t="shared" si="375"/>
        <v>9</v>
      </c>
      <c r="CO123" s="443">
        <f t="shared" si="376"/>
        <v>16.474900000000002</v>
      </c>
      <c r="CP123" s="443">
        <f t="shared" si="377"/>
        <v>25.474900000000002</v>
      </c>
      <c r="CQ123" s="443"/>
      <c r="CR123" s="217">
        <f t="shared" si="378"/>
        <v>0.64485133082098534</v>
      </c>
      <c r="CS123" s="172">
        <f t="shared" si="379"/>
        <v>29.993085154464438</v>
      </c>
      <c r="CT123" s="172">
        <f t="shared" si="380"/>
        <v>2.4181924905786953</v>
      </c>
      <c r="CU123" s="217">
        <f t="shared" si="381"/>
        <v>1.2497118814360182</v>
      </c>
      <c r="CV123" s="217">
        <f t="shared" si="382"/>
        <v>1.6662825085813577</v>
      </c>
      <c r="CW123" s="217">
        <f t="shared" si="383"/>
        <v>24</v>
      </c>
      <c r="CX123" s="217">
        <f t="shared" si="384"/>
        <v>1.1558219665677365</v>
      </c>
      <c r="CY123" s="217">
        <f t="shared" si="385"/>
        <v>1.2842466295197075</v>
      </c>
      <c r="CZ123" s="217">
        <f t="shared" si="386"/>
        <v>0.70156539133332319</v>
      </c>
      <c r="DA123" s="197">
        <f t="shared" si="387"/>
        <v>261.91798593910079</v>
      </c>
      <c r="DB123" s="443">
        <f t="shared" si="388"/>
        <v>350</v>
      </c>
      <c r="DD123" s="217">
        <f t="shared" si="389"/>
        <v>2.2222222222222228</v>
      </c>
      <c r="DE123" s="173">
        <f t="shared" si="390"/>
        <v>1.3488532386977905</v>
      </c>
      <c r="DF123" s="173">
        <f t="shared" si="391"/>
        <v>0.24355939229558116</v>
      </c>
      <c r="DG123" s="173"/>
      <c r="DH123" s="173">
        <f t="shared" si="392"/>
        <v>1.3488532386977903</v>
      </c>
      <c r="DI123" s="545">
        <f t="shared" si="393"/>
        <v>130.04549999999995</v>
      </c>
      <c r="DJ123" s="528">
        <f t="shared" si="394"/>
        <v>0.26182634671774968</v>
      </c>
      <c r="DL123" s="173">
        <f t="shared" si="395"/>
        <v>1.3844029141010317</v>
      </c>
      <c r="DM123" s="173">
        <f t="shared" si="396"/>
        <v>2.2222222222222223</v>
      </c>
      <c r="DN123" s="173">
        <f t="shared" si="397"/>
        <v>1.0743117142857144</v>
      </c>
      <c r="DP123" s="545">
        <f t="shared" si="398"/>
        <v>130</v>
      </c>
      <c r="DQ123" s="460">
        <f t="shared" si="399"/>
        <v>130.04549999999995</v>
      </c>
      <c r="DS123" s="460">
        <f t="shared" si="400"/>
        <v>130</v>
      </c>
      <c r="DT123" s="460">
        <f t="shared" si="401"/>
        <v>130.04549999999995</v>
      </c>
      <c r="DV123" s="5">
        <f t="shared" si="402"/>
        <v>7.6896163265933879</v>
      </c>
      <c r="DW123" s="5">
        <f t="shared" si="403"/>
        <v>2.4691358024691361</v>
      </c>
      <c r="DX123" s="5">
        <f t="shared" si="404"/>
        <v>5.2204805241242518</v>
      </c>
      <c r="DY123" s="173">
        <f t="shared" si="405"/>
        <v>0.32109999999999989</v>
      </c>
      <c r="EA123" s="5">
        <f t="shared" si="406"/>
        <v>1.3374485596707821</v>
      </c>
      <c r="EB123" s="5">
        <f t="shared" si="407"/>
        <v>0.17832647462277096</v>
      </c>
      <c r="EC123" s="5">
        <f t="shared" si="408"/>
        <v>1.5081388180803392</v>
      </c>
      <c r="ED123" s="5"/>
      <c r="EE123" s="173">
        <f t="shared" si="409"/>
        <v>0.7270210937668129</v>
      </c>
      <c r="EF123" s="173">
        <f t="shared" si="410"/>
        <v>0.70510792694592184</v>
      </c>
      <c r="EG123" s="173">
        <f t="shared" si="411"/>
        <v>7.0606077549584867E-2</v>
      </c>
      <c r="EH123" s="173"/>
      <c r="EI123" s="528">
        <f t="shared" si="412"/>
        <v>2.1142386831275718E-2</v>
      </c>
      <c r="EJ123" s="528">
        <f t="shared" si="413"/>
        <v>0.20245476215249994</v>
      </c>
      <c r="EK123" s="528">
        <f t="shared" si="414"/>
        <v>2.6009099999999986E-2</v>
      </c>
      <c r="EL123" s="528">
        <f t="shared" si="415"/>
        <v>1.47692469855727E-2</v>
      </c>
      <c r="EM123">
        <f t="shared" si="416"/>
        <v>4.0499999999999998E-3</v>
      </c>
      <c r="EN123" s="460">
        <f t="shared" si="417"/>
        <v>30.059099999999983</v>
      </c>
      <c r="EP123" s="460">
        <f t="shared" si="439"/>
        <v>268.42549596934833</v>
      </c>
      <c r="EQ123" s="173">
        <f t="shared" si="418"/>
        <v>9.0999999999999998E-2</v>
      </c>
      <c r="ER123" s="173">
        <f t="shared" si="419"/>
        <v>8.0600000000000012E-3</v>
      </c>
      <c r="ES123" s="528"/>
      <c r="EU123" s="460">
        <f t="shared" si="420"/>
        <v>99.06</v>
      </c>
      <c r="EV123" s="528">
        <f t="shared" si="421"/>
        <v>1.5856790123456786E-2</v>
      </c>
      <c r="EW123" s="528">
        <f t="shared" si="422"/>
        <v>1.4915315659259264E-2</v>
      </c>
      <c r="EX123" s="528">
        <f t="shared" si="423"/>
        <v>2.4926090934689962E-5</v>
      </c>
      <c r="EY123" s="528">
        <f t="shared" si="424"/>
        <v>7.0986708909374016E-2</v>
      </c>
      <c r="EZ123" s="528"/>
      <c r="FA123" s="625">
        <f t="shared" si="425"/>
        <v>0.12843999999999997</v>
      </c>
      <c r="FB123" s="460">
        <f t="shared" si="426"/>
        <v>230.22374078302471</v>
      </c>
      <c r="FC123" s="173">
        <f t="shared" si="427"/>
        <v>0.59770923675237309</v>
      </c>
      <c r="FD123" s="5">
        <f t="shared" si="428"/>
        <v>3.3540000000000001</v>
      </c>
      <c r="FE123" s="173">
        <f t="shared" si="429"/>
        <v>0.84874665595498422</v>
      </c>
      <c r="FF123" s="5">
        <f t="shared" si="430"/>
        <v>84.874665595498428</v>
      </c>
      <c r="FG123">
        <f t="shared" si="431"/>
        <v>13</v>
      </c>
      <c r="FI123" s="562">
        <f t="shared" si="432"/>
        <v>-50</v>
      </c>
      <c r="FJ123">
        <f t="shared" si="433"/>
        <v>-50</v>
      </c>
    </row>
    <row r="124" spans="5:166">
      <c r="E124" s="170">
        <v>14</v>
      </c>
      <c r="F124" s="217">
        <f t="shared" si="434"/>
        <v>0.14000000000000001</v>
      </c>
      <c r="G124" s="217">
        <f t="shared" si="313"/>
        <v>1.4000000000000002E-2</v>
      </c>
      <c r="H124" s="217">
        <f t="shared" si="314"/>
        <v>3.3600000000000003</v>
      </c>
      <c r="I124" s="217">
        <f t="shared" si="315"/>
        <v>0.25200000000000006</v>
      </c>
      <c r="J124" s="541">
        <f t="shared" si="316"/>
        <v>8.901251807891633</v>
      </c>
      <c r="K124" s="443">
        <f t="shared" si="317"/>
        <v>16.489669472300989</v>
      </c>
      <c r="L124" s="172">
        <f t="shared" si="318"/>
        <v>25.390921280192622</v>
      </c>
      <c r="M124" s="443"/>
      <c r="N124" s="217">
        <f t="shared" si="319"/>
        <v>0.64943171184436421</v>
      </c>
      <c r="O124" s="172">
        <f t="shared" si="320"/>
        <v>29.874703871611391</v>
      </c>
      <c r="P124" s="172">
        <f t="shared" si="321"/>
        <v>2.4086479996486685</v>
      </c>
      <c r="Q124" s="217">
        <f t="shared" si="322"/>
        <v>1.244779327983808</v>
      </c>
      <c r="R124" s="217">
        <f t="shared" si="323"/>
        <v>1.6597057706450773</v>
      </c>
      <c r="S124" s="217">
        <f t="shared" si="324"/>
        <v>24</v>
      </c>
      <c r="T124" s="217">
        <f t="shared" si="325"/>
        <v>1.2496637119409089</v>
      </c>
      <c r="U124" s="217">
        <f t="shared" si="326"/>
        <v>1.4039190654431186</v>
      </c>
      <c r="V124" s="217">
        <f t="shared" si="327"/>
        <v>0.75784642866254459</v>
      </c>
      <c r="W124" s="197">
        <f t="shared" si="328"/>
        <v>260.13398396205616</v>
      </c>
      <c r="X124" s="443">
        <f t="shared" si="435"/>
        <v>350</v>
      </c>
      <c r="Z124" s="217">
        <f t="shared" si="329"/>
        <v>2.2222222222222223</v>
      </c>
      <c r="AA124" s="173">
        <f t="shared" si="330"/>
        <v>1.3476450974078444</v>
      </c>
      <c r="AB124" s="173">
        <f t="shared" si="331"/>
        <v>0.24168377074915673</v>
      </c>
      <c r="AC124" s="173"/>
      <c r="AD124" s="173">
        <f t="shared" si="332"/>
        <v>1.3476450974078444</v>
      </c>
      <c r="AE124" s="545">
        <f t="shared" si="333"/>
        <v>140.17455158612682</v>
      </c>
      <c r="AF124" s="528">
        <f t="shared" si="334"/>
        <v>0.25981005355534348</v>
      </c>
      <c r="AH124" s="173">
        <f t="shared" si="335"/>
        <v>1.4366627996854378</v>
      </c>
      <c r="AI124" s="173">
        <f t="shared" si="336"/>
        <v>2.2222222222222223</v>
      </c>
      <c r="AJ124" s="173">
        <f t="shared" si="337"/>
        <v>1.0800997437635012</v>
      </c>
      <c r="AL124" s="545">
        <f t="shared" si="338"/>
        <v>140</v>
      </c>
      <c r="AM124" s="460">
        <f t="shared" si="339"/>
        <v>140.17455158612682</v>
      </c>
      <c r="AO124" s="460">
        <f t="shared" si="340"/>
        <v>140</v>
      </c>
      <c r="AP124" s="460">
        <f t="shared" si="341"/>
        <v>140.17455158612682</v>
      </c>
      <c r="AR124" s="5">
        <f t="shared" si="275"/>
        <v>7.1339625394526367</v>
      </c>
      <c r="AS124" s="5">
        <f t="shared" si="440"/>
        <v>2.496527758322773</v>
      </c>
      <c r="AT124" s="5">
        <f t="shared" si="441"/>
        <v>4.6374347811298637</v>
      </c>
      <c r="AU124" s="173">
        <f t="shared" si="442"/>
        <v>0.34994965904521314</v>
      </c>
      <c r="AW124" s="5">
        <f t="shared" si="342"/>
        <v>1.4563078590216176</v>
      </c>
      <c r="AX124" s="5">
        <f t="shared" si="343"/>
        <v>0.19417438120288238</v>
      </c>
      <c r="AY124" s="5">
        <f t="shared" si="344"/>
        <v>1.4587630669712763</v>
      </c>
      <c r="AZ124" s="5"/>
      <c r="BA124" s="173">
        <f t="shared" si="345"/>
        <v>0.75897880172874521</v>
      </c>
      <c r="BB124" s="173">
        <f t="shared" si="346"/>
        <v>0.68996361344631185</v>
      </c>
      <c r="BC124" s="173">
        <f t="shared" si="347"/>
        <v>6.9089599670772578E-2</v>
      </c>
      <c r="BD124" s="173"/>
      <c r="BE124" s="528">
        <f t="shared" si="348"/>
        <v>2.3041952858944077E-2</v>
      </c>
      <c r="BF124" s="528">
        <f t="shared" si="349"/>
        <v>0.17795805024048231</v>
      </c>
      <c r="BG124" s="528">
        <f t="shared" si="350"/>
        <v>4.9909159229056414E-2</v>
      </c>
      <c r="BH124" s="528">
        <f t="shared" si="351"/>
        <v>1.5814815956914273E-2</v>
      </c>
      <c r="BI124">
        <f t="shared" si="352"/>
        <v>4.0055633135512346E-3</v>
      </c>
      <c r="BJ124" s="460">
        <f t="shared" si="436"/>
        <v>53.914722542607649</v>
      </c>
      <c r="BK124">
        <f t="shared" si="353"/>
        <v>0.22426393936689509</v>
      </c>
      <c r="BL124" s="460">
        <f t="shared" si="437"/>
        <v>270.72954159894829</v>
      </c>
      <c r="BM124" s="173">
        <f t="shared" si="354"/>
        <v>0.12152</v>
      </c>
      <c r="BN124" s="173">
        <f t="shared" si="355"/>
        <v>1.2152000000000001E-2</v>
      </c>
      <c r="BO124" s="528"/>
      <c r="BQ124" s="460">
        <f t="shared" si="356"/>
        <v>133.67200000000003</v>
      </c>
      <c r="BR124" s="528">
        <f t="shared" si="357"/>
        <v>1.7281464644208058E-2</v>
      </c>
      <c r="BS124" s="528">
        <f t="shared" si="358"/>
        <v>1.4281493636396749E-2</v>
      </c>
      <c r="BT124" s="528">
        <f t="shared" si="359"/>
        <v>2.3866863913338089E-5</v>
      </c>
      <c r="BU124" s="528">
        <f t="shared" si="360"/>
        <v>8.562718338344627E-2</v>
      </c>
      <c r="BV124" s="528"/>
      <c r="BW124" s="625">
        <f t="shared" si="361"/>
        <v>0.13844400156654507</v>
      </c>
      <c r="BX124" s="460">
        <f t="shared" si="362"/>
        <v>255.65801009450951</v>
      </c>
      <c r="BY124" s="173">
        <f t="shared" si="363"/>
        <v>0.66005955169345776</v>
      </c>
      <c r="BZ124" s="5">
        <f t="shared" si="364"/>
        <v>3.6120000000000005</v>
      </c>
      <c r="CA124" s="173">
        <f t="shared" si="365"/>
        <v>0.84549383179084936</v>
      </c>
      <c r="CB124" s="5">
        <f t="shared" si="366"/>
        <v>84.549383179084941</v>
      </c>
      <c r="CC124">
        <f t="shared" si="367"/>
        <v>14.000000000000002</v>
      </c>
      <c r="CE124" s="562">
        <f t="shared" si="368"/>
        <v>-50</v>
      </c>
      <c r="CF124">
        <f t="shared" si="369"/>
        <v>-50</v>
      </c>
      <c r="CG124" s="173">
        <f t="shared" si="370"/>
        <v>0.18967502310914564</v>
      </c>
      <c r="CH124" s="173">
        <f t="shared" si="371"/>
        <v>5.1698994766954734E-2</v>
      </c>
      <c r="CI124" s="170">
        <v>14</v>
      </c>
      <c r="CJ124" s="217">
        <f t="shared" si="438"/>
        <v>0.14000000000000001</v>
      </c>
      <c r="CK124" s="217">
        <f t="shared" si="372"/>
        <v>1.4000000000000002E-2</v>
      </c>
      <c r="CL124" s="217">
        <f t="shared" si="373"/>
        <v>3.3600000000000003</v>
      </c>
      <c r="CM124" s="217">
        <f t="shared" si="374"/>
        <v>0.25200000000000006</v>
      </c>
      <c r="CN124" s="541">
        <f t="shared" si="375"/>
        <v>9</v>
      </c>
      <c r="CO124" s="443">
        <f t="shared" si="376"/>
        <v>16.474900000000002</v>
      </c>
      <c r="CP124" s="443">
        <f t="shared" si="377"/>
        <v>25.474900000000002</v>
      </c>
      <c r="CQ124" s="443"/>
      <c r="CR124" s="217">
        <f t="shared" si="378"/>
        <v>0.64485133082098534</v>
      </c>
      <c r="CS124" s="172">
        <f t="shared" si="379"/>
        <v>29.993085154464438</v>
      </c>
      <c r="CT124" s="172">
        <f t="shared" si="380"/>
        <v>2.4181924905786953</v>
      </c>
      <c r="CU124" s="217">
        <f t="shared" si="381"/>
        <v>1.2497118814360182</v>
      </c>
      <c r="CV124" s="217">
        <f t="shared" si="382"/>
        <v>1.6662825085813577</v>
      </c>
      <c r="CW124" s="217">
        <f t="shared" si="383"/>
        <v>24</v>
      </c>
      <c r="CX124" s="217">
        <f t="shared" si="384"/>
        <v>1.2447313486114087</v>
      </c>
      <c r="CY124" s="217">
        <f t="shared" si="385"/>
        <v>1.3830348317904544</v>
      </c>
      <c r="CZ124" s="217">
        <f t="shared" si="386"/>
        <v>0.75553195989742494</v>
      </c>
      <c r="DA124" s="197">
        <f t="shared" si="387"/>
        <v>261.91798593910079</v>
      </c>
      <c r="DB124" s="443">
        <f t="shared" si="388"/>
        <v>350</v>
      </c>
      <c r="DD124" s="217">
        <f t="shared" si="389"/>
        <v>2.2222222222222228</v>
      </c>
      <c r="DE124" s="173">
        <f t="shared" si="390"/>
        <v>1.3488532386977905</v>
      </c>
      <c r="DF124" s="173">
        <f t="shared" si="391"/>
        <v>0.24355939229558116</v>
      </c>
      <c r="DG124" s="173"/>
      <c r="DH124" s="173">
        <f t="shared" si="392"/>
        <v>1.3488532386977903</v>
      </c>
      <c r="DI124" s="545">
        <f t="shared" si="393"/>
        <v>140.04899999999998</v>
      </c>
      <c r="DJ124" s="528">
        <f t="shared" si="394"/>
        <v>0.26182634671774968</v>
      </c>
      <c r="DL124" s="173">
        <f t="shared" si="395"/>
        <v>1.4366627996854378</v>
      </c>
      <c r="DM124" s="173">
        <f t="shared" si="396"/>
        <v>2.2222222222222223</v>
      </c>
      <c r="DN124" s="173">
        <f t="shared" si="397"/>
        <v>1.080028</v>
      </c>
      <c r="DP124" s="545">
        <f t="shared" si="398"/>
        <v>140</v>
      </c>
      <c r="DQ124" s="460">
        <f t="shared" si="399"/>
        <v>140.04899999999998</v>
      </c>
      <c r="DS124" s="460">
        <f t="shared" si="400"/>
        <v>140</v>
      </c>
      <c r="DT124" s="460">
        <f t="shared" si="401"/>
        <v>140.04899999999998</v>
      </c>
      <c r="DV124" s="5">
        <f t="shared" si="402"/>
        <v>7.1403580175510006</v>
      </c>
      <c r="DW124" s="5">
        <f t="shared" si="403"/>
        <v>2.4691358024691361</v>
      </c>
      <c r="DX124" s="5">
        <f t="shared" si="404"/>
        <v>4.6712222150818645</v>
      </c>
      <c r="DY124" s="173">
        <f t="shared" si="405"/>
        <v>0.3458</v>
      </c>
      <c r="EA124" s="5">
        <f t="shared" si="406"/>
        <v>1.4403292181069962</v>
      </c>
      <c r="EB124" s="5">
        <f t="shared" si="407"/>
        <v>0.1920438957475995</v>
      </c>
      <c r="EC124" s="5">
        <f t="shared" si="408"/>
        <v>1.4532691335810244</v>
      </c>
      <c r="ED124" s="5"/>
      <c r="EE124" s="173">
        <f t="shared" si="409"/>
        <v>0.75446544453399911</v>
      </c>
      <c r="EF124" s="173">
        <f t="shared" si="410"/>
        <v>0.69216233472587108</v>
      </c>
      <c r="EG124" s="173">
        <f t="shared" si="411"/>
        <v>6.9309768923225726E-2</v>
      </c>
      <c r="EH124" s="173"/>
      <c r="EI124" s="528">
        <f t="shared" si="412"/>
        <v>2.2768724279835399E-2</v>
      </c>
      <c r="EJ124" s="528">
        <f t="shared" si="413"/>
        <v>0.21802820539500001</v>
      </c>
      <c r="EK124" s="528">
        <f t="shared" si="414"/>
        <v>2.8009799999999994E-2</v>
      </c>
      <c r="EL124" s="528">
        <f t="shared" si="415"/>
        <v>1.5905342907539834E-2</v>
      </c>
      <c r="EM124">
        <f t="shared" si="416"/>
        <v>4.0499999999999998E-3</v>
      </c>
      <c r="EN124" s="460">
        <f t="shared" si="417"/>
        <v>32.059799999999996</v>
      </c>
      <c r="EP124" s="460">
        <f t="shared" si="439"/>
        <v>288.7620725823752</v>
      </c>
      <c r="EQ124" s="173">
        <f t="shared" si="418"/>
        <v>9.8000000000000004E-2</v>
      </c>
      <c r="ER124" s="173">
        <f t="shared" si="419"/>
        <v>8.680000000000002E-3</v>
      </c>
      <c r="ES124" s="528"/>
      <c r="EU124" s="460">
        <f t="shared" si="420"/>
        <v>106.68</v>
      </c>
      <c r="EV124" s="528">
        <f t="shared" si="421"/>
        <v>1.7076543209876546E-2</v>
      </c>
      <c r="EW124" s="528">
        <f t="shared" si="422"/>
        <v>1.4372660928395063E-2</v>
      </c>
      <c r="EX124" s="528">
        <f t="shared" si="423"/>
        <v>2.4019220340954732E-5</v>
      </c>
      <c r="EY124" s="528">
        <f t="shared" si="424"/>
        <v>8.5435575709279385E-2</v>
      </c>
      <c r="EZ124" s="528"/>
      <c r="FA124" s="625">
        <f t="shared" si="425"/>
        <v>0.13832000000000003</v>
      </c>
      <c r="FB124" s="460">
        <f t="shared" si="426"/>
        <v>255.22879906789197</v>
      </c>
      <c r="FC124" s="173">
        <f t="shared" si="427"/>
        <v>0.65067087165026716</v>
      </c>
      <c r="FD124" s="5">
        <f t="shared" si="428"/>
        <v>3.6120000000000005</v>
      </c>
      <c r="FE124" s="173">
        <f t="shared" si="429"/>
        <v>0.8473560612015153</v>
      </c>
      <c r="FF124" s="5">
        <f t="shared" si="430"/>
        <v>84.73560612015153</v>
      </c>
      <c r="FG124">
        <f t="shared" si="431"/>
        <v>14.000000000000002</v>
      </c>
      <c r="FI124" s="562">
        <f t="shared" si="432"/>
        <v>-50</v>
      </c>
      <c r="FJ124">
        <f t="shared" si="433"/>
        <v>-50</v>
      </c>
    </row>
    <row r="125" spans="5:166">
      <c r="E125" s="170">
        <v>15</v>
      </c>
      <c r="F125" s="217">
        <f t="shared" si="434"/>
        <v>0.15</v>
      </c>
      <c r="G125" s="217">
        <f t="shared" si="313"/>
        <v>1.4999999999999999E-2</v>
      </c>
      <c r="H125" s="217">
        <f t="shared" si="314"/>
        <v>3.5999999999999996</v>
      </c>
      <c r="I125" s="217">
        <f t="shared" si="315"/>
        <v>0.27</v>
      </c>
      <c r="J125" s="541">
        <f t="shared" si="316"/>
        <v>8.901251807891633</v>
      </c>
      <c r="K125" s="443">
        <f t="shared" si="317"/>
        <v>16.489669472300989</v>
      </c>
      <c r="L125" s="172">
        <f t="shared" si="318"/>
        <v>25.390921280192622</v>
      </c>
      <c r="M125" s="443"/>
      <c r="N125" s="217">
        <f t="shared" si="319"/>
        <v>0.64943171184436421</v>
      </c>
      <c r="O125" s="172">
        <f t="shared" si="320"/>
        <v>29.874703871611391</v>
      </c>
      <c r="P125" s="172">
        <f t="shared" si="321"/>
        <v>2.4086479996486685</v>
      </c>
      <c r="Q125" s="217">
        <f t="shared" si="322"/>
        <v>1.244779327983808</v>
      </c>
      <c r="R125" s="217">
        <f t="shared" si="323"/>
        <v>1.6597057706450773</v>
      </c>
      <c r="S125" s="217">
        <f t="shared" si="324"/>
        <v>24</v>
      </c>
      <c r="T125" s="217">
        <f t="shared" si="325"/>
        <v>1.3389254056509736</v>
      </c>
      <c r="U125" s="217">
        <f t="shared" si="326"/>
        <v>1.5041989986890554</v>
      </c>
      <c r="V125" s="217">
        <f t="shared" si="327"/>
        <v>0.81197831642415474</v>
      </c>
      <c r="W125" s="197">
        <f t="shared" si="328"/>
        <v>260.13398396205616</v>
      </c>
      <c r="X125" s="443">
        <f t="shared" si="435"/>
        <v>350</v>
      </c>
      <c r="Z125" s="217">
        <f t="shared" si="329"/>
        <v>2.2222222222222223</v>
      </c>
      <c r="AA125" s="173">
        <f t="shared" si="330"/>
        <v>1.3476450974078444</v>
      </c>
      <c r="AB125" s="173">
        <f t="shared" si="331"/>
        <v>0.24168377074915673</v>
      </c>
      <c r="AC125" s="173"/>
      <c r="AD125" s="173">
        <f t="shared" si="332"/>
        <v>1.3476450974078444</v>
      </c>
      <c r="AE125" s="545">
        <f t="shared" si="333"/>
        <v>150.18701955656442</v>
      </c>
      <c r="AF125" s="528">
        <f t="shared" si="334"/>
        <v>0.25981005355534348</v>
      </c>
      <c r="AH125" s="173">
        <f t="shared" si="335"/>
        <v>1.4870872776769259</v>
      </c>
      <c r="AI125" s="173">
        <f t="shared" si="336"/>
        <v>2.2222222222222223</v>
      </c>
      <c r="AJ125" s="173">
        <f t="shared" si="337"/>
        <v>1.0858211540323226</v>
      </c>
      <c r="AL125" s="545">
        <f t="shared" si="338"/>
        <v>150</v>
      </c>
      <c r="AM125" s="460">
        <f t="shared" si="339"/>
        <v>150.18701955656442</v>
      </c>
      <c r="AO125" s="460">
        <f t="shared" si="340"/>
        <v>150</v>
      </c>
      <c r="AP125" s="460">
        <f t="shared" si="341"/>
        <v>150.18701955656442</v>
      </c>
      <c r="AR125" s="5">
        <f t="shared" si="275"/>
        <v>6.6583650368224632</v>
      </c>
      <c r="AS125" s="5">
        <f t="shared" si="440"/>
        <v>2.496527758322773</v>
      </c>
      <c r="AT125" s="5">
        <f t="shared" si="441"/>
        <v>4.1618372784996902</v>
      </c>
      <c r="AU125" s="173">
        <f t="shared" si="442"/>
        <v>0.37494606326272822</v>
      </c>
      <c r="AW125" s="5">
        <f t="shared" si="342"/>
        <v>1.5603298489517332</v>
      </c>
      <c r="AX125" s="5">
        <f t="shared" si="343"/>
        <v>0.20804397986023107</v>
      </c>
      <c r="AY125" s="5">
        <f t="shared" si="344"/>
        <v>1.4026692093385917</v>
      </c>
      <c r="AZ125" s="5"/>
      <c r="BA125" s="173">
        <f t="shared" si="345"/>
        <v>0.78561769701590434</v>
      </c>
      <c r="BB125" s="173">
        <f t="shared" si="346"/>
        <v>0.67656798022825237</v>
      </c>
      <c r="BC125" s="173">
        <f t="shared" si="347"/>
        <v>6.7748226128261479E-2</v>
      </c>
      <c r="BD125" s="173"/>
      <c r="BE125" s="528">
        <f t="shared" si="348"/>
        <v>2.4687806634582931E-2</v>
      </c>
      <c r="BF125" s="528">
        <f t="shared" si="349"/>
        <v>0.19066933954337384</v>
      </c>
      <c r="BG125" s="528">
        <f t="shared" si="350"/>
        <v>5.3474099173989008E-2</v>
      </c>
      <c r="BH125" s="528">
        <f t="shared" si="351"/>
        <v>1.6944445668122431E-2</v>
      </c>
      <c r="BI125">
        <f t="shared" si="352"/>
        <v>4.0055633135512346E-3</v>
      </c>
      <c r="BJ125" s="460">
        <f t="shared" si="436"/>
        <v>57.479662487540246</v>
      </c>
      <c r="BK125">
        <f t="shared" si="353"/>
        <v>0.24037731035867291</v>
      </c>
      <c r="BL125" s="460">
        <f t="shared" si="437"/>
        <v>289.78125433361942</v>
      </c>
      <c r="BM125" s="173">
        <f t="shared" si="354"/>
        <v>0.13019999999999998</v>
      </c>
      <c r="BN125" s="173">
        <f t="shared" si="355"/>
        <v>1.3019999999999999E-2</v>
      </c>
      <c r="BO125" s="528"/>
      <c r="BQ125" s="460">
        <f t="shared" si="356"/>
        <v>143.22</v>
      </c>
      <c r="BR125" s="528">
        <f t="shared" si="357"/>
        <v>1.8515854975937197E-2</v>
      </c>
      <c r="BS125" s="528">
        <f t="shared" si="358"/>
        <v>1.3732326956104107E-2</v>
      </c>
      <c r="BT125" s="528">
        <f t="shared" si="359"/>
        <v>2.2949110717630258E-5</v>
      </c>
      <c r="BU125" s="528">
        <f t="shared" si="360"/>
        <v>0.10174655582289643</v>
      </c>
      <c r="BV125" s="528"/>
      <c r="BW125" s="625">
        <f t="shared" si="361"/>
        <v>0.14833285882129824</v>
      </c>
      <c r="BX125" s="460">
        <f t="shared" si="362"/>
        <v>282.35054568695364</v>
      </c>
      <c r="BY125" s="173">
        <f t="shared" si="363"/>
        <v>0.71535180002057297</v>
      </c>
      <c r="BZ125" s="5">
        <f t="shared" si="364"/>
        <v>3.8699999999999997</v>
      </c>
      <c r="CA125" s="173">
        <f t="shared" si="365"/>
        <v>0.84399194844387659</v>
      </c>
      <c r="CB125" s="5">
        <f t="shared" si="366"/>
        <v>84.399194844387665</v>
      </c>
      <c r="CC125">
        <f t="shared" si="367"/>
        <v>15</v>
      </c>
      <c r="CE125" s="562">
        <f t="shared" si="368"/>
        <v>-50</v>
      </c>
      <c r="CF125">
        <f t="shared" si="369"/>
        <v>-50</v>
      </c>
      <c r="CG125" s="173">
        <f t="shared" si="370"/>
        <v>0.20322323904551318</v>
      </c>
      <c r="CH125" s="173">
        <f t="shared" si="371"/>
        <v>5.5391780107451487E-2</v>
      </c>
      <c r="CI125" s="170">
        <v>15</v>
      </c>
      <c r="CJ125" s="217">
        <f t="shared" si="438"/>
        <v>0.15</v>
      </c>
      <c r="CK125" s="217">
        <f t="shared" si="372"/>
        <v>1.4999999999999999E-2</v>
      </c>
      <c r="CL125" s="217">
        <f t="shared" si="373"/>
        <v>3.5999999999999996</v>
      </c>
      <c r="CM125" s="217">
        <f t="shared" si="374"/>
        <v>0.27</v>
      </c>
      <c r="CN125" s="541">
        <f t="shared" si="375"/>
        <v>9</v>
      </c>
      <c r="CO125" s="443">
        <f t="shared" si="376"/>
        <v>16.474900000000002</v>
      </c>
      <c r="CP125" s="443">
        <f t="shared" si="377"/>
        <v>25.474900000000002</v>
      </c>
      <c r="CQ125" s="443"/>
      <c r="CR125" s="217">
        <f t="shared" si="378"/>
        <v>0.64485133082098534</v>
      </c>
      <c r="CS125" s="172">
        <f t="shared" si="379"/>
        <v>29.993085154464438</v>
      </c>
      <c r="CT125" s="172">
        <f t="shared" si="380"/>
        <v>2.4181924905786953</v>
      </c>
      <c r="CU125" s="217">
        <f t="shared" si="381"/>
        <v>1.2497118814360182</v>
      </c>
      <c r="CV125" s="217">
        <f t="shared" si="382"/>
        <v>1.6662825085813577</v>
      </c>
      <c r="CW125" s="217">
        <f t="shared" si="383"/>
        <v>24</v>
      </c>
      <c r="CX125" s="217">
        <f t="shared" si="384"/>
        <v>1.3336407306550804</v>
      </c>
      <c r="CY125" s="217">
        <f t="shared" si="385"/>
        <v>1.4818230340612004</v>
      </c>
      <c r="CZ125" s="217">
        <f t="shared" si="386"/>
        <v>0.80949852846152659</v>
      </c>
      <c r="DA125" s="197">
        <f t="shared" si="387"/>
        <v>261.91798593910079</v>
      </c>
      <c r="DB125" s="443">
        <f t="shared" si="388"/>
        <v>350</v>
      </c>
      <c r="DD125" s="217">
        <f t="shared" si="389"/>
        <v>2.2222222222222228</v>
      </c>
      <c r="DE125" s="173">
        <f t="shared" si="390"/>
        <v>1.3488532386977905</v>
      </c>
      <c r="DF125" s="173">
        <f t="shared" si="391"/>
        <v>0.24355939229558116</v>
      </c>
      <c r="DG125" s="173"/>
      <c r="DH125" s="173">
        <f t="shared" si="392"/>
        <v>1.3488532386977903</v>
      </c>
      <c r="DI125" s="545">
        <f t="shared" si="393"/>
        <v>150.05249999999995</v>
      </c>
      <c r="DJ125" s="528">
        <f t="shared" si="394"/>
        <v>0.26182634671774968</v>
      </c>
      <c r="DL125" s="173">
        <f t="shared" si="395"/>
        <v>1.4870872776769259</v>
      </c>
      <c r="DM125" s="173">
        <f t="shared" si="396"/>
        <v>2.2222222222222223</v>
      </c>
      <c r="DN125" s="173">
        <f t="shared" si="397"/>
        <v>1.0857442857142856</v>
      </c>
      <c r="DP125" s="545">
        <f t="shared" si="398"/>
        <v>150</v>
      </c>
      <c r="DQ125" s="460">
        <f t="shared" si="399"/>
        <v>150.05249999999995</v>
      </c>
      <c r="DS125" s="460">
        <f t="shared" si="400"/>
        <v>150</v>
      </c>
      <c r="DT125" s="460">
        <f t="shared" si="401"/>
        <v>150.05249999999995</v>
      </c>
      <c r="DV125" s="5">
        <f t="shared" si="402"/>
        <v>6.6643341497142687</v>
      </c>
      <c r="DW125" s="5">
        <f t="shared" si="403"/>
        <v>2.4691358024691361</v>
      </c>
      <c r="DX125" s="5">
        <f t="shared" si="404"/>
        <v>4.1951983472451326</v>
      </c>
      <c r="DY125" s="173">
        <f t="shared" si="405"/>
        <v>0.37049999999999994</v>
      </c>
      <c r="EA125" s="5">
        <f t="shared" si="406"/>
        <v>1.5432098765432101</v>
      </c>
      <c r="EB125" s="5">
        <f t="shared" si="407"/>
        <v>0.20576131687242802</v>
      </c>
      <c r="EC125" s="5">
        <f t="shared" si="408"/>
        <v>1.3983994490817104</v>
      </c>
      <c r="ED125" s="5"/>
      <c r="EE125" s="173">
        <f t="shared" si="409"/>
        <v>0.78094592848024791</v>
      </c>
      <c r="EF125" s="173">
        <f t="shared" si="410"/>
        <v>0.67896996000144383</v>
      </c>
      <c r="EG125" s="173">
        <f t="shared" si="411"/>
        <v>6.798874869744187E-2</v>
      </c>
      <c r="EH125" s="173"/>
      <c r="EI125" s="528">
        <f t="shared" si="412"/>
        <v>2.4395061728395062E-2</v>
      </c>
      <c r="EJ125" s="528">
        <f t="shared" si="413"/>
        <v>0.23360164863749999</v>
      </c>
      <c r="EK125" s="528">
        <f t="shared" si="414"/>
        <v>3.0010499999999989E-2</v>
      </c>
      <c r="EL125" s="528">
        <f t="shared" si="415"/>
        <v>1.7041438829506962E-2</v>
      </c>
      <c r="EM125">
        <f t="shared" si="416"/>
        <v>4.0499999999999998E-3</v>
      </c>
      <c r="EN125" s="460">
        <f t="shared" si="417"/>
        <v>34.060499999999983</v>
      </c>
      <c r="EP125" s="460">
        <f t="shared" si="439"/>
        <v>309.098649195402</v>
      </c>
      <c r="EQ125" s="173">
        <f t="shared" si="418"/>
        <v>0.105</v>
      </c>
      <c r="ER125" s="173">
        <f t="shared" si="419"/>
        <v>9.2999999999999992E-3</v>
      </c>
      <c r="ES125" s="528"/>
      <c r="EU125" s="460">
        <f t="shared" si="420"/>
        <v>114.3</v>
      </c>
      <c r="EV125" s="528">
        <f t="shared" si="421"/>
        <v>1.8296296296296293E-2</v>
      </c>
      <c r="EW125" s="528">
        <f t="shared" si="422"/>
        <v>1.3830006197530867E-2</v>
      </c>
      <c r="EX125" s="528">
        <f t="shared" si="423"/>
        <v>2.3112349747219516E-5</v>
      </c>
      <c r="EY125" s="528">
        <f t="shared" si="424"/>
        <v>0.10151887788061946</v>
      </c>
      <c r="EZ125" s="528"/>
      <c r="FA125" s="625">
        <f t="shared" si="425"/>
        <v>0.1482</v>
      </c>
      <c r="FB125" s="460">
        <f t="shared" si="426"/>
        <v>281.86829272419385</v>
      </c>
      <c r="FC125" s="173">
        <f t="shared" si="427"/>
        <v>0.70526694191959582</v>
      </c>
      <c r="FD125" s="5">
        <f t="shared" si="428"/>
        <v>3.8699999999999997</v>
      </c>
      <c r="FE125" s="173">
        <f t="shared" si="429"/>
        <v>0.84585228558845693</v>
      </c>
      <c r="FF125" s="5">
        <f t="shared" si="430"/>
        <v>84.585228558845699</v>
      </c>
      <c r="FG125">
        <f t="shared" si="431"/>
        <v>15</v>
      </c>
      <c r="FI125" s="562">
        <f t="shared" si="432"/>
        <v>-50</v>
      </c>
      <c r="FJ125">
        <f t="shared" si="433"/>
        <v>-50</v>
      </c>
    </row>
    <row r="126" spans="5:166">
      <c r="E126" s="170">
        <v>16</v>
      </c>
      <c r="F126" s="217">
        <f t="shared" si="434"/>
        <v>0.16</v>
      </c>
      <c r="G126" s="217">
        <f t="shared" si="313"/>
        <v>1.6E-2</v>
      </c>
      <c r="H126" s="217">
        <f t="shared" si="314"/>
        <v>3.84</v>
      </c>
      <c r="I126" s="217">
        <f t="shared" si="315"/>
        <v>0.28800000000000003</v>
      </c>
      <c r="J126" s="541">
        <f t="shared" si="316"/>
        <v>8.901251807891633</v>
      </c>
      <c r="K126" s="443">
        <f t="shared" si="317"/>
        <v>16.489669472300989</v>
      </c>
      <c r="L126" s="172">
        <f t="shared" si="318"/>
        <v>25.390921280192622</v>
      </c>
      <c r="M126" s="443"/>
      <c r="N126" s="217">
        <f t="shared" si="319"/>
        <v>0.64943171184436421</v>
      </c>
      <c r="O126" s="172">
        <f t="shared" si="320"/>
        <v>29.874703871611391</v>
      </c>
      <c r="P126" s="172">
        <f t="shared" si="321"/>
        <v>2.4086479996486685</v>
      </c>
      <c r="Q126" s="217">
        <f t="shared" si="322"/>
        <v>1.244779327983808</v>
      </c>
      <c r="R126" s="217">
        <f t="shared" si="323"/>
        <v>1.6597057706450773</v>
      </c>
      <c r="S126" s="217">
        <f t="shared" si="324"/>
        <v>24</v>
      </c>
      <c r="T126" s="217">
        <f t="shared" si="325"/>
        <v>1.4281870993610386</v>
      </c>
      <c r="U126" s="217">
        <f t="shared" si="326"/>
        <v>1.6044789319349924</v>
      </c>
      <c r="V126" s="217">
        <f t="shared" si="327"/>
        <v>0.86611020418576512</v>
      </c>
      <c r="W126" s="197">
        <f t="shared" si="328"/>
        <v>260.13398396205616</v>
      </c>
      <c r="X126" s="443">
        <f t="shared" si="435"/>
        <v>350</v>
      </c>
      <c r="Z126" s="217">
        <f t="shared" si="329"/>
        <v>2.2222222222222223</v>
      </c>
      <c r="AA126" s="173">
        <f t="shared" si="330"/>
        <v>1.3476450974078444</v>
      </c>
      <c r="AB126" s="173">
        <f t="shared" si="331"/>
        <v>0.24168377074915673</v>
      </c>
      <c r="AC126" s="173"/>
      <c r="AD126" s="173">
        <f t="shared" si="332"/>
        <v>1.3476450974078444</v>
      </c>
      <c r="AE126" s="545">
        <f t="shared" si="333"/>
        <v>160.19948752700205</v>
      </c>
      <c r="AF126" s="528">
        <f t="shared" si="334"/>
        <v>0.25981005355534348</v>
      </c>
      <c r="AH126" s="173">
        <f t="shared" si="335"/>
        <v>1.5358571362132425</v>
      </c>
      <c r="AI126" s="173">
        <f t="shared" si="336"/>
        <v>2.2222222222222223</v>
      </c>
      <c r="AJ126" s="173">
        <f t="shared" si="337"/>
        <v>1.091542564301144</v>
      </c>
      <c r="AL126" s="545">
        <f t="shared" si="338"/>
        <v>160</v>
      </c>
      <c r="AM126" s="460">
        <f t="shared" si="339"/>
        <v>160.19948752700205</v>
      </c>
      <c r="AO126" s="460">
        <f t="shared" si="340"/>
        <v>160</v>
      </c>
      <c r="AP126" s="460">
        <f t="shared" si="341"/>
        <v>160.19948752700205</v>
      </c>
      <c r="AR126" s="5">
        <f t="shared" si="275"/>
        <v>6.2422172220210594</v>
      </c>
      <c r="AS126" s="5">
        <f t="shared" si="440"/>
        <v>2.496527758322773</v>
      </c>
      <c r="AT126" s="5">
        <f t="shared" si="441"/>
        <v>3.7456894636982865</v>
      </c>
      <c r="AU126" s="173">
        <f t="shared" si="442"/>
        <v>0.39994246748024342</v>
      </c>
      <c r="AW126" s="5">
        <f t="shared" si="342"/>
        <v>1.6643518388818486</v>
      </c>
      <c r="AX126" s="5">
        <f t="shared" si="343"/>
        <v>0.22191357851757984</v>
      </c>
      <c r="AY126" s="5">
        <f t="shared" si="344"/>
        <v>1.3465753517059069</v>
      </c>
      <c r="AZ126" s="5"/>
      <c r="BA126" s="173">
        <f t="shared" si="345"/>
        <v>0.81138246854091245</v>
      </c>
      <c r="BB126" s="173">
        <f t="shared" si="346"/>
        <v>0.66290170904922385</v>
      </c>
      <c r="BC126" s="173">
        <f t="shared" si="347"/>
        <v>6.6379752216956051E-2</v>
      </c>
      <c r="BD126" s="173"/>
      <c r="BE126" s="528">
        <f t="shared" si="348"/>
        <v>2.6333660410221792E-2</v>
      </c>
      <c r="BF126" s="528">
        <f t="shared" si="349"/>
        <v>0.2033806288462654</v>
      </c>
      <c r="BG126" s="528">
        <f t="shared" si="350"/>
        <v>5.7039039118921601E-2</v>
      </c>
      <c r="BH126" s="528">
        <f t="shared" si="351"/>
        <v>1.8074075379330597E-2</v>
      </c>
      <c r="BI126">
        <f t="shared" si="352"/>
        <v>4.0055633135512346E-3</v>
      </c>
      <c r="BJ126" s="460">
        <f t="shared" si="436"/>
        <v>61.044602432472836</v>
      </c>
      <c r="BK126">
        <f t="shared" si="353"/>
        <v>0.25650336312273003</v>
      </c>
      <c r="BL126" s="460">
        <f t="shared" si="437"/>
        <v>308.8329670682906</v>
      </c>
      <c r="BM126" s="173">
        <f t="shared" si="354"/>
        <v>0.13887999999999998</v>
      </c>
      <c r="BN126" s="173">
        <f t="shared" si="355"/>
        <v>1.3887999999999999E-2</v>
      </c>
      <c r="BO126" s="528"/>
      <c r="BQ126" s="460">
        <f t="shared" si="356"/>
        <v>152.768</v>
      </c>
      <c r="BR126" s="528">
        <f t="shared" si="357"/>
        <v>1.9750245307666343E-2</v>
      </c>
      <c r="BS126" s="528">
        <f t="shared" si="358"/>
        <v>1.3183160275811455E-2</v>
      </c>
      <c r="BT126" s="528">
        <f t="shared" si="359"/>
        <v>2.203135752192241E-5</v>
      </c>
      <c r="BU126" s="528">
        <f t="shared" si="360"/>
        <v>0.11956154708909808</v>
      </c>
      <c r="BV126" s="528"/>
      <c r="BW126" s="625">
        <f t="shared" si="361"/>
        <v>0.15822171607605146</v>
      </c>
      <c r="BX126" s="460">
        <f t="shared" si="362"/>
        <v>310.73870010614922</v>
      </c>
      <c r="BY126" s="173">
        <f t="shared" si="363"/>
        <v>0.7723396671744398</v>
      </c>
      <c r="BZ126" s="5">
        <f t="shared" si="364"/>
        <v>4.1280000000000001</v>
      </c>
      <c r="CA126" s="173">
        <f t="shared" si="365"/>
        <v>0.84239058521839683</v>
      </c>
      <c r="CB126" s="5">
        <f t="shared" si="366"/>
        <v>84.239058521839681</v>
      </c>
      <c r="CC126">
        <f t="shared" si="367"/>
        <v>16</v>
      </c>
      <c r="CE126" s="562">
        <f t="shared" si="368"/>
        <v>-50</v>
      </c>
      <c r="CF126">
        <f t="shared" si="369"/>
        <v>-50</v>
      </c>
      <c r="CG126" s="173">
        <f t="shared" si="370"/>
        <v>0.21677145498188072</v>
      </c>
      <c r="CH126" s="173">
        <f t="shared" si="371"/>
        <v>5.908456544794826E-2</v>
      </c>
      <c r="CI126" s="170">
        <v>16</v>
      </c>
      <c r="CJ126" s="217">
        <f t="shared" si="438"/>
        <v>0.16</v>
      </c>
      <c r="CK126" s="217">
        <f t="shared" si="372"/>
        <v>1.6E-2</v>
      </c>
      <c r="CL126" s="217">
        <f t="shared" si="373"/>
        <v>3.84</v>
      </c>
      <c r="CM126" s="217">
        <f t="shared" si="374"/>
        <v>0.28800000000000003</v>
      </c>
      <c r="CN126" s="541">
        <f t="shared" si="375"/>
        <v>9</v>
      </c>
      <c r="CO126" s="443">
        <f t="shared" si="376"/>
        <v>16.474900000000002</v>
      </c>
      <c r="CP126" s="443">
        <f t="shared" si="377"/>
        <v>25.474900000000002</v>
      </c>
      <c r="CQ126" s="443"/>
      <c r="CR126" s="217">
        <f t="shared" si="378"/>
        <v>0.64485133082098534</v>
      </c>
      <c r="CS126" s="172">
        <f t="shared" si="379"/>
        <v>29.993085154464438</v>
      </c>
      <c r="CT126" s="172">
        <f t="shared" si="380"/>
        <v>2.4181924905786953</v>
      </c>
      <c r="CU126" s="217">
        <f t="shared" si="381"/>
        <v>1.2497118814360182</v>
      </c>
      <c r="CV126" s="217">
        <f t="shared" si="382"/>
        <v>1.6662825085813577</v>
      </c>
      <c r="CW126" s="217">
        <f t="shared" si="383"/>
        <v>24</v>
      </c>
      <c r="CX126" s="217">
        <f t="shared" si="384"/>
        <v>1.4225501126987525</v>
      </c>
      <c r="CY126" s="217">
        <f t="shared" si="385"/>
        <v>1.5806112363319473</v>
      </c>
      <c r="CZ126" s="217">
        <f t="shared" si="386"/>
        <v>0.86346509702562835</v>
      </c>
      <c r="DA126" s="197">
        <f t="shared" si="387"/>
        <v>261.91798593910079</v>
      </c>
      <c r="DB126" s="443">
        <f t="shared" si="388"/>
        <v>350</v>
      </c>
      <c r="DD126" s="217">
        <f t="shared" si="389"/>
        <v>2.2222222222222228</v>
      </c>
      <c r="DE126" s="173">
        <f t="shared" si="390"/>
        <v>1.3488532386977905</v>
      </c>
      <c r="DF126" s="173">
        <f t="shared" si="391"/>
        <v>0.24355939229558116</v>
      </c>
      <c r="DG126" s="173"/>
      <c r="DH126" s="173">
        <f t="shared" si="392"/>
        <v>1.3488532386977903</v>
      </c>
      <c r="DI126" s="545">
        <f t="shared" si="393"/>
        <v>160.05599999999995</v>
      </c>
      <c r="DJ126" s="528">
        <f t="shared" si="394"/>
        <v>0.26182634671774968</v>
      </c>
      <c r="DL126" s="173">
        <f t="shared" si="395"/>
        <v>1.5358571362132425</v>
      </c>
      <c r="DM126" s="173">
        <f t="shared" si="396"/>
        <v>2.2222222222222223</v>
      </c>
      <c r="DN126" s="173">
        <f t="shared" si="397"/>
        <v>1.0914605714285714</v>
      </c>
      <c r="DP126" s="545">
        <f t="shared" si="398"/>
        <v>160</v>
      </c>
      <c r="DQ126" s="460">
        <f t="shared" si="399"/>
        <v>160.05599999999995</v>
      </c>
      <c r="DS126" s="460">
        <f t="shared" si="400"/>
        <v>160</v>
      </c>
      <c r="DT126" s="460">
        <f t="shared" si="401"/>
        <v>160.05599999999995</v>
      </c>
      <c r="DV126" s="5">
        <f t="shared" si="402"/>
        <v>6.2478132653571263</v>
      </c>
      <c r="DW126" s="5">
        <f t="shared" si="403"/>
        <v>2.4691358024691361</v>
      </c>
      <c r="DX126" s="5">
        <f t="shared" si="404"/>
        <v>3.7786774628879902</v>
      </c>
      <c r="DY126" s="173">
        <f t="shared" si="405"/>
        <v>0.39519999999999994</v>
      </c>
      <c r="EA126" s="5">
        <f t="shared" si="406"/>
        <v>1.6460905349794241</v>
      </c>
      <c r="EB126" s="5">
        <f t="shared" si="407"/>
        <v>0.21947873799725653</v>
      </c>
      <c r="EC126" s="5">
        <f t="shared" si="408"/>
        <v>1.3435297645823963</v>
      </c>
      <c r="ED126" s="5"/>
      <c r="EE126" s="173">
        <f t="shared" si="409"/>
        <v>0.80655748674466354</v>
      </c>
      <c r="EF126" s="173">
        <f t="shared" si="410"/>
        <v>0.66551612719419173</v>
      </c>
      <c r="EG126" s="173">
        <f t="shared" si="411"/>
        <v>6.6641547331202158E-2</v>
      </c>
      <c r="EH126" s="173"/>
      <c r="EI126" s="528">
        <f t="shared" si="412"/>
        <v>2.6021399176954722E-2</v>
      </c>
      <c r="EJ126" s="528">
        <f t="shared" si="413"/>
        <v>0.24917509188</v>
      </c>
      <c r="EK126" s="528">
        <f t="shared" si="414"/>
        <v>3.201119999999999E-2</v>
      </c>
      <c r="EL126" s="528">
        <f t="shared" si="415"/>
        <v>1.817753475147409E-2</v>
      </c>
      <c r="EM126">
        <f t="shared" si="416"/>
        <v>4.0499999999999998E-3</v>
      </c>
      <c r="EN126" s="460">
        <f t="shared" si="417"/>
        <v>36.061199999999985</v>
      </c>
      <c r="EP126" s="460">
        <f t="shared" si="439"/>
        <v>329.43522580842875</v>
      </c>
      <c r="EQ126" s="173">
        <f t="shared" si="418"/>
        <v>0.11199999999999999</v>
      </c>
      <c r="ER126" s="173">
        <f t="shared" si="419"/>
        <v>9.92E-3</v>
      </c>
      <c r="ES126" s="528"/>
      <c r="EU126" s="460">
        <f t="shared" si="420"/>
        <v>121.91999999999999</v>
      </c>
      <c r="EV126" s="528">
        <f t="shared" si="421"/>
        <v>1.951604938271604E-2</v>
      </c>
      <c r="EW126" s="528">
        <f t="shared" si="422"/>
        <v>1.3287351466666666E-2</v>
      </c>
      <c r="EX126" s="528">
        <f t="shared" si="423"/>
        <v>2.220547915348429E-5</v>
      </c>
      <c r="EY126" s="528">
        <f t="shared" si="424"/>
        <v>0.11929400459789005</v>
      </c>
      <c r="EZ126" s="528"/>
      <c r="FA126" s="625">
        <f t="shared" si="425"/>
        <v>0.15808</v>
      </c>
      <c r="FB126" s="460">
        <f t="shared" si="426"/>
        <v>310.1996109264262</v>
      </c>
      <c r="FC126" s="173">
        <f t="shared" si="427"/>
        <v>0.76155483673485502</v>
      </c>
      <c r="FD126" s="5">
        <f t="shared" si="428"/>
        <v>4.1280000000000001</v>
      </c>
      <c r="FE126" s="173">
        <f t="shared" si="429"/>
        <v>0.84424863568082897</v>
      </c>
      <c r="FF126" s="5">
        <f t="shared" si="430"/>
        <v>84.424863568082898</v>
      </c>
      <c r="FG126">
        <f t="shared" si="431"/>
        <v>16</v>
      </c>
      <c r="FI126" s="562">
        <f t="shared" si="432"/>
        <v>-50</v>
      </c>
      <c r="FJ126">
        <f t="shared" si="433"/>
        <v>-50</v>
      </c>
    </row>
    <row r="127" spans="5:166">
      <c r="E127" s="170">
        <v>17</v>
      </c>
      <c r="F127" s="217">
        <f t="shared" si="434"/>
        <v>0.17</v>
      </c>
      <c r="G127" s="217">
        <f t="shared" si="313"/>
        <v>1.7000000000000001E-2</v>
      </c>
      <c r="H127" s="217">
        <f t="shared" si="314"/>
        <v>4.08</v>
      </c>
      <c r="I127" s="217">
        <f t="shared" si="315"/>
        <v>0.30600000000000005</v>
      </c>
      <c r="J127" s="541">
        <f t="shared" si="316"/>
        <v>8.901251807891633</v>
      </c>
      <c r="K127" s="443">
        <f t="shared" si="317"/>
        <v>16.489669472300989</v>
      </c>
      <c r="L127" s="172">
        <f t="shared" si="318"/>
        <v>25.390921280192622</v>
      </c>
      <c r="M127" s="443"/>
      <c r="N127" s="217">
        <f t="shared" si="319"/>
        <v>0.64943171184436421</v>
      </c>
      <c r="O127" s="172">
        <f t="shared" si="320"/>
        <v>29.874703871611391</v>
      </c>
      <c r="P127" s="172">
        <f t="shared" si="321"/>
        <v>2.4086479996486685</v>
      </c>
      <c r="Q127" s="217">
        <f t="shared" si="322"/>
        <v>1.244779327983808</v>
      </c>
      <c r="R127" s="217">
        <f t="shared" si="323"/>
        <v>1.6597057706450773</v>
      </c>
      <c r="S127" s="217">
        <f t="shared" si="324"/>
        <v>24</v>
      </c>
      <c r="T127" s="217">
        <f t="shared" si="325"/>
        <v>1.5174487930711036</v>
      </c>
      <c r="U127" s="217">
        <f t="shared" si="326"/>
        <v>1.7047588651809296</v>
      </c>
      <c r="V127" s="217">
        <f t="shared" si="327"/>
        <v>0.92024209194737538</v>
      </c>
      <c r="W127" s="197">
        <f t="shared" si="328"/>
        <v>260.13398396205616</v>
      </c>
      <c r="X127" s="443">
        <f t="shared" si="435"/>
        <v>350</v>
      </c>
      <c r="Z127" s="217">
        <f t="shared" si="329"/>
        <v>2.2222222222222223</v>
      </c>
      <c r="AA127" s="173">
        <f t="shared" si="330"/>
        <v>1.3476450974078444</v>
      </c>
      <c r="AB127" s="173">
        <f t="shared" si="331"/>
        <v>0.24168377074915673</v>
      </c>
      <c r="AC127" s="173"/>
      <c r="AD127" s="173">
        <f t="shared" si="332"/>
        <v>1.3476450974078444</v>
      </c>
      <c r="AE127" s="545">
        <f t="shared" si="333"/>
        <v>170.21195549743973</v>
      </c>
      <c r="AF127" s="528">
        <f t="shared" si="334"/>
        <v>0.25981005355534348</v>
      </c>
      <c r="AH127" s="173">
        <f t="shared" si="335"/>
        <v>1.5831252996164624</v>
      </c>
      <c r="AI127" s="173">
        <f t="shared" si="336"/>
        <v>2.2222222222222223</v>
      </c>
      <c r="AJ127" s="173">
        <f t="shared" si="337"/>
        <v>1.0972639745699655</v>
      </c>
      <c r="AL127" s="545">
        <f t="shared" si="338"/>
        <v>170</v>
      </c>
      <c r="AM127" s="460">
        <f t="shared" si="339"/>
        <v>170.21195549743973</v>
      </c>
      <c r="AO127" s="460">
        <f t="shared" si="340"/>
        <v>170</v>
      </c>
      <c r="AP127" s="460">
        <f t="shared" si="341"/>
        <v>170.21195549743973</v>
      </c>
      <c r="AR127" s="5">
        <f t="shared" si="275"/>
        <v>5.8750279736668771</v>
      </c>
      <c r="AS127" s="5">
        <f t="shared" si="440"/>
        <v>2.496527758322773</v>
      </c>
      <c r="AT127" s="5">
        <f t="shared" si="441"/>
        <v>3.3785002153441042</v>
      </c>
      <c r="AU127" s="173">
        <f t="shared" si="442"/>
        <v>0.42493887169775879</v>
      </c>
      <c r="AW127" s="5">
        <f t="shared" si="342"/>
        <v>1.7683738288119644</v>
      </c>
      <c r="AX127" s="5">
        <f t="shared" si="343"/>
        <v>0.23578317717492858</v>
      </c>
      <c r="AY127" s="5">
        <f t="shared" si="344"/>
        <v>1.2904814940732208</v>
      </c>
      <c r="AZ127" s="5"/>
      <c r="BA127" s="173">
        <f t="shared" si="345"/>
        <v>0.83635390514214525</v>
      </c>
      <c r="BB127" s="173">
        <f t="shared" si="346"/>
        <v>0.64894770193801199</v>
      </c>
      <c r="BC127" s="173">
        <f t="shared" si="347"/>
        <v>6.4982465829198227E-2</v>
      </c>
      <c r="BD127" s="173"/>
      <c r="BE127" s="528">
        <f t="shared" si="348"/>
        <v>2.7979514185860661E-2</v>
      </c>
      <c r="BF127" s="528">
        <f t="shared" si="349"/>
        <v>0.2160919181491571</v>
      </c>
      <c r="BG127" s="528">
        <f t="shared" si="350"/>
        <v>6.0603979063854223E-2</v>
      </c>
      <c r="BH127" s="528">
        <f t="shared" si="351"/>
        <v>1.9203705090538762E-2</v>
      </c>
      <c r="BI127">
        <f t="shared" si="352"/>
        <v>4.0055633135512346E-3</v>
      </c>
      <c r="BJ127" s="460">
        <f t="shared" si="436"/>
        <v>64.609542377405461</v>
      </c>
      <c r="BK127">
        <f t="shared" si="353"/>
        <v>0.27264211263644111</v>
      </c>
      <c r="BL127" s="460">
        <f t="shared" si="437"/>
        <v>327.88467980296201</v>
      </c>
      <c r="BM127" s="173">
        <f t="shared" si="354"/>
        <v>0.14756</v>
      </c>
      <c r="BN127" s="173">
        <f t="shared" si="355"/>
        <v>1.4756000000000002E-2</v>
      </c>
      <c r="BO127" s="528"/>
      <c r="BQ127" s="460">
        <f t="shared" si="356"/>
        <v>162.31599999999997</v>
      </c>
      <c r="BR127" s="528">
        <f t="shared" si="357"/>
        <v>2.0984635639395496E-2</v>
      </c>
      <c r="BS127" s="528">
        <f t="shared" si="358"/>
        <v>1.2633993595518806E-2</v>
      </c>
      <c r="BT127" s="528">
        <f t="shared" si="359"/>
        <v>2.1113604326214578E-5</v>
      </c>
      <c r="BU127" s="528">
        <f t="shared" si="360"/>
        <v>0.13912778560709665</v>
      </c>
      <c r="BV127" s="528"/>
      <c r="BW127" s="625">
        <f t="shared" si="361"/>
        <v>0.16811057333080473</v>
      </c>
      <c r="BX127" s="460">
        <f t="shared" si="362"/>
        <v>340.87810177714192</v>
      </c>
      <c r="BY127" s="173">
        <f t="shared" si="363"/>
        <v>0.83107878158010384</v>
      </c>
      <c r="BZ127" s="5">
        <f t="shared" si="364"/>
        <v>4.3860000000000001</v>
      </c>
      <c r="CA127" s="173">
        <f t="shared" si="365"/>
        <v>0.84070035811719268</v>
      </c>
      <c r="CB127" s="5">
        <f t="shared" si="366"/>
        <v>84.070035811719265</v>
      </c>
      <c r="CC127">
        <f t="shared" si="367"/>
        <v>17</v>
      </c>
      <c r="CE127" s="562">
        <f t="shared" si="368"/>
        <v>-50</v>
      </c>
      <c r="CF127">
        <f t="shared" si="369"/>
        <v>-50</v>
      </c>
      <c r="CG127" s="173">
        <f t="shared" si="370"/>
        <v>0.23031967091824829</v>
      </c>
      <c r="CH127" s="173">
        <f t="shared" si="371"/>
        <v>6.2777350788445027E-2</v>
      </c>
      <c r="CI127" s="170">
        <v>17</v>
      </c>
      <c r="CJ127" s="217">
        <f t="shared" si="438"/>
        <v>0.17</v>
      </c>
      <c r="CK127" s="217">
        <f t="shared" si="372"/>
        <v>1.7000000000000001E-2</v>
      </c>
      <c r="CL127" s="217">
        <f t="shared" si="373"/>
        <v>4.08</v>
      </c>
      <c r="CM127" s="217">
        <f t="shared" si="374"/>
        <v>0.30600000000000005</v>
      </c>
      <c r="CN127" s="541">
        <f t="shared" si="375"/>
        <v>9</v>
      </c>
      <c r="CO127" s="443">
        <f t="shared" si="376"/>
        <v>16.474900000000002</v>
      </c>
      <c r="CP127" s="443">
        <f t="shared" si="377"/>
        <v>25.474900000000002</v>
      </c>
      <c r="CQ127" s="443"/>
      <c r="CR127" s="217">
        <f t="shared" si="378"/>
        <v>0.64485133082098534</v>
      </c>
      <c r="CS127" s="172">
        <f t="shared" si="379"/>
        <v>29.993085154464438</v>
      </c>
      <c r="CT127" s="172">
        <f t="shared" si="380"/>
        <v>2.4181924905786953</v>
      </c>
      <c r="CU127" s="217">
        <f t="shared" si="381"/>
        <v>1.2497118814360182</v>
      </c>
      <c r="CV127" s="217">
        <f t="shared" si="382"/>
        <v>1.6662825085813577</v>
      </c>
      <c r="CW127" s="217">
        <f t="shared" si="383"/>
        <v>24</v>
      </c>
      <c r="CX127" s="217">
        <f t="shared" si="384"/>
        <v>1.5114594947424247</v>
      </c>
      <c r="CY127" s="217">
        <f t="shared" si="385"/>
        <v>1.6793994386026943</v>
      </c>
      <c r="CZ127" s="217">
        <f t="shared" si="386"/>
        <v>0.91743166558973022</v>
      </c>
      <c r="DA127" s="197">
        <f t="shared" si="387"/>
        <v>261.91798593910079</v>
      </c>
      <c r="DB127" s="443">
        <f t="shared" si="388"/>
        <v>350</v>
      </c>
      <c r="DD127" s="217">
        <f t="shared" si="389"/>
        <v>2.2222222222222228</v>
      </c>
      <c r="DE127" s="173">
        <f t="shared" si="390"/>
        <v>1.3488532386977905</v>
      </c>
      <c r="DF127" s="173">
        <f t="shared" si="391"/>
        <v>0.24355939229558116</v>
      </c>
      <c r="DG127" s="173"/>
      <c r="DH127" s="173">
        <f t="shared" si="392"/>
        <v>1.3488532386977903</v>
      </c>
      <c r="DI127" s="545">
        <f t="shared" si="393"/>
        <v>170.05949999999993</v>
      </c>
      <c r="DJ127" s="528">
        <f t="shared" si="394"/>
        <v>0.26182634671774968</v>
      </c>
      <c r="DL127" s="173">
        <f t="shared" si="395"/>
        <v>1.5831252996164624</v>
      </c>
      <c r="DM127" s="173">
        <f t="shared" si="396"/>
        <v>2.2222222222222223</v>
      </c>
      <c r="DN127" s="173">
        <f t="shared" si="397"/>
        <v>1.0971768571428571</v>
      </c>
      <c r="DP127" s="545">
        <f t="shared" si="398"/>
        <v>170</v>
      </c>
      <c r="DQ127" s="460">
        <f t="shared" si="399"/>
        <v>170.05949999999993</v>
      </c>
      <c r="DS127" s="460">
        <f t="shared" si="400"/>
        <v>170</v>
      </c>
      <c r="DT127" s="460">
        <f t="shared" si="401"/>
        <v>170.05949999999993</v>
      </c>
      <c r="DV127" s="5">
        <f t="shared" si="402"/>
        <v>5.880294837983179</v>
      </c>
      <c r="DW127" s="5">
        <f t="shared" si="403"/>
        <v>2.4691358024691361</v>
      </c>
      <c r="DX127" s="5">
        <f t="shared" si="404"/>
        <v>3.4111590355140429</v>
      </c>
      <c r="DY127" s="173">
        <f t="shared" si="405"/>
        <v>0.41989999999999988</v>
      </c>
      <c r="EA127" s="5">
        <f t="shared" si="406"/>
        <v>1.7489711934156382</v>
      </c>
      <c r="EB127" s="5">
        <f t="shared" si="407"/>
        <v>0.23319615912208508</v>
      </c>
      <c r="EC127" s="5">
        <f t="shared" si="408"/>
        <v>1.2886600800830827</v>
      </c>
      <c r="ED127" s="5"/>
      <c r="EE127" s="173">
        <f t="shared" si="409"/>
        <v>0.83138042774524112</v>
      </c>
      <c r="EF127" s="173">
        <f t="shared" si="410"/>
        <v>0.65178464582003548</v>
      </c>
      <c r="EG127" s="173">
        <f t="shared" si="411"/>
        <v>6.5266543588195447E-2</v>
      </c>
      <c r="EH127" s="173"/>
      <c r="EI127" s="528">
        <f t="shared" si="412"/>
        <v>2.7647736625514403E-2</v>
      </c>
      <c r="EJ127" s="528">
        <f t="shared" si="413"/>
        <v>0.26474853512249991</v>
      </c>
      <c r="EK127" s="528">
        <f t="shared" si="414"/>
        <v>3.4011899999999984E-2</v>
      </c>
      <c r="EL127" s="528">
        <f t="shared" si="415"/>
        <v>1.9313630673441221E-2</v>
      </c>
      <c r="EM127">
        <f t="shared" si="416"/>
        <v>4.0499999999999998E-3</v>
      </c>
      <c r="EN127" s="460">
        <f t="shared" si="417"/>
        <v>38.06189999999998</v>
      </c>
      <c r="EP127" s="460">
        <f t="shared" si="439"/>
        <v>349.7718024214555</v>
      </c>
      <c r="EQ127" s="173">
        <f t="shared" si="418"/>
        <v>0.11899999999999999</v>
      </c>
      <c r="ER127" s="173">
        <f t="shared" si="419"/>
        <v>1.0540000000000001E-2</v>
      </c>
      <c r="ES127" s="528"/>
      <c r="EU127" s="460">
        <f t="shared" si="420"/>
        <v>129.54</v>
      </c>
      <c r="EV127" s="528">
        <f t="shared" si="421"/>
        <v>2.0735802469135801E-2</v>
      </c>
      <c r="EW127" s="528">
        <f t="shared" si="422"/>
        <v>1.2744696735802473E-2</v>
      </c>
      <c r="EX127" s="528">
        <f t="shared" si="423"/>
        <v>2.129860855974908E-5</v>
      </c>
      <c r="EY127" s="528">
        <f t="shared" si="424"/>
        <v>0.13881645980658786</v>
      </c>
      <c r="EZ127" s="528"/>
      <c r="FA127" s="625">
        <f t="shared" si="425"/>
        <v>0.16796</v>
      </c>
      <c r="FB127" s="460">
        <f t="shared" si="426"/>
        <v>340.27825762008592</v>
      </c>
      <c r="FC127" s="173">
        <f t="shared" si="427"/>
        <v>0.81959006004154134</v>
      </c>
      <c r="FD127" s="5">
        <f t="shared" si="428"/>
        <v>4.3860000000000001</v>
      </c>
      <c r="FE127" s="173">
        <f t="shared" si="429"/>
        <v>0.84255578126814679</v>
      </c>
      <c r="FF127" s="5">
        <f t="shared" si="430"/>
        <v>84.255578126814683</v>
      </c>
      <c r="FG127">
        <f t="shared" si="431"/>
        <v>17</v>
      </c>
      <c r="FI127" s="562">
        <f t="shared" si="432"/>
        <v>-50</v>
      </c>
      <c r="FJ127">
        <f t="shared" si="433"/>
        <v>-50</v>
      </c>
    </row>
    <row r="128" spans="5:166">
      <c r="E128" s="170">
        <v>18</v>
      </c>
      <c r="F128" s="217">
        <f t="shared" si="434"/>
        <v>0.18</v>
      </c>
      <c r="G128" s="217">
        <f t="shared" si="313"/>
        <v>1.7999999999999999E-2</v>
      </c>
      <c r="H128" s="217">
        <f t="shared" si="314"/>
        <v>4.32</v>
      </c>
      <c r="I128" s="217">
        <f t="shared" si="315"/>
        <v>0.32399999999999995</v>
      </c>
      <c r="J128" s="541">
        <f t="shared" si="316"/>
        <v>8.901251807891633</v>
      </c>
      <c r="K128" s="443">
        <f t="shared" si="317"/>
        <v>16.489669472300989</v>
      </c>
      <c r="L128" s="172">
        <f t="shared" si="318"/>
        <v>25.390921280192622</v>
      </c>
      <c r="M128" s="443"/>
      <c r="N128" s="217">
        <f t="shared" si="319"/>
        <v>0.64943171184436421</v>
      </c>
      <c r="O128" s="172">
        <f t="shared" si="320"/>
        <v>29.874703871611391</v>
      </c>
      <c r="P128" s="172">
        <f t="shared" si="321"/>
        <v>2.4086479996486685</v>
      </c>
      <c r="Q128" s="217">
        <f t="shared" si="322"/>
        <v>1.244779327983808</v>
      </c>
      <c r="R128" s="217">
        <f t="shared" si="323"/>
        <v>1.6597057706450773</v>
      </c>
      <c r="S128" s="217">
        <f t="shared" si="324"/>
        <v>24</v>
      </c>
      <c r="T128" s="217">
        <f t="shared" si="325"/>
        <v>1.6067104867811683</v>
      </c>
      <c r="U128" s="217">
        <f t="shared" si="326"/>
        <v>1.8050387984268663</v>
      </c>
      <c r="V128" s="217">
        <f t="shared" si="327"/>
        <v>0.97437397970898576</v>
      </c>
      <c r="W128" s="197">
        <f t="shared" si="328"/>
        <v>260.13398396205616</v>
      </c>
      <c r="X128" s="443">
        <f t="shared" si="435"/>
        <v>335.6366084412366</v>
      </c>
      <c r="Z128" s="217">
        <f t="shared" si="329"/>
        <v>2.2222222222222223</v>
      </c>
      <c r="AA128" s="173">
        <f t="shared" si="330"/>
        <v>1.3476450974078444</v>
      </c>
      <c r="AB128" s="173">
        <f t="shared" si="331"/>
        <v>0.24168377074915673</v>
      </c>
      <c r="AC128" s="173"/>
      <c r="AD128" s="173">
        <f t="shared" si="332"/>
        <v>1.3476450974078444</v>
      </c>
      <c r="AE128" s="545">
        <f t="shared" si="333"/>
        <v>180.2244234678773</v>
      </c>
      <c r="AF128" s="528">
        <f t="shared" si="334"/>
        <v>0.25981005355534348</v>
      </c>
      <c r="AH128" s="173">
        <f t="shared" si="335"/>
        <v>1.6290224939252023</v>
      </c>
      <c r="AI128" s="173">
        <f t="shared" si="336"/>
        <v>2.2222222222222223</v>
      </c>
      <c r="AJ128" s="173">
        <f t="shared" si="337"/>
        <v>1.1029853848387869</v>
      </c>
      <c r="AL128" s="545">
        <f t="shared" si="338"/>
        <v>180</v>
      </c>
      <c r="AM128" s="460">
        <f t="shared" si="339"/>
        <v>180.2244234678773</v>
      </c>
      <c r="AO128" s="460">
        <f t="shared" si="340"/>
        <v>180</v>
      </c>
      <c r="AP128" s="460">
        <f t="shared" si="341"/>
        <v>180.2244234678773</v>
      </c>
      <c r="AR128" s="5">
        <f t="shared" si="275"/>
        <v>5.5486375306853857</v>
      </c>
      <c r="AS128" s="5">
        <f t="shared" si="440"/>
        <v>2.496527758322773</v>
      </c>
      <c r="AT128" s="5">
        <f t="shared" si="441"/>
        <v>3.0521097723626127</v>
      </c>
      <c r="AU128" s="173">
        <f t="shared" si="442"/>
        <v>0.44993527591527388</v>
      </c>
      <c r="AW128" s="5">
        <f t="shared" si="342"/>
        <v>1.8723958187420797</v>
      </c>
      <c r="AX128" s="5">
        <f t="shared" si="343"/>
        <v>0.24965277583227727</v>
      </c>
      <c r="AY128" s="5">
        <f t="shared" si="344"/>
        <v>1.2343876364405366</v>
      </c>
      <c r="AZ128" s="5"/>
      <c r="BA128" s="173">
        <f t="shared" si="345"/>
        <v>0.86060106846173967</v>
      </c>
      <c r="BB128" s="173">
        <f t="shared" si="346"/>
        <v>0.63468698099210452</v>
      </c>
      <c r="BC128" s="173">
        <f t="shared" si="347"/>
        <v>6.3554466610155319E-2</v>
      </c>
      <c r="BD128" s="173"/>
      <c r="BE128" s="528">
        <f t="shared" si="348"/>
        <v>2.9625367961499519E-2</v>
      </c>
      <c r="BF128" s="528">
        <f t="shared" si="349"/>
        <v>0.22880320745204857</v>
      </c>
      <c r="BG128" s="528">
        <f t="shared" si="350"/>
        <v>6.4168919008786809E-2</v>
      </c>
      <c r="BH128" s="528">
        <f t="shared" si="351"/>
        <v>2.0333334801746917E-2</v>
      </c>
      <c r="BI128">
        <f t="shared" si="352"/>
        <v>4.0055633135512346E-3</v>
      </c>
      <c r="BJ128" s="460">
        <f t="shared" si="436"/>
        <v>68.174482322338037</v>
      </c>
      <c r="BK128">
        <f t="shared" si="353"/>
        <v>0.2887935739007742</v>
      </c>
      <c r="BL128" s="460">
        <f t="shared" si="437"/>
        <v>346.93639253763303</v>
      </c>
      <c r="BM128" s="173">
        <f t="shared" si="354"/>
        <v>0.15623999999999999</v>
      </c>
      <c r="BN128" s="173">
        <f t="shared" si="355"/>
        <v>1.5623999999999997E-2</v>
      </c>
      <c r="BO128" s="528"/>
      <c r="BQ128" s="460">
        <f t="shared" si="356"/>
        <v>171.86399999999998</v>
      </c>
      <c r="BR128" s="528">
        <f t="shared" si="357"/>
        <v>2.2219025971124639E-2</v>
      </c>
      <c r="BS128" s="528">
        <f t="shared" si="358"/>
        <v>1.208482691522616E-2</v>
      </c>
      <c r="BT128" s="528">
        <f t="shared" si="359"/>
        <v>2.0195851130506737E-5</v>
      </c>
      <c r="BU128" s="528">
        <f t="shared" si="360"/>
        <v>0.16049918526525803</v>
      </c>
      <c r="BV128" s="528"/>
      <c r="BW128" s="625">
        <f t="shared" si="361"/>
        <v>0.17799943058555787</v>
      </c>
      <c r="BX128" s="460">
        <f t="shared" si="362"/>
        <v>372.82266458829719</v>
      </c>
      <c r="BY128" s="173">
        <f t="shared" si="363"/>
        <v>0.89162305712593026</v>
      </c>
      <c r="BZ128" s="5">
        <f t="shared" si="364"/>
        <v>4.6440000000000001</v>
      </c>
      <c r="CA128" s="173">
        <f t="shared" si="365"/>
        <v>0.83892995460047515</v>
      </c>
      <c r="CB128" s="5">
        <f t="shared" si="366"/>
        <v>83.892995460047516</v>
      </c>
      <c r="CC128">
        <f t="shared" si="367"/>
        <v>18</v>
      </c>
      <c r="CE128" s="562">
        <f t="shared" si="368"/>
        <v>-50</v>
      </c>
      <c r="CF128">
        <f t="shared" si="369"/>
        <v>-50</v>
      </c>
      <c r="CG128" s="173">
        <f t="shared" si="370"/>
        <v>0.24386788685461586</v>
      </c>
      <c r="CH128" s="173">
        <f t="shared" si="371"/>
        <v>6.6470136128941787E-2</v>
      </c>
      <c r="CI128" s="170">
        <v>18</v>
      </c>
      <c r="CJ128" s="217">
        <f t="shared" si="438"/>
        <v>0.18</v>
      </c>
      <c r="CK128" s="217">
        <f t="shared" si="372"/>
        <v>1.7999999999999999E-2</v>
      </c>
      <c r="CL128" s="217">
        <f t="shared" si="373"/>
        <v>4.32</v>
      </c>
      <c r="CM128" s="217">
        <f t="shared" si="374"/>
        <v>0.32399999999999995</v>
      </c>
      <c r="CN128" s="541">
        <f t="shared" si="375"/>
        <v>9</v>
      </c>
      <c r="CO128" s="443">
        <f t="shared" si="376"/>
        <v>16.474900000000002</v>
      </c>
      <c r="CP128" s="443">
        <f t="shared" si="377"/>
        <v>25.474900000000002</v>
      </c>
      <c r="CQ128" s="443"/>
      <c r="CR128" s="217">
        <f t="shared" si="378"/>
        <v>0.64485133082098534</v>
      </c>
      <c r="CS128" s="172">
        <f t="shared" si="379"/>
        <v>29.993085154464438</v>
      </c>
      <c r="CT128" s="172">
        <f t="shared" si="380"/>
        <v>2.4181924905786953</v>
      </c>
      <c r="CU128" s="217">
        <f t="shared" si="381"/>
        <v>1.2497118814360182</v>
      </c>
      <c r="CV128" s="217">
        <f t="shared" si="382"/>
        <v>1.6662825085813577</v>
      </c>
      <c r="CW128" s="217">
        <f t="shared" si="383"/>
        <v>24</v>
      </c>
      <c r="CX128" s="217">
        <f t="shared" si="384"/>
        <v>1.6003688767860966</v>
      </c>
      <c r="CY128" s="217">
        <f t="shared" si="385"/>
        <v>1.7781876408734409</v>
      </c>
      <c r="CZ128" s="217">
        <f t="shared" si="386"/>
        <v>0.97139823415383209</v>
      </c>
      <c r="DA128" s="197">
        <f t="shared" si="387"/>
        <v>261.91798593910079</v>
      </c>
      <c r="DB128" s="443">
        <f t="shared" si="388"/>
        <v>350</v>
      </c>
      <c r="DD128" s="217">
        <f t="shared" si="389"/>
        <v>2.2222222222222228</v>
      </c>
      <c r="DE128" s="173">
        <f t="shared" si="390"/>
        <v>1.3488532386977905</v>
      </c>
      <c r="DF128" s="173">
        <f t="shared" si="391"/>
        <v>0.24355939229558116</v>
      </c>
      <c r="DG128" s="173"/>
      <c r="DH128" s="173">
        <f t="shared" si="392"/>
        <v>1.3488532386977903</v>
      </c>
      <c r="DI128" s="545">
        <f t="shared" si="393"/>
        <v>180.06299999999996</v>
      </c>
      <c r="DJ128" s="528">
        <f t="shared" si="394"/>
        <v>0.26182634671774968</v>
      </c>
      <c r="DL128" s="173">
        <f t="shared" si="395"/>
        <v>1.6290224939252023</v>
      </c>
      <c r="DM128" s="173">
        <f t="shared" si="396"/>
        <v>2.2222222222222223</v>
      </c>
      <c r="DN128" s="173">
        <f t="shared" si="397"/>
        <v>1.1028931428571429</v>
      </c>
      <c r="DP128" s="545">
        <f t="shared" si="398"/>
        <v>180</v>
      </c>
      <c r="DQ128" s="460">
        <f t="shared" si="399"/>
        <v>180.06299999999996</v>
      </c>
      <c r="DS128" s="460">
        <f t="shared" si="400"/>
        <v>180</v>
      </c>
      <c r="DT128" s="460">
        <f t="shared" si="401"/>
        <v>180.06299999999996</v>
      </c>
      <c r="DV128" s="5">
        <f t="shared" si="402"/>
        <v>5.5536117914285574</v>
      </c>
      <c r="DW128" s="5">
        <f t="shared" si="403"/>
        <v>2.4691358024691361</v>
      </c>
      <c r="DX128" s="5">
        <f t="shared" si="404"/>
        <v>3.0844759889594213</v>
      </c>
      <c r="DY128" s="173">
        <f t="shared" si="405"/>
        <v>0.44459999999999988</v>
      </c>
      <c r="EA128" s="5">
        <f t="shared" si="406"/>
        <v>1.8518518518518519</v>
      </c>
      <c r="EB128" s="5">
        <f t="shared" si="407"/>
        <v>0.24691358024691359</v>
      </c>
      <c r="EC128" s="5">
        <f t="shared" si="408"/>
        <v>1.2337903955837686</v>
      </c>
      <c r="ED128" s="5"/>
      <c r="EE128" s="173">
        <f t="shared" si="409"/>
        <v>0.85548340244089582</v>
      </c>
      <c r="EF128" s="173">
        <f t="shared" si="410"/>
        <v>0.63775758207797306</v>
      </c>
      <c r="EG128" s="173">
        <f t="shared" si="411"/>
        <v>6.3861941664834859E-2</v>
      </c>
      <c r="EH128" s="173"/>
      <c r="EI128" s="528">
        <f t="shared" si="412"/>
        <v>2.927407407407407E-2</v>
      </c>
      <c r="EJ128" s="528">
        <f t="shared" si="413"/>
        <v>0.280321978365</v>
      </c>
      <c r="EK128" s="528">
        <f t="shared" si="414"/>
        <v>3.6012599999999985E-2</v>
      </c>
      <c r="EL128" s="528">
        <f t="shared" si="415"/>
        <v>2.0449726595408356E-2</v>
      </c>
      <c r="EM128">
        <f t="shared" si="416"/>
        <v>4.0499999999999998E-3</v>
      </c>
      <c r="EN128" s="460">
        <f t="shared" si="417"/>
        <v>40.062599999999982</v>
      </c>
      <c r="EP128" s="460">
        <f t="shared" si="439"/>
        <v>370.10837903448243</v>
      </c>
      <c r="EQ128" s="173">
        <f t="shared" si="418"/>
        <v>0.126</v>
      </c>
      <c r="ER128" s="173">
        <f t="shared" si="419"/>
        <v>1.116E-2</v>
      </c>
      <c r="ES128" s="528"/>
      <c r="EU128" s="460">
        <f t="shared" si="420"/>
        <v>137.16</v>
      </c>
      <c r="EV128" s="528">
        <f t="shared" si="421"/>
        <v>2.1955555555555551E-2</v>
      </c>
      <c r="EW128" s="528">
        <f t="shared" si="422"/>
        <v>1.2202042004938275E-2</v>
      </c>
      <c r="EX128" s="528">
        <f t="shared" si="423"/>
        <v>2.039173796601385E-5</v>
      </c>
      <c r="EY128" s="528">
        <f t="shared" si="424"/>
        <v>0.16014003675214369</v>
      </c>
      <c r="EZ128" s="528"/>
      <c r="FA128" s="625">
        <f t="shared" si="425"/>
        <v>0.17784000000000003</v>
      </c>
      <c r="FB128" s="460">
        <f t="shared" si="426"/>
        <v>372.15802605060355</v>
      </c>
      <c r="FC128" s="173">
        <f t="shared" si="427"/>
        <v>0.87942640508508585</v>
      </c>
      <c r="FD128" s="5">
        <f t="shared" si="428"/>
        <v>4.6440000000000001</v>
      </c>
      <c r="FE128" s="173">
        <f t="shared" si="429"/>
        <v>0.84078245266824758</v>
      </c>
      <c r="FF128" s="5">
        <f t="shared" si="430"/>
        <v>84.078245266824752</v>
      </c>
      <c r="FG128">
        <f t="shared" si="431"/>
        <v>18</v>
      </c>
      <c r="FI128" s="562">
        <f t="shared" si="432"/>
        <v>-50</v>
      </c>
      <c r="FJ128">
        <f t="shared" si="433"/>
        <v>-50</v>
      </c>
    </row>
    <row r="129" spans="5:166">
      <c r="E129" s="170">
        <v>19</v>
      </c>
      <c r="F129" s="217">
        <f t="shared" si="434"/>
        <v>0.19</v>
      </c>
      <c r="G129" s="217">
        <f t="shared" si="313"/>
        <v>1.9000000000000003E-2</v>
      </c>
      <c r="H129" s="217">
        <f t="shared" si="314"/>
        <v>4.5600000000000005</v>
      </c>
      <c r="I129" s="217">
        <f t="shared" si="315"/>
        <v>0.34200000000000008</v>
      </c>
      <c r="J129" s="541">
        <f t="shared" si="316"/>
        <v>8.901251807891633</v>
      </c>
      <c r="K129" s="443">
        <f t="shared" si="317"/>
        <v>16.489669472300989</v>
      </c>
      <c r="L129" s="172">
        <f t="shared" si="318"/>
        <v>25.390921280192622</v>
      </c>
      <c r="M129" s="443"/>
      <c r="N129" s="217">
        <f t="shared" si="319"/>
        <v>0.64943171184436421</v>
      </c>
      <c r="O129" s="172">
        <f t="shared" si="320"/>
        <v>29.874703871611391</v>
      </c>
      <c r="P129" s="172">
        <f t="shared" si="321"/>
        <v>2.4086479996486685</v>
      </c>
      <c r="Q129" s="217">
        <f t="shared" si="322"/>
        <v>1.244779327983808</v>
      </c>
      <c r="R129" s="217">
        <f t="shared" si="323"/>
        <v>1.6597057706450773</v>
      </c>
      <c r="S129" s="217">
        <f t="shared" si="324"/>
        <v>24</v>
      </c>
      <c r="T129" s="217">
        <f t="shared" si="325"/>
        <v>1.6959721804912335</v>
      </c>
      <c r="U129" s="217">
        <f t="shared" si="326"/>
        <v>1.9053187316728037</v>
      </c>
      <c r="V129" s="217">
        <f t="shared" si="327"/>
        <v>1.0285058674705962</v>
      </c>
      <c r="W129" s="197">
        <f t="shared" si="328"/>
        <v>260.13398396205616</v>
      </c>
      <c r="X129" s="443">
        <f t="shared" si="435"/>
        <v>319.09890562265036</v>
      </c>
      <c r="Z129" s="217">
        <f t="shared" si="329"/>
        <v>2.2222222222222223</v>
      </c>
      <c r="AA129" s="173">
        <f t="shared" si="330"/>
        <v>1.3476450974078444</v>
      </c>
      <c r="AB129" s="173">
        <f t="shared" si="331"/>
        <v>0.24168377074915673</v>
      </c>
      <c r="AC129" s="173"/>
      <c r="AD129" s="173">
        <f t="shared" si="332"/>
        <v>1.3476450974078444</v>
      </c>
      <c r="AE129" s="545">
        <f t="shared" si="333"/>
        <v>190.23689143831496</v>
      </c>
      <c r="AF129" s="528">
        <f t="shared" si="334"/>
        <v>0.25981005355534348</v>
      </c>
      <c r="AH129" s="173">
        <f t="shared" si="335"/>
        <v>1.6736615121173268</v>
      </c>
      <c r="AI129" s="173">
        <f t="shared" si="336"/>
        <v>2.2222222222222223</v>
      </c>
      <c r="AJ129" s="173">
        <f t="shared" si="337"/>
        <v>1.1087067951076086</v>
      </c>
      <c r="AL129" s="545">
        <f t="shared" si="338"/>
        <v>190</v>
      </c>
      <c r="AM129" s="460">
        <f t="shared" si="339"/>
        <v>190.23689143831496</v>
      </c>
      <c r="AO129" s="460">
        <f t="shared" si="340"/>
        <v>190</v>
      </c>
      <c r="AP129" s="460">
        <f t="shared" si="341"/>
        <v>190.23689143831496</v>
      </c>
      <c r="AR129" s="5">
        <f t="shared" si="275"/>
        <v>5.256603976438786</v>
      </c>
      <c r="AS129" s="5">
        <f t="shared" si="440"/>
        <v>2.496527758322773</v>
      </c>
      <c r="AT129" s="5">
        <f t="shared" si="441"/>
        <v>2.760076218116013</v>
      </c>
      <c r="AU129" s="173">
        <f t="shared" si="442"/>
        <v>0.47493168013278914</v>
      </c>
      <c r="AW129" s="5">
        <f t="shared" si="342"/>
        <v>1.9764178086721951</v>
      </c>
      <c r="AX129" s="5">
        <f t="shared" si="343"/>
        <v>0.26352237448962607</v>
      </c>
      <c r="AY129" s="5">
        <f t="shared" si="344"/>
        <v>1.1782937788078514</v>
      </c>
      <c r="AZ129" s="5"/>
      <c r="BA129" s="173">
        <f t="shared" si="345"/>
        <v>0.88418354623260187</v>
      </c>
      <c r="BB129" s="173">
        <f t="shared" si="346"/>
        <v>0.62009838560595931</v>
      </c>
      <c r="BC129" s="173">
        <f t="shared" si="347"/>
        <v>6.2093635639731866E-2</v>
      </c>
      <c r="BD129" s="173"/>
      <c r="BE129" s="528">
        <f t="shared" si="348"/>
        <v>3.1271221737138387E-2</v>
      </c>
      <c r="BF129" s="528">
        <f t="shared" si="349"/>
        <v>0.24151449675494019</v>
      </c>
      <c r="BG129" s="528">
        <f t="shared" si="350"/>
        <v>6.7733858953719417E-2</v>
      </c>
      <c r="BH129" s="528">
        <f t="shared" si="351"/>
        <v>2.1462964512955086E-2</v>
      </c>
      <c r="BI129">
        <f t="shared" si="352"/>
        <v>4.0055633135512346E-3</v>
      </c>
      <c r="BJ129" s="460">
        <f t="shared" si="436"/>
        <v>71.739422267270641</v>
      </c>
      <c r="BK129">
        <f t="shared" si="353"/>
        <v>0.30495776194033869</v>
      </c>
      <c r="BL129" s="460">
        <f t="shared" si="437"/>
        <v>365.98810527230432</v>
      </c>
      <c r="BM129" s="173">
        <f t="shared" si="354"/>
        <v>0.16491999999999998</v>
      </c>
      <c r="BN129" s="173">
        <f t="shared" si="355"/>
        <v>1.6492E-2</v>
      </c>
      <c r="BO129" s="528"/>
      <c r="BQ129" s="460">
        <f t="shared" si="356"/>
        <v>181.41199999999998</v>
      </c>
      <c r="BR129" s="528">
        <f t="shared" si="357"/>
        <v>2.3453416302853788E-2</v>
      </c>
      <c r="BS129" s="528">
        <f t="shared" si="358"/>
        <v>1.153566023493351E-2</v>
      </c>
      <c r="BT129" s="528">
        <f t="shared" si="359"/>
        <v>1.9278097934798896E-5</v>
      </c>
      <c r="BU129" s="528">
        <f t="shared" si="360"/>
        <v>0.18372809489004682</v>
      </c>
      <c r="BV129" s="528"/>
      <c r="BW129" s="625">
        <f t="shared" si="361"/>
        <v>0.18788828784031111</v>
      </c>
      <c r="BX129" s="460">
        <f t="shared" si="362"/>
        <v>406.62473736608007</v>
      </c>
      <c r="BY129" s="173">
        <f t="shared" si="363"/>
        <v>0.95402484263838416</v>
      </c>
      <c r="BZ129" s="5">
        <f t="shared" si="364"/>
        <v>4.902000000000001</v>
      </c>
      <c r="CA129" s="173">
        <f t="shared" si="365"/>
        <v>0.83708661280054342</v>
      </c>
      <c r="CB129" s="5">
        <f t="shared" si="366"/>
        <v>83.708661280054343</v>
      </c>
      <c r="CC129">
        <f t="shared" si="367"/>
        <v>19</v>
      </c>
      <c r="CE129" s="562">
        <f t="shared" si="368"/>
        <v>-50</v>
      </c>
      <c r="CF129">
        <f t="shared" si="369"/>
        <v>-50</v>
      </c>
      <c r="CG129" s="173">
        <f t="shared" si="370"/>
        <v>0.25741610279098337</v>
      </c>
      <c r="CH129" s="173">
        <f t="shared" si="371"/>
        <v>7.0162921469438561E-2</v>
      </c>
      <c r="CI129" s="170">
        <v>19</v>
      </c>
      <c r="CJ129" s="217">
        <f t="shared" si="438"/>
        <v>0.19</v>
      </c>
      <c r="CK129" s="217">
        <f t="shared" si="372"/>
        <v>1.9000000000000003E-2</v>
      </c>
      <c r="CL129" s="217">
        <f t="shared" si="373"/>
        <v>4.5600000000000005</v>
      </c>
      <c r="CM129" s="217">
        <f t="shared" si="374"/>
        <v>0.34200000000000008</v>
      </c>
      <c r="CN129" s="541">
        <f t="shared" si="375"/>
        <v>9</v>
      </c>
      <c r="CO129" s="443">
        <f t="shared" si="376"/>
        <v>16.474900000000002</v>
      </c>
      <c r="CP129" s="443">
        <f t="shared" si="377"/>
        <v>25.474900000000002</v>
      </c>
      <c r="CQ129" s="443"/>
      <c r="CR129" s="217">
        <f t="shared" si="378"/>
        <v>0.64485133082098534</v>
      </c>
      <c r="CS129" s="172">
        <f t="shared" si="379"/>
        <v>29.993085154464438</v>
      </c>
      <c r="CT129" s="172">
        <f t="shared" si="380"/>
        <v>2.4181924905786953</v>
      </c>
      <c r="CU129" s="217">
        <f t="shared" si="381"/>
        <v>1.2497118814360182</v>
      </c>
      <c r="CV129" s="217">
        <f t="shared" si="382"/>
        <v>1.6662825085813577</v>
      </c>
      <c r="CW129" s="217">
        <f t="shared" si="383"/>
        <v>24</v>
      </c>
      <c r="CX129" s="217">
        <f t="shared" si="384"/>
        <v>1.689278258829769</v>
      </c>
      <c r="CY129" s="217">
        <f t="shared" si="385"/>
        <v>1.8769758431441879</v>
      </c>
      <c r="CZ129" s="217">
        <f t="shared" si="386"/>
        <v>1.0253648027179338</v>
      </c>
      <c r="DA129" s="197">
        <f t="shared" si="387"/>
        <v>261.91798593910079</v>
      </c>
      <c r="DB129" s="443">
        <f t="shared" si="388"/>
        <v>344.54949367356443</v>
      </c>
      <c r="DD129" s="217">
        <f t="shared" si="389"/>
        <v>2.2222222222222228</v>
      </c>
      <c r="DE129" s="173">
        <f t="shared" si="390"/>
        <v>1.3488532386977905</v>
      </c>
      <c r="DF129" s="173">
        <f t="shared" si="391"/>
        <v>0.24355939229558116</v>
      </c>
      <c r="DG129" s="173"/>
      <c r="DH129" s="173">
        <f t="shared" si="392"/>
        <v>1.3488532386977903</v>
      </c>
      <c r="DI129" s="545">
        <f t="shared" si="393"/>
        <v>190.06649999999993</v>
      </c>
      <c r="DJ129" s="528">
        <f t="shared" si="394"/>
        <v>0.26182634671774968</v>
      </c>
      <c r="DL129" s="173">
        <f t="shared" si="395"/>
        <v>1.6736615121173268</v>
      </c>
      <c r="DM129" s="173">
        <f t="shared" si="396"/>
        <v>2.2222222222222223</v>
      </c>
      <c r="DN129" s="173">
        <f t="shared" si="397"/>
        <v>1.1086094285714285</v>
      </c>
      <c r="DP129" s="545">
        <f t="shared" si="398"/>
        <v>190</v>
      </c>
      <c r="DQ129" s="460">
        <f t="shared" si="399"/>
        <v>190.06649999999993</v>
      </c>
      <c r="DS129" s="460">
        <f t="shared" si="400"/>
        <v>190</v>
      </c>
      <c r="DT129" s="460">
        <f t="shared" si="401"/>
        <v>190.06649999999993</v>
      </c>
      <c r="DV129" s="5">
        <f t="shared" si="402"/>
        <v>5.2613164339849492</v>
      </c>
      <c r="DW129" s="5">
        <f t="shared" si="403"/>
        <v>2.4691358024691361</v>
      </c>
      <c r="DX129" s="5">
        <f t="shared" si="404"/>
        <v>2.7921806315158131</v>
      </c>
      <c r="DY129" s="173">
        <f t="shared" si="405"/>
        <v>0.46929999999999988</v>
      </c>
      <c r="EA129" s="5">
        <f t="shared" si="406"/>
        <v>1.9547325102880664</v>
      </c>
      <c r="EB129" s="5">
        <f t="shared" si="407"/>
        <v>0.26063100137174217</v>
      </c>
      <c r="EC129" s="5">
        <f t="shared" si="408"/>
        <v>1.1789207110844542</v>
      </c>
      <c r="ED129" s="5"/>
      <c r="EE129" s="173">
        <f t="shared" si="409"/>
        <v>0.87892564421903374</v>
      </c>
      <c r="EF129" s="173">
        <f t="shared" si="410"/>
        <v>0.62341498415512597</v>
      </c>
      <c r="EG129" s="173">
        <f t="shared" si="411"/>
        <v>6.2425743683641663E-2</v>
      </c>
      <c r="EH129" s="173"/>
      <c r="EI129" s="528">
        <f t="shared" si="412"/>
        <v>3.0900411522633738E-2</v>
      </c>
      <c r="EJ129" s="528">
        <f t="shared" si="413"/>
        <v>0.29589542160749999</v>
      </c>
      <c r="EK129" s="528">
        <f t="shared" si="414"/>
        <v>3.8013299999999986E-2</v>
      </c>
      <c r="EL129" s="528">
        <f t="shared" si="415"/>
        <v>2.1585822517375484E-2</v>
      </c>
      <c r="EM129">
        <f t="shared" si="416"/>
        <v>4.0499999999999998E-3</v>
      </c>
      <c r="EN129" s="460">
        <f t="shared" si="417"/>
        <v>42.063299999999984</v>
      </c>
      <c r="EP129" s="460">
        <f t="shared" si="439"/>
        <v>390.44495564750918</v>
      </c>
      <c r="EQ129" s="173">
        <f t="shared" si="418"/>
        <v>0.13299999999999998</v>
      </c>
      <c r="ER129" s="173">
        <f t="shared" si="419"/>
        <v>1.1780000000000002E-2</v>
      </c>
      <c r="ES129" s="528"/>
      <c r="EU129" s="460">
        <f t="shared" si="420"/>
        <v>144.78</v>
      </c>
      <c r="EV129" s="528">
        <f t="shared" si="421"/>
        <v>2.3175308641975301E-2</v>
      </c>
      <c r="EW129" s="528">
        <f t="shared" si="422"/>
        <v>1.165938727407408E-2</v>
      </c>
      <c r="EX129" s="528">
        <f t="shared" si="423"/>
        <v>1.9484867372278634E-5</v>
      </c>
      <c r="EY129" s="528">
        <f t="shared" si="424"/>
        <v>0.18331696712021991</v>
      </c>
      <c r="EZ129" s="528"/>
      <c r="FA129" s="625">
        <f t="shared" si="425"/>
        <v>0.18771999999999997</v>
      </c>
      <c r="FB129" s="460">
        <f t="shared" si="426"/>
        <v>405.89114790364158</v>
      </c>
      <c r="FC129" s="173">
        <f t="shared" si="427"/>
        <v>0.94111610355115072</v>
      </c>
      <c r="FD129" s="5">
        <f t="shared" si="428"/>
        <v>4.902000000000001</v>
      </c>
      <c r="FE129" s="173">
        <f t="shared" si="429"/>
        <v>0.83893592273835049</v>
      </c>
      <c r="FF129" s="5">
        <f t="shared" si="430"/>
        <v>83.893592273835054</v>
      </c>
      <c r="FG129">
        <f t="shared" si="431"/>
        <v>19</v>
      </c>
      <c r="FI129" s="562">
        <f t="shared" si="432"/>
        <v>-50</v>
      </c>
      <c r="FJ129">
        <f t="shared" si="433"/>
        <v>-50</v>
      </c>
    </row>
    <row r="130" spans="5:166">
      <c r="E130" s="170">
        <v>20</v>
      </c>
      <c r="F130" s="217">
        <f t="shared" si="434"/>
        <v>0.2</v>
      </c>
      <c r="G130" s="217">
        <f t="shared" si="313"/>
        <v>2.0000000000000004E-2</v>
      </c>
      <c r="H130" s="217">
        <f t="shared" si="314"/>
        <v>4.8000000000000007</v>
      </c>
      <c r="I130" s="217">
        <f t="shared" si="315"/>
        <v>0.3600000000000001</v>
      </c>
      <c r="J130" s="541">
        <f t="shared" si="316"/>
        <v>8.901251807891633</v>
      </c>
      <c r="K130" s="443">
        <f t="shared" si="317"/>
        <v>16.489669472300989</v>
      </c>
      <c r="L130" s="172">
        <f t="shared" si="318"/>
        <v>25.390921280192622</v>
      </c>
      <c r="M130" s="443"/>
      <c r="N130" s="217">
        <f t="shared" si="319"/>
        <v>0.64943171184436421</v>
      </c>
      <c r="O130" s="172">
        <f t="shared" si="320"/>
        <v>29.874703871611391</v>
      </c>
      <c r="P130" s="172">
        <f t="shared" si="321"/>
        <v>2.4086479996486685</v>
      </c>
      <c r="Q130" s="217">
        <f t="shared" si="322"/>
        <v>1.244779327983808</v>
      </c>
      <c r="R130" s="217">
        <f t="shared" si="323"/>
        <v>1.6597057706450773</v>
      </c>
      <c r="S130" s="217">
        <f t="shared" si="324"/>
        <v>24</v>
      </c>
      <c r="T130" s="217">
        <f t="shared" si="325"/>
        <v>1.7852338742012985</v>
      </c>
      <c r="U130" s="217">
        <f t="shared" si="326"/>
        <v>2.0055986649187409</v>
      </c>
      <c r="V130" s="217">
        <f t="shared" si="327"/>
        <v>1.0826377552322066</v>
      </c>
      <c r="W130" s="197">
        <f t="shared" si="328"/>
        <v>260.13398396205616</v>
      </c>
      <c r="X130" s="443">
        <f t="shared" si="435"/>
        <v>304.11438601914597</v>
      </c>
      <c r="Z130" s="217">
        <f t="shared" si="329"/>
        <v>2.2222222222222223</v>
      </c>
      <c r="AA130" s="173">
        <f t="shared" si="330"/>
        <v>1.3476450974078444</v>
      </c>
      <c r="AB130" s="173">
        <f t="shared" si="331"/>
        <v>0.24168377074915673</v>
      </c>
      <c r="AC130" s="173"/>
      <c r="AD130" s="173">
        <f t="shared" si="332"/>
        <v>1.3476450974078444</v>
      </c>
      <c r="AE130" s="545">
        <f t="shared" si="333"/>
        <v>200.24935940875261</v>
      </c>
      <c r="AF130" s="528">
        <f t="shared" si="334"/>
        <v>0.25981005355534348</v>
      </c>
      <c r="AH130" s="173">
        <f t="shared" si="335"/>
        <v>1.7171404801504824</v>
      </c>
      <c r="AI130" s="173">
        <f t="shared" si="336"/>
        <v>2.2222222222222223</v>
      </c>
      <c r="AJ130" s="173">
        <f t="shared" si="337"/>
        <v>1.1144282053764301</v>
      </c>
      <c r="AL130" s="545">
        <f t="shared" si="338"/>
        <v>200</v>
      </c>
      <c r="AM130" s="460">
        <f t="shared" si="339"/>
        <v>200.24935940875261</v>
      </c>
      <c r="AO130" s="460">
        <f t="shared" si="340"/>
        <v>200</v>
      </c>
      <c r="AP130" s="460">
        <f t="shared" si="341"/>
        <v>200.24935940875261</v>
      </c>
      <c r="AR130" s="5">
        <f t="shared" si="275"/>
        <v>4.9937737776168456</v>
      </c>
      <c r="AS130" s="5">
        <f t="shared" si="440"/>
        <v>2.496527758322773</v>
      </c>
      <c r="AT130" s="5">
        <f t="shared" si="441"/>
        <v>2.4972460192940726</v>
      </c>
      <c r="AU130" s="173">
        <f t="shared" si="442"/>
        <v>0.49992808435030445</v>
      </c>
      <c r="AW130" s="5">
        <f t="shared" si="342"/>
        <v>2.0804397986023111</v>
      </c>
      <c r="AX130" s="5">
        <f t="shared" si="343"/>
        <v>0.27739197314697484</v>
      </c>
      <c r="AY130" s="5">
        <f t="shared" si="344"/>
        <v>1.1221999211751656</v>
      </c>
      <c r="AZ130" s="5"/>
      <c r="BA130" s="173">
        <f t="shared" si="345"/>
        <v>0.90715317770453263</v>
      </c>
      <c r="BB130" s="173">
        <f t="shared" si="346"/>
        <v>0.60515820396104847</v>
      </c>
      <c r="BC130" s="173">
        <f t="shared" si="347"/>
        <v>6.0597598531775258E-2</v>
      </c>
      <c r="BD130" s="173"/>
      <c r="BE130" s="528">
        <f t="shared" si="348"/>
        <v>3.2917075512777255E-2</v>
      </c>
      <c r="BF130" s="528">
        <f t="shared" si="349"/>
        <v>0.25422578605783192</v>
      </c>
      <c r="BG130" s="528">
        <f t="shared" si="350"/>
        <v>7.1298798898652024E-2</v>
      </c>
      <c r="BH130" s="528">
        <f t="shared" si="351"/>
        <v>2.2592594224163248E-2</v>
      </c>
      <c r="BI130">
        <f t="shared" si="352"/>
        <v>4.0055633135512346E-3</v>
      </c>
      <c r="BJ130" s="460">
        <f t="shared" si="436"/>
        <v>75.304362212203259</v>
      </c>
      <c r="BK130">
        <f t="shared" si="353"/>
        <v>0.32113469180343046</v>
      </c>
      <c r="BL130" s="460">
        <f t="shared" si="437"/>
        <v>385.03981800697574</v>
      </c>
      <c r="BM130" s="173">
        <f t="shared" si="354"/>
        <v>0.17359999999999998</v>
      </c>
      <c r="BN130" s="173">
        <f t="shared" si="355"/>
        <v>1.7360000000000004E-2</v>
      </c>
      <c r="BO130" s="528"/>
      <c r="BQ130" s="460">
        <f t="shared" si="356"/>
        <v>190.95999999999998</v>
      </c>
      <c r="BR130" s="528">
        <f t="shared" si="357"/>
        <v>2.4687806634582938E-2</v>
      </c>
      <c r="BS130" s="528">
        <f t="shared" si="358"/>
        <v>1.0986493554640858E-2</v>
      </c>
      <c r="BT130" s="528">
        <f t="shared" si="359"/>
        <v>1.8360344739091054E-5</v>
      </c>
      <c r="BU130" s="528">
        <f t="shared" si="360"/>
        <v>0.20886542717677051</v>
      </c>
      <c r="BV130" s="528"/>
      <c r="BW130" s="625">
        <f t="shared" si="361"/>
        <v>0.19777714509506436</v>
      </c>
      <c r="BX130" s="460">
        <f t="shared" si="362"/>
        <v>442.33523280579777</v>
      </c>
      <c r="BY130" s="173">
        <f t="shared" si="363"/>
        <v>1.0183350508127735</v>
      </c>
      <c r="BZ130" s="5">
        <f t="shared" si="364"/>
        <v>5.160000000000001</v>
      </c>
      <c r="CA130" s="173">
        <f t="shared" si="365"/>
        <v>0.83517646057754513</v>
      </c>
      <c r="CB130" s="5">
        <f t="shared" si="366"/>
        <v>83.517646057754519</v>
      </c>
      <c r="CC130">
        <f t="shared" si="367"/>
        <v>20</v>
      </c>
      <c r="CE130" s="562">
        <f t="shared" si="368"/>
        <v>-50</v>
      </c>
      <c r="CF130">
        <f t="shared" si="369"/>
        <v>-50</v>
      </c>
      <c r="CG130" s="173">
        <f t="shared" si="370"/>
        <v>0.27096431872735094</v>
      </c>
      <c r="CH130" s="173">
        <f t="shared" si="371"/>
        <v>7.3855706809935334E-2</v>
      </c>
      <c r="CI130" s="170">
        <v>20</v>
      </c>
      <c r="CJ130" s="217">
        <f t="shared" si="438"/>
        <v>0.2</v>
      </c>
      <c r="CK130" s="217">
        <f t="shared" si="372"/>
        <v>2.0000000000000004E-2</v>
      </c>
      <c r="CL130" s="217">
        <f t="shared" si="373"/>
        <v>4.8000000000000007</v>
      </c>
      <c r="CM130" s="217">
        <f t="shared" si="374"/>
        <v>0.3600000000000001</v>
      </c>
      <c r="CN130" s="541">
        <f t="shared" si="375"/>
        <v>9</v>
      </c>
      <c r="CO130" s="443">
        <f t="shared" si="376"/>
        <v>16.474900000000002</v>
      </c>
      <c r="CP130" s="443">
        <f t="shared" si="377"/>
        <v>25.474900000000002</v>
      </c>
      <c r="CQ130" s="443"/>
      <c r="CR130" s="217">
        <f t="shared" si="378"/>
        <v>0.64485133082098534</v>
      </c>
      <c r="CS130" s="172">
        <f t="shared" si="379"/>
        <v>29.993085154464438</v>
      </c>
      <c r="CT130" s="172">
        <f t="shared" si="380"/>
        <v>2.4181924905786953</v>
      </c>
      <c r="CU130" s="217">
        <f t="shared" si="381"/>
        <v>1.2497118814360182</v>
      </c>
      <c r="CV130" s="217">
        <f t="shared" si="382"/>
        <v>1.6662825085813577</v>
      </c>
      <c r="CW130" s="217">
        <f t="shared" si="383"/>
        <v>24</v>
      </c>
      <c r="CX130" s="217">
        <f t="shared" si="384"/>
        <v>1.7781876408734412</v>
      </c>
      <c r="CY130" s="217">
        <f t="shared" si="385"/>
        <v>1.9757640454149348</v>
      </c>
      <c r="CZ130" s="217">
        <f t="shared" si="386"/>
        <v>1.0793313712820358</v>
      </c>
      <c r="DA130" s="197">
        <f t="shared" si="387"/>
        <v>261.91798593910079</v>
      </c>
      <c r="DB130" s="443">
        <f t="shared" si="388"/>
        <v>327.32201898988615</v>
      </c>
      <c r="DD130" s="217">
        <f t="shared" si="389"/>
        <v>2.2222222222222228</v>
      </c>
      <c r="DE130" s="173">
        <f t="shared" si="390"/>
        <v>1.3488532386977905</v>
      </c>
      <c r="DF130" s="173">
        <f t="shared" si="391"/>
        <v>0.24355939229558116</v>
      </c>
      <c r="DG130" s="173"/>
      <c r="DH130" s="173">
        <f t="shared" si="392"/>
        <v>1.3488532386977903</v>
      </c>
      <c r="DI130" s="545">
        <f t="shared" si="393"/>
        <v>200.06999999999994</v>
      </c>
      <c r="DJ130" s="528">
        <f t="shared" si="394"/>
        <v>0.26182634671774968</v>
      </c>
      <c r="DL130" s="173">
        <f t="shared" si="395"/>
        <v>1.7171404801504824</v>
      </c>
      <c r="DM130" s="173">
        <f t="shared" si="396"/>
        <v>2.2222222222222223</v>
      </c>
      <c r="DN130" s="173">
        <f t="shared" si="397"/>
        <v>1.1143257142857141</v>
      </c>
      <c r="DP130" s="545">
        <f t="shared" si="398"/>
        <v>200</v>
      </c>
      <c r="DQ130" s="460">
        <f t="shared" si="399"/>
        <v>200.06999999999994</v>
      </c>
      <c r="DS130" s="460">
        <f t="shared" si="400"/>
        <v>200</v>
      </c>
      <c r="DT130" s="460">
        <f t="shared" si="401"/>
        <v>200.06999999999994</v>
      </c>
      <c r="DV130" s="5">
        <f t="shared" si="402"/>
        <v>4.9982506122857018</v>
      </c>
      <c r="DW130" s="5">
        <f t="shared" si="403"/>
        <v>2.4691358024691361</v>
      </c>
      <c r="DX130" s="5">
        <f t="shared" si="404"/>
        <v>2.5291148098165657</v>
      </c>
      <c r="DY130" s="173">
        <f t="shared" si="405"/>
        <v>0.49399999999999988</v>
      </c>
      <c r="EA130" s="5">
        <f t="shared" si="406"/>
        <v>2.0576131687242798</v>
      </c>
      <c r="EB130" s="5">
        <f t="shared" si="407"/>
        <v>0.27434842249657077</v>
      </c>
      <c r="EC130" s="5">
        <f t="shared" si="408"/>
        <v>1.1240510265851404</v>
      </c>
      <c r="ED130" s="5"/>
      <c r="EE130" s="173">
        <f t="shared" si="409"/>
        <v>0.90175868406122672</v>
      </c>
      <c r="EF130" s="173">
        <f t="shared" si="410"/>
        <v>0.60873454924156345</v>
      </c>
      <c r="EG130" s="173">
        <f t="shared" si="411"/>
        <v>6.0955716349729523E-2</v>
      </c>
      <c r="EH130" s="173"/>
      <c r="EI130" s="528">
        <f t="shared" si="412"/>
        <v>3.2526748971193412E-2</v>
      </c>
      <c r="EJ130" s="528">
        <f t="shared" si="413"/>
        <v>0.31146886484999992</v>
      </c>
      <c r="EK130" s="528">
        <f t="shared" si="414"/>
        <v>4.0013999999999987E-2</v>
      </c>
      <c r="EL130" s="528">
        <f t="shared" si="415"/>
        <v>2.2721918439342615E-2</v>
      </c>
      <c r="EM130">
        <f t="shared" si="416"/>
        <v>4.0499999999999998E-3</v>
      </c>
      <c r="EN130" s="460">
        <f t="shared" si="417"/>
        <v>44.063999999999986</v>
      </c>
      <c r="EP130" s="460">
        <f t="shared" si="439"/>
        <v>410.78153226053593</v>
      </c>
      <c r="EQ130" s="173">
        <f t="shared" si="418"/>
        <v>0.13999999999999999</v>
      </c>
      <c r="ER130" s="173">
        <f t="shared" si="419"/>
        <v>1.2400000000000003E-2</v>
      </c>
      <c r="ES130" s="528"/>
      <c r="EU130" s="460">
        <f t="shared" si="420"/>
        <v>152.39999999999998</v>
      </c>
      <c r="EV130" s="528">
        <f t="shared" si="421"/>
        <v>2.4395061728395059E-2</v>
      </c>
      <c r="EW130" s="528">
        <f t="shared" si="422"/>
        <v>1.1116732543209882E-2</v>
      </c>
      <c r="EX130" s="528">
        <f t="shared" si="423"/>
        <v>1.8577996778543415E-5</v>
      </c>
      <c r="EY130" s="528">
        <f t="shared" si="424"/>
        <v>0.20839804967894915</v>
      </c>
      <c r="EZ130" s="528"/>
      <c r="FA130" s="625">
        <f t="shared" si="425"/>
        <v>0.19759999999999997</v>
      </c>
      <c r="FB130" s="460">
        <f t="shared" si="426"/>
        <v>441.52842194733262</v>
      </c>
      <c r="FC130" s="173">
        <f t="shared" si="427"/>
        <v>1.0047099542078683</v>
      </c>
      <c r="FD130" s="5">
        <f t="shared" si="428"/>
        <v>5.160000000000001</v>
      </c>
      <c r="FE130" s="173">
        <f t="shared" si="429"/>
        <v>0.8370223479010428</v>
      </c>
      <c r="FF130" s="5">
        <f t="shared" si="430"/>
        <v>83.702234790104285</v>
      </c>
      <c r="FG130">
        <f t="shared" si="431"/>
        <v>20</v>
      </c>
      <c r="FI130" s="562">
        <f t="shared" si="432"/>
        <v>-50</v>
      </c>
      <c r="FJ130">
        <f t="shared" si="433"/>
        <v>-50</v>
      </c>
    </row>
    <row r="131" spans="5:166">
      <c r="E131" s="170">
        <v>21</v>
      </c>
      <c r="F131" s="217">
        <f t="shared" si="434"/>
        <v>0.21</v>
      </c>
      <c r="G131" s="217">
        <f t="shared" si="313"/>
        <v>2.1000000000000001E-2</v>
      </c>
      <c r="H131" s="217">
        <f t="shared" si="314"/>
        <v>5.04</v>
      </c>
      <c r="I131" s="217">
        <f t="shared" si="315"/>
        <v>0.378</v>
      </c>
      <c r="J131" s="541">
        <f t="shared" si="316"/>
        <v>8.901251807891633</v>
      </c>
      <c r="K131" s="443">
        <f t="shared" si="317"/>
        <v>16.489669472300989</v>
      </c>
      <c r="L131" s="172">
        <f t="shared" si="318"/>
        <v>25.390921280192622</v>
      </c>
      <c r="M131" s="443"/>
      <c r="N131" s="217">
        <f t="shared" si="319"/>
        <v>0.64943171184436421</v>
      </c>
      <c r="O131" s="172">
        <f t="shared" si="320"/>
        <v>29.874703871611391</v>
      </c>
      <c r="P131" s="172">
        <f t="shared" si="321"/>
        <v>2.4086479996486685</v>
      </c>
      <c r="Q131" s="217">
        <f t="shared" si="322"/>
        <v>1.244779327983808</v>
      </c>
      <c r="R131" s="217">
        <f t="shared" si="323"/>
        <v>1.6597057706450773</v>
      </c>
      <c r="S131" s="217">
        <f t="shared" si="324"/>
        <v>24</v>
      </c>
      <c r="T131" s="217">
        <f t="shared" si="325"/>
        <v>1.8744955679113631</v>
      </c>
      <c r="U131" s="217">
        <f t="shared" si="326"/>
        <v>2.1058785981646779</v>
      </c>
      <c r="V131" s="217">
        <f t="shared" si="327"/>
        <v>1.1367696429938168</v>
      </c>
      <c r="W131" s="197">
        <f t="shared" si="328"/>
        <v>260.13398396205616</v>
      </c>
      <c r="X131" s="443">
        <f t="shared" si="435"/>
        <v>290.47405658368609</v>
      </c>
      <c r="Z131" s="217">
        <f t="shared" si="329"/>
        <v>2.2222222222222223</v>
      </c>
      <c r="AA131" s="173">
        <f t="shared" si="330"/>
        <v>1.3476450974078444</v>
      </c>
      <c r="AB131" s="173">
        <f t="shared" si="331"/>
        <v>0.24168377074915673</v>
      </c>
      <c r="AC131" s="173"/>
      <c r="AD131" s="173">
        <f t="shared" si="332"/>
        <v>1.3476450974078444</v>
      </c>
      <c r="AE131" s="545">
        <f t="shared" si="333"/>
        <v>210.26182737919018</v>
      </c>
      <c r="AF131" s="528">
        <f t="shared" si="334"/>
        <v>0.25981005355534348</v>
      </c>
      <c r="AH131" s="173">
        <f t="shared" si="335"/>
        <v>1.7595453958338214</v>
      </c>
      <c r="AI131" s="173">
        <f t="shared" si="336"/>
        <v>2.2222222222222223</v>
      </c>
      <c r="AJ131" s="173">
        <f t="shared" si="337"/>
        <v>1.1201496156452515</v>
      </c>
      <c r="AL131" s="545">
        <f t="shared" si="338"/>
        <v>210</v>
      </c>
      <c r="AM131" s="460">
        <f t="shared" si="339"/>
        <v>210.26182737919018</v>
      </c>
      <c r="AO131" s="460">
        <f t="shared" si="340"/>
        <v>210</v>
      </c>
      <c r="AP131" s="460">
        <f t="shared" si="341"/>
        <v>210.26182737919018</v>
      </c>
      <c r="AR131" s="5">
        <f t="shared" si="275"/>
        <v>4.7559750263017593</v>
      </c>
      <c r="AS131" s="5">
        <f t="shared" si="440"/>
        <v>2.496527758322773</v>
      </c>
      <c r="AT131" s="5">
        <f t="shared" si="441"/>
        <v>2.2594472679789863</v>
      </c>
      <c r="AU131" s="173">
        <f t="shared" si="442"/>
        <v>0.52492448856781948</v>
      </c>
      <c r="AW131" s="5">
        <f t="shared" si="342"/>
        <v>2.1844617885324262</v>
      </c>
      <c r="AX131" s="5">
        <f t="shared" si="343"/>
        <v>0.29126157180432355</v>
      </c>
      <c r="AY131" s="5">
        <f t="shared" si="344"/>
        <v>1.0661060635424811</v>
      </c>
      <c r="AZ131" s="5"/>
      <c r="BA131" s="173">
        <f t="shared" si="345"/>
        <v>0.92955539491221417</v>
      </c>
      <c r="BB131" s="173">
        <f t="shared" si="346"/>
        <v>0.58983972044243271</v>
      </c>
      <c r="BC131" s="173">
        <f t="shared" si="347"/>
        <v>5.9063680114573323E-2</v>
      </c>
      <c r="BD131" s="173"/>
      <c r="BE131" s="528">
        <f t="shared" si="348"/>
        <v>3.4562929288416096E-2</v>
      </c>
      <c r="BF131" s="528">
        <f t="shared" si="349"/>
        <v>0.26693707536072336</v>
      </c>
      <c r="BG131" s="528">
        <f t="shared" si="350"/>
        <v>7.4863738843584604E-2</v>
      </c>
      <c r="BH131" s="528">
        <f t="shared" si="351"/>
        <v>2.3722223935371402E-2</v>
      </c>
      <c r="BI131">
        <f t="shared" si="352"/>
        <v>4.0055633135512346E-3</v>
      </c>
      <c r="BJ131" s="460">
        <f t="shared" si="436"/>
        <v>78.869302157135834</v>
      </c>
      <c r="BK131">
        <f t="shared" si="353"/>
        <v>0.33732437856207881</v>
      </c>
      <c r="BL131" s="460">
        <f t="shared" si="437"/>
        <v>404.09153074164669</v>
      </c>
      <c r="BM131" s="173">
        <f t="shared" si="354"/>
        <v>0.18228</v>
      </c>
      <c r="BN131" s="173">
        <f t="shared" si="355"/>
        <v>1.8227999999999998E-2</v>
      </c>
      <c r="BO131" s="528"/>
      <c r="BQ131" s="460">
        <f t="shared" si="356"/>
        <v>200.50799999999998</v>
      </c>
      <c r="BR131" s="528">
        <f t="shared" si="357"/>
        <v>2.5922196966312074E-2</v>
      </c>
      <c r="BS131" s="528">
        <f t="shared" si="358"/>
        <v>1.0437326874348214E-2</v>
      </c>
      <c r="BT131" s="528">
        <f t="shared" si="359"/>
        <v>1.744259154338322E-5</v>
      </c>
      <c r="BU131" s="528">
        <f t="shared" si="360"/>
        <v>0.23596077082631076</v>
      </c>
      <c r="BV131" s="528"/>
      <c r="BW131" s="625">
        <f t="shared" si="361"/>
        <v>0.20766600234981752</v>
      </c>
      <c r="BX131" s="460">
        <f t="shared" si="362"/>
        <v>480.0037396083319</v>
      </c>
      <c r="BY131" s="173">
        <f t="shared" si="363"/>
        <v>1.0846032703499784</v>
      </c>
      <c r="BZ131" s="5">
        <f t="shared" si="364"/>
        <v>5.4180000000000001</v>
      </c>
      <c r="CA131" s="173">
        <f t="shared" si="365"/>
        <v>0.83320476042334291</v>
      </c>
      <c r="CB131" s="5">
        <f t="shared" si="366"/>
        <v>83.320476042334292</v>
      </c>
      <c r="CC131">
        <f t="shared" si="367"/>
        <v>21</v>
      </c>
      <c r="CE131" s="562">
        <f t="shared" si="368"/>
        <v>-50</v>
      </c>
      <c r="CF131">
        <f t="shared" si="369"/>
        <v>-50</v>
      </c>
      <c r="CG131" s="173">
        <f t="shared" si="370"/>
        <v>0.28451253466371845</v>
      </c>
      <c r="CH131" s="173">
        <f t="shared" si="371"/>
        <v>7.754849215043208E-2</v>
      </c>
      <c r="CI131" s="170">
        <v>21</v>
      </c>
      <c r="CJ131" s="217">
        <f t="shared" si="438"/>
        <v>0.21</v>
      </c>
      <c r="CK131" s="217">
        <f t="shared" si="372"/>
        <v>2.1000000000000001E-2</v>
      </c>
      <c r="CL131" s="217">
        <f t="shared" si="373"/>
        <v>5.04</v>
      </c>
      <c r="CM131" s="217">
        <f t="shared" si="374"/>
        <v>0.378</v>
      </c>
      <c r="CN131" s="541">
        <f t="shared" si="375"/>
        <v>9</v>
      </c>
      <c r="CO131" s="443">
        <f t="shared" si="376"/>
        <v>16.474900000000002</v>
      </c>
      <c r="CP131" s="443">
        <f t="shared" si="377"/>
        <v>25.474900000000002</v>
      </c>
      <c r="CQ131" s="443"/>
      <c r="CR131" s="217">
        <f t="shared" si="378"/>
        <v>0.64485133082098534</v>
      </c>
      <c r="CS131" s="172">
        <f t="shared" si="379"/>
        <v>29.993085154464438</v>
      </c>
      <c r="CT131" s="172">
        <f t="shared" si="380"/>
        <v>2.4181924905786953</v>
      </c>
      <c r="CU131" s="217">
        <f t="shared" si="381"/>
        <v>1.2497118814360182</v>
      </c>
      <c r="CV131" s="217">
        <f t="shared" si="382"/>
        <v>1.6662825085813577</v>
      </c>
      <c r="CW131" s="217">
        <f t="shared" si="383"/>
        <v>24</v>
      </c>
      <c r="CX131" s="217">
        <f t="shared" si="384"/>
        <v>1.8670970229171129</v>
      </c>
      <c r="CY131" s="217">
        <f t="shared" si="385"/>
        <v>2.074552247685681</v>
      </c>
      <c r="CZ131" s="217">
        <f t="shared" si="386"/>
        <v>1.1332979398461374</v>
      </c>
      <c r="DA131" s="197">
        <f t="shared" si="387"/>
        <v>261.91798593910079</v>
      </c>
      <c r="DB131" s="443">
        <f t="shared" si="388"/>
        <v>311.73525618084409</v>
      </c>
      <c r="DD131" s="217">
        <f t="shared" si="389"/>
        <v>2.2222222222222228</v>
      </c>
      <c r="DE131" s="173">
        <f t="shared" si="390"/>
        <v>1.3488532386977905</v>
      </c>
      <c r="DF131" s="173">
        <f t="shared" si="391"/>
        <v>0.24355939229558116</v>
      </c>
      <c r="DG131" s="173"/>
      <c r="DH131" s="173">
        <f t="shared" si="392"/>
        <v>1.3488532386977903</v>
      </c>
      <c r="DI131" s="545">
        <f t="shared" si="393"/>
        <v>210.07349999999988</v>
      </c>
      <c r="DJ131" s="528">
        <f t="shared" si="394"/>
        <v>0.26182634671774968</v>
      </c>
      <c r="DL131" s="173">
        <f t="shared" si="395"/>
        <v>1.7595453958338214</v>
      </c>
      <c r="DM131" s="173">
        <f t="shared" si="396"/>
        <v>2.2222222222222223</v>
      </c>
      <c r="DN131" s="173">
        <f t="shared" si="397"/>
        <v>1.120042</v>
      </c>
      <c r="DP131" s="545">
        <f t="shared" si="398"/>
        <v>210</v>
      </c>
      <c r="DQ131" s="460">
        <f t="shared" si="399"/>
        <v>210.07349999999988</v>
      </c>
      <c r="DS131" s="460">
        <f t="shared" si="400"/>
        <v>210</v>
      </c>
      <c r="DT131" s="460">
        <f t="shared" si="401"/>
        <v>210.07349999999988</v>
      </c>
      <c r="DV131" s="5">
        <f t="shared" si="402"/>
        <v>4.7602386783673358</v>
      </c>
      <c r="DW131" s="5">
        <f t="shared" si="403"/>
        <v>2.4691358024691361</v>
      </c>
      <c r="DX131" s="5">
        <f t="shared" si="404"/>
        <v>2.2911028758981997</v>
      </c>
      <c r="DY131" s="173">
        <f t="shared" si="405"/>
        <v>0.51869999999999983</v>
      </c>
      <c r="EA131" s="5">
        <f t="shared" si="406"/>
        <v>2.1604938271604941</v>
      </c>
      <c r="EB131" s="5">
        <f t="shared" si="407"/>
        <v>0.28806584362139925</v>
      </c>
      <c r="EC131" s="5">
        <f t="shared" si="408"/>
        <v>1.0691813420858265</v>
      </c>
      <c r="ED131" s="5"/>
      <c r="EE131" s="173">
        <f t="shared" si="409"/>
        <v>0.92402768383519063</v>
      </c>
      <c r="EF131" s="173">
        <f t="shared" si="410"/>
        <v>0.59369121638400779</v>
      </c>
      <c r="EG131" s="173">
        <f t="shared" si="411"/>
        <v>5.9449350181155367E-2</v>
      </c>
      <c r="EH131" s="173"/>
      <c r="EI131" s="528">
        <f t="shared" si="412"/>
        <v>3.4153086419753079E-2</v>
      </c>
      <c r="EJ131" s="528">
        <f t="shared" si="413"/>
        <v>0.32704230809249984</v>
      </c>
      <c r="EK131" s="528">
        <f t="shared" si="414"/>
        <v>4.2014699999999974E-2</v>
      </c>
      <c r="EL131" s="528">
        <f t="shared" si="415"/>
        <v>2.3858014361309739E-2</v>
      </c>
      <c r="EM131">
        <f t="shared" si="416"/>
        <v>4.0499999999999998E-3</v>
      </c>
      <c r="EN131" s="460">
        <f t="shared" si="417"/>
        <v>46.064699999999974</v>
      </c>
      <c r="EP131" s="460">
        <f t="shared" si="439"/>
        <v>431.11810887356262</v>
      </c>
      <c r="EQ131" s="173">
        <f t="shared" si="418"/>
        <v>0.14699999999999999</v>
      </c>
      <c r="ER131" s="173">
        <f t="shared" si="419"/>
        <v>1.302E-2</v>
      </c>
      <c r="ES131" s="528"/>
      <c r="EU131" s="460">
        <f t="shared" si="420"/>
        <v>160.01999999999998</v>
      </c>
      <c r="EV131" s="528">
        <f t="shared" si="421"/>
        <v>2.5614814814814809E-2</v>
      </c>
      <c r="EW131" s="528">
        <f t="shared" si="422"/>
        <v>1.0574077812345683E-2</v>
      </c>
      <c r="EX131" s="528">
        <f t="shared" si="423"/>
        <v>1.7671126184808188E-5</v>
      </c>
      <c r="EY131" s="528">
        <f t="shared" si="424"/>
        <v>0.23543276216473705</v>
      </c>
      <c r="EZ131" s="528"/>
      <c r="FA131" s="625">
        <f t="shared" si="425"/>
        <v>0.20747999999999994</v>
      </c>
      <c r="FB131" s="460">
        <f t="shared" si="426"/>
        <v>479.11932591808232</v>
      </c>
      <c r="FC131" s="173">
        <f t="shared" si="427"/>
        <v>1.0702574347916449</v>
      </c>
      <c r="FD131" s="5">
        <f t="shared" si="428"/>
        <v>5.4180000000000001</v>
      </c>
      <c r="FE131" s="173">
        <f t="shared" si="429"/>
        <v>0.83504701446452179</v>
      </c>
      <c r="FF131" s="5">
        <f t="shared" si="430"/>
        <v>83.504701446452174</v>
      </c>
      <c r="FG131">
        <f t="shared" si="431"/>
        <v>21</v>
      </c>
      <c r="FI131" s="562">
        <f t="shared" si="432"/>
        <v>-50</v>
      </c>
      <c r="FJ131">
        <f t="shared" si="433"/>
        <v>-50</v>
      </c>
    </row>
    <row r="132" spans="5:166">
      <c r="E132" s="170">
        <v>22</v>
      </c>
      <c r="F132" s="217">
        <f t="shared" si="434"/>
        <v>0.22</v>
      </c>
      <c r="G132" s="217">
        <f t="shared" si="313"/>
        <v>2.2000000000000002E-2</v>
      </c>
      <c r="H132" s="217">
        <f t="shared" si="314"/>
        <v>5.28</v>
      </c>
      <c r="I132" s="217">
        <f t="shared" si="315"/>
        <v>0.39600000000000002</v>
      </c>
      <c r="J132" s="541">
        <f t="shared" si="316"/>
        <v>8.901251807891633</v>
      </c>
      <c r="K132" s="443">
        <f t="shared" si="317"/>
        <v>16.489669472300989</v>
      </c>
      <c r="L132" s="172">
        <f t="shared" si="318"/>
        <v>25.390921280192622</v>
      </c>
      <c r="M132" s="443"/>
      <c r="N132" s="217">
        <f t="shared" si="319"/>
        <v>0.64943171184436421</v>
      </c>
      <c r="O132" s="172">
        <f t="shared" si="320"/>
        <v>29.874703871611391</v>
      </c>
      <c r="P132" s="172">
        <f t="shared" si="321"/>
        <v>2.4086479996486685</v>
      </c>
      <c r="Q132" s="217">
        <f t="shared" si="322"/>
        <v>1.244779327983808</v>
      </c>
      <c r="R132" s="217">
        <f t="shared" si="323"/>
        <v>1.6597057706450773</v>
      </c>
      <c r="S132" s="217">
        <f t="shared" si="324"/>
        <v>24</v>
      </c>
      <c r="T132" s="217">
        <f t="shared" si="325"/>
        <v>1.9637572616214281</v>
      </c>
      <c r="U132" s="217">
        <f t="shared" si="326"/>
        <v>2.2061585314106145</v>
      </c>
      <c r="V132" s="217">
        <f t="shared" si="327"/>
        <v>1.1909015307554272</v>
      </c>
      <c r="W132" s="197">
        <f t="shared" si="328"/>
        <v>260.13398396205616</v>
      </c>
      <c r="X132" s="443">
        <f t="shared" si="435"/>
        <v>278.00481023878979</v>
      </c>
      <c r="Z132" s="217">
        <f t="shared" si="329"/>
        <v>2.2222222222222223</v>
      </c>
      <c r="AA132" s="173">
        <f t="shared" si="330"/>
        <v>1.3476450974078444</v>
      </c>
      <c r="AB132" s="173">
        <f t="shared" si="331"/>
        <v>0.24168377074915673</v>
      </c>
      <c r="AC132" s="173"/>
      <c r="AD132" s="173">
        <f t="shared" si="332"/>
        <v>1.3476450974078444</v>
      </c>
      <c r="AE132" s="545">
        <f t="shared" si="333"/>
        <v>220.27429534962786</v>
      </c>
      <c r="AF132" s="528">
        <f t="shared" si="334"/>
        <v>0.25981005355534348</v>
      </c>
      <c r="AH132" s="173">
        <f t="shared" si="335"/>
        <v>1.8009521291329682</v>
      </c>
      <c r="AI132" s="173">
        <f t="shared" si="336"/>
        <v>2.2222222222222223</v>
      </c>
      <c r="AJ132" s="173">
        <f t="shared" si="337"/>
        <v>1.1258710259140732</v>
      </c>
      <c r="AL132" s="545">
        <f t="shared" si="338"/>
        <v>220</v>
      </c>
      <c r="AM132" s="460">
        <f t="shared" si="339"/>
        <v>220.27429534962786</v>
      </c>
      <c r="AO132" s="460">
        <f t="shared" si="340"/>
        <v>220</v>
      </c>
      <c r="AP132" s="460">
        <f t="shared" si="341"/>
        <v>220.27429534962786</v>
      </c>
      <c r="AR132" s="5">
        <f t="shared" si="275"/>
        <v>4.5397943432880421</v>
      </c>
      <c r="AS132" s="5">
        <f t="shared" si="440"/>
        <v>2.496527758322773</v>
      </c>
      <c r="AT132" s="5">
        <f t="shared" si="441"/>
        <v>2.0432665849652691</v>
      </c>
      <c r="AU132" s="173">
        <f t="shared" si="442"/>
        <v>0.54992089278533485</v>
      </c>
      <c r="AW132" s="5">
        <f t="shared" si="342"/>
        <v>2.2884837784625423</v>
      </c>
      <c r="AX132" s="5">
        <f t="shared" si="343"/>
        <v>0.30513117046167226</v>
      </c>
      <c r="AY132" s="5">
        <f t="shared" si="344"/>
        <v>1.0100122059097956</v>
      </c>
      <c r="AZ132" s="5"/>
      <c r="BA132" s="173">
        <f t="shared" si="345"/>
        <v>0.95143027942218361</v>
      </c>
      <c r="BB132" s="173">
        <f t="shared" si="346"/>
        <v>0.57411265427775771</v>
      </c>
      <c r="BC132" s="173">
        <f t="shared" si="347"/>
        <v>5.7488848218894384E-2</v>
      </c>
      <c r="BD132" s="173"/>
      <c r="BE132" s="528">
        <f t="shared" si="348"/>
        <v>3.6208783064054978E-2</v>
      </c>
      <c r="BF132" s="528">
        <f t="shared" si="349"/>
        <v>0.27964836466361503</v>
      </c>
      <c r="BG132" s="528">
        <f t="shared" si="350"/>
        <v>7.8428678788517212E-2</v>
      </c>
      <c r="BH132" s="528">
        <f t="shared" si="351"/>
        <v>2.4851853646579571E-2</v>
      </c>
      <c r="BI132">
        <f t="shared" si="352"/>
        <v>4.0055633135512346E-3</v>
      </c>
      <c r="BJ132" s="460">
        <f t="shared" si="436"/>
        <v>82.434242102068438</v>
      </c>
      <c r="BK132">
        <f t="shared" si="353"/>
        <v>0.35352683731209467</v>
      </c>
      <c r="BL132" s="460">
        <f t="shared" si="437"/>
        <v>423.14324347631805</v>
      </c>
      <c r="BM132" s="173">
        <f t="shared" si="354"/>
        <v>0.19095999999999999</v>
      </c>
      <c r="BN132" s="173">
        <f t="shared" si="355"/>
        <v>1.9096000000000002E-2</v>
      </c>
      <c r="BO132" s="528"/>
      <c r="BQ132" s="460">
        <f t="shared" si="356"/>
        <v>210.05599999999998</v>
      </c>
      <c r="BR132" s="528">
        <f t="shared" si="357"/>
        <v>2.715658729804123E-2</v>
      </c>
      <c r="BS132" s="528">
        <f t="shared" si="358"/>
        <v>9.8881601940555633E-3</v>
      </c>
      <c r="BT132" s="528">
        <f t="shared" si="359"/>
        <v>1.6524838347675382E-5</v>
      </c>
      <c r="BU132" s="528">
        <f t="shared" si="360"/>
        <v>0.2650624888008008</v>
      </c>
      <c r="BV132" s="528"/>
      <c r="BW132" s="625">
        <f t="shared" si="361"/>
        <v>0.21755485960457077</v>
      </c>
      <c r="BX132" s="460">
        <f t="shared" si="362"/>
        <v>519.67862073581603</v>
      </c>
      <c r="BY132" s="173">
        <f t="shared" si="363"/>
        <v>1.152877864212134</v>
      </c>
      <c r="BZ132" s="5">
        <f t="shared" si="364"/>
        <v>5.6760000000000002</v>
      </c>
      <c r="CA132" s="173">
        <f t="shared" si="365"/>
        <v>0.83117608966855572</v>
      </c>
      <c r="CB132" s="5">
        <f t="shared" si="366"/>
        <v>83.11760896685557</v>
      </c>
      <c r="CC132">
        <f t="shared" si="367"/>
        <v>22</v>
      </c>
      <c r="CE132" s="562">
        <f t="shared" si="368"/>
        <v>-50</v>
      </c>
      <c r="CF132">
        <f t="shared" si="369"/>
        <v>-50</v>
      </c>
      <c r="CG132" s="173">
        <f t="shared" si="370"/>
        <v>0.29806075060008608</v>
      </c>
      <c r="CH132" s="173">
        <f t="shared" si="371"/>
        <v>8.124127749092884E-2</v>
      </c>
      <c r="CI132" s="170">
        <v>22</v>
      </c>
      <c r="CJ132" s="217">
        <f t="shared" si="438"/>
        <v>0.22</v>
      </c>
      <c r="CK132" s="217">
        <f t="shared" si="372"/>
        <v>2.2000000000000002E-2</v>
      </c>
      <c r="CL132" s="217">
        <f t="shared" si="373"/>
        <v>5.28</v>
      </c>
      <c r="CM132" s="217">
        <f t="shared" si="374"/>
        <v>0.39600000000000002</v>
      </c>
      <c r="CN132" s="541">
        <f t="shared" si="375"/>
        <v>9</v>
      </c>
      <c r="CO132" s="443">
        <f t="shared" si="376"/>
        <v>16.474900000000002</v>
      </c>
      <c r="CP132" s="443">
        <f t="shared" si="377"/>
        <v>25.474900000000002</v>
      </c>
      <c r="CQ132" s="443"/>
      <c r="CR132" s="217">
        <f t="shared" si="378"/>
        <v>0.64485133082098534</v>
      </c>
      <c r="CS132" s="172">
        <f t="shared" si="379"/>
        <v>29.993085154464438</v>
      </c>
      <c r="CT132" s="172">
        <f t="shared" si="380"/>
        <v>2.4181924905786953</v>
      </c>
      <c r="CU132" s="217">
        <f t="shared" si="381"/>
        <v>1.2497118814360182</v>
      </c>
      <c r="CV132" s="217">
        <f t="shared" si="382"/>
        <v>1.6662825085813577</v>
      </c>
      <c r="CW132" s="217">
        <f t="shared" si="383"/>
        <v>24</v>
      </c>
      <c r="CX132" s="217">
        <f t="shared" si="384"/>
        <v>1.9560064049607848</v>
      </c>
      <c r="CY132" s="217">
        <f t="shared" si="385"/>
        <v>2.1733404499564277</v>
      </c>
      <c r="CZ132" s="217">
        <f t="shared" si="386"/>
        <v>1.1872645084102391</v>
      </c>
      <c r="DA132" s="197">
        <f t="shared" si="387"/>
        <v>261.91798593910079</v>
      </c>
      <c r="DB132" s="443">
        <f t="shared" si="388"/>
        <v>297.56547180898752</v>
      </c>
      <c r="DD132" s="217">
        <f t="shared" si="389"/>
        <v>2.2222222222222228</v>
      </c>
      <c r="DE132" s="173">
        <f t="shared" si="390"/>
        <v>1.3488532386977905</v>
      </c>
      <c r="DF132" s="173">
        <f t="shared" si="391"/>
        <v>0.24355939229558116</v>
      </c>
      <c r="DG132" s="173"/>
      <c r="DH132" s="173">
        <f t="shared" si="392"/>
        <v>1.3488532386977903</v>
      </c>
      <c r="DI132" s="545">
        <f t="shared" si="393"/>
        <v>220.07699999999991</v>
      </c>
      <c r="DJ132" s="528">
        <f t="shared" si="394"/>
        <v>0.26182634671774968</v>
      </c>
      <c r="DL132" s="173">
        <f t="shared" si="395"/>
        <v>1.8009521291329682</v>
      </c>
      <c r="DM132" s="173">
        <f t="shared" si="396"/>
        <v>2.2222222222222223</v>
      </c>
      <c r="DN132" s="173">
        <f t="shared" si="397"/>
        <v>1.1257582857142856</v>
      </c>
      <c r="DP132" s="545">
        <f t="shared" si="398"/>
        <v>220</v>
      </c>
      <c r="DQ132" s="460">
        <f t="shared" si="399"/>
        <v>220.07699999999991</v>
      </c>
      <c r="DS132" s="460">
        <f t="shared" si="400"/>
        <v>220</v>
      </c>
      <c r="DT132" s="460">
        <f t="shared" si="401"/>
        <v>220.07699999999991</v>
      </c>
      <c r="DV132" s="5">
        <f t="shared" si="402"/>
        <v>4.5438641929870025</v>
      </c>
      <c r="DW132" s="5">
        <f t="shared" si="403"/>
        <v>2.4691358024691361</v>
      </c>
      <c r="DX132" s="5">
        <f t="shared" si="404"/>
        <v>2.0747283905178664</v>
      </c>
      <c r="DY132" s="173">
        <f t="shared" si="405"/>
        <v>0.54339999999999977</v>
      </c>
      <c r="EA132" s="5">
        <f t="shared" si="406"/>
        <v>2.263374485596708</v>
      </c>
      <c r="EB132" s="5">
        <f t="shared" si="407"/>
        <v>0.3017832647462278</v>
      </c>
      <c r="EC132" s="5">
        <f t="shared" si="408"/>
        <v>1.0143116575865123</v>
      </c>
      <c r="ED132" s="5"/>
      <c r="EE132" s="173">
        <f t="shared" si="409"/>
        <v>0.94577248675768666</v>
      </c>
      <c r="EF132" s="173">
        <f t="shared" si="410"/>
        <v>0.57825666393282171</v>
      </c>
      <c r="EG132" s="173">
        <f t="shared" si="411"/>
        <v>5.7903809185705507E-2</v>
      </c>
      <c r="EH132" s="173"/>
      <c r="EI132" s="528">
        <f t="shared" si="412"/>
        <v>3.5779423868312746E-2</v>
      </c>
      <c r="EJ132" s="528">
        <f t="shared" si="413"/>
        <v>0.34261575133499994</v>
      </c>
      <c r="EK132" s="528">
        <f t="shared" si="414"/>
        <v>4.4015399999999975E-2</v>
      </c>
      <c r="EL132" s="528">
        <f t="shared" si="415"/>
        <v>2.4994110283276874E-2</v>
      </c>
      <c r="EM132">
        <f t="shared" si="416"/>
        <v>4.0499999999999998E-3</v>
      </c>
      <c r="EN132" s="460">
        <f t="shared" si="417"/>
        <v>48.065399999999975</v>
      </c>
      <c r="EP132" s="460">
        <f t="shared" si="439"/>
        <v>451.45468548658954</v>
      </c>
      <c r="EQ132" s="173">
        <f t="shared" si="418"/>
        <v>0.154</v>
      </c>
      <c r="ER132" s="173">
        <f t="shared" si="419"/>
        <v>1.3640000000000001E-2</v>
      </c>
      <c r="ES132" s="528"/>
      <c r="EU132" s="460">
        <f t="shared" si="420"/>
        <v>167.64000000000001</v>
      </c>
      <c r="EV132" s="528">
        <f t="shared" si="421"/>
        <v>2.6834567901234556E-2</v>
      </c>
      <c r="EW132" s="528">
        <f t="shared" si="422"/>
        <v>1.0031423081481489E-2</v>
      </c>
      <c r="EX132" s="528">
        <f t="shared" si="423"/>
        <v>1.6764255591072969E-5</v>
      </c>
      <c r="EY132" s="528">
        <f t="shared" si="424"/>
        <v>0.26446935931806853</v>
      </c>
      <c r="EZ132" s="528"/>
      <c r="FA132" s="625">
        <f t="shared" si="425"/>
        <v>0.21735999999999997</v>
      </c>
      <c r="FB132" s="460">
        <f t="shared" si="426"/>
        <v>518.7121145563757</v>
      </c>
      <c r="FC132" s="173">
        <f t="shared" si="427"/>
        <v>1.1378068000429651</v>
      </c>
      <c r="FD132" s="5">
        <f t="shared" si="428"/>
        <v>5.6760000000000002</v>
      </c>
      <c r="FE132" s="173">
        <f t="shared" si="429"/>
        <v>0.83301451986637043</v>
      </c>
      <c r="FF132" s="5">
        <f t="shared" si="430"/>
        <v>83.301451986637048</v>
      </c>
      <c r="FG132">
        <f t="shared" si="431"/>
        <v>22</v>
      </c>
      <c r="FI132" s="562">
        <f t="shared" si="432"/>
        <v>-50</v>
      </c>
      <c r="FJ132">
        <f t="shared" si="433"/>
        <v>-50</v>
      </c>
    </row>
    <row r="133" spans="5:166">
      <c r="E133" s="170">
        <v>23</v>
      </c>
      <c r="F133" s="217">
        <f t="shared" si="434"/>
        <v>0.23</v>
      </c>
      <c r="G133" s="217">
        <f t="shared" si="313"/>
        <v>2.3000000000000003E-2</v>
      </c>
      <c r="H133" s="217">
        <f t="shared" si="314"/>
        <v>5.5200000000000005</v>
      </c>
      <c r="I133" s="217">
        <f t="shared" si="315"/>
        <v>0.41400000000000003</v>
      </c>
      <c r="J133" s="541">
        <f t="shared" si="316"/>
        <v>8.901251807891633</v>
      </c>
      <c r="K133" s="443">
        <f t="shared" si="317"/>
        <v>16.489669472300989</v>
      </c>
      <c r="L133" s="172">
        <f t="shared" si="318"/>
        <v>25.390921280192622</v>
      </c>
      <c r="M133" s="443"/>
      <c r="N133" s="217">
        <f t="shared" si="319"/>
        <v>0.64943171184436421</v>
      </c>
      <c r="O133" s="172">
        <f t="shared" si="320"/>
        <v>29.874703871611391</v>
      </c>
      <c r="P133" s="172">
        <f t="shared" si="321"/>
        <v>2.4086479996486685</v>
      </c>
      <c r="Q133" s="217">
        <f t="shared" si="322"/>
        <v>1.244779327983808</v>
      </c>
      <c r="R133" s="217">
        <f t="shared" si="323"/>
        <v>1.6597057706450773</v>
      </c>
      <c r="S133" s="217">
        <f t="shared" si="324"/>
        <v>24</v>
      </c>
      <c r="T133" s="217">
        <f t="shared" si="325"/>
        <v>2.0530189553314928</v>
      </c>
      <c r="U133" s="217">
        <f t="shared" si="326"/>
        <v>2.3064384646565514</v>
      </c>
      <c r="V133" s="217">
        <f t="shared" si="327"/>
        <v>1.2450334185170373</v>
      </c>
      <c r="W133" s="197">
        <f t="shared" si="328"/>
        <v>260.13398396205616</v>
      </c>
      <c r="X133" s="443">
        <f t="shared" si="435"/>
        <v>266.56204048477144</v>
      </c>
      <c r="Z133" s="217">
        <f t="shared" si="329"/>
        <v>2.2222222222222223</v>
      </c>
      <c r="AA133" s="173">
        <f t="shared" si="330"/>
        <v>1.3476450974078444</v>
      </c>
      <c r="AB133" s="173">
        <f t="shared" si="331"/>
        <v>0.24168377074915673</v>
      </c>
      <c r="AC133" s="173"/>
      <c r="AD133" s="173">
        <f t="shared" si="332"/>
        <v>1.3476450974078444</v>
      </c>
      <c r="AE133" s="545">
        <f t="shared" si="333"/>
        <v>230.28676332006549</v>
      </c>
      <c r="AF133" s="528">
        <f t="shared" si="334"/>
        <v>0.25981005355534348</v>
      </c>
      <c r="AH133" s="173">
        <f t="shared" si="335"/>
        <v>1.8414280172890665</v>
      </c>
      <c r="AI133" s="173">
        <f t="shared" si="336"/>
        <v>2.2222222222222223</v>
      </c>
      <c r="AJ133" s="173">
        <f t="shared" si="337"/>
        <v>1.1315924361828946</v>
      </c>
      <c r="AL133" s="545">
        <f t="shared" si="338"/>
        <v>230</v>
      </c>
      <c r="AM133" s="460">
        <f t="shared" si="339"/>
        <v>230.28676332006549</v>
      </c>
      <c r="AO133" s="460">
        <f t="shared" si="340"/>
        <v>230</v>
      </c>
      <c r="AP133" s="460">
        <f t="shared" si="341"/>
        <v>230.28676332006549</v>
      </c>
      <c r="AR133" s="5">
        <f t="shared" si="275"/>
        <v>4.3424119805363883</v>
      </c>
      <c r="AS133" s="5">
        <f t="shared" si="440"/>
        <v>2.496527758322773</v>
      </c>
      <c r="AT133" s="5">
        <f t="shared" si="441"/>
        <v>1.8458842222136154</v>
      </c>
      <c r="AU133" s="173">
        <f t="shared" si="442"/>
        <v>0.57491729700284999</v>
      </c>
      <c r="AW133" s="5">
        <f t="shared" si="342"/>
        <v>2.3925057683926578</v>
      </c>
      <c r="AX133" s="5">
        <f t="shared" si="343"/>
        <v>0.31900076911902103</v>
      </c>
      <c r="AY133" s="5">
        <f t="shared" si="344"/>
        <v>0.95391834827711064</v>
      </c>
      <c r="AZ133" s="5"/>
      <c r="BA133" s="173">
        <f t="shared" si="345"/>
        <v>0.97281340502294977</v>
      </c>
      <c r="BB133" s="173">
        <f t="shared" si="346"/>
        <v>0.55794245562790556</v>
      </c>
      <c r="BC133" s="173">
        <f t="shared" si="347"/>
        <v>5.5869643191929448E-2</v>
      </c>
      <c r="BD133" s="173"/>
      <c r="BE133" s="528">
        <f t="shared" si="348"/>
        <v>3.7854636839693832E-2</v>
      </c>
      <c r="BF133" s="528">
        <f t="shared" si="349"/>
        <v>0.29235965396650665</v>
      </c>
      <c r="BG133" s="528">
        <f t="shared" si="350"/>
        <v>8.1993618733449819E-2</v>
      </c>
      <c r="BH133" s="528">
        <f t="shared" si="351"/>
        <v>2.5981483357787737E-2</v>
      </c>
      <c r="BI133">
        <f t="shared" si="352"/>
        <v>4.0055633135512346E-3</v>
      </c>
      <c r="BJ133" s="460">
        <f t="shared" si="436"/>
        <v>85.999182047001042</v>
      </c>
      <c r="BK133">
        <f t="shared" si="353"/>
        <v>0.36974208317311547</v>
      </c>
      <c r="BL133" s="460">
        <f t="shared" si="437"/>
        <v>442.19495621098918</v>
      </c>
      <c r="BM133" s="173">
        <f t="shared" si="354"/>
        <v>0.19964000000000001</v>
      </c>
      <c r="BN133" s="173">
        <f t="shared" si="355"/>
        <v>1.9963999999999999E-2</v>
      </c>
      <c r="BO133" s="528"/>
      <c r="BQ133" s="460">
        <f t="shared" si="356"/>
        <v>219.60400000000001</v>
      </c>
      <c r="BR133" s="528">
        <f t="shared" si="357"/>
        <v>2.8390977629770373E-2</v>
      </c>
      <c r="BS133" s="528">
        <f t="shared" si="358"/>
        <v>9.3389935137629214E-3</v>
      </c>
      <c r="BT133" s="528">
        <f t="shared" si="359"/>
        <v>1.5607085151967544E-5</v>
      </c>
      <c r="BU133" s="528">
        <f t="shared" si="360"/>
        <v>0.2962178049918357</v>
      </c>
      <c r="BV133" s="528"/>
      <c r="BW133" s="625">
        <f t="shared" si="361"/>
        <v>0.22744371685932399</v>
      </c>
      <c r="BX133" s="460">
        <f t="shared" si="362"/>
        <v>561.40710007984501</v>
      </c>
      <c r="BY133" s="173">
        <f t="shared" si="363"/>
        <v>1.223206056290834</v>
      </c>
      <c r="BZ133" s="5">
        <f t="shared" si="364"/>
        <v>5.9340000000000002</v>
      </c>
      <c r="CA133" s="173">
        <f t="shared" si="365"/>
        <v>0.82909447532033886</v>
      </c>
      <c r="CB133" s="5">
        <f t="shared" si="366"/>
        <v>82.90944753203388</v>
      </c>
      <c r="CC133">
        <f t="shared" si="367"/>
        <v>23</v>
      </c>
      <c r="CE133" s="562">
        <f t="shared" si="368"/>
        <v>-50</v>
      </c>
      <c r="CF133">
        <f t="shared" si="369"/>
        <v>-50</v>
      </c>
      <c r="CG133" s="173">
        <f t="shared" si="370"/>
        <v>0.31160896653645359</v>
      </c>
      <c r="CH133" s="173">
        <f t="shared" si="371"/>
        <v>8.4934062831425627E-2</v>
      </c>
      <c r="CI133" s="170">
        <v>23</v>
      </c>
      <c r="CJ133" s="217">
        <f t="shared" si="438"/>
        <v>0.23</v>
      </c>
      <c r="CK133" s="217">
        <f t="shared" si="372"/>
        <v>2.3000000000000003E-2</v>
      </c>
      <c r="CL133" s="217">
        <f t="shared" si="373"/>
        <v>5.5200000000000005</v>
      </c>
      <c r="CM133" s="217">
        <f t="shared" si="374"/>
        <v>0.41400000000000003</v>
      </c>
      <c r="CN133" s="541">
        <f t="shared" si="375"/>
        <v>9</v>
      </c>
      <c r="CO133" s="443">
        <f t="shared" si="376"/>
        <v>16.474900000000002</v>
      </c>
      <c r="CP133" s="443">
        <f t="shared" si="377"/>
        <v>25.474900000000002</v>
      </c>
      <c r="CQ133" s="443"/>
      <c r="CR133" s="217">
        <f t="shared" si="378"/>
        <v>0.64485133082098534</v>
      </c>
      <c r="CS133" s="172">
        <f t="shared" si="379"/>
        <v>29.993085154464438</v>
      </c>
      <c r="CT133" s="172">
        <f t="shared" si="380"/>
        <v>2.4181924905786953</v>
      </c>
      <c r="CU133" s="217">
        <f t="shared" si="381"/>
        <v>1.2497118814360182</v>
      </c>
      <c r="CV133" s="217">
        <f t="shared" si="382"/>
        <v>1.6662825085813577</v>
      </c>
      <c r="CW133" s="217">
        <f t="shared" si="383"/>
        <v>24</v>
      </c>
      <c r="CX133" s="217">
        <f t="shared" si="384"/>
        <v>2.0449157870044568</v>
      </c>
      <c r="CY133" s="217">
        <f t="shared" si="385"/>
        <v>2.2721286522271744</v>
      </c>
      <c r="CZ133" s="217">
        <f t="shared" si="386"/>
        <v>1.2412310769743409</v>
      </c>
      <c r="DA133" s="197">
        <f t="shared" si="387"/>
        <v>261.91798593910079</v>
      </c>
      <c r="DB133" s="443">
        <f t="shared" si="388"/>
        <v>284.6278425999011</v>
      </c>
      <c r="DD133" s="217">
        <f t="shared" si="389"/>
        <v>2.2222222222222228</v>
      </c>
      <c r="DE133" s="173">
        <f t="shared" si="390"/>
        <v>1.3488532386977905</v>
      </c>
      <c r="DF133" s="173">
        <f t="shared" si="391"/>
        <v>0.24355939229558116</v>
      </c>
      <c r="DG133" s="173"/>
      <c r="DH133" s="173">
        <f t="shared" si="392"/>
        <v>1.3488532386977903</v>
      </c>
      <c r="DI133" s="545">
        <f t="shared" si="393"/>
        <v>230.08049999999994</v>
      </c>
      <c r="DJ133" s="528">
        <f t="shared" si="394"/>
        <v>0.26182634671774968</v>
      </c>
      <c r="DL133" s="173">
        <f t="shared" si="395"/>
        <v>1.8414280172890665</v>
      </c>
      <c r="DM133" s="173">
        <f t="shared" si="396"/>
        <v>2.2222222222222223</v>
      </c>
      <c r="DN133" s="173">
        <f t="shared" si="397"/>
        <v>1.1314745714285714</v>
      </c>
      <c r="DP133" s="545">
        <f t="shared" si="398"/>
        <v>230</v>
      </c>
      <c r="DQ133" s="460">
        <f t="shared" si="399"/>
        <v>230.08049999999994</v>
      </c>
      <c r="DS133" s="460">
        <f t="shared" si="400"/>
        <v>230</v>
      </c>
      <c r="DT133" s="460">
        <f t="shared" si="401"/>
        <v>230.08049999999994</v>
      </c>
      <c r="DV133" s="5">
        <f t="shared" si="402"/>
        <v>4.3463048802484359</v>
      </c>
      <c r="DW133" s="5">
        <f t="shared" si="403"/>
        <v>2.4691358024691361</v>
      </c>
      <c r="DX133" s="5">
        <f t="shared" si="404"/>
        <v>1.8771690777792998</v>
      </c>
      <c r="DY133" s="173">
        <f t="shared" si="405"/>
        <v>0.56809999999999994</v>
      </c>
      <c r="EA133" s="5">
        <f t="shared" si="406"/>
        <v>2.3662551440329223</v>
      </c>
      <c r="EB133" s="5">
        <f t="shared" si="407"/>
        <v>0.31550068587105634</v>
      </c>
      <c r="EC133" s="5">
        <f t="shared" si="408"/>
        <v>0.9594419730871977</v>
      </c>
      <c r="ED133" s="5"/>
      <c r="EE133" s="173">
        <f t="shared" si="409"/>
        <v>0.96702845507348478</v>
      </c>
      <c r="EF133" s="173">
        <f t="shared" si="410"/>
        <v>0.56239868274553195</v>
      </c>
      <c r="EG133" s="173">
        <f t="shared" si="411"/>
        <v>5.6315868096545832E-2</v>
      </c>
      <c r="EH133" s="173"/>
      <c r="EI133" s="528">
        <f t="shared" si="412"/>
        <v>3.7405761316872434E-2</v>
      </c>
      <c r="EJ133" s="528">
        <f t="shared" si="413"/>
        <v>0.35818919457749998</v>
      </c>
      <c r="EK133" s="528">
        <f t="shared" si="414"/>
        <v>4.601609999999999E-2</v>
      </c>
      <c r="EL133" s="528">
        <f t="shared" si="415"/>
        <v>2.6130206205244009E-2</v>
      </c>
      <c r="EM133">
        <f t="shared" si="416"/>
        <v>4.0499999999999998E-3</v>
      </c>
      <c r="EN133" s="460">
        <f t="shared" si="417"/>
        <v>50.066099999999992</v>
      </c>
      <c r="EP133" s="460">
        <f t="shared" si="439"/>
        <v>471.79126209961646</v>
      </c>
      <c r="EQ133" s="173">
        <f t="shared" si="418"/>
        <v>0.161</v>
      </c>
      <c r="ER133" s="173">
        <f t="shared" si="419"/>
        <v>1.4260000000000002E-2</v>
      </c>
      <c r="ES133" s="528"/>
      <c r="EU133" s="460">
        <f t="shared" si="420"/>
        <v>175.26</v>
      </c>
      <c r="EV133" s="528">
        <f t="shared" si="421"/>
        <v>2.8054320987654324E-2</v>
      </c>
      <c r="EW133" s="528">
        <f t="shared" si="422"/>
        <v>9.4887683506172851E-3</v>
      </c>
      <c r="EX133" s="528">
        <f t="shared" si="423"/>
        <v>1.5857384997337742E-5</v>
      </c>
      <c r="EY133" s="528">
        <f t="shared" si="424"/>
        <v>0.29555495935779103</v>
      </c>
      <c r="EZ133" s="528"/>
      <c r="FA133" s="625">
        <f t="shared" si="425"/>
        <v>0.22724</v>
      </c>
      <c r="FB133" s="460">
        <f t="shared" si="426"/>
        <v>560.3539060810599</v>
      </c>
      <c r="FC133" s="173">
        <f t="shared" si="427"/>
        <v>1.2074051681806766</v>
      </c>
      <c r="FD133" s="5">
        <f t="shared" si="428"/>
        <v>5.9340000000000002</v>
      </c>
      <c r="FE133" s="173">
        <f t="shared" si="429"/>
        <v>0.83092890828258781</v>
      </c>
      <c r="FF133" s="5">
        <f t="shared" si="430"/>
        <v>83.092890828258774</v>
      </c>
      <c r="FG133">
        <f t="shared" si="431"/>
        <v>23</v>
      </c>
      <c r="FI133" s="562">
        <f t="shared" si="432"/>
        <v>-50</v>
      </c>
      <c r="FJ133">
        <f t="shared" si="433"/>
        <v>-50</v>
      </c>
    </row>
    <row r="134" spans="5:166">
      <c r="E134" s="170">
        <v>24</v>
      </c>
      <c r="F134" s="217">
        <f t="shared" si="434"/>
        <v>0.24</v>
      </c>
      <c r="G134" s="217">
        <f t="shared" si="313"/>
        <v>2.4E-2</v>
      </c>
      <c r="H134" s="217">
        <f t="shared" si="314"/>
        <v>5.76</v>
      </c>
      <c r="I134" s="217">
        <f t="shared" si="315"/>
        <v>0.432</v>
      </c>
      <c r="J134" s="541">
        <f t="shared" si="316"/>
        <v>8.901251807891633</v>
      </c>
      <c r="K134" s="443">
        <f t="shared" si="317"/>
        <v>16.489669472300989</v>
      </c>
      <c r="L134" s="172">
        <f t="shared" si="318"/>
        <v>25.390921280192622</v>
      </c>
      <c r="M134" s="443"/>
      <c r="N134" s="217">
        <f t="shared" si="319"/>
        <v>0.64943171184436421</v>
      </c>
      <c r="O134" s="172">
        <f t="shared" si="320"/>
        <v>29.874703871611391</v>
      </c>
      <c r="P134" s="172">
        <f t="shared" si="321"/>
        <v>2.4086479996486685</v>
      </c>
      <c r="Q134" s="217">
        <f t="shared" si="322"/>
        <v>1.244779327983808</v>
      </c>
      <c r="R134" s="217">
        <f t="shared" si="323"/>
        <v>1.6597057706450773</v>
      </c>
      <c r="S134" s="217">
        <f t="shared" si="324"/>
        <v>24</v>
      </c>
      <c r="T134" s="217">
        <f t="shared" si="325"/>
        <v>2.1422806490415578</v>
      </c>
      <c r="U134" s="217">
        <f t="shared" si="326"/>
        <v>2.4067183979024884</v>
      </c>
      <c r="V134" s="217">
        <f t="shared" si="327"/>
        <v>1.2991653062786477</v>
      </c>
      <c r="W134" s="197">
        <f t="shared" si="328"/>
        <v>260.13398396205616</v>
      </c>
      <c r="X134" s="443">
        <f t="shared" si="435"/>
        <v>256.02400781403929</v>
      </c>
      <c r="Z134" s="217">
        <f t="shared" si="329"/>
        <v>2.2222222222222223</v>
      </c>
      <c r="AA134" s="173">
        <f t="shared" si="330"/>
        <v>1.3476450974078444</v>
      </c>
      <c r="AB134" s="173">
        <f t="shared" si="331"/>
        <v>0.24168377074915673</v>
      </c>
      <c r="AC134" s="173"/>
      <c r="AD134" s="173">
        <f t="shared" si="332"/>
        <v>1.3476450974078444</v>
      </c>
      <c r="AE134" s="545">
        <f t="shared" si="333"/>
        <v>240.29923129050312</v>
      </c>
      <c r="AF134" s="528">
        <f t="shared" si="334"/>
        <v>0.25981005355534348</v>
      </c>
      <c r="AH134" s="173">
        <f t="shared" si="335"/>
        <v>1.8810331507673419</v>
      </c>
      <c r="AI134" s="173">
        <f t="shared" si="336"/>
        <v>2.2222222222222223</v>
      </c>
      <c r="AJ134" s="173">
        <f t="shared" si="337"/>
        <v>1.1373138464517161</v>
      </c>
      <c r="AL134" s="545">
        <f t="shared" si="338"/>
        <v>240</v>
      </c>
      <c r="AM134" s="460">
        <f t="shared" si="339"/>
        <v>240.29923129050312</v>
      </c>
      <c r="AO134" s="460">
        <f t="shared" si="340"/>
        <v>240</v>
      </c>
      <c r="AP134" s="460">
        <f t="shared" si="341"/>
        <v>240.29923129050312</v>
      </c>
      <c r="AR134" s="5">
        <f t="shared" ref="AR134:AR197" si="443">1/AM134*1000</f>
        <v>4.1614781480140381</v>
      </c>
      <c r="AS134" s="5">
        <f t="shared" si="440"/>
        <v>2.496527758322773</v>
      </c>
      <c r="AT134" s="5">
        <f t="shared" si="441"/>
        <v>1.6649503896912652</v>
      </c>
      <c r="AU134" s="173">
        <f t="shared" si="442"/>
        <v>0.59991370122036536</v>
      </c>
      <c r="AW134" s="5">
        <f t="shared" si="342"/>
        <v>2.496527758322773</v>
      </c>
      <c r="AX134" s="5">
        <f t="shared" si="343"/>
        <v>0.33287036777636969</v>
      </c>
      <c r="AY134" s="5">
        <f t="shared" si="344"/>
        <v>0.89782449064442493</v>
      </c>
      <c r="AZ134" s="5"/>
      <c r="BA134" s="173">
        <f t="shared" si="345"/>
        <v>0.99373651708253008</v>
      </c>
      <c r="BB134" s="173">
        <f t="shared" si="346"/>
        <v>0.54128941222080285</v>
      </c>
      <c r="BC134" s="173">
        <f t="shared" si="347"/>
        <v>5.4202088439947956E-2</v>
      </c>
      <c r="BD134" s="173"/>
      <c r="BE134" s="528">
        <f t="shared" si="348"/>
        <v>3.9500490615332708E-2</v>
      </c>
      <c r="BF134" s="528">
        <f t="shared" si="349"/>
        <v>0.30507094326939821</v>
      </c>
      <c r="BG134" s="528">
        <f t="shared" si="350"/>
        <v>8.5558558678382413E-2</v>
      </c>
      <c r="BH134" s="528">
        <f t="shared" si="351"/>
        <v>2.7111113068995895E-2</v>
      </c>
      <c r="BI134">
        <f t="shared" si="352"/>
        <v>4.0055633135512346E-3</v>
      </c>
      <c r="BJ134" s="460">
        <f t="shared" si="436"/>
        <v>89.564121991933646</v>
      </c>
      <c r="BK134">
        <f t="shared" si="353"/>
        <v>0.38597013128865348</v>
      </c>
      <c r="BL134" s="460">
        <f t="shared" si="437"/>
        <v>461.24666894566047</v>
      </c>
      <c r="BM134" s="173">
        <f t="shared" si="354"/>
        <v>0.20831999999999998</v>
      </c>
      <c r="BN134" s="173">
        <f t="shared" si="355"/>
        <v>2.0832E-2</v>
      </c>
      <c r="BO134" s="528"/>
      <c r="BQ134" s="460">
        <f t="shared" si="356"/>
        <v>229.15199999999996</v>
      </c>
      <c r="BR134" s="528">
        <f t="shared" si="357"/>
        <v>2.9625367961499526E-2</v>
      </c>
      <c r="BS134" s="528">
        <f t="shared" si="358"/>
        <v>8.7898268334702673E-3</v>
      </c>
      <c r="BT134" s="528">
        <f t="shared" si="359"/>
        <v>1.4689331956259699E-5</v>
      </c>
      <c r="BU134" s="528">
        <f t="shared" si="360"/>
        <v>0.32947288112928858</v>
      </c>
      <c r="BV134" s="528"/>
      <c r="BW134" s="625">
        <f t="shared" si="361"/>
        <v>0.23733257411407724</v>
      </c>
      <c r="BX134" s="460">
        <f t="shared" si="362"/>
        <v>605.23533937029185</v>
      </c>
      <c r="BY134" s="173">
        <f t="shared" si="363"/>
        <v>1.2956340083159523</v>
      </c>
      <c r="BZ134" s="5">
        <f t="shared" si="364"/>
        <v>6.1920000000000002</v>
      </c>
      <c r="CA134" s="173">
        <f t="shared" si="365"/>
        <v>0.82696349649609091</v>
      </c>
      <c r="CB134" s="5">
        <f t="shared" si="366"/>
        <v>82.69634964960909</v>
      </c>
      <c r="CC134">
        <f t="shared" si="367"/>
        <v>24</v>
      </c>
      <c r="CE134" s="562">
        <f t="shared" si="368"/>
        <v>-50</v>
      </c>
      <c r="CF134">
        <f t="shared" si="369"/>
        <v>-50</v>
      </c>
      <c r="CG134" s="173">
        <f t="shared" si="370"/>
        <v>0.3251571824728211</v>
      </c>
      <c r="CH134" s="173">
        <f t="shared" si="371"/>
        <v>8.8626848171922373E-2</v>
      </c>
      <c r="CI134" s="170">
        <v>24</v>
      </c>
      <c r="CJ134" s="217">
        <f t="shared" si="438"/>
        <v>0.24</v>
      </c>
      <c r="CK134" s="217">
        <f t="shared" si="372"/>
        <v>2.4E-2</v>
      </c>
      <c r="CL134" s="217">
        <f t="shared" si="373"/>
        <v>5.76</v>
      </c>
      <c r="CM134" s="217">
        <f t="shared" si="374"/>
        <v>0.432</v>
      </c>
      <c r="CN134" s="541">
        <f t="shared" si="375"/>
        <v>9</v>
      </c>
      <c r="CO134" s="443">
        <f t="shared" si="376"/>
        <v>16.474900000000002</v>
      </c>
      <c r="CP134" s="443">
        <f t="shared" si="377"/>
        <v>25.474900000000002</v>
      </c>
      <c r="CQ134" s="443"/>
      <c r="CR134" s="217">
        <f t="shared" si="378"/>
        <v>0.64485133082098534</v>
      </c>
      <c r="CS134" s="172">
        <f t="shared" si="379"/>
        <v>29.993085154464438</v>
      </c>
      <c r="CT134" s="172">
        <f t="shared" si="380"/>
        <v>2.4181924905786953</v>
      </c>
      <c r="CU134" s="217">
        <f t="shared" si="381"/>
        <v>1.2497118814360182</v>
      </c>
      <c r="CV134" s="217">
        <f t="shared" si="382"/>
        <v>1.6662825085813577</v>
      </c>
      <c r="CW134" s="217">
        <f t="shared" si="383"/>
        <v>24</v>
      </c>
      <c r="CX134" s="217">
        <f t="shared" si="384"/>
        <v>2.1338251690481287</v>
      </c>
      <c r="CY134" s="217">
        <f t="shared" si="385"/>
        <v>2.3709168544979211</v>
      </c>
      <c r="CZ134" s="217">
        <f t="shared" si="386"/>
        <v>1.2951976455384426</v>
      </c>
      <c r="DA134" s="197">
        <f t="shared" si="387"/>
        <v>261.91798593910079</v>
      </c>
      <c r="DB134" s="443">
        <f t="shared" si="388"/>
        <v>272.76834915823855</v>
      </c>
      <c r="DD134" s="217">
        <f t="shared" si="389"/>
        <v>2.2222222222222228</v>
      </c>
      <c r="DE134" s="173">
        <f t="shared" si="390"/>
        <v>1.3488532386977905</v>
      </c>
      <c r="DF134" s="173">
        <f t="shared" si="391"/>
        <v>0.24355939229558116</v>
      </c>
      <c r="DG134" s="173"/>
      <c r="DH134" s="173">
        <f t="shared" si="392"/>
        <v>1.3488532386977903</v>
      </c>
      <c r="DI134" s="545">
        <f t="shared" si="393"/>
        <v>240.08399999999992</v>
      </c>
      <c r="DJ134" s="528">
        <f t="shared" si="394"/>
        <v>0.26182634671774968</v>
      </c>
      <c r="DL134" s="173">
        <f t="shared" si="395"/>
        <v>1.8810331507673419</v>
      </c>
      <c r="DM134" s="173">
        <f t="shared" si="396"/>
        <v>2.2222222222222223</v>
      </c>
      <c r="DN134" s="173">
        <f t="shared" si="397"/>
        <v>1.1371908571428571</v>
      </c>
      <c r="DP134" s="545">
        <f t="shared" si="398"/>
        <v>240</v>
      </c>
      <c r="DQ134" s="460">
        <f t="shared" si="399"/>
        <v>240.08399999999992</v>
      </c>
      <c r="DS134" s="460">
        <f t="shared" si="400"/>
        <v>240</v>
      </c>
      <c r="DT134" s="460">
        <f t="shared" si="401"/>
        <v>240.08399999999992</v>
      </c>
      <c r="DV134" s="5">
        <f t="shared" si="402"/>
        <v>4.1652088435714179</v>
      </c>
      <c r="DW134" s="5">
        <f t="shared" si="403"/>
        <v>2.4691358024691361</v>
      </c>
      <c r="DX134" s="5">
        <f t="shared" si="404"/>
        <v>1.6960730411022817</v>
      </c>
      <c r="DY134" s="173">
        <f t="shared" si="405"/>
        <v>0.59279999999999988</v>
      </c>
      <c r="EA134" s="5">
        <f t="shared" si="406"/>
        <v>2.4691358024691361</v>
      </c>
      <c r="EB134" s="5">
        <f t="shared" si="407"/>
        <v>0.32921810699588477</v>
      </c>
      <c r="EC134" s="5">
        <f t="shared" si="408"/>
        <v>0.90457228858788341</v>
      </c>
      <c r="ED134" s="5"/>
      <c r="EE134" s="173">
        <f t="shared" si="409"/>
        <v>0.98782714537301641</v>
      </c>
      <c r="EF134" s="173">
        <f t="shared" si="410"/>
        <v>0.54608038540594284</v>
      </c>
      <c r="EG134" s="173">
        <f t="shared" si="411"/>
        <v>5.4681833187270754E-2</v>
      </c>
      <c r="EH134" s="173"/>
      <c r="EI134" s="528">
        <f t="shared" si="412"/>
        <v>3.9032098765432101E-2</v>
      </c>
      <c r="EJ134" s="528">
        <f t="shared" si="413"/>
        <v>0.37376263781999991</v>
      </c>
      <c r="EK134" s="528">
        <f t="shared" si="414"/>
        <v>4.8016799999999984E-2</v>
      </c>
      <c r="EL134" s="528">
        <f t="shared" si="415"/>
        <v>2.7266302127211137E-2</v>
      </c>
      <c r="EM134">
        <f t="shared" si="416"/>
        <v>4.0499999999999998E-3</v>
      </c>
      <c r="EN134" s="460">
        <f t="shared" si="417"/>
        <v>52.066799999999979</v>
      </c>
      <c r="EP134" s="460">
        <f t="shared" si="439"/>
        <v>492.12783871264315</v>
      </c>
      <c r="EQ134" s="173">
        <f t="shared" si="418"/>
        <v>0.16799999999999998</v>
      </c>
      <c r="ER134" s="173">
        <f t="shared" si="419"/>
        <v>1.4880000000000001E-2</v>
      </c>
      <c r="ES134" s="528"/>
      <c r="EU134" s="460">
        <f t="shared" si="420"/>
        <v>182.88</v>
      </c>
      <c r="EV134" s="528">
        <f t="shared" si="421"/>
        <v>2.9274074074074074E-2</v>
      </c>
      <c r="EW134" s="528">
        <f t="shared" si="422"/>
        <v>8.9461136197530912E-3</v>
      </c>
      <c r="EX134" s="528">
        <f t="shared" si="423"/>
        <v>1.4950514403602528E-5</v>
      </c>
      <c r="EY134" s="528">
        <f t="shared" si="424"/>
        <v>0.32873562071781914</v>
      </c>
      <c r="EZ134" s="528"/>
      <c r="FA134" s="625">
        <f t="shared" si="425"/>
        <v>0.23711999999999997</v>
      </c>
      <c r="FB134" s="460">
        <f t="shared" si="426"/>
        <v>604.09075892604994</v>
      </c>
      <c r="FC134" s="173">
        <f t="shared" si="427"/>
        <v>1.279098597638693</v>
      </c>
      <c r="FD134" s="5">
        <f t="shared" si="428"/>
        <v>6.1920000000000002</v>
      </c>
      <c r="FE134" s="173">
        <f t="shared" si="429"/>
        <v>0.828793773643549</v>
      </c>
      <c r="FF134" s="5">
        <f t="shared" si="430"/>
        <v>82.879377364354895</v>
      </c>
      <c r="FG134">
        <f t="shared" si="431"/>
        <v>24</v>
      </c>
      <c r="FI134" s="562">
        <f t="shared" si="432"/>
        <v>-50</v>
      </c>
      <c r="FJ134">
        <f t="shared" si="433"/>
        <v>-50</v>
      </c>
    </row>
    <row r="135" spans="5:166">
      <c r="E135" s="170">
        <v>25</v>
      </c>
      <c r="F135" s="217">
        <f t="shared" si="434"/>
        <v>0.25</v>
      </c>
      <c r="G135" s="217">
        <f t="shared" si="313"/>
        <v>2.5000000000000001E-2</v>
      </c>
      <c r="H135" s="217">
        <f t="shared" si="314"/>
        <v>6</v>
      </c>
      <c r="I135" s="217">
        <f t="shared" si="315"/>
        <v>0.45</v>
      </c>
      <c r="J135" s="541">
        <f t="shared" si="316"/>
        <v>8.901251807891633</v>
      </c>
      <c r="K135" s="443">
        <f t="shared" si="317"/>
        <v>16.489669472300989</v>
      </c>
      <c r="L135" s="172">
        <f t="shared" si="318"/>
        <v>25.390921280192622</v>
      </c>
      <c r="M135" s="443"/>
      <c r="N135" s="217">
        <f t="shared" si="319"/>
        <v>0.64943171184436421</v>
      </c>
      <c r="O135" s="172">
        <f t="shared" si="320"/>
        <v>29.874703871611391</v>
      </c>
      <c r="P135" s="172">
        <f t="shared" si="321"/>
        <v>2.4086479996486685</v>
      </c>
      <c r="Q135" s="217">
        <f t="shared" si="322"/>
        <v>1.244779327983808</v>
      </c>
      <c r="R135" s="217">
        <f t="shared" si="323"/>
        <v>1.6597057706450773</v>
      </c>
      <c r="S135" s="217">
        <f t="shared" si="324"/>
        <v>24</v>
      </c>
      <c r="T135" s="217">
        <f t="shared" si="325"/>
        <v>2.2315423427516228</v>
      </c>
      <c r="U135" s="217">
        <f t="shared" si="326"/>
        <v>2.5069983311484254</v>
      </c>
      <c r="V135" s="217">
        <f t="shared" si="327"/>
        <v>1.3532971940402581</v>
      </c>
      <c r="W135" s="197">
        <f t="shared" si="328"/>
        <v>260.13398396205616</v>
      </c>
      <c r="X135" s="443">
        <f t="shared" si="435"/>
        <v>246.28749158684195</v>
      </c>
      <c r="Z135" s="217">
        <f t="shared" si="329"/>
        <v>2.2222222222222223</v>
      </c>
      <c r="AA135" s="173">
        <f t="shared" si="330"/>
        <v>1.3476450974078444</v>
      </c>
      <c r="AB135" s="173">
        <f t="shared" si="331"/>
        <v>0.24168377074915673</v>
      </c>
      <c r="AC135" s="173"/>
      <c r="AD135" s="173">
        <f t="shared" si="332"/>
        <v>1.3476450974078444</v>
      </c>
      <c r="AE135" s="545">
        <f t="shared" si="333"/>
        <v>250.31169926094071</v>
      </c>
      <c r="AF135" s="528">
        <f t="shared" si="334"/>
        <v>0.25981005355534348</v>
      </c>
      <c r="AH135" s="173">
        <f t="shared" si="335"/>
        <v>1.9198214202665531</v>
      </c>
      <c r="AI135" s="173">
        <f t="shared" si="336"/>
        <v>2.2315423427516228</v>
      </c>
      <c r="AJ135" s="173">
        <f t="shared" si="337"/>
        <v>1.1430352567205375</v>
      </c>
      <c r="AL135" s="545">
        <f t="shared" si="338"/>
        <v>250</v>
      </c>
      <c r="AM135" s="460">
        <f t="shared" si="339"/>
        <v>250.31169926094071</v>
      </c>
      <c r="AO135" s="460">
        <f t="shared" si="340"/>
        <v>250</v>
      </c>
      <c r="AP135" s="460">
        <f t="shared" si="341"/>
        <v>250.31169926094071</v>
      </c>
      <c r="AR135" s="5">
        <f t="shared" si="443"/>
        <v>3.9950190220934778</v>
      </c>
      <c r="AS135" s="5">
        <f t="shared" si="440"/>
        <v>2.5069983311484254</v>
      </c>
      <c r="AT135" s="5">
        <f t="shared" si="441"/>
        <v>1.4880206909450524</v>
      </c>
      <c r="AU135" s="173">
        <f t="shared" si="442"/>
        <v>0.62753101231410491</v>
      </c>
      <c r="AW135" s="5">
        <f t="shared" si="342"/>
        <v>2.6114565949462767</v>
      </c>
      <c r="AX135" s="5">
        <f t="shared" si="343"/>
        <v>0.34819421265950357</v>
      </c>
      <c r="AY135" s="5">
        <f t="shared" si="344"/>
        <v>0.83584911597816469</v>
      </c>
      <c r="AZ135" s="5"/>
      <c r="BA135" s="173">
        <f t="shared" si="345"/>
        <v>1.0206153625455103</v>
      </c>
      <c r="BB135" s="173">
        <f t="shared" si="346"/>
        <v>0.52446365555367847</v>
      </c>
      <c r="BC135" s="173">
        <f t="shared" si="347"/>
        <v>5.2517239022334558E-2</v>
      </c>
      <c r="BD135" s="173"/>
      <c r="BE135" s="528">
        <f t="shared" si="348"/>
        <v>4.1666228730556136E-2</v>
      </c>
      <c r="BF135" s="528">
        <f t="shared" si="349"/>
        <v>0.31911502849164386</v>
      </c>
      <c r="BG135" s="528">
        <f t="shared" si="350"/>
        <v>8.9123498623315006E-2</v>
      </c>
      <c r="BH135" s="528">
        <f t="shared" si="351"/>
        <v>2.8240742780204053E-2</v>
      </c>
      <c r="BI135">
        <f t="shared" si="352"/>
        <v>4.0055633135512346E-3</v>
      </c>
      <c r="BJ135" s="460">
        <f t="shared" si="436"/>
        <v>93.129061936866236</v>
      </c>
      <c r="BK135">
        <f t="shared" si="353"/>
        <v>0.40427415381624598</v>
      </c>
      <c r="BL135" s="460">
        <f t="shared" si="437"/>
        <v>482.15106193927033</v>
      </c>
      <c r="BM135" s="173">
        <f t="shared" si="354"/>
        <v>0.217</v>
      </c>
      <c r="BN135" s="173">
        <f t="shared" si="355"/>
        <v>2.1699999999999997E-2</v>
      </c>
      <c r="BO135" s="528"/>
      <c r="BQ135" s="460">
        <f t="shared" si="356"/>
        <v>238.7</v>
      </c>
      <c r="BR135" s="528">
        <f t="shared" si="357"/>
        <v>3.1249671547917104E-2</v>
      </c>
      <c r="BS135" s="528">
        <f t="shared" si="358"/>
        <v>8.2518637799018236E-3</v>
      </c>
      <c r="BT135" s="528">
        <f t="shared" si="359"/>
        <v>1.3790301972645099E-5</v>
      </c>
      <c r="BU135" s="528">
        <f t="shared" si="360"/>
        <v>0.36871066951591391</v>
      </c>
      <c r="BV135" s="528"/>
      <c r="BW135" s="625">
        <f t="shared" si="361"/>
        <v>0.24929950020032129</v>
      </c>
      <c r="BX135" s="460">
        <f t="shared" si="362"/>
        <v>657.52549534602679</v>
      </c>
      <c r="BY135" s="173">
        <f t="shared" si="363"/>
        <v>1.3783765572852973</v>
      </c>
      <c r="BZ135" s="5">
        <f t="shared" si="364"/>
        <v>6.45</v>
      </c>
      <c r="CA135" s="173">
        <f t="shared" si="365"/>
        <v>0.82392561890721228</v>
      </c>
      <c r="CB135" s="5">
        <f t="shared" si="366"/>
        <v>82.392561890721225</v>
      </c>
      <c r="CC135">
        <f t="shared" si="367"/>
        <v>25</v>
      </c>
      <c r="CE135" s="562">
        <f t="shared" si="368"/>
        <v>-50</v>
      </c>
      <c r="CF135">
        <f t="shared" si="369"/>
        <v>-50</v>
      </c>
      <c r="CG135" s="173">
        <f t="shared" si="370"/>
        <v>0.33870539840918867</v>
      </c>
      <c r="CH135" s="173">
        <f t="shared" si="371"/>
        <v>9.2319633512419161E-2</v>
      </c>
      <c r="CI135" s="170">
        <v>25</v>
      </c>
      <c r="CJ135" s="217">
        <f t="shared" si="438"/>
        <v>0.25</v>
      </c>
      <c r="CK135" s="217">
        <f t="shared" si="372"/>
        <v>2.5000000000000001E-2</v>
      </c>
      <c r="CL135" s="217">
        <f t="shared" si="373"/>
        <v>6</v>
      </c>
      <c r="CM135" s="217">
        <f t="shared" si="374"/>
        <v>0.45</v>
      </c>
      <c r="CN135" s="541">
        <f t="shared" si="375"/>
        <v>9</v>
      </c>
      <c r="CO135" s="443">
        <f t="shared" si="376"/>
        <v>16.474900000000002</v>
      </c>
      <c r="CP135" s="443">
        <f t="shared" si="377"/>
        <v>25.474900000000002</v>
      </c>
      <c r="CQ135" s="443"/>
      <c r="CR135" s="217">
        <f t="shared" si="378"/>
        <v>0.64485133082098534</v>
      </c>
      <c r="CS135" s="172">
        <f t="shared" si="379"/>
        <v>29.993085154464438</v>
      </c>
      <c r="CT135" s="172">
        <f t="shared" si="380"/>
        <v>2.4181924905786953</v>
      </c>
      <c r="CU135" s="217">
        <f t="shared" si="381"/>
        <v>1.2497118814360182</v>
      </c>
      <c r="CV135" s="217">
        <f t="shared" si="382"/>
        <v>1.6662825085813577</v>
      </c>
      <c r="CW135" s="217">
        <f t="shared" si="383"/>
        <v>24</v>
      </c>
      <c r="CX135" s="217">
        <f t="shared" si="384"/>
        <v>2.2227345510918011</v>
      </c>
      <c r="CY135" s="217">
        <f t="shared" si="385"/>
        <v>2.4697050567686678</v>
      </c>
      <c r="CZ135" s="217">
        <f t="shared" si="386"/>
        <v>1.3491642141025444</v>
      </c>
      <c r="DA135" s="197">
        <f t="shared" si="387"/>
        <v>261.91798593910079</v>
      </c>
      <c r="DB135" s="443">
        <f t="shared" si="388"/>
        <v>261.85761519190902</v>
      </c>
      <c r="DD135" s="217">
        <f t="shared" si="389"/>
        <v>2.2222222222222228</v>
      </c>
      <c r="DE135" s="173">
        <f t="shared" si="390"/>
        <v>1.3488532386977905</v>
      </c>
      <c r="DF135" s="173">
        <f t="shared" si="391"/>
        <v>0.24355939229558116</v>
      </c>
      <c r="DG135" s="173"/>
      <c r="DH135" s="173">
        <f t="shared" si="392"/>
        <v>1.3488532386977903</v>
      </c>
      <c r="DI135" s="545">
        <f t="shared" si="393"/>
        <v>250.08749999999995</v>
      </c>
      <c r="DJ135" s="528">
        <f t="shared" si="394"/>
        <v>0.26182634671774968</v>
      </c>
      <c r="DL135" s="173">
        <f t="shared" si="395"/>
        <v>1.9198214202665531</v>
      </c>
      <c r="DM135" s="173">
        <f t="shared" si="396"/>
        <v>2.2227345510918011</v>
      </c>
      <c r="DN135" s="173">
        <f t="shared" si="397"/>
        <v>1.1429071428571429</v>
      </c>
      <c r="DP135" s="545">
        <f t="shared" si="398"/>
        <v>250</v>
      </c>
      <c r="DQ135" s="460">
        <f t="shared" si="399"/>
        <v>250.08749999999995</v>
      </c>
      <c r="DS135" s="460">
        <f t="shared" si="400"/>
        <v>250</v>
      </c>
      <c r="DT135" s="460">
        <f t="shared" si="401"/>
        <v>250.08749999999995</v>
      </c>
      <c r="DV135" s="5">
        <f t="shared" si="402"/>
        <v>3.998600489828561</v>
      </c>
      <c r="DW135" s="5">
        <f t="shared" si="403"/>
        <v>2.4697050567686678</v>
      </c>
      <c r="DX135" s="5">
        <f t="shared" si="404"/>
        <v>1.5288954330598932</v>
      </c>
      <c r="DY135" s="173">
        <f t="shared" si="405"/>
        <v>0.61764236338463407</v>
      </c>
      <c r="EA135" s="5">
        <f t="shared" si="406"/>
        <v>2.5726094341340291</v>
      </c>
      <c r="EB135" s="5">
        <f t="shared" si="407"/>
        <v>0.34301459121787053</v>
      </c>
      <c r="EC135" s="5">
        <f t="shared" si="408"/>
        <v>0.84938635169994048</v>
      </c>
      <c r="ED135" s="5"/>
      <c r="EE135" s="173">
        <f t="shared" si="409"/>
        <v>1.0085455351664145</v>
      </c>
      <c r="EF135" s="173">
        <f t="shared" si="410"/>
        <v>0.52928269054751276</v>
      </c>
      <c r="EG135" s="173">
        <f t="shared" si="411"/>
        <v>5.2999793742663094E-2</v>
      </c>
      <c r="EH135" s="173"/>
      <c r="EI135" s="528">
        <f t="shared" si="412"/>
        <v>4.0686563860164386E-2</v>
      </c>
      <c r="EJ135" s="528">
        <f t="shared" si="413"/>
        <v>0.38942584171393363</v>
      </c>
      <c r="EK135" s="528">
        <f t="shared" si="414"/>
        <v>5.0017499999999986E-2</v>
      </c>
      <c r="EL135" s="528">
        <f t="shared" si="415"/>
        <v>2.8402398049178271E-2</v>
      </c>
      <c r="EM135">
        <f t="shared" si="416"/>
        <v>4.0499999999999998E-3</v>
      </c>
      <c r="EN135" s="460">
        <f t="shared" si="417"/>
        <v>54.067499999999981</v>
      </c>
      <c r="EP135" s="460">
        <f t="shared" si="439"/>
        <v>512.58230362327629</v>
      </c>
      <c r="EQ135" s="173">
        <f t="shared" si="418"/>
        <v>0.17499999999999999</v>
      </c>
      <c r="ER135" s="173">
        <f t="shared" si="419"/>
        <v>1.55E-2</v>
      </c>
      <c r="ES135" s="528"/>
      <c r="EU135" s="460">
        <f t="shared" si="420"/>
        <v>190.5</v>
      </c>
      <c r="EV135" s="528">
        <f t="shared" si="421"/>
        <v>3.0514922895123284E-2</v>
      </c>
      <c r="EW135" s="528">
        <f t="shared" si="422"/>
        <v>8.4042049953964252E-3</v>
      </c>
      <c r="EX135" s="528">
        <f t="shared" si="423"/>
        <v>1.4044890683824151E-5</v>
      </c>
      <c r="EY135" s="528">
        <f t="shared" si="424"/>
        <v>0.36426627798495592</v>
      </c>
      <c r="EZ135" s="528"/>
      <c r="FA135" s="625">
        <f t="shared" si="425"/>
        <v>0.2471139038363443</v>
      </c>
      <c r="FB135" s="460">
        <f t="shared" si="426"/>
        <v>650.31335460250375</v>
      </c>
      <c r="FC135" s="173">
        <f t="shared" si="427"/>
        <v>1.3533956582257798</v>
      </c>
      <c r="FD135" s="5">
        <f t="shared" si="428"/>
        <v>6.45</v>
      </c>
      <c r="FE135" s="173">
        <f t="shared" si="429"/>
        <v>0.82656324022233485</v>
      </c>
      <c r="FF135" s="5">
        <f t="shared" si="430"/>
        <v>82.656324022233491</v>
      </c>
      <c r="FG135">
        <f t="shared" si="431"/>
        <v>25</v>
      </c>
      <c r="FI135" s="562">
        <f t="shared" si="432"/>
        <v>-50</v>
      </c>
      <c r="FJ135">
        <f t="shared" si="433"/>
        <v>-50</v>
      </c>
    </row>
    <row r="136" spans="5:166">
      <c r="E136" s="170">
        <v>26</v>
      </c>
      <c r="F136" s="217">
        <f t="shared" si="434"/>
        <v>0.26</v>
      </c>
      <c r="G136" s="217">
        <f t="shared" si="313"/>
        <v>2.6000000000000002E-2</v>
      </c>
      <c r="H136" s="217">
        <f t="shared" si="314"/>
        <v>6.24</v>
      </c>
      <c r="I136" s="217">
        <f t="shared" si="315"/>
        <v>0.46800000000000003</v>
      </c>
      <c r="J136" s="541">
        <f t="shared" si="316"/>
        <v>8.8965158404301672</v>
      </c>
      <c r="K136" s="443">
        <f t="shared" si="317"/>
        <v>16.49057246365583</v>
      </c>
      <c r="L136" s="172">
        <f t="shared" si="318"/>
        <v>25.387088304085999</v>
      </c>
      <c r="M136" s="443"/>
      <c r="N136" s="217">
        <f t="shared" si="319"/>
        <v>0.6495653328232095</v>
      </c>
      <c r="O136" s="172">
        <f t="shared" si="320"/>
        <v>29.864952314501174</v>
      </c>
      <c r="P136" s="172">
        <f t="shared" si="321"/>
        <v>2.4078617803566571</v>
      </c>
      <c r="Q136" s="217">
        <f t="shared" si="322"/>
        <v>1.2443730131042157</v>
      </c>
      <c r="R136" s="217">
        <f t="shared" si="323"/>
        <v>1.6591640174722875</v>
      </c>
      <c r="S136" s="217">
        <f t="shared" si="324"/>
        <v>24</v>
      </c>
      <c r="T136" s="217">
        <f t="shared" si="325"/>
        <v>2.3215618295050136</v>
      </c>
      <c r="U136" s="217">
        <f t="shared" si="326"/>
        <v>2.6095180081113205</v>
      </c>
      <c r="V136" s="217">
        <f t="shared" si="327"/>
        <v>1.4078115448214961</v>
      </c>
      <c r="W136" s="197">
        <f t="shared" si="328"/>
        <v>260.04907227851891</v>
      </c>
      <c r="X136" s="443">
        <f t="shared" si="435"/>
        <v>237.11687394801285</v>
      </c>
      <c r="Z136" s="217">
        <f t="shared" si="329"/>
        <v>2.2222222222222223</v>
      </c>
      <c r="AA136" s="173">
        <f t="shared" si="330"/>
        <v>1.3475713030095582</v>
      </c>
      <c r="AB136" s="173">
        <f t="shared" si="331"/>
        <v>0.2415916516867383</v>
      </c>
      <c r="AC136" s="173"/>
      <c r="AD136" s="173">
        <f t="shared" si="332"/>
        <v>1.3475713030095582</v>
      </c>
      <c r="AE136" s="545">
        <f t="shared" si="333"/>
        <v>260.33842285201774</v>
      </c>
      <c r="AF136" s="528">
        <f t="shared" si="334"/>
        <v>0.25971102556324366</v>
      </c>
      <c r="AH136" s="173">
        <f t="shared" si="335"/>
        <v>1.9578413769105139</v>
      </c>
      <c r="AI136" s="173">
        <f t="shared" si="336"/>
        <v>2.3215618295050136</v>
      </c>
      <c r="AJ136" s="173">
        <f t="shared" si="337"/>
        <v>1.273584894283549</v>
      </c>
      <c r="AL136" s="545">
        <f t="shared" si="338"/>
        <v>260</v>
      </c>
      <c r="AM136" s="460">
        <f t="shared" si="339"/>
        <v>237.11687394801285</v>
      </c>
      <c r="AO136" s="460">
        <f t="shared" si="340"/>
        <v>260</v>
      </c>
      <c r="AP136" s="460">
        <f t="shared" si="341"/>
        <v>237.11687394801285</v>
      </c>
      <c r="AR136" s="5">
        <f t="shared" si="443"/>
        <v>4.2173295529328163</v>
      </c>
      <c r="AS136" s="5">
        <f t="shared" si="440"/>
        <v>2.6095180081113205</v>
      </c>
      <c r="AT136" s="5">
        <f t="shared" si="441"/>
        <v>1.6078115448214958</v>
      </c>
      <c r="AU136" s="173">
        <f t="shared" si="442"/>
        <v>0.61876075259440155</v>
      </c>
      <c r="AW136" s="5">
        <f t="shared" si="342"/>
        <v>2.8269778421205971</v>
      </c>
      <c r="AX136" s="5">
        <f t="shared" si="343"/>
        <v>0.376930378949413</v>
      </c>
      <c r="AY136" s="5">
        <f t="shared" si="344"/>
        <v>0.93976340659980451</v>
      </c>
      <c r="AZ136" s="5"/>
      <c r="BA136" s="173">
        <f t="shared" si="345"/>
        <v>1.0543407852849755</v>
      </c>
      <c r="BB136" s="173">
        <f t="shared" si="346"/>
        <v>0.55200659056838308</v>
      </c>
      <c r="BC136" s="173">
        <f t="shared" si="347"/>
        <v>5.5275254542050234E-2</v>
      </c>
      <c r="BD136" s="173"/>
      <c r="BE136" s="528">
        <f t="shared" si="348"/>
        <v>4.4465379660613556E-2</v>
      </c>
      <c r="BF136" s="528">
        <f t="shared" si="349"/>
        <v>0.31444024581412827</v>
      </c>
      <c r="BG136" s="528">
        <f t="shared" si="350"/>
        <v>8.438056100447118E-2</v>
      </c>
      <c r="BH136" s="528">
        <f t="shared" si="351"/>
        <v>2.6743995882292454E-2</v>
      </c>
      <c r="BI136">
        <f t="shared" si="352"/>
        <v>4.003432128193575E-3</v>
      </c>
      <c r="BJ136" s="460">
        <f t="shared" si="436"/>
        <v>88.383993132664756</v>
      </c>
      <c r="BK136">
        <f t="shared" si="353"/>
        <v>0.40190135127552973</v>
      </c>
      <c r="BL136" s="460">
        <f t="shared" si="437"/>
        <v>474.033614489699</v>
      </c>
      <c r="BM136" s="173">
        <f t="shared" si="354"/>
        <v>0.22567999999999999</v>
      </c>
      <c r="BN136" s="173">
        <f t="shared" si="355"/>
        <v>2.2568000000000001E-2</v>
      </c>
      <c r="BO136" s="528"/>
      <c r="BQ136" s="460">
        <f t="shared" si="356"/>
        <v>248.24799999999999</v>
      </c>
      <c r="BR136" s="528">
        <f t="shared" si="357"/>
        <v>3.3349034745460165E-2</v>
      </c>
      <c r="BS136" s="528">
        <f t="shared" si="358"/>
        <v>9.1413382809279152E-3</v>
      </c>
      <c r="BT136" s="528">
        <f t="shared" si="359"/>
        <v>1.5276768823442228E-5</v>
      </c>
      <c r="BU136" s="528">
        <f t="shared" si="360"/>
        <v>0.35548951241004439</v>
      </c>
      <c r="BV136" s="528"/>
      <c r="BW136" s="625">
        <f t="shared" si="361"/>
        <v>0.25559536007645384</v>
      </c>
      <c r="BX136" s="460">
        <f t="shared" si="362"/>
        <v>653.59052228170981</v>
      </c>
      <c r="BY136" s="173">
        <f t="shared" si="363"/>
        <v>1.3758721367714086</v>
      </c>
      <c r="BZ136" s="5">
        <f t="shared" si="364"/>
        <v>6.7080000000000002</v>
      </c>
      <c r="CA136" s="173">
        <f t="shared" si="365"/>
        <v>0.82980035885118375</v>
      </c>
      <c r="CB136" s="5">
        <f t="shared" si="366"/>
        <v>82.980035885118369</v>
      </c>
      <c r="CC136">
        <f t="shared" si="367"/>
        <v>26</v>
      </c>
      <c r="CE136" s="562">
        <f t="shared" si="368"/>
        <v>-50</v>
      </c>
      <c r="CF136">
        <f t="shared" si="369"/>
        <v>-50</v>
      </c>
      <c r="CG136" s="173">
        <f t="shared" si="370"/>
        <v>0.33195801976317985</v>
      </c>
      <c r="CH136" s="173">
        <f t="shared" si="371"/>
        <v>9.6012418852915921E-2</v>
      </c>
      <c r="CI136" s="170">
        <v>26</v>
      </c>
      <c r="CJ136" s="217">
        <f t="shared" si="438"/>
        <v>0.26</v>
      </c>
      <c r="CK136" s="217">
        <f t="shared" si="372"/>
        <v>2.6000000000000002E-2</v>
      </c>
      <c r="CL136" s="217">
        <f t="shared" si="373"/>
        <v>6.24</v>
      </c>
      <c r="CM136" s="217">
        <f t="shared" si="374"/>
        <v>0.46800000000000003</v>
      </c>
      <c r="CN136" s="541">
        <f t="shared" si="375"/>
        <v>9</v>
      </c>
      <c r="CO136" s="443">
        <f t="shared" si="376"/>
        <v>16.474900000000002</v>
      </c>
      <c r="CP136" s="443">
        <f t="shared" si="377"/>
        <v>25.474900000000002</v>
      </c>
      <c r="CQ136" s="443"/>
      <c r="CR136" s="217">
        <f t="shared" si="378"/>
        <v>0.64485133082098534</v>
      </c>
      <c r="CS136" s="172">
        <f t="shared" si="379"/>
        <v>29.993085154464438</v>
      </c>
      <c r="CT136" s="172">
        <f t="shared" si="380"/>
        <v>2.4181924905786953</v>
      </c>
      <c r="CU136" s="217">
        <f t="shared" si="381"/>
        <v>1.2497118814360182</v>
      </c>
      <c r="CV136" s="217">
        <f t="shared" si="382"/>
        <v>1.6662825085813577</v>
      </c>
      <c r="CW136" s="217">
        <f t="shared" si="383"/>
        <v>24</v>
      </c>
      <c r="CX136" s="217">
        <f t="shared" si="384"/>
        <v>2.311643933135473</v>
      </c>
      <c r="CY136" s="217">
        <f t="shared" si="385"/>
        <v>2.5684932590394149</v>
      </c>
      <c r="CZ136" s="217">
        <f t="shared" si="386"/>
        <v>1.4031307826666464</v>
      </c>
      <c r="DA136" s="197">
        <f t="shared" si="387"/>
        <v>261.91798593910079</v>
      </c>
      <c r="DB136" s="443">
        <f t="shared" si="388"/>
        <v>251.78616845375862</v>
      </c>
      <c r="DD136" s="217">
        <f t="shared" si="389"/>
        <v>2.2222222222222228</v>
      </c>
      <c r="DE136" s="173">
        <f t="shared" si="390"/>
        <v>1.3488532386977905</v>
      </c>
      <c r="DF136" s="173">
        <f t="shared" si="391"/>
        <v>0.24355939229558116</v>
      </c>
      <c r="DG136" s="173"/>
      <c r="DH136" s="173">
        <f t="shared" si="392"/>
        <v>1.3488532386977903</v>
      </c>
      <c r="DI136" s="545">
        <f t="shared" si="393"/>
        <v>260.09099999999989</v>
      </c>
      <c r="DJ136" s="528">
        <f t="shared" si="394"/>
        <v>0.26182634671774968</v>
      </c>
      <c r="DL136" s="173">
        <f t="shared" si="395"/>
        <v>1.9578413769105139</v>
      </c>
      <c r="DM136" s="173">
        <f t="shared" si="396"/>
        <v>2.311643933135473</v>
      </c>
      <c r="DN136" s="173">
        <f t="shared" si="397"/>
        <v>1.1486234285714285</v>
      </c>
      <c r="DP136" s="545">
        <f t="shared" si="398"/>
        <v>260</v>
      </c>
      <c r="DQ136" s="460">
        <f t="shared" si="399"/>
        <v>260.09099999999989</v>
      </c>
      <c r="DS136" s="460">
        <f t="shared" si="400"/>
        <v>260</v>
      </c>
      <c r="DT136" s="460">
        <f t="shared" si="401"/>
        <v>260.09099999999989</v>
      </c>
      <c r="DV136" s="5">
        <f t="shared" si="402"/>
        <v>3.8448081632966939</v>
      </c>
      <c r="DW136" s="5">
        <f t="shared" si="403"/>
        <v>2.5684932590394149</v>
      </c>
      <c r="DX136" s="5">
        <f t="shared" si="404"/>
        <v>1.276314904257279</v>
      </c>
      <c r="DY136" s="173">
        <f t="shared" si="405"/>
        <v>0.66804198023682015</v>
      </c>
      <c r="EA136" s="5">
        <f t="shared" si="406"/>
        <v>2.7825343639593663</v>
      </c>
      <c r="EB136" s="5">
        <f t="shared" si="407"/>
        <v>0.37100458186124885</v>
      </c>
      <c r="EC136" s="5">
        <f t="shared" si="408"/>
        <v>0.73742638912642788</v>
      </c>
      <c r="ED136" s="5"/>
      <c r="EE136" s="173">
        <f t="shared" si="409"/>
        <v>1.0908428508359937</v>
      </c>
      <c r="EF136" s="173">
        <f t="shared" si="410"/>
        <v>0.5128941302511133</v>
      </c>
      <c r="EG136" s="173">
        <f t="shared" si="411"/>
        <v>5.1358723042712828E-2</v>
      </c>
      <c r="EH136" s="173"/>
      <c r="EI136" s="528">
        <f t="shared" si="412"/>
        <v>4.7597525008799928E-2</v>
      </c>
      <c r="EJ136" s="528">
        <f t="shared" si="413"/>
        <v>0.42120299039779052</v>
      </c>
      <c r="EK136" s="528">
        <f t="shared" si="414"/>
        <v>5.2018199999999973E-2</v>
      </c>
      <c r="EL136" s="528">
        <f t="shared" si="415"/>
        <v>2.9538493971145399E-2</v>
      </c>
      <c r="EM136">
        <f t="shared" si="416"/>
        <v>4.0499999999999998E-3</v>
      </c>
      <c r="EN136" s="460">
        <f t="shared" si="417"/>
        <v>56.068199999999969</v>
      </c>
      <c r="EP136" s="460">
        <f t="shared" si="439"/>
        <v>554.40720937773585</v>
      </c>
      <c r="EQ136" s="173">
        <f t="shared" si="418"/>
        <v>0.182</v>
      </c>
      <c r="ER136" s="173">
        <f t="shared" si="419"/>
        <v>1.6120000000000002E-2</v>
      </c>
      <c r="ES136" s="528"/>
      <c r="EU136" s="460">
        <f t="shared" si="420"/>
        <v>198.12</v>
      </c>
      <c r="EV136" s="528">
        <f t="shared" si="421"/>
        <v>3.5698143756599944E-2</v>
      </c>
      <c r="EW136" s="528">
        <f t="shared" si="422"/>
        <v>7.8918116653813788E-3</v>
      </c>
      <c r="EX136" s="528">
        <f t="shared" si="423"/>
        <v>1.3188592162890408E-5</v>
      </c>
      <c r="EY136" s="528">
        <f t="shared" si="424"/>
        <v>0.44318562435684111</v>
      </c>
      <c r="EZ136" s="528"/>
      <c r="FA136" s="625">
        <f t="shared" si="425"/>
        <v>0.27796953432496552</v>
      </c>
      <c r="FB136" s="460">
        <f t="shared" si="426"/>
        <v>764.75830269595076</v>
      </c>
      <c r="FC136" s="173">
        <f t="shared" si="427"/>
        <v>1.5172855120736868</v>
      </c>
      <c r="FD136" s="5">
        <f t="shared" si="428"/>
        <v>6.7080000000000002</v>
      </c>
      <c r="FE136" s="173">
        <f t="shared" si="429"/>
        <v>0.81553400063177117</v>
      </c>
      <c r="FF136" s="5">
        <f t="shared" si="430"/>
        <v>81.553400063177122</v>
      </c>
      <c r="FG136">
        <f t="shared" si="431"/>
        <v>26</v>
      </c>
      <c r="FI136" s="562">
        <f t="shared" si="432"/>
        <v>-50</v>
      </c>
      <c r="FJ136">
        <f t="shared" si="433"/>
        <v>-50</v>
      </c>
    </row>
    <row r="137" spans="5:166">
      <c r="E137" s="170">
        <v>27</v>
      </c>
      <c r="F137" s="217">
        <f t="shared" si="434"/>
        <v>0.27</v>
      </c>
      <c r="G137" s="217">
        <f t="shared" si="313"/>
        <v>2.7000000000000003E-2</v>
      </c>
      <c r="H137" s="217">
        <f t="shared" si="314"/>
        <v>6.48</v>
      </c>
      <c r="I137" s="217">
        <f t="shared" si="315"/>
        <v>0.48600000000000004</v>
      </c>
      <c r="J137" s="541">
        <f t="shared" si="316"/>
        <v>8.8957763455102761</v>
      </c>
      <c r="K137" s="443">
        <f t="shared" si="317"/>
        <v>16.490488420863489</v>
      </c>
      <c r="L137" s="172">
        <f t="shared" si="318"/>
        <v>25.386264766373763</v>
      </c>
      <c r="M137" s="443"/>
      <c r="N137" s="217">
        <f t="shared" si="319"/>
        <v>0.64958309434740169</v>
      </c>
      <c r="O137" s="172">
        <f t="shared" si="320"/>
        <v>29.863286434826801</v>
      </c>
      <c r="P137" s="172">
        <f t="shared" si="321"/>
        <v>2.4077274688079107</v>
      </c>
      <c r="Q137" s="217">
        <f t="shared" si="322"/>
        <v>1.2443036014511166</v>
      </c>
      <c r="R137" s="217">
        <f t="shared" si="323"/>
        <v>1.6590714686014889</v>
      </c>
      <c r="S137" s="217">
        <f t="shared" si="324"/>
        <v>24</v>
      </c>
      <c r="T137" s="217">
        <f t="shared" si="325"/>
        <v>2.4109871549848254</v>
      </c>
      <c r="U137" s="217">
        <f t="shared" si="326"/>
        <v>2.7102605341484978</v>
      </c>
      <c r="V137" s="217">
        <f t="shared" si="327"/>
        <v>1.4620471470902492</v>
      </c>
      <c r="W137" s="197">
        <f t="shared" si="328"/>
        <v>260.03456663125434</v>
      </c>
      <c r="X137" s="443">
        <f t="shared" si="435"/>
        <v>228.71217510399072</v>
      </c>
      <c r="Z137" s="217">
        <f t="shared" si="329"/>
        <v>2.2222222222222223</v>
      </c>
      <c r="AA137" s="173">
        <f t="shared" si="330"/>
        <v>1.3475781708264654</v>
      </c>
      <c r="AB137" s="173">
        <f t="shared" si="331"/>
        <v>0.24157940679099027</v>
      </c>
      <c r="AC137" s="173"/>
      <c r="AD137" s="173">
        <f t="shared" si="332"/>
        <v>1.3475781708264654</v>
      </c>
      <c r="AE137" s="545">
        <f t="shared" si="333"/>
        <v>270.35006129256703</v>
      </c>
      <c r="AF137" s="528">
        <f t="shared" si="334"/>
        <v>0.25969786230031455</v>
      </c>
      <c r="AH137" s="173">
        <f t="shared" si="335"/>
        <v>1.9951369448164273</v>
      </c>
      <c r="AI137" s="173">
        <f t="shared" si="336"/>
        <v>2.4109871549848254</v>
      </c>
      <c r="AJ137" s="173">
        <f t="shared" si="337"/>
        <v>1.3398258761204467</v>
      </c>
      <c r="AL137" s="545">
        <f t="shared" si="338"/>
        <v>270</v>
      </c>
      <c r="AM137" s="460">
        <f t="shared" si="339"/>
        <v>228.71217510399072</v>
      </c>
      <c r="AO137" s="460">
        <f t="shared" si="340"/>
        <v>270</v>
      </c>
      <c r="AP137" s="460">
        <f t="shared" si="341"/>
        <v>228.71217510399072</v>
      </c>
      <c r="AR137" s="5">
        <f t="shared" si="443"/>
        <v>4.3723076812387474</v>
      </c>
      <c r="AS137" s="5">
        <f t="shared" si="440"/>
        <v>2.7102605341484978</v>
      </c>
      <c r="AT137" s="5">
        <f t="shared" si="441"/>
        <v>1.6620471470902496</v>
      </c>
      <c r="AU137" s="173">
        <f t="shared" si="442"/>
        <v>0.61986958186360663</v>
      </c>
      <c r="AW137" s="5">
        <f t="shared" si="342"/>
        <v>3.0490431009170602</v>
      </c>
      <c r="AX137" s="5">
        <f t="shared" si="343"/>
        <v>0.40653908012227469</v>
      </c>
      <c r="AY137" s="5">
        <f t="shared" si="344"/>
        <v>1.0089118977026759</v>
      </c>
      <c r="AZ137" s="5"/>
      <c r="BA137" s="173">
        <f t="shared" si="345"/>
        <v>1.0959340789003098</v>
      </c>
      <c r="BB137" s="173">
        <f t="shared" si="346"/>
        <v>0.5724353099564552</v>
      </c>
      <c r="BC137" s="173">
        <f t="shared" si="347"/>
        <v>5.73208871186126E-2</v>
      </c>
      <c r="BD137" s="173"/>
      <c r="BE137" s="528">
        <f t="shared" si="348"/>
        <v>4.8042860211802818E-2</v>
      </c>
      <c r="BF137" s="528">
        <f t="shared" si="349"/>
        <v>0.31496732649134662</v>
      </c>
      <c r="BG137" s="528">
        <f t="shared" si="350"/>
        <v>8.1382894288811389E-2</v>
      </c>
      <c r="BH137" s="528">
        <f t="shared" si="351"/>
        <v>2.5794371075921751E-2</v>
      </c>
      <c r="BI137">
        <f t="shared" si="352"/>
        <v>4.0030993554796244E-3</v>
      </c>
      <c r="BJ137" s="460">
        <f t="shared" si="436"/>
        <v>85.38599364429102</v>
      </c>
      <c r="BK137">
        <f t="shared" si="353"/>
        <v>0.40641535463868877</v>
      </c>
      <c r="BL137" s="460">
        <f t="shared" si="437"/>
        <v>474.19055142336219</v>
      </c>
      <c r="BM137" s="173">
        <f t="shared" si="354"/>
        <v>0.23436000000000001</v>
      </c>
      <c r="BN137" s="173">
        <f t="shared" si="355"/>
        <v>2.3435999999999998E-2</v>
      </c>
      <c r="BO137" s="528"/>
      <c r="BQ137" s="460">
        <f t="shared" si="356"/>
        <v>257.79600000000005</v>
      </c>
      <c r="BR137" s="528">
        <f t="shared" si="357"/>
        <v>3.6032145158852114E-2</v>
      </c>
      <c r="BS137" s="528">
        <f t="shared" si="358"/>
        <v>9.8304655225482877E-3</v>
      </c>
      <c r="BT137" s="528">
        <f t="shared" si="359"/>
        <v>1.6428420500323641E-5</v>
      </c>
      <c r="BU137" s="528">
        <f t="shared" si="360"/>
        <v>0.35701006177065853</v>
      </c>
      <c r="BV137" s="528"/>
      <c r="BW137" s="625">
        <f t="shared" si="361"/>
        <v>0.26589432790580481</v>
      </c>
      <c r="BX137" s="460">
        <f t="shared" si="362"/>
        <v>668.78342877836405</v>
      </c>
      <c r="BY137" s="173">
        <f t="shared" si="363"/>
        <v>1.4007699802017262</v>
      </c>
      <c r="BZ137" s="5">
        <f t="shared" si="364"/>
        <v>6.9660000000000002</v>
      </c>
      <c r="CA137" s="173">
        <f t="shared" si="365"/>
        <v>0.8325793605517583</v>
      </c>
      <c r="CB137" s="5">
        <f t="shared" si="366"/>
        <v>83.257936055175833</v>
      </c>
      <c r="CC137">
        <f t="shared" si="367"/>
        <v>27</v>
      </c>
      <c r="CE137" s="562">
        <f t="shared" si="368"/>
        <v>-50</v>
      </c>
      <c r="CF137">
        <f t="shared" si="369"/>
        <v>-50</v>
      </c>
      <c r="CG137" s="173">
        <f t="shared" si="370"/>
        <v>0.34658417599272739</v>
      </c>
      <c r="CH137" s="173">
        <f t="shared" si="371"/>
        <v>9.446712174985028E-2</v>
      </c>
      <c r="CI137" s="170">
        <v>27</v>
      </c>
      <c r="CJ137" s="217">
        <f t="shared" si="438"/>
        <v>0.27</v>
      </c>
      <c r="CK137" s="217">
        <f t="shared" si="372"/>
        <v>2.7000000000000003E-2</v>
      </c>
      <c r="CL137" s="217">
        <f t="shared" si="373"/>
        <v>6.48</v>
      </c>
      <c r="CM137" s="217">
        <f t="shared" si="374"/>
        <v>0.48600000000000004</v>
      </c>
      <c r="CN137" s="541">
        <f t="shared" si="375"/>
        <v>9</v>
      </c>
      <c r="CO137" s="443">
        <f t="shared" si="376"/>
        <v>16.474900000000002</v>
      </c>
      <c r="CP137" s="443">
        <f t="shared" si="377"/>
        <v>25.474900000000002</v>
      </c>
      <c r="CQ137" s="443"/>
      <c r="CR137" s="217">
        <f t="shared" si="378"/>
        <v>0.64485133082098534</v>
      </c>
      <c r="CS137" s="172">
        <f t="shared" si="379"/>
        <v>29.993085154464438</v>
      </c>
      <c r="CT137" s="172">
        <f t="shared" si="380"/>
        <v>2.4181924905786953</v>
      </c>
      <c r="CU137" s="217">
        <f t="shared" si="381"/>
        <v>1.2497118814360182</v>
      </c>
      <c r="CV137" s="217">
        <f t="shared" si="382"/>
        <v>1.6662825085813577</v>
      </c>
      <c r="CW137" s="217">
        <f t="shared" si="383"/>
        <v>24</v>
      </c>
      <c r="CX137" s="217">
        <f t="shared" si="384"/>
        <v>2.4005533151791449</v>
      </c>
      <c r="CY137" s="217">
        <f t="shared" si="385"/>
        <v>2.6672814613101612</v>
      </c>
      <c r="CZ137" s="217">
        <f t="shared" si="386"/>
        <v>1.4570973512307479</v>
      </c>
      <c r="DA137" s="197">
        <f t="shared" si="387"/>
        <v>261.91798593910079</v>
      </c>
      <c r="DB137" s="443">
        <f t="shared" si="388"/>
        <v>242.46075480732316</v>
      </c>
      <c r="DD137" s="217">
        <f t="shared" si="389"/>
        <v>2.2222222222222228</v>
      </c>
      <c r="DE137" s="173">
        <f t="shared" si="390"/>
        <v>1.3488532386977905</v>
      </c>
      <c r="DF137" s="173">
        <f t="shared" si="391"/>
        <v>0.24355939229558116</v>
      </c>
      <c r="DG137" s="173"/>
      <c r="DH137" s="173">
        <f t="shared" si="392"/>
        <v>1.3488532386977903</v>
      </c>
      <c r="DI137" s="545">
        <f t="shared" si="393"/>
        <v>270.09449999999993</v>
      </c>
      <c r="DJ137" s="528">
        <f t="shared" si="394"/>
        <v>0.26182634671774968</v>
      </c>
      <c r="DL137" s="173">
        <f t="shared" si="395"/>
        <v>1.9951369448164273</v>
      </c>
      <c r="DM137" s="173">
        <f t="shared" si="396"/>
        <v>2.4005533151791449</v>
      </c>
      <c r="DN137" s="173">
        <f t="shared" si="397"/>
        <v>1.3320971058940168</v>
      </c>
      <c r="DP137" s="545">
        <f t="shared" si="398"/>
        <v>270</v>
      </c>
      <c r="DQ137" s="460">
        <f t="shared" si="399"/>
        <v>242.46075480732316</v>
      </c>
      <c r="DS137" s="460">
        <f t="shared" si="400"/>
        <v>270</v>
      </c>
      <c r="DT137" s="460">
        <f t="shared" si="401"/>
        <v>242.46075480732316</v>
      </c>
      <c r="DV137" s="5">
        <f t="shared" si="402"/>
        <v>4.1243788125409093</v>
      </c>
      <c r="DW137" s="5">
        <f t="shared" si="403"/>
        <v>2.6672814613101612</v>
      </c>
      <c r="DX137" s="5">
        <f t="shared" si="404"/>
        <v>1.4570973512307481</v>
      </c>
      <c r="DY137" s="173">
        <f t="shared" si="405"/>
        <v>0.64671107639284153</v>
      </c>
      <c r="EA137" s="5">
        <f t="shared" si="406"/>
        <v>3.0006916439739313</v>
      </c>
      <c r="EB137" s="5">
        <f t="shared" si="407"/>
        <v>0.40009221919652421</v>
      </c>
      <c r="EC137" s="5">
        <f t="shared" si="408"/>
        <v>0.8742584107384489</v>
      </c>
      <c r="ED137" s="5"/>
      <c r="EE137" s="173">
        <f t="shared" si="409"/>
        <v>1.1145662244841807</v>
      </c>
      <c r="EF137" s="173">
        <f t="shared" si="410"/>
        <v>0.54946694765532567</v>
      </c>
      <c r="EG137" s="173">
        <f t="shared" si="411"/>
        <v>5.5020947055756261E-2</v>
      </c>
      <c r="EH137" s="173"/>
      <c r="EI137" s="528">
        <f t="shared" si="412"/>
        <v>4.9690314750436844E-2</v>
      </c>
      <c r="EJ137" s="528">
        <f t="shared" si="413"/>
        <v>0.40775377500000004</v>
      </c>
      <c r="EK137" s="528">
        <f t="shared" si="414"/>
        <v>4.8492150961464635E-2</v>
      </c>
      <c r="EL137" s="528">
        <f t="shared" si="415"/>
        <v>2.7536229796938302E-2</v>
      </c>
      <c r="EM137">
        <f t="shared" si="416"/>
        <v>4.0499999999999998E-3</v>
      </c>
      <c r="EN137" s="460">
        <f t="shared" si="417"/>
        <v>52.542150961464635</v>
      </c>
      <c r="EP137" s="460">
        <f t="shared" si="439"/>
        <v>537.52247050883977</v>
      </c>
      <c r="EQ137" s="173">
        <f t="shared" si="418"/>
        <v>0.189</v>
      </c>
      <c r="ER137" s="173">
        <f t="shared" si="419"/>
        <v>1.6740000000000001E-2</v>
      </c>
      <c r="ES137" s="528"/>
      <c r="EU137" s="460">
        <f t="shared" si="420"/>
        <v>205.74</v>
      </c>
      <c r="EV137" s="528">
        <f t="shared" si="421"/>
        <v>3.7267736062827635E-2</v>
      </c>
      <c r="EW137" s="528">
        <f t="shared" si="422"/>
        <v>9.0574177969698112E-3</v>
      </c>
      <c r="EX137" s="528">
        <f t="shared" si="423"/>
        <v>1.5136523074561667E-5</v>
      </c>
      <c r="EY137" s="528">
        <f t="shared" si="424"/>
        <v>0.40865049202349241</v>
      </c>
      <c r="EZ137" s="528"/>
      <c r="FA137" s="625">
        <f t="shared" si="425"/>
        <v>0.27944359531162366</v>
      </c>
      <c r="FB137" s="460">
        <f t="shared" si="426"/>
        <v>734.43437771798801</v>
      </c>
      <c r="FC137" s="173">
        <f t="shared" si="427"/>
        <v>1.4776968482268278</v>
      </c>
      <c r="FD137" s="5">
        <f t="shared" si="428"/>
        <v>6.9660000000000002</v>
      </c>
      <c r="FE137" s="173">
        <f t="shared" si="429"/>
        <v>0.8249940902914884</v>
      </c>
      <c r="FF137" s="5">
        <f t="shared" si="430"/>
        <v>82.499409029148836</v>
      </c>
      <c r="FG137">
        <f t="shared" si="431"/>
        <v>27</v>
      </c>
      <c r="FI137" s="562">
        <f t="shared" si="432"/>
        <v>-50</v>
      </c>
      <c r="FJ137">
        <f t="shared" si="433"/>
        <v>-50</v>
      </c>
    </row>
    <row r="138" spans="5:166">
      <c r="E138" s="170">
        <v>28</v>
      </c>
      <c r="F138" s="217">
        <f t="shared" si="434"/>
        <v>0.28000000000000003</v>
      </c>
      <c r="G138" s="217">
        <f t="shared" si="313"/>
        <v>2.8000000000000004E-2</v>
      </c>
      <c r="H138" s="217">
        <f t="shared" si="314"/>
        <v>6.7200000000000006</v>
      </c>
      <c r="I138" s="217">
        <f t="shared" si="315"/>
        <v>0.50400000000000011</v>
      </c>
      <c r="J138" s="541">
        <f t="shared" si="316"/>
        <v>8.8919162101588043</v>
      </c>
      <c r="K138" s="443">
        <f t="shared" si="317"/>
        <v>16.49106576978436</v>
      </c>
      <c r="L138" s="172">
        <f t="shared" si="318"/>
        <v>25.382981979943164</v>
      </c>
      <c r="M138" s="443"/>
      <c r="N138" s="217">
        <f t="shared" si="319"/>
        <v>0.64968985057843409</v>
      </c>
      <c r="O138" s="172">
        <f t="shared" si="320"/>
        <v>29.855233663741753</v>
      </c>
      <c r="P138" s="172">
        <f t="shared" si="321"/>
        <v>2.4070782141391787</v>
      </c>
      <c r="Q138" s="217">
        <f t="shared" si="322"/>
        <v>1.243968069322573</v>
      </c>
      <c r="R138" s="217">
        <f t="shared" si="323"/>
        <v>1.6586240924300975</v>
      </c>
      <c r="S138" s="217">
        <f t="shared" si="324"/>
        <v>24</v>
      </c>
      <c r="T138" s="217">
        <f t="shared" si="325"/>
        <v>2.5009573700756866</v>
      </c>
      <c r="U138" s="217">
        <f t="shared" si="326"/>
        <v>2.8126191373895337</v>
      </c>
      <c r="V138" s="217">
        <f t="shared" si="327"/>
        <v>1.5165529050633273</v>
      </c>
      <c r="W138" s="197">
        <f t="shared" si="328"/>
        <v>259.96444712703129</v>
      </c>
      <c r="X138" s="443">
        <f t="shared" si="435"/>
        <v>220.79090629077334</v>
      </c>
      <c r="Z138" s="217">
        <f t="shared" si="329"/>
        <v>2.2222222222222223</v>
      </c>
      <c r="AA138" s="173">
        <f t="shared" si="330"/>
        <v>1.3475309923836905</v>
      </c>
      <c r="AB138" s="173">
        <f t="shared" si="331"/>
        <v>0.24150580843843356</v>
      </c>
      <c r="AC138" s="173"/>
      <c r="AD138" s="173">
        <f t="shared" si="332"/>
        <v>1.3475309923836905</v>
      </c>
      <c r="AE138" s="545">
        <f t="shared" si="333"/>
        <v>280.37284232287044</v>
      </c>
      <c r="AF138" s="528">
        <f t="shared" si="334"/>
        <v>0.25961874407131608</v>
      </c>
      <c r="AH138" s="173">
        <f t="shared" si="335"/>
        <v>2.0317480158720471</v>
      </c>
      <c r="AI138" s="173">
        <f t="shared" si="336"/>
        <v>2.5009573700756866</v>
      </c>
      <c r="AJ138" s="173">
        <f t="shared" si="337"/>
        <v>1.4064704798914551</v>
      </c>
      <c r="AL138" s="545">
        <f t="shared" si="338"/>
        <v>280</v>
      </c>
      <c r="AM138" s="460">
        <f t="shared" si="339"/>
        <v>220.79090629077334</v>
      </c>
      <c r="AO138" s="460">
        <f t="shared" si="340"/>
        <v>280</v>
      </c>
      <c r="AP138" s="460">
        <f t="shared" si="341"/>
        <v>220.79090629077334</v>
      </c>
      <c r="AR138" s="5">
        <f t="shared" si="443"/>
        <v>4.5291720424528608</v>
      </c>
      <c r="AS138" s="5">
        <f t="shared" si="440"/>
        <v>2.8126191373895337</v>
      </c>
      <c r="AT138" s="5">
        <f t="shared" si="441"/>
        <v>1.716552905063327</v>
      </c>
      <c r="AU138" s="173">
        <f t="shared" si="442"/>
        <v>0.62100072839500819</v>
      </c>
      <c r="AW138" s="5">
        <f t="shared" si="342"/>
        <v>3.2813889936211229</v>
      </c>
      <c r="AX138" s="5">
        <f t="shared" si="343"/>
        <v>0.43751853248281641</v>
      </c>
      <c r="AY138" s="5">
        <f t="shared" si="344"/>
        <v>1.081060149596591</v>
      </c>
      <c r="AZ138" s="5"/>
      <c r="BA138" s="173">
        <f t="shared" si="345"/>
        <v>1.1378675610139313</v>
      </c>
      <c r="BB138" s="173">
        <f t="shared" si="346"/>
        <v>0.59291260493466047</v>
      </c>
      <c r="BC138" s="173">
        <f t="shared" si="347"/>
        <v>5.9371383818457212E-2</v>
      </c>
      <c r="BD138" s="173"/>
      <c r="BE138" s="528">
        <f t="shared" si="348"/>
        <v>5.1789703456311703E-2</v>
      </c>
      <c r="BF138" s="528">
        <f t="shared" si="349"/>
        <v>0.31536437419460273</v>
      </c>
      <c r="BG138" s="528">
        <f t="shared" si="350"/>
        <v>7.853016954810324E-2</v>
      </c>
      <c r="BH138" s="528">
        <f t="shared" si="351"/>
        <v>2.4894563383136135E-2</v>
      </c>
      <c r="BI138">
        <f t="shared" si="352"/>
        <v>4.0013622945714615E-3</v>
      </c>
      <c r="BJ138" s="460">
        <f t="shared" si="436"/>
        <v>82.531531842674696</v>
      </c>
      <c r="BK138">
        <f t="shared" si="353"/>
        <v>0.41109042464912132</v>
      </c>
      <c r="BL138" s="460">
        <f t="shared" si="437"/>
        <v>474.58017287672527</v>
      </c>
      <c r="BM138" s="173">
        <f t="shared" si="354"/>
        <v>0.24304000000000001</v>
      </c>
      <c r="BN138" s="173">
        <f t="shared" si="355"/>
        <v>2.4304000000000003E-2</v>
      </c>
      <c r="BO138" s="528"/>
      <c r="BQ138" s="460">
        <f t="shared" si="356"/>
        <v>267.34400000000005</v>
      </c>
      <c r="BR138" s="528">
        <f t="shared" si="357"/>
        <v>3.8842277592233777E-2</v>
      </c>
      <c r="BS138" s="528">
        <f t="shared" si="358"/>
        <v>1.0546360712712142E-2</v>
      </c>
      <c r="BT138" s="528">
        <f t="shared" si="359"/>
        <v>1.7624806082592815E-5</v>
      </c>
      <c r="BU138" s="528">
        <f t="shared" si="360"/>
        <v>0.35825204845991448</v>
      </c>
      <c r="BV138" s="528"/>
      <c r="BW138" s="625">
        <f t="shared" si="361"/>
        <v>0.27620005194364372</v>
      </c>
      <c r="BX138" s="460">
        <f t="shared" si="362"/>
        <v>683.8583635145867</v>
      </c>
      <c r="BY138" s="173">
        <f t="shared" si="363"/>
        <v>1.4257825363913121</v>
      </c>
      <c r="BZ138" s="5">
        <f t="shared" si="364"/>
        <v>7.2240000000000011</v>
      </c>
      <c r="CA138" s="173">
        <f t="shared" si="365"/>
        <v>0.83516550498318676</v>
      </c>
      <c r="CB138" s="5">
        <f t="shared" si="366"/>
        <v>83.516550498318679</v>
      </c>
      <c r="CC138">
        <f t="shared" si="367"/>
        <v>28.000000000000004</v>
      </c>
      <c r="CE138" s="562">
        <f t="shared" si="368"/>
        <v>-50</v>
      </c>
      <c r="CF138">
        <f t="shared" si="369"/>
        <v>-50</v>
      </c>
      <c r="CG138" s="173">
        <f t="shared" si="370"/>
        <v>0.34658417599272739</v>
      </c>
      <c r="CH138" s="173">
        <f t="shared" si="371"/>
        <v>9.446712174985028E-2</v>
      </c>
      <c r="CI138" s="170">
        <v>28</v>
      </c>
      <c r="CJ138" s="217">
        <f t="shared" si="438"/>
        <v>0.28000000000000003</v>
      </c>
      <c r="CK138" s="217">
        <f t="shared" si="372"/>
        <v>2.8000000000000004E-2</v>
      </c>
      <c r="CL138" s="217">
        <f t="shared" si="373"/>
        <v>6.7200000000000006</v>
      </c>
      <c r="CM138" s="217">
        <f t="shared" si="374"/>
        <v>0.50400000000000011</v>
      </c>
      <c r="CN138" s="541">
        <f t="shared" si="375"/>
        <v>9</v>
      </c>
      <c r="CO138" s="443">
        <f t="shared" si="376"/>
        <v>16.474900000000002</v>
      </c>
      <c r="CP138" s="443">
        <f t="shared" si="377"/>
        <v>25.474900000000002</v>
      </c>
      <c r="CQ138" s="443"/>
      <c r="CR138" s="217">
        <f t="shared" si="378"/>
        <v>0.64485133082098534</v>
      </c>
      <c r="CS138" s="172">
        <f t="shared" si="379"/>
        <v>29.993085154464438</v>
      </c>
      <c r="CT138" s="172">
        <f t="shared" si="380"/>
        <v>2.4181924905786953</v>
      </c>
      <c r="CU138" s="217">
        <f t="shared" si="381"/>
        <v>1.2497118814360182</v>
      </c>
      <c r="CV138" s="217">
        <f t="shared" si="382"/>
        <v>1.6662825085813577</v>
      </c>
      <c r="CW138" s="217">
        <f t="shared" si="383"/>
        <v>24</v>
      </c>
      <c r="CX138" s="217">
        <f t="shared" si="384"/>
        <v>2.4894626972228173</v>
      </c>
      <c r="CY138" s="217">
        <f t="shared" si="385"/>
        <v>2.7660696635809088</v>
      </c>
      <c r="CZ138" s="217">
        <f t="shared" si="386"/>
        <v>1.5110639197948499</v>
      </c>
      <c r="DA138" s="197">
        <f t="shared" si="387"/>
        <v>261.91798593910079</v>
      </c>
      <c r="DB138" s="443">
        <f t="shared" si="388"/>
        <v>233.80144213563301</v>
      </c>
      <c r="DD138" s="217">
        <f t="shared" si="389"/>
        <v>2.2222222222222228</v>
      </c>
      <c r="DE138" s="173">
        <f t="shared" si="390"/>
        <v>1.3488532386977905</v>
      </c>
      <c r="DF138" s="173">
        <f t="shared" si="391"/>
        <v>0.24355939229558116</v>
      </c>
      <c r="DG138" s="173"/>
      <c r="DH138" s="173">
        <f t="shared" si="392"/>
        <v>1.3488532386977903</v>
      </c>
      <c r="DI138" s="545">
        <f t="shared" si="393"/>
        <v>280.09799999999996</v>
      </c>
      <c r="DJ138" s="528">
        <f t="shared" si="394"/>
        <v>0.26182634671774968</v>
      </c>
      <c r="DL138" s="173">
        <f t="shared" si="395"/>
        <v>2.0317480158720471</v>
      </c>
      <c r="DM138" s="173">
        <f t="shared" si="396"/>
        <v>2.4894626972228173</v>
      </c>
      <c r="DN138" s="173">
        <f t="shared" si="397"/>
        <v>1.397955907407848</v>
      </c>
      <c r="DP138" s="545">
        <f t="shared" si="398"/>
        <v>280</v>
      </c>
      <c r="DQ138" s="460">
        <f t="shared" si="399"/>
        <v>233.80144213563301</v>
      </c>
      <c r="DS138" s="460">
        <f t="shared" si="400"/>
        <v>280</v>
      </c>
      <c r="DT138" s="460">
        <f t="shared" si="401"/>
        <v>233.80144213563301</v>
      </c>
      <c r="DV138" s="5">
        <f t="shared" si="402"/>
        <v>4.2771335833757584</v>
      </c>
      <c r="DW138" s="5">
        <f t="shared" si="403"/>
        <v>2.7660696635809088</v>
      </c>
      <c r="DX138" s="5">
        <f t="shared" si="404"/>
        <v>1.5110639197948497</v>
      </c>
      <c r="DY138" s="173">
        <f t="shared" si="405"/>
        <v>0.64671107639284164</v>
      </c>
      <c r="EA138" s="5">
        <f t="shared" si="406"/>
        <v>3.2270812741777277</v>
      </c>
      <c r="EB138" s="5">
        <f t="shared" si="407"/>
        <v>0.43027750322369696</v>
      </c>
      <c r="EC138" s="5">
        <f t="shared" si="408"/>
        <v>0.94021755009457297</v>
      </c>
      <c r="ED138" s="5"/>
      <c r="EE138" s="173">
        <f t="shared" si="409"/>
        <v>1.155846455020632</v>
      </c>
      <c r="EF138" s="173">
        <f t="shared" si="410"/>
        <v>0.56981757534626365</v>
      </c>
      <c r="EG138" s="173">
        <f t="shared" si="411"/>
        <v>5.7058759909673143E-2</v>
      </c>
      <c r="EH138" s="173"/>
      <c r="EI138" s="528">
        <f t="shared" si="412"/>
        <v>5.3439241103350472E-2</v>
      </c>
      <c r="EJ138" s="528">
        <f t="shared" si="413"/>
        <v>0.40775377500000004</v>
      </c>
      <c r="EK138" s="528">
        <f t="shared" si="414"/>
        <v>4.6760288427126602E-2</v>
      </c>
      <c r="EL138" s="528">
        <f t="shared" si="415"/>
        <v>2.6552793018476215E-2</v>
      </c>
      <c r="EM138">
        <f t="shared" si="416"/>
        <v>4.0499999999999998E-3</v>
      </c>
      <c r="EN138" s="460">
        <f t="shared" si="417"/>
        <v>50.810288427126601</v>
      </c>
      <c r="EP138" s="460">
        <f t="shared" si="439"/>
        <v>538.5560975489534</v>
      </c>
      <c r="EQ138" s="173">
        <f t="shared" si="418"/>
        <v>0.19600000000000001</v>
      </c>
      <c r="ER138" s="173">
        <f t="shared" si="419"/>
        <v>1.7360000000000004E-2</v>
      </c>
      <c r="ES138" s="528"/>
      <c r="EU138" s="460">
        <f t="shared" si="420"/>
        <v>213.36</v>
      </c>
      <c r="EV138" s="528">
        <f t="shared" si="421"/>
        <v>4.0079430827512856E-2</v>
      </c>
      <c r="EW138" s="528">
        <f t="shared" si="422"/>
        <v>9.7407620752048459E-3</v>
      </c>
      <c r="EX138" s="528">
        <f t="shared" si="423"/>
        <v>1.6278510412148618E-5</v>
      </c>
      <c r="EY138" s="528">
        <f t="shared" si="424"/>
        <v>0.40865049202349191</v>
      </c>
      <c r="EZ138" s="528"/>
      <c r="FA138" s="625">
        <f t="shared" si="425"/>
        <v>0.28979335810094309</v>
      </c>
      <c r="FB138" s="460">
        <f t="shared" si="426"/>
        <v>748.28032153756487</v>
      </c>
      <c r="FC138" s="173">
        <f t="shared" si="427"/>
        <v>1.5001964190865182</v>
      </c>
      <c r="FD138" s="5">
        <f t="shared" si="428"/>
        <v>7.2240000000000011</v>
      </c>
      <c r="FE138" s="173">
        <f t="shared" si="429"/>
        <v>0.82804187950142472</v>
      </c>
      <c r="FF138" s="5">
        <f t="shared" si="430"/>
        <v>82.804187950142477</v>
      </c>
      <c r="FG138">
        <f t="shared" si="431"/>
        <v>28.000000000000004</v>
      </c>
      <c r="FI138" s="562">
        <f t="shared" si="432"/>
        <v>-50</v>
      </c>
      <c r="FJ138">
        <f t="shared" si="433"/>
        <v>-50</v>
      </c>
    </row>
    <row r="139" spans="5:166">
      <c r="E139" s="170">
        <v>29</v>
      </c>
      <c r="F139" s="217">
        <f t="shared" si="434"/>
        <v>0.28999999999999998</v>
      </c>
      <c r="G139" s="217">
        <f t="shared" si="313"/>
        <v>2.8999999999999998E-2</v>
      </c>
      <c r="H139" s="217">
        <f t="shared" si="314"/>
        <v>6.9599999999999991</v>
      </c>
      <c r="I139" s="217">
        <f t="shared" si="315"/>
        <v>0.52200000000000002</v>
      </c>
      <c r="J139" s="541">
        <f t="shared" si="316"/>
        <v>8.8880560748073325</v>
      </c>
      <c r="K139" s="443">
        <f t="shared" si="317"/>
        <v>16.491643118705227</v>
      </c>
      <c r="L139" s="172">
        <f t="shared" si="318"/>
        <v>25.379699193512558</v>
      </c>
      <c r="M139" s="443"/>
      <c r="N139" s="217">
        <f t="shared" si="319"/>
        <v>0.64979663442665014</v>
      </c>
      <c r="O139" s="172">
        <f t="shared" si="320"/>
        <v>29.84717790183538</v>
      </c>
      <c r="P139" s="172">
        <f t="shared" si="321"/>
        <v>2.4064287183354773</v>
      </c>
      <c r="Q139" s="217">
        <f t="shared" si="322"/>
        <v>1.2436324125764742</v>
      </c>
      <c r="R139" s="217">
        <f t="shared" si="323"/>
        <v>1.6581765501019656</v>
      </c>
      <c r="S139" s="217">
        <f t="shared" si="324"/>
        <v>24</v>
      </c>
      <c r="T139" s="217">
        <f t="shared" si="325"/>
        <v>2.590976392732188</v>
      </c>
      <c r="U139" s="217">
        <f t="shared" si="326"/>
        <v>2.9151215641811228</v>
      </c>
      <c r="V139" s="217">
        <f t="shared" si="327"/>
        <v>1.5710844420307877</v>
      </c>
      <c r="W139" s="197">
        <f t="shared" si="328"/>
        <v>259.89430158023157</v>
      </c>
      <c r="X139" s="443">
        <f t="shared" si="435"/>
        <v>213.39224068989424</v>
      </c>
      <c r="Z139" s="217">
        <f t="shared" si="329"/>
        <v>2.2222222222222223</v>
      </c>
      <c r="AA139" s="173">
        <f t="shared" si="330"/>
        <v>1.3474838172442161</v>
      </c>
      <c r="AB139" s="173">
        <f t="shared" si="331"/>
        <v>0.24143219104643354</v>
      </c>
      <c r="AC139" s="173"/>
      <c r="AD139" s="173">
        <f t="shared" si="332"/>
        <v>1.3474838172442161</v>
      </c>
      <c r="AE139" s="545">
        <f t="shared" si="333"/>
        <v>290.39632448154845</v>
      </c>
      <c r="AF139" s="528">
        <f t="shared" si="334"/>
        <v>0.25953960537491605</v>
      </c>
      <c r="AH139" s="173">
        <f t="shared" si="335"/>
        <v>2.0677109496804844</v>
      </c>
      <c r="AI139" s="173">
        <f t="shared" si="336"/>
        <v>2.590976392732188</v>
      </c>
      <c r="AJ139" s="173">
        <f t="shared" si="337"/>
        <v>1.4731512374147893</v>
      </c>
      <c r="AL139" s="545">
        <f t="shared" si="338"/>
        <v>290</v>
      </c>
      <c r="AM139" s="460">
        <f t="shared" si="339"/>
        <v>213.39224068989424</v>
      </c>
      <c r="AO139" s="460">
        <f t="shared" si="340"/>
        <v>290</v>
      </c>
      <c r="AP139" s="460">
        <f t="shared" si="341"/>
        <v>213.39224068989424</v>
      </c>
      <c r="AR139" s="5">
        <f t="shared" si="443"/>
        <v>4.6862060062119104</v>
      </c>
      <c r="AS139" s="5">
        <f t="shared" si="440"/>
        <v>2.9151215641811228</v>
      </c>
      <c r="AT139" s="5">
        <f t="shared" si="441"/>
        <v>1.7710844420307876</v>
      </c>
      <c r="AU139" s="173">
        <f t="shared" si="442"/>
        <v>0.62206432246403909</v>
      </c>
      <c r="AW139" s="5">
        <f t="shared" si="342"/>
        <v>3.5224385567188565</v>
      </c>
      <c r="AX139" s="5">
        <f t="shared" si="343"/>
        <v>0.46965847422918089</v>
      </c>
      <c r="AY139" s="5">
        <f t="shared" si="344"/>
        <v>1.1557408816191834</v>
      </c>
      <c r="AZ139" s="5"/>
      <c r="BA139" s="173">
        <f t="shared" si="345"/>
        <v>1.1798328268888483</v>
      </c>
      <c r="BB139" s="173">
        <f t="shared" si="346"/>
        <v>0.61339129507969503</v>
      </c>
      <c r="BC139" s="173">
        <f t="shared" si="347"/>
        <v>6.14220202235208E-2</v>
      </c>
      <c r="BD139" s="173"/>
      <c r="BE139" s="528">
        <f t="shared" si="348"/>
        <v>5.5680219976181243E-2</v>
      </c>
      <c r="BF139" s="528">
        <f t="shared" si="349"/>
        <v>0.31572652397313022</v>
      </c>
      <c r="BG139" s="528">
        <f t="shared" si="350"/>
        <v>7.5865688047222518E-2</v>
      </c>
      <c r="BH139" s="528">
        <f t="shared" si="351"/>
        <v>2.4054127753322146E-2</v>
      </c>
      <c r="BI139">
        <f t="shared" si="352"/>
        <v>3.9996252336632994E-3</v>
      </c>
      <c r="BJ139" s="460">
        <f t="shared" si="436"/>
        <v>79.865313280885829</v>
      </c>
      <c r="BK139">
        <f t="shared" si="353"/>
        <v>0.41599802702529415</v>
      </c>
      <c r="BL139" s="460">
        <f t="shared" si="437"/>
        <v>475.32618498351945</v>
      </c>
      <c r="BM139" s="173">
        <f t="shared" si="354"/>
        <v>0.25172</v>
      </c>
      <c r="BN139" s="173">
        <f t="shared" si="355"/>
        <v>2.5171999999999996E-2</v>
      </c>
      <c r="BO139" s="528"/>
      <c r="BQ139" s="460">
        <f t="shared" si="356"/>
        <v>276.892</v>
      </c>
      <c r="BR139" s="528">
        <f t="shared" si="357"/>
        <v>4.1760164982135931E-2</v>
      </c>
      <c r="BS139" s="528">
        <f t="shared" si="358"/>
        <v>1.1287466426386365E-2</v>
      </c>
      <c r="BT139" s="528">
        <f t="shared" si="359"/>
        <v>1.886332284169299E-5</v>
      </c>
      <c r="BU139" s="528">
        <f t="shared" si="360"/>
        <v>0.35939762556882721</v>
      </c>
      <c r="BV139" s="528"/>
      <c r="BW139" s="625">
        <f t="shared" si="361"/>
        <v>0.28650719404126568</v>
      </c>
      <c r="BX139" s="460">
        <f t="shared" si="362"/>
        <v>698.97131434145683</v>
      </c>
      <c r="BY139" s="173">
        <f t="shared" si="363"/>
        <v>1.4511894993249763</v>
      </c>
      <c r="BZ139" s="5">
        <f t="shared" si="364"/>
        <v>7.4819999999999993</v>
      </c>
      <c r="CA139" s="173">
        <f t="shared" si="365"/>
        <v>0.83755079868902005</v>
      </c>
      <c r="CB139" s="5">
        <f t="shared" si="366"/>
        <v>83.755079868902001</v>
      </c>
      <c r="CC139">
        <f t="shared" si="367"/>
        <v>28.999999999999996</v>
      </c>
      <c r="CE139" s="562">
        <f t="shared" si="368"/>
        <v>-50</v>
      </c>
      <c r="CF139">
        <f t="shared" si="369"/>
        <v>-50</v>
      </c>
      <c r="CG139" s="173">
        <f t="shared" si="370"/>
        <v>0.34658417599272739</v>
      </c>
      <c r="CH139" s="173">
        <f t="shared" si="371"/>
        <v>9.446712174985028E-2</v>
      </c>
      <c r="CI139" s="170">
        <v>29</v>
      </c>
      <c r="CJ139" s="217">
        <f t="shared" si="438"/>
        <v>0.28999999999999998</v>
      </c>
      <c r="CK139" s="217">
        <f t="shared" si="372"/>
        <v>2.8999999999999998E-2</v>
      </c>
      <c r="CL139" s="217">
        <f t="shared" si="373"/>
        <v>6.9599999999999991</v>
      </c>
      <c r="CM139" s="217">
        <f t="shared" si="374"/>
        <v>0.52200000000000002</v>
      </c>
      <c r="CN139" s="541">
        <f t="shared" si="375"/>
        <v>9</v>
      </c>
      <c r="CO139" s="443">
        <f t="shared" si="376"/>
        <v>16.474900000000002</v>
      </c>
      <c r="CP139" s="443">
        <f t="shared" si="377"/>
        <v>25.474900000000002</v>
      </c>
      <c r="CQ139" s="443"/>
      <c r="CR139" s="217">
        <f t="shared" si="378"/>
        <v>0.64485133082098534</v>
      </c>
      <c r="CS139" s="172">
        <f t="shared" si="379"/>
        <v>29.993085154464438</v>
      </c>
      <c r="CT139" s="172">
        <f t="shared" si="380"/>
        <v>2.4181924905786953</v>
      </c>
      <c r="CU139" s="217">
        <f t="shared" si="381"/>
        <v>1.2497118814360182</v>
      </c>
      <c r="CV139" s="217">
        <f t="shared" si="382"/>
        <v>1.6662825085813577</v>
      </c>
      <c r="CW139" s="217">
        <f t="shared" si="383"/>
        <v>24</v>
      </c>
      <c r="CX139" s="217">
        <f t="shared" si="384"/>
        <v>2.5783720792664888</v>
      </c>
      <c r="CY139" s="217">
        <f t="shared" si="385"/>
        <v>2.8648578658516546</v>
      </c>
      <c r="CZ139" s="217">
        <f t="shared" si="386"/>
        <v>1.5650304883589512</v>
      </c>
      <c r="DA139" s="197">
        <f t="shared" si="387"/>
        <v>261.91798593910079</v>
      </c>
      <c r="DB139" s="443">
        <f t="shared" si="388"/>
        <v>225.73932344130088</v>
      </c>
      <c r="DD139" s="217">
        <f t="shared" si="389"/>
        <v>2.2222222222222228</v>
      </c>
      <c r="DE139" s="173">
        <f t="shared" si="390"/>
        <v>1.3488532386977905</v>
      </c>
      <c r="DF139" s="173">
        <f t="shared" si="391"/>
        <v>0.24355939229558116</v>
      </c>
      <c r="DG139" s="173"/>
      <c r="DH139" s="173">
        <f t="shared" si="392"/>
        <v>1.3488532386977903</v>
      </c>
      <c r="DI139" s="545">
        <f t="shared" si="393"/>
        <v>290.10149999999987</v>
      </c>
      <c r="DJ139" s="528">
        <f t="shared" si="394"/>
        <v>0.26182634671774968</v>
      </c>
      <c r="DL139" s="173">
        <f t="shared" si="395"/>
        <v>2.0677109496804844</v>
      </c>
      <c r="DM139" s="173">
        <f t="shared" si="396"/>
        <v>2.5783720792664888</v>
      </c>
      <c r="DN139" s="173">
        <f t="shared" si="397"/>
        <v>1.4638147089216789</v>
      </c>
      <c r="DP139" s="545">
        <f t="shared" si="398"/>
        <v>290</v>
      </c>
      <c r="DQ139" s="460">
        <f t="shared" si="399"/>
        <v>225.73932344130088</v>
      </c>
      <c r="DS139" s="460">
        <f t="shared" si="400"/>
        <v>290</v>
      </c>
      <c r="DT139" s="460">
        <f t="shared" si="401"/>
        <v>225.73932344130088</v>
      </c>
      <c r="DV139" s="5">
        <f t="shared" si="402"/>
        <v>4.4298883542106058</v>
      </c>
      <c r="DW139" s="5">
        <f t="shared" si="403"/>
        <v>2.8648578658516546</v>
      </c>
      <c r="DX139" s="5">
        <f t="shared" si="404"/>
        <v>1.5650304883589512</v>
      </c>
      <c r="DY139" s="173">
        <f t="shared" si="405"/>
        <v>0.64671107639284164</v>
      </c>
      <c r="EA139" s="5">
        <f t="shared" si="406"/>
        <v>3.4617032545707489</v>
      </c>
      <c r="EB139" s="5">
        <f t="shared" si="407"/>
        <v>0.46156043394276658</v>
      </c>
      <c r="EC139" s="5">
        <f t="shared" si="408"/>
        <v>1.0085752036091016</v>
      </c>
      <c r="ED139" s="5"/>
      <c r="EE139" s="173">
        <f t="shared" si="409"/>
        <v>1.197126685557083</v>
      </c>
      <c r="EF139" s="173">
        <f t="shared" si="410"/>
        <v>0.59016820303720152</v>
      </c>
      <c r="EG139" s="173">
        <f t="shared" si="411"/>
        <v>5.9096572763590031E-2</v>
      </c>
      <c r="EH139" s="173"/>
      <c r="EI139" s="528">
        <f t="shared" si="412"/>
        <v>5.7324492050915485E-2</v>
      </c>
      <c r="EJ139" s="528">
        <f t="shared" si="413"/>
        <v>0.40775377500000004</v>
      </c>
      <c r="EK139" s="528">
        <f t="shared" si="414"/>
        <v>4.5147864688260174E-2</v>
      </c>
      <c r="EL139" s="528">
        <f t="shared" si="415"/>
        <v>2.5637179466114976E-2</v>
      </c>
      <c r="EM139">
        <f t="shared" si="416"/>
        <v>4.0499999999999998E-3</v>
      </c>
      <c r="EN139" s="460">
        <f t="shared" si="417"/>
        <v>49.197864688260175</v>
      </c>
      <c r="EP139" s="460">
        <f t="shared" si="439"/>
        <v>539.91331120529071</v>
      </c>
      <c r="EQ139" s="173">
        <f t="shared" si="418"/>
        <v>0.20299999999999999</v>
      </c>
      <c r="ER139" s="173">
        <f t="shared" si="419"/>
        <v>1.7979999999999999E-2</v>
      </c>
      <c r="ES139" s="528"/>
      <c r="EU139" s="460">
        <f t="shared" si="420"/>
        <v>220.98</v>
      </c>
      <c r="EV139" s="528">
        <f t="shared" si="421"/>
        <v>4.299336903818661E-2</v>
      </c>
      <c r="EW139" s="528">
        <f t="shared" si="422"/>
        <v>1.0448955236284784E-2</v>
      </c>
      <c r="EX139" s="528">
        <f t="shared" si="423"/>
        <v>1.7462024562011455E-5</v>
      </c>
      <c r="EY139" s="528">
        <f t="shared" si="424"/>
        <v>0.40865049202349163</v>
      </c>
      <c r="EZ139" s="528"/>
      <c r="FA139" s="625">
        <f t="shared" si="425"/>
        <v>0.30014312089026235</v>
      </c>
      <c r="FB139" s="460">
        <f t="shared" si="426"/>
        <v>762.25339921278737</v>
      </c>
      <c r="FC139" s="173">
        <f t="shared" si="427"/>
        <v>1.523146710418078</v>
      </c>
      <c r="FD139" s="5">
        <f t="shared" si="428"/>
        <v>7.4819999999999993</v>
      </c>
      <c r="FE139" s="173">
        <f t="shared" si="429"/>
        <v>0.83085820149315881</v>
      </c>
      <c r="FF139" s="5">
        <f t="shared" si="430"/>
        <v>83.085820149315879</v>
      </c>
      <c r="FG139">
        <f t="shared" si="431"/>
        <v>28.999999999999996</v>
      </c>
      <c r="FI139" s="562">
        <f t="shared" si="432"/>
        <v>-50</v>
      </c>
      <c r="FJ139">
        <f t="shared" si="433"/>
        <v>-50</v>
      </c>
    </row>
    <row r="140" spans="5:166">
      <c r="E140" s="170">
        <v>30</v>
      </c>
      <c r="F140" s="217">
        <f t="shared" si="434"/>
        <v>0.3</v>
      </c>
      <c r="G140" s="217">
        <f t="shared" si="313"/>
        <v>0.03</v>
      </c>
      <c r="H140" s="217">
        <f t="shared" si="314"/>
        <v>7.1999999999999993</v>
      </c>
      <c r="I140" s="217">
        <f t="shared" si="315"/>
        <v>0.54</v>
      </c>
      <c r="J140" s="541">
        <f t="shared" si="316"/>
        <v>8.8841959394558625</v>
      </c>
      <c r="K140" s="443">
        <f t="shared" si="317"/>
        <v>16.492220467626098</v>
      </c>
      <c r="L140" s="172">
        <f t="shared" si="318"/>
        <v>25.376416407081962</v>
      </c>
      <c r="M140" s="443"/>
      <c r="N140" s="217">
        <f t="shared" si="319"/>
        <v>0.64990344590276772</v>
      </c>
      <c r="O140" s="172">
        <f t="shared" si="320"/>
        <v>29.839119147946985</v>
      </c>
      <c r="P140" s="172">
        <f t="shared" si="321"/>
        <v>2.4057789813032255</v>
      </c>
      <c r="Q140" s="217">
        <f t="shared" si="322"/>
        <v>1.2432966311644578</v>
      </c>
      <c r="R140" s="217">
        <f t="shared" si="323"/>
        <v>1.6577288415526104</v>
      </c>
      <c r="S140" s="217">
        <f t="shared" si="324"/>
        <v>24</v>
      </c>
      <c r="T140" s="217">
        <f t="shared" si="325"/>
        <v>2.6810442896570632</v>
      </c>
      <c r="U140" s="217">
        <f t="shared" si="326"/>
        <v>3.0177680770751567</v>
      </c>
      <c r="V140" s="217">
        <f t="shared" si="327"/>
        <v>1.6256417957302356</v>
      </c>
      <c r="W140" s="197">
        <f t="shared" si="328"/>
        <v>259.8241299807483</v>
      </c>
      <c r="X140" s="443">
        <f t="shared" si="435"/>
        <v>206.46611091387595</v>
      </c>
      <c r="Z140" s="217">
        <f t="shared" si="329"/>
        <v>2.2222222222222228</v>
      </c>
      <c r="AA140" s="173">
        <f t="shared" si="330"/>
        <v>1.3474366454076947</v>
      </c>
      <c r="AB140" s="173">
        <f t="shared" si="331"/>
        <v>0.24135855460760108</v>
      </c>
      <c r="AC140" s="173"/>
      <c r="AD140" s="173">
        <f t="shared" si="332"/>
        <v>1.3474366454076945</v>
      </c>
      <c r="AE140" s="545">
        <f t="shared" si="333"/>
        <v>300.42050776860123</v>
      </c>
      <c r="AF140" s="528">
        <f t="shared" si="334"/>
        <v>0.25946044620317105</v>
      </c>
      <c r="AH140" s="173">
        <f t="shared" si="335"/>
        <v>2.1030589965231936</v>
      </c>
      <c r="AI140" s="173">
        <f t="shared" si="336"/>
        <v>2.6810442896570632</v>
      </c>
      <c r="AJ140" s="173">
        <f t="shared" si="337"/>
        <v>1.5398681980998821</v>
      </c>
      <c r="AL140" s="545">
        <f t="shared" si="338"/>
        <v>300</v>
      </c>
      <c r="AM140" s="460">
        <f t="shared" si="339"/>
        <v>206.46611091387595</v>
      </c>
      <c r="AO140" s="460">
        <f t="shared" si="340"/>
        <v>300</v>
      </c>
      <c r="AP140" s="460">
        <f t="shared" si="341"/>
        <v>206.46611091387595</v>
      </c>
      <c r="AR140" s="5">
        <f t="shared" si="443"/>
        <v>4.8434098728053927</v>
      </c>
      <c r="AS140" s="5">
        <f t="shared" si="440"/>
        <v>3.0177680770751567</v>
      </c>
      <c r="AT140" s="5">
        <f t="shared" si="441"/>
        <v>1.825641795730236</v>
      </c>
      <c r="AU140" s="173">
        <f t="shared" si="442"/>
        <v>0.62306683851375344</v>
      </c>
      <c r="AW140" s="5">
        <f t="shared" si="342"/>
        <v>3.7722100963439456</v>
      </c>
      <c r="AX140" s="5">
        <f t="shared" si="343"/>
        <v>0.50296134617919275</v>
      </c>
      <c r="AY140" s="5">
        <f t="shared" si="344"/>
        <v>1.2329591613050703</v>
      </c>
      <c r="AZ140" s="5"/>
      <c r="BA140" s="173">
        <f t="shared" si="345"/>
        <v>1.2218297058248999</v>
      </c>
      <c r="BB140" s="173">
        <f t="shared" si="346"/>
        <v>0.63387170863885511</v>
      </c>
      <c r="BC140" s="173">
        <f t="shared" si="347"/>
        <v>6.3472829202890754E-2</v>
      </c>
      <c r="BD140" s="173"/>
      <c r="BE140" s="528">
        <f t="shared" si="348"/>
        <v>5.9714713201446459E-2</v>
      </c>
      <c r="BF140" s="528">
        <f t="shared" si="349"/>
        <v>0.31605711821929522</v>
      </c>
      <c r="BG140" s="528">
        <f t="shared" si="350"/>
        <v>7.3371415368652035E-2</v>
      </c>
      <c r="BH140" s="528">
        <f t="shared" si="351"/>
        <v>2.3267376115374914E-2</v>
      </c>
      <c r="BI140">
        <f t="shared" si="352"/>
        <v>3.9978881727551381E-3</v>
      </c>
      <c r="BJ140" s="460">
        <f t="shared" si="436"/>
        <v>77.369303541407163</v>
      </c>
      <c r="BK140">
        <f t="shared" si="353"/>
        <v>0.42113736798275364</v>
      </c>
      <c r="BL140" s="460">
        <f t="shared" si="437"/>
        <v>476.40851107752383</v>
      </c>
      <c r="BM140" s="173">
        <f t="shared" si="354"/>
        <v>0.26039999999999996</v>
      </c>
      <c r="BN140" s="173">
        <f t="shared" si="355"/>
        <v>2.6039999999999997E-2</v>
      </c>
      <c r="BO140" s="528"/>
      <c r="BQ140" s="460">
        <f t="shared" si="356"/>
        <v>286.44</v>
      </c>
      <c r="BR140" s="528">
        <f t="shared" si="357"/>
        <v>4.4786034901084841E-2</v>
      </c>
      <c r="BS140" s="528">
        <f t="shared" si="358"/>
        <v>1.2053800290382248E-2</v>
      </c>
      <c r="BT140" s="528">
        <f t="shared" si="359"/>
        <v>2.0144000235096707E-5</v>
      </c>
      <c r="BU140" s="528">
        <f t="shared" si="360"/>
        <v>0.36045571743662796</v>
      </c>
      <c r="BV140" s="528"/>
      <c r="BW140" s="625">
        <f t="shared" si="361"/>
        <v>0.29681561841221277</v>
      </c>
      <c r="BX140" s="460">
        <f t="shared" si="362"/>
        <v>714.13131504054286</v>
      </c>
      <c r="BY140" s="173">
        <f t="shared" si="363"/>
        <v>1.4769798261180667</v>
      </c>
      <c r="BZ140" s="5">
        <f t="shared" si="364"/>
        <v>7.7399999999999993</v>
      </c>
      <c r="CA140" s="173">
        <f t="shared" si="365"/>
        <v>0.83975446903629281</v>
      </c>
      <c r="CB140" s="5">
        <f t="shared" si="366"/>
        <v>83.975446903629276</v>
      </c>
      <c r="CC140">
        <f t="shared" si="367"/>
        <v>30</v>
      </c>
      <c r="CE140" s="562">
        <f t="shared" si="368"/>
        <v>-50</v>
      </c>
      <c r="CF140">
        <f t="shared" si="369"/>
        <v>-50</v>
      </c>
      <c r="CG140" s="173">
        <f t="shared" si="370"/>
        <v>0.34658417599272739</v>
      </c>
      <c r="CH140" s="173">
        <f t="shared" si="371"/>
        <v>9.446712174985028E-2</v>
      </c>
      <c r="CI140" s="170">
        <v>30</v>
      </c>
      <c r="CJ140" s="217">
        <f t="shared" si="438"/>
        <v>0.3</v>
      </c>
      <c r="CK140" s="217">
        <f t="shared" si="372"/>
        <v>0.03</v>
      </c>
      <c r="CL140" s="217">
        <f t="shared" si="373"/>
        <v>7.1999999999999993</v>
      </c>
      <c r="CM140" s="217">
        <f t="shared" si="374"/>
        <v>0.54</v>
      </c>
      <c r="CN140" s="541">
        <f t="shared" si="375"/>
        <v>9</v>
      </c>
      <c r="CO140" s="443">
        <f t="shared" si="376"/>
        <v>16.474900000000002</v>
      </c>
      <c r="CP140" s="443">
        <f t="shared" si="377"/>
        <v>25.474900000000002</v>
      </c>
      <c r="CQ140" s="443"/>
      <c r="CR140" s="217">
        <f t="shared" si="378"/>
        <v>0.64485133082098534</v>
      </c>
      <c r="CS140" s="172">
        <f t="shared" si="379"/>
        <v>29.993085154464438</v>
      </c>
      <c r="CT140" s="172">
        <f t="shared" si="380"/>
        <v>2.4181924905786953</v>
      </c>
      <c r="CU140" s="217">
        <f t="shared" si="381"/>
        <v>1.2497118814360182</v>
      </c>
      <c r="CV140" s="217">
        <f t="shared" si="382"/>
        <v>1.6662825085813577</v>
      </c>
      <c r="CW140" s="217">
        <f t="shared" si="383"/>
        <v>24</v>
      </c>
      <c r="CX140" s="217">
        <f t="shared" si="384"/>
        <v>2.6672814613101608</v>
      </c>
      <c r="CY140" s="217">
        <f t="shared" si="385"/>
        <v>2.9636460681224008</v>
      </c>
      <c r="CZ140" s="217">
        <f t="shared" si="386"/>
        <v>1.6189970569230532</v>
      </c>
      <c r="DA140" s="197">
        <f t="shared" si="387"/>
        <v>261.91798593910079</v>
      </c>
      <c r="DB140" s="443">
        <f t="shared" si="388"/>
        <v>218.21467932659087</v>
      </c>
      <c r="DD140" s="217">
        <f t="shared" si="389"/>
        <v>2.2222222222222228</v>
      </c>
      <c r="DE140" s="173">
        <f t="shared" si="390"/>
        <v>1.3488532386977905</v>
      </c>
      <c r="DF140" s="173">
        <f t="shared" si="391"/>
        <v>0.24355939229558116</v>
      </c>
      <c r="DG140" s="173"/>
      <c r="DH140" s="173">
        <f t="shared" si="392"/>
        <v>1.3488532386977903</v>
      </c>
      <c r="DI140" s="545">
        <f t="shared" si="393"/>
        <v>300.1049999999999</v>
      </c>
      <c r="DJ140" s="528">
        <f t="shared" si="394"/>
        <v>0.26182634671774968</v>
      </c>
      <c r="DL140" s="173">
        <f t="shared" si="395"/>
        <v>2.1030589965231936</v>
      </c>
      <c r="DM140" s="173">
        <f t="shared" si="396"/>
        <v>2.6672814613101608</v>
      </c>
      <c r="DN140" s="173">
        <f t="shared" si="397"/>
        <v>1.5296735104355099</v>
      </c>
      <c r="DP140" s="545">
        <f t="shared" si="398"/>
        <v>300</v>
      </c>
      <c r="DQ140" s="460">
        <f t="shared" si="399"/>
        <v>218.21467932659087</v>
      </c>
      <c r="DS140" s="460">
        <f t="shared" si="400"/>
        <v>300</v>
      </c>
      <c r="DT140" s="460">
        <f t="shared" si="401"/>
        <v>218.21467932659087</v>
      </c>
      <c r="DV140" s="5">
        <f t="shared" si="402"/>
        <v>4.582643125045454</v>
      </c>
      <c r="DW140" s="5">
        <f t="shared" si="403"/>
        <v>2.9636460681224008</v>
      </c>
      <c r="DX140" s="5">
        <f t="shared" si="404"/>
        <v>1.6189970569230532</v>
      </c>
      <c r="DY140" s="173">
        <f t="shared" si="405"/>
        <v>0.64671107639284153</v>
      </c>
      <c r="EA140" s="5">
        <f t="shared" si="406"/>
        <v>3.704557585153001</v>
      </c>
      <c r="EB140" s="5">
        <f t="shared" si="407"/>
        <v>0.49394101135373342</v>
      </c>
      <c r="EC140" s="5">
        <f t="shared" si="408"/>
        <v>1.0793313712820352</v>
      </c>
      <c r="ED140" s="5"/>
      <c r="EE140" s="173">
        <f t="shared" si="409"/>
        <v>1.238406916093534</v>
      </c>
      <c r="EF140" s="173">
        <f t="shared" si="410"/>
        <v>0.61051883072813962</v>
      </c>
      <c r="EG140" s="173">
        <f t="shared" si="411"/>
        <v>6.1134385617506934E-2</v>
      </c>
      <c r="EH140" s="173"/>
      <c r="EI140" s="528">
        <f t="shared" si="412"/>
        <v>6.1346067593131902E-2</v>
      </c>
      <c r="EJ140" s="528">
        <f t="shared" si="413"/>
        <v>0.4077537750000001</v>
      </c>
      <c r="EK140" s="528">
        <f t="shared" si="414"/>
        <v>4.3642935865318172E-2</v>
      </c>
      <c r="EL140" s="528">
        <f t="shared" si="415"/>
        <v>2.4782606817244479E-2</v>
      </c>
      <c r="EM140">
        <f t="shared" si="416"/>
        <v>4.0499999999999998E-3</v>
      </c>
      <c r="EN140" s="460">
        <f t="shared" si="417"/>
        <v>47.692935865318169</v>
      </c>
      <c r="EP140" s="460">
        <f t="shared" si="439"/>
        <v>541.57538527569466</v>
      </c>
      <c r="EQ140" s="173">
        <f t="shared" si="418"/>
        <v>0.21</v>
      </c>
      <c r="ER140" s="173">
        <f t="shared" si="419"/>
        <v>1.8599999999999998E-2</v>
      </c>
      <c r="ES140" s="528"/>
      <c r="EU140" s="460">
        <f t="shared" si="420"/>
        <v>228.6</v>
      </c>
      <c r="EV140" s="528">
        <f t="shared" si="421"/>
        <v>4.6009550694848925E-2</v>
      </c>
      <c r="EW140" s="528">
        <f t="shared" si="422"/>
        <v>1.1181997280209644E-2</v>
      </c>
      <c r="EX140" s="528">
        <f t="shared" si="423"/>
        <v>1.8687065524150192E-5</v>
      </c>
      <c r="EY140" s="528">
        <f t="shared" si="424"/>
        <v>0.40865049202349135</v>
      </c>
      <c r="EZ140" s="528"/>
      <c r="FA140" s="625">
        <f t="shared" si="425"/>
        <v>0.31049288367958183</v>
      </c>
      <c r="FB140" s="460">
        <f t="shared" si="426"/>
        <v>776.35361074365596</v>
      </c>
      <c r="FC140" s="173">
        <f t="shared" si="427"/>
        <v>1.5465289960193505</v>
      </c>
      <c r="FD140" s="5">
        <f t="shared" si="428"/>
        <v>7.7399999999999993</v>
      </c>
      <c r="FE140" s="173">
        <f t="shared" si="429"/>
        <v>0.83346533492952357</v>
      </c>
      <c r="FF140" s="5">
        <f t="shared" si="430"/>
        <v>83.346533492952361</v>
      </c>
      <c r="FG140">
        <f t="shared" si="431"/>
        <v>30</v>
      </c>
      <c r="FI140" s="562">
        <f t="shared" si="432"/>
        <v>-50</v>
      </c>
      <c r="FJ140">
        <f t="shared" si="433"/>
        <v>-50</v>
      </c>
    </row>
    <row r="141" spans="5:166">
      <c r="E141" s="170">
        <v>31</v>
      </c>
      <c r="F141" s="217">
        <f t="shared" si="434"/>
        <v>0.31</v>
      </c>
      <c r="G141" s="217">
        <f t="shared" si="313"/>
        <v>3.1E-2</v>
      </c>
      <c r="H141" s="217">
        <f t="shared" si="314"/>
        <v>7.4399999999999995</v>
      </c>
      <c r="I141" s="217">
        <f t="shared" si="315"/>
        <v>0.55800000000000005</v>
      </c>
      <c r="J141" s="541">
        <f t="shared" si="316"/>
        <v>8.8803358041043907</v>
      </c>
      <c r="K141" s="443">
        <f t="shared" si="317"/>
        <v>16.492797816546968</v>
      </c>
      <c r="L141" s="172">
        <f t="shared" si="318"/>
        <v>25.373133620651359</v>
      </c>
      <c r="M141" s="443"/>
      <c r="N141" s="217">
        <f t="shared" si="319"/>
        <v>0.65001028501751046</v>
      </c>
      <c r="O141" s="172">
        <f t="shared" si="320"/>
        <v>29.831057400915235</v>
      </c>
      <c r="P141" s="172">
        <f t="shared" si="321"/>
        <v>2.4051290029487906</v>
      </c>
      <c r="Q141" s="217">
        <f t="shared" si="322"/>
        <v>1.2429607250381347</v>
      </c>
      <c r="R141" s="217">
        <f t="shared" si="323"/>
        <v>1.657280966717513</v>
      </c>
      <c r="S141" s="217">
        <f t="shared" si="324"/>
        <v>24</v>
      </c>
      <c r="T141" s="217">
        <f t="shared" si="325"/>
        <v>2.7711611276685888</v>
      </c>
      <c r="U141" s="217">
        <f t="shared" si="326"/>
        <v>3.1205589392101478</v>
      </c>
      <c r="V141" s="217">
        <f t="shared" si="327"/>
        <v>1.6802250039640492</v>
      </c>
      <c r="W141" s="197">
        <f t="shared" si="328"/>
        <v>259.75393231846937</v>
      </c>
      <c r="X141" s="443">
        <f t="shared" si="435"/>
        <v>199.96864718879655</v>
      </c>
      <c r="Z141" s="217">
        <f t="shared" si="329"/>
        <v>2.2222222222222223</v>
      </c>
      <c r="AA141" s="173">
        <f t="shared" si="330"/>
        <v>1.3473894768737793</v>
      </c>
      <c r="AB141" s="173">
        <f t="shared" si="331"/>
        <v>0.24128489911454318</v>
      </c>
      <c r="AC141" s="173"/>
      <c r="AD141" s="173">
        <f t="shared" si="332"/>
        <v>1.3473894768737793</v>
      </c>
      <c r="AE141" s="545">
        <f t="shared" si="333"/>
        <v>310.44539218402866</v>
      </c>
      <c r="AF141" s="528">
        <f t="shared" si="334"/>
        <v>0.25938126654813393</v>
      </c>
      <c r="AH141" s="173">
        <f t="shared" si="335"/>
        <v>2.1378226573515664</v>
      </c>
      <c r="AI141" s="173">
        <f t="shared" si="336"/>
        <v>2.7711611276685888</v>
      </c>
      <c r="AJ141" s="173">
        <f t="shared" si="337"/>
        <v>1.606621411441753</v>
      </c>
      <c r="AL141" s="545">
        <f t="shared" si="338"/>
        <v>310</v>
      </c>
      <c r="AM141" s="460">
        <f t="shared" si="339"/>
        <v>199.96864718879655</v>
      </c>
      <c r="AO141" s="460">
        <f t="shared" si="340"/>
        <v>310</v>
      </c>
      <c r="AP141" s="460">
        <f t="shared" si="341"/>
        <v>199.96864718879655</v>
      </c>
      <c r="AR141" s="5">
        <f t="shared" si="443"/>
        <v>5.0007839431741976</v>
      </c>
      <c r="AS141" s="5">
        <f t="shared" si="440"/>
        <v>3.1205589392101478</v>
      </c>
      <c r="AT141" s="5">
        <f t="shared" si="441"/>
        <v>1.8802250039640498</v>
      </c>
      <c r="AU141" s="173">
        <f t="shared" si="442"/>
        <v>0.62401394954675926</v>
      </c>
      <c r="AW141" s="5">
        <f t="shared" si="342"/>
        <v>4.0307219631464415</v>
      </c>
      <c r="AX141" s="5">
        <f t="shared" si="343"/>
        <v>0.53742959508619215</v>
      </c>
      <c r="AY141" s="5">
        <f t="shared" si="344"/>
        <v>1.312720068444843</v>
      </c>
      <c r="AZ141" s="5"/>
      <c r="BA141" s="173">
        <f t="shared" si="345"/>
        <v>1.2638580532667361</v>
      </c>
      <c r="BB141" s="173">
        <f t="shared" si="346"/>
        <v>0.65435413487845517</v>
      </c>
      <c r="BC141" s="173">
        <f t="shared" si="347"/>
        <v>6.5523839722288535E-2</v>
      </c>
      <c r="BD141" s="173"/>
      <c r="BE141" s="528">
        <f t="shared" si="348"/>
        <v>6.3893487152287348E-2</v>
      </c>
      <c r="BF141" s="528">
        <f t="shared" si="349"/>
        <v>0.31635908558595682</v>
      </c>
      <c r="BG141" s="528">
        <f t="shared" si="350"/>
        <v>7.1031549493159554E-2</v>
      </c>
      <c r="BH141" s="528">
        <f t="shared" si="351"/>
        <v>2.2529324498567999E-2</v>
      </c>
      <c r="BI141">
        <f t="shared" si="352"/>
        <v>3.996151111846976E-3</v>
      </c>
      <c r="BJ141" s="460">
        <f t="shared" si="436"/>
        <v>75.02770060500653</v>
      </c>
      <c r="BK141">
        <f t="shared" si="353"/>
        <v>0.42650799612936874</v>
      </c>
      <c r="BL141" s="460">
        <f t="shared" si="437"/>
        <v>477.80959784181869</v>
      </c>
      <c r="BM141" s="173">
        <f t="shared" si="354"/>
        <v>0.26907999999999999</v>
      </c>
      <c r="BN141" s="173">
        <f t="shared" si="355"/>
        <v>2.6907999999999998E-2</v>
      </c>
      <c r="BO141" s="528"/>
      <c r="BQ141" s="460">
        <f t="shared" si="356"/>
        <v>295.988</v>
      </c>
      <c r="BR141" s="528">
        <f t="shared" si="357"/>
        <v>4.7920115364215511E-2</v>
      </c>
      <c r="BS141" s="528">
        <f t="shared" si="358"/>
        <v>1.2845380014975944E-2</v>
      </c>
      <c r="BT141" s="528">
        <f t="shared" si="359"/>
        <v>2.1466867859760785E-5</v>
      </c>
      <c r="BU141" s="528">
        <f t="shared" si="360"/>
        <v>0.36143418098272206</v>
      </c>
      <c r="BV141" s="528"/>
      <c r="BW141" s="625">
        <f t="shared" si="361"/>
        <v>0.30712520607827198</v>
      </c>
      <c r="BX141" s="460">
        <f t="shared" si="362"/>
        <v>729.34634930804521</v>
      </c>
      <c r="BY141" s="173">
        <f t="shared" si="363"/>
        <v>1.503143947149864</v>
      </c>
      <c r="BZ141" s="5">
        <f t="shared" si="364"/>
        <v>7.9979999999999993</v>
      </c>
      <c r="CA141" s="173">
        <f t="shared" si="365"/>
        <v>0.84179337188120651</v>
      </c>
      <c r="CB141" s="5">
        <f t="shared" si="366"/>
        <v>84.179337188120655</v>
      </c>
      <c r="CC141">
        <f t="shared" si="367"/>
        <v>31</v>
      </c>
      <c r="CE141" s="562">
        <f t="shared" si="368"/>
        <v>-50</v>
      </c>
      <c r="CF141">
        <f t="shared" si="369"/>
        <v>-50</v>
      </c>
      <c r="CG141" s="173">
        <f t="shared" si="370"/>
        <v>0.34658417599272739</v>
      </c>
      <c r="CH141" s="173">
        <f t="shared" si="371"/>
        <v>9.446712174985028E-2</v>
      </c>
      <c r="CI141" s="170">
        <v>31</v>
      </c>
      <c r="CJ141" s="217">
        <f t="shared" si="438"/>
        <v>0.31</v>
      </c>
      <c r="CK141" s="217">
        <f t="shared" si="372"/>
        <v>3.1E-2</v>
      </c>
      <c r="CL141" s="217">
        <f t="shared" si="373"/>
        <v>7.4399999999999995</v>
      </c>
      <c r="CM141" s="217">
        <f t="shared" si="374"/>
        <v>0.55800000000000005</v>
      </c>
      <c r="CN141" s="541">
        <f t="shared" si="375"/>
        <v>9</v>
      </c>
      <c r="CO141" s="443">
        <f t="shared" si="376"/>
        <v>16.474900000000002</v>
      </c>
      <c r="CP141" s="443">
        <f t="shared" si="377"/>
        <v>25.474900000000002</v>
      </c>
      <c r="CQ141" s="443"/>
      <c r="CR141" s="217">
        <f t="shared" si="378"/>
        <v>0.64485133082098534</v>
      </c>
      <c r="CS141" s="172">
        <f t="shared" si="379"/>
        <v>29.993085154464438</v>
      </c>
      <c r="CT141" s="172">
        <f t="shared" si="380"/>
        <v>2.4181924905786953</v>
      </c>
      <c r="CU141" s="217">
        <f t="shared" si="381"/>
        <v>1.2497118814360182</v>
      </c>
      <c r="CV141" s="217">
        <f t="shared" si="382"/>
        <v>1.6662825085813577</v>
      </c>
      <c r="CW141" s="217">
        <f t="shared" si="383"/>
        <v>24</v>
      </c>
      <c r="CX141" s="217">
        <f t="shared" si="384"/>
        <v>2.7561908433538327</v>
      </c>
      <c r="CY141" s="217">
        <f t="shared" si="385"/>
        <v>3.062434270393148</v>
      </c>
      <c r="CZ141" s="217">
        <f t="shared" si="386"/>
        <v>1.6729636254871549</v>
      </c>
      <c r="DA141" s="197">
        <f t="shared" si="387"/>
        <v>261.91798593910079</v>
      </c>
      <c r="DB141" s="443">
        <f t="shared" si="388"/>
        <v>211.17549612250727</v>
      </c>
      <c r="DD141" s="217">
        <f t="shared" si="389"/>
        <v>2.2222222222222228</v>
      </c>
      <c r="DE141" s="173">
        <f t="shared" si="390"/>
        <v>1.3488532386977905</v>
      </c>
      <c r="DF141" s="173">
        <f t="shared" si="391"/>
        <v>0.24355939229558116</v>
      </c>
      <c r="DG141" s="173"/>
      <c r="DH141" s="173">
        <f t="shared" si="392"/>
        <v>1.3488532386977903</v>
      </c>
      <c r="DI141" s="545">
        <f t="shared" si="393"/>
        <v>310.10849999999988</v>
      </c>
      <c r="DJ141" s="528">
        <f t="shared" si="394"/>
        <v>0.26182634671774968</v>
      </c>
      <c r="DL141" s="173">
        <f t="shared" si="395"/>
        <v>2.1378226573515664</v>
      </c>
      <c r="DM141" s="173">
        <f t="shared" si="396"/>
        <v>2.7561908433538327</v>
      </c>
      <c r="DN141" s="173">
        <f t="shared" si="397"/>
        <v>1.595532311949341</v>
      </c>
      <c r="DP141" s="545">
        <f t="shared" si="398"/>
        <v>310</v>
      </c>
      <c r="DQ141" s="460">
        <f t="shared" si="399"/>
        <v>211.17549612250727</v>
      </c>
      <c r="DS141" s="460">
        <f t="shared" si="400"/>
        <v>310</v>
      </c>
      <c r="DT141" s="460">
        <f t="shared" si="401"/>
        <v>211.17549612250727</v>
      </c>
      <c r="DV141" s="5">
        <f t="shared" si="402"/>
        <v>4.7353978958803031</v>
      </c>
      <c r="DW141" s="5">
        <f t="shared" si="403"/>
        <v>3.062434270393148</v>
      </c>
      <c r="DX141" s="5">
        <f t="shared" si="404"/>
        <v>1.6729636254871552</v>
      </c>
      <c r="DY141" s="173">
        <f t="shared" si="405"/>
        <v>0.64671107639284153</v>
      </c>
      <c r="EA141" s="5">
        <f t="shared" si="406"/>
        <v>3.9556442659244824</v>
      </c>
      <c r="EB141" s="5">
        <f t="shared" si="407"/>
        <v>0.52741923545659763</v>
      </c>
      <c r="EC141" s="5">
        <f t="shared" si="408"/>
        <v>1.1524860531133734</v>
      </c>
      <c r="ED141" s="5"/>
      <c r="EE141" s="173">
        <f t="shared" si="409"/>
        <v>1.2796871466299851</v>
      </c>
      <c r="EF141" s="173">
        <f t="shared" si="410"/>
        <v>0.6308694584190776</v>
      </c>
      <c r="EG141" s="173">
        <f t="shared" si="411"/>
        <v>6.3172198471423829E-2</v>
      </c>
      <c r="EH141" s="173"/>
      <c r="EI141" s="528">
        <f t="shared" si="412"/>
        <v>6.5503967729999724E-2</v>
      </c>
      <c r="EJ141" s="528">
        <f t="shared" si="413"/>
        <v>0.40775377500000004</v>
      </c>
      <c r="EK141" s="528">
        <f t="shared" si="414"/>
        <v>4.223509922450145E-2</v>
      </c>
      <c r="EL141" s="528">
        <f t="shared" si="415"/>
        <v>2.3983167887655945E-2</v>
      </c>
      <c r="EM141">
        <f t="shared" si="416"/>
        <v>4.0499999999999998E-3</v>
      </c>
      <c r="EN141" s="460">
        <f t="shared" si="417"/>
        <v>46.285099224501451</v>
      </c>
      <c r="EP141" s="460">
        <f t="shared" si="439"/>
        <v>543.52600984215712</v>
      </c>
      <c r="EQ141" s="173">
        <f t="shared" si="418"/>
        <v>0.217</v>
      </c>
      <c r="ER141" s="173">
        <f t="shared" si="419"/>
        <v>1.9220000000000001E-2</v>
      </c>
      <c r="ES141" s="528"/>
      <c r="EU141" s="460">
        <f t="shared" si="420"/>
        <v>236.22</v>
      </c>
      <c r="EV141" s="528">
        <f t="shared" si="421"/>
        <v>4.9127975797499786E-2</v>
      </c>
      <c r="EW141" s="528">
        <f t="shared" si="422"/>
        <v>1.1939888206979409E-2</v>
      </c>
      <c r="EX141" s="528">
        <f t="shared" si="423"/>
        <v>1.9953633298564814E-5</v>
      </c>
      <c r="EY141" s="528">
        <f t="shared" si="424"/>
        <v>0.40865049202349163</v>
      </c>
      <c r="EZ141" s="528"/>
      <c r="FA141" s="625">
        <f t="shared" si="425"/>
        <v>0.32084264646890115</v>
      </c>
      <c r="FB141" s="460">
        <f t="shared" si="426"/>
        <v>790.58095613017053</v>
      </c>
      <c r="FC141" s="173">
        <f t="shared" si="427"/>
        <v>1.5703269659723278</v>
      </c>
      <c r="FD141" s="5">
        <f t="shared" si="428"/>
        <v>7.9979999999999993</v>
      </c>
      <c r="FE141" s="173">
        <f t="shared" si="429"/>
        <v>0.83588280672714743</v>
      </c>
      <c r="FF141" s="5">
        <f t="shared" si="430"/>
        <v>83.588280672714745</v>
      </c>
      <c r="FG141">
        <f t="shared" si="431"/>
        <v>31</v>
      </c>
      <c r="FI141" s="562">
        <f t="shared" si="432"/>
        <v>-50</v>
      </c>
      <c r="FJ141">
        <f t="shared" si="433"/>
        <v>-50</v>
      </c>
    </row>
    <row r="142" spans="5:166">
      <c r="E142" s="170">
        <v>32</v>
      </c>
      <c r="F142" s="217">
        <f t="shared" si="434"/>
        <v>0.32</v>
      </c>
      <c r="G142" s="217">
        <f t="shared" ref="G142:G173" si="444">IF(PLOT_TYPE=1, E142/100*Iout2, min_I*EXP(Q142*rr/100))</f>
        <v>3.2000000000000001E-2</v>
      </c>
      <c r="H142" s="217">
        <f t="shared" ref="H142:H173" si="445">F142*Vout</f>
        <v>7.68</v>
      </c>
      <c r="I142" s="217">
        <f t="shared" ref="I142:I173" si="446">Vout2*G142</f>
        <v>0.57600000000000007</v>
      </c>
      <c r="J142" s="541">
        <f t="shared" ref="J142:J173" si="447">VIN_min-(F142/CG142/Nps+G142/CH142/(Nps/Nsec1sec2))*(Rdcr_pri+RON/1000)</f>
        <v>8.8764756687529189</v>
      </c>
      <c r="K142" s="443">
        <f t="shared" ref="K142:K173" si="448">MAX((S142+Vfwd2+Rdcr_sec*F142/CG142)*Nps,(Vout2+Vfwd22+Rdcr_sec2*G142/CH142)*Nps/Nsec1sec2)</f>
        <v>16.493375165467839</v>
      </c>
      <c r="L142" s="172">
        <f t="shared" ref="L142:L173" si="449">MAX((Vout+Vfwd2+F142/CG142*Rdcr_sec)*Nps+J142, (Vout2+Vfwd22+G142/CH142*Rdcr_sec2)*Nps/Nsec1sec2+J142)</f>
        <v>25.369850834220756</v>
      </c>
      <c r="M142" s="443"/>
      <c r="N142" s="217">
        <f t="shared" ref="N142:N173" si="450">MAX((Vout+Vfwd2+F142/CG142*Rdcr_sec)*Nps/((Vout+Vfwd2+F142/CG142*Rdcr_sec)*Nps+J142), (Vout2+Vfwd22+G142/CH142*Rdcr_sec2)*Nps/Nsec1sec2/((Vout2+Vfwd22+G142/CH142*Rdcr_sec2)*Nps/Nsec1sec2+J142))</f>
        <v>0.65011715178160756</v>
      </c>
      <c r="O142" s="172">
        <f t="shared" ref="O142:O173" si="451">N142*J142*Isw_max*0.5*Efficiency*Pout/(Pout+Pout2)</f>
        <v>29.822992659578226</v>
      </c>
      <c r="P142" s="172">
        <f t="shared" ref="P142:P173" si="452">N142*J142*Isw_max*0.5*Efficiency*(Pout2/Pout_total)</f>
        <v>2.4044787831784946</v>
      </c>
      <c r="Q142" s="217">
        <f t="shared" si="322"/>
        <v>1.2426246941490928</v>
      </c>
      <c r="R142" s="217">
        <f t="shared" ref="R142:R173" si="453">O142/Vout2</f>
        <v>1.6568329255321237</v>
      </c>
      <c r="S142" s="217">
        <f t="shared" ref="S142:S173" si="454">MIN(Vout,O142/F142)</f>
        <v>24</v>
      </c>
      <c r="T142" s="217">
        <f t="shared" ref="T142:T173" si="455">MIN(2*(Vout*F142+Vout2*G142)/(Efficiency*J142*N142), Isw_max)</f>
        <v>2.8613269737008395</v>
      </c>
      <c r="U142" s="217">
        <f t="shared" si="326"/>
        <v>3.2234944143127873</v>
      </c>
      <c r="V142" s="217">
        <f t="shared" si="327"/>
        <v>1.7348341045995221</v>
      </c>
      <c r="W142" s="197">
        <f t="shared" si="328"/>
        <v>259.68370858327739</v>
      </c>
      <c r="X142" s="443">
        <f t="shared" si="435"/>
        <v>193.86124717214813</v>
      </c>
      <c r="Z142" s="217">
        <f t="shared" si="329"/>
        <v>2.2222222222222223</v>
      </c>
      <c r="AA142" s="173">
        <f t="shared" si="330"/>
        <v>1.3473423116421233</v>
      </c>
      <c r="AB142" s="173">
        <f t="shared" ref="AB142:AB173" si="456">0.5*AA142*Z142*Nps*W142/1000*(Pout/(Pout+Pout2))</f>
        <v>0.24121122455986335</v>
      </c>
      <c r="AC142" s="173"/>
      <c r="AD142" s="173">
        <f t="shared" si="332"/>
        <v>1.3473423116421233</v>
      </c>
      <c r="AE142" s="545">
        <f t="shared" ref="AE142:AE173" si="457">MAX(10, F142/(0.5*AD142/1000000*Isw_min*Nps)/1000*Pout_total/Pout)</f>
        <v>320.47097772783076</v>
      </c>
      <c r="AF142" s="528">
        <f t="shared" ref="AF142:AF173" si="458">0.5*AD142/1000000*Isw_min*Nps*W142*1000*(Pout/Pout_total)</f>
        <v>0.25930206640185316</v>
      </c>
      <c r="AH142" s="173">
        <f t="shared" ref="AH142:AH173" si="459">SQRT((H142+I142)/(0.5*L*Fsw_DCM))</f>
        <v>2.1720299919002697</v>
      </c>
      <c r="AI142" s="173">
        <f t="shared" ref="AI142:AI173" si="460">MAX(IF(F142&gt;AB142,T142,AH142),Isw_min)</f>
        <v>2.8613269737008395</v>
      </c>
      <c r="AJ142" s="173">
        <f t="shared" ref="AJ142:AJ173" si="461">IF(F142&gt;AF142, (AI142-Isw_min)/1.08*0.8+1.2, AE142*0.2/350+1)</f>
        <v>1.6734109270211979</v>
      </c>
      <c r="AL142" s="545">
        <f t="shared" ref="AL142:AL173" si="462">F142*1000</f>
        <v>320</v>
      </c>
      <c r="AM142" s="460">
        <f t="shared" ref="AM142:AM173" si="463">IF(F142&gt;AF142, X142, AE142)</f>
        <v>193.86124717214813</v>
      </c>
      <c r="AO142" s="460">
        <f t="shared" si="340"/>
        <v>320</v>
      </c>
      <c r="AP142" s="460">
        <f t="shared" si="341"/>
        <v>193.86124717214813</v>
      </c>
      <c r="AR142" s="5">
        <f t="shared" si="443"/>
        <v>5.1583285189123096</v>
      </c>
      <c r="AS142" s="5">
        <f t="shared" si="440"/>
        <v>3.2234944143127873</v>
      </c>
      <c r="AT142" s="5">
        <f t="shared" si="441"/>
        <v>1.9348341045995223</v>
      </c>
      <c r="AU142" s="173">
        <f t="shared" si="442"/>
        <v>0.62491064741113012</v>
      </c>
      <c r="AW142" s="5">
        <f t="shared" si="342"/>
        <v>4.2979925524170488</v>
      </c>
      <c r="AX142" s="5">
        <f t="shared" si="343"/>
        <v>0.57306567365560657</v>
      </c>
      <c r="AY142" s="5">
        <f t="shared" si="344"/>
        <v>1.3950286951191131</v>
      </c>
      <c r="AZ142" s="5"/>
      <c r="BA142" s="173">
        <f t="shared" si="345"/>
        <v>1.3059177468626195</v>
      </c>
      <c r="BB142" s="173">
        <f t="shared" si="346"/>
        <v>0.67483882981364007</v>
      </c>
      <c r="BC142" s="173">
        <f t="shared" si="347"/>
        <v>6.7575077417825286E-2</v>
      </c>
      <c r="BD142" s="173"/>
      <c r="BE142" s="528">
        <f t="shared" si="348"/>
        <v>6.8216846462829633E-2</v>
      </c>
      <c r="BF142" s="528">
        <f t="shared" ref="BF142:BF173" si="464">0.5*L142*AI142*AM142*1000*Tfall</f>
        <v>0.31663500308345216</v>
      </c>
      <c r="BG142" s="528">
        <f t="shared" ref="BG142:BG173" si="465">Qg*Vdd*AM142*1000*0+Qg*J142*AM142*1000</f>
        <v>6.8832185745506744E-2</v>
      </c>
      <c r="BH142" s="528">
        <f t="shared" si="351"/>
        <v>2.1835587356135933E-2</v>
      </c>
      <c r="BI142">
        <f t="shared" si="352"/>
        <v>3.994414050938813E-3</v>
      </c>
      <c r="BJ142" s="460">
        <f t="shared" si="436"/>
        <v>72.826599796445549</v>
      </c>
      <c r="BK142">
        <f t="shared" ref="BK142:BK173" si="466">(BF142+BG142*0+BH142+BI142*0+BE142*(1+RdsonTC*(Ta-25)))/(1-BE142*RdsonTC*ThetaJA)</f>
        <v>0.4321097598858874</v>
      </c>
      <c r="BL142" s="460">
        <f t="shared" si="437"/>
        <v>479.51403669886332</v>
      </c>
      <c r="BM142" s="173">
        <f t="shared" ref="BM142:BM173" si="467">Vfwd2*F142*(1+Diode_TC/1000*(Ta-25))</f>
        <v>0.27775999999999995</v>
      </c>
      <c r="BN142" s="173">
        <f t="shared" ref="BN142:BN173" si="468">Vfwd2*G142*(1+Diode_TC/1000*(Ta-25))</f>
        <v>2.7775999999999999E-2</v>
      </c>
      <c r="BO142" s="528"/>
      <c r="BQ142" s="460">
        <f t="shared" si="356"/>
        <v>305.536</v>
      </c>
      <c r="BR142" s="528">
        <f t="shared" si="357"/>
        <v>5.1162634847122225E-2</v>
      </c>
      <c r="BS142" s="528">
        <f t="shared" si="358"/>
        <v>1.3662223386727292E-2</v>
      </c>
      <c r="BT142" s="528">
        <f t="shared" si="359"/>
        <v>2.2831955440125405E-5</v>
      </c>
      <c r="BU142" s="528">
        <f t="shared" si="360"/>
        <v>0.36233996052441225</v>
      </c>
      <c r="BV142" s="528"/>
      <c r="BW142" s="625">
        <f t="shared" ref="BW142:BW173" si="469">0.5*Lleak*0.000000001*AI142^2*AM142*1000</f>
        <v>0.31743585234677396</v>
      </c>
      <c r="BX142" s="460">
        <f t="shared" si="362"/>
        <v>744.62350306047585</v>
      </c>
      <c r="BY142" s="173">
        <f t="shared" si="363"/>
        <v>1.5296735397593393</v>
      </c>
      <c r="BZ142" s="5">
        <f t="shared" si="364"/>
        <v>8.2560000000000002</v>
      </c>
      <c r="CA142" s="173">
        <f t="shared" si="365"/>
        <v>0.84368234505839035</v>
      </c>
      <c r="CB142" s="5">
        <f t="shared" si="366"/>
        <v>84.368234505839041</v>
      </c>
      <c r="CC142">
        <f t="shared" si="367"/>
        <v>32</v>
      </c>
      <c r="CE142" s="562">
        <f t="shared" ref="CE142:CE173" si="470">IF(ABS(F142-Ioutmax_Vinmin)&lt;Iout/200, AM142, -50)</f>
        <v>-50</v>
      </c>
      <c r="CF142">
        <f t="shared" ref="CF142:CF173" si="471">IF(ABS(F142-Ioutmax_Vinmin)&lt;Iout/200, (O142+P142)*CA142, -50)</f>
        <v>-50</v>
      </c>
      <c r="CG142" s="173">
        <f t="shared" si="370"/>
        <v>0.34658417599272739</v>
      </c>
      <c r="CH142" s="173">
        <f t="shared" ref="CH142:CH173" si="472">MIN(SQRT(2*DT142*1000*Ls2_*(CM142+CK142*Vfwd22))/(Vout2+Vfwd22), 1-DY142)</f>
        <v>9.446712174985028E-2</v>
      </c>
      <c r="CI142" s="170">
        <v>32</v>
      </c>
      <c r="CJ142" s="217">
        <f t="shared" si="438"/>
        <v>0.32</v>
      </c>
      <c r="CK142" s="217">
        <f t="shared" si="372"/>
        <v>3.2000000000000001E-2</v>
      </c>
      <c r="CL142" s="217">
        <f t="shared" si="373"/>
        <v>7.68</v>
      </c>
      <c r="CM142" s="217">
        <f t="shared" si="374"/>
        <v>0.57600000000000007</v>
      </c>
      <c r="CN142" s="541">
        <f t="shared" si="375"/>
        <v>9</v>
      </c>
      <c r="CO142" s="443">
        <f t="shared" ref="CO142:CO173" si="473">(CW142+Vfwd2)*Nps</f>
        <v>16.474900000000002</v>
      </c>
      <c r="CP142" s="443">
        <f t="shared" ref="CP142:CP173" si="474">(Vout+Vfwd2)*Nps+CN142</f>
        <v>25.474900000000002</v>
      </c>
      <c r="CQ142" s="443"/>
      <c r="CR142" s="217">
        <f t="shared" si="378"/>
        <v>0.64485133082098534</v>
      </c>
      <c r="CS142" s="172">
        <f t="shared" si="379"/>
        <v>29.993085154464438</v>
      </c>
      <c r="CT142" s="172">
        <f t="shared" si="380"/>
        <v>2.4181924905786953</v>
      </c>
      <c r="CU142" s="217">
        <f t="shared" si="381"/>
        <v>1.2497118814360182</v>
      </c>
      <c r="CV142" s="217">
        <f t="shared" si="382"/>
        <v>1.6662825085813577</v>
      </c>
      <c r="CW142" s="217">
        <f t="shared" si="383"/>
        <v>24</v>
      </c>
      <c r="CX142" s="217">
        <f t="shared" si="384"/>
        <v>2.8451002253975051</v>
      </c>
      <c r="CY142" s="217">
        <f t="shared" si="385"/>
        <v>3.1612224726638947</v>
      </c>
      <c r="CZ142" s="217">
        <f t="shared" si="386"/>
        <v>1.7269301940512567</v>
      </c>
      <c r="DA142" s="197">
        <f t="shared" si="387"/>
        <v>261.91798593910079</v>
      </c>
      <c r="DB142" s="443">
        <f t="shared" si="388"/>
        <v>204.57626186867893</v>
      </c>
      <c r="DD142" s="217">
        <f t="shared" si="389"/>
        <v>2.2222222222222228</v>
      </c>
      <c r="DE142" s="173">
        <f t="shared" si="390"/>
        <v>1.3488532386977905</v>
      </c>
      <c r="DF142" s="173">
        <f t="shared" si="391"/>
        <v>0.24355939229558116</v>
      </c>
      <c r="DG142" s="173"/>
      <c r="DH142" s="173">
        <f t="shared" si="392"/>
        <v>1.3488532386977903</v>
      </c>
      <c r="DI142" s="545">
        <f t="shared" si="393"/>
        <v>320.11199999999991</v>
      </c>
      <c r="DJ142" s="528">
        <f t="shared" si="394"/>
        <v>0.26182634671774968</v>
      </c>
      <c r="DL142" s="173">
        <f t="shared" si="395"/>
        <v>2.1720299919002697</v>
      </c>
      <c r="DM142" s="173">
        <f t="shared" si="396"/>
        <v>2.8451002253975051</v>
      </c>
      <c r="DN142" s="173">
        <f t="shared" si="397"/>
        <v>1.6613911134631723</v>
      </c>
      <c r="DP142" s="545">
        <f t="shared" si="398"/>
        <v>320</v>
      </c>
      <c r="DQ142" s="460">
        <f t="shared" si="399"/>
        <v>204.57626186867893</v>
      </c>
      <c r="DS142" s="460">
        <f t="shared" si="400"/>
        <v>320</v>
      </c>
      <c r="DT142" s="460">
        <f t="shared" si="401"/>
        <v>204.57626186867893</v>
      </c>
      <c r="DV142" s="5">
        <f t="shared" si="402"/>
        <v>4.8881526667151514</v>
      </c>
      <c r="DW142" s="5">
        <f t="shared" si="403"/>
        <v>3.1612224726638947</v>
      </c>
      <c r="DX142" s="5">
        <f t="shared" si="404"/>
        <v>1.7269301940512567</v>
      </c>
      <c r="DY142" s="173">
        <f t="shared" si="405"/>
        <v>0.64671107639284164</v>
      </c>
      <c r="EA142" s="5">
        <f t="shared" si="406"/>
        <v>4.2149632968851929</v>
      </c>
      <c r="EB142" s="5">
        <f t="shared" si="407"/>
        <v>0.56199510625135907</v>
      </c>
      <c r="EC142" s="5">
        <f t="shared" si="408"/>
        <v>1.2280392491031156</v>
      </c>
      <c r="ED142" s="5"/>
      <c r="EE142" s="173">
        <f t="shared" si="409"/>
        <v>1.3209673771664365</v>
      </c>
      <c r="EF142" s="173">
        <f t="shared" si="410"/>
        <v>0.65122008611001558</v>
      </c>
      <c r="EG142" s="173">
        <f t="shared" si="411"/>
        <v>6.5210011325340739E-2</v>
      </c>
      <c r="EH142" s="173"/>
      <c r="EI142" s="528">
        <f t="shared" si="412"/>
        <v>6.9798192461518985E-2</v>
      </c>
      <c r="EJ142" s="528">
        <f t="shared" si="413"/>
        <v>0.4077537750000001</v>
      </c>
      <c r="EK142" s="528">
        <f t="shared" si="414"/>
        <v>4.0915252373735785E-2</v>
      </c>
      <c r="EL142" s="528">
        <f t="shared" si="415"/>
        <v>2.3233693891166696E-2</v>
      </c>
      <c r="EM142">
        <f t="shared" si="416"/>
        <v>4.0499999999999998E-3</v>
      </c>
      <c r="EN142" s="460">
        <f t="shared" si="417"/>
        <v>44.96525237373578</v>
      </c>
      <c r="EP142" s="460">
        <f t="shared" si="439"/>
        <v>545.75091372642157</v>
      </c>
      <c r="EQ142" s="173">
        <f t="shared" si="418"/>
        <v>0.22399999999999998</v>
      </c>
      <c r="ER142" s="173">
        <f t="shared" ref="ER142:ER173" si="475">Vfwd22*CK142*(1+Diode_TC/1000*(Ta-25))</f>
        <v>1.984E-2</v>
      </c>
      <c r="ES142" s="528"/>
      <c r="EU142" s="460">
        <f t="shared" si="420"/>
        <v>243.83999999999997</v>
      </c>
      <c r="EV142" s="528">
        <f t="shared" si="421"/>
        <v>5.2348644346139235E-2</v>
      </c>
      <c r="EW142" s="528">
        <f t="shared" si="422"/>
        <v>1.2722628016594082E-2</v>
      </c>
      <c r="EX142" s="528">
        <f t="shared" si="423"/>
        <v>2.126172788525534E-5</v>
      </c>
      <c r="EY142" s="528">
        <f t="shared" si="424"/>
        <v>0.40865049202349168</v>
      </c>
      <c r="EZ142" s="528"/>
      <c r="FA142" s="625">
        <f t="shared" si="425"/>
        <v>0.33119240925822058</v>
      </c>
      <c r="FB142" s="460">
        <f t="shared" si="426"/>
        <v>804.93543537233086</v>
      </c>
      <c r="FC142" s="173">
        <f t="shared" si="427"/>
        <v>1.5945263490987525</v>
      </c>
      <c r="FD142" s="5">
        <f t="shared" si="428"/>
        <v>8.2560000000000002</v>
      </c>
      <c r="FE142" s="173">
        <f t="shared" si="429"/>
        <v>0.83812780225245131</v>
      </c>
      <c r="FF142" s="5">
        <f t="shared" si="430"/>
        <v>83.812780225245135</v>
      </c>
      <c r="FG142">
        <f t="shared" si="431"/>
        <v>32</v>
      </c>
      <c r="FI142" s="562">
        <f t="shared" si="432"/>
        <v>-50</v>
      </c>
      <c r="FJ142">
        <f t="shared" si="433"/>
        <v>-50</v>
      </c>
    </row>
    <row r="143" spans="5:166">
      <c r="E143" s="170">
        <v>33</v>
      </c>
      <c r="F143" s="217">
        <f t="shared" ref="F143:F174" si="476">IF(PLOT_TYPE=1, E143/100*Iout_max, min_I*EXP(O143*rr/100))</f>
        <v>0.33</v>
      </c>
      <c r="G143" s="217">
        <f t="shared" si="444"/>
        <v>3.3000000000000002E-2</v>
      </c>
      <c r="H143" s="217">
        <f t="shared" si="445"/>
        <v>7.92</v>
      </c>
      <c r="I143" s="217">
        <f t="shared" si="446"/>
        <v>0.59400000000000008</v>
      </c>
      <c r="J143" s="541">
        <f t="shared" si="447"/>
        <v>8.8726155334014489</v>
      </c>
      <c r="K143" s="443">
        <f t="shared" si="448"/>
        <v>16.49395251438871</v>
      </c>
      <c r="L143" s="172">
        <f t="shared" si="449"/>
        <v>25.36656804779016</v>
      </c>
      <c r="M143" s="443"/>
      <c r="N143" s="217">
        <f t="shared" si="450"/>
        <v>0.65022404620579333</v>
      </c>
      <c r="O143" s="172">
        <f t="shared" si="451"/>
        <v>29.81492492277345</v>
      </c>
      <c r="P143" s="172">
        <f t="shared" si="452"/>
        <v>2.4038283218986094</v>
      </c>
      <c r="Q143" s="217">
        <f t="shared" si="322"/>
        <v>1.2422885384488938</v>
      </c>
      <c r="R143" s="217">
        <f t="shared" si="453"/>
        <v>1.6563847179318583</v>
      </c>
      <c r="S143" s="217">
        <f t="shared" si="454"/>
        <v>24</v>
      </c>
      <c r="T143" s="217">
        <f t="shared" si="455"/>
        <v>2.9515418948039405</v>
      </c>
      <c r="U143" s="217">
        <f t="shared" si="326"/>
        <v>3.326574766699514</v>
      </c>
      <c r="V143" s="217">
        <f t="shared" si="327"/>
        <v>1.7894691355690067</v>
      </c>
      <c r="W143" s="197">
        <f t="shared" si="328"/>
        <v>259.61345876504981</v>
      </c>
      <c r="X143" s="443">
        <f t="shared" si="435"/>
        <v>188.10980841848749</v>
      </c>
      <c r="Z143" s="217">
        <f t="shared" si="329"/>
        <v>2.2222222222222223</v>
      </c>
      <c r="AA143" s="173">
        <f t="shared" si="330"/>
        <v>1.3472951497123802</v>
      </c>
      <c r="AB143" s="173">
        <f t="shared" si="456"/>
        <v>0.24113753093616108</v>
      </c>
      <c r="AC143" s="173"/>
      <c r="AD143" s="173">
        <f t="shared" si="332"/>
        <v>1.3472951497123802</v>
      </c>
      <c r="AE143" s="545">
        <f t="shared" si="457"/>
        <v>330.49726440000757</v>
      </c>
      <c r="AF143" s="528">
        <f t="shared" si="458"/>
        <v>0.25922284575637317</v>
      </c>
      <c r="AH143" s="173">
        <f t="shared" si="459"/>
        <v>2.2057068837773652</v>
      </c>
      <c r="AI143" s="173">
        <f t="shared" si="460"/>
        <v>2.9515418948039405</v>
      </c>
      <c r="AJ143" s="173">
        <f t="shared" si="461"/>
        <v>1.7402367945049764</v>
      </c>
      <c r="AL143" s="545">
        <f t="shared" si="462"/>
        <v>330</v>
      </c>
      <c r="AM143" s="460">
        <f t="shared" si="463"/>
        <v>188.10980841848749</v>
      </c>
      <c r="AO143" s="460">
        <f t="shared" si="340"/>
        <v>330</v>
      </c>
      <c r="AP143" s="460">
        <f t="shared" si="341"/>
        <v>188.10980841848749</v>
      </c>
      <c r="AR143" s="5">
        <f t="shared" si="443"/>
        <v>5.3160439022685209</v>
      </c>
      <c r="AS143" s="5">
        <f t="shared" si="440"/>
        <v>3.326574766699514</v>
      </c>
      <c r="AT143" s="5">
        <f t="shared" si="441"/>
        <v>1.9894691355690068</v>
      </c>
      <c r="AU143" s="173">
        <f t="shared" si="442"/>
        <v>0.62576134205362022</v>
      </c>
      <c r="AW143" s="5">
        <f t="shared" si="342"/>
        <v>4.5740403042118327</v>
      </c>
      <c r="AX143" s="5">
        <f t="shared" si="343"/>
        <v>0.60987204056157751</v>
      </c>
      <c r="AY143" s="5">
        <f t="shared" si="344"/>
        <v>1.4798901457326723</v>
      </c>
      <c r="AZ143" s="5"/>
      <c r="BA143" s="173">
        <f t="shared" si="345"/>
        <v>1.3480086832171063</v>
      </c>
      <c r="BB143" s="173">
        <f t="shared" si="346"/>
        <v>0.69532602095629981</v>
      </c>
      <c r="BC143" s="173">
        <f t="shared" si="347"/>
        <v>6.9626565071434873E-2</v>
      </c>
      <c r="BD143" s="173"/>
      <c r="BE143" s="528">
        <f t="shared" si="348"/>
        <v>7.2685096401148674E-2</v>
      </c>
      <c r="BF143" s="528">
        <f t="shared" si="464"/>
        <v>0.31688714731855533</v>
      </c>
      <c r="BG143" s="528">
        <f t="shared" si="465"/>
        <v>6.6761040326361709E-2</v>
      </c>
      <c r="BH143" s="528">
        <f t="shared" si="351"/>
        <v>2.1182290366996794E-2</v>
      </c>
      <c r="BI143">
        <f t="shared" si="352"/>
        <v>3.9926769900306518E-3</v>
      </c>
      <c r="BJ143" s="460">
        <f t="shared" si="436"/>
        <v>70.753717316392368</v>
      </c>
      <c r="BK143">
        <f t="shared" si="466"/>
        <v>0.43794277255865804</v>
      </c>
      <c r="BL143" s="460">
        <f t="shared" si="437"/>
        <v>481.50825140309314</v>
      </c>
      <c r="BM143" s="173">
        <f t="shared" si="467"/>
        <v>0.28643999999999997</v>
      </c>
      <c r="BN143" s="173">
        <f t="shared" si="468"/>
        <v>2.8643999999999999E-2</v>
      </c>
      <c r="BO143" s="528"/>
      <c r="BQ143" s="460">
        <f t="shared" si="356"/>
        <v>315.084</v>
      </c>
      <c r="BR143" s="528">
        <f t="shared" si="357"/>
        <v>5.4513822300861506E-2</v>
      </c>
      <c r="BS143" s="528">
        <f t="shared" si="358"/>
        <v>1.4504348262567621E-2</v>
      </c>
      <c r="BT143" s="528">
        <f t="shared" si="359"/>
        <v>2.4239292818233771E-5</v>
      </c>
      <c r="BU143" s="528">
        <f t="shared" si="360"/>
        <v>0.36317921643221407</v>
      </c>
      <c r="BV143" s="528"/>
      <c r="BW143" s="625">
        <f t="shared" si="469"/>
        <v>0.32774746472899996</v>
      </c>
      <c r="BX143" s="460">
        <f t="shared" si="362"/>
        <v>759.96909101746144</v>
      </c>
      <c r="BY143" s="173">
        <f t="shared" si="363"/>
        <v>1.5565613424205547</v>
      </c>
      <c r="BZ143" s="5">
        <f t="shared" si="364"/>
        <v>8.5139999999999993</v>
      </c>
      <c r="CA143" s="173">
        <f t="shared" si="365"/>
        <v>0.84543450067040449</v>
      </c>
      <c r="CB143" s="5">
        <f t="shared" si="366"/>
        <v>84.543450067040453</v>
      </c>
      <c r="CC143">
        <f t="shared" si="367"/>
        <v>33</v>
      </c>
      <c r="CE143" s="562">
        <f t="shared" si="470"/>
        <v>-50</v>
      </c>
      <c r="CF143">
        <f t="shared" si="471"/>
        <v>-50</v>
      </c>
      <c r="CG143" s="173">
        <f t="shared" si="370"/>
        <v>0.34658417599272739</v>
      </c>
      <c r="CH143" s="173">
        <f t="shared" si="472"/>
        <v>9.446712174985028E-2</v>
      </c>
      <c r="CI143" s="170">
        <v>33</v>
      </c>
      <c r="CJ143" s="217">
        <f t="shared" si="438"/>
        <v>0.33</v>
      </c>
      <c r="CK143" s="217">
        <f t="shared" si="372"/>
        <v>3.3000000000000002E-2</v>
      </c>
      <c r="CL143" s="217">
        <f t="shared" si="373"/>
        <v>7.92</v>
      </c>
      <c r="CM143" s="217">
        <f t="shared" si="374"/>
        <v>0.59400000000000008</v>
      </c>
      <c r="CN143" s="541">
        <f t="shared" si="375"/>
        <v>9</v>
      </c>
      <c r="CO143" s="443">
        <f t="shared" si="473"/>
        <v>16.474900000000002</v>
      </c>
      <c r="CP143" s="443">
        <f t="shared" si="474"/>
        <v>25.474900000000002</v>
      </c>
      <c r="CQ143" s="443"/>
      <c r="CR143" s="217">
        <f t="shared" si="378"/>
        <v>0.64485133082098534</v>
      </c>
      <c r="CS143" s="172">
        <f t="shared" si="379"/>
        <v>29.993085154464438</v>
      </c>
      <c r="CT143" s="172">
        <f t="shared" si="380"/>
        <v>2.4181924905786953</v>
      </c>
      <c r="CU143" s="217">
        <f t="shared" si="381"/>
        <v>1.2497118814360182</v>
      </c>
      <c r="CV143" s="217">
        <f t="shared" si="382"/>
        <v>1.6662825085813577</v>
      </c>
      <c r="CW143" s="217">
        <f t="shared" si="383"/>
        <v>24</v>
      </c>
      <c r="CX143" s="217">
        <f t="shared" si="384"/>
        <v>2.934009607441177</v>
      </c>
      <c r="CY143" s="217">
        <f t="shared" si="385"/>
        <v>3.2600106749346414</v>
      </c>
      <c r="CZ143" s="217">
        <f t="shared" si="386"/>
        <v>1.7808967626153585</v>
      </c>
      <c r="DA143" s="197">
        <f t="shared" si="387"/>
        <v>261.91798593910079</v>
      </c>
      <c r="DB143" s="443">
        <f t="shared" si="388"/>
        <v>198.37698120599171</v>
      </c>
      <c r="DD143" s="217">
        <f t="shared" si="389"/>
        <v>2.2222222222222228</v>
      </c>
      <c r="DE143" s="173">
        <f t="shared" si="390"/>
        <v>1.3488532386977905</v>
      </c>
      <c r="DF143" s="173">
        <f t="shared" si="391"/>
        <v>0.24355939229558116</v>
      </c>
      <c r="DG143" s="173"/>
      <c r="DH143" s="173">
        <f t="shared" si="392"/>
        <v>1.3488532386977903</v>
      </c>
      <c r="DI143" s="545">
        <f t="shared" si="393"/>
        <v>330.11549999999988</v>
      </c>
      <c r="DJ143" s="528">
        <f t="shared" si="394"/>
        <v>0.26182634671774968</v>
      </c>
      <c r="DL143" s="173">
        <f t="shared" si="395"/>
        <v>2.2057068837773652</v>
      </c>
      <c r="DM143" s="173">
        <f t="shared" si="396"/>
        <v>2.934009607441177</v>
      </c>
      <c r="DN143" s="173">
        <f t="shared" si="397"/>
        <v>1.7272499149770035</v>
      </c>
      <c r="DP143" s="545">
        <f t="shared" si="398"/>
        <v>330</v>
      </c>
      <c r="DQ143" s="460">
        <f t="shared" si="399"/>
        <v>198.37698120599171</v>
      </c>
      <c r="DS143" s="460">
        <f t="shared" si="400"/>
        <v>330</v>
      </c>
      <c r="DT143" s="460">
        <f t="shared" si="401"/>
        <v>198.37698120599171</v>
      </c>
      <c r="DV143" s="5">
        <f t="shared" si="402"/>
        <v>5.0409074375499987</v>
      </c>
      <c r="DW143" s="5">
        <f t="shared" si="403"/>
        <v>3.2600106749346414</v>
      </c>
      <c r="DX143" s="5">
        <f t="shared" si="404"/>
        <v>1.7808967626153573</v>
      </c>
      <c r="DY143" s="173">
        <f t="shared" si="405"/>
        <v>0.64671107639284175</v>
      </c>
      <c r="EA143" s="5">
        <f t="shared" si="406"/>
        <v>4.4825146780351321</v>
      </c>
      <c r="EB143" s="5">
        <f t="shared" si="407"/>
        <v>0.59766862373801755</v>
      </c>
      <c r="EC143" s="5">
        <f t="shared" si="408"/>
        <v>1.305990959251262</v>
      </c>
      <c r="ED143" s="5"/>
      <c r="EE143" s="173">
        <f t="shared" si="409"/>
        <v>1.3622476077028878</v>
      </c>
      <c r="EF143" s="173">
        <f t="shared" si="410"/>
        <v>0.67157071380095346</v>
      </c>
      <c r="EG143" s="173">
        <f t="shared" si="411"/>
        <v>6.724782417925762E-2</v>
      </c>
      <c r="EH143" s="173"/>
      <c r="EI143" s="528">
        <f t="shared" si="412"/>
        <v>7.4228741787689637E-2</v>
      </c>
      <c r="EJ143" s="528">
        <f t="shared" si="413"/>
        <v>0.4077537750000001</v>
      </c>
      <c r="EK143" s="528">
        <f t="shared" si="414"/>
        <v>3.9675396241198341E-2</v>
      </c>
      <c r="EL143" s="528">
        <f t="shared" si="415"/>
        <v>2.2529642561131345E-2</v>
      </c>
      <c r="EM143">
        <f t="shared" si="416"/>
        <v>4.0499999999999998E-3</v>
      </c>
      <c r="EN143" s="460">
        <f t="shared" si="417"/>
        <v>43.725396241198339</v>
      </c>
      <c r="EP143" s="460">
        <f t="shared" si="439"/>
        <v>548.23755559001938</v>
      </c>
      <c r="EQ143" s="173">
        <f t="shared" si="418"/>
        <v>0.23099999999999998</v>
      </c>
      <c r="ER143" s="173">
        <f t="shared" si="475"/>
        <v>2.0460000000000002E-2</v>
      </c>
      <c r="ES143" s="528"/>
      <c r="EU143" s="460">
        <f t="shared" si="420"/>
        <v>251.45999999999995</v>
      </c>
      <c r="EV143" s="528">
        <f t="shared" si="421"/>
        <v>5.5671556340767224E-2</v>
      </c>
      <c r="EW143" s="528">
        <f t="shared" si="422"/>
        <v>1.3530216709053664E-2</v>
      </c>
      <c r="EX143" s="528">
        <f t="shared" si="423"/>
        <v>2.2611349284221732E-5</v>
      </c>
      <c r="EY143" s="528">
        <f t="shared" si="424"/>
        <v>0.40865049202349224</v>
      </c>
      <c r="EZ143" s="528"/>
      <c r="FA143" s="625">
        <f t="shared" si="425"/>
        <v>0.34154217204754006</v>
      </c>
      <c r="FB143" s="460">
        <f t="shared" si="426"/>
        <v>819.41704847013739</v>
      </c>
      <c r="FC143" s="173">
        <f t="shared" si="427"/>
        <v>1.6191146040601569</v>
      </c>
      <c r="FD143" s="5">
        <f t="shared" si="428"/>
        <v>8.5139999999999993</v>
      </c>
      <c r="FE143" s="173">
        <f t="shared" si="429"/>
        <v>0.84021550457828564</v>
      </c>
      <c r="FF143" s="5">
        <f t="shared" si="430"/>
        <v>84.021550457828567</v>
      </c>
      <c r="FG143">
        <f t="shared" si="431"/>
        <v>33</v>
      </c>
      <c r="FI143" s="562">
        <f t="shared" si="432"/>
        <v>-50</v>
      </c>
      <c r="FJ143">
        <f t="shared" si="433"/>
        <v>-50</v>
      </c>
    </row>
    <row r="144" spans="5:166">
      <c r="E144" s="170">
        <v>34</v>
      </c>
      <c r="F144" s="217">
        <f t="shared" si="476"/>
        <v>0.34</v>
      </c>
      <c r="G144" s="217">
        <f t="shared" si="444"/>
        <v>3.4000000000000002E-2</v>
      </c>
      <c r="H144" s="217">
        <f t="shared" si="445"/>
        <v>8.16</v>
      </c>
      <c r="I144" s="217">
        <f t="shared" si="446"/>
        <v>0.6120000000000001</v>
      </c>
      <c r="J144" s="541">
        <f t="shared" si="447"/>
        <v>8.8687553980499771</v>
      </c>
      <c r="K144" s="443">
        <f t="shared" si="448"/>
        <v>16.49452986330958</v>
      </c>
      <c r="L144" s="172">
        <f t="shared" si="449"/>
        <v>25.363285261359557</v>
      </c>
      <c r="M144" s="443"/>
      <c r="N144" s="217">
        <f t="shared" si="450"/>
        <v>0.65033096830080828</v>
      </c>
      <c r="O144" s="172">
        <f t="shared" si="451"/>
        <v>29.806854189337788</v>
      </c>
      <c r="P144" s="172">
        <f t="shared" si="452"/>
        <v>2.4031776190153589</v>
      </c>
      <c r="Q144" s="217">
        <f t="shared" si="322"/>
        <v>1.2419522578890745</v>
      </c>
      <c r="R144" s="217">
        <f t="shared" si="453"/>
        <v>1.6559363438520993</v>
      </c>
      <c r="S144" s="217">
        <f t="shared" si="454"/>
        <v>24</v>
      </c>
      <c r="T144" s="217">
        <f t="shared" si="455"/>
        <v>3.04180595814432</v>
      </c>
      <c r="U144" s="217">
        <f t="shared" si="326"/>
        <v>3.4298002612780811</v>
      </c>
      <c r="V144" s="217">
        <f t="shared" si="327"/>
        <v>1.8441301348700525</v>
      </c>
      <c r="W144" s="197">
        <f t="shared" si="328"/>
        <v>259.54318285365878</v>
      </c>
      <c r="X144" s="443">
        <f t="shared" si="435"/>
        <v>182.68409125254396</v>
      </c>
      <c r="Z144" s="217">
        <f t="shared" si="329"/>
        <v>2.2222222222222223</v>
      </c>
      <c r="AA144" s="173">
        <f t="shared" si="330"/>
        <v>1.347247991084203</v>
      </c>
      <c r="AB144" s="173">
        <f t="shared" si="456"/>
        <v>0.24106381823603196</v>
      </c>
      <c r="AC144" s="173"/>
      <c r="AD144" s="173">
        <f t="shared" si="332"/>
        <v>1.347247991084203</v>
      </c>
      <c r="AE144" s="545">
        <f t="shared" si="457"/>
        <v>340.52425220055909</v>
      </c>
      <c r="AF144" s="528">
        <f t="shared" si="458"/>
        <v>0.25914360460373437</v>
      </c>
      <c r="AH144" s="173">
        <f t="shared" si="459"/>
        <v>2.238877269653571</v>
      </c>
      <c r="AI144" s="173">
        <f t="shared" si="460"/>
        <v>3.04180595814432</v>
      </c>
      <c r="AJ144" s="173">
        <f t="shared" si="461"/>
        <v>1.8070990636459983</v>
      </c>
      <c r="AL144" s="545">
        <f t="shared" si="462"/>
        <v>340</v>
      </c>
      <c r="AM144" s="460">
        <f t="shared" si="463"/>
        <v>182.68409125254396</v>
      </c>
      <c r="AO144" s="460">
        <f t="shared" si="340"/>
        <v>340</v>
      </c>
      <c r="AP144" s="460">
        <f t="shared" si="341"/>
        <v>182.68409125254396</v>
      </c>
      <c r="AR144" s="5">
        <f t="shared" si="443"/>
        <v>5.4739303961481349</v>
      </c>
      <c r="AS144" s="5">
        <f t="shared" si="440"/>
        <v>3.4298002612780811</v>
      </c>
      <c r="AT144" s="5">
        <f t="shared" si="441"/>
        <v>2.0441301348700538</v>
      </c>
      <c r="AU144" s="173">
        <f t="shared" si="442"/>
        <v>0.62656994390932408</v>
      </c>
      <c r="AW144" s="5">
        <f t="shared" si="342"/>
        <v>4.8588837034772823</v>
      </c>
      <c r="AX144" s="5">
        <f t="shared" si="343"/>
        <v>0.64785116046363755</v>
      </c>
      <c r="AY144" s="5">
        <f t="shared" si="344"/>
        <v>1.5673095370487558</v>
      </c>
      <c r="AZ144" s="5"/>
      <c r="BA144" s="173">
        <f t="shared" si="345"/>
        <v>1.3901307751991487</v>
      </c>
      <c r="BB144" s="173">
        <f t="shared" si="346"/>
        <v>0.71581591127200483</v>
      </c>
      <c r="BC144" s="173">
        <f t="shared" si="347"/>
        <v>7.1678323007102085E-2</v>
      </c>
      <c r="BD144" s="173"/>
      <c r="BE144" s="528">
        <f t="shared" si="348"/>
        <v>7.7298542886231447E-2</v>
      </c>
      <c r="BF144" s="528">
        <f t="shared" si="464"/>
        <v>0.31711753702771561</v>
      </c>
      <c r="BG144" s="528">
        <f t="shared" si="465"/>
        <v>6.4807220817354155E-2</v>
      </c>
      <c r="BH144" s="528">
        <f t="shared" si="351"/>
        <v>2.056599805284513E-2</v>
      </c>
      <c r="BI144">
        <f t="shared" si="352"/>
        <v>3.9909399291224897E-3</v>
      </c>
      <c r="BJ144" s="460">
        <f t="shared" si="436"/>
        <v>68.79816074647664</v>
      </c>
      <c r="BK144">
        <f t="shared" si="466"/>
        <v>0.44400738355611136</v>
      </c>
      <c r="BL144" s="460">
        <f t="shared" si="437"/>
        <v>483.78023871326889</v>
      </c>
      <c r="BM144" s="173">
        <f t="shared" si="467"/>
        <v>0.29511999999999999</v>
      </c>
      <c r="BN144" s="173">
        <f t="shared" si="468"/>
        <v>2.9512000000000004E-2</v>
      </c>
      <c r="BO144" s="528"/>
      <c r="BQ144" s="460">
        <f t="shared" si="356"/>
        <v>324.63199999999995</v>
      </c>
      <c r="BR144" s="528">
        <f t="shared" si="357"/>
        <v>5.7973907164673578E-2</v>
      </c>
      <c r="BS144" s="528">
        <f t="shared" si="358"/>
        <v>1.5371772564905122E-2</v>
      </c>
      <c r="BT144" s="528">
        <f t="shared" si="359"/>
        <v>2.5688909945552303E-5</v>
      </c>
      <c r="BU144" s="528">
        <f t="shared" si="360"/>
        <v>0.36395743263494662</v>
      </c>
      <c r="BV144" s="528"/>
      <c r="BW144" s="625">
        <f t="shared" si="469"/>
        <v>0.3380599612122614</v>
      </c>
      <c r="BX144" s="460">
        <f t="shared" si="362"/>
        <v>775.38876248673228</v>
      </c>
      <c r="BY144" s="173">
        <f t="shared" si="363"/>
        <v>1.583801001200001</v>
      </c>
      <c r="BZ144" s="5">
        <f t="shared" si="364"/>
        <v>8.7720000000000002</v>
      </c>
      <c r="CA144" s="173">
        <f t="shared" si="365"/>
        <v>0.84706146815524219</v>
      </c>
      <c r="CB144" s="5">
        <f t="shared" si="366"/>
        <v>84.706146815524221</v>
      </c>
      <c r="CC144">
        <f t="shared" si="367"/>
        <v>34</v>
      </c>
      <c r="CE144" s="562">
        <f t="shared" si="470"/>
        <v>-50</v>
      </c>
      <c r="CF144">
        <f t="shared" si="471"/>
        <v>-50</v>
      </c>
      <c r="CG144" s="173">
        <f t="shared" si="370"/>
        <v>0.34658417599272739</v>
      </c>
      <c r="CH144" s="173">
        <f t="shared" si="472"/>
        <v>9.446712174985028E-2</v>
      </c>
      <c r="CI144" s="170">
        <v>34</v>
      </c>
      <c r="CJ144" s="217">
        <f t="shared" si="438"/>
        <v>0.34</v>
      </c>
      <c r="CK144" s="217">
        <f t="shared" si="372"/>
        <v>3.4000000000000002E-2</v>
      </c>
      <c r="CL144" s="217">
        <f t="shared" si="373"/>
        <v>8.16</v>
      </c>
      <c r="CM144" s="217">
        <f t="shared" si="374"/>
        <v>0.6120000000000001</v>
      </c>
      <c r="CN144" s="541">
        <f t="shared" si="375"/>
        <v>9</v>
      </c>
      <c r="CO144" s="443">
        <f t="shared" si="473"/>
        <v>16.474900000000002</v>
      </c>
      <c r="CP144" s="443">
        <f t="shared" si="474"/>
        <v>25.474900000000002</v>
      </c>
      <c r="CQ144" s="443"/>
      <c r="CR144" s="217">
        <f t="shared" si="378"/>
        <v>0.64485133082098534</v>
      </c>
      <c r="CS144" s="172">
        <f t="shared" si="379"/>
        <v>29.993085154464438</v>
      </c>
      <c r="CT144" s="172">
        <f t="shared" si="380"/>
        <v>2.4181924905786953</v>
      </c>
      <c r="CU144" s="217">
        <f t="shared" si="381"/>
        <v>1.2497118814360182</v>
      </c>
      <c r="CV144" s="217">
        <f t="shared" si="382"/>
        <v>1.6662825085813577</v>
      </c>
      <c r="CW144" s="217">
        <f t="shared" si="383"/>
        <v>24</v>
      </c>
      <c r="CX144" s="217">
        <f t="shared" si="384"/>
        <v>3.0229189894848494</v>
      </c>
      <c r="CY144" s="217">
        <f t="shared" si="385"/>
        <v>3.3587988772053885</v>
      </c>
      <c r="CZ144" s="217">
        <f t="shared" si="386"/>
        <v>1.8348633311794604</v>
      </c>
      <c r="DA144" s="197">
        <f t="shared" si="387"/>
        <v>261.91798593910079</v>
      </c>
      <c r="DB144" s="443">
        <f t="shared" si="388"/>
        <v>192.54236411169779</v>
      </c>
      <c r="DD144" s="217">
        <f t="shared" si="389"/>
        <v>2.2222222222222228</v>
      </c>
      <c r="DE144" s="173">
        <f t="shared" si="390"/>
        <v>1.3488532386977905</v>
      </c>
      <c r="DF144" s="173">
        <f t="shared" si="391"/>
        <v>0.24355939229558116</v>
      </c>
      <c r="DG144" s="173"/>
      <c r="DH144" s="173">
        <f t="shared" si="392"/>
        <v>1.3488532386977903</v>
      </c>
      <c r="DI144" s="545">
        <f t="shared" si="393"/>
        <v>340.11899999999986</v>
      </c>
      <c r="DJ144" s="528">
        <f t="shared" si="394"/>
        <v>0.26182634671774968</v>
      </c>
      <c r="DL144" s="173">
        <f t="shared" si="395"/>
        <v>2.238877269653571</v>
      </c>
      <c r="DM144" s="173">
        <f t="shared" si="396"/>
        <v>3.0229189894848494</v>
      </c>
      <c r="DN144" s="173">
        <f t="shared" si="397"/>
        <v>1.7931087164908348</v>
      </c>
      <c r="DP144" s="545">
        <f t="shared" si="398"/>
        <v>340</v>
      </c>
      <c r="DQ144" s="460">
        <f t="shared" si="399"/>
        <v>192.54236411169779</v>
      </c>
      <c r="DS144" s="460">
        <f t="shared" si="400"/>
        <v>340</v>
      </c>
      <c r="DT144" s="460">
        <f t="shared" si="401"/>
        <v>192.54236411169779</v>
      </c>
      <c r="DV144" s="5">
        <f t="shared" si="402"/>
        <v>5.1936622083848487</v>
      </c>
      <c r="DW144" s="5">
        <f t="shared" si="403"/>
        <v>3.3587988772053885</v>
      </c>
      <c r="DX144" s="5">
        <f t="shared" si="404"/>
        <v>1.8348633311794602</v>
      </c>
      <c r="DY144" s="173">
        <f t="shared" si="405"/>
        <v>0.64671107639284164</v>
      </c>
      <c r="EA144" s="5">
        <f t="shared" si="406"/>
        <v>4.7582984093743015</v>
      </c>
      <c r="EB144" s="5">
        <f t="shared" si="407"/>
        <v>0.63443978791657341</v>
      </c>
      <c r="EC144" s="5">
        <f t="shared" si="408"/>
        <v>1.3863411835578143</v>
      </c>
      <c r="ED144" s="5"/>
      <c r="EE144" s="173">
        <f t="shared" si="409"/>
        <v>1.4035278382393388</v>
      </c>
      <c r="EF144" s="173">
        <f t="shared" si="410"/>
        <v>0.69192134149189144</v>
      </c>
      <c r="EG144" s="173">
        <f t="shared" si="411"/>
        <v>6.928563703317453E-2</v>
      </c>
      <c r="EH144" s="173"/>
      <c r="EI144" s="528">
        <f t="shared" si="412"/>
        <v>7.8795615708511665E-2</v>
      </c>
      <c r="EJ144" s="528">
        <f t="shared" si="413"/>
        <v>0.40775377500000004</v>
      </c>
      <c r="EK144" s="528">
        <f t="shared" si="414"/>
        <v>3.8508472822339553E-2</v>
      </c>
      <c r="EL144" s="528">
        <f t="shared" si="415"/>
        <v>2.1867006015215708E-2</v>
      </c>
      <c r="EM144">
        <f t="shared" si="416"/>
        <v>4.0499999999999998E-3</v>
      </c>
      <c r="EN144" s="460">
        <f t="shared" si="417"/>
        <v>42.558472822339553</v>
      </c>
      <c r="EP144" s="460">
        <f t="shared" si="439"/>
        <v>550.974869546067</v>
      </c>
      <c r="EQ144" s="173">
        <f t="shared" si="418"/>
        <v>0.23799999999999999</v>
      </c>
      <c r="ER144" s="173">
        <f t="shared" si="475"/>
        <v>2.1080000000000002E-2</v>
      </c>
      <c r="ES144" s="528"/>
      <c r="EU144" s="460">
        <f t="shared" si="420"/>
        <v>259.08</v>
      </c>
      <c r="EV144" s="528">
        <f t="shared" si="421"/>
        <v>5.9096711781383746E-2</v>
      </c>
      <c r="EW144" s="528">
        <f t="shared" si="422"/>
        <v>1.4362654284358159E-2</v>
      </c>
      <c r="EX144" s="528">
        <f t="shared" si="423"/>
        <v>2.4002497495464029E-5</v>
      </c>
      <c r="EY144" s="528">
        <f t="shared" si="424"/>
        <v>0.40865049202349202</v>
      </c>
      <c r="EZ144" s="528"/>
      <c r="FA144" s="625">
        <f t="shared" si="425"/>
        <v>0.35189193483685949</v>
      </c>
      <c r="FB144" s="460">
        <f t="shared" si="426"/>
        <v>834.02579542358887</v>
      </c>
      <c r="FC144" s="173">
        <f t="shared" si="427"/>
        <v>1.6440806649696558</v>
      </c>
      <c r="FD144" s="5">
        <f t="shared" si="428"/>
        <v>8.7720000000000002</v>
      </c>
      <c r="FE144" s="173">
        <f t="shared" si="429"/>
        <v>0.84215937665509188</v>
      </c>
      <c r="FF144" s="5">
        <f t="shared" si="430"/>
        <v>84.215937665509188</v>
      </c>
      <c r="FG144">
        <f t="shared" si="431"/>
        <v>34</v>
      </c>
      <c r="FI144" s="562">
        <f t="shared" si="432"/>
        <v>-50</v>
      </c>
      <c r="FJ144">
        <f t="shared" si="433"/>
        <v>-50</v>
      </c>
    </row>
    <row r="145" spans="5:166">
      <c r="E145" s="170">
        <v>35</v>
      </c>
      <c r="F145" s="217">
        <f t="shared" si="476"/>
        <v>0.35</v>
      </c>
      <c r="G145" s="217">
        <f t="shared" si="444"/>
        <v>3.4999999999999996E-2</v>
      </c>
      <c r="H145" s="217">
        <f t="shared" si="445"/>
        <v>8.3999999999999986</v>
      </c>
      <c r="I145" s="217">
        <f t="shared" si="446"/>
        <v>0.62999999999999989</v>
      </c>
      <c r="J145" s="541">
        <f t="shared" si="447"/>
        <v>8.8648952626985054</v>
      </c>
      <c r="K145" s="443">
        <f t="shared" si="448"/>
        <v>16.495107212230447</v>
      </c>
      <c r="L145" s="172">
        <f t="shared" si="449"/>
        <v>25.360002474928955</v>
      </c>
      <c r="M145" s="443"/>
      <c r="N145" s="217">
        <f t="shared" si="450"/>
        <v>0.65043791807739793</v>
      </c>
      <c r="O145" s="172">
        <f t="shared" si="451"/>
        <v>29.798780458107508</v>
      </c>
      <c r="P145" s="172">
        <f t="shared" si="452"/>
        <v>2.4025266744349176</v>
      </c>
      <c r="Q145" s="217">
        <f t="shared" si="322"/>
        <v>1.2416158524211462</v>
      </c>
      <c r="R145" s="217">
        <f t="shared" si="453"/>
        <v>1.655487803228195</v>
      </c>
      <c r="S145" s="217">
        <f t="shared" si="454"/>
        <v>24</v>
      </c>
      <c r="T145" s="217">
        <f t="shared" si="455"/>
        <v>3.1321192310049595</v>
      </c>
      <c r="U145" s="217">
        <f t="shared" si="326"/>
        <v>3.5331711635491243</v>
      </c>
      <c r="V145" s="217">
        <f t="shared" si="327"/>
        <v>1.8988171405655501</v>
      </c>
      <c r="W145" s="197">
        <f t="shared" si="328"/>
        <v>259.47288083897115</v>
      </c>
      <c r="X145" s="443">
        <f t="shared" si="435"/>
        <v>177.55718691202003</v>
      </c>
      <c r="Z145" s="217">
        <f t="shared" si="329"/>
        <v>2.2222222222222223</v>
      </c>
      <c r="AA145" s="173">
        <f t="shared" si="330"/>
        <v>1.3472008357572456</v>
      </c>
      <c r="AB145" s="173">
        <f t="shared" si="456"/>
        <v>0.24099008645206788</v>
      </c>
      <c r="AC145" s="173"/>
      <c r="AD145" s="173">
        <f t="shared" si="332"/>
        <v>1.3472008357572456</v>
      </c>
      <c r="AE145" s="545">
        <f t="shared" si="457"/>
        <v>350.5519411294851</v>
      </c>
      <c r="AF145" s="528">
        <f t="shared" si="458"/>
        <v>0.25906434293597291</v>
      </c>
      <c r="AH145" s="173">
        <f t="shared" si="459"/>
        <v>2.2715633383201093</v>
      </c>
      <c r="AI145" s="173">
        <f t="shared" si="460"/>
        <v>3.1321192310049595</v>
      </c>
      <c r="AJ145" s="173">
        <f t="shared" si="461"/>
        <v>1.8739977842835089</v>
      </c>
      <c r="AL145" s="545">
        <f t="shared" si="462"/>
        <v>350</v>
      </c>
      <c r="AM145" s="460">
        <f t="shared" si="463"/>
        <v>177.55718691202003</v>
      </c>
      <c r="AO145" s="460">
        <f t="shared" si="340"/>
        <v>350</v>
      </c>
      <c r="AP145" s="460">
        <f t="shared" si="341"/>
        <v>177.55718691202003</v>
      </c>
      <c r="AR145" s="5">
        <f t="shared" si="443"/>
        <v>5.6319883041146745</v>
      </c>
      <c r="AS145" s="5">
        <f t="shared" si="440"/>
        <v>3.5331711635491243</v>
      </c>
      <c r="AT145" s="5">
        <f t="shared" si="441"/>
        <v>2.0988171405655502</v>
      </c>
      <c r="AU145" s="173">
        <f t="shared" si="442"/>
        <v>0.62733993267845112</v>
      </c>
      <c r="AW145" s="5">
        <f t="shared" si="342"/>
        <v>5.1525412801758064</v>
      </c>
      <c r="AX145" s="5">
        <f t="shared" si="343"/>
        <v>0.68700550402344085</v>
      </c>
      <c r="AY145" s="5">
        <f t="shared" si="344"/>
        <v>1.65729199822341</v>
      </c>
      <c r="AZ145" s="5"/>
      <c r="BA145" s="173">
        <f t="shared" si="345"/>
        <v>1.4322839496978546</v>
      </c>
      <c r="BB145" s="173">
        <f t="shared" si="346"/>
        <v>0.73630868249558767</v>
      </c>
      <c r="BC145" s="173">
        <f t="shared" si="347"/>
        <v>7.3730369422868966E-2</v>
      </c>
      <c r="BD145" s="173"/>
      <c r="BE145" s="528">
        <f t="shared" si="348"/>
        <v>8.2057492502483453E-2</v>
      </c>
      <c r="BF145" s="528">
        <f t="shared" si="464"/>
        <v>0.31732796858271373</v>
      </c>
      <c r="BG145" s="528">
        <f t="shared" si="465"/>
        <v>6.2961034604577568E-2</v>
      </c>
      <c r="BH145" s="528">
        <f t="shared" si="351"/>
        <v>1.9983653354756478E-2</v>
      </c>
      <c r="BI145">
        <f t="shared" si="352"/>
        <v>3.9892028682143275E-3</v>
      </c>
      <c r="BJ145" s="460">
        <f t="shared" si="436"/>
        <v>66.950237472791898</v>
      </c>
      <c r="BK145">
        <f t="shared" si="466"/>
        <v>0.45030415457318801</v>
      </c>
      <c r="BL145" s="460">
        <f t="shared" si="437"/>
        <v>486.31935191274556</v>
      </c>
      <c r="BM145" s="173">
        <f t="shared" si="467"/>
        <v>0.30379999999999996</v>
      </c>
      <c r="BN145" s="173">
        <f t="shared" si="468"/>
        <v>3.0379999999999997E-2</v>
      </c>
      <c r="BO145" s="528"/>
      <c r="BQ145" s="460">
        <f t="shared" si="356"/>
        <v>334.17999999999995</v>
      </c>
      <c r="BR145" s="528">
        <f t="shared" si="357"/>
        <v>6.154311937686259E-2</v>
      </c>
      <c r="BS145" s="528">
        <f t="shared" si="358"/>
        <v>1.6264514277551646E-2</v>
      </c>
      <c r="BT145" s="528">
        <f t="shared" si="359"/>
        <v>2.7180836876163655E-5</v>
      </c>
      <c r="BU145" s="528">
        <f t="shared" si="360"/>
        <v>0.36467950691959106</v>
      </c>
      <c r="BV145" s="528"/>
      <c r="BW145" s="625">
        <f t="shared" si="469"/>
        <v>0.34837326881747555</v>
      </c>
      <c r="BX145" s="460">
        <f t="shared" si="362"/>
        <v>790.887590228357</v>
      </c>
      <c r="BY145" s="173">
        <f t="shared" si="363"/>
        <v>1.6113869421411025</v>
      </c>
      <c r="BZ145" s="5">
        <f t="shared" si="364"/>
        <v>9.0299999999999976</v>
      </c>
      <c r="CA145" s="173">
        <f t="shared" si="365"/>
        <v>0.84857359751106998</v>
      </c>
      <c r="CB145" s="5">
        <f t="shared" si="366"/>
        <v>84.857359751106998</v>
      </c>
      <c r="CC145">
        <f t="shared" si="367"/>
        <v>35</v>
      </c>
      <c r="CE145" s="562">
        <f t="shared" si="470"/>
        <v>-50</v>
      </c>
      <c r="CF145">
        <f t="shared" si="471"/>
        <v>-50</v>
      </c>
      <c r="CG145" s="173">
        <f t="shared" si="370"/>
        <v>0.34658417599272739</v>
      </c>
      <c r="CH145" s="173">
        <f t="shared" si="472"/>
        <v>9.446712174985028E-2</v>
      </c>
      <c r="CI145" s="170">
        <v>35</v>
      </c>
      <c r="CJ145" s="217">
        <f t="shared" si="438"/>
        <v>0.35</v>
      </c>
      <c r="CK145" s="217">
        <f t="shared" si="372"/>
        <v>3.4999999999999996E-2</v>
      </c>
      <c r="CL145" s="217">
        <f t="shared" si="373"/>
        <v>8.3999999999999986</v>
      </c>
      <c r="CM145" s="217">
        <f t="shared" si="374"/>
        <v>0.62999999999999989</v>
      </c>
      <c r="CN145" s="541">
        <f t="shared" si="375"/>
        <v>9</v>
      </c>
      <c r="CO145" s="443">
        <f t="shared" si="473"/>
        <v>16.474900000000002</v>
      </c>
      <c r="CP145" s="443">
        <f t="shared" si="474"/>
        <v>25.474900000000002</v>
      </c>
      <c r="CQ145" s="443"/>
      <c r="CR145" s="217">
        <f t="shared" si="378"/>
        <v>0.64485133082098534</v>
      </c>
      <c r="CS145" s="172">
        <f t="shared" si="379"/>
        <v>29.993085154464438</v>
      </c>
      <c r="CT145" s="172">
        <f t="shared" si="380"/>
        <v>2.4181924905786953</v>
      </c>
      <c r="CU145" s="217">
        <f t="shared" si="381"/>
        <v>1.2497118814360182</v>
      </c>
      <c r="CV145" s="217">
        <f t="shared" si="382"/>
        <v>1.6662825085813577</v>
      </c>
      <c r="CW145" s="217">
        <f t="shared" si="383"/>
        <v>24</v>
      </c>
      <c r="CX145" s="217">
        <f t="shared" si="384"/>
        <v>3.1118283715285204</v>
      </c>
      <c r="CY145" s="217">
        <f t="shared" si="385"/>
        <v>3.4575870794761343</v>
      </c>
      <c r="CZ145" s="217">
        <f t="shared" si="386"/>
        <v>1.8888298997435617</v>
      </c>
      <c r="DA145" s="197">
        <f t="shared" si="387"/>
        <v>261.91798593910079</v>
      </c>
      <c r="DB145" s="443">
        <f t="shared" si="388"/>
        <v>187.04115370850647</v>
      </c>
      <c r="DD145" s="217">
        <f t="shared" si="389"/>
        <v>2.2222222222222228</v>
      </c>
      <c r="DE145" s="173">
        <f t="shared" si="390"/>
        <v>1.3488532386977905</v>
      </c>
      <c r="DF145" s="173">
        <f t="shared" si="391"/>
        <v>0.24355939229558116</v>
      </c>
      <c r="DG145" s="173"/>
      <c r="DH145" s="173">
        <f t="shared" si="392"/>
        <v>1.3488532386977903</v>
      </c>
      <c r="DI145" s="545">
        <f t="shared" si="393"/>
        <v>350.12249999999989</v>
      </c>
      <c r="DJ145" s="528">
        <f t="shared" si="394"/>
        <v>0.26182634671774968</v>
      </c>
      <c r="DL145" s="173">
        <f t="shared" si="395"/>
        <v>2.2715633383201093</v>
      </c>
      <c r="DM145" s="173">
        <f t="shared" si="396"/>
        <v>3.1118283715285204</v>
      </c>
      <c r="DN145" s="173">
        <f t="shared" si="397"/>
        <v>1.8589675180046652</v>
      </c>
      <c r="DP145" s="545">
        <f t="shared" si="398"/>
        <v>350</v>
      </c>
      <c r="DQ145" s="460">
        <f t="shared" si="399"/>
        <v>187.04115370850647</v>
      </c>
      <c r="DS145" s="460">
        <f t="shared" si="400"/>
        <v>350</v>
      </c>
      <c r="DT145" s="460">
        <f t="shared" si="401"/>
        <v>187.04115370850647</v>
      </c>
      <c r="DV145" s="5">
        <f t="shared" si="402"/>
        <v>5.3464169792196961</v>
      </c>
      <c r="DW145" s="5">
        <f t="shared" si="403"/>
        <v>3.4575870794761343</v>
      </c>
      <c r="DX145" s="5">
        <f t="shared" si="404"/>
        <v>1.8888298997435617</v>
      </c>
      <c r="DY145" s="173">
        <f t="shared" si="405"/>
        <v>0.64671107639284164</v>
      </c>
      <c r="EA145" s="5">
        <f t="shared" si="406"/>
        <v>5.0423144909026965</v>
      </c>
      <c r="EB145" s="5">
        <f t="shared" si="407"/>
        <v>0.67230859878702609</v>
      </c>
      <c r="EC145" s="5">
        <f t="shared" si="408"/>
        <v>1.4690899220227698</v>
      </c>
      <c r="ED145" s="5"/>
      <c r="EE145" s="173">
        <f t="shared" si="409"/>
        <v>1.4448080687757896</v>
      </c>
      <c r="EF145" s="173">
        <f t="shared" si="410"/>
        <v>0.71227196918282931</v>
      </c>
      <c r="EG145" s="173">
        <f t="shared" si="411"/>
        <v>7.1323449887091397E-2</v>
      </c>
      <c r="EH145" s="173"/>
      <c r="EI145" s="528">
        <f t="shared" si="412"/>
        <v>8.3498814223985071E-2</v>
      </c>
      <c r="EJ145" s="528">
        <f t="shared" si="413"/>
        <v>0.40775377500000004</v>
      </c>
      <c r="EK145" s="528">
        <f t="shared" si="414"/>
        <v>3.7408230741701291E-2</v>
      </c>
      <c r="EL145" s="528">
        <f t="shared" si="415"/>
        <v>2.1242234414780979E-2</v>
      </c>
      <c r="EM145">
        <f t="shared" si="416"/>
        <v>4.0499999999999998E-3</v>
      </c>
      <c r="EN145" s="460">
        <f t="shared" si="417"/>
        <v>41.458230741701293</v>
      </c>
      <c r="EP145" s="460">
        <f t="shared" si="439"/>
        <v>553.95305438046739</v>
      </c>
      <c r="EQ145" s="173">
        <f t="shared" si="418"/>
        <v>0.24499999999999997</v>
      </c>
      <c r="ER145" s="173">
        <f t="shared" si="475"/>
        <v>2.1699999999999997E-2</v>
      </c>
      <c r="ES145" s="528"/>
      <c r="EU145" s="460">
        <f t="shared" si="420"/>
        <v>266.69999999999993</v>
      </c>
      <c r="EV145" s="528">
        <f t="shared" si="421"/>
        <v>6.26241106679888E-2</v>
      </c>
      <c r="EW145" s="528">
        <f t="shared" si="422"/>
        <v>1.5219940742507558E-2</v>
      </c>
      <c r="EX145" s="528">
        <f t="shared" si="423"/>
        <v>2.5435172518982189E-5</v>
      </c>
      <c r="EY145" s="528">
        <f t="shared" si="424"/>
        <v>0.40865049202349168</v>
      </c>
      <c r="EZ145" s="528"/>
      <c r="FA145" s="625">
        <f t="shared" si="425"/>
        <v>0.36224169762617875</v>
      </c>
      <c r="FB145" s="460">
        <f t="shared" si="426"/>
        <v>848.76167623268577</v>
      </c>
      <c r="FC145" s="173">
        <f t="shared" si="427"/>
        <v>1.6694147306131528</v>
      </c>
      <c r="FD145" s="5">
        <f t="shared" si="428"/>
        <v>9.0299999999999976</v>
      </c>
      <c r="FE145" s="173">
        <f t="shared" si="429"/>
        <v>0.84397139725441006</v>
      </c>
      <c r="FF145" s="5">
        <f t="shared" si="430"/>
        <v>84.397139725441008</v>
      </c>
      <c r="FG145">
        <f t="shared" si="431"/>
        <v>35</v>
      </c>
      <c r="FI145" s="562">
        <f t="shared" si="432"/>
        <v>-50</v>
      </c>
      <c r="FJ145">
        <f t="shared" si="433"/>
        <v>-50</v>
      </c>
    </row>
    <row r="146" spans="5:166">
      <c r="E146" s="170">
        <v>36</v>
      </c>
      <c r="F146" s="217">
        <f t="shared" si="476"/>
        <v>0.36</v>
      </c>
      <c r="G146" s="217">
        <f t="shared" si="444"/>
        <v>3.5999999999999997E-2</v>
      </c>
      <c r="H146" s="217">
        <f t="shared" si="445"/>
        <v>8.64</v>
      </c>
      <c r="I146" s="217">
        <f t="shared" si="446"/>
        <v>0.64799999999999991</v>
      </c>
      <c r="J146" s="541">
        <f t="shared" si="447"/>
        <v>8.8610351273470336</v>
      </c>
      <c r="K146" s="443">
        <f t="shared" si="448"/>
        <v>16.495684561151318</v>
      </c>
      <c r="L146" s="172">
        <f t="shared" si="449"/>
        <v>25.356719688498352</v>
      </c>
      <c r="M146" s="443"/>
      <c r="N146" s="217">
        <f t="shared" si="450"/>
        <v>0.65054489554631378</v>
      </c>
      <c r="O146" s="172">
        <f t="shared" si="451"/>
        <v>29.790703727918306</v>
      </c>
      <c r="P146" s="172">
        <f t="shared" si="452"/>
        <v>2.4018754880634137</v>
      </c>
      <c r="Q146" s="217">
        <f t="shared" si="322"/>
        <v>1.2412793219965961</v>
      </c>
      <c r="R146" s="217">
        <f t="shared" si="453"/>
        <v>1.6550390959954615</v>
      </c>
      <c r="S146" s="217">
        <f t="shared" si="454"/>
        <v>24</v>
      </c>
      <c r="T146" s="217">
        <f t="shared" si="455"/>
        <v>3.2224817807856536</v>
      </c>
      <c r="U146" s="217">
        <f t="shared" si="326"/>
        <v>3.6366877396077482</v>
      </c>
      <c r="V146" s="217">
        <f t="shared" si="327"/>
        <v>1.953530190783874</v>
      </c>
      <c r="W146" s="197">
        <f t="shared" si="328"/>
        <v>259.40255271084868</v>
      </c>
      <c r="X146" s="443">
        <f t="shared" si="435"/>
        <v>172.70507121177818</v>
      </c>
      <c r="Z146" s="217">
        <f t="shared" si="329"/>
        <v>2.2222222222222223</v>
      </c>
      <c r="AA146" s="173">
        <f t="shared" si="330"/>
        <v>1.3471536837311604</v>
      </c>
      <c r="AB146" s="173">
        <f t="shared" si="456"/>
        <v>0.2409163355768566</v>
      </c>
      <c r="AC146" s="173"/>
      <c r="AD146" s="173">
        <f t="shared" si="332"/>
        <v>1.3471536837311604</v>
      </c>
      <c r="AE146" s="545">
        <f t="shared" si="457"/>
        <v>360.58033118678577</v>
      </c>
      <c r="AF146" s="528">
        <f t="shared" si="458"/>
        <v>0.2589850607451209</v>
      </c>
      <c r="AH146" s="173">
        <f t="shared" si="459"/>
        <v>2.3037857043198637</v>
      </c>
      <c r="AI146" s="173">
        <f t="shared" si="460"/>
        <v>3.2224817807856536</v>
      </c>
      <c r="AJ146" s="173">
        <f t="shared" si="461"/>
        <v>1.9409330063432824</v>
      </c>
      <c r="AL146" s="545">
        <f t="shared" si="462"/>
        <v>360</v>
      </c>
      <c r="AM146" s="460">
        <f t="shared" si="463"/>
        <v>172.70507121177818</v>
      </c>
      <c r="AO146" s="460">
        <f t="shared" si="340"/>
        <v>360</v>
      </c>
      <c r="AP146" s="460">
        <f t="shared" si="341"/>
        <v>172.70507121177818</v>
      </c>
      <c r="AR146" s="5">
        <f t="shared" si="443"/>
        <v>5.7902179303916226</v>
      </c>
      <c r="AS146" s="5">
        <f t="shared" si="440"/>
        <v>3.6366877396077482</v>
      </c>
      <c r="AT146" s="5">
        <f t="shared" si="441"/>
        <v>2.1535301907838744</v>
      </c>
      <c r="AU146" s="173">
        <f t="shared" si="442"/>
        <v>0.62807441504395678</v>
      </c>
      <c r="AW146" s="5">
        <f t="shared" si="342"/>
        <v>5.4550316094116216</v>
      </c>
      <c r="AX146" s="5">
        <f t="shared" si="343"/>
        <v>0.72733754792154959</v>
      </c>
      <c r="AY146" s="5">
        <f t="shared" si="344"/>
        <v>1.7498426708399888</v>
      </c>
      <c r="AZ146" s="5"/>
      <c r="BA146" s="173">
        <f t="shared" si="345"/>
        <v>1.4744681457413971</v>
      </c>
      <c r="BB146" s="173">
        <f t="shared" si="346"/>
        <v>0.75680449792349314</v>
      </c>
      <c r="BC146" s="173">
        <f t="shared" si="347"/>
        <v>7.5782720670447057E-2</v>
      </c>
      <c r="BD146" s="173"/>
      <c r="BE146" s="528">
        <f t="shared" si="348"/>
        <v>8.6962252512242946E-2</v>
      </c>
      <c r="BF146" s="528">
        <f t="shared" si="464"/>
        <v>0.31752004578709098</v>
      </c>
      <c r="BG146" s="528">
        <f t="shared" si="465"/>
        <v>6.1213828107141495E-2</v>
      </c>
      <c r="BH146" s="528">
        <f t="shared" si="351"/>
        <v>1.943252692573158E-2</v>
      </c>
      <c r="BI146">
        <f t="shared" si="352"/>
        <v>3.9874658073061654E-3</v>
      </c>
      <c r="BJ146" s="460">
        <f t="shared" si="436"/>
        <v>65.20129391444766</v>
      </c>
      <c r="BK146">
        <f t="shared" si="466"/>
        <v>0.45683383982030995</v>
      </c>
      <c r="BL146" s="460">
        <f t="shared" si="437"/>
        <v>489.11611913951322</v>
      </c>
      <c r="BM146" s="173">
        <f t="shared" si="467"/>
        <v>0.31247999999999998</v>
      </c>
      <c r="BN146" s="173">
        <f t="shared" si="468"/>
        <v>3.1247999999999995E-2</v>
      </c>
      <c r="BO146" s="528"/>
      <c r="BQ146" s="460">
        <f t="shared" si="356"/>
        <v>343.72799999999995</v>
      </c>
      <c r="BR146" s="528">
        <f t="shared" si="357"/>
        <v>6.5221689384182213E-2</v>
      </c>
      <c r="BS146" s="528">
        <f t="shared" si="358"/>
        <v>1.7182591442316913E-2</v>
      </c>
      <c r="BT146" s="528">
        <f t="shared" si="359"/>
        <v>2.8715103761075018E-5</v>
      </c>
      <c r="BU146" s="528">
        <f t="shared" si="360"/>
        <v>0.36534982715245506</v>
      </c>
      <c r="BV146" s="528"/>
      <c r="BW146" s="625">
        <f t="shared" si="469"/>
        <v>0.35868732238868006</v>
      </c>
      <c r="BX146" s="460">
        <f t="shared" si="362"/>
        <v>806.47014547139543</v>
      </c>
      <c r="BY146" s="173">
        <f t="shared" si="363"/>
        <v>1.6393142646109085</v>
      </c>
      <c r="BZ146" s="5">
        <f t="shared" si="364"/>
        <v>9.2880000000000003</v>
      </c>
      <c r="CA146" s="173">
        <f t="shared" si="365"/>
        <v>0.84998013007459894</v>
      </c>
      <c r="CB146" s="5">
        <f t="shared" si="366"/>
        <v>84.998013007459889</v>
      </c>
      <c r="CC146">
        <f t="shared" si="367"/>
        <v>36</v>
      </c>
      <c r="CE146" s="562">
        <f t="shared" si="470"/>
        <v>-50</v>
      </c>
      <c r="CF146">
        <f t="shared" si="471"/>
        <v>-50</v>
      </c>
      <c r="CG146" s="173">
        <f t="shared" si="370"/>
        <v>0.34658417599272728</v>
      </c>
      <c r="CH146" s="173">
        <f t="shared" si="472"/>
        <v>9.4467121749850266E-2</v>
      </c>
      <c r="CI146" s="170">
        <v>36</v>
      </c>
      <c r="CJ146" s="217">
        <f t="shared" si="438"/>
        <v>0.36</v>
      </c>
      <c r="CK146" s="217">
        <f t="shared" si="372"/>
        <v>3.5999999999999997E-2</v>
      </c>
      <c r="CL146" s="217">
        <f t="shared" si="373"/>
        <v>8.64</v>
      </c>
      <c r="CM146" s="217">
        <f t="shared" si="374"/>
        <v>0.64799999999999991</v>
      </c>
      <c r="CN146" s="541">
        <f t="shared" si="375"/>
        <v>9</v>
      </c>
      <c r="CO146" s="443">
        <f t="shared" si="473"/>
        <v>16.474900000000002</v>
      </c>
      <c r="CP146" s="443">
        <f t="shared" si="474"/>
        <v>25.474900000000002</v>
      </c>
      <c r="CQ146" s="443"/>
      <c r="CR146" s="217">
        <f t="shared" si="378"/>
        <v>0.64485133082098534</v>
      </c>
      <c r="CS146" s="172">
        <f t="shared" si="379"/>
        <v>29.993085154464438</v>
      </c>
      <c r="CT146" s="172">
        <f t="shared" si="380"/>
        <v>2.4181924905786953</v>
      </c>
      <c r="CU146" s="217">
        <f t="shared" si="381"/>
        <v>1.2497118814360182</v>
      </c>
      <c r="CV146" s="217">
        <f t="shared" si="382"/>
        <v>1.6662825085813577</v>
      </c>
      <c r="CW146" s="217">
        <f t="shared" si="383"/>
        <v>24</v>
      </c>
      <c r="CX146" s="217">
        <f t="shared" si="384"/>
        <v>3.2007377535721933</v>
      </c>
      <c r="CY146" s="217">
        <f t="shared" si="385"/>
        <v>3.5563752817468819</v>
      </c>
      <c r="CZ146" s="217">
        <f t="shared" si="386"/>
        <v>1.9427964683076642</v>
      </c>
      <c r="DA146" s="197">
        <f t="shared" si="387"/>
        <v>261.91798593910079</v>
      </c>
      <c r="DB146" s="443">
        <f t="shared" si="388"/>
        <v>181.84556610549234</v>
      </c>
      <c r="DD146" s="217">
        <f t="shared" si="389"/>
        <v>2.2222222222222228</v>
      </c>
      <c r="DE146" s="173">
        <f t="shared" si="390"/>
        <v>1.3488532386977905</v>
      </c>
      <c r="DF146" s="173">
        <f t="shared" si="391"/>
        <v>0.24355939229558116</v>
      </c>
      <c r="DG146" s="173"/>
      <c r="DH146" s="173">
        <f t="shared" si="392"/>
        <v>1.3488532386977903</v>
      </c>
      <c r="DI146" s="545">
        <f t="shared" si="393"/>
        <v>360.12599999999992</v>
      </c>
      <c r="DJ146" s="528">
        <f t="shared" si="394"/>
        <v>0.26182634671774968</v>
      </c>
      <c r="DL146" s="173">
        <f t="shared" si="395"/>
        <v>2.3037857043198637</v>
      </c>
      <c r="DM146" s="173">
        <f t="shared" si="396"/>
        <v>3.2007377535721933</v>
      </c>
      <c r="DN146" s="173">
        <f t="shared" si="397"/>
        <v>1.9248263195184969</v>
      </c>
      <c r="DP146" s="545">
        <f t="shared" si="398"/>
        <v>360</v>
      </c>
      <c r="DQ146" s="460">
        <f t="shared" si="399"/>
        <v>181.84556610549234</v>
      </c>
      <c r="DS146" s="460">
        <f t="shared" si="400"/>
        <v>360</v>
      </c>
      <c r="DT146" s="460">
        <f t="shared" si="401"/>
        <v>181.84556610549234</v>
      </c>
      <c r="DV146" s="5">
        <f t="shared" si="402"/>
        <v>5.4991717500545461</v>
      </c>
      <c r="DW146" s="5">
        <f t="shared" si="403"/>
        <v>3.5563752817468819</v>
      </c>
      <c r="DX146" s="5">
        <f t="shared" si="404"/>
        <v>1.9427964683076642</v>
      </c>
      <c r="DY146" s="173">
        <f t="shared" si="405"/>
        <v>0.64671107639284153</v>
      </c>
      <c r="EA146" s="5">
        <f t="shared" si="406"/>
        <v>5.3345629226203233</v>
      </c>
      <c r="EB146" s="5">
        <f t="shared" si="407"/>
        <v>0.71127505634937638</v>
      </c>
      <c r="EC146" s="5">
        <f t="shared" si="408"/>
        <v>1.5542371746461312</v>
      </c>
      <c r="ED146" s="5"/>
      <c r="EE146" s="173">
        <f t="shared" si="409"/>
        <v>1.4860882993122411</v>
      </c>
      <c r="EF146" s="173">
        <f t="shared" si="410"/>
        <v>0.73262259687376752</v>
      </c>
      <c r="EG146" s="173">
        <f t="shared" si="411"/>
        <v>7.3361262741008335E-2</v>
      </c>
      <c r="EH146" s="173"/>
      <c r="EI146" s="528">
        <f t="shared" si="412"/>
        <v>8.8338337334109965E-2</v>
      </c>
      <c r="EJ146" s="528">
        <f t="shared" si="413"/>
        <v>0.40775377499999998</v>
      </c>
      <c r="EK146" s="528">
        <f t="shared" si="414"/>
        <v>3.6369113221098467E-2</v>
      </c>
      <c r="EL146" s="528">
        <f t="shared" si="415"/>
        <v>2.0652172347703723E-2</v>
      </c>
      <c r="EM146">
        <f t="shared" si="416"/>
        <v>4.0499999999999998E-3</v>
      </c>
      <c r="EN146" s="460">
        <f t="shared" si="417"/>
        <v>40.419113221098463</v>
      </c>
      <c r="EP146" s="460">
        <f t="shared" si="439"/>
        <v>557.16339790291215</v>
      </c>
      <c r="EQ146" s="173">
        <f t="shared" si="418"/>
        <v>0.252</v>
      </c>
      <c r="ER146" s="173">
        <f t="shared" si="475"/>
        <v>2.232E-2</v>
      </c>
      <c r="ES146" s="528"/>
      <c r="EU146" s="460">
        <f t="shared" si="420"/>
        <v>274.32</v>
      </c>
      <c r="EV146" s="528">
        <f t="shared" si="421"/>
        <v>6.6253753000582463E-2</v>
      </c>
      <c r="EW146" s="528">
        <f t="shared" si="422"/>
        <v>1.6102076083501886E-2</v>
      </c>
      <c r="EX146" s="528">
        <f t="shared" si="423"/>
        <v>2.690937435477629E-5</v>
      </c>
      <c r="EY146" s="528">
        <f t="shared" si="424"/>
        <v>0.40865049202349119</v>
      </c>
      <c r="EZ146" s="528"/>
      <c r="FA146" s="625">
        <f t="shared" si="425"/>
        <v>0.37259146041549818</v>
      </c>
      <c r="FB146" s="460">
        <f t="shared" si="426"/>
        <v>863.62469089742854</v>
      </c>
      <c r="FC146" s="173">
        <f t="shared" si="427"/>
        <v>1.6951080888003407</v>
      </c>
      <c r="FD146" s="5">
        <f t="shared" si="428"/>
        <v>9.2880000000000003</v>
      </c>
      <c r="FE146" s="173">
        <f t="shared" si="429"/>
        <v>0.84566225925347394</v>
      </c>
      <c r="FF146" s="5">
        <f t="shared" si="430"/>
        <v>84.566225925347396</v>
      </c>
      <c r="FG146">
        <f t="shared" si="431"/>
        <v>36</v>
      </c>
      <c r="FI146" s="562">
        <f t="shared" si="432"/>
        <v>-50</v>
      </c>
      <c r="FJ146">
        <f t="shared" si="433"/>
        <v>-50</v>
      </c>
    </row>
    <row r="147" spans="5:166">
      <c r="E147" s="170">
        <v>37</v>
      </c>
      <c r="F147" s="217">
        <f t="shared" si="476"/>
        <v>0.37</v>
      </c>
      <c r="G147" s="217">
        <f t="shared" si="444"/>
        <v>3.6999999999999998E-2</v>
      </c>
      <c r="H147" s="217">
        <f t="shared" si="445"/>
        <v>8.879999999999999</v>
      </c>
      <c r="I147" s="217">
        <f t="shared" si="446"/>
        <v>0.66599999999999993</v>
      </c>
      <c r="J147" s="541">
        <f t="shared" si="447"/>
        <v>8.8571749919955636</v>
      </c>
      <c r="K147" s="443">
        <f t="shared" si="448"/>
        <v>16.496261910072189</v>
      </c>
      <c r="L147" s="172">
        <f t="shared" si="449"/>
        <v>25.353436902067752</v>
      </c>
      <c r="M147" s="443"/>
      <c r="N147" s="217">
        <f t="shared" si="450"/>
        <v>0.65065190071831258</v>
      </c>
      <c r="O147" s="172">
        <f t="shared" si="451"/>
        <v>29.78262399760526</v>
      </c>
      <c r="P147" s="172">
        <f t="shared" si="452"/>
        <v>2.4012240598069243</v>
      </c>
      <c r="Q147" s="217">
        <f t="shared" si="322"/>
        <v>1.2409426665668859</v>
      </c>
      <c r="R147" s="217">
        <f t="shared" si="453"/>
        <v>1.6545902220891811</v>
      </c>
      <c r="S147" s="217">
        <f t="shared" si="454"/>
        <v>24</v>
      </c>
      <c r="T147" s="217">
        <f t="shared" si="455"/>
        <v>3.3128936750032563</v>
      </c>
      <c r="U147" s="217">
        <f t="shared" si="326"/>
        <v>3.7403502561450983</v>
      </c>
      <c r="V147" s="217">
        <f t="shared" si="327"/>
        <v>2.0082693237190234</v>
      </c>
      <c r="W147" s="197">
        <f t="shared" si="328"/>
        <v>259.33219845914778</v>
      </c>
      <c r="X147" s="443">
        <f t="shared" si="435"/>
        <v>168.10622810457852</v>
      </c>
      <c r="Z147" s="217">
        <f t="shared" si="329"/>
        <v>2.2222222222222223</v>
      </c>
      <c r="AA147" s="173">
        <f t="shared" si="330"/>
        <v>1.3471065350056013</v>
      </c>
      <c r="AB147" s="173">
        <f t="shared" si="456"/>
        <v>0.24084256560298251</v>
      </c>
      <c r="AC147" s="173"/>
      <c r="AD147" s="173">
        <f t="shared" si="332"/>
        <v>1.3471065350056013</v>
      </c>
      <c r="AE147" s="545">
        <f t="shared" si="457"/>
        <v>370.60942237246132</v>
      </c>
      <c r="AF147" s="528">
        <f t="shared" si="458"/>
        <v>0.2589057580232062</v>
      </c>
      <c r="AH147" s="173">
        <f t="shared" si="459"/>
        <v>2.3355635600122602</v>
      </c>
      <c r="AI147" s="173">
        <f t="shared" si="460"/>
        <v>3.3128936750032563</v>
      </c>
      <c r="AJ147" s="173">
        <f t="shared" si="461"/>
        <v>2.0079047798378031</v>
      </c>
      <c r="AL147" s="545">
        <f t="shared" si="462"/>
        <v>370</v>
      </c>
      <c r="AM147" s="460">
        <f t="shared" si="463"/>
        <v>168.10622810457852</v>
      </c>
      <c r="AO147" s="460">
        <f t="shared" si="340"/>
        <v>370</v>
      </c>
      <c r="AP147" s="460">
        <f t="shared" si="341"/>
        <v>168.10622810457852</v>
      </c>
      <c r="AR147" s="5">
        <f t="shared" si="443"/>
        <v>5.9486195798641219</v>
      </c>
      <c r="AS147" s="5">
        <f t="shared" si="440"/>
        <v>3.7403502561450983</v>
      </c>
      <c r="AT147" s="5">
        <f t="shared" si="441"/>
        <v>2.2082693237190236</v>
      </c>
      <c r="AU147" s="173">
        <f t="shared" si="442"/>
        <v>0.62877617335054647</v>
      </c>
      <c r="AW147" s="5">
        <f t="shared" si="342"/>
        <v>5.7663733115570261</v>
      </c>
      <c r="AX147" s="5">
        <f t="shared" si="343"/>
        <v>0.7688497748742702</v>
      </c>
      <c r="AY147" s="5">
        <f t="shared" si="344"/>
        <v>1.8449667089437309</v>
      </c>
      <c r="AZ147" s="5"/>
      <c r="BA147" s="173">
        <f t="shared" si="345"/>
        <v>1.5166833129123174</v>
      </c>
      <c r="BB147" s="173">
        <f t="shared" si="346"/>
        <v>0.77730350477678356</v>
      </c>
      <c r="BC147" s="173">
        <f t="shared" si="347"/>
        <v>7.7835391491837366E-2</v>
      </c>
      <c r="BD147" s="173"/>
      <c r="BE147" s="528">
        <f t="shared" si="348"/>
        <v>9.2013130866667292E-2</v>
      </c>
      <c r="BF147" s="528">
        <f t="shared" si="464"/>
        <v>0.31769520500643483</v>
      </c>
      <c r="BG147" s="528">
        <f t="shared" si="465"/>
        <v>5.9557851182662991E-2</v>
      </c>
      <c r="BH147" s="528">
        <f t="shared" si="351"/>
        <v>1.8910174364069419E-2</v>
      </c>
      <c r="BI147">
        <f t="shared" si="352"/>
        <v>3.9857287463980033E-3</v>
      </c>
      <c r="BJ147" s="460">
        <f t="shared" si="436"/>
        <v>63.543579929060996</v>
      </c>
      <c r="BK147">
        <f t="shared" si="466"/>
        <v>0.46359736956661707</v>
      </c>
      <c r="BL147" s="460">
        <f t="shared" si="437"/>
        <v>492.16209016623259</v>
      </c>
      <c r="BM147" s="173">
        <f t="shared" si="467"/>
        <v>0.32116</v>
      </c>
      <c r="BN147" s="173">
        <f t="shared" si="468"/>
        <v>3.2115999999999992E-2</v>
      </c>
      <c r="BO147" s="528"/>
      <c r="BQ147" s="460">
        <f t="shared" si="356"/>
        <v>353.27599999999995</v>
      </c>
      <c r="BR147" s="528">
        <f t="shared" si="357"/>
        <v>6.9009848150000469E-2</v>
      </c>
      <c r="BS147" s="528">
        <f t="shared" si="358"/>
        <v>1.8126022156148135E-2</v>
      </c>
      <c r="BT147" s="528">
        <f t="shared" si="359"/>
        <v>3.0291740843437946E-5</v>
      </c>
      <c r="BU147" s="528">
        <f t="shared" si="360"/>
        <v>0.3659723359158083</v>
      </c>
      <c r="BV147" s="528"/>
      <c r="BW147" s="625">
        <f t="shared" si="469"/>
        <v>0.36900206357210963</v>
      </c>
      <c r="BX147" s="460">
        <f t="shared" si="362"/>
        <v>822.14056153491003</v>
      </c>
      <c r="BY147" s="173">
        <f t="shared" si="363"/>
        <v>1.6675786517011426</v>
      </c>
      <c r="BZ147" s="5">
        <f t="shared" si="364"/>
        <v>9.5459999999999994</v>
      </c>
      <c r="CA147" s="173">
        <f t="shared" si="365"/>
        <v>0.85128934272484336</v>
      </c>
      <c r="CB147" s="5">
        <f t="shared" si="366"/>
        <v>85.128934272484329</v>
      </c>
      <c r="CC147">
        <f t="shared" si="367"/>
        <v>37</v>
      </c>
      <c r="CE147" s="562">
        <f t="shared" si="470"/>
        <v>-50</v>
      </c>
      <c r="CF147">
        <f t="shared" si="471"/>
        <v>-50</v>
      </c>
      <c r="CG147" s="173">
        <f t="shared" si="370"/>
        <v>0.34658417599272739</v>
      </c>
      <c r="CH147" s="173">
        <f t="shared" si="472"/>
        <v>9.446712174985028E-2</v>
      </c>
      <c r="CI147" s="170">
        <v>37</v>
      </c>
      <c r="CJ147" s="217">
        <f t="shared" si="438"/>
        <v>0.37</v>
      </c>
      <c r="CK147" s="217">
        <f t="shared" si="372"/>
        <v>3.6999999999999998E-2</v>
      </c>
      <c r="CL147" s="217">
        <f t="shared" si="373"/>
        <v>8.879999999999999</v>
      </c>
      <c r="CM147" s="217">
        <f t="shared" si="374"/>
        <v>0.66599999999999993</v>
      </c>
      <c r="CN147" s="541">
        <f t="shared" si="375"/>
        <v>9</v>
      </c>
      <c r="CO147" s="443">
        <f t="shared" si="473"/>
        <v>16.474900000000002</v>
      </c>
      <c r="CP147" s="443">
        <f t="shared" si="474"/>
        <v>25.474900000000002</v>
      </c>
      <c r="CQ147" s="443"/>
      <c r="CR147" s="217">
        <f t="shared" si="378"/>
        <v>0.64485133082098534</v>
      </c>
      <c r="CS147" s="172">
        <f t="shared" si="379"/>
        <v>29.993085154464438</v>
      </c>
      <c r="CT147" s="172">
        <f t="shared" si="380"/>
        <v>2.4181924905786953</v>
      </c>
      <c r="CU147" s="217">
        <f t="shared" si="381"/>
        <v>1.2497118814360182</v>
      </c>
      <c r="CV147" s="217">
        <f t="shared" si="382"/>
        <v>1.6662825085813577</v>
      </c>
      <c r="CW147" s="217">
        <f t="shared" si="383"/>
        <v>24</v>
      </c>
      <c r="CX147" s="217">
        <f t="shared" si="384"/>
        <v>3.2896471356158652</v>
      </c>
      <c r="CY147" s="217">
        <f t="shared" si="385"/>
        <v>3.6551634840176277</v>
      </c>
      <c r="CZ147" s="217">
        <f t="shared" si="386"/>
        <v>1.9967630368717653</v>
      </c>
      <c r="DA147" s="197">
        <f t="shared" si="387"/>
        <v>261.91798593910079</v>
      </c>
      <c r="DB147" s="443">
        <f t="shared" si="388"/>
        <v>176.93082107561423</v>
      </c>
      <c r="DD147" s="217">
        <f t="shared" si="389"/>
        <v>2.2222222222222228</v>
      </c>
      <c r="DE147" s="173">
        <f t="shared" si="390"/>
        <v>1.3488532386977905</v>
      </c>
      <c r="DF147" s="173">
        <f t="shared" si="391"/>
        <v>0.24355939229558116</v>
      </c>
      <c r="DG147" s="173"/>
      <c r="DH147" s="173">
        <f t="shared" si="392"/>
        <v>1.3488532386977903</v>
      </c>
      <c r="DI147" s="545">
        <f t="shared" si="393"/>
        <v>370.12949999999984</v>
      </c>
      <c r="DJ147" s="528">
        <f t="shared" si="394"/>
        <v>0.26182634671774968</v>
      </c>
      <c r="DL147" s="173">
        <f t="shared" si="395"/>
        <v>2.3355635600122602</v>
      </c>
      <c r="DM147" s="173">
        <f t="shared" si="396"/>
        <v>3.2896471356158652</v>
      </c>
      <c r="DN147" s="173">
        <f t="shared" si="397"/>
        <v>1.990685121032328</v>
      </c>
      <c r="DP147" s="545">
        <f t="shared" si="398"/>
        <v>370</v>
      </c>
      <c r="DQ147" s="460">
        <f t="shared" si="399"/>
        <v>176.93082107561423</v>
      </c>
      <c r="DS147" s="460">
        <f t="shared" si="400"/>
        <v>370</v>
      </c>
      <c r="DT147" s="460">
        <f t="shared" si="401"/>
        <v>176.93082107561423</v>
      </c>
      <c r="DV147" s="5">
        <f t="shared" si="402"/>
        <v>5.6519265208893934</v>
      </c>
      <c r="DW147" s="5">
        <f t="shared" si="403"/>
        <v>3.6551634840176277</v>
      </c>
      <c r="DX147" s="5">
        <f t="shared" si="404"/>
        <v>1.9967630368717657</v>
      </c>
      <c r="DY147" s="173">
        <f t="shared" si="405"/>
        <v>0.64671107639284153</v>
      </c>
      <c r="EA147" s="5">
        <f t="shared" si="406"/>
        <v>5.6350437045271766</v>
      </c>
      <c r="EB147" s="5">
        <f t="shared" si="407"/>
        <v>0.75133916060362338</v>
      </c>
      <c r="EC147" s="5">
        <f t="shared" si="408"/>
        <v>1.6417829414278959</v>
      </c>
      <c r="ED147" s="5"/>
      <c r="EE147" s="173">
        <f t="shared" si="409"/>
        <v>1.5273685298486921</v>
      </c>
      <c r="EF147" s="173">
        <f t="shared" si="410"/>
        <v>0.7529732245647055</v>
      </c>
      <c r="EG147" s="173">
        <f t="shared" si="411"/>
        <v>7.539907559492523E-2</v>
      </c>
      <c r="EH147" s="173"/>
      <c r="EI147" s="528">
        <f t="shared" si="412"/>
        <v>9.3314185038886208E-2</v>
      </c>
      <c r="EJ147" s="528">
        <f t="shared" si="413"/>
        <v>0.4077537750000001</v>
      </c>
      <c r="EK147" s="528">
        <f t="shared" si="414"/>
        <v>3.5386164215122848E-2</v>
      </c>
      <c r="EL147" s="528">
        <f t="shared" si="415"/>
        <v>2.0094005527495521E-2</v>
      </c>
      <c r="EM147">
        <f t="shared" si="416"/>
        <v>4.0499999999999998E-3</v>
      </c>
      <c r="EN147" s="460">
        <f t="shared" si="417"/>
        <v>39.436164215122844</v>
      </c>
      <c r="EP147" s="460">
        <f t="shared" si="439"/>
        <v>560.59812978150467</v>
      </c>
      <c r="EQ147" s="173">
        <f t="shared" si="418"/>
        <v>0.25900000000000001</v>
      </c>
      <c r="ER147" s="173">
        <f t="shared" si="475"/>
        <v>2.2939999999999999E-2</v>
      </c>
      <c r="ES147" s="528"/>
      <c r="EU147" s="460">
        <f t="shared" si="420"/>
        <v>281.94</v>
      </c>
      <c r="EV147" s="528">
        <f t="shared" si="421"/>
        <v>6.9985638779164652E-2</v>
      </c>
      <c r="EW147" s="528">
        <f t="shared" si="422"/>
        <v>1.7009060307341114E-2</v>
      </c>
      <c r="EX147" s="528">
        <f t="shared" si="423"/>
        <v>2.8425103002846249E-5</v>
      </c>
      <c r="EY147" s="528">
        <f t="shared" si="424"/>
        <v>0.40865049202349185</v>
      </c>
      <c r="EZ147" s="528"/>
      <c r="FA147" s="625">
        <f t="shared" si="425"/>
        <v>0.38294122320481766</v>
      </c>
      <c r="FB147" s="460">
        <f t="shared" si="426"/>
        <v>878.61483941781819</v>
      </c>
      <c r="FC147" s="173">
        <f t="shared" si="427"/>
        <v>1.7211529691993228</v>
      </c>
      <c r="FD147" s="5">
        <f t="shared" si="428"/>
        <v>9.5459999999999994</v>
      </c>
      <c r="FE147" s="173">
        <f t="shared" si="429"/>
        <v>0.84724153706758154</v>
      </c>
      <c r="FF147" s="5">
        <f t="shared" si="430"/>
        <v>84.724153706758159</v>
      </c>
      <c r="FG147">
        <f t="shared" si="431"/>
        <v>37</v>
      </c>
      <c r="FI147" s="562">
        <f t="shared" si="432"/>
        <v>-50</v>
      </c>
      <c r="FJ147">
        <f t="shared" si="433"/>
        <v>-50</v>
      </c>
    </row>
    <row r="148" spans="5:166">
      <c r="E148" s="170">
        <v>38</v>
      </c>
      <c r="F148" s="217">
        <f t="shared" si="476"/>
        <v>0.38</v>
      </c>
      <c r="G148" s="217">
        <f t="shared" si="444"/>
        <v>3.8000000000000006E-2</v>
      </c>
      <c r="H148" s="217">
        <f t="shared" si="445"/>
        <v>9.120000000000001</v>
      </c>
      <c r="I148" s="217">
        <f t="shared" si="446"/>
        <v>0.68400000000000016</v>
      </c>
      <c r="J148" s="541">
        <f t="shared" si="447"/>
        <v>8.8533148566440918</v>
      </c>
      <c r="K148" s="443">
        <f t="shared" si="448"/>
        <v>16.496839258993056</v>
      </c>
      <c r="L148" s="172">
        <f t="shared" si="449"/>
        <v>25.350154115637146</v>
      </c>
      <c r="M148" s="443"/>
      <c r="N148" s="217">
        <f t="shared" si="450"/>
        <v>0.65075893360415682</v>
      </c>
      <c r="O148" s="172">
        <f t="shared" si="451"/>
        <v>29.774541266002828</v>
      </c>
      <c r="P148" s="172">
        <f t="shared" si="452"/>
        <v>2.4005723895714781</v>
      </c>
      <c r="Q148" s="217">
        <f t="shared" si="322"/>
        <v>1.2406058860834512</v>
      </c>
      <c r="R148" s="217">
        <f t="shared" si="453"/>
        <v>1.6541411814446016</v>
      </c>
      <c r="S148" s="217">
        <f t="shared" si="454"/>
        <v>24</v>
      </c>
      <c r="T148" s="217">
        <f t="shared" si="455"/>
        <v>3.4033549812919466</v>
      </c>
      <c r="U148" s="217">
        <f t="shared" si="326"/>
        <v>3.8441589804499636</v>
      </c>
      <c r="V148" s="217">
        <f t="shared" si="327"/>
        <v>2.0630345776307712</v>
      </c>
      <c r="W148" s="197">
        <f t="shared" si="328"/>
        <v>259.26181807371955</v>
      </c>
      <c r="X148" s="443">
        <f t="shared" si="435"/>
        <v>163.74133069302343</v>
      </c>
      <c r="Z148" s="217">
        <f t="shared" si="329"/>
        <v>2.2222222222222223</v>
      </c>
      <c r="AA148" s="173">
        <f t="shared" si="330"/>
        <v>1.3470593895802219</v>
      </c>
      <c r="AB148" s="173">
        <f t="shared" si="456"/>
        <v>0.24076877652302581</v>
      </c>
      <c r="AC148" s="173"/>
      <c r="AD148" s="173">
        <f t="shared" si="332"/>
        <v>1.3470593895802219</v>
      </c>
      <c r="AE148" s="545">
        <f t="shared" si="457"/>
        <v>380.63921468651125</v>
      </c>
      <c r="AF148" s="528">
        <f t="shared" si="458"/>
        <v>0.2588264347622527</v>
      </c>
      <c r="AH148" s="173">
        <f t="shared" si="459"/>
        <v>2.3669148092581858</v>
      </c>
      <c r="AI148" s="173">
        <f t="shared" si="460"/>
        <v>3.4033549812919466</v>
      </c>
      <c r="AJ148" s="173">
        <f t="shared" si="461"/>
        <v>2.0749131548664623</v>
      </c>
      <c r="AL148" s="545">
        <f t="shared" si="462"/>
        <v>380</v>
      </c>
      <c r="AM148" s="460">
        <f t="shared" si="463"/>
        <v>163.74133069302343</v>
      </c>
      <c r="AO148" s="460">
        <f t="shared" si="340"/>
        <v>380</v>
      </c>
      <c r="AP148" s="460">
        <f t="shared" si="341"/>
        <v>163.74133069302343</v>
      </c>
      <c r="AR148" s="5">
        <f t="shared" si="443"/>
        <v>6.1071935580807351</v>
      </c>
      <c r="AS148" s="5">
        <f t="shared" si="440"/>
        <v>3.8441589804499636</v>
      </c>
      <c r="AT148" s="5">
        <f t="shared" si="441"/>
        <v>2.2630345776307714</v>
      </c>
      <c r="AU148" s="173">
        <f t="shared" si="442"/>
        <v>0.62944770685441331</v>
      </c>
      <c r="AW148" s="5">
        <f t="shared" si="342"/>
        <v>6.0865850523791094</v>
      </c>
      <c r="AX148" s="5">
        <f t="shared" si="343"/>
        <v>0.81154467365054794</v>
      </c>
      <c r="AY148" s="5">
        <f t="shared" si="344"/>
        <v>1.9426692790764797</v>
      </c>
      <c r="AZ148" s="5"/>
      <c r="BA148" s="173">
        <f t="shared" si="345"/>
        <v>1.5589294100061386</v>
      </c>
      <c r="BB148" s="173">
        <f t="shared" si="346"/>
        <v>0.7978058362099173</v>
      </c>
      <c r="BC148" s="173">
        <f t="shared" si="347"/>
        <v>7.9888395220479538E-2</v>
      </c>
      <c r="BD148" s="173"/>
      <c r="BE148" s="528">
        <f t="shared" si="348"/>
        <v>9.7210436215283511E-2</v>
      </c>
      <c r="BF148" s="528">
        <f t="shared" si="464"/>
        <v>0.31785473646334245</v>
      </c>
      <c r="BG148" s="528">
        <f t="shared" si="465"/>
        <v>5.7986142226848704E-2</v>
      </c>
      <c r="BH148" s="528">
        <f t="shared" si="351"/>
        <v>1.8414399973674524E-2</v>
      </c>
      <c r="BI148">
        <f t="shared" si="352"/>
        <v>3.9839916854898412E-3</v>
      </c>
      <c r="BJ148" s="460">
        <f t="shared" si="436"/>
        <v>61.970133912338547</v>
      </c>
      <c r="BK148">
        <f t="shared" si="466"/>
        <v>0.47059583641611885</v>
      </c>
      <c r="BL148" s="460">
        <f t="shared" si="437"/>
        <v>495.44970656463903</v>
      </c>
      <c r="BM148" s="173">
        <f t="shared" si="467"/>
        <v>0.32983999999999997</v>
      </c>
      <c r="BN148" s="173">
        <f t="shared" si="468"/>
        <v>3.2983999999999999E-2</v>
      </c>
      <c r="BO148" s="528"/>
      <c r="BQ148" s="460">
        <f t="shared" si="356"/>
        <v>362.82399999999996</v>
      </c>
      <c r="BR148" s="528">
        <f t="shared" si="357"/>
        <v>7.2907827161462629E-2</v>
      </c>
      <c r="BS148" s="528">
        <f t="shared" si="358"/>
        <v>1.9094824568718159E-2</v>
      </c>
      <c r="BT148" s="528">
        <f t="shared" si="359"/>
        <v>3.1910778454517689E-5</v>
      </c>
      <c r="BU148" s="528">
        <f t="shared" si="360"/>
        <v>0.36655058556197867</v>
      </c>
      <c r="BV148" s="528"/>
      <c r="BW148" s="625">
        <f t="shared" si="469"/>
        <v>0.3793174399510848</v>
      </c>
      <c r="BX148" s="460">
        <f t="shared" si="362"/>
        <v>837.90258802169876</v>
      </c>
      <c r="BY148" s="173">
        <f t="shared" si="363"/>
        <v>1.6961762945863377</v>
      </c>
      <c r="BZ148" s="5">
        <f t="shared" si="364"/>
        <v>9.804000000000002</v>
      </c>
      <c r="CA148" s="173">
        <f t="shared" si="365"/>
        <v>0.85250867020318588</v>
      </c>
      <c r="CB148" s="5">
        <f t="shared" si="366"/>
        <v>85.250867020318594</v>
      </c>
      <c r="CC148">
        <f t="shared" si="367"/>
        <v>38</v>
      </c>
      <c r="CE148" s="562">
        <f t="shared" si="470"/>
        <v>-50</v>
      </c>
      <c r="CF148">
        <f t="shared" si="471"/>
        <v>-50</v>
      </c>
      <c r="CG148" s="173">
        <f t="shared" si="370"/>
        <v>0.34658417599272728</v>
      </c>
      <c r="CH148" s="173">
        <f t="shared" si="472"/>
        <v>9.446712174985028E-2</v>
      </c>
      <c r="CI148" s="170">
        <v>38</v>
      </c>
      <c r="CJ148" s="217">
        <f t="shared" si="438"/>
        <v>0.38</v>
      </c>
      <c r="CK148" s="217">
        <f t="shared" si="372"/>
        <v>3.8000000000000006E-2</v>
      </c>
      <c r="CL148" s="217">
        <f t="shared" si="373"/>
        <v>9.120000000000001</v>
      </c>
      <c r="CM148" s="217">
        <f t="shared" si="374"/>
        <v>0.68400000000000016</v>
      </c>
      <c r="CN148" s="541">
        <f t="shared" si="375"/>
        <v>9</v>
      </c>
      <c r="CO148" s="443">
        <f t="shared" si="473"/>
        <v>16.474900000000002</v>
      </c>
      <c r="CP148" s="443">
        <f t="shared" si="474"/>
        <v>25.474900000000002</v>
      </c>
      <c r="CQ148" s="443"/>
      <c r="CR148" s="217">
        <f t="shared" si="378"/>
        <v>0.64485133082098534</v>
      </c>
      <c r="CS148" s="172">
        <f t="shared" si="379"/>
        <v>29.993085154464438</v>
      </c>
      <c r="CT148" s="172">
        <f t="shared" si="380"/>
        <v>2.4181924905786953</v>
      </c>
      <c r="CU148" s="217">
        <f t="shared" si="381"/>
        <v>1.2497118814360182</v>
      </c>
      <c r="CV148" s="217">
        <f t="shared" si="382"/>
        <v>1.6662825085813577</v>
      </c>
      <c r="CW148" s="217">
        <f t="shared" si="383"/>
        <v>24</v>
      </c>
      <c r="CX148" s="217">
        <f t="shared" si="384"/>
        <v>3.378556517659538</v>
      </c>
      <c r="CY148" s="217">
        <f t="shared" si="385"/>
        <v>3.7539516862883757</v>
      </c>
      <c r="CZ148" s="217">
        <f t="shared" si="386"/>
        <v>2.0507296054358677</v>
      </c>
      <c r="DA148" s="197">
        <f t="shared" si="387"/>
        <v>261.91798593910079</v>
      </c>
      <c r="DB148" s="443">
        <f t="shared" si="388"/>
        <v>172.27474683678221</v>
      </c>
      <c r="DD148" s="217">
        <f t="shared" si="389"/>
        <v>2.2222222222222228</v>
      </c>
      <c r="DE148" s="173">
        <f t="shared" si="390"/>
        <v>1.3488532386977905</v>
      </c>
      <c r="DF148" s="173">
        <f t="shared" si="391"/>
        <v>0.24355939229558116</v>
      </c>
      <c r="DG148" s="173"/>
      <c r="DH148" s="173">
        <f t="shared" si="392"/>
        <v>1.3488532386977903</v>
      </c>
      <c r="DI148" s="545">
        <f t="shared" si="393"/>
        <v>380.13299999999987</v>
      </c>
      <c r="DJ148" s="528">
        <f t="shared" si="394"/>
        <v>0.26182634671774968</v>
      </c>
      <c r="DL148" s="173">
        <f t="shared" si="395"/>
        <v>2.3669148092581858</v>
      </c>
      <c r="DM148" s="173">
        <f t="shared" si="396"/>
        <v>3.378556517659538</v>
      </c>
      <c r="DN148" s="173">
        <f t="shared" si="397"/>
        <v>2.0565439225461599</v>
      </c>
      <c r="DP148" s="545">
        <f t="shared" si="398"/>
        <v>380</v>
      </c>
      <c r="DQ148" s="460">
        <f t="shared" si="399"/>
        <v>172.27474683678221</v>
      </c>
      <c r="DS148" s="460">
        <f t="shared" si="400"/>
        <v>380</v>
      </c>
      <c r="DT148" s="460">
        <f t="shared" si="401"/>
        <v>172.27474683678221</v>
      </c>
      <c r="DV148" s="5">
        <f t="shared" si="402"/>
        <v>5.8046812917242434</v>
      </c>
      <c r="DW148" s="5">
        <f t="shared" si="403"/>
        <v>3.7539516862883757</v>
      </c>
      <c r="DX148" s="5">
        <f t="shared" si="404"/>
        <v>2.0507296054358677</v>
      </c>
      <c r="DY148" s="173">
        <f t="shared" si="405"/>
        <v>0.64671107639284164</v>
      </c>
      <c r="EA148" s="5">
        <f t="shared" si="406"/>
        <v>5.9437568366232618</v>
      </c>
      <c r="EB148" s="5">
        <f t="shared" si="407"/>
        <v>0.79250091154976843</v>
      </c>
      <c r="EC148" s="5">
        <f t="shared" si="408"/>
        <v>1.731727222368066</v>
      </c>
      <c r="ED148" s="5"/>
      <c r="EE148" s="173">
        <f t="shared" si="409"/>
        <v>1.5686487603851436</v>
      </c>
      <c r="EF148" s="173">
        <f t="shared" si="410"/>
        <v>0.77332385225564371</v>
      </c>
      <c r="EG148" s="173">
        <f t="shared" si="411"/>
        <v>7.7436888448842126E-2</v>
      </c>
      <c r="EH148" s="173"/>
      <c r="EI148" s="528">
        <f t="shared" si="412"/>
        <v>9.8426357338313897E-2</v>
      </c>
      <c r="EJ148" s="528">
        <f t="shared" si="413"/>
        <v>0.40775377500000004</v>
      </c>
      <c r="EK148" s="528">
        <f t="shared" si="414"/>
        <v>3.4454949367356442E-2</v>
      </c>
      <c r="EL148" s="528">
        <f t="shared" si="415"/>
        <v>1.9565215908350898E-2</v>
      </c>
      <c r="EM148">
        <f t="shared" si="416"/>
        <v>4.0499999999999998E-3</v>
      </c>
      <c r="EN148" s="460">
        <f t="shared" si="417"/>
        <v>38.504949367356438</v>
      </c>
      <c r="EP148" s="460">
        <f t="shared" si="439"/>
        <v>564.25029761402129</v>
      </c>
      <c r="EQ148" s="173">
        <f t="shared" si="418"/>
        <v>0.26599999999999996</v>
      </c>
      <c r="ER148" s="173">
        <f t="shared" si="475"/>
        <v>2.3560000000000005E-2</v>
      </c>
      <c r="ES148" s="528"/>
      <c r="EU148" s="460">
        <f t="shared" si="420"/>
        <v>289.56</v>
      </c>
      <c r="EV148" s="528">
        <f t="shared" si="421"/>
        <v>7.3819768003735423E-2</v>
      </c>
      <c r="EW148" s="528">
        <f t="shared" si="422"/>
        <v>1.7940893414025258E-2</v>
      </c>
      <c r="EX148" s="528">
        <f t="shared" si="423"/>
        <v>2.9982358463192094E-5</v>
      </c>
      <c r="EY148" s="528">
        <f t="shared" si="424"/>
        <v>0.40865049202349135</v>
      </c>
      <c r="EZ148" s="528"/>
      <c r="FA148" s="625">
        <f t="shared" si="425"/>
        <v>0.39329098599413709</v>
      </c>
      <c r="FB148" s="460">
        <f t="shared" si="426"/>
        <v>893.73212179385234</v>
      </c>
      <c r="FC148" s="173">
        <f t="shared" si="427"/>
        <v>1.7475424194078737</v>
      </c>
      <c r="FD148" s="5">
        <f t="shared" si="428"/>
        <v>9.804000000000002</v>
      </c>
      <c r="FE148" s="173">
        <f t="shared" si="429"/>
        <v>0.84871782867093082</v>
      </c>
      <c r="FF148" s="5">
        <f t="shared" si="430"/>
        <v>84.871782867093088</v>
      </c>
      <c r="FG148">
        <f t="shared" si="431"/>
        <v>38</v>
      </c>
      <c r="FI148" s="562">
        <f t="shared" si="432"/>
        <v>-50</v>
      </c>
      <c r="FJ148">
        <f t="shared" si="433"/>
        <v>-50</v>
      </c>
    </row>
    <row r="149" spans="5:166">
      <c r="E149" s="170">
        <v>39</v>
      </c>
      <c r="F149" s="217">
        <f t="shared" si="476"/>
        <v>0.39</v>
      </c>
      <c r="G149" s="217">
        <f t="shared" si="444"/>
        <v>3.9000000000000007E-2</v>
      </c>
      <c r="H149" s="217">
        <f t="shared" si="445"/>
        <v>9.36</v>
      </c>
      <c r="I149" s="217">
        <f t="shared" si="446"/>
        <v>0.70200000000000018</v>
      </c>
      <c r="J149" s="541">
        <f t="shared" si="447"/>
        <v>8.84945472129262</v>
      </c>
      <c r="K149" s="443">
        <f t="shared" si="448"/>
        <v>16.497416607913927</v>
      </c>
      <c r="L149" s="172">
        <f t="shared" si="449"/>
        <v>25.346871329206547</v>
      </c>
      <c r="M149" s="443"/>
      <c r="N149" s="217">
        <f t="shared" si="450"/>
        <v>0.65086599421461455</v>
      </c>
      <c r="O149" s="172">
        <f t="shared" si="451"/>
        <v>29.766455531944889</v>
      </c>
      <c r="P149" s="172">
        <f t="shared" si="452"/>
        <v>2.3999204772630565</v>
      </c>
      <c r="Q149" s="217">
        <f t="shared" si="322"/>
        <v>1.2402689804977036</v>
      </c>
      <c r="R149" s="217">
        <f t="shared" si="453"/>
        <v>1.6536919739969382</v>
      </c>
      <c r="S149" s="217">
        <f t="shared" si="454"/>
        <v>24</v>
      </c>
      <c r="T149" s="217">
        <f t="shared" si="455"/>
        <v>3.4938657674034732</v>
      </c>
      <c r="U149" s="217">
        <f t="shared" si="326"/>
        <v>3.9481141804103523</v>
      </c>
      <c r="V149" s="217">
        <f t="shared" si="327"/>
        <v>2.1178259908447981</v>
      </c>
      <c r="W149" s="197">
        <f t="shared" si="328"/>
        <v>259.19141154441007</v>
      </c>
      <c r="X149" s="443">
        <f t="shared" si="435"/>
        <v>159.59296971705476</v>
      </c>
      <c r="Z149" s="217">
        <f t="shared" si="329"/>
        <v>2.2222222222222223</v>
      </c>
      <c r="AA149" s="173">
        <f t="shared" si="330"/>
        <v>1.3470122474546755</v>
      </c>
      <c r="AB149" s="173">
        <f t="shared" si="456"/>
        <v>0.240694968329563</v>
      </c>
      <c r="AC149" s="173"/>
      <c r="AD149" s="173">
        <f t="shared" si="332"/>
        <v>1.3470122474546755</v>
      </c>
      <c r="AE149" s="545">
        <f t="shared" si="457"/>
        <v>390.66970812893607</v>
      </c>
      <c r="AF149" s="528">
        <f t="shared" si="458"/>
        <v>0.25874709095428017</v>
      </c>
      <c r="AH149" s="173">
        <f t="shared" si="459"/>
        <v>2.3978561853693989</v>
      </c>
      <c r="AI149" s="173">
        <f t="shared" si="460"/>
        <v>3.4938657674034732</v>
      </c>
      <c r="AJ149" s="173">
        <f t="shared" si="461"/>
        <v>2.1419581816157414</v>
      </c>
      <c r="AL149" s="545">
        <f t="shared" si="462"/>
        <v>390</v>
      </c>
      <c r="AM149" s="460">
        <f t="shared" si="463"/>
        <v>159.59296971705476</v>
      </c>
      <c r="AO149" s="460">
        <f t="shared" si="340"/>
        <v>390</v>
      </c>
      <c r="AP149" s="460">
        <f t="shared" si="341"/>
        <v>159.59296971705476</v>
      </c>
      <c r="AR149" s="5">
        <f t="shared" si="443"/>
        <v>6.2659401712551501</v>
      </c>
      <c r="AS149" s="5">
        <f t="shared" si="440"/>
        <v>3.9481141804103523</v>
      </c>
      <c r="AT149" s="5">
        <f t="shared" si="441"/>
        <v>2.3178259908447978</v>
      </c>
      <c r="AU149" s="173">
        <f t="shared" si="442"/>
        <v>0.63009126683370376</v>
      </c>
      <c r="AW149" s="5">
        <f t="shared" si="342"/>
        <v>6.4156855431668225</v>
      </c>
      <c r="AX149" s="5">
        <f t="shared" si="343"/>
        <v>0.85542473908890981</v>
      </c>
      <c r="AY149" s="5">
        <f t="shared" si="344"/>
        <v>2.0429555603114782</v>
      </c>
      <c r="AZ149" s="5"/>
      <c r="BA149" s="173">
        <f t="shared" si="345"/>
        <v>1.6012064038907832</v>
      </c>
      <c r="BB149" s="173">
        <f t="shared" si="346"/>
        <v>0.81831161302574618</v>
      </c>
      <c r="BC149" s="173">
        <f t="shared" si="347"/>
        <v>8.1941743952983495E-2</v>
      </c>
      <c r="BD149" s="173"/>
      <c r="BE149" s="528">
        <f t="shared" si="348"/>
        <v>0.10255447791443416</v>
      </c>
      <c r="BF149" s="528">
        <f t="shared" si="464"/>
        <v>0.31799980236301995</v>
      </c>
      <c r="BG149" s="528">
        <f t="shared" si="465"/>
        <v>5.6492430373908012E-2</v>
      </c>
      <c r="BH149" s="528">
        <f t="shared" si="351"/>
        <v>1.7943225917981483E-2</v>
      </c>
      <c r="BI149">
        <f t="shared" si="352"/>
        <v>3.9822546245816791E-3</v>
      </c>
      <c r="BJ149" s="460">
        <f t="shared" si="436"/>
        <v>60.474684998489693</v>
      </c>
      <c r="BK149">
        <f t="shared" si="466"/>
        <v>0.47783048385111432</v>
      </c>
      <c r="BL149" s="460">
        <f t="shared" si="437"/>
        <v>498.97219119392525</v>
      </c>
      <c r="BM149" s="173">
        <f t="shared" si="467"/>
        <v>0.33851999999999993</v>
      </c>
      <c r="BN149" s="173">
        <f t="shared" si="468"/>
        <v>3.3852000000000007E-2</v>
      </c>
      <c r="BO149" s="528"/>
      <c r="BQ149" s="460">
        <f t="shared" si="356"/>
        <v>372.3719999999999</v>
      </c>
      <c r="BR149" s="528">
        <f t="shared" si="357"/>
        <v>7.6915858435825615E-2</v>
      </c>
      <c r="BS149" s="528">
        <f t="shared" si="358"/>
        <v>2.0089016880383954E-2</v>
      </c>
      <c r="BT149" s="528">
        <f t="shared" si="359"/>
        <v>3.3572247010281535E-5</v>
      </c>
      <c r="BU149" s="528">
        <f t="shared" si="360"/>
        <v>0.36708778530130559</v>
      </c>
      <c r="BV149" s="528"/>
      <c r="BW149" s="625">
        <f t="shared" si="469"/>
        <v>0.38963340430965593</v>
      </c>
      <c r="BX149" s="460">
        <f t="shared" si="362"/>
        <v>853.75963717418131</v>
      </c>
      <c r="BY149" s="173">
        <f t="shared" si="363"/>
        <v>1.7251038283681066</v>
      </c>
      <c r="BZ149" s="5">
        <f t="shared" si="364"/>
        <v>10.061999999999999</v>
      </c>
      <c r="CA149" s="173">
        <f t="shared" si="365"/>
        <v>0.85364480931980191</v>
      </c>
      <c r="CB149" s="5">
        <f t="shared" si="366"/>
        <v>85.364480931980196</v>
      </c>
      <c r="CC149">
        <f t="shared" si="367"/>
        <v>39</v>
      </c>
      <c r="CE149" s="562">
        <f t="shared" si="470"/>
        <v>-50</v>
      </c>
      <c r="CF149">
        <f t="shared" si="471"/>
        <v>-50</v>
      </c>
      <c r="CG149" s="173">
        <f t="shared" si="370"/>
        <v>0.34658417599272739</v>
      </c>
      <c r="CH149" s="173">
        <f t="shared" si="472"/>
        <v>9.446712174985028E-2</v>
      </c>
      <c r="CI149" s="170">
        <v>39</v>
      </c>
      <c r="CJ149" s="217">
        <f t="shared" si="438"/>
        <v>0.39</v>
      </c>
      <c r="CK149" s="217">
        <f t="shared" si="372"/>
        <v>3.9000000000000007E-2</v>
      </c>
      <c r="CL149" s="217">
        <f t="shared" si="373"/>
        <v>9.36</v>
      </c>
      <c r="CM149" s="217">
        <f t="shared" si="374"/>
        <v>0.70200000000000018</v>
      </c>
      <c r="CN149" s="541">
        <f t="shared" si="375"/>
        <v>9</v>
      </c>
      <c r="CO149" s="443">
        <f t="shared" si="473"/>
        <v>16.474900000000002</v>
      </c>
      <c r="CP149" s="443">
        <f t="shared" si="474"/>
        <v>25.474900000000002</v>
      </c>
      <c r="CQ149" s="443"/>
      <c r="CR149" s="217">
        <f t="shared" si="378"/>
        <v>0.64485133082098534</v>
      </c>
      <c r="CS149" s="172">
        <f t="shared" si="379"/>
        <v>29.993085154464438</v>
      </c>
      <c r="CT149" s="172">
        <f t="shared" si="380"/>
        <v>2.4181924905786953</v>
      </c>
      <c r="CU149" s="217">
        <f t="shared" si="381"/>
        <v>1.2497118814360182</v>
      </c>
      <c r="CV149" s="217">
        <f t="shared" si="382"/>
        <v>1.6662825085813577</v>
      </c>
      <c r="CW149" s="217">
        <f t="shared" si="383"/>
        <v>24</v>
      </c>
      <c r="CX149" s="217">
        <f t="shared" si="384"/>
        <v>3.4674658997032091</v>
      </c>
      <c r="CY149" s="217">
        <f t="shared" si="385"/>
        <v>3.8527398885591215</v>
      </c>
      <c r="CZ149" s="217">
        <f t="shared" si="386"/>
        <v>2.1046961739999688</v>
      </c>
      <c r="DA149" s="197">
        <f t="shared" si="387"/>
        <v>261.91798593910079</v>
      </c>
      <c r="DB149" s="443">
        <f t="shared" si="388"/>
        <v>167.85744563583913</v>
      </c>
      <c r="DD149" s="217">
        <f t="shared" si="389"/>
        <v>2.2222222222222228</v>
      </c>
      <c r="DE149" s="173">
        <f t="shared" si="390"/>
        <v>1.3488532386977905</v>
      </c>
      <c r="DF149" s="173">
        <f t="shared" si="391"/>
        <v>0.24355939229558116</v>
      </c>
      <c r="DG149" s="173"/>
      <c r="DH149" s="173">
        <f t="shared" si="392"/>
        <v>1.3488532386977903</v>
      </c>
      <c r="DI149" s="545">
        <f t="shared" si="393"/>
        <v>390.1364999999999</v>
      </c>
      <c r="DJ149" s="528">
        <f t="shared" si="394"/>
        <v>0.26182634671774968</v>
      </c>
      <c r="DL149" s="173">
        <f t="shared" si="395"/>
        <v>2.3978561853693989</v>
      </c>
      <c r="DM149" s="173">
        <f t="shared" si="396"/>
        <v>3.4674658997032091</v>
      </c>
      <c r="DN149" s="173">
        <f t="shared" si="397"/>
        <v>2.1224027240599899</v>
      </c>
      <c r="DP149" s="545">
        <f t="shared" si="398"/>
        <v>390</v>
      </c>
      <c r="DQ149" s="460">
        <f t="shared" si="399"/>
        <v>167.85744563583913</v>
      </c>
      <c r="DS149" s="460">
        <f t="shared" si="400"/>
        <v>390</v>
      </c>
      <c r="DT149" s="460">
        <f t="shared" si="401"/>
        <v>167.85744563583913</v>
      </c>
      <c r="DV149" s="5">
        <f t="shared" si="402"/>
        <v>5.9574360625590899</v>
      </c>
      <c r="DW149" s="5">
        <f t="shared" si="403"/>
        <v>3.8527398885591215</v>
      </c>
      <c r="DX149" s="5">
        <f t="shared" si="404"/>
        <v>2.1046961739999683</v>
      </c>
      <c r="DY149" s="173">
        <f t="shared" si="405"/>
        <v>0.64671107639284164</v>
      </c>
      <c r="EA149" s="5">
        <f t="shared" si="406"/>
        <v>6.2607023189085727</v>
      </c>
      <c r="EB149" s="5">
        <f t="shared" si="407"/>
        <v>0.83476030918780975</v>
      </c>
      <c r="EC149" s="5">
        <f t="shared" si="408"/>
        <v>1.8240700174666389</v>
      </c>
      <c r="ED149" s="5"/>
      <c r="EE149" s="173">
        <f t="shared" si="409"/>
        <v>1.6099289909215944</v>
      </c>
      <c r="EF149" s="173">
        <f t="shared" si="410"/>
        <v>0.79367447994658136</v>
      </c>
      <c r="EG149" s="173">
        <f t="shared" si="411"/>
        <v>7.9474701302759007E-2</v>
      </c>
      <c r="EH149" s="173"/>
      <c r="EI149" s="528">
        <f t="shared" si="412"/>
        <v>0.10367485423239294</v>
      </c>
      <c r="EJ149" s="528">
        <f t="shared" si="413"/>
        <v>0.40775377500000004</v>
      </c>
      <c r="EK149" s="528">
        <f t="shared" si="414"/>
        <v>3.3571489127167828E-2</v>
      </c>
      <c r="EL149" s="528">
        <f t="shared" si="415"/>
        <v>1.9063543705572675E-2</v>
      </c>
      <c r="EM149">
        <f t="shared" si="416"/>
        <v>4.0499999999999998E-3</v>
      </c>
      <c r="EN149" s="460">
        <f t="shared" si="417"/>
        <v>37.621489127167827</v>
      </c>
      <c r="EP149" s="460">
        <f t="shared" si="439"/>
        <v>568.11366206513344</v>
      </c>
      <c r="EQ149" s="173">
        <f t="shared" si="418"/>
        <v>0.27299999999999996</v>
      </c>
      <c r="ER149" s="173">
        <f t="shared" si="475"/>
        <v>2.4180000000000004E-2</v>
      </c>
      <c r="ES149" s="528"/>
      <c r="EU149" s="460">
        <f t="shared" si="420"/>
        <v>297.17999999999995</v>
      </c>
      <c r="EV149" s="528">
        <f t="shared" si="421"/>
        <v>7.7756140674294691E-2</v>
      </c>
      <c r="EW149" s="528">
        <f t="shared" si="422"/>
        <v>1.889757540355429E-2</v>
      </c>
      <c r="EX149" s="528">
        <f t="shared" si="423"/>
        <v>3.1581140735813819E-5</v>
      </c>
      <c r="EY149" s="528">
        <f t="shared" si="424"/>
        <v>0.40865049202349224</v>
      </c>
      <c r="EZ149" s="528"/>
      <c r="FA149" s="625">
        <f t="shared" si="425"/>
        <v>0.4036407487834564</v>
      </c>
      <c r="FB149" s="460">
        <f t="shared" si="426"/>
        <v>908.9765380255335</v>
      </c>
      <c r="FC149" s="173">
        <f t="shared" si="427"/>
        <v>1.7742702000906667</v>
      </c>
      <c r="FD149" s="5">
        <f t="shared" si="428"/>
        <v>10.061999999999999</v>
      </c>
      <c r="FE149" s="173">
        <f t="shared" si="429"/>
        <v>0.85009887658047245</v>
      </c>
      <c r="FF149" s="5">
        <f t="shared" si="430"/>
        <v>85.009887658047248</v>
      </c>
      <c r="FG149">
        <f t="shared" si="431"/>
        <v>39</v>
      </c>
      <c r="FI149" s="562">
        <f t="shared" si="432"/>
        <v>-50</v>
      </c>
      <c r="FJ149">
        <f t="shared" si="433"/>
        <v>-50</v>
      </c>
    </row>
    <row r="150" spans="5:166">
      <c r="E150" s="170">
        <v>40</v>
      </c>
      <c r="F150" s="217">
        <f t="shared" si="476"/>
        <v>0.4</v>
      </c>
      <c r="G150" s="217">
        <f t="shared" si="444"/>
        <v>4.0000000000000008E-2</v>
      </c>
      <c r="H150" s="217">
        <f t="shared" si="445"/>
        <v>9.6000000000000014</v>
      </c>
      <c r="I150" s="217">
        <f t="shared" si="446"/>
        <v>0.7200000000000002</v>
      </c>
      <c r="J150" s="541">
        <f t="shared" si="447"/>
        <v>8.84559458594115</v>
      </c>
      <c r="K150" s="443">
        <f t="shared" si="448"/>
        <v>16.497993956834801</v>
      </c>
      <c r="L150" s="172">
        <f t="shared" si="449"/>
        <v>25.343588542775951</v>
      </c>
      <c r="M150" s="443"/>
      <c r="N150" s="217">
        <f t="shared" si="450"/>
        <v>0.65097308256045938</v>
      </c>
      <c r="O150" s="172">
        <f t="shared" si="451"/>
        <v>29.75836679426471</v>
      </c>
      <c r="P150" s="172">
        <f t="shared" si="452"/>
        <v>2.3992683227875919</v>
      </c>
      <c r="Q150" s="217">
        <f t="shared" si="322"/>
        <v>1.2399319497610295</v>
      </c>
      <c r="R150" s="217">
        <f t="shared" si="453"/>
        <v>1.6532425996813727</v>
      </c>
      <c r="S150" s="217">
        <f t="shared" si="454"/>
        <v>24</v>
      </c>
      <c r="T150" s="217">
        <f t="shared" si="455"/>
        <v>3.584426101207423</v>
      </c>
      <c r="U150" s="217">
        <f t="shared" si="326"/>
        <v>4.0522161245151036</v>
      </c>
      <c r="V150" s="217">
        <f t="shared" si="327"/>
        <v>2.1726436017528452</v>
      </c>
      <c r="W150" s="197">
        <f t="shared" si="328"/>
        <v>259.12097886105983</v>
      </c>
      <c r="X150" s="443">
        <f t="shared" si="435"/>
        <v>155.64542147301893</v>
      </c>
      <c r="Z150" s="217">
        <f t="shared" si="329"/>
        <v>2.2222222222222232</v>
      </c>
      <c r="AA150" s="173">
        <f t="shared" si="330"/>
        <v>1.3469651086286158</v>
      </c>
      <c r="AB150" s="173">
        <f t="shared" si="456"/>
        <v>0.24062114101516671</v>
      </c>
      <c r="AC150" s="173"/>
      <c r="AD150" s="173">
        <f t="shared" si="332"/>
        <v>1.3469651086286154</v>
      </c>
      <c r="AE150" s="545">
        <f t="shared" si="457"/>
        <v>400.70090269973565</v>
      </c>
      <c r="AF150" s="528">
        <f t="shared" si="458"/>
        <v>0.25866772659130399</v>
      </c>
      <c r="AH150" s="173">
        <f t="shared" si="459"/>
        <v>2.4284033555286606</v>
      </c>
      <c r="AI150" s="173">
        <f t="shared" si="460"/>
        <v>3.584426101207423</v>
      </c>
      <c r="AJ150" s="173">
        <f t="shared" si="461"/>
        <v>2.2090399103594081</v>
      </c>
      <c r="AL150" s="545">
        <f t="shared" si="462"/>
        <v>400</v>
      </c>
      <c r="AM150" s="460">
        <f t="shared" si="463"/>
        <v>155.64542147301893</v>
      </c>
      <c r="AO150" s="460">
        <f t="shared" si="340"/>
        <v>400</v>
      </c>
      <c r="AP150" s="460">
        <f t="shared" si="341"/>
        <v>155.64542147301893</v>
      </c>
      <c r="AR150" s="5">
        <f t="shared" si="443"/>
        <v>6.4248597262679494</v>
      </c>
      <c r="AS150" s="5">
        <f t="shared" si="440"/>
        <v>4.0522161245151036</v>
      </c>
      <c r="AT150" s="5">
        <f t="shared" si="441"/>
        <v>2.3726436017528458</v>
      </c>
      <c r="AU150" s="173">
        <f t="shared" si="442"/>
        <v>0.63070888659991664</v>
      </c>
      <c r="AW150" s="5">
        <f t="shared" si="342"/>
        <v>6.7536935408585066</v>
      </c>
      <c r="AX150" s="5">
        <f t="shared" si="343"/>
        <v>0.9004924721144677</v>
      </c>
      <c r="AY150" s="5">
        <f t="shared" si="344"/>
        <v>2.1458307442883129</v>
      </c>
      <c r="AZ150" s="5"/>
      <c r="BA150" s="173">
        <f t="shared" si="345"/>
        <v>1.6435142685325985</v>
      </c>
      <c r="BB150" s="173">
        <f t="shared" si="346"/>
        <v>0.83882094514568983</v>
      </c>
      <c r="BC150" s="173">
        <f t="shared" si="347"/>
        <v>8.3995448696345412E-2</v>
      </c>
      <c r="BD150" s="173"/>
      <c r="BE150" s="528">
        <f t="shared" si="348"/>
        <v>0.10804556603480971</v>
      </c>
      <c r="BF150" s="528">
        <f t="shared" si="464"/>
        <v>0.31813145238651014</v>
      </c>
      <c r="BG150" s="528">
        <f t="shared" si="465"/>
        <v>5.5071051900330591E-2</v>
      </c>
      <c r="BH150" s="528">
        <f t="shared" si="351"/>
        <v>1.7494865853632961E-2</v>
      </c>
      <c r="BI150">
        <f t="shared" si="352"/>
        <v>3.980517563673517E-3</v>
      </c>
      <c r="BJ150" s="460">
        <f t="shared" si="436"/>
        <v>59.05156946400411</v>
      </c>
      <c r="BK150">
        <f t="shared" si="466"/>
        <v>0.48530269666773251</v>
      </c>
      <c r="BL150" s="460">
        <f t="shared" si="437"/>
        <v>502.72345373895689</v>
      </c>
      <c r="BM150" s="173">
        <f t="shared" si="467"/>
        <v>0.34719999999999995</v>
      </c>
      <c r="BN150" s="173">
        <f t="shared" si="468"/>
        <v>3.4720000000000008E-2</v>
      </c>
      <c r="BO150" s="528"/>
      <c r="BQ150" s="460">
        <f t="shared" si="356"/>
        <v>381.91999999999996</v>
      </c>
      <c r="BR150" s="528">
        <f t="shared" si="357"/>
        <v>8.1034174526107269E-2</v>
      </c>
      <c r="BS150" s="528">
        <f t="shared" si="358"/>
        <v>2.1108617340453249E-2</v>
      </c>
      <c r="BT150" s="528">
        <f t="shared" si="359"/>
        <v>3.5276177008501971E-5</v>
      </c>
      <c r="BU150" s="528">
        <f t="shared" si="360"/>
        <v>0.36758684163626537</v>
      </c>
      <c r="BV150" s="528"/>
      <c r="BW150" s="625">
        <f t="shared" si="469"/>
        <v>0.39994991400318758</v>
      </c>
      <c r="BX150" s="460">
        <f t="shared" si="362"/>
        <v>869.71482368302202</v>
      </c>
      <c r="BY150" s="173">
        <f t="shared" si="363"/>
        <v>1.7543582774219786</v>
      </c>
      <c r="BZ150" s="5">
        <f t="shared" si="364"/>
        <v>10.320000000000002</v>
      </c>
      <c r="CA150" s="173">
        <f t="shared" si="365"/>
        <v>0.85470380809367907</v>
      </c>
      <c r="CB150" s="5">
        <f t="shared" si="366"/>
        <v>85.47038080936791</v>
      </c>
      <c r="CC150">
        <f t="shared" si="367"/>
        <v>40</v>
      </c>
      <c r="CE150" s="562">
        <f t="shared" si="470"/>
        <v>-50</v>
      </c>
      <c r="CF150">
        <f t="shared" si="471"/>
        <v>-50</v>
      </c>
      <c r="CG150" s="173">
        <f t="shared" si="370"/>
        <v>0.34658417599272728</v>
      </c>
      <c r="CH150" s="173">
        <f t="shared" si="472"/>
        <v>9.446712174985028E-2</v>
      </c>
      <c r="CI150" s="170">
        <v>40</v>
      </c>
      <c r="CJ150" s="217">
        <f t="shared" si="438"/>
        <v>0.4</v>
      </c>
      <c r="CK150" s="217">
        <f t="shared" si="372"/>
        <v>4.0000000000000008E-2</v>
      </c>
      <c r="CL150" s="217">
        <f t="shared" si="373"/>
        <v>9.6000000000000014</v>
      </c>
      <c r="CM150" s="217">
        <f t="shared" si="374"/>
        <v>0.7200000000000002</v>
      </c>
      <c r="CN150" s="541">
        <f t="shared" si="375"/>
        <v>9</v>
      </c>
      <c r="CO150" s="443">
        <f t="shared" si="473"/>
        <v>16.474900000000002</v>
      </c>
      <c r="CP150" s="443">
        <f t="shared" si="474"/>
        <v>25.474900000000002</v>
      </c>
      <c r="CQ150" s="443"/>
      <c r="CR150" s="217">
        <f t="shared" si="378"/>
        <v>0.64485133082098534</v>
      </c>
      <c r="CS150" s="172">
        <f t="shared" si="379"/>
        <v>29.993085154464438</v>
      </c>
      <c r="CT150" s="172">
        <f t="shared" si="380"/>
        <v>2.4181924905786953</v>
      </c>
      <c r="CU150" s="217">
        <f t="shared" si="381"/>
        <v>1.2497118814360182</v>
      </c>
      <c r="CV150" s="217">
        <f t="shared" si="382"/>
        <v>1.6662825085813577</v>
      </c>
      <c r="CW150" s="217">
        <f t="shared" si="383"/>
        <v>24</v>
      </c>
      <c r="CX150" s="217">
        <f t="shared" si="384"/>
        <v>3.5563752817468823</v>
      </c>
      <c r="CY150" s="217">
        <f t="shared" si="385"/>
        <v>3.9515280908298696</v>
      </c>
      <c r="CZ150" s="217">
        <f t="shared" si="386"/>
        <v>2.1586627425640716</v>
      </c>
      <c r="DA150" s="197">
        <f t="shared" si="387"/>
        <v>261.91798593910079</v>
      </c>
      <c r="DB150" s="443">
        <f t="shared" si="388"/>
        <v>163.66100949494307</v>
      </c>
      <c r="DD150" s="217">
        <f t="shared" si="389"/>
        <v>2.2222222222222228</v>
      </c>
      <c r="DE150" s="173">
        <f t="shared" si="390"/>
        <v>1.3488532386977905</v>
      </c>
      <c r="DF150" s="173">
        <f t="shared" si="391"/>
        <v>0.24355939229558116</v>
      </c>
      <c r="DG150" s="173"/>
      <c r="DH150" s="173">
        <f t="shared" si="392"/>
        <v>1.3488532386977903</v>
      </c>
      <c r="DI150" s="545">
        <f t="shared" si="393"/>
        <v>400.13999999999987</v>
      </c>
      <c r="DJ150" s="528">
        <f t="shared" si="394"/>
        <v>0.26182634671774968</v>
      </c>
      <c r="DL150" s="173">
        <f t="shared" si="395"/>
        <v>2.4284033555286606</v>
      </c>
      <c r="DM150" s="173">
        <f t="shared" si="396"/>
        <v>3.5563752817468823</v>
      </c>
      <c r="DN150" s="173">
        <f t="shared" si="397"/>
        <v>2.188261525573822</v>
      </c>
      <c r="DP150" s="545">
        <f t="shared" si="398"/>
        <v>400</v>
      </c>
      <c r="DQ150" s="460">
        <f t="shared" si="399"/>
        <v>163.66100949494307</v>
      </c>
      <c r="DS150" s="460">
        <f t="shared" si="400"/>
        <v>400</v>
      </c>
      <c r="DT150" s="460">
        <f t="shared" si="401"/>
        <v>163.66100949494307</v>
      </c>
      <c r="DV150" s="5">
        <f t="shared" si="402"/>
        <v>6.1101908333939416</v>
      </c>
      <c r="DW150" s="5">
        <f t="shared" si="403"/>
        <v>3.9515280908298696</v>
      </c>
      <c r="DX150" s="5">
        <f t="shared" si="404"/>
        <v>2.1586627425640721</v>
      </c>
      <c r="DY150" s="173">
        <f t="shared" si="405"/>
        <v>0.64671107639284153</v>
      </c>
      <c r="EA150" s="5">
        <f t="shared" si="406"/>
        <v>6.5858801513831171</v>
      </c>
      <c r="EB150" s="5">
        <f t="shared" si="407"/>
        <v>0.87811735351774889</v>
      </c>
      <c r="EC150" s="5">
        <f t="shared" si="408"/>
        <v>1.9188113267236195</v>
      </c>
      <c r="ED150" s="5"/>
      <c r="EE150" s="173">
        <f t="shared" si="409"/>
        <v>1.6512092214580461</v>
      </c>
      <c r="EF150" s="173">
        <f t="shared" si="410"/>
        <v>0.81402510763751978</v>
      </c>
      <c r="EG150" s="173">
        <f t="shared" si="411"/>
        <v>8.1512514156675944E-2</v>
      </c>
      <c r="EH150" s="173"/>
      <c r="EI150" s="528">
        <f t="shared" si="412"/>
        <v>0.10905967572112346</v>
      </c>
      <c r="EJ150" s="528">
        <f t="shared" si="413"/>
        <v>0.40775377499999998</v>
      </c>
      <c r="EK150" s="528">
        <f t="shared" si="414"/>
        <v>3.2732201898988615E-2</v>
      </c>
      <c r="EL150" s="528">
        <f t="shared" si="415"/>
        <v>1.8586955112933349E-2</v>
      </c>
      <c r="EM150">
        <f t="shared" si="416"/>
        <v>4.0499999999999998E-3</v>
      </c>
      <c r="EN150" s="460">
        <f t="shared" si="417"/>
        <v>36.78220189898861</v>
      </c>
      <c r="EP150" s="460">
        <f t="shared" si="439"/>
        <v>572.18260773304553</v>
      </c>
      <c r="EQ150" s="173">
        <f t="shared" si="418"/>
        <v>0.27999999999999997</v>
      </c>
      <c r="ER150" s="173">
        <f t="shared" si="475"/>
        <v>2.4800000000000006E-2</v>
      </c>
      <c r="ES150" s="528"/>
      <c r="EU150" s="460">
        <f t="shared" si="420"/>
        <v>304.79999999999995</v>
      </c>
      <c r="EV150" s="528">
        <f t="shared" si="421"/>
        <v>8.1794756790842582E-2</v>
      </c>
      <c r="EW150" s="528">
        <f t="shared" si="422"/>
        <v>1.987910627592827E-2</v>
      </c>
      <c r="EX150" s="528">
        <f t="shared" si="423"/>
        <v>3.3221449820711487E-5</v>
      </c>
      <c r="EY150" s="528">
        <f t="shared" si="424"/>
        <v>0.40865049202349202</v>
      </c>
      <c r="EZ150" s="528"/>
      <c r="FA150" s="625">
        <f t="shared" si="425"/>
        <v>0.41399051157277583</v>
      </c>
      <c r="FB150" s="460">
        <f t="shared" si="426"/>
        <v>924.34808811285939</v>
      </c>
      <c r="FC150" s="173">
        <f t="shared" si="427"/>
        <v>1.801330695845905</v>
      </c>
      <c r="FD150" s="5">
        <f t="shared" si="428"/>
        <v>10.320000000000002</v>
      </c>
      <c r="FE150" s="173">
        <f t="shared" si="429"/>
        <v>0.85139167133991001</v>
      </c>
      <c r="FF150" s="5">
        <f t="shared" si="430"/>
        <v>85.139167133990995</v>
      </c>
      <c r="FG150">
        <f t="shared" si="431"/>
        <v>40</v>
      </c>
      <c r="FI150" s="562">
        <f t="shared" si="432"/>
        <v>-50</v>
      </c>
      <c r="FJ150">
        <f t="shared" si="433"/>
        <v>-50</v>
      </c>
    </row>
    <row r="151" spans="5:166">
      <c r="E151" s="170">
        <v>41</v>
      </c>
      <c r="F151" s="217">
        <f t="shared" si="476"/>
        <v>0.41</v>
      </c>
      <c r="G151" s="217">
        <f t="shared" si="444"/>
        <v>4.1000000000000002E-2</v>
      </c>
      <c r="H151" s="217">
        <f t="shared" si="445"/>
        <v>9.84</v>
      </c>
      <c r="I151" s="217">
        <f t="shared" si="446"/>
        <v>0.73799999999999999</v>
      </c>
      <c r="J151" s="541">
        <f t="shared" si="447"/>
        <v>8.8417344505896782</v>
      </c>
      <c r="K151" s="443">
        <f t="shared" si="448"/>
        <v>16.498571305755668</v>
      </c>
      <c r="L151" s="172">
        <f t="shared" si="449"/>
        <v>25.340305756345344</v>
      </c>
      <c r="M151" s="443"/>
      <c r="N151" s="217">
        <f t="shared" si="450"/>
        <v>0.65108019865247047</v>
      </c>
      <c r="O151" s="172">
        <f t="shared" si="451"/>
        <v>29.750275051794933</v>
      </c>
      <c r="P151" s="172">
        <f t="shared" si="452"/>
        <v>2.3986159260509665</v>
      </c>
      <c r="Q151" s="217">
        <f t="shared" si="322"/>
        <v>1.2395947938247889</v>
      </c>
      <c r="R151" s="217">
        <f t="shared" si="453"/>
        <v>1.6527930584330519</v>
      </c>
      <c r="S151" s="217">
        <f t="shared" si="454"/>
        <v>24</v>
      </c>
      <c r="T151" s="217">
        <f t="shared" si="455"/>
        <v>3.675036050691467</v>
      </c>
      <c r="U151" s="217">
        <f t="shared" si="326"/>
        <v>4.1564650818554831</v>
      </c>
      <c r="V151" s="217">
        <f t="shared" si="327"/>
        <v>2.2274874488128553</v>
      </c>
      <c r="W151" s="197">
        <f t="shared" si="328"/>
        <v>259.05052001350435</v>
      </c>
      <c r="X151" s="443">
        <f t="shared" si="435"/>
        <v>151.88444864114015</v>
      </c>
      <c r="Z151" s="217">
        <f t="shared" si="329"/>
        <v>2.2222222222222223</v>
      </c>
      <c r="AA151" s="173">
        <f t="shared" si="330"/>
        <v>1.346917973101696</v>
      </c>
      <c r="AB151" s="173">
        <f t="shared" si="456"/>
        <v>0.24054729457240542</v>
      </c>
      <c r="AC151" s="173"/>
      <c r="AD151" s="173">
        <f t="shared" si="332"/>
        <v>1.346917973101696</v>
      </c>
      <c r="AE151" s="545">
        <f t="shared" si="457"/>
        <v>410.73279839890967</v>
      </c>
      <c r="AF151" s="528">
        <f t="shared" si="458"/>
        <v>0.25858834166533584</v>
      </c>
      <c r="AH151" s="173">
        <f t="shared" si="459"/>
        <v>2.4585710135303045</v>
      </c>
      <c r="AI151" s="173">
        <f t="shared" si="460"/>
        <v>3.675036050691467</v>
      </c>
      <c r="AJ151" s="173">
        <f t="shared" si="461"/>
        <v>2.2761583914586998</v>
      </c>
      <c r="AL151" s="545">
        <f t="shared" si="462"/>
        <v>410</v>
      </c>
      <c r="AM151" s="460">
        <f t="shared" si="463"/>
        <v>151.88444864114015</v>
      </c>
      <c r="AO151" s="460">
        <f t="shared" si="340"/>
        <v>410</v>
      </c>
      <c r="AP151" s="460">
        <f t="shared" si="341"/>
        <v>151.88444864114015</v>
      </c>
      <c r="AR151" s="5">
        <f t="shared" si="443"/>
        <v>6.5839525306683386</v>
      </c>
      <c r="AS151" s="5">
        <f t="shared" si="440"/>
        <v>4.1564650818554831</v>
      </c>
      <c r="AT151" s="5">
        <f t="shared" si="441"/>
        <v>2.4274874488128555</v>
      </c>
      <c r="AU151" s="173">
        <f t="shared" si="442"/>
        <v>0.63130240725377151</v>
      </c>
      <c r="AW151" s="5">
        <f t="shared" si="342"/>
        <v>7.1006278481697835</v>
      </c>
      <c r="AX151" s="5">
        <f t="shared" si="343"/>
        <v>0.94675037975597109</v>
      </c>
      <c r="AY151" s="5">
        <f t="shared" si="344"/>
        <v>2.2513000352479335</v>
      </c>
      <c r="AZ151" s="5"/>
      <c r="BA151" s="173">
        <f t="shared" si="345"/>
        <v>1.6858529841612566</v>
      </c>
      <c r="BB151" s="173">
        <f t="shared" si="346"/>
        <v>0.85933393287490845</v>
      </c>
      <c r="BC151" s="173">
        <f t="shared" si="347"/>
        <v>8.6049519494636087E-2</v>
      </c>
      <c r="BD151" s="173"/>
      <c r="BE151" s="528">
        <f t="shared" si="348"/>
        <v>0.11368401136821657</v>
      </c>
      <c r="BF151" s="528">
        <f t="shared" si="464"/>
        <v>0.31825063698702849</v>
      </c>
      <c r="BG151" s="528">
        <f t="shared" si="465"/>
        <v>5.3716878482367503E-2</v>
      </c>
      <c r="BH151" s="528">
        <f t="shared" si="351"/>
        <v>1.7067702302826303E-2</v>
      </c>
      <c r="BI151">
        <f t="shared" si="352"/>
        <v>3.9787805027653549E-3</v>
      </c>
      <c r="BJ151" s="460">
        <f t="shared" si="436"/>
        <v>57.695658985132859</v>
      </c>
      <c r="BK151">
        <f t="shared" si="466"/>
        <v>0.49301399299973536</v>
      </c>
      <c r="BL151" s="460">
        <f t="shared" si="437"/>
        <v>506.69800964320422</v>
      </c>
      <c r="BM151" s="173">
        <f t="shared" si="467"/>
        <v>0.35587999999999997</v>
      </c>
      <c r="BN151" s="173">
        <f t="shared" si="468"/>
        <v>3.5588000000000002E-2</v>
      </c>
      <c r="BO151" s="528"/>
      <c r="BQ151" s="460">
        <f t="shared" si="356"/>
        <v>391.46799999999996</v>
      </c>
      <c r="BR151" s="528">
        <f t="shared" si="357"/>
        <v>8.526300852616242E-2</v>
      </c>
      <c r="BS151" s="528">
        <f t="shared" si="358"/>
        <v>2.2153644245707729E-2</v>
      </c>
      <c r="BT151" s="528">
        <f t="shared" si="359"/>
        <v>3.7022599026288783E-5</v>
      </c>
      <c r="BU151" s="528">
        <f t="shared" si="360"/>
        <v>0.36805039321282779</v>
      </c>
      <c r="BV151" s="528"/>
      <c r="BW151" s="625">
        <f t="shared" si="469"/>
        <v>0.41026693041819212</v>
      </c>
      <c r="BX151" s="460">
        <f t="shared" si="362"/>
        <v>885.77099900191638</v>
      </c>
      <c r="BY151" s="173">
        <f t="shared" si="363"/>
        <v>1.7839370086451205</v>
      </c>
      <c r="BZ151" s="5">
        <f t="shared" si="364"/>
        <v>10.577999999999999</v>
      </c>
      <c r="CA151" s="173">
        <f t="shared" si="365"/>
        <v>0.85569114230257337</v>
      </c>
      <c r="CB151" s="5">
        <f t="shared" si="366"/>
        <v>85.569114230257341</v>
      </c>
      <c r="CC151">
        <f t="shared" si="367"/>
        <v>41</v>
      </c>
      <c r="CE151" s="562">
        <f t="shared" si="470"/>
        <v>-50</v>
      </c>
      <c r="CF151">
        <f t="shared" si="471"/>
        <v>-50</v>
      </c>
      <c r="CG151" s="173">
        <f t="shared" si="370"/>
        <v>0.34658417599272739</v>
      </c>
      <c r="CH151" s="173">
        <f t="shared" si="472"/>
        <v>9.446712174985028E-2</v>
      </c>
      <c r="CI151" s="170">
        <v>41</v>
      </c>
      <c r="CJ151" s="217">
        <f t="shared" si="438"/>
        <v>0.41</v>
      </c>
      <c r="CK151" s="217">
        <f t="shared" si="372"/>
        <v>4.1000000000000002E-2</v>
      </c>
      <c r="CL151" s="217">
        <f t="shared" si="373"/>
        <v>9.84</v>
      </c>
      <c r="CM151" s="217">
        <f t="shared" si="374"/>
        <v>0.73799999999999999</v>
      </c>
      <c r="CN151" s="541">
        <f t="shared" si="375"/>
        <v>9</v>
      </c>
      <c r="CO151" s="443">
        <f t="shared" si="473"/>
        <v>16.474900000000002</v>
      </c>
      <c r="CP151" s="443">
        <f t="shared" si="474"/>
        <v>25.474900000000002</v>
      </c>
      <c r="CQ151" s="443"/>
      <c r="CR151" s="217">
        <f t="shared" si="378"/>
        <v>0.64485133082098534</v>
      </c>
      <c r="CS151" s="172">
        <f t="shared" si="379"/>
        <v>29.993085154464438</v>
      </c>
      <c r="CT151" s="172">
        <f t="shared" si="380"/>
        <v>2.4181924905786953</v>
      </c>
      <c r="CU151" s="217">
        <f t="shared" si="381"/>
        <v>1.2497118814360182</v>
      </c>
      <c r="CV151" s="217">
        <f t="shared" si="382"/>
        <v>1.6662825085813577</v>
      </c>
      <c r="CW151" s="217">
        <f t="shared" si="383"/>
        <v>24</v>
      </c>
      <c r="CX151" s="217">
        <f t="shared" si="384"/>
        <v>3.6452846637905534</v>
      </c>
      <c r="CY151" s="217">
        <f t="shared" si="385"/>
        <v>4.0503162931006154</v>
      </c>
      <c r="CZ151" s="217">
        <f t="shared" si="386"/>
        <v>2.2126293111281727</v>
      </c>
      <c r="DA151" s="197">
        <f t="shared" si="387"/>
        <v>261.91798593910079</v>
      </c>
      <c r="DB151" s="443">
        <f t="shared" si="388"/>
        <v>159.66927755604206</v>
      </c>
      <c r="DD151" s="217">
        <f t="shared" si="389"/>
        <v>2.2222222222222228</v>
      </c>
      <c r="DE151" s="173">
        <f t="shared" si="390"/>
        <v>1.3488532386977905</v>
      </c>
      <c r="DF151" s="173">
        <f t="shared" si="391"/>
        <v>0.24355939229558116</v>
      </c>
      <c r="DG151" s="173"/>
      <c r="DH151" s="173">
        <f t="shared" si="392"/>
        <v>1.3488532386977903</v>
      </c>
      <c r="DI151" s="545">
        <f t="shared" si="393"/>
        <v>410.14349999999985</v>
      </c>
      <c r="DJ151" s="528">
        <f t="shared" si="394"/>
        <v>0.26182634671774968</v>
      </c>
      <c r="DL151" s="173">
        <f t="shared" si="395"/>
        <v>2.4585710135303045</v>
      </c>
      <c r="DM151" s="173">
        <f t="shared" si="396"/>
        <v>3.6452846637905534</v>
      </c>
      <c r="DN151" s="173">
        <f t="shared" si="397"/>
        <v>2.2541203270876524</v>
      </c>
      <c r="DP151" s="545">
        <f t="shared" si="398"/>
        <v>410</v>
      </c>
      <c r="DQ151" s="460">
        <f t="shared" si="399"/>
        <v>159.66927755604206</v>
      </c>
      <c r="DS151" s="460">
        <f t="shared" si="400"/>
        <v>410</v>
      </c>
      <c r="DT151" s="460">
        <f t="shared" si="401"/>
        <v>159.66927755604206</v>
      </c>
      <c r="DV151" s="5">
        <f t="shared" si="402"/>
        <v>6.2629456042287881</v>
      </c>
      <c r="DW151" s="5">
        <f t="shared" si="403"/>
        <v>4.0503162931006154</v>
      </c>
      <c r="DX151" s="5">
        <f t="shared" si="404"/>
        <v>2.2126293111281727</v>
      </c>
      <c r="DY151" s="173">
        <f t="shared" si="405"/>
        <v>0.64671107639284164</v>
      </c>
      <c r="EA151" s="5">
        <f t="shared" si="406"/>
        <v>6.9192903340468837</v>
      </c>
      <c r="EB151" s="5">
        <f t="shared" si="407"/>
        <v>0.92257204453958452</v>
      </c>
      <c r="EC151" s="5">
        <f t="shared" si="408"/>
        <v>2.0159511501390015</v>
      </c>
      <c r="ED151" s="5"/>
      <c r="EE151" s="173">
        <f t="shared" si="409"/>
        <v>1.6924894519944966</v>
      </c>
      <c r="EF151" s="173">
        <f t="shared" si="410"/>
        <v>0.83437573532845744</v>
      </c>
      <c r="EG151" s="173">
        <f t="shared" si="411"/>
        <v>8.3550327010592812E-2</v>
      </c>
      <c r="EH151" s="173"/>
      <c r="EI151" s="528">
        <f t="shared" si="412"/>
        <v>0.11458082180450527</v>
      </c>
      <c r="EJ151" s="528">
        <f t="shared" si="413"/>
        <v>0.40775377499999998</v>
      </c>
      <c r="EK151" s="528">
        <f t="shared" si="414"/>
        <v>3.1933855511208413E-2</v>
      </c>
      <c r="EL151" s="528">
        <f t="shared" si="415"/>
        <v>1.8133614744325222E-2</v>
      </c>
      <c r="EM151">
        <f t="shared" si="416"/>
        <v>4.0499999999999998E-3</v>
      </c>
      <c r="EN151" s="460">
        <f t="shared" si="417"/>
        <v>35.983855511208411</v>
      </c>
      <c r="EP151" s="460">
        <f t="shared" si="439"/>
        <v>576.45206706003887</v>
      </c>
      <c r="EQ151" s="173">
        <f t="shared" si="418"/>
        <v>0.28699999999999998</v>
      </c>
      <c r="ER151" s="173">
        <f t="shared" si="475"/>
        <v>2.5420000000000002E-2</v>
      </c>
      <c r="ES151" s="528"/>
      <c r="EU151" s="460">
        <f t="shared" si="420"/>
        <v>312.41999999999996</v>
      </c>
      <c r="EV151" s="528">
        <f t="shared" si="421"/>
        <v>8.5935616353378944E-2</v>
      </c>
      <c r="EW151" s="528">
        <f t="shared" si="422"/>
        <v>2.0885486031147118E-2</v>
      </c>
      <c r="EX151" s="528">
        <f t="shared" si="423"/>
        <v>3.4903285717884974E-5</v>
      </c>
      <c r="EY151" s="528">
        <f t="shared" si="424"/>
        <v>0.40865049202349202</v>
      </c>
      <c r="EZ151" s="528"/>
      <c r="FA151" s="625">
        <f t="shared" si="425"/>
        <v>0.42434027436209515</v>
      </c>
      <c r="FB151" s="460">
        <f t="shared" si="426"/>
        <v>939.84677205583125</v>
      </c>
      <c r="FC151" s="173">
        <f t="shared" si="427"/>
        <v>1.82871883911587</v>
      </c>
      <c r="FD151" s="5">
        <f t="shared" si="428"/>
        <v>10.577999999999999</v>
      </c>
      <c r="FE151" s="173">
        <f t="shared" si="429"/>
        <v>0.85260254037914596</v>
      </c>
      <c r="FF151" s="5">
        <f t="shared" si="430"/>
        <v>85.260254037914592</v>
      </c>
      <c r="FG151">
        <f t="shared" si="431"/>
        <v>41</v>
      </c>
      <c r="FI151" s="562">
        <f t="shared" si="432"/>
        <v>-50</v>
      </c>
      <c r="FJ151">
        <f t="shared" si="433"/>
        <v>-50</v>
      </c>
    </row>
    <row r="152" spans="5:166">
      <c r="E152" s="170">
        <v>42</v>
      </c>
      <c r="F152" s="217">
        <f t="shared" si="476"/>
        <v>0.42</v>
      </c>
      <c r="G152" s="217">
        <f t="shared" si="444"/>
        <v>4.2000000000000003E-2</v>
      </c>
      <c r="H152" s="217">
        <f t="shared" si="445"/>
        <v>10.08</v>
      </c>
      <c r="I152" s="217">
        <f t="shared" si="446"/>
        <v>0.75600000000000001</v>
      </c>
      <c r="J152" s="541">
        <f t="shared" si="447"/>
        <v>8.8378743152382064</v>
      </c>
      <c r="K152" s="443">
        <f t="shared" si="448"/>
        <v>16.499148654676539</v>
      </c>
      <c r="L152" s="172">
        <f t="shared" si="449"/>
        <v>25.337022969914745</v>
      </c>
      <c r="M152" s="443"/>
      <c r="N152" s="217">
        <f t="shared" si="450"/>
        <v>0.65118734250143262</v>
      </c>
      <c r="O152" s="172">
        <f t="shared" si="451"/>
        <v>29.742180303367629</v>
      </c>
      <c r="P152" s="172">
        <f t="shared" si="452"/>
        <v>2.3979632869590151</v>
      </c>
      <c r="Q152" s="217">
        <f t="shared" si="322"/>
        <v>1.2392575126403178</v>
      </c>
      <c r="R152" s="217">
        <f t="shared" si="453"/>
        <v>1.6523433501870906</v>
      </c>
      <c r="S152" s="217">
        <f t="shared" si="454"/>
        <v>24</v>
      </c>
      <c r="T152" s="217">
        <f t="shared" si="455"/>
        <v>3.7656956839616273</v>
      </c>
      <c r="U152" s="217">
        <f t="shared" si="326"/>
        <v>4.2608613221267913</v>
      </c>
      <c r="V152" s="217">
        <f t="shared" si="327"/>
        <v>2.282357570549117</v>
      </c>
      <c r="W152" s="197">
        <f t="shared" si="328"/>
        <v>258.98003499157363</v>
      </c>
      <c r="X152" s="443">
        <f t="shared" si="435"/>
        <v>148.29712870305036</v>
      </c>
      <c r="Z152" s="217">
        <f t="shared" si="329"/>
        <v>2.2222222222222219</v>
      </c>
      <c r="AA152" s="173">
        <f t="shared" si="330"/>
        <v>1.3468708408735699</v>
      </c>
      <c r="AB152" s="173">
        <f t="shared" si="456"/>
        <v>0.24047342899384433</v>
      </c>
      <c r="AC152" s="173"/>
      <c r="AD152" s="173">
        <f t="shared" si="332"/>
        <v>1.3468708408735703</v>
      </c>
      <c r="AE152" s="545">
        <f t="shared" si="457"/>
        <v>420.76539522645845</v>
      </c>
      <c r="AF152" s="528">
        <f t="shared" si="458"/>
        <v>0.25850893616838277</v>
      </c>
      <c r="AH152" s="173">
        <f t="shared" si="459"/>
        <v>2.4883729623993265</v>
      </c>
      <c r="AI152" s="173">
        <f t="shared" si="460"/>
        <v>3.7656956839616273</v>
      </c>
      <c r="AJ152" s="173">
        <f t="shared" si="461"/>
        <v>2.3433136753625221</v>
      </c>
      <c r="AL152" s="545">
        <f t="shared" si="462"/>
        <v>420</v>
      </c>
      <c r="AM152" s="460">
        <f t="shared" si="463"/>
        <v>148.29712870305036</v>
      </c>
      <c r="AO152" s="460">
        <f t="shared" si="340"/>
        <v>420</v>
      </c>
      <c r="AP152" s="460">
        <f t="shared" si="341"/>
        <v>148.29712870305036</v>
      </c>
      <c r="AR152" s="5">
        <f t="shared" si="443"/>
        <v>6.7432188926759089</v>
      </c>
      <c r="AS152" s="5">
        <f t="shared" si="440"/>
        <v>4.2608613221267913</v>
      </c>
      <c r="AT152" s="5">
        <f t="shared" si="441"/>
        <v>2.4823575705491177</v>
      </c>
      <c r="AU152" s="173">
        <f t="shared" si="442"/>
        <v>0.63187349987328612</v>
      </c>
      <c r="AW152" s="5">
        <f t="shared" si="342"/>
        <v>7.4565073137218842</v>
      </c>
      <c r="AX152" s="5">
        <f t="shared" si="343"/>
        <v>0.99420097516291805</v>
      </c>
      <c r="AY152" s="5">
        <f t="shared" si="344"/>
        <v>2.3593686500678159</v>
      </c>
      <c r="AZ152" s="5"/>
      <c r="BA152" s="173">
        <f t="shared" si="345"/>
        <v>1.7282225365509796</v>
      </c>
      <c r="BB152" s="173">
        <f t="shared" si="346"/>
        <v>0.87985066799508627</v>
      </c>
      <c r="BC152" s="173">
        <f t="shared" si="347"/>
        <v>8.8103965538426879E-2</v>
      </c>
      <c r="BD152" s="173"/>
      <c r="BE152" s="528">
        <f t="shared" si="348"/>
        <v>0.11947012543370807</v>
      </c>
      <c r="BF152" s="528">
        <f t="shared" si="464"/>
        <v>0.31835821884444349</v>
      </c>
      <c r="BG152" s="528">
        <f t="shared" si="465"/>
        <v>5.2425255391530534E-2</v>
      </c>
      <c r="BH152" s="528">
        <f t="shared" si="351"/>
        <v>1.6660267160119792E-2</v>
      </c>
      <c r="BI152">
        <f t="shared" si="352"/>
        <v>3.9770434418571927E-3</v>
      </c>
      <c r="BJ152" s="460">
        <f t="shared" si="436"/>
        <v>56.402298833387725</v>
      </c>
      <c r="BK152">
        <f t="shared" si="466"/>
        <v>0.50096601768319571</v>
      </c>
      <c r="BL152" s="460">
        <f t="shared" si="437"/>
        <v>510.8909102716591</v>
      </c>
      <c r="BM152" s="173">
        <f t="shared" si="467"/>
        <v>0.36456</v>
      </c>
      <c r="BN152" s="173">
        <f t="shared" si="468"/>
        <v>3.6455999999999995E-2</v>
      </c>
      <c r="BO152" s="528"/>
      <c r="BQ152" s="460">
        <f t="shared" si="356"/>
        <v>401.01599999999996</v>
      </c>
      <c r="BR152" s="528">
        <f t="shared" si="357"/>
        <v>8.9602594075281053E-2</v>
      </c>
      <c r="BS152" s="528">
        <f t="shared" si="358"/>
        <v>2.3224115939141986E-2</v>
      </c>
      <c r="BT152" s="528">
        <f t="shared" si="359"/>
        <v>3.8811543717981559E-5</v>
      </c>
      <c r="BU152" s="528">
        <f t="shared" si="360"/>
        <v>0.36848084096764527</v>
      </c>
      <c r="BV152" s="528"/>
      <c r="BW152" s="625">
        <f t="shared" si="469"/>
        <v>0.42058441850698997</v>
      </c>
      <c r="BX152" s="460">
        <f t="shared" si="362"/>
        <v>901.93078103277639</v>
      </c>
      <c r="BY152" s="173">
        <f t="shared" si="363"/>
        <v>1.8138376913044354</v>
      </c>
      <c r="BZ152" s="5">
        <f t="shared" si="364"/>
        <v>10.836</v>
      </c>
      <c r="CA152" s="173">
        <f t="shared" si="365"/>
        <v>0.85661178146568029</v>
      </c>
      <c r="CB152" s="5">
        <f t="shared" si="366"/>
        <v>85.661178146568034</v>
      </c>
      <c r="CC152">
        <f t="shared" si="367"/>
        <v>42</v>
      </c>
      <c r="CE152" s="562">
        <f t="shared" si="470"/>
        <v>-50</v>
      </c>
      <c r="CF152">
        <f t="shared" si="471"/>
        <v>-50</v>
      </c>
      <c r="CG152" s="173">
        <f t="shared" si="370"/>
        <v>0.34658417599272739</v>
      </c>
      <c r="CH152" s="173">
        <f t="shared" si="472"/>
        <v>9.446712174985028E-2</v>
      </c>
      <c r="CI152" s="170">
        <v>42</v>
      </c>
      <c r="CJ152" s="217">
        <f t="shared" si="438"/>
        <v>0.42</v>
      </c>
      <c r="CK152" s="217">
        <f t="shared" si="372"/>
        <v>4.2000000000000003E-2</v>
      </c>
      <c r="CL152" s="217">
        <f t="shared" si="373"/>
        <v>10.08</v>
      </c>
      <c r="CM152" s="217">
        <f t="shared" si="374"/>
        <v>0.75600000000000001</v>
      </c>
      <c r="CN152" s="541">
        <f t="shared" si="375"/>
        <v>9</v>
      </c>
      <c r="CO152" s="443">
        <f t="shared" si="473"/>
        <v>16.474900000000002</v>
      </c>
      <c r="CP152" s="443">
        <f t="shared" si="474"/>
        <v>25.474900000000002</v>
      </c>
      <c r="CQ152" s="443"/>
      <c r="CR152" s="217">
        <f t="shared" si="378"/>
        <v>0.64485133082098534</v>
      </c>
      <c r="CS152" s="172">
        <f t="shared" si="379"/>
        <v>29.993085154464438</v>
      </c>
      <c r="CT152" s="172">
        <f t="shared" si="380"/>
        <v>2.4181924905786953</v>
      </c>
      <c r="CU152" s="217">
        <f t="shared" si="381"/>
        <v>1.2497118814360182</v>
      </c>
      <c r="CV152" s="217">
        <f t="shared" si="382"/>
        <v>1.6662825085813577</v>
      </c>
      <c r="CW152" s="217">
        <f t="shared" si="383"/>
        <v>24</v>
      </c>
      <c r="CX152" s="217">
        <f t="shared" si="384"/>
        <v>3.7341940458342258</v>
      </c>
      <c r="CY152" s="217">
        <f t="shared" si="385"/>
        <v>4.1491044953713621</v>
      </c>
      <c r="CZ152" s="217">
        <f t="shared" si="386"/>
        <v>2.2665958796922747</v>
      </c>
      <c r="DA152" s="197">
        <f t="shared" si="387"/>
        <v>261.91798593910079</v>
      </c>
      <c r="DB152" s="443">
        <f t="shared" si="388"/>
        <v>155.86762809042204</v>
      </c>
      <c r="DD152" s="217">
        <f t="shared" si="389"/>
        <v>2.2222222222222228</v>
      </c>
      <c r="DE152" s="173">
        <f t="shared" si="390"/>
        <v>1.3488532386977905</v>
      </c>
      <c r="DF152" s="173">
        <f t="shared" si="391"/>
        <v>0.24355939229558116</v>
      </c>
      <c r="DG152" s="173"/>
      <c r="DH152" s="173">
        <f t="shared" si="392"/>
        <v>1.3488532386977903</v>
      </c>
      <c r="DI152" s="545">
        <f t="shared" si="393"/>
        <v>420.14699999999976</v>
      </c>
      <c r="DJ152" s="528">
        <f t="shared" si="394"/>
        <v>0.26182634671774968</v>
      </c>
      <c r="DL152" s="173">
        <f t="shared" si="395"/>
        <v>2.4883729623993265</v>
      </c>
      <c r="DM152" s="173">
        <f t="shared" si="396"/>
        <v>3.7341940458342258</v>
      </c>
      <c r="DN152" s="173">
        <f t="shared" si="397"/>
        <v>2.3199791286014841</v>
      </c>
      <c r="DP152" s="545">
        <f t="shared" si="398"/>
        <v>420</v>
      </c>
      <c r="DQ152" s="460">
        <f t="shared" si="399"/>
        <v>155.86762809042204</v>
      </c>
      <c r="DS152" s="460">
        <f t="shared" si="400"/>
        <v>420</v>
      </c>
      <c r="DT152" s="460">
        <f t="shared" si="401"/>
        <v>155.86762809042204</v>
      </c>
      <c r="DV152" s="5">
        <f t="shared" si="402"/>
        <v>6.4157003750636354</v>
      </c>
      <c r="DW152" s="5">
        <f t="shared" si="403"/>
        <v>4.1491044953713621</v>
      </c>
      <c r="DX152" s="5">
        <f t="shared" si="404"/>
        <v>2.2665958796922734</v>
      </c>
      <c r="DY152" s="173">
        <f t="shared" si="405"/>
        <v>0.64671107639284175</v>
      </c>
      <c r="EA152" s="5">
        <f t="shared" si="406"/>
        <v>7.2609328668998829</v>
      </c>
      <c r="EB152" s="5">
        <f t="shared" si="407"/>
        <v>0.96812438225331787</v>
      </c>
      <c r="EC152" s="5">
        <f t="shared" si="408"/>
        <v>2.1154894877127886</v>
      </c>
      <c r="ED152" s="5"/>
      <c r="EE152" s="173">
        <f t="shared" si="409"/>
        <v>1.7337696825309483</v>
      </c>
      <c r="EF152" s="173">
        <f t="shared" si="410"/>
        <v>0.85472636301939531</v>
      </c>
      <c r="EG152" s="173">
        <f t="shared" si="411"/>
        <v>8.5588139864509707E-2</v>
      </c>
      <c r="EH152" s="173"/>
      <c r="EI152" s="528">
        <f t="shared" si="412"/>
        <v>0.12023829248253862</v>
      </c>
      <c r="EJ152" s="528">
        <f t="shared" si="413"/>
        <v>0.4077537750000001</v>
      </c>
      <c r="EK152" s="528">
        <f t="shared" si="414"/>
        <v>3.1173525618084404E-2</v>
      </c>
      <c r="EL152" s="528">
        <f t="shared" si="415"/>
        <v>1.7701862012317483E-2</v>
      </c>
      <c r="EM152">
        <f t="shared" si="416"/>
        <v>4.0499999999999998E-3</v>
      </c>
      <c r="EN152" s="460">
        <f t="shared" si="417"/>
        <v>35.223525618084402</v>
      </c>
      <c r="EP152" s="460">
        <f t="shared" si="439"/>
        <v>580.91745511294062</v>
      </c>
      <c r="EQ152" s="173">
        <f t="shared" si="418"/>
        <v>0.29399999999999998</v>
      </c>
      <c r="ER152" s="173">
        <f t="shared" si="475"/>
        <v>2.6040000000000001E-2</v>
      </c>
      <c r="ES152" s="528"/>
      <c r="EU152" s="460">
        <f t="shared" si="420"/>
        <v>320.03999999999996</v>
      </c>
      <c r="EV152" s="528">
        <f t="shared" si="421"/>
        <v>9.0178719361903956E-2</v>
      </c>
      <c r="EW152" s="528">
        <f t="shared" si="422"/>
        <v>2.1916714669210895E-2</v>
      </c>
      <c r="EX152" s="528">
        <f t="shared" si="423"/>
        <v>3.662664842733438E-5</v>
      </c>
      <c r="EY152" s="528">
        <f t="shared" si="424"/>
        <v>0.40865049202349185</v>
      </c>
      <c r="EZ152" s="528"/>
      <c r="FA152" s="625">
        <f t="shared" si="425"/>
        <v>0.43469003715141469</v>
      </c>
      <c r="FB152" s="460">
        <f t="shared" si="426"/>
        <v>955.47258985444876</v>
      </c>
      <c r="FC152" s="173">
        <f t="shared" si="427"/>
        <v>1.8564300449673892</v>
      </c>
      <c r="FD152" s="5">
        <f t="shared" si="428"/>
        <v>10.836</v>
      </c>
      <c r="FE152" s="173">
        <f t="shared" si="429"/>
        <v>0.85373722459841539</v>
      </c>
      <c r="FF152" s="5">
        <f t="shared" si="430"/>
        <v>85.373722459841545</v>
      </c>
      <c r="FG152">
        <f t="shared" si="431"/>
        <v>42</v>
      </c>
      <c r="FI152" s="562">
        <f t="shared" si="432"/>
        <v>-50</v>
      </c>
      <c r="FJ152">
        <f t="shared" si="433"/>
        <v>-50</v>
      </c>
    </row>
    <row r="153" spans="5:166">
      <c r="E153" s="170">
        <v>43</v>
      </c>
      <c r="F153" s="217">
        <f t="shared" si="476"/>
        <v>0.43</v>
      </c>
      <c r="G153" s="217">
        <f t="shared" si="444"/>
        <v>4.3000000000000003E-2</v>
      </c>
      <c r="H153" s="217">
        <f t="shared" si="445"/>
        <v>10.32</v>
      </c>
      <c r="I153" s="217">
        <f t="shared" si="446"/>
        <v>0.77400000000000002</v>
      </c>
      <c r="J153" s="541">
        <f t="shared" si="447"/>
        <v>8.8340141798867364</v>
      </c>
      <c r="K153" s="443">
        <f t="shared" si="448"/>
        <v>16.499726003597409</v>
      </c>
      <c r="L153" s="172">
        <f t="shared" si="449"/>
        <v>25.333740183484146</v>
      </c>
      <c r="M153" s="443"/>
      <c r="N153" s="217">
        <f t="shared" si="450"/>
        <v>0.65129451411813621</v>
      </c>
      <c r="O153" s="172">
        <f t="shared" si="451"/>
        <v>29.734082547814246</v>
      </c>
      <c r="P153" s="172">
        <f t="shared" si="452"/>
        <v>2.3973104054175236</v>
      </c>
      <c r="Q153" s="217">
        <f t="shared" si="322"/>
        <v>1.238920106158927</v>
      </c>
      <c r="R153" s="217">
        <f t="shared" si="453"/>
        <v>1.6518934748785692</v>
      </c>
      <c r="S153" s="217">
        <f t="shared" si="454"/>
        <v>24</v>
      </c>
      <c r="T153" s="217">
        <f t="shared" si="455"/>
        <v>3.8564050692425287</v>
      </c>
      <c r="U153" s="217">
        <f t="shared" si="326"/>
        <v>4.3654051156299749</v>
      </c>
      <c r="V153" s="217">
        <f t="shared" si="327"/>
        <v>2.3372540055524094</v>
      </c>
      <c r="W153" s="197">
        <f t="shared" si="328"/>
        <v>258.90952378509257</v>
      </c>
      <c r="X153" s="443">
        <f t="shared" si="435"/>
        <v>144.87170559114992</v>
      </c>
      <c r="Z153" s="217">
        <f t="shared" si="329"/>
        <v>2.2222222222222223</v>
      </c>
      <c r="AA153" s="173">
        <f t="shared" si="330"/>
        <v>1.3468237119438924</v>
      </c>
      <c r="AB153" s="173">
        <f t="shared" si="456"/>
        <v>0.24039954427204466</v>
      </c>
      <c r="AC153" s="173"/>
      <c r="AD153" s="173">
        <f t="shared" si="332"/>
        <v>1.3468237119438924</v>
      </c>
      <c r="AE153" s="545">
        <f t="shared" si="457"/>
        <v>430.7986931823819</v>
      </c>
      <c r="AF153" s="528">
        <f t="shared" si="458"/>
        <v>0.25842951009244808</v>
      </c>
      <c r="AH153" s="173">
        <f t="shared" si="459"/>
        <v>2.5178221882072154</v>
      </c>
      <c r="AI153" s="173">
        <f t="shared" si="460"/>
        <v>3.8564050692425287</v>
      </c>
      <c r="AJ153" s="173">
        <f t="shared" si="461"/>
        <v>2.4105058126076342</v>
      </c>
      <c r="AL153" s="545">
        <f t="shared" si="462"/>
        <v>430</v>
      </c>
      <c r="AM153" s="460">
        <f t="shared" si="463"/>
        <v>144.87170559114992</v>
      </c>
      <c r="AO153" s="460">
        <f t="shared" si="340"/>
        <v>430</v>
      </c>
      <c r="AP153" s="460">
        <f t="shared" si="341"/>
        <v>144.87170559114992</v>
      </c>
      <c r="AR153" s="5">
        <f t="shared" si="443"/>
        <v>6.9026591211823849</v>
      </c>
      <c r="AS153" s="5">
        <f t="shared" si="440"/>
        <v>4.3654051156299749</v>
      </c>
      <c r="AT153" s="5">
        <f t="shared" si="441"/>
        <v>2.53725400555241</v>
      </c>
      <c r="AU153" s="173">
        <f t="shared" si="442"/>
        <v>0.63242368469764543</v>
      </c>
      <c r="AW153" s="5">
        <f t="shared" si="342"/>
        <v>7.8213508321703724</v>
      </c>
      <c r="AX153" s="5">
        <f t="shared" si="343"/>
        <v>1.0428467776227164</v>
      </c>
      <c r="AY153" s="5">
        <f t="shared" si="344"/>
        <v>2.4700418182972048</v>
      </c>
      <c r="AZ153" s="5"/>
      <c r="BA153" s="173">
        <f t="shared" si="345"/>
        <v>1.7706229163996079</v>
      </c>
      <c r="BB153" s="173">
        <f t="shared" si="346"/>
        <v>0.90037123471161817</v>
      </c>
      <c r="BC153" s="173">
        <f t="shared" si="347"/>
        <v>9.015879525963634E-2</v>
      </c>
      <c r="BD153" s="173"/>
      <c r="BE153" s="528">
        <f t="shared" si="348"/>
        <v>0.12540422048317812</v>
      </c>
      <c r="BF153" s="528">
        <f t="shared" si="464"/>
        <v>0.31845498276884998</v>
      </c>
      <c r="BG153" s="528">
        <f t="shared" si="465"/>
        <v>5.1191948058263798E-2</v>
      </c>
      <c r="BH153" s="528">
        <f t="shared" si="351"/>
        <v>1.6271224838567723E-2</v>
      </c>
      <c r="BI153">
        <f t="shared" si="352"/>
        <v>3.9753063809490315E-3</v>
      </c>
      <c r="BJ153" s="460">
        <f t="shared" si="436"/>
        <v>55.167254439212833</v>
      </c>
      <c r="BK153">
        <f t="shared" si="466"/>
        <v>0.50916053675969752</v>
      </c>
      <c r="BL153" s="460">
        <f t="shared" si="437"/>
        <v>515.29768252980853</v>
      </c>
      <c r="BM153" s="173">
        <f t="shared" si="467"/>
        <v>0.37323999999999996</v>
      </c>
      <c r="BN153" s="173">
        <f t="shared" si="468"/>
        <v>3.7324000000000003E-2</v>
      </c>
      <c r="BO153" s="528"/>
      <c r="BQ153" s="460">
        <f t="shared" si="356"/>
        <v>410.56399999999996</v>
      </c>
      <c r="BR153" s="528">
        <f t="shared" si="357"/>
        <v>9.4053165362383589E-2</v>
      </c>
      <c r="BS153" s="528">
        <f t="shared" si="358"/>
        <v>2.4320050808883713E-2</v>
      </c>
      <c r="BT153" s="528">
        <f t="shared" si="359"/>
        <v>4.0643041813345121E-5</v>
      </c>
      <c r="BU153" s="528">
        <f t="shared" si="360"/>
        <v>0.36888037429515552</v>
      </c>
      <c r="BV153" s="528"/>
      <c r="BW153" s="625">
        <f t="shared" si="469"/>
        <v>0.43090234638537428</v>
      </c>
      <c r="BX153" s="460">
        <f t="shared" si="362"/>
        <v>918.19657989361053</v>
      </c>
      <c r="BY153" s="173">
        <f t="shared" si="363"/>
        <v>1.844058262423419</v>
      </c>
      <c r="BZ153" s="5">
        <f t="shared" si="364"/>
        <v>11.094000000000001</v>
      </c>
      <c r="CA153" s="173">
        <f t="shared" si="365"/>
        <v>0.85747024591942056</v>
      </c>
      <c r="CB153" s="5">
        <f t="shared" si="366"/>
        <v>85.747024591942051</v>
      </c>
      <c r="CC153">
        <f t="shared" si="367"/>
        <v>43</v>
      </c>
      <c r="CE153" s="562">
        <f t="shared" si="470"/>
        <v>-50</v>
      </c>
      <c r="CF153">
        <f t="shared" si="471"/>
        <v>-50</v>
      </c>
      <c r="CG153" s="173">
        <f t="shared" si="370"/>
        <v>0.34658417599272739</v>
      </c>
      <c r="CH153" s="173">
        <f t="shared" si="472"/>
        <v>9.446712174985028E-2</v>
      </c>
      <c r="CI153" s="170">
        <v>43</v>
      </c>
      <c r="CJ153" s="217">
        <f t="shared" si="438"/>
        <v>0.43</v>
      </c>
      <c r="CK153" s="217">
        <f t="shared" si="372"/>
        <v>4.3000000000000003E-2</v>
      </c>
      <c r="CL153" s="217">
        <f t="shared" si="373"/>
        <v>10.32</v>
      </c>
      <c r="CM153" s="217">
        <f t="shared" si="374"/>
        <v>0.77400000000000002</v>
      </c>
      <c r="CN153" s="541">
        <f t="shared" si="375"/>
        <v>9</v>
      </c>
      <c r="CO153" s="443">
        <f t="shared" si="473"/>
        <v>16.474900000000002</v>
      </c>
      <c r="CP153" s="443">
        <f t="shared" si="474"/>
        <v>25.474900000000002</v>
      </c>
      <c r="CQ153" s="443"/>
      <c r="CR153" s="217">
        <f t="shared" si="378"/>
        <v>0.64485133082098534</v>
      </c>
      <c r="CS153" s="172">
        <f t="shared" si="379"/>
        <v>29.993085154464438</v>
      </c>
      <c r="CT153" s="172">
        <f t="shared" si="380"/>
        <v>2.4181924905786953</v>
      </c>
      <c r="CU153" s="217">
        <f t="shared" si="381"/>
        <v>1.2497118814360182</v>
      </c>
      <c r="CV153" s="217">
        <f t="shared" si="382"/>
        <v>1.6662825085813577</v>
      </c>
      <c r="CW153" s="217">
        <f t="shared" si="383"/>
        <v>24</v>
      </c>
      <c r="CX153" s="217">
        <f t="shared" si="384"/>
        <v>3.8231034278778981</v>
      </c>
      <c r="CY153" s="217">
        <f t="shared" si="385"/>
        <v>4.2478926976421096</v>
      </c>
      <c r="CZ153" s="217">
        <f t="shared" si="386"/>
        <v>2.3205624482563771</v>
      </c>
      <c r="DA153" s="197">
        <f t="shared" si="387"/>
        <v>261.91798593910079</v>
      </c>
      <c r="DB153" s="443">
        <f t="shared" si="388"/>
        <v>152.24279953017964</v>
      </c>
      <c r="DD153" s="217">
        <f t="shared" si="389"/>
        <v>2.2222222222222228</v>
      </c>
      <c r="DE153" s="173">
        <f t="shared" si="390"/>
        <v>1.3488532386977905</v>
      </c>
      <c r="DF153" s="173">
        <f t="shared" si="391"/>
        <v>0.24355939229558116</v>
      </c>
      <c r="DG153" s="173"/>
      <c r="DH153" s="173">
        <f t="shared" si="392"/>
        <v>1.3488532386977903</v>
      </c>
      <c r="DI153" s="545">
        <f t="shared" si="393"/>
        <v>430.15049999999991</v>
      </c>
      <c r="DJ153" s="528">
        <f t="shared" si="394"/>
        <v>0.26182634671774968</v>
      </c>
      <c r="DL153" s="173">
        <f t="shared" si="395"/>
        <v>2.5178221882072154</v>
      </c>
      <c r="DM153" s="173">
        <f t="shared" si="396"/>
        <v>3.8231034278778981</v>
      </c>
      <c r="DN153" s="173">
        <f t="shared" si="397"/>
        <v>2.3858379301153154</v>
      </c>
      <c r="DP153" s="545">
        <f t="shared" si="398"/>
        <v>430</v>
      </c>
      <c r="DQ153" s="460">
        <f t="shared" si="399"/>
        <v>152.24279953017964</v>
      </c>
      <c r="DS153" s="460">
        <f t="shared" si="400"/>
        <v>430</v>
      </c>
      <c r="DT153" s="460">
        <f t="shared" si="401"/>
        <v>152.24279953017964</v>
      </c>
      <c r="DV153" s="5">
        <f t="shared" si="402"/>
        <v>6.5684551458984863</v>
      </c>
      <c r="DW153" s="5">
        <f t="shared" si="403"/>
        <v>4.2478926976421096</v>
      </c>
      <c r="DX153" s="5">
        <f t="shared" si="404"/>
        <v>2.3205624482563767</v>
      </c>
      <c r="DY153" s="173">
        <f t="shared" si="405"/>
        <v>0.64671107639284164</v>
      </c>
      <c r="EA153" s="5">
        <f t="shared" si="406"/>
        <v>7.6108077499421132</v>
      </c>
      <c r="EB153" s="5">
        <f t="shared" si="407"/>
        <v>1.0147743666589484</v>
      </c>
      <c r="EC153" s="5">
        <f t="shared" si="408"/>
        <v>2.217426339444982</v>
      </c>
      <c r="ED153" s="5"/>
      <c r="EE153" s="173">
        <f t="shared" si="409"/>
        <v>1.7750499130673993</v>
      </c>
      <c r="EF153" s="173">
        <f t="shared" si="410"/>
        <v>0.87507699071033351</v>
      </c>
      <c r="EG153" s="173">
        <f t="shared" si="411"/>
        <v>8.7625952718426617E-2</v>
      </c>
      <c r="EH153" s="173"/>
      <c r="EI153" s="528">
        <f t="shared" si="412"/>
        <v>0.12603208775522329</v>
      </c>
      <c r="EJ153" s="528">
        <f t="shared" si="413"/>
        <v>0.40775377500000004</v>
      </c>
      <c r="EK153" s="528">
        <f t="shared" si="414"/>
        <v>3.0448559906035927E-2</v>
      </c>
      <c r="EL153" s="528">
        <f t="shared" si="415"/>
        <v>1.72901908027287E-2</v>
      </c>
      <c r="EM153">
        <f t="shared" si="416"/>
        <v>4.0499999999999998E-3</v>
      </c>
      <c r="EN153" s="460">
        <f t="shared" si="417"/>
        <v>34.498559906035922</v>
      </c>
      <c r="EP153" s="460">
        <f t="shared" si="439"/>
        <v>585.57461346398793</v>
      </c>
      <c r="EQ153" s="173">
        <f t="shared" si="418"/>
        <v>0.30099999999999999</v>
      </c>
      <c r="ER153" s="173">
        <f t="shared" si="475"/>
        <v>2.6660000000000003E-2</v>
      </c>
      <c r="ES153" s="528"/>
      <c r="EU153" s="460">
        <f t="shared" si="420"/>
        <v>327.66000000000003</v>
      </c>
      <c r="EV153" s="528">
        <f t="shared" si="421"/>
        <v>9.4524065816417452E-2</v>
      </c>
      <c r="EW153" s="528">
        <f t="shared" si="422"/>
        <v>2.2972792190119593E-2</v>
      </c>
      <c r="EX153" s="528">
        <f t="shared" si="423"/>
        <v>3.8391537949059686E-5</v>
      </c>
      <c r="EY153" s="528">
        <f t="shared" si="424"/>
        <v>0.40865049202349235</v>
      </c>
      <c r="EZ153" s="528"/>
      <c r="FA153" s="625">
        <f t="shared" si="425"/>
        <v>0.44503979994073406</v>
      </c>
      <c r="FB153" s="460">
        <f t="shared" si="426"/>
        <v>971.22554150871258</v>
      </c>
      <c r="FC153" s="173">
        <f t="shared" si="427"/>
        <v>1.8844601549727005</v>
      </c>
      <c r="FD153" s="5">
        <f t="shared" si="428"/>
        <v>11.094000000000001</v>
      </c>
      <c r="FE153" s="173">
        <f t="shared" si="429"/>
        <v>0.8548009446058461</v>
      </c>
      <c r="FF153" s="5">
        <f t="shared" si="430"/>
        <v>85.48009446058461</v>
      </c>
      <c r="FG153">
        <f t="shared" si="431"/>
        <v>43</v>
      </c>
      <c r="FI153" s="562">
        <f t="shared" si="432"/>
        <v>-50</v>
      </c>
      <c r="FJ153">
        <f t="shared" si="433"/>
        <v>-50</v>
      </c>
    </row>
    <row r="154" spans="5:166">
      <c r="E154" s="170">
        <v>44</v>
      </c>
      <c r="F154" s="217">
        <f t="shared" si="476"/>
        <v>0.44</v>
      </c>
      <c r="G154" s="217">
        <f t="shared" si="444"/>
        <v>4.4000000000000004E-2</v>
      </c>
      <c r="H154" s="217">
        <f t="shared" si="445"/>
        <v>10.56</v>
      </c>
      <c r="I154" s="217">
        <f t="shared" si="446"/>
        <v>0.79200000000000004</v>
      </c>
      <c r="J154" s="541">
        <f t="shared" si="447"/>
        <v>8.8301540445352646</v>
      </c>
      <c r="K154" s="443">
        <f t="shared" si="448"/>
        <v>16.500303352518277</v>
      </c>
      <c r="L154" s="172">
        <f t="shared" si="449"/>
        <v>25.330457397053543</v>
      </c>
      <c r="M154" s="443"/>
      <c r="N154" s="217">
        <f t="shared" si="450"/>
        <v>0.65140171351337717</v>
      </c>
      <c r="O154" s="172">
        <f t="shared" si="451"/>
        <v>29.725981783965626</v>
      </c>
      <c r="P154" s="172">
        <f t="shared" si="452"/>
        <v>2.3966572813322289</v>
      </c>
      <c r="Q154" s="217">
        <f t="shared" si="322"/>
        <v>1.238582574331901</v>
      </c>
      <c r="R154" s="217">
        <f t="shared" si="453"/>
        <v>1.6514434324425347</v>
      </c>
      <c r="S154" s="217">
        <f t="shared" si="454"/>
        <v>24</v>
      </c>
      <c r="T154" s="217">
        <f t="shared" si="455"/>
        <v>3.9471642748776641</v>
      </c>
      <c r="U154" s="217">
        <f t="shared" si="326"/>
        <v>4.4700967332732473</v>
      </c>
      <c r="V154" s="217">
        <f t="shared" si="327"/>
        <v>2.39217679248015</v>
      </c>
      <c r="W154" s="197">
        <f t="shared" si="328"/>
        <v>258.83898638388069</v>
      </c>
      <c r="X154" s="443">
        <f t="shared" si="435"/>
        <v>141.59746098099774</v>
      </c>
      <c r="Z154" s="217">
        <f t="shared" si="329"/>
        <v>2.2222222222222223</v>
      </c>
      <c r="AA154" s="173">
        <f t="shared" si="330"/>
        <v>1.346776586312316</v>
      </c>
      <c r="AB154" s="173">
        <f t="shared" si="456"/>
        <v>0.24032564039956328</v>
      </c>
      <c r="AC154" s="173"/>
      <c r="AD154" s="173">
        <f t="shared" si="332"/>
        <v>1.346776586312316</v>
      </c>
      <c r="AE154" s="545">
        <f t="shared" si="457"/>
        <v>440.83269226668</v>
      </c>
      <c r="AF154" s="528">
        <f t="shared" si="458"/>
        <v>0.25835006342953054</v>
      </c>
      <c r="AH154" s="173">
        <f t="shared" si="459"/>
        <v>2.5469309262045452</v>
      </c>
      <c r="AI154" s="173">
        <f t="shared" si="460"/>
        <v>3.9471642748776641</v>
      </c>
      <c r="AJ154" s="173">
        <f t="shared" si="461"/>
        <v>2.4777348538188457</v>
      </c>
      <c r="AL154" s="545">
        <f t="shared" si="462"/>
        <v>440</v>
      </c>
      <c r="AM154" s="460">
        <f t="shared" si="463"/>
        <v>141.59746098099774</v>
      </c>
      <c r="AO154" s="460">
        <f t="shared" si="340"/>
        <v>440</v>
      </c>
      <c r="AP154" s="460">
        <f t="shared" si="341"/>
        <v>141.59746098099774</v>
      </c>
      <c r="AR154" s="5">
        <f t="shared" si="443"/>
        <v>7.0622735257533975</v>
      </c>
      <c r="AS154" s="5">
        <f t="shared" si="440"/>
        <v>4.4700967332732473</v>
      </c>
      <c r="AT154" s="5">
        <f t="shared" si="441"/>
        <v>2.5921767924801502</v>
      </c>
      <c r="AU154" s="173">
        <f t="shared" si="442"/>
        <v>0.63295434777094406</v>
      </c>
      <c r="AW154" s="5">
        <f t="shared" si="342"/>
        <v>8.1951773443342866</v>
      </c>
      <c r="AX154" s="5">
        <f t="shared" si="343"/>
        <v>1.0926903125779048</v>
      </c>
      <c r="AY154" s="5">
        <f t="shared" si="344"/>
        <v>2.5833247821925038</v>
      </c>
      <c r="AZ154" s="5"/>
      <c r="BA154" s="173">
        <f t="shared" si="345"/>
        <v>1.8130541187903311</v>
      </c>
      <c r="BB154" s="173">
        <f t="shared" si="346"/>
        <v>0.92089571047734897</v>
      </c>
      <c r="BC154" s="173">
        <f t="shared" si="347"/>
        <v>9.2214016414015595E-2</v>
      </c>
      <c r="BD154" s="173"/>
      <c r="BE154" s="528">
        <f t="shared" si="348"/>
        <v>0.13148660950650334</v>
      </c>
      <c r="BF154" s="528">
        <f t="shared" si="464"/>
        <v>0.31854164429281584</v>
      </c>
      <c r="BG154" s="528">
        <f t="shared" si="465"/>
        <v>5.0013095711091256E-2</v>
      </c>
      <c r="BH154" s="528">
        <f t="shared" si="351"/>
        <v>1.5899357647466899E-2</v>
      </c>
      <c r="BI154">
        <f t="shared" si="352"/>
        <v>3.9735693200408694E-3</v>
      </c>
      <c r="BJ154" s="460">
        <f t="shared" si="436"/>
        <v>53.986665031132127</v>
      </c>
      <c r="BK154">
        <f t="shared" si="466"/>
        <v>0.5175994329518081</v>
      </c>
      <c r="BL154" s="460">
        <f t="shared" si="437"/>
        <v>519.91427647791818</v>
      </c>
      <c r="BM154" s="173">
        <f t="shared" si="467"/>
        <v>0.38191999999999998</v>
      </c>
      <c r="BN154" s="173">
        <f t="shared" si="468"/>
        <v>3.8192000000000004E-2</v>
      </c>
      <c r="BO154" s="528"/>
      <c r="BQ154" s="460">
        <f t="shared" si="356"/>
        <v>420.11199999999997</v>
      </c>
      <c r="BR154" s="528">
        <f t="shared" si="357"/>
        <v>9.8614957129877515E-2</v>
      </c>
      <c r="BS154" s="528">
        <f t="shared" si="358"/>
        <v>2.5441467287267438E-2</v>
      </c>
      <c r="BT154" s="528">
        <f t="shared" si="359"/>
        <v>4.2517124116021686E-5</v>
      </c>
      <c r="BU154" s="528">
        <f t="shared" si="360"/>
        <v>0.36925099383416782</v>
      </c>
      <c r="BV154" s="528"/>
      <c r="BW154" s="625">
        <f t="shared" si="469"/>
        <v>0.44122068498354983</v>
      </c>
      <c r="BX154" s="460">
        <f t="shared" si="362"/>
        <v>934.57062035897866</v>
      </c>
      <c r="BY154" s="173">
        <f t="shared" si="363"/>
        <v>1.8745968968368967</v>
      </c>
      <c r="BZ154" s="5">
        <f t="shared" si="364"/>
        <v>11.352</v>
      </c>
      <c r="CA154" s="173">
        <f t="shared" si="365"/>
        <v>0.85827065635566457</v>
      </c>
      <c r="CB154" s="5">
        <f t="shared" si="366"/>
        <v>85.827065635566456</v>
      </c>
      <c r="CC154">
        <f t="shared" si="367"/>
        <v>44</v>
      </c>
      <c r="CE154" s="562">
        <f t="shared" si="470"/>
        <v>-50</v>
      </c>
      <c r="CF154">
        <f t="shared" si="471"/>
        <v>-50</v>
      </c>
      <c r="CG154" s="173">
        <f t="shared" si="370"/>
        <v>0.34658417599272745</v>
      </c>
      <c r="CH154" s="173">
        <f t="shared" si="472"/>
        <v>9.446712174985028E-2</v>
      </c>
      <c r="CI154" s="170">
        <v>44</v>
      </c>
      <c r="CJ154" s="217">
        <f t="shared" si="438"/>
        <v>0.44</v>
      </c>
      <c r="CK154" s="217">
        <f t="shared" si="372"/>
        <v>4.4000000000000004E-2</v>
      </c>
      <c r="CL154" s="217">
        <f t="shared" si="373"/>
        <v>10.56</v>
      </c>
      <c r="CM154" s="217">
        <f t="shared" si="374"/>
        <v>0.79200000000000004</v>
      </c>
      <c r="CN154" s="541">
        <f t="shared" si="375"/>
        <v>9</v>
      </c>
      <c r="CO154" s="443">
        <f t="shared" si="473"/>
        <v>16.474900000000002</v>
      </c>
      <c r="CP154" s="443">
        <f t="shared" si="474"/>
        <v>25.474900000000002</v>
      </c>
      <c r="CQ154" s="443"/>
      <c r="CR154" s="217">
        <f t="shared" si="378"/>
        <v>0.64485133082098534</v>
      </c>
      <c r="CS154" s="172">
        <f t="shared" si="379"/>
        <v>29.993085154464438</v>
      </c>
      <c r="CT154" s="172">
        <f t="shared" si="380"/>
        <v>2.4181924905786953</v>
      </c>
      <c r="CU154" s="217">
        <f t="shared" si="381"/>
        <v>1.2497118814360182</v>
      </c>
      <c r="CV154" s="217">
        <f t="shared" si="382"/>
        <v>1.6662825085813577</v>
      </c>
      <c r="CW154" s="217">
        <f t="shared" si="383"/>
        <v>24</v>
      </c>
      <c r="CX154" s="217">
        <f t="shared" si="384"/>
        <v>3.9120128099215696</v>
      </c>
      <c r="CY154" s="217">
        <f t="shared" si="385"/>
        <v>4.3466808999128554</v>
      </c>
      <c r="CZ154" s="217">
        <f t="shared" si="386"/>
        <v>2.3745290168204782</v>
      </c>
      <c r="DA154" s="197">
        <f t="shared" si="387"/>
        <v>261.91798593910079</v>
      </c>
      <c r="DB154" s="443">
        <f t="shared" si="388"/>
        <v>148.78273590449376</v>
      </c>
      <c r="DD154" s="217">
        <f t="shared" si="389"/>
        <v>2.2222222222222228</v>
      </c>
      <c r="DE154" s="173">
        <f t="shared" si="390"/>
        <v>1.3488532386977905</v>
      </c>
      <c r="DF154" s="173">
        <f t="shared" si="391"/>
        <v>0.24355939229558116</v>
      </c>
      <c r="DG154" s="173"/>
      <c r="DH154" s="173">
        <f t="shared" si="392"/>
        <v>1.3488532386977903</v>
      </c>
      <c r="DI154" s="545">
        <f t="shared" si="393"/>
        <v>440.15399999999983</v>
      </c>
      <c r="DJ154" s="528">
        <f t="shared" si="394"/>
        <v>0.26182634671774968</v>
      </c>
      <c r="DL154" s="173">
        <f t="shared" si="395"/>
        <v>2.5469309262045452</v>
      </c>
      <c r="DM154" s="173">
        <f t="shared" si="396"/>
        <v>3.9120128099215696</v>
      </c>
      <c r="DN154" s="173">
        <f t="shared" si="397"/>
        <v>2.4516967316291458</v>
      </c>
      <c r="DP154" s="545">
        <f t="shared" si="398"/>
        <v>440</v>
      </c>
      <c r="DQ154" s="460">
        <f t="shared" si="399"/>
        <v>148.78273590449376</v>
      </c>
      <c r="DS154" s="460">
        <f t="shared" si="400"/>
        <v>440</v>
      </c>
      <c r="DT154" s="460">
        <f t="shared" si="401"/>
        <v>148.78273590449376</v>
      </c>
      <c r="DV154" s="5">
        <f t="shared" si="402"/>
        <v>6.7212099167333328</v>
      </c>
      <c r="DW154" s="5">
        <f t="shared" si="403"/>
        <v>4.3466808999128554</v>
      </c>
      <c r="DX154" s="5">
        <f t="shared" si="404"/>
        <v>2.3745290168204773</v>
      </c>
      <c r="DY154" s="173">
        <f t="shared" si="405"/>
        <v>0.64671107639284164</v>
      </c>
      <c r="EA154" s="5">
        <f t="shared" si="406"/>
        <v>7.9689149831735691</v>
      </c>
      <c r="EB154" s="5">
        <f t="shared" si="407"/>
        <v>1.0625219977564759</v>
      </c>
      <c r="EC154" s="5">
        <f t="shared" si="408"/>
        <v>2.3217617053355775</v>
      </c>
      <c r="ED154" s="5"/>
      <c r="EE154" s="173">
        <f t="shared" si="409"/>
        <v>1.8163301436038501</v>
      </c>
      <c r="EF154" s="173">
        <f t="shared" si="410"/>
        <v>0.89542761840127139</v>
      </c>
      <c r="EG154" s="173">
        <f t="shared" si="411"/>
        <v>8.9663765572343498E-2</v>
      </c>
      <c r="EH154" s="173"/>
      <c r="EI154" s="528">
        <f t="shared" si="412"/>
        <v>0.13196220762255931</v>
      </c>
      <c r="EJ154" s="528">
        <f t="shared" si="413"/>
        <v>0.4077537750000001</v>
      </c>
      <c r="EK154" s="528">
        <f t="shared" si="414"/>
        <v>2.9756547180898749E-2</v>
      </c>
      <c r="EL154" s="528">
        <f t="shared" si="415"/>
        <v>1.6897231920848504E-2</v>
      </c>
      <c r="EM154">
        <f t="shared" si="416"/>
        <v>4.0499999999999998E-3</v>
      </c>
      <c r="EN154" s="460">
        <f t="shared" si="417"/>
        <v>33.806547180898747</v>
      </c>
      <c r="EP154" s="460">
        <f t="shared" si="439"/>
        <v>590.41976172430657</v>
      </c>
      <c r="EQ154" s="173">
        <f t="shared" si="418"/>
        <v>0.308</v>
      </c>
      <c r="ER154" s="173">
        <f t="shared" si="475"/>
        <v>2.7280000000000002E-2</v>
      </c>
      <c r="ES154" s="528"/>
      <c r="EU154" s="460">
        <f t="shared" si="420"/>
        <v>335.28000000000003</v>
      </c>
      <c r="EV154" s="528">
        <f t="shared" si="421"/>
        <v>9.8971655716919488E-2</v>
      </c>
      <c r="EW154" s="528">
        <f t="shared" si="422"/>
        <v>2.4053718593873188E-2</v>
      </c>
      <c r="EX154" s="528">
        <f t="shared" si="423"/>
        <v>4.0197954283060858E-5</v>
      </c>
      <c r="EY154" s="528">
        <f t="shared" si="424"/>
        <v>0.40865049202349191</v>
      </c>
      <c r="EZ154" s="528"/>
      <c r="FA154" s="625">
        <f t="shared" si="425"/>
        <v>0.45538956273005343</v>
      </c>
      <c r="FB154" s="460">
        <f t="shared" si="426"/>
        <v>987.10562701862113</v>
      </c>
      <c r="FC154" s="173">
        <f t="shared" si="427"/>
        <v>1.9128053887429277</v>
      </c>
      <c r="FD154" s="5">
        <f t="shared" si="428"/>
        <v>11.352</v>
      </c>
      <c r="FE154" s="173">
        <f t="shared" si="429"/>
        <v>0.85579845819930267</v>
      </c>
      <c r="FF154" s="5">
        <f t="shared" si="430"/>
        <v>85.57984581993027</v>
      </c>
      <c r="FG154">
        <f t="shared" si="431"/>
        <v>44</v>
      </c>
      <c r="FI154" s="562">
        <f t="shared" si="432"/>
        <v>-50</v>
      </c>
      <c r="FJ154">
        <f t="shared" si="433"/>
        <v>-50</v>
      </c>
    </row>
    <row r="155" spans="5:166">
      <c r="E155" s="170">
        <v>45</v>
      </c>
      <c r="F155" s="217">
        <f t="shared" si="476"/>
        <v>0.45</v>
      </c>
      <c r="G155" s="217">
        <f t="shared" si="444"/>
        <v>4.5000000000000005E-2</v>
      </c>
      <c r="H155" s="217">
        <f t="shared" si="445"/>
        <v>10.8</v>
      </c>
      <c r="I155" s="217">
        <f t="shared" si="446"/>
        <v>0.81</v>
      </c>
      <c r="J155" s="541">
        <f t="shared" si="447"/>
        <v>8.8262939091837929</v>
      </c>
      <c r="K155" s="443">
        <f t="shared" si="448"/>
        <v>16.500880701439147</v>
      </c>
      <c r="L155" s="172">
        <f t="shared" si="449"/>
        <v>25.32717461062294</v>
      </c>
      <c r="M155" s="443"/>
      <c r="N155" s="217">
        <f t="shared" si="450"/>
        <v>0.65150894069795717</v>
      </c>
      <c r="O155" s="172">
        <f t="shared" si="451"/>
        <v>29.717878010652012</v>
      </c>
      <c r="P155" s="172">
        <f t="shared" si="452"/>
        <v>2.3960039146088183</v>
      </c>
      <c r="Q155" s="217">
        <f t="shared" si="322"/>
        <v>1.2382449171105006</v>
      </c>
      <c r="R155" s="217">
        <f t="shared" si="453"/>
        <v>1.6509932228140007</v>
      </c>
      <c r="S155" s="217">
        <f t="shared" si="454"/>
        <v>24</v>
      </c>
      <c r="T155" s="217">
        <f t="shared" si="455"/>
        <v>4.0379733693296496</v>
      </c>
      <c r="U155" s="217">
        <f t="shared" si="326"/>
        <v>4.5749364465737115</v>
      </c>
      <c r="V155" s="217">
        <f t="shared" si="327"/>
        <v>2.4471259700565393</v>
      </c>
      <c r="W155" s="197">
        <f t="shared" si="328"/>
        <v>258.76842277775228</v>
      </c>
      <c r="X155" s="443">
        <f t="shared" si="435"/>
        <v>138.46460225783966</v>
      </c>
      <c r="Z155" s="217">
        <f t="shared" si="329"/>
        <v>2.2222222222222228</v>
      </c>
      <c r="AA155" s="173">
        <f t="shared" si="330"/>
        <v>1.3467294639784946</v>
      </c>
      <c r="AB155" s="173">
        <f t="shared" si="456"/>
        <v>0.24025171736895359</v>
      </c>
      <c r="AC155" s="173"/>
      <c r="AD155" s="173">
        <f t="shared" si="332"/>
        <v>1.3467294639784946</v>
      </c>
      <c r="AE155" s="545">
        <f t="shared" si="457"/>
        <v>450.86739247935287</v>
      </c>
      <c r="AF155" s="528">
        <f t="shared" si="458"/>
        <v>0.25827059617162507</v>
      </c>
      <c r="AH155" s="173">
        <f t="shared" si="459"/>
        <v>2.5757107202257234</v>
      </c>
      <c r="AI155" s="173">
        <f t="shared" si="460"/>
        <v>4.0379733693296496</v>
      </c>
      <c r="AJ155" s="173">
        <f t="shared" si="461"/>
        <v>2.5450008497092051</v>
      </c>
      <c r="AL155" s="545">
        <f t="shared" si="462"/>
        <v>450</v>
      </c>
      <c r="AM155" s="460">
        <f t="shared" si="463"/>
        <v>138.46460225783966</v>
      </c>
      <c r="AO155" s="460">
        <f t="shared" si="340"/>
        <v>450</v>
      </c>
      <c r="AP155" s="460">
        <f t="shared" si="341"/>
        <v>138.46460225783966</v>
      </c>
      <c r="AR155" s="5">
        <f t="shared" si="443"/>
        <v>7.2220624166302505</v>
      </c>
      <c r="AS155" s="5">
        <f t="shared" si="440"/>
        <v>4.5749364465737115</v>
      </c>
      <c r="AT155" s="5">
        <f t="shared" si="441"/>
        <v>2.647125970056539</v>
      </c>
      <c r="AU155" s="173">
        <f t="shared" si="442"/>
        <v>0.6334667554297233</v>
      </c>
      <c r="AW155" s="5">
        <f t="shared" si="342"/>
        <v>8.5780058373257084</v>
      </c>
      <c r="AX155" s="5">
        <f t="shared" si="343"/>
        <v>1.1437341116434281</v>
      </c>
      <c r="AY155" s="5">
        <f t="shared" si="344"/>
        <v>2.6992227967527507</v>
      </c>
      <c r="AZ155" s="5"/>
      <c r="BA155" s="173">
        <f t="shared" si="345"/>
        <v>1.8555161427235096</v>
      </c>
      <c r="BB155" s="173">
        <f t="shared" si="346"/>
        <v>0.9414241667112383</v>
      </c>
      <c r="BC155" s="173">
        <f t="shared" si="347"/>
        <v>9.4269636153111805E-2</v>
      </c>
      <c r="BD155" s="173"/>
      <c r="BE155" s="528">
        <f t="shared" si="348"/>
        <v>0.13771760623630128</v>
      </c>
      <c r="BF155" s="528">
        <f t="shared" si="464"/>
        <v>0.31861885715049781</v>
      </c>
      <c r="BG155" s="528">
        <f t="shared" si="465"/>
        <v>4.8885171021837065E-2</v>
      </c>
      <c r="BH155" s="528">
        <f t="shared" si="351"/>
        <v>1.5543553064423659E-2</v>
      </c>
      <c r="BI155">
        <f t="shared" si="352"/>
        <v>3.9718322591327064E-3</v>
      </c>
      <c r="BJ155" s="460">
        <f t="shared" si="436"/>
        <v>52.857003280969778</v>
      </c>
      <c r="BK155">
        <f t="shared" si="466"/>
        <v>0.52628470197367705</v>
      </c>
      <c r="BL155" s="460">
        <f t="shared" si="437"/>
        <v>524.73701973219261</v>
      </c>
      <c r="BM155" s="173">
        <f t="shared" si="467"/>
        <v>0.3906</v>
      </c>
      <c r="BN155" s="173">
        <f t="shared" si="468"/>
        <v>3.9059999999999997E-2</v>
      </c>
      <c r="BO155" s="528"/>
      <c r="BQ155" s="460">
        <f t="shared" si="356"/>
        <v>429.65999999999997</v>
      </c>
      <c r="BR155" s="528">
        <f t="shared" si="357"/>
        <v>0.10328820467722595</v>
      </c>
      <c r="BS155" s="528">
        <f t="shared" si="358"/>
        <v>2.6588383850038481E-2</v>
      </c>
      <c r="BT155" s="528">
        <f t="shared" si="359"/>
        <v>4.4433821502200426E-5</v>
      </c>
      <c r="BU155" s="528">
        <f t="shared" si="360"/>
        <v>0.36959453137245174</v>
      </c>
      <c r="BV155" s="528"/>
      <c r="BW155" s="625">
        <f t="shared" si="469"/>
        <v>0.45153940774229184</v>
      </c>
      <c r="BX155" s="460">
        <f t="shared" si="362"/>
        <v>951.05496146351015</v>
      </c>
      <c r="BY155" s="173">
        <f t="shared" si="363"/>
        <v>1.9054519811957029</v>
      </c>
      <c r="BZ155" s="5">
        <f t="shared" si="364"/>
        <v>11.610000000000001</v>
      </c>
      <c r="CA155" s="173">
        <f t="shared" si="365"/>
        <v>0.85901677695671641</v>
      </c>
      <c r="CB155" s="5">
        <f t="shared" si="366"/>
        <v>85.901677695671637</v>
      </c>
      <c r="CC155">
        <f t="shared" si="367"/>
        <v>45</v>
      </c>
      <c r="CE155" s="562">
        <f t="shared" si="470"/>
        <v>-50</v>
      </c>
      <c r="CF155">
        <f t="shared" si="471"/>
        <v>-50</v>
      </c>
      <c r="CG155" s="173">
        <f t="shared" si="370"/>
        <v>0.34658417599272728</v>
      </c>
      <c r="CH155" s="173">
        <f t="shared" si="472"/>
        <v>9.4467121749850266E-2</v>
      </c>
      <c r="CI155" s="170">
        <v>45</v>
      </c>
      <c r="CJ155" s="217">
        <f t="shared" si="438"/>
        <v>0.45</v>
      </c>
      <c r="CK155" s="217">
        <f t="shared" si="372"/>
        <v>4.5000000000000005E-2</v>
      </c>
      <c r="CL155" s="217">
        <f t="shared" si="373"/>
        <v>10.8</v>
      </c>
      <c r="CM155" s="217">
        <f t="shared" si="374"/>
        <v>0.81</v>
      </c>
      <c r="CN155" s="541">
        <f t="shared" si="375"/>
        <v>9</v>
      </c>
      <c r="CO155" s="443">
        <f t="shared" si="473"/>
        <v>16.474900000000002</v>
      </c>
      <c r="CP155" s="443">
        <f t="shared" si="474"/>
        <v>25.474900000000002</v>
      </c>
      <c r="CQ155" s="443"/>
      <c r="CR155" s="217">
        <f t="shared" si="378"/>
        <v>0.64485133082098534</v>
      </c>
      <c r="CS155" s="172">
        <f t="shared" si="379"/>
        <v>29.993085154464438</v>
      </c>
      <c r="CT155" s="172">
        <f t="shared" si="380"/>
        <v>2.4181924905786953</v>
      </c>
      <c r="CU155" s="217">
        <f t="shared" si="381"/>
        <v>1.2497118814360182</v>
      </c>
      <c r="CV155" s="217">
        <f t="shared" si="382"/>
        <v>1.6662825085813577</v>
      </c>
      <c r="CW155" s="217">
        <f t="shared" si="383"/>
        <v>24</v>
      </c>
      <c r="CX155" s="217">
        <f t="shared" si="384"/>
        <v>4.000922191965242</v>
      </c>
      <c r="CY155" s="217">
        <f t="shared" si="385"/>
        <v>4.445469102183603</v>
      </c>
      <c r="CZ155" s="217">
        <f t="shared" si="386"/>
        <v>2.4284955853845802</v>
      </c>
      <c r="DA155" s="197">
        <f t="shared" si="387"/>
        <v>261.91798593910079</v>
      </c>
      <c r="DB155" s="443">
        <f t="shared" si="388"/>
        <v>145.47645288439386</v>
      </c>
      <c r="DD155" s="217">
        <f t="shared" si="389"/>
        <v>2.2222222222222228</v>
      </c>
      <c r="DE155" s="173">
        <f t="shared" si="390"/>
        <v>1.3488532386977905</v>
      </c>
      <c r="DF155" s="173">
        <f t="shared" si="391"/>
        <v>0.24355939229558116</v>
      </c>
      <c r="DG155" s="173"/>
      <c r="DH155" s="173">
        <f t="shared" si="392"/>
        <v>1.3488532386977903</v>
      </c>
      <c r="DI155" s="545">
        <f t="shared" si="393"/>
        <v>450.15749999999986</v>
      </c>
      <c r="DJ155" s="528">
        <f t="shared" si="394"/>
        <v>0.26182634671774968</v>
      </c>
      <c r="DL155" s="173">
        <f t="shared" si="395"/>
        <v>2.5757107202257234</v>
      </c>
      <c r="DM155" s="173">
        <f t="shared" si="396"/>
        <v>4.000922191965242</v>
      </c>
      <c r="DN155" s="173">
        <f t="shared" si="397"/>
        <v>2.5175555331429775</v>
      </c>
      <c r="DP155" s="545">
        <f t="shared" si="398"/>
        <v>450</v>
      </c>
      <c r="DQ155" s="460">
        <f t="shared" si="399"/>
        <v>145.47645288439386</v>
      </c>
      <c r="DS155" s="460">
        <f t="shared" si="400"/>
        <v>450</v>
      </c>
      <c r="DT155" s="460">
        <f t="shared" si="401"/>
        <v>145.47645288439386</v>
      </c>
      <c r="DV155" s="5">
        <f t="shared" si="402"/>
        <v>6.8739646875681837</v>
      </c>
      <c r="DW155" s="5">
        <f t="shared" si="403"/>
        <v>4.445469102183603</v>
      </c>
      <c r="DX155" s="5">
        <f t="shared" si="404"/>
        <v>2.4284955853845807</v>
      </c>
      <c r="DY155" s="173">
        <f t="shared" si="405"/>
        <v>0.64671107639284153</v>
      </c>
      <c r="EA155" s="5">
        <f t="shared" si="406"/>
        <v>8.3352545665942568</v>
      </c>
      <c r="EB155" s="5">
        <f t="shared" si="407"/>
        <v>1.1113672755459008</v>
      </c>
      <c r="EC155" s="5">
        <f t="shared" si="408"/>
        <v>2.4284955853845807</v>
      </c>
      <c r="ED155" s="5"/>
      <c r="EE155" s="173">
        <f t="shared" si="409"/>
        <v>1.8576103741403016</v>
      </c>
      <c r="EF155" s="173">
        <f t="shared" si="410"/>
        <v>0.91577824609220959</v>
      </c>
      <c r="EG155" s="173">
        <f t="shared" si="411"/>
        <v>9.1701578426260436E-2</v>
      </c>
      <c r="EH155" s="173"/>
      <c r="EI155" s="528">
        <f t="shared" si="412"/>
        <v>0.13802865208454684</v>
      </c>
      <c r="EJ155" s="528">
        <f t="shared" si="413"/>
        <v>0.40775377500000004</v>
      </c>
      <c r="EK155" s="528">
        <f t="shared" si="414"/>
        <v>2.909529057687877E-2</v>
      </c>
      <c r="EL155" s="528">
        <f t="shared" si="415"/>
        <v>1.6521737878162978E-2</v>
      </c>
      <c r="EM155">
        <f t="shared" si="416"/>
        <v>4.0499999999999998E-3</v>
      </c>
      <c r="EN155" s="460">
        <f t="shared" si="417"/>
        <v>33.145290576878764</v>
      </c>
      <c r="EP155" s="460">
        <f t="shared" si="439"/>
        <v>595.4494555395886</v>
      </c>
      <c r="EQ155" s="173">
        <f t="shared" si="418"/>
        <v>0.315</v>
      </c>
      <c r="ER155" s="173">
        <f t="shared" si="475"/>
        <v>2.7900000000000005E-2</v>
      </c>
      <c r="ES155" s="528"/>
      <c r="EU155" s="460">
        <f t="shared" si="420"/>
        <v>342.9</v>
      </c>
      <c r="EV155" s="528">
        <f t="shared" si="421"/>
        <v>0.10352148906341013</v>
      </c>
      <c r="EW155" s="528">
        <f t="shared" si="422"/>
        <v>2.5159493880471704E-2</v>
      </c>
      <c r="EX155" s="528">
        <f t="shared" si="423"/>
        <v>4.204589742933797E-5</v>
      </c>
      <c r="EY155" s="528">
        <f t="shared" si="424"/>
        <v>0.40865049202349168</v>
      </c>
      <c r="EZ155" s="528"/>
      <c r="FA155" s="625">
        <f t="shared" si="425"/>
        <v>0.4657393255193728</v>
      </c>
      <c r="FB155" s="460">
        <f t="shared" si="426"/>
        <v>1003.1128463841757</v>
      </c>
      <c r="FC155" s="173">
        <f t="shared" si="427"/>
        <v>1.9414623019237642</v>
      </c>
      <c r="FD155" s="5">
        <f t="shared" si="428"/>
        <v>11.610000000000001</v>
      </c>
      <c r="FE155" s="173">
        <f t="shared" si="429"/>
        <v>0.85673411041049397</v>
      </c>
      <c r="FF155" s="5">
        <f t="shared" si="430"/>
        <v>85.673411041049391</v>
      </c>
      <c r="FG155">
        <f t="shared" si="431"/>
        <v>45</v>
      </c>
      <c r="FI155" s="562">
        <f t="shared" si="432"/>
        <v>-50</v>
      </c>
      <c r="FJ155">
        <f t="shared" si="433"/>
        <v>-50</v>
      </c>
    </row>
    <row r="156" spans="5:166" s="76" customFormat="1">
      <c r="E156" s="189">
        <v>46</v>
      </c>
      <c r="F156" s="329">
        <f t="shared" si="476"/>
        <v>0.46</v>
      </c>
      <c r="G156" s="217">
        <f t="shared" si="444"/>
        <v>4.6000000000000006E-2</v>
      </c>
      <c r="H156" s="329">
        <f t="shared" si="445"/>
        <v>11.040000000000001</v>
      </c>
      <c r="I156" s="217">
        <f t="shared" si="446"/>
        <v>0.82800000000000007</v>
      </c>
      <c r="J156" s="541">
        <f t="shared" si="447"/>
        <v>8.8224337738323211</v>
      </c>
      <c r="K156" s="443">
        <f t="shared" si="448"/>
        <v>16.501458050360018</v>
      </c>
      <c r="L156" s="172">
        <f t="shared" si="449"/>
        <v>25.323891824192337</v>
      </c>
      <c r="M156" s="443"/>
      <c r="N156" s="217">
        <f t="shared" si="450"/>
        <v>0.65161619568268325</v>
      </c>
      <c r="O156" s="172">
        <f t="shared" si="451"/>
        <v>29.70977122670303</v>
      </c>
      <c r="P156" s="172">
        <f t="shared" si="452"/>
        <v>2.3953503051529315</v>
      </c>
      <c r="Q156" s="329">
        <f t="shared" si="322"/>
        <v>1.2379071344459596</v>
      </c>
      <c r="R156" s="217">
        <f t="shared" si="453"/>
        <v>1.6505428459279461</v>
      </c>
      <c r="S156" s="329">
        <f t="shared" si="454"/>
        <v>24</v>
      </c>
      <c r="T156" s="217">
        <f t="shared" si="455"/>
        <v>4.1288324211804888</v>
      </c>
      <c r="U156" s="329">
        <f t="shared" si="326"/>
        <v>4.6799245276589838</v>
      </c>
      <c r="V156" s="329">
        <f t="shared" si="327"/>
        <v>2.5021015770727053</v>
      </c>
      <c r="W156" s="537">
        <f t="shared" si="328"/>
        <v>258.69783295651655</v>
      </c>
      <c r="X156" s="443">
        <f t="shared" si="435"/>
        <v>135.46416469037217</v>
      </c>
      <c r="Z156" s="329">
        <f t="shared" si="329"/>
        <v>2.2222222222222223</v>
      </c>
      <c r="AA156" s="538">
        <f t="shared" si="330"/>
        <v>1.3466823449420819</v>
      </c>
      <c r="AB156" s="173">
        <f t="shared" si="456"/>
        <v>0.24017777517276517</v>
      </c>
      <c r="AC156" s="538"/>
      <c r="AD156" s="538">
        <f t="shared" si="332"/>
        <v>1.3466823449420819</v>
      </c>
      <c r="AE156" s="545">
        <f t="shared" si="457"/>
        <v>460.9027938204004</v>
      </c>
      <c r="AF156" s="528">
        <f t="shared" si="458"/>
        <v>0.25819110831072256</v>
      </c>
      <c r="AH156" s="173">
        <f t="shared" si="459"/>
        <v>2.6041724761839959</v>
      </c>
      <c r="AI156" s="538">
        <f t="shared" si="460"/>
        <v>4.1288324211804888</v>
      </c>
      <c r="AJ156" s="538">
        <f t="shared" si="461"/>
        <v>2.6123038510801972</v>
      </c>
      <c r="AL156" s="563">
        <f t="shared" si="462"/>
        <v>460</v>
      </c>
      <c r="AM156" s="564">
        <f t="shared" si="463"/>
        <v>135.46416469037217</v>
      </c>
      <c r="AO156" s="76">
        <f t="shared" si="340"/>
        <v>460</v>
      </c>
      <c r="AP156" s="76">
        <f t="shared" si="341"/>
        <v>135.46416469037217</v>
      </c>
      <c r="AR156" s="534">
        <f t="shared" si="443"/>
        <v>7.3820261047316889</v>
      </c>
      <c r="AS156" s="5">
        <f t="shared" si="440"/>
        <v>4.6799245276589838</v>
      </c>
      <c r="AT156" s="5">
        <f t="shared" si="441"/>
        <v>2.702101577072705</v>
      </c>
      <c r="AU156" s="173">
        <f t="shared" si="442"/>
        <v>0.6339620669533087</v>
      </c>
      <c r="AW156" s="5">
        <f t="shared" si="342"/>
        <v>8.9698553446797185</v>
      </c>
      <c r="AX156" s="5">
        <f t="shared" si="343"/>
        <v>1.1959807126239625</v>
      </c>
      <c r="AY156" s="5">
        <f t="shared" si="344"/>
        <v>2.8177411297552193</v>
      </c>
      <c r="AZ156" s="5"/>
      <c r="BA156" s="173">
        <f t="shared" si="345"/>
        <v>1.8980089907081834</v>
      </c>
      <c r="BB156" s="173">
        <f t="shared" si="346"/>
        <v>0.96195666942726743</v>
      </c>
      <c r="BC156" s="173">
        <f t="shared" si="347"/>
        <v>9.6325661087243927E-2</v>
      </c>
      <c r="BD156" s="173"/>
      <c r="BE156" s="528">
        <f t="shared" si="348"/>
        <v>0.14409752515236388</v>
      </c>
      <c r="BF156" s="528">
        <f t="shared" si="464"/>
        <v>0.31868721980831388</v>
      </c>
      <c r="BG156" s="528">
        <f t="shared" si="465"/>
        <v>4.7804944868332935E-2</v>
      </c>
      <c r="BH156" s="528">
        <f t="shared" si="351"/>
        <v>1.5202792621480889E-2</v>
      </c>
      <c r="BI156">
        <f t="shared" si="352"/>
        <v>3.9700951982245443E-3</v>
      </c>
      <c r="BJ156" s="460">
        <f t="shared" si="436"/>
        <v>51.775040066557473</v>
      </c>
      <c r="BK156">
        <f t="shared" si="466"/>
        <v>0.53521844956320841</v>
      </c>
      <c r="BL156" s="460">
        <f t="shared" si="437"/>
        <v>529.76257764871627</v>
      </c>
      <c r="BM156" s="173">
        <f t="shared" si="467"/>
        <v>0.39928000000000002</v>
      </c>
      <c r="BN156" s="173">
        <f t="shared" si="468"/>
        <v>3.9927999999999998E-2</v>
      </c>
      <c r="BO156" s="528"/>
      <c r="BP156"/>
      <c r="BQ156" s="460">
        <f t="shared" si="356"/>
        <v>439.20800000000003</v>
      </c>
      <c r="BR156" s="528">
        <f t="shared" si="357"/>
        <v>0.1080731438642729</v>
      </c>
      <c r="BS156" s="528">
        <f t="shared" si="358"/>
        <v>2.7760819015668032E-2</v>
      </c>
      <c r="BT156" s="528">
        <f t="shared" si="359"/>
        <v>4.6393164919472895E-5</v>
      </c>
      <c r="BU156" s="528">
        <f t="shared" si="360"/>
        <v>0.36991266728563738</v>
      </c>
      <c r="BV156" s="528"/>
      <c r="BW156" s="625">
        <f t="shared" si="469"/>
        <v>0.46185849034763743</v>
      </c>
      <c r="BX156" s="460">
        <f t="shared" si="362"/>
        <v>967.65151367813519</v>
      </c>
      <c r="BY156" s="173">
        <f t="shared" si="363"/>
        <v>1.9366220913268515</v>
      </c>
      <c r="BZ156" s="5">
        <f t="shared" si="364"/>
        <v>11.868</v>
      </c>
      <c r="CA156" s="173">
        <f t="shared" si="365"/>
        <v>0.8597120530707183</v>
      </c>
      <c r="CB156" s="5">
        <f t="shared" si="366"/>
        <v>85.971205307071827</v>
      </c>
      <c r="CC156">
        <f t="shared" si="367"/>
        <v>46</v>
      </c>
      <c r="CE156" s="562">
        <f t="shared" si="470"/>
        <v>-50</v>
      </c>
      <c r="CF156">
        <f t="shared" si="471"/>
        <v>-50</v>
      </c>
      <c r="CG156" s="173">
        <f t="shared" si="370"/>
        <v>0.34658417599272739</v>
      </c>
      <c r="CH156" s="173">
        <f t="shared" si="472"/>
        <v>9.446712174985028E-2</v>
      </c>
      <c r="CI156" s="189">
        <v>46</v>
      </c>
      <c r="CJ156" s="329">
        <f t="shared" si="438"/>
        <v>0.46</v>
      </c>
      <c r="CK156" s="217">
        <f t="shared" si="372"/>
        <v>4.6000000000000006E-2</v>
      </c>
      <c r="CL156" s="329">
        <f t="shared" si="373"/>
        <v>11.040000000000001</v>
      </c>
      <c r="CM156" s="217">
        <f t="shared" si="374"/>
        <v>0.82800000000000007</v>
      </c>
      <c r="CN156" s="541">
        <f t="shared" si="375"/>
        <v>9</v>
      </c>
      <c r="CO156" s="443">
        <f t="shared" si="473"/>
        <v>16.474900000000002</v>
      </c>
      <c r="CP156" s="443">
        <f t="shared" si="474"/>
        <v>25.474900000000002</v>
      </c>
      <c r="CQ156" s="535"/>
      <c r="CR156" s="329">
        <f t="shared" si="378"/>
        <v>0.64485133082098534</v>
      </c>
      <c r="CS156" s="172">
        <f t="shared" si="379"/>
        <v>29.993085154464438</v>
      </c>
      <c r="CT156" s="172">
        <f t="shared" si="380"/>
        <v>2.4181924905786953</v>
      </c>
      <c r="CU156" s="329">
        <f t="shared" si="381"/>
        <v>1.2497118814360182</v>
      </c>
      <c r="CV156" s="217">
        <f t="shared" si="382"/>
        <v>1.6662825085813577</v>
      </c>
      <c r="CW156" s="329">
        <f t="shared" si="383"/>
        <v>24</v>
      </c>
      <c r="CX156" s="217">
        <f t="shared" si="384"/>
        <v>4.0898315740089135</v>
      </c>
      <c r="CY156" s="329">
        <f t="shared" si="385"/>
        <v>4.5442573044543488</v>
      </c>
      <c r="CZ156" s="329">
        <f t="shared" si="386"/>
        <v>2.4824621539486817</v>
      </c>
      <c r="DA156" s="537">
        <f t="shared" si="387"/>
        <v>261.91798593910079</v>
      </c>
      <c r="DB156" s="535">
        <f t="shared" si="388"/>
        <v>142.31392129995055</v>
      </c>
      <c r="DD156" s="329">
        <f t="shared" si="389"/>
        <v>2.2222222222222228</v>
      </c>
      <c r="DE156" s="538">
        <f t="shared" si="390"/>
        <v>1.3488532386977905</v>
      </c>
      <c r="DF156" s="173">
        <f t="shared" si="391"/>
        <v>0.24355939229558116</v>
      </c>
      <c r="DG156" s="538"/>
      <c r="DH156" s="538">
        <f t="shared" si="392"/>
        <v>1.3488532386977903</v>
      </c>
      <c r="DI156" s="545">
        <f t="shared" si="393"/>
        <v>460.16099999999989</v>
      </c>
      <c r="DJ156" s="528">
        <f t="shared" si="394"/>
        <v>0.26182634671774968</v>
      </c>
      <c r="DL156" s="173">
        <f t="shared" si="395"/>
        <v>2.6041724761839959</v>
      </c>
      <c r="DM156" s="538">
        <f t="shared" si="396"/>
        <v>4.0898315740089135</v>
      </c>
      <c r="DN156" s="538">
        <f t="shared" si="397"/>
        <v>2.5834143346568084</v>
      </c>
      <c r="DP156" s="563">
        <f t="shared" si="398"/>
        <v>460</v>
      </c>
      <c r="DQ156" s="564">
        <f t="shared" si="399"/>
        <v>142.31392129995055</v>
      </c>
      <c r="DS156" s="76">
        <f t="shared" si="400"/>
        <v>460</v>
      </c>
      <c r="DT156" s="76">
        <f t="shared" si="401"/>
        <v>142.31392129995055</v>
      </c>
      <c r="DV156" s="534">
        <f t="shared" si="402"/>
        <v>7.026719458403031</v>
      </c>
      <c r="DW156" s="5">
        <f t="shared" si="403"/>
        <v>4.5442573044543488</v>
      </c>
      <c r="DX156" s="5">
        <f t="shared" si="404"/>
        <v>2.4824621539486822</v>
      </c>
      <c r="DY156" s="173">
        <f t="shared" si="405"/>
        <v>0.64671107639284153</v>
      </c>
      <c r="EA156" s="5">
        <f t="shared" si="406"/>
        <v>8.7098265002041693</v>
      </c>
      <c r="EB156" s="5">
        <f t="shared" si="407"/>
        <v>1.1613102000272226</v>
      </c>
      <c r="EC156" s="5">
        <f t="shared" si="408"/>
        <v>2.5376279795919863</v>
      </c>
      <c r="ED156" s="5"/>
      <c r="EE156" s="173">
        <f t="shared" si="409"/>
        <v>1.8988906046767524</v>
      </c>
      <c r="EF156" s="173">
        <f t="shared" si="410"/>
        <v>0.93612887378314746</v>
      </c>
      <c r="EG156" s="173">
        <f t="shared" si="411"/>
        <v>9.3739391280177317E-2</v>
      </c>
      <c r="EH156" s="173"/>
      <c r="EI156" s="528">
        <f t="shared" si="412"/>
        <v>0.1442314211411857</v>
      </c>
      <c r="EJ156" s="528">
        <f t="shared" si="413"/>
        <v>0.40775377500000004</v>
      </c>
      <c r="EK156" s="528">
        <f t="shared" si="414"/>
        <v>2.8462784259990111E-2</v>
      </c>
      <c r="EL156" s="528">
        <f t="shared" si="415"/>
        <v>1.616256966342031E-2</v>
      </c>
      <c r="EM156">
        <f t="shared" si="416"/>
        <v>4.0499999999999998E-3</v>
      </c>
      <c r="EN156" s="460">
        <f t="shared" si="417"/>
        <v>32.512784259990106</v>
      </c>
      <c r="EO156"/>
      <c r="EP156" s="460">
        <f t="shared" si="439"/>
        <v>600.66055006459612</v>
      </c>
      <c r="EQ156" s="173">
        <f t="shared" si="418"/>
        <v>0.32200000000000001</v>
      </c>
      <c r="ER156" s="173">
        <f t="shared" si="475"/>
        <v>2.8520000000000004E-2</v>
      </c>
      <c r="ES156" s="528"/>
      <c r="ET156"/>
      <c r="EU156" s="460">
        <f t="shared" si="420"/>
        <v>350.52</v>
      </c>
      <c r="EV156" s="528">
        <f t="shared" si="421"/>
        <v>0.10817356585588926</v>
      </c>
      <c r="EW156" s="528">
        <f t="shared" si="422"/>
        <v>2.6290118049915122E-2</v>
      </c>
      <c r="EX156" s="528">
        <f t="shared" si="423"/>
        <v>4.3935367387890914E-5</v>
      </c>
      <c r="EY156" s="528">
        <f t="shared" si="424"/>
        <v>0.40865049202349185</v>
      </c>
      <c r="EZ156" s="528"/>
      <c r="FA156" s="625">
        <f t="shared" si="425"/>
        <v>0.47608908830869212</v>
      </c>
      <c r="FB156" s="460">
        <f t="shared" si="426"/>
        <v>1019.2471996053763</v>
      </c>
      <c r="FC156" s="173">
        <f t="shared" si="427"/>
        <v>1.9704277496699723</v>
      </c>
      <c r="FD156" s="5">
        <f t="shared" si="428"/>
        <v>11.868</v>
      </c>
      <c r="FE156" s="173">
        <f t="shared" si="429"/>
        <v>0.85761187720787402</v>
      </c>
      <c r="FF156" s="5">
        <f t="shared" si="430"/>
        <v>85.761187720787404</v>
      </c>
      <c r="FG156">
        <f t="shared" si="431"/>
        <v>46</v>
      </c>
      <c r="FI156" s="562">
        <f t="shared" si="432"/>
        <v>-50</v>
      </c>
      <c r="FJ156">
        <f t="shared" si="433"/>
        <v>-50</v>
      </c>
    </row>
    <row r="157" spans="5:166">
      <c r="E157" s="170">
        <v>47</v>
      </c>
      <c r="F157" s="217">
        <f t="shared" si="476"/>
        <v>0.47</v>
      </c>
      <c r="G157" s="217">
        <f t="shared" si="444"/>
        <v>4.7E-2</v>
      </c>
      <c r="H157" s="217">
        <f t="shared" si="445"/>
        <v>11.28</v>
      </c>
      <c r="I157" s="217">
        <f t="shared" si="446"/>
        <v>0.84599999999999997</v>
      </c>
      <c r="J157" s="541">
        <f t="shared" si="447"/>
        <v>8.8185736384808511</v>
      </c>
      <c r="K157" s="443">
        <f t="shared" si="448"/>
        <v>16.502035399280889</v>
      </c>
      <c r="L157" s="172">
        <f t="shared" si="449"/>
        <v>25.320609037761741</v>
      </c>
      <c r="M157" s="443"/>
      <c r="N157" s="217">
        <f t="shared" si="450"/>
        <v>0.6517234784783682</v>
      </c>
      <c r="O157" s="172">
        <f t="shared" si="451"/>
        <v>29.701661430947699</v>
      </c>
      <c r="P157" s="172">
        <f t="shared" si="452"/>
        <v>2.394696452870158</v>
      </c>
      <c r="Q157" s="217">
        <f t="shared" si="322"/>
        <v>1.2375692262894875</v>
      </c>
      <c r="R157" s="217">
        <f t="shared" si="453"/>
        <v>1.6500923017193165</v>
      </c>
      <c r="S157" s="217">
        <f t="shared" si="454"/>
        <v>24</v>
      </c>
      <c r="T157" s="217">
        <f t="shared" si="455"/>
        <v>4.2197414991318309</v>
      </c>
      <c r="U157" s="217">
        <f t="shared" si="326"/>
        <v>4.7850612492688249</v>
      </c>
      <c r="V157" s="217">
        <f t="shared" si="327"/>
        <v>2.5571036523868536</v>
      </c>
      <c r="W157" s="197">
        <f t="shared" si="328"/>
        <v>258.62721690997705</v>
      </c>
      <c r="X157" s="443">
        <f t="shared" si="435"/>
        <v>132.58792575331745</v>
      </c>
      <c r="Z157" s="217">
        <f t="shared" si="329"/>
        <v>2.2222222222222228</v>
      </c>
      <c r="AA157" s="173">
        <f t="shared" si="330"/>
        <v>1.3466352292027328</v>
      </c>
      <c r="AB157" s="173">
        <f t="shared" si="456"/>
        <v>0.2401038138035437</v>
      </c>
      <c r="AC157" s="173"/>
      <c r="AD157" s="173">
        <f t="shared" si="332"/>
        <v>1.3466352292027326</v>
      </c>
      <c r="AE157" s="545">
        <f t="shared" si="457"/>
        <v>470.93889628982259</v>
      </c>
      <c r="AF157" s="528">
        <f t="shared" si="458"/>
        <v>0.25811159983880938</v>
      </c>
      <c r="AH157" s="173">
        <f t="shared" si="459"/>
        <v>2.6323265103597722</v>
      </c>
      <c r="AI157" s="173">
        <f t="shared" si="460"/>
        <v>4.2197414991318309</v>
      </c>
      <c r="AJ157" s="173">
        <f t="shared" si="461"/>
        <v>2.6796439088219324</v>
      </c>
      <c r="AL157" s="545">
        <f t="shared" si="462"/>
        <v>470</v>
      </c>
      <c r="AM157" s="460">
        <f t="shared" si="463"/>
        <v>132.58792575331745</v>
      </c>
      <c r="AO157">
        <f t="shared" si="340"/>
        <v>470</v>
      </c>
      <c r="AP157">
        <f t="shared" si="341"/>
        <v>132.58792575331745</v>
      </c>
      <c r="AR157" s="5">
        <f t="shared" si="443"/>
        <v>7.5421649016556795</v>
      </c>
      <c r="AS157" s="5">
        <f t="shared" si="440"/>
        <v>4.7850612492688249</v>
      </c>
      <c r="AT157" s="5">
        <f t="shared" si="441"/>
        <v>2.7571036523868546</v>
      </c>
      <c r="AU157" s="173">
        <f t="shared" si="442"/>
        <v>0.63444134564313137</v>
      </c>
      <c r="AW157" s="5">
        <f t="shared" si="342"/>
        <v>9.3707449464847841</v>
      </c>
      <c r="AX157" s="5">
        <f t="shared" si="343"/>
        <v>1.2494326595313043</v>
      </c>
      <c r="AY157" s="5">
        <f t="shared" si="344"/>
        <v>2.9388850617911304</v>
      </c>
      <c r="AZ157" s="5"/>
      <c r="BA157" s="173">
        <f t="shared" si="345"/>
        <v>1.9405326684045636</v>
      </c>
      <c r="BB157" s="173">
        <f t="shared" si="346"/>
        <v>0.98249327978640044</v>
      </c>
      <c r="BC157" s="173">
        <f t="shared" si="347"/>
        <v>9.8382097340773328E-2</v>
      </c>
      <c r="BD157" s="173"/>
      <c r="BE157" s="528">
        <f t="shared" si="348"/>
        <v>0.15062668148581346</v>
      </c>
      <c r="BF157" s="528">
        <f t="shared" si="464"/>
        <v>0.3187472811845854</v>
      </c>
      <c r="BG157" s="528">
        <f t="shared" si="465"/>
        <v>4.6769455473162469E-2</v>
      </c>
      <c r="BH157" s="528">
        <f t="shared" si="351"/>
        <v>1.4876142171450887E-2</v>
      </c>
      <c r="BI157">
        <f t="shared" si="352"/>
        <v>3.968358137316383E-3</v>
      </c>
      <c r="BJ157" s="460">
        <f t="shared" si="436"/>
        <v>50.737813610478852</v>
      </c>
      <c r="BK157">
        <f t="shared" si="466"/>
        <v>0.54440288914146118</v>
      </c>
      <c r="BL157" s="460">
        <f t="shared" si="437"/>
        <v>534.98791845232847</v>
      </c>
      <c r="BM157" s="173">
        <f t="shared" si="467"/>
        <v>0.40795999999999993</v>
      </c>
      <c r="BN157" s="173">
        <f t="shared" si="468"/>
        <v>4.0795999999999999E-2</v>
      </c>
      <c r="BO157" s="528"/>
      <c r="BQ157" s="460">
        <f t="shared" si="356"/>
        <v>448.75599999999991</v>
      </c>
      <c r="BR157" s="528">
        <f t="shared" si="357"/>
        <v>0.11297001111436009</v>
      </c>
      <c r="BS157" s="528">
        <f t="shared" si="358"/>
        <v>2.8958791344763143E-2</v>
      </c>
      <c r="BT157" s="528">
        <f t="shared" si="359"/>
        <v>4.8395185385846993E-5</v>
      </c>
      <c r="BU157" s="528">
        <f t="shared" si="360"/>
        <v>0.37020694585941244</v>
      </c>
      <c r="BV157" s="528"/>
      <c r="BW157" s="625">
        <f t="shared" si="469"/>
        <v>0.4721779104985222</v>
      </c>
      <c r="BX157" s="460">
        <f t="shared" si="362"/>
        <v>984.36205400244364</v>
      </c>
      <c r="BY157" s="173">
        <f t="shared" si="363"/>
        <v>1.968105972454772</v>
      </c>
      <c r="BZ157" s="5">
        <f t="shared" si="364"/>
        <v>12.125999999999999</v>
      </c>
      <c r="CA157" s="173">
        <f t="shared" si="365"/>
        <v>0.86035964421573119</v>
      </c>
      <c r="CB157" s="5">
        <f t="shared" si="366"/>
        <v>86.035964421573112</v>
      </c>
      <c r="CC157">
        <f t="shared" si="367"/>
        <v>47</v>
      </c>
      <c r="CE157" s="562">
        <f t="shared" si="470"/>
        <v>-50</v>
      </c>
      <c r="CF157">
        <f t="shared" si="471"/>
        <v>-50</v>
      </c>
      <c r="CG157" s="173">
        <f t="shared" si="370"/>
        <v>0.34658417599272728</v>
      </c>
      <c r="CH157" s="173">
        <f t="shared" si="472"/>
        <v>9.4467121749850266E-2</v>
      </c>
      <c r="CI157" s="170">
        <v>47</v>
      </c>
      <c r="CJ157" s="217">
        <f t="shared" si="438"/>
        <v>0.47</v>
      </c>
      <c r="CK157" s="217">
        <f t="shared" si="372"/>
        <v>4.7E-2</v>
      </c>
      <c r="CL157" s="217">
        <f t="shared" si="373"/>
        <v>11.28</v>
      </c>
      <c r="CM157" s="217">
        <f t="shared" si="374"/>
        <v>0.84599999999999997</v>
      </c>
      <c r="CN157" s="541">
        <f t="shared" si="375"/>
        <v>9</v>
      </c>
      <c r="CO157" s="443">
        <f t="shared" si="473"/>
        <v>16.474900000000002</v>
      </c>
      <c r="CP157" s="443">
        <f t="shared" si="474"/>
        <v>25.474900000000002</v>
      </c>
      <c r="CQ157" s="443"/>
      <c r="CR157" s="217">
        <f t="shared" si="378"/>
        <v>0.64485133082098534</v>
      </c>
      <c r="CS157" s="172">
        <f t="shared" si="379"/>
        <v>29.993085154464438</v>
      </c>
      <c r="CT157" s="172">
        <f t="shared" si="380"/>
        <v>2.4181924905786953</v>
      </c>
      <c r="CU157" s="217">
        <f t="shared" si="381"/>
        <v>1.2497118814360182</v>
      </c>
      <c r="CV157" s="217">
        <f t="shared" si="382"/>
        <v>1.6662825085813577</v>
      </c>
      <c r="CW157" s="217">
        <f t="shared" si="383"/>
        <v>24</v>
      </c>
      <c r="CX157" s="217">
        <f t="shared" si="384"/>
        <v>4.1787409560525859</v>
      </c>
      <c r="CY157" s="217">
        <f t="shared" si="385"/>
        <v>4.6430455067250955</v>
      </c>
      <c r="CZ157" s="217">
        <f t="shared" si="386"/>
        <v>2.5364287225127833</v>
      </c>
      <c r="DA157" s="197">
        <f t="shared" si="387"/>
        <v>261.91798593910079</v>
      </c>
      <c r="DB157" s="443">
        <f t="shared" si="388"/>
        <v>139.28596552761115</v>
      </c>
      <c r="DD157" s="217">
        <f t="shared" si="389"/>
        <v>2.2222222222222228</v>
      </c>
      <c r="DE157" s="173">
        <f t="shared" si="390"/>
        <v>1.3488532386977905</v>
      </c>
      <c r="DF157" s="173">
        <f t="shared" si="391"/>
        <v>0.24355939229558116</v>
      </c>
      <c r="DG157" s="173"/>
      <c r="DH157" s="173">
        <f t="shared" si="392"/>
        <v>1.3488532386977903</v>
      </c>
      <c r="DI157" s="545">
        <f t="shared" si="393"/>
        <v>470.1644999999998</v>
      </c>
      <c r="DJ157" s="528">
        <f t="shared" si="394"/>
        <v>0.26182634671774968</v>
      </c>
      <c r="DL157" s="173">
        <f t="shared" si="395"/>
        <v>2.6323265103597722</v>
      </c>
      <c r="DM157" s="173">
        <f t="shared" si="396"/>
        <v>4.1787409560525859</v>
      </c>
      <c r="DN157" s="173">
        <f t="shared" si="397"/>
        <v>2.6492731361706396</v>
      </c>
      <c r="DP157" s="545">
        <f t="shared" si="398"/>
        <v>470</v>
      </c>
      <c r="DQ157" s="460">
        <f t="shared" si="399"/>
        <v>139.28596552761115</v>
      </c>
      <c r="DS157">
        <f t="shared" si="400"/>
        <v>470</v>
      </c>
      <c r="DT157">
        <f t="shared" si="401"/>
        <v>139.28596552761115</v>
      </c>
      <c r="DV157" s="5">
        <f t="shared" si="402"/>
        <v>7.1794742292378801</v>
      </c>
      <c r="DW157" s="5">
        <f t="shared" si="403"/>
        <v>4.6430455067250955</v>
      </c>
      <c r="DX157" s="5">
        <f t="shared" si="404"/>
        <v>2.5364287225127846</v>
      </c>
      <c r="DY157" s="173">
        <f t="shared" si="405"/>
        <v>0.64671107639284153</v>
      </c>
      <c r="EA157" s="5">
        <f t="shared" si="406"/>
        <v>9.0926307840033136</v>
      </c>
      <c r="EB157" s="5">
        <f t="shared" si="407"/>
        <v>1.2123507712004418</v>
      </c>
      <c r="EC157" s="5">
        <f t="shared" si="408"/>
        <v>2.6491588879577965</v>
      </c>
      <c r="ED157" s="5"/>
      <c r="EE157" s="173">
        <f t="shared" si="409"/>
        <v>1.9401708352132037</v>
      </c>
      <c r="EF157" s="173">
        <f t="shared" si="410"/>
        <v>0.95647950147408556</v>
      </c>
      <c r="EG157" s="173">
        <f t="shared" si="411"/>
        <v>9.5777204134094227E-2</v>
      </c>
      <c r="EH157" s="173"/>
      <c r="EI157" s="528">
        <f t="shared" si="412"/>
        <v>0.15057051479247602</v>
      </c>
      <c r="EJ157" s="528">
        <f t="shared" si="413"/>
        <v>0.40775377500000004</v>
      </c>
      <c r="EK157" s="528">
        <f t="shared" si="414"/>
        <v>2.7857193105522229E-2</v>
      </c>
      <c r="EL157" s="528">
        <f t="shared" si="415"/>
        <v>1.581868520249647E-2</v>
      </c>
      <c r="EM157">
        <f t="shared" si="416"/>
        <v>4.0499999999999998E-3</v>
      </c>
      <c r="EN157" s="460">
        <f t="shared" si="417"/>
        <v>31.907193105522229</v>
      </c>
      <c r="EP157" s="460">
        <f t="shared" si="439"/>
        <v>606.05016810049483</v>
      </c>
      <c r="EQ157" s="173">
        <f t="shared" si="418"/>
        <v>0.32899999999999996</v>
      </c>
      <c r="ER157" s="173">
        <f t="shared" si="475"/>
        <v>2.9139999999999999E-2</v>
      </c>
      <c r="ES157" s="528"/>
      <c r="EU157" s="460">
        <f t="shared" si="420"/>
        <v>358.14</v>
      </c>
      <c r="EV157" s="528">
        <f t="shared" si="421"/>
        <v>0.112927886094357</v>
      </c>
      <c r="EW157" s="528">
        <f t="shared" si="422"/>
        <v>2.7445591102203456E-2</v>
      </c>
      <c r="EX157" s="528">
        <f t="shared" si="423"/>
        <v>4.5866364158719785E-5</v>
      </c>
      <c r="EY157" s="528">
        <f t="shared" si="424"/>
        <v>0.40865049202349168</v>
      </c>
      <c r="EZ157" s="528"/>
      <c r="FA157" s="625">
        <f t="shared" si="425"/>
        <v>0.48643885109801149</v>
      </c>
      <c r="FB157" s="460">
        <f t="shared" si="426"/>
        <v>1035.5086866822223</v>
      </c>
      <c r="FC157" s="173">
        <f t="shared" si="427"/>
        <v>1.999698854782717</v>
      </c>
      <c r="FD157" s="5">
        <f t="shared" si="428"/>
        <v>12.125999999999999</v>
      </c>
      <c r="FE157" s="173">
        <f t="shared" si="429"/>
        <v>0.85843540377433059</v>
      </c>
      <c r="FF157" s="5">
        <f t="shared" si="430"/>
        <v>85.843540377433058</v>
      </c>
      <c r="FG157">
        <f t="shared" si="431"/>
        <v>47</v>
      </c>
      <c r="FI157" s="562">
        <f t="shared" si="432"/>
        <v>-50</v>
      </c>
      <c r="FJ157">
        <f t="shared" si="433"/>
        <v>-50</v>
      </c>
    </row>
    <row r="158" spans="5:166">
      <c r="E158" s="170">
        <v>48</v>
      </c>
      <c r="F158" s="217">
        <f t="shared" si="476"/>
        <v>0.48</v>
      </c>
      <c r="G158" s="217">
        <f t="shared" si="444"/>
        <v>4.8000000000000001E-2</v>
      </c>
      <c r="H158" s="217">
        <f t="shared" si="445"/>
        <v>11.52</v>
      </c>
      <c r="I158" s="217">
        <f t="shared" si="446"/>
        <v>0.86399999999999999</v>
      </c>
      <c r="J158" s="541">
        <f t="shared" si="447"/>
        <v>8.8147135031293793</v>
      </c>
      <c r="K158" s="443">
        <f t="shared" si="448"/>
        <v>16.502612748201759</v>
      </c>
      <c r="L158" s="172">
        <f t="shared" si="449"/>
        <v>25.317326251331139</v>
      </c>
      <c r="M158" s="443"/>
      <c r="N158" s="217">
        <f t="shared" si="450"/>
        <v>0.65183078909583048</v>
      </c>
      <c r="O158" s="172">
        <f t="shared" si="451"/>
        <v>29.693548622214443</v>
      </c>
      <c r="P158" s="172">
        <f t="shared" si="452"/>
        <v>2.3940423576660397</v>
      </c>
      <c r="Q158" s="217">
        <f t="shared" si="322"/>
        <v>1.2372311925922685</v>
      </c>
      <c r="R158" s="217">
        <f t="shared" si="453"/>
        <v>1.6496415901230246</v>
      </c>
      <c r="S158" s="217">
        <f t="shared" si="454"/>
        <v>24</v>
      </c>
      <c r="T158" s="217">
        <f t="shared" si="455"/>
        <v>4.3107006720052379</v>
      </c>
      <c r="U158" s="217">
        <f t="shared" si="326"/>
        <v>4.8903468847567915</v>
      </c>
      <c r="V158" s="217">
        <f t="shared" si="327"/>
        <v>2.612132234924414</v>
      </c>
      <c r="W158" s="197">
        <f t="shared" si="328"/>
        <v>258.55657462793226</v>
      </c>
      <c r="X158" s="443">
        <f t="shared" si="435"/>
        <v>129.82832987431564</v>
      </c>
      <c r="Z158" s="217">
        <f t="shared" si="329"/>
        <v>2.2222222222222223</v>
      </c>
      <c r="AA158" s="173">
        <f t="shared" si="330"/>
        <v>1.3465881167601002</v>
      </c>
      <c r="AB158" s="173">
        <f t="shared" si="456"/>
        <v>0.24002983325383065</v>
      </c>
      <c r="AC158" s="173"/>
      <c r="AD158" s="173">
        <f t="shared" si="332"/>
        <v>1.3465881167601002</v>
      </c>
      <c r="AE158" s="545">
        <f t="shared" si="457"/>
        <v>480.97569988761933</v>
      </c>
      <c r="AF158" s="528">
        <f t="shared" si="458"/>
        <v>0.25803207074786788</v>
      </c>
      <c r="AH158" s="173">
        <f t="shared" si="459"/>
        <v>2.6601825930885696</v>
      </c>
      <c r="AI158" s="173">
        <f t="shared" si="460"/>
        <v>4.3107006720052379</v>
      </c>
      <c r="AJ158" s="173">
        <f t="shared" si="461"/>
        <v>2.7470210739133449</v>
      </c>
      <c r="AL158" s="545">
        <f t="shared" si="462"/>
        <v>480</v>
      </c>
      <c r="AM158" s="460">
        <f t="shared" si="463"/>
        <v>129.82832987431564</v>
      </c>
      <c r="AO158">
        <f t="shared" si="340"/>
        <v>480</v>
      </c>
      <c r="AP158">
        <f t="shared" si="341"/>
        <v>129.82832987431564</v>
      </c>
      <c r="AR158" s="5">
        <f t="shared" si="443"/>
        <v>7.7024791196812057</v>
      </c>
      <c r="AS158" s="5">
        <f t="shared" si="440"/>
        <v>4.8903468847567915</v>
      </c>
      <c r="AT158" s="5">
        <f t="shared" si="441"/>
        <v>2.8121322349244142</v>
      </c>
      <c r="AU158" s="173">
        <f t="shared" si="442"/>
        <v>0.63490556855403668</v>
      </c>
      <c r="AW158" s="5">
        <f t="shared" si="342"/>
        <v>9.7806937695135812</v>
      </c>
      <c r="AX158" s="5">
        <f t="shared" si="343"/>
        <v>1.3040925026018111</v>
      </c>
      <c r="AY158" s="5">
        <f t="shared" si="344"/>
        <v>3.0626598863014829</v>
      </c>
      <c r="AZ158" s="5"/>
      <c r="BA158" s="173">
        <f t="shared" si="345"/>
        <v>1.9830871843102522</v>
      </c>
      <c r="BB158" s="173">
        <f t="shared" si="346"/>
        <v>1.0030340545823662</v>
      </c>
      <c r="BC158" s="173">
        <f t="shared" si="347"/>
        <v>0.10043895060074773</v>
      </c>
      <c r="BD158" s="173"/>
      <c r="BE158" s="528">
        <f t="shared" si="348"/>
        <v>0.15730539122302259</v>
      </c>
      <c r="BF158" s="528">
        <f t="shared" si="464"/>
        <v>0.31879954567327462</v>
      </c>
      <c r="BG158" s="528">
        <f t="shared" si="465"/>
        <v>4.5775981297274622E-2</v>
      </c>
      <c r="BH158" s="528">
        <f t="shared" si="351"/>
        <v>1.4562743338537236E-2</v>
      </c>
      <c r="BI158">
        <f t="shared" si="352"/>
        <v>3.9666210764082209E-3</v>
      </c>
      <c r="BJ158" s="460">
        <f t="shared" si="436"/>
        <v>49.742602373682843</v>
      </c>
      <c r="BK158">
        <f t="shared" si="466"/>
        <v>0.55384034002067206</v>
      </c>
      <c r="BL158" s="460">
        <f t="shared" si="437"/>
        <v>540.41028260851726</v>
      </c>
      <c r="BM158" s="173">
        <f t="shared" si="467"/>
        <v>0.41663999999999995</v>
      </c>
      <c r="BN158" s="173">
        <f t="shared" si="468"/>
        <v>4.1664E-2</v>
      </c>
      <c r="BO158" s="528"/>
      <c r="BQ158" s="460">
        <f t="shared" si="356"/>
        <v>458.30399999999992</v>
      </c>
      <c r="BR158" s="528">
        <f t="shared" si="357"/>
        <v>0.11797904341726692</v>
      </c>
      <c r="BS158" s="528">
        <f t="shared" si="358"/>
        <v>3.0182319439558229E-2</v>
      </c>
      <c r="BT158" s="528">
        <f t="shared" si="359"/>
        <v>5.043991398889721E-5</v>
      </c>
      <c r="BU158" s="528">
        <f t="shared" si="360"/>
        <v>0.37047878878869128</v>
      </c>
      <c r="BV158" s="528"/>
      <c r="BW158" s="625">
        <f t="shared" si="469"/>
        <v>0.48249764770269177</v>
      </c>
      <c r="BX158" s="460">
        <f t="shared" si="362"/>
        <v>1001.1882392621972</v>
      </c>
      <c r="BY158" s="173">
        <f t="shared" si="363"/>
        <v>1.9999025218707143</v>
      </c>
      <c r="BZ158" s="5">
        <f t="shared" si="364"/>
        <v>12.384</v>
      </c>
      <c r="CA158" s="173">
        <f t="shared" si="365"/>
        <v>0.86096245307350605</v>
      </c>
      <c r="CB158" s="5">
        <f t="shared" si="366"/>
        <v>86.0962453073506</v>
      </c>
      <c r="CC158">
        <f t="shared" si="367"/>
        <v>48</v>
      </c>
      <c r="CE158" s="562">
        <f t="shared" si="470"/>
        <v>-50</v>
      </c>
      <c r="CF158">
        <f t="shared" si="471"/>
        <v>-50</v>
      </c>
      <c r="CG158" s="173">
        <f t="shared" si="370"/>
        <v>0.34658417599272739</v>
      </c>
      <c r="CH158" s="173">
        <f t="shared" si="472"/>
        <v>9.446712174985028E-2</v>
      </c>
      <c r="CI158" s="170">
        <v>48</v>
      </c>
      <c r="CJ158" s="217">
        <f t="shared" si="438"/>
        <v>0.48</v>
      </c>
      <c r="CK158" s="217">
        <f t="shared" si="372"/>
        <v>4.8000000000000001E-2</v>
      </c>
      <c r="CL158" s="217">
        <f t="shared" si="373"/>
        <v>11.52</v>
      </c>
      <c r="CM158" s="217">
        <f t="shared" si="374"/>
        <v>0.86399999999999999</v>
      </c>
      <c r="CN158" s="541">
        <f t="shared" si="375"/>
        <v>9</v>
      </c>
      <c r="CO158" s="443">
        <f t="shared" si="473"/>
        <v>16.474900000000002</v>
      </c>
      <c r="CP158" s="443">
        <f t="shared" si="474"/>
        <v>25.474900000000002</v>
      </c>
      <c r="CQ158" s="443"/>
      <c r="CR158" s="217">
        <f t="shared" si="378"/>
        <v>0.64485133082098534</v>
      </c>
      <c r="CS158" s="172">
        <f t="shared" si="379"/>
        <v>29.993085154464438</v>
      </c>
      <c r="CT158" s="172">
        <f t="shared" si="380"/>
        <v>2.4181924905786953</v>
      </c>
      <c r="CU158" s="217">
        <f t="shared" si="381"/>
        <v>1.2497118814360182</v>
      </c>
      <c r="CV158" s="217">
        <f t="shared" si="382"/>
        <v>1.6662825085813577</v>
      </c>
      <c r="CW158" s="217">
        <f t="shared" si="383"/>
        <v>24</v>
      </c>
      <c r="CX158" s="217">
        <f t="shared" si="384"/>
        <v>4.2676503380962574</v>
      </c>
      <c r="CY158" s="217">
        <f t="shared" si="385"/>
        <v>4.7418337089958422</v>
      </c>
      <c r="CZ158" s="217">
        <f t="shared" si="386"/>
        <v>2.5903952910768853</v>
      </c>
      <c r="DA158" s="197">
        <f t="shared" si="387"/>
        <v>261.91798593910079</v>
      </c>
      <c r="DB158" s="443">
        <f t="shared" si="388"/>
        <v>136.38417457911927</v>
      </c>
      <c r="DD158" s="217">
        <f t="shared" si="389"/>
        <v>2.2222222222222228</v>
      </c>
      <c r="DE158" s="173">
        <f t="shared" si="390"/>
        <v>1.3488532386977905</v>
      </c>
      <c r="DF158" s="173">
        <f t="shared" si="391"/>
        <v>0.24355939229558116</v>
      </c>
      <c r="DG158" s="173"/>
      <c r="DH158" s="173">
        <f t="shared" si="392"/>
        <v>1.3488532386977903</v>
      </c>
      <c r="DI158" s="545">
        <f t="shared" si="393"/>
        <v>480.16799999999984</v>
      </c>
      <c r="DJ158" s="528">
        <f t="shared" si="394"/>
        <v>0.26182634671774968</v>
      </c>
      <c r="DL158" s="173">
        <f t="shared" si="395"/>
        <v>2.6601825930885696</v>
      </c>
      <c r="DM158" s="173">
        <f t="shared" si="396"/>
        <v>4.2676503380962574</v>
      </c>
      <c r="DN158" s="173">
        <f t="shared" si="397"/>
        <v>2.7151319376844705</v>
      </c>
      <c r="DP158" s="545">
        <f t="shared" si="398"/>
        <v>480</v>
      </c>
      <c r="DQ158" s="460">
        <f t="shared" si="399"/>
        <v>136.38417457911927</v>
      </c>
      <c r="DS158">
        <f t="shared" si="400"/>
        <v>480</v>
      </c>
      <c r="DT158">
        <f t="shared" si="401"/>
        <v>136.38417457911927</v>
      </c>
      <c r="DV158" s="5">
        <f t="shared" si="402"/>
        <v>7.3322290000727275</v>
      </c>
      <c r="DW158" s="5">
        <f t="shared" si="403"/>
        <v>4.7418337089958422</v>
      </c>
      <c r="DX158" s="5">
        <f t="shared" si="404"/>
        <v>2.5903952910768853</v>
      </c>
      <c r="DY158" s="173">
        <f t="shared" si="405"/>
        <v>0.64671107639284164</v>
      </c>
      <c r="EA158" s="5">
        <f t="shared" si="406"/>
        <v>9.4836674179916827</v>
      </c>
      <c r="EB158" s="5">
        <f t="shared" si="407"/>
        <v>1.2644889890655577</v>
      </c>
      <c r="EC158" s="5">
        <f t="shared" si="408"/>
        <v>2.7630883104820105</v>
      </c>
      <c r="ED158" s="5"/>
      <c r="EE158" s="173">
        <f t="shared" si="409"/>
        <v>1.9814510657496547</v>
      </c>
      <c r="EF158" s="173">
        <f t="shared" si="410"/>
        <v>0.97683012916502321</v>
      </c>
      <c r="EG158" s="173">
        <f t="shared" si="411"/>
        <v>9.7815016988011094E-2</v>
      </c>
      <c r="EH158" s="173"/>
      <c r="EI158" s="528">
        <f t="shared" si="412"/>
        <v>0.15704593303841768</v>
      </c>
      <c r="EJ158" s="528">
        <f t="shared" si="413"/>
        <v>0.40775377500000004</v>
      </c>
      <c r="EK158" s="528">
        <f t="shared" si="414"/>
        <v>2.7276834915823854E-2</v>
      </c>
      <c r="EL158" s="528">
        <f t="shared" si="415"/>
        <v>1.5489129260777796E-2</v>
      </c>
      <c r="EM158">
        <f t="shared" si="416"/>
        <v>4.0499999999999998E-3</v>
      </c>
      <c r="EN158" s="460">
        <f t="shared" si="417"/>
        <v>31.326834915823852</v>
      </c>
      <c r="EP158" s="460">
        <f t="shared" si="439"/>
        <v>611.61567221501946</v>
      </c>
      <c r="EQ158" s="173">
        <f t="shared" si="418"/>
        <v>0.33599999999999997</v>
      </c>
      <c r="ER158" s="173">
        <f t="shared" si="475"/>
        <v>2.9760000000000002E-2</v>
      </c>
      <c r="ES158" s="528"/>
      <c r="EU158" s="460">
        <f t="shared" si="420"/>
        <v>365.76</v>
      </c>
      <c r="EV158" s="528">
        <f t="shared" si="421"/>
        <v>0.11778444977881326</v>
      </c>
      <c r="EW158" s="528">
        <f t="shared" si="422"/>
        <v>2.8625913037336678E-2</v>
      </c>
      <c r="EX158" s="528">
        <f t="shared" si="423"/>
        <v>4.7838887741824494E-5</v>
      </c>
      <c r="EY158" s="528">
        <f t="shared" si="424"/>
        <v>0.40865049202349168</v>
      </c>
      <c r="EZ158" s="528"/>
      <c r="FA158" s="625">
        <f t="shared" si="425"/>
        <v>0.49678861388733092</v>
      </c>
      <c r="FB158" s="460">
        <f t="shared" si="426"/>
        <v>1051.8973076147145</v>
      </c>
      <c r="FC158" s="173">
        <f t="shared" si="427"/>
        <v>2.029272979829734</v>
      </c>
      <c r="FD158" s="5">
        <f t="shared" si="428"/>
        <v>12.384</v>
      </c>
      <c r="FE158" s="173">
        <f t="shared" si="429"/>
        <v>0.85920803812780444</v>
      </c>
      <c r="FF158" s="5">
        <f t="shared" si="430"/>
        <v>85.920803812780449</v>
      </c>
      <c r="FG158">
        <f t="shared" si="431"/>
        <v>48</v>
      </c>
      <c r="FI158" s="562">
        <f t="shared" si="432"/>
        <v>-50</v>
      </c>
      <c r="FJ158">
        <f t="shared" si="433"/>
        <v>-50</v>
      </c>
    </row>
    <row r="159" spans="5:166">
      <c r="E159" s="170">
        <v>49</v>
      </c>
      <c r="F159" s="217">
        <f t="shared" si="476"/>
        <v>0.49</v>
      </c>
      <c r="G159" s="217">
        <f t="shared" si="444"/>
        <v>4.9000000000000002E-2</v>
      </c>
      <c r="H159" s="217">
        <f t="shared" si="445"/>
        <v>11.76</v>
      </c>
      <c r="I159" s="217">
        <f t="shared" si="446"/>
        <v>0.88200000000000001</v>
      </c>
      <c r="J159" s="541">
        <f t="shared" si="447"/>
        <v>8.8108533677779075</v>
      </c>
      <c r="K159" s="443">
        <f t="shared" si="448"/>
        <v>16.50319009712263</v>
      </c>
      <c r="L159" s="172">
        <f t="shared" si="449"/>
        <v>25.314043464900536</v>
      </c>
      <c r="M159" s="443"/>
      <c r="N159" s="217">
        <f t="shared" si="450"/>
        <v>0.65193812754589398</v>
      </c>
      <c r="O159" s="172">
        <f t="shared" si="451"/>
        <v>29.685432799331071</v>
      </c>
      <c r="P159" s="172">
        <f t="shared" si="452"/>
        <v>2.3933880194460673</v>
      </c>
      <c r="Q159" s="217">
        <f t="shared" si="322"/>
        <v>1.2368930333054613</v>
      </c>
      <c r="R159" s="217">
        <f t="shared" si="453"/>
        <v>1.6491907110739483</v>
      </c>
      <c r="S159" s="217">
        <f t="shared" si="454"/>
        <v>24</v>
      </c>
      <c r="T159" s="217">
        <f t="shared" si="455"/>
        <v>4.4017100087424392</v>
      </c>
      <c r="U159" s="217">
        <f t="shared" si="326"/>
        <v>4.9957817080918554</v>
      </c>
      <c r="V159" s="217">
        <f t="shared" si="327"/>
        <v>2.6671873636781824</v>
      </c>
      <c r="W159" s="197">
        <f t="shared" si="328"/>
        <v>258.48590610017533</v>
      </c>
      <c r="X159" s="443">
        <f t="shared" si="435"/>
        <v>127.17842215483743</v>
      </c>
      <c r="Z159" s="217">
        <f t="shared" si="329"/>
        <v>2.2222222222222223</v>
      </c>
      <c r="AA159" s="173">
        <f t="shared" si="330"/>
        <v>1.3465410076138384</v>
      </c>
      <c r="AB159" s="173">
        <f t="shared" si="456"/>
        <v>0.23995583351616412</v>
      </c>
      <c r="AC159" s="173"/>
      <c r="AD159" s="173">
        <f t="shared" si="332"/>
        <v>1.3465410076138384</v>
      </c>
      <c r="AE159" s="545">
        <f t="shared" si="457"/>
        <v>491.01320461379083</v>
      </c>
      <c r="AF159" s="528">
        <f t="shared" si="458"/>
        <v>0.25795252102987648</v>
      </c>
      <c r="AH159" s="173">
        <f t="shared" si="459"/>
        <v>2.6877499883731741</v>
      </c>
      <c r="AI159" s="173">
        <f t="shared" si="460"/>
        <v>4.4017100087424392</v>
      </c>
      <c r="AJ159" s="173">
        <f t="shared" si="461"/>
        <v>2.814435397422383</v>
      </c>
      <c r="AL159" s="545">
        <f t="shared" si="462"/>
        <v>490</v>
      </c>
      <c r="AM159" s="460">
        <f t="shared" si="463"/>
        <v>127.17842215483743</v>
      </c>
      <c r="AO159">
        <f t="shared" si="340"/>
        <v>490</v>
      </c>
      <c r="AP159">
        <f t="shared" si="341"/>
        <v>127.17842215483743</v>
      </c>
      <c r="AR159" s="5">
        <f t="shared" si="443"/>
        <v>7.8629690717700367</v>
      </c>
      <c r="AS159" s="5">
        <f t="shared" si="440"/>
        <v>4.9957817080918554</v>
      </c>
      <c r="AT159" s="5">
        <f t="shared" si="441"/>
        <v>2.8671873636781813</v>
      </c>
      <c r="AU159" s="173">
        <f t="shared" si="442"/>
        <v>0.63535563506512083</v>
      </c>
      <c r="AW159" s="5">
        <f t="shared" si="342"/>
        <v>10.199720987354205</v>
      </c>
      <c r="AX159" s="5">
        <f t="shared" si="343"/>
        <v>1.359962798313894</v>
      </c>
      <c r="AY159" s="5">
        <f t="shared" si="344"/>
        <v>3.1890709096129903</v>
      </c>
      <c r="AZ159" s="5"/>
      <c r="BA159" s="173">
        <f t="shared" si="345"/>
        <v>2.0256725494840571</v>
      </c>
      <c r="BB159" s="173">
        <f t="shared" si="346"/>
        <v>1.0235790466703405</v>
      </c>
      <c r="BC159" s="173">
        <f t="shared" si="347"/>
        <v>0.1024962261598273</v>
      </c>
      <c r="BD159" s="173"/>
      <c r="BE159" s="528">
        <f t="shared" si="348"/>
        <v>0.16413397110932959</v>
      </c>
      <c r="BF159" s="528">
        <f t="shared" si="464"/>
        <v>0.3188444775686361</v>
      </c>
      <c r="BG159" s="528">
        <f t="shared" si="465"/>
        <v>4.4822017166065195E-2</v>
      </c>
      <c r="BH159" s="528">
        <f t="shared" si="351"/>
        <v>1.4261805988479989E-2</v>
      </c>
      <c r="BI159">
        <f t="shared" si="352"/>
        <v>3.964884015500058E-3</v>
      </c>
      <c r="BJ159" s="460">
        <f t="shared" si="436"/>
        <v>48.786901181565256</v>
      </c>
      <c r="BK159">
        <f t="shared" si="466"/>
        <v>0.5635332260952165</v>
      </c>
      <c r="BL159" s="460">
        <f t="shared" si="437"/>
        <v>546.02715584801103</v>
      </c>
      <c r="BM159" s="173">
        <f t="shared" si="467"/>
        <v>0.42531999999999998</v>
      </c>
      <c r="BN159" s="173">
        <f t="shared" si="468"/>
        <v>4.2531999999999993E-2</v>
      </c>
      <c r="BO159" s="528"/>
      <c r="BQ159" s="460">
        <f t="shared" si="356"/>
        <v>467.85199999999998</v>
      </c>
      <c r="BR159" s="528">
        <f t="shared" si="357"/>
        <v>0.12310047833199718</v>
      </c>
      <c r="BS159" s="528">
        <f t="shared" si="358"/>
        <v>3.1431421943476895E-2</v>
      </c>
      <c r="BT159" s="528">
        <f t="shared" si="359"/>
        <v>5.2527381885032332E-5</v>
      </c>
      <c r="BU159" s="528">
        <f t="shared" si="360"/>
        <v>0.37072950710180436</v>
      </c>
      <c r="BV159" s="528"/>
      <c r="BW159" s="625">
        <f t="shared" si="469"/>
        <v>0.49281768309694857</v>
      </c>
      <c r="BX159" s="460">
        <f t="shared" si="362"/>
        <v>1018.1316178561119</v>
      </c>
      <c r="BY159" s="173">
        <f t="shared" si="363"/>
        <v>2.0320107737041226</v>
      </c>
      <c r="BZ159" s="5">
        <f t="shared" si="364"/>
        <v>12.641999999999999</v>
      </c>
      <c r="CA159" s="173">
        <f t="shared" si="365"/>
        <v>0.86152315102933597</v>
      </c>
      <c r="CB159" s="5">
        <f t="shared" si="366"/>
        <v>86.152315102933599</v>
      </c>
      <c r="CC159">
        <f t="shared" si="367"/>
        <v>49</v>
      </c>
      <c r="CE159" s="562">
        <f t="shared" si="470"/>
        <v>-50</v>
      </c>
      <c r="CF159">
        <f t="shared" si="471"/>
        <v>-50</v>
      </c>
      <c r="CG159" s="173">
        <f t="shared" si="370"/>
        <v>0.34658417599272739</v>
      </c>
      <c r="CH159" s="173">
        <f t="shared" si="472"/>
        <v>9.446712174985028E-2</v>
      </c>
      <c r="CI159" s="170">
        <v>49</v>
      </c>
      <c r="CJ159" s="217">
        <f t="shared" si="438"/>
        <v>0.49</v>
      </c>
      <c r="CK159" s="217">
        <f t="shared" si="372"/>
        <v>4.9000000000000002E-2</v>
      </c>
      <c r="CL159" s="217">
        <f t="shared" si="373"/>
        <v>11.76</v>
      </c>
      <c r="CM159" s="217">
        <f t="shared" si="374"/>
        <v>0.88200000000000001</v>
      </c>
      <c r="CN159" s="541">
        <f t="shared" si="375"/>
        <v>9</v>
      </c>
      <c r="CO159" s="443">
        <f t="shared" si="473"/>
        <v>16.474900000000002</v>
      </c>
      <c r="CP159" s="443">
        <f t="shared" si="474"/>
        <v>25.474900000000002</v>
      </c>
      <c r="CQ159" s="443"/>
      <c r="CR159" s="217">
        <f t="shared" si="378"/>
        <v>0.64485133082098534</v>
      </c>
      <c r="CS159" s="172">
        <f t="shared" si="379"/>
        <v>29.993085154464438</v>
      </c>
      <c r="CT159" s="172">
        <f t="shared" si="380"/>
        <v>2.4181924905786953</v>
      </c>
      <c r="CU159" s="217">
        <f t="shared" si="381"/>
        <v>1.2497118814360182</v>
      </c>
      <c r="CV159" s="217">
        <f t="shared" si="382"/>
        <v>1.6662825085813577</v>
      </c>
      <c r="CW159" s="217">
        <f t="shared" si="383"/>
        <v>24</v>
      </c>
      <c r="CX159" s="217">
        <f t="shared" si="384"/>
        <v>4.3565597201399298</v>
      </c>
      <c r="CY159" s="217">
        <f t="shared" si="385"/>
        <v>4.8406219112665898</v>
      </c>
      <c r="CZ159" s="217">
        <f t="shared" si="386"/>
        <v>2.6443618596409868</v>
      </c>
      <c r="DA159" s="197">
        <f t="shared" si="387"/>
        <v>261.91798593910079</v>
      </c>
      <c r="DB159" s="443">
        <f t="shared" si="388"/>
        <v>133.6008240775046</v>
      </c>
      <c r="DD159" s="217">
        <f t="shared" si="389"/>
        <v>2.2222222222222228</v>
      </c>
      <c r="DE159" s="173">
        <f t="shared" si="390"/>
        <v>1.3488532386977905</v>
      </c>
      <c r="DF159" s="173">
        <f t="shared" si="391"/>
        <v>0.24355939229558116</v>
      </c>
      <c r="DG159" s="173"/>
      <c r="DH159" s="173">
        <f t="shared" si="392"/>
        <v>1.3488532386977903</v>
      </c>
      <c r="DI159" s="545">
        <f t="shared" si="393"/>
        <v>490.17149999999975</v>
      </c>
      <c r="DJ159" s="528">
        <f t="shared" si="394"/>
        <v>0.26182634671774968</v>
      </c>
      <c r="DL159" s="173">
        <f t="shared" si="395"/>
        <v>2.6877499883731741</v>
      </c>
      <c r="DM159" s="173">
        <f t="shared" si="396"/>
        <v>4.3565597201399298</v>
      </c>
      <c r="DN159" s="173">
        <f t="shared" si="397"/>
        <v>2.7809907391983018</v>
      </c>
      <c r="DP159" s="545">
        <f t="shared" si="398"/>
        <v>490</v>
      </c>
      <c r="DQ159" s="460">
        <f t="shared" si="399"/>
        <v>133.6008240775046</v>
      </c>
      <c r="DS159">
        <f t="shared" si="400"/>
        <v>490</v>
      </c>
      <c r="DT159">
        <f t="shared" si="401"/>
        <v>133.6008240775046</v>
      </c>
      <c r="DV159" s="5">
        <f t="shared" si="402"/>
        <v>7.4849837709075757</v>
      </c>
      <c r="DW159" s="5">
        <f t="shared" si="403"/>
        <v>4.8406219112665898</v>
      </c>
      <c r="DX159" s="5">
        <f t="shared" si="404"/>
        <v>2.6443618596409859</v>
      </c>
      <c r="DY159" s="173">
        <f t="shared" si="405"/>
        <v>0.64671107639284175</v>
      </c>
      <c r="EA159" s="5">
        <f t="shared" si="406"/>
        <v>9.8829364021692871</v>
      </c>
      <c r="EB159" s="5">
        <f t="shared" si="407"/>
        <v>1.3177248536225716</v>
      </c>
      <c r="EC159" s="5">
        <f t="shared" si="408"/>
        <v>2.8794162471646287</v>
      </c>
      <c r="ED159" s="5"/>
      <c r="EE159" s="173">
        <f t="shared" si="409"/>
        <v>2.0227312962861062</v>
      </c>
      <c r="EF159" s="173">
        <f t="shared" si="410"/>
        <v>0.99718075685596119</v>
      </c>
      <c r="EG159" s="173">
        <f t="shared" si="411"/>
        <v>9.9852829841927976E-2</v>
      </c>
      <c r="EH159" s="173"/>
      <c r="EI159" s="528">
        <f t="shared" si="412"/>
        <v>0.16365767587901087</v>
      </c>
      <c r="EJ159" s="528">
        <f t="shared" si="413"/>
        <v>0.40775377500000004</v>
      </c>
      <c r="EK159" s="528">
        <f t="shared" si="414"/>
        <v>2.6720164815500918E-2</v>
      </c>
      <c r="EL159" s="528">
        <f t="shared" si="415"/>
        <v>1.5173024581986412E-2</v>
      </c>
      <c r="EM159">
        <f t="shared" si="416"/>
        <v>4.0499999999999998E-3</v>
      </c>
      <c r="EN159" s="460">
        <f t="shared" si="417"/>
        <v>30.77016481550092</v>
      </c>
      <c r="EP159" s="460">
        <f t="shared" si="439"/>
        <v>617.35464027649823</v>
      </c>
      <c r="EQ159" s="173">
        <f t="shared" si="418"/>
        <v>0.34299999999999997</v>
      </c>
      <c r="ER159" s="173">
        <f t="shared" si="475"/>
        <v>3.0380000000000001E-2</v>
      </c>
      <c r="ES159" s="528"/>
      <c r="EU159" s="460">
        <f t="shared" si="420"/>
        <v>373.38</v>
      </c>
      <c r="EV159" s="528">
        <f t="shared" si="421"/>
        <v>0.12274325690925814</v>
      </c>
      <c r="EW159" s="528">
        <f t="shared" si="422"/>
        <v>2.9831083855314827E-2</v>
      </c>
      <c r="EX159" s="528">
        <f t="shared" si="423"/>
        <v>4.985293813720511E-5</v>
      </c>
      <c r="EY159" s="528">
        <f t="shared" si="424"/>
        <v>0.40865049202349224</v>
      </c>
      <c r="EZ159" s="528"/>
      <c r="FA159" s="625">
        <f t="shared" si="425"/>
        <v>0.50713837667665029</v>
      </c>
      <c r="FB159" s="460">
        <f t="shared" si="426"/>
        <v>1068.4130624028528</v>
      </c>
      <c r="FC159" s="173">
        <f t="shared" si="427"/>
        <v>2.059147702679351</v>
      </c>
      <c r="FD159" s="5">
        <f t="shared" si="428"/>
        <v>12.641999999999999</v>
      </c>
      <c r="FE159" s="173">
        <f t="shared" si="429"/>
        <v>0.85993286073140662</v>
      </c>
      <c r="FF159" s="5">
        <f t="shared" si="430"/>
        <v>85.993286073140666</v>
      </c>
      <c r="FG159">
        <f t="shared" si="431"/>
        <v>49</v>
      </c>
      <c r="FI159" s="562">
        <f t="shared" si="432"/>
        <v>-50</v>
      </c>
      <c r="FJ159">
        <f t="shared" si="433"/>
        <v>-50</v>
      </c>
    </row>
    <row r="160" spans="5:166">
      <c r="E160" s="170">
        <v>50</v>
      </c>
      <c r="F160" s="217">
        <f t="shared" si="476"/>
        <v>0.5</v>
      </c>
      <c r="G160" s="217">
        <f t="shared" si="444"/>
        <v>0.05</v>
      </c>
      <c r="H160" s="217">
        <f t="shared" si="445"/>
        <v>12</v>
      </c>
      <c r="I160" s="217">
        <f t="shared" si="446"/>
        <v>0.9</v>
      </c>
      <c r="J160" s="541">
        <f t="shared" si="447"/>
        <v>8.8069932324264375</v>
      </c>
      <c r="K160" s="443">
        <f t="shared" si="448"/>
        <v>16.503767446043497</v>
      </c>
      <c r="L160" s="172">
        <f t="shared" si="449"/>
        <v>25.310760678469933</v>
      </c>
      <c r="M160" s="443"/>
      <c r="N160" s="217">
        <f t="shared" si="450"/>
        <v>0.65204549383938826</v>
      </c>
      <c r="O160" s="172">
        <f t="shared" si="451"/>
        <v>29.677313961124788</v>
      </c>
      <c r="P160" s="172">
        <f t="shared" si="452"/>
        <v>2.3927334381156862</v>
      </c>
      <c r="Q160" s="217">
        <f t="shared" si="322"/>
        <v>1.2365547483801995</v>
      </c>
      <c r="R160" s="217">
        <f t="shared" si="453"/>
        <v>1.6487396645069328</v>
      </c>
      <c r="S160" s="217">
        <f t="shared" si="454"/>
        <v>24</v>
      </c>
      <c r="T160" s="217">
        <f t="shared" si="455"/>
        <v>4.4927695784056025</v>
      </c>
      <c r="U160" s="217">
        <f t="shared" si="326"/>
        <v>5.1013659938600728</v>
      </c>
      <c r="V160" s="217">
        <f t="shared" si="327"/>
        <v>2.7222690777084777</v>
      </c>
      <c r="W160" s="197">
        <f t="shared" si="328"/>
        <v>258.41521131649404</v>
      </c>
      <c r="X160" s="443">
        <f t="shared" si="435"/>
        <v>124.63178984092414</v>
      </c>
      <c r="Z160" s="217">
        <f t="shared" si="329"/>
        <v>2.2222222222222223</v>
      </c>
      <c r="AA160" s="173">
        <f t="shared" si="330"/>
        <v>1.346493901763602</v>
      </c>
      <c r="AB160" s="173">
        <f t="shared" si="456"/>
        <v>0.23988181458307808</v>
      </c>
      <c r="AC160" s="173"/>
      <c r="AD160" s="173">
        <f t="shared" si="332"/>
        <v>1.346493901763602</v>
      </c>
      <c r="AE160" s="545">
        <f t="shared" si="457"/>
        <v>501.05141046833688</v>
      </c>
      <c r="AF160" s="528">
        <f t="shared" si="458"/>
        <v>0.25787295067680899</v>
      </c>
      <c r="AH160" s="173">
        <f t="shared" si="459"/>
        <v>2.7150374898753369</v>
      </c>
      <c r="AI160" s="173">
        <f t="shared" si="460"/>
        <v>4.4927695784056025</v>
      </c>
      <c r="AJ160" s="173">
        <f t="shared" si="461"/>
        <v>2.8818869305062078</v>
      </c>
      <c r="AL160" s="545">
        <f t="shared" si="462"/>
        <v>500</v>
      </c>
      <c r="AM160" s="460">
        <f t="shared" si="463"/>
        <v>124.63178984092414</v>
      </c>
      <c r="AO160">
        <f t="shared" si="340"/>
        <v>500</v>
      </c>
      <c r="AP160">
        <f t="shared" si="341"/>
        <v>124.63178984092414</v>
      </c>
      <c r="AR160" s="5">
        <f t="shared" si="443"/>
        <v>8.0236350715685507</v>
      </c>
      <c r="AS160" s="5">
        <f t="shared" si="440"/>
        <v>5.1013659938600728</v>
      </c>
      <c r="AT160" s="5">
        <f t="shared" si="441"/>
        <v>2.9222690777084779</v>
      </c>
      <c r="AU160" s="173">
        <f t="shared" si="442"/>
        <v>0.63579237444840575</v>
      </c>
      <c r="AW160" s="5">
        <f t="shared" si="342"/>
        <v>10.627845820541818</v>
      </c>
      <c r="AX160" s="5">
        <f t="shared" si="343"/>
        <v>1.417046109405576</v>
      </c>
      <c r="AY160" s="5">
        <f t="shared" si="344"/>
        <v>3.3181234509741477</v>
      </c>
      <c r="AZ160" s="5"/>
      <c r="BA160" s="173">
        <f t="shared" si="345"/>
        <v>2.068288777302274</v>
      </c>
      <c r="BB160" s="173">
        <f t="shared" si="346"/>
        <v>1.044128305346208</v>
      </c>
      <c r="BC160" s="173">
        <f t="shared" si="347"/>
        <v>0.10455392895426216</v>
      </c>
      <c r="BD160" s="173"/>
      <c r="BE160" s="528">
        <f t="shared" si="348"/>
        <v>0.17111273865258142</v>
      </c>
      <c r="BF160" s="528">
        <f t="shared" si="464"/>
        <v>0.3188825049725052</v>
      </c>
      <c r="BG160" s="528">
        <f t="shared" si="465"/>
        <v>4.3905253186968522E-2</v>
      </c>
      <c r="BH160" s="528">
        <f t="shared" si="351"/>
        <v>1.3972601579145561E-2</v>
      </c>
      <c r="BI160">
        <f t="shared" si="352"/>
        <v>3.9631469545918967E-3</v>
      </c>
      <c r="BJ160" s="460">
        <f t="shared" si="436"/>
        <v>47.868400141560421</v>
      </c>
      <c r="BK160">
        <f t="shared" si="466"/>
        <v>0.57348407496052589</v>
      </c>
      <c r="BL160" s="460">
        <f t="shared" si="437"/>
        <v>551.83624534579258</v>
      </c>
      <c r="BM160" s="173">
        <f t="shared" si="467"/>
        <v>0.434</v>
      </c>
      <c r="BN160" s="173">
        <f t="shared" si="468"/>
        <v>4.3399999999999994E-2</v>
      </c>
      <c r="BO160" s="528"/>
      <c r="BQ160" s="460">
        <f t="shared" si="356"/>
        <v>477.4</v>
      </c>
      <c r="BR160" s="528">
        <f t="shared" si="357"/>
        <v>0.12833455398943605</v>
      </c>
      <c r="BS160" s="528">
        <f t="shared" si="358"/>
        <v>3.2706117540754323E-2</v>
      </c>
      <c r="BT160" s="528">
        <f t="shared" si="359"/>
        <v>5.4657620298864501E-5</v>
      </c>
      <c r="BU160" s="528">
        <f t="shared" si="360"/>
        <v>0.37096031171990385</v>
      </c>
      <c r="BV160" s="528"/>
      <c r="BW160" s="625">
        <f t="shared" si="469"/>
        <v>0.50313799928841652</v>
      </c>
      <c r="BX160" s="460">
        <f t="shared" si="362"/>
        <v>1035.1936401588096</v>
      </c>
      <c r="BY160" s="173">
        <f t="shared" si="363"/>
        <v>2.0644298855046022</v>
      </c>
      <c r="BZ160" s="5">
        <f t="shared" si="364"/>
        <v>12.9</v>
      </c>
      <c r="CA160" s="173">
        <f t="shared" si="365"/>
        <v>0.86204420072799925</v>
      </c>
      <c r="CB160" s="5">
        <f t="shared" si="366"/>
        <v>86.20442007279992</v>
      </c>
      <c r="CC160">
        <f t="shared" si="367"/>
        <v>50</v>
      </c>
      <c r="CE160" s="562">
        <f t="shared" si="470"/>
        <v>-50</v>
      </c>
      <c r="CF160">
        <f t="shared" si="471"/>
        <v>-50</v>
      </c>
      <c r="CG160" s="173">
        <f t="shared" si="370"/>
        <v>0.34658417599272739</v>
      </c>
      <c r="CH160" s="173">
        <f t="shared" si="472"/>
        <v>9.446712174985028E-2</v>
      </c>
      <c r="CI160" s="170">
        <v>50</v>
      </c>
      <c r="CJ160" s="217">
        <f t="shared" si="438"/>
        <v>0.5</v>
      </c>
      <c r="CK160" s="217">
        <f t="shared" si="372"/>
        <v>0.05</v>
      </c>
      <c r="CL160" s="217">
        <f t="shared" si="373"/>
        <v>12</v>
      </c>
      <c r="CM160" s="217">
        <f t="shared" si="374"/>
        <v>0.9</v>
      </c>
      <c r="CN160" s="541">
        <f t="shared" si="375"/>
        <v>9</v>
      </c>
      <c r="CO160" s="443">
        <f t="shared" si="473"/>
        <v>16.474900000000002</v>
      </c>
      <c r="CP160" s="443">
        <f t="shared" si="474"/>
        <v>25.474900000000002</v>
      </c>
      <c r="CQ160" s="443"/>
      <c r="CR160" s="217">
        <f t="shared" si="378"/>
        <v>0.64485133082098534</v>
      </c>
      <c r="CS160" s="172">
        <f t="shared" si="379"/>
        <v>29.993085154464438</v>
      </c>
      <c r="CT160" s="172">
        <f t="shared" si="380"/>
        <v>2.4181924905786953</v>
      </c>
      <c r="CU160" s="217">
        <f t="shared" si="381"/>
        <v>1.2497118814360182</v>
      </c>
      <c r="CV160" s="217">
        <f t="shared" si="382"/>
        <v>1.6662825085813577</v>
      </c>
      <c r="CW160" s="217">
        <f t="shared" si="383"/>
        <v>24</v>
      </c>
      <c r="CX160" s="217">
        <f t="shared" si="384"/>
        <v>4.4454691021836021</v>
      </c>
      <c r="CY160" s="217">
        <f t="shared" si="385"/>
        <v>4.9394101135373356</v>
      </c>
      <c r="CZ160" s="217">
        <f t="shared" si="386"/>
        <v>2.6983284282050888</v>
      </c>
      <c r="DA160" s="197">
        <f t="shared" si="387"/>
        <v>261.91798593910079</v>
      </c>
      <c r="DB160" s="443">
        <f t="shared" si="388"/>
        <v>130.92880759595451</v>
      </c>
      <c r="DD160" s="217">
        <f t="shared" si="389"/>
        <v>2.2222222222222228</v>
      </c>
      <c r="DE160" s="173">
        <f t="shared" si="390"/>
        <v>1.3488532386977905</v>
      </c>
      <c r="DF160" s="173">
        <f t="shared" si="391"/>
        <v>0.24355939229558116</v>
      </c>
      <c r="DG160" s="173"/>
      <c r="DH160" s="173">
        <f t="shared" si="392"/>
        <v>1.3488532386977903</v>
      </c>
      <c r="DI160" s="545">
        <f t="shared" si="393"/>
        <v>500.1749999999999</v>
      </c>
      <c r="DJ160" s="528">
        <f t="shared" si="394"/>
        <v>0.26182634671774968</v>
      </c>
      <c r="DL160" s="173">
        <f t="shared" si="395"/>
        <v>2.7150374898753369</v>
      </c>
      <c r="DM160" s="173">
        <f t="shared" si="396"/>
        <v>4.4454691021836021</v>
      </c>
      <c r="DN160" s="173">
        <f t="shared" si="397"/>
        <v>2.8468495407121335</v>
      </c>
      <c r="DP160" s="545">
        <f t="shared" si="398"/>
        <v>500</v>
      </c>
      <c r="DQ160" s="460">
        <f t="shared" si="399"/>
        <v>130.92880759595451</v>
      </c>
      <c r="DS160">
        <f t="shared" si="400"/>
        <v>500</v>
      </c>
      <c r="DT160">
        <f t="shared" si="401"/>
        <v>130.92880759595451</v>
      </c>
      <c r="DV160" s="5">
        <f t="shared" si="402"/>
        <v>7.6377385417424239</v>
      </c>
      <c r="DW160" s="5">
        <f t="shared" si="403"/>
        <v>4.9394101135373356</v>
      </c>
      <c r="DX160" s="5">
        <f t="shared" si="404"/>
        <v>2.6983284282050883</v>
      </c>
      <c r="DY160" s="173">
        <f t="shared" si="405"/>
        <v>0.64671107639284164</v>
      </c>
      <c r="EA160" s="5">
        <f t="shared" si="406"/>
        <v>10.290437736536116</v>
      </c>
      <c r="EB160" s="5">
        <f t="shared" si="407"/>
        <v>1.3720583648714821</v>
      </c>
      <c r="EC160" s="5">
        <f t="shared" si="408"/>
        <v>2.9981426980056534</v>
      </c>
      <c r="ED160" s="5"/>
      <c r="EE160" s="173">
        <f t="shared" si="409"/>
        <v>2.0640115268225574</v>
      </c>
      <c r="EF160" s="173">
        <f t="shared" si="410"/>
        <v>1.0175313845468994</v>
      </c>
      <c r="EG160" s="173">
        <f t="shared" si="411"/>
        <v>0.10189064269584491</v>
      </c>
      <c r="EH160" s="173"/>
      <c r="EI160" s="528">
        <f t="shared" si="412"/>
        <v>0.1704057433142554</v>
      </c>
      <c r="EJ160" s="528">
        <f t="shared" si="413"/>
        <v>0.4077537750000001</v>
      </c>
      <c r="EK160" s="528">
        <f t="shared" si="414"/>
        <v>2.61857615191909E-2</v>
      </c>
      <c r="EL160" s="528">
        <f t="shared" si="415"/>
        <v>1.4869564090346685E-2</v>
      </c>
      <c r="EM160">
        <f t="shared" si="416"/>
        <v>4.0499999999999998E-3</v>
      </c>
      <c r="EN160" s="460">
        <f t="shared" si="417"/>
        <v>30.235761519190898</v>
      </c>
      <c r="EP160" s="460">
        <f t="shared" si="439"/>
        <v>623.26484392379314</v>
      </c>
      <c r="EQ160" s="173">
        <f t="shared" si="418"/>
        <v>0.35</v>
      </c>
      <c r="ER160" s="173">
        <f t="shared" si="475"/>
        <v>3.1E-2</v>
      </c>
      <c r="ES160" s="528"/>
      <c r="EU160" s="460">
        <f t="shared" si="420"/>
        <v>381</v>
      </c>
      <c r="EV160" s="528">
        <f t="shared" si="421"/>
        <v>0.12780430748569155</v>
      </c>
      <c r="EW160" s="528">
        <f t="shared" si="422"/>
        <v>3.1061103556137899E-2</v>
      </c>
      <c r="EX160" s="528">
        <f t="shared" si="423"/>
        <v>5.1908515344861672E-5</v>
      </c>
      <c r="EY160" s="528">
        <f t="shared" si="424"/>
        <v>0.40865049202349218</v>
      </c>
      <c r="EZ160" s="528"/>
      <c r="FA160" s="625">
        <f t="shared" si="425"/>
        <v>0.51748813946596994</v>
      </c>
      <c r="FB160" s="460">
        <f t="shared" si="426"/>
        <v>1085.0559510466364</v>
      </c>
      <c r="FC160" s="173">
        <f t="shared" si="427"/>
        <v>2.0893207949704293</v>
      </c>
      <c r="FD160" s="5">
        <f t="shared" si="428"/>
        <v>12.9</v>
      </c>
      <c r="FE160" s="173">
        <f t="shared" si="429"/>
        <v>0.86061271063919798</v>
      </c>
      <c r="FF160" s="5">
        <f t="shared" si="430"/>
        <v>86.061271063919804</v>
      </c>
      <c r="FG160">
        <f t="shared" si="431"/>
        <v>50</v>
      </c>
      <c r="FI160" s="562">
        <f t="shared" si="432"/>
        <v>-50</v>
      </c>
      <c r="FJ160">
        <f t="shared" si="433"/>
        <v>-50</v>
      </c>
    </row>
    <row r="161" spans="5:166">
      <c r="E161" s="170">
        <v>51</v>
      </c>
      <c r="F161" s="217">
        <f t="shared" si="476"/>
        <v>0.51</v>
      </c>
      <c r="G161" s="217">
        <f t="shared" si="444"/>
        <v>5.1000000000000004E-2</v>
      </c>
      <c r="H161" s="217">
        <f t="shared" si="445"/>
        <v>12.24</v>
      </c>
      <c r="I161" s="217">
        <f t="shared" si="446"/>
        <v>0.91800000000000004</v>
      </c>
      <c r="J161" s="541">
        <f t="shared" si="447"/>
        <v>8.8031330970749657</v>
      </c>
      <c r="K161" s="443">
        <f t="shared" si="448"/>
        <v>16.504344794964368</v>
      </c>
      <c r="L161" s="172">
        <f t="shared" si="449"/>
        <v>25.307477892039334</v>
      </c>
      <c r="M161" s="443"/>
      <c r="N161" s="217">
        <f t="shared" si="450"/>
        <v>0.65215288798714866</v>
      </c>
      <c r="O161" s="172">
        <f t="shared" si="451"/>
        <v>29.669192106422173</v>
      </c>
      <c r="P161" s="172">
        <f t="shared" si="452"/>
        <v>2.3920786135802881</v>
      </c>
      <c r="Q161" s="217">
        <f t="shared" si="322"/>
        <v>1.2362163377675905</v>
      </c>
      <c r="R161" s="217">
        <f t="shared" si="453"/>
        <v>1.6482884503567874</v>
      </c>
      <c r="S161" s="217">
        <f t="shared" si="454"/>
        <v>24</v>
      </c>
      <c r="T161" s="217">
        <f t="shared" si="455"/>
        <v>4.583879450177597</v>
      </c>
      <c r="U161" s="217">
        <f t="shared" si="326"/>
        <v>5.207100017266229</v>
      </c>
      <c r="V161" s="217">
        <f t="shared" si="327"/>
        <v>2.7773774161432825</v>
      </c>
      <c r="W161" s="197">
        <f t="shared" si="328"/>
        <v>258.34449026667107</v>
      </c>
      <c r="X161" s="443">
        <f t="shared" si="435"/>
        <v>122.1825105067725</v>
      </c>
      <c r="Z161" s="217">
        <f t="shared" si="329"/>
        <v>2.2222222222222219</v>
      </c>
      <c r="AA161" s="173">
        <f t="shared" si="330"/>
        <v>1.3464467992090441</v>
      </c>
      <c r="AB161" s="173">
        <f t="shared" si="456"/>
        <v>0.23980777644710263</v>
      </c>
      <c r="AC161" s="173"/>
      <c r="AD161" s="173">
        <f t="shared" si="332"/>
        <v>1.3464467992090445</v>
      </c>
      <c r="AE161" s="545">
        <f t="shared" si="457"/>
        <v>511.09031745125759</v>
      </c>
      <c r="AF161" s="528">
        <f t="shared" si="458"/>
        <v>0.25779335968063549</v>
      </c>
      <c r="AH161" s="173">
        <f t="shared" si="459"/>
        <v>2.7420534536834147</v>
      </c>
      <c r="AI161" s="173">
        <f t="shared" si="460"/>
        <v>4.583879450177597</v>
      </c>
      <c r="AJ161" s="173">
        <f t="shared" si="461"/>
        <v>2.9493757244113885</v>
      </c>
      <c r="AL161" s="545">
        <f t="shared" si="462"/>
        <v>510</v>
      </c>
      <c r="AM161" s="460">
        <f t="shared" si="463"/>
        <v>122.1825105067725</v>
      </c>
      <c r="AO161">
        <f t="shared" si="340"/>
        <v>510</v>
      </c>
      <c r="AP161">
        <f t="shared" si="341"/>
        <v>122.1825105067725</v>
      </c>
      <c r="AR161" s="5">
        <f t="shared" si="443"/>
        <v>8.1844774334095103</v>
      </c>
      <c r="AS161" s="5">
        <f t="shared" si="440"/>
        <v>5.207100017266229</v>
      </c>
      <c r="AT161" s="5">
        <f t="shared" si="441"/>
        <v>2.9773774161432813</v>
      </c>
      <c r="AU161" s="173">
        <f t="shared" si="442"/>
        <v>0.63621655256944631</v>
      </c>
      <c r="AW161" s="5">
        <f t="shared" si="342"/>
        <v>11.065087536690738</v>
      </c>
      <c r="AX161" s="5">
        <f t="shared" si="343"/>
        <v>1.4753450048920984</v>
      </c>
      <c r="AY161" s="5">
        <f t="shared" si="344"/>
        <v>3.4498228425913853</v>
      </c>
      <c r="AZ161" s="5"/>
      <c r="BA161" s="173">
        <f t="shared" si="345"/>
        <v>2.1109358832430587</v>
      </c>
      <c r="BB161" s="173">
        <f t="shared" si="346"/>
        <v>1.0646818766829251</v>
      </c>
      <c r="BC161" s="173">
        <f t="shared" si="347"/>
        <v>0.10661206359757398</v>
      </c>
      <c r="BD161" s="173"/>
      <c r="BE161" s="528">
        <f t="shared" si="348"/>
        <v>0.1782420121265261</v>
      </c>
      <c r="BF161" s="528">
        <f t="shared" si="464"/>
        <v>0.31891402325345231</v>
      </c>
      <c r="BG161" s="528">
        <f t="shared" si="465"/>
        <v>4.3023556085035157E-2</v>
      </c>
      <c r="BH161" s="528">
        <f t="shared" si="351"/>
        <v>1.3694457273751567E-2</v>
      </c>
      <c r="BI161">
        <f t="shared" si="352"/>
        <v>3.9614098936837346E-3</v>
      </c>
      <c r="BJ161" s="460">
        <f t="shared" si="436"/>
        <v>46.984965978718897</v>
      </c>
      <c r="BK161">
        <f t="shared" si="466"/>
        <v>0.58369551741384729</v>
      </c>
      <c r="BL161" s="460">
        <f t="shared" si="437"/>
        <v>557.83545863244888</v>
      </c>
      <c r="BM161" s="173">
        <f t="shared" si="467"/>
        <v>0.44267999999999996</v>
      </c>
      <c r="BN161" s="173">
        <f t="shared" si="468"/>
        <v>4.4268000000000002E-2</v>
      </c>
      <c r="BO161" s="528"/>
      <c r="BQ161" s="460">
        <f t="shared" si="356"/>
        <v>486.94799999999992</v>
      </c>
      <c r="BR161" s="528">
        <f t="shared" si="357"/>
        <v>0.13368150909489457</v>
      </c>
      <c r="BS161" s="528">
        <f t="shared" si="358"/>
        <v>3.4006424956112266E-2</v>
      </c>
      <c r="BT161" s="528">
        <f t="shared" si="359"/>
        <v>5.6830660522665795E-5</v>
      </c>
      <c r="BU161" s="528">
        <f t="shared" si="360"/>
        <v>0.37117232283038115</v>
      </c>
      <c r="BV161" s="528"/>
      <c r="BW161" s="625">
        <f t="shared" si="469"/>
        <v>0.51345858021401514</v>
      </c>
      <c r="BX161" s="460">
        <f t="shared" si="362"/>
        <v>1052.3756677559256</v>
      </c>
      <c r="BY161" s="173">
        <f t="shared" si="363"/>
        <v>2.0971591263883749</v>
      </c>
      <c r="BZ161" s="5">
        <f t="shared" si="364"/>
        <v>13.157999999999999</v>
      </c>
      <c r="CA161" s="173">
        <f t="shared" si="365"/>
        <v>0.86252787604419612</v>
      </c>
      <c r="CB161" s="5">
        <f t="shared" si="366"/>
        <v>86.252787604419609</v>
      </c>
      <c r="CC161">
        <f t="shared" si="367"/>
        <v>51</v>
      </c>
      <c r="CE161" s="562">
        <f t="shared" si="470"/>
        <v>-50</v>
      </c>
      <c r="CF161">
        <f t="shared" si="471"/>
        <v>-50</v>
      </c>
      <c r="CG161" s="173">
        <f t="shared" si="370"/>
        <v>0.34658417599272739</v>
      </c>
      <c r="CH161" s="173">
        <f t="shared" si="472"/>
        <v>9.446712174985028E-2</v>
      </c>
      <c r="CI161" s="170">
        <v>51</v>
      </c>
      <c r="CJ161" s="217">
        <f t="shared" si="438"/>
        <v>0.51</v>
      </c>
      <c r="CK161" s="217">
        <f t="shared" si="372"/>
        <v>5.1000000000000004E-2</v>
      </c>
      <c r="CL161" s="217">
        <f t="shared" si="373"/>
        <v>12.24</v>
      </c>
      <c r="CM161" s="217">
        <f t="shared" si="374"/>
        <v>0.91800000000000004</v>
      </c>
      <c r="CN161" s="541">
        <f t="shared" si="375"/>
        <v>9</v>
      </c>
      <c r="CO161" s="443">
        <f t="shared" si="473"/>
        <v>16.474900000000002</v>
      </c>
      <c r="CP161" s="443">
        <f t="shared" si="474"/>
        <v>25.474900000000002</v>
      </c>
      <c r="CQ161" s="443"/>
      <c r="CR161" s="217">
        <f t="shared" si="378"/>
        <v>0.64485133082098534</v>
      </c>
      <c r="CS161" s="172">
        <f t="shared" si="379"/>
        <v>29.993085154464438</v>
      </c>
      <c r="CT161" s="172">
        <f t="shared" si="380"/>
        <v>2.4181924905786953</v>
      </c>
      <c r="CU161" s="217">
        <f t="shared" si="381"/>
        <v>1.2497118814360182</v>
      </c>
      <c r="CV161" s="217">
        <f t="shared" si="382"/>
        <v>1.6662825085813577</v>
      </c>
      <c r="CW161" s="217">
        <f t="shared" si="383"/>
        <v>24</v>
      </c>
      <c r="CX161" s="217">
        <f t="shared" si="384"/>
        <v>4.5343784842272736</v>
      </c>
      <c r="CY161" s="217">
        <f t="shared" si="385"/>
        <v>5.0381983158080823</v>
      </c>
      <c r="CZ161" s="217">
        <f t="shared" si="386"/>
        <v>2.7522949967691903</v>
      </c>
      <c r="DA161" s="197">
        <f t="shared" si="387"/>
        <v>261.91798593910079</v>
      </c>
      <c r="DB161" s="443">
        <f t="shared" si="388"/>
        <v>128.36157607446521</v>
      </c>
      <c r="DD161" s="217">
        <f t="shared" si="389"/>
        <v>2.2222222222222228</v>
      </c>
      <c r="DE161" s="173">
        <f t="shared" si="390"/>
        <v>1.3488532386977905</v>
      </c>
      <c r="DF161" s="173">
        <f t="shared" si="391"/>
        <v>0.24355939229558116</v>
      </c>
      <c r="DG161" s="173"/>
      <c r="DH161" s="173">
        <f t="shared" si="392"/>
        <v>1.3488532386977903</v>
      </c>
      <c r="DI161" s="545">
        <f t="shared" si="393"/>
        <v>510.17849999999981</v>
      </c>
      <c r="DJ161" s="528">
        <f t="shared" si="394"/>
        <v>0.26182634671774968</v>
      </c>
      <c r="DL161" s="173">
        <f t="shared" si="395"/>
        <v>2.7420534536834147</v>
      </c>
      <c r="DM161" s="173">
        <f t="shared" si="396"/>
        <v>4.5343784842272736</v>
      </c>
      <c r="DN161" s="173">
        <f t="shared" si="397"/>
        <v>2.9127083422259639</v>
      </c>
      <c r="DP161" s="545">
        <f t="shared" si="398"/>
        <v>510</v>
      </c>
      <c r="DQ161" s="460">
        <f t="shared" si="399"/>
        <v>128.36157607446521</v>
      </c>
      <c r="DS161">
        <f t="shared" si="400"/>
        <v>510</v>
      </c>
      <c r="DT161">
        <f t="shared" si="401"/>
        <v>128.36157607446521</v>
      </c>
      <c r="DV161" s="5">
        <f t="shared" si="402"/>
        <v>7.7904933125772722</v>
      </c>
      <c r="DW161" s="5">
        <f t="shared" si="403"/>
        <v>5.0381983158080823</v>
      </c>
      <c r="DX161" s="5">
        <f t="shared" si="404"/>
        <v>2.7522949967691899</v>
      </c>
      <c r="DY161" s="173">
        <f t="shared" si="405"/>
        <v>0.64671107639284164</v>
      </c>
      <c r="EA161" s="5">
        <f t="shared" si="406"/>
        <v>10.706171421092176</v>
      </c>
      <c r="EB161" s="5">
        <f t="shared" si="407"/>
        <v>1.4274895228122901</v>
      </c>
      <c r="EC161" s="5">
        <f t="shared" si="408"/>
        <v>3.1192676630050813</v>
      </c>
      <c r="ED161" s="5"/>
      <c r="EE161" s="173">
        <f t="shared" si="409"/>
        <v>2.1052917573590082</v>
      </c>
      <c r="EF161" s="173">
        <f t="shared" si="410"/>
        <v>1.0378820122378374</v>
      </c>
      <c r="EG161" s="173">
        <f t="shared" si="411"/>
        <v>0.10392845554976181</v>
      </c>
      <c r="EH161" s="173"/>
      <c r="EI161" s="528">
        <f t="shared" si="412"/>
        <v>0.17729013534415125</v>
      </c>
      <c r="EJ161" s="528">
        <f t="shared" si="413"/>
        <v>0.40775377500000004</v>
      </c>
      <c r="EK161" s="528">
        <f t="shared" si="414"/>
        <v>2.5672315214893042E-2</v>
      </c>
      <c r="EL161" s="528">
        <f t="shared" si="415"/>
        <v>1.4578004010143808E-2</v>
      </c>
      <c r="EM161">
        <f t="shared" si="416"/>
        <v>4.0499999999999998E-3</v>
      </c>
      <c r="EN161" s="460">
        <f t="shared" si="417"/>
        <v>29.72231521489304</v>
      </c>
      <c r="EP161" s="460">
        <f t="shared" si="439"/>
        <v>629.34422956918809</v>
      </c>
      <c r="EQ161" s="173">
        <f t="shared" si="418"/>
        <v>0.35699999999999998</v>
      </c>
      <c r="ER161" s="173">
        <f t="shared" si="475"/>
        <v>3.1620000000000002E-2</v>
      </c>
      <c r="ES161" s="528"/>
      <c r="EU161" s="460">
        <f t="shared" si="420"/>
        <v>388.61999999999995</v>
      </c>
      <c r="EV161" s="528">
        <f t="shared" si="421"/>
        <v>0.13296760150811343</v>
      </c>
      <c r="EW161" s="528">
        <f t="shared" si="422"/>
        <v>3.2315972139805874E-2</v>
      </c>
      <c r="EX161" s="528">
        <f t="shared" si="423"/>
        <v>5.400561936479408E-5</v>
      </c>
      <c r="EY161" s="528">
        <f t="shared" si="424"/>
        <v>0.40865049202349202</v>
      </c>
      <c r="EZ161" s="528"/>
      <c r="FA161" s="625">
        <f t="shared" si="425"/>
        <v>0.52783790225528926</v>
      </c>
      <c r="FB161" s="460">
        <f t="shared" si="426"/>
        <v>1101.8259735460654</v>
      </c>
      <c r="FC161" s="173">
        <f t="shared" si="427"/>
        <v>2.1197902031152536</v>
      </c>
      <c r="FD161" s="5">
        <f t="shared" si="428"/>
        <v>13.157999999999999</v>
      </c>
      <c r="FE161" s="173">
        <f t="shared" si="429"/>
        <v>0.86125020864057866</v>
      </c>
      <c r="FF161" s="5">
        <f t="shared" si="430"/>
        <v>86.125020864057859</v>
      </c>
      <c r="FG161">
        <f t="shared" si="431"/>
        <v>51</v>
      </c>
      <c r="FI161" s="562">
        <f t="shared" si="432"/>
        <v>-50</v>
      </c>
      <c r="FJ161">
        <f t="shared" si="433"/>
        <v>-50</v>
      </c>
    </row>
    <row r="162" spans="5:166">
      <c r="E162" s="170">
        <v>52</v>
      </c>
      <c r="F162" s="217">
        <f t="shared" si="476"/>
        <v>0.52</v>
      </c>
      <c r="G162" s="217">
        <f t="shared" si="444"/>
        <v>5.2000000000000005E-2</v>
      </c>
      <c r="H162" s="217">
        <f t="shared" si="445"/>
        <v>12.48</v>
      </c>
      <c r="I162" s="217">
        <f t="shared" si="446"/>
        <v>0.93600000000000005</v>
      </c>
      <c r="J162" s="541">
        <f t="shared" si="447"/>
        <v>8.7992729617234939</v>
      </c>
      <c r="K162" s="443">
        <f t="shared" si="448"/>
        <v>16.504922143885238</v>
      </c>
      <c r="L162" s="172">
        <f t="shared" si="449"/>
        <v>25.304195105608734</v>
      </c>
      <c r="M162" s="443"/>
      <c r="N162" s="217">
        <f t="shared" si="450"/>
        <v>0.65226031000001594</v>
      </c>
      <c r="O162" s="172">
        <f t="shared" si="451"/>
        <v>29.661067234049224</v>
      </c>
      <c r="P162" s="172">
        <f t="shared" si="452"/>
        <v>2.3914235457452184</v>
      </c>
      <c r="Q162" s="217">
        <f t="shared" si="322"/>
        <v>1.2358778014187177</v>
      </c>
      <c r="R162" s="217">
        <f t="shared" si="453"/>
        <v>1.6478370685582902</v>
      </c>
      <c r="S162" s="217">
        <f t="shared" si="454"/>
        <v>24</v>
      </c>
      <c r="T162" s="217">
        <f t="shared" si="455"/>
        <v>4.6750396933622538</v>
      </c>
      <c r="U162" s="217">
        <f t="shared" si="326"/>
        <v>5.3129840541354962</v>
      </c>
      <c r="V162" s="217">
        <f t="shared" si="327"/>
        <v>2.8325124181783967</v>
      </c>
      <c r="W162" s="197">
        <f t="shared" si="328"/>
        <v>258.27374294048354</v>
      </c>
      <c r="X162" s="443">
        <f t="shared" si="435"/>
        <v>119.82510606978157</v>
      </c>
      <c r="Z162" s="217">
        <f t="shared" si="329"/>
        <v>2.2222222222222223</v>
      </c>
      <c r="AA162" s="173">
        <f t="shared" si="330"/>
        <v>1.3463996999498202</v>
      </c>
      <c r="AB162" s="173">
        <f t="shared" si="456"/>
        <v>0.23973371910076421</v>
      </c>
      <c r="AC162" s="173"/>
      <c r="AD162" s="173">
        <f t="shared" si="332"/>
        <v>1.3463996999498202</v>
      </c>
      <c r="AE162" s="545">
        <f t="shared" si="457"/>
        <v>521.12992556255335</v>
      </c>
      <c r="AF162" s="528">
        <f t="shared" si="458"/>
        <v>0.25771374803332148</v>
      </c>
      <c r="AH162" s="173">
        <f t="shared" si="459"/>
        <v>2.7688058282020633</v>
      </c>
      <c r="AI162" s="173">
        <f t="shared" si="460"/>
        <v>4.6750396933622538</v>
      </c>
      <c r="AJ162" s="173">
        <f t="shared" si="461"/>
        <v>3.0169018304740973</v>
      </c>
      <c r="AL162" s="545">
        <f t="shared" si="462"/>
        <v>520</v>
      </c>
      <c r="AM162" s="460">
        <f t="shared" si="463"/>
        <v>119.82510606978157</v>
      </c>
      <c r="AO162">
        <f t="shared" si="340"/>
        <v>520</v>
      </c>
      <c r="AP162">
        <f t="shared" si="341"/>
        <v>119.82510606978157</v>
      </c>
      <c r="AR162" s="5">
        <f t="shared" si="443"/>
        <v>8.3454964723138918</v>
      </c>
      <c r="AS162" s="5">
        <f t="shared" si="440"/>
        <v>5.3129840541354962</v>
      </c>
      <c r="AT162" s="5">
        <f t="shared" si="441"/>
        <v>3.0325124181783956</v>
      </c>
      <c r="AU162" s="173">
        <f t="shared" si="442"/>
        <v>0.63662887783384392</v>
      </c>
      <c r="AW162" s="5">
        <f t="shared" si="342"/>
        <v>11.511465450626908</v>
      </c>
      <c r="AX162" s="5">
        <f t="shared" si="343"/>
        <v>1.5348620600835881</v>
      </c>
      <c r="AY162" s="5">
        <f t="shared" si="344"/>
        <v>3.584174429665381</v>
      </c>
      <c r="AZ162" s="5"/>
      <c r="BA162" s="173">
        <f t="shared" si="345"/>
        <v>2.1536138846951816</v>
      </c>
      <c r="BB162" s="173">
        <f t="shared" si="346"/>
        <v>1.0852398038295461</v>
      </c>
      <c r="BC162" s="173">
        <f t="shared" si="347"/>
        <v>0.10867063441049914</v>
      </c>
      <c r="BD162" s="173"/>
      <c r="BE162" s="528">
        <f t="shared" si="348"/>
        <v>0.18552211057407483</v>
      </c>
      <c r="BF162" s="528">
        <f t="shared" si="464"/>
        <v>0.31893939811663979</v>
      </c>
      <c r="BG162" s="528">
        <f t="shared" si="465"/>
        <v>4.2174952639019152E-2</v>
      </c>
      <c r="BH162" s="528">
        <f t="shared" si="351"/>
        <v>1.3426750716594184E-2</v>
      </c>
      <c r="BI162">
        <f t="shared" si="352"/>
        <v>3.9596728327755725E-3</v>
      </c>
      <c r="BJ162" s="460">
        <f t="shared" si="436"/>
        <v>46.134625471794728</v>
      </c>
      <c r="BK162">
        <f t="shared" si="466"/>
        <v>0.59417028729812149</v>
      </c>
      <c r="BL162" s="460">
        <f t="shared" si="437"/>
        <v>564.02288487910346</v>
      </c>
      <c r="BM162" s="173">
        <f t="shared" si="467"/>
        <v>0.45135999999999998</v>
      </c>
      <c r="BN162" s="173">
        <f t="shared" si="468"/>
        <v>4.5136000000000003E-2</v>
      </c>
      <c r="BO162" s="528"/>
      <c r="BQ162" s="460">
        <f t="shared" si="356"/>
        <v>496.49599999999998</v>
      </c>
      <c r="BR162" s="528">
        <f t="shared" si="357"/>
        <v>0.13914158293055612</v>
      </c>
      <c r="BS162" s="528">
        <f t="shared" si="358"/>
        <v>3.5332362954479751E-2</v>
      </c>
      <c r="BT162" s="528">
        <f t="shared" si="359"/>
        <v>5.9046533915901796E-5</v>
      </c>
      <c r="BU162" s="528">
        <f t="shared" si="360"/>
        <v>0.37136657822676</v>
      </c>
      <c r="BV162" s="528"/>
      <c r="BW162" s="625">
        <f t="shared" si="469"/>
        <v>0.52377941101574266</v>
      </c>
      <c r="BX162" s="460">
        <f t="shared" si="362"/>
        <v>1069.6789816614544</v>
      </c>
      <c r="BY162" s="173">
        <f t="shared" si="363"/>
        <v>2.1301978665405579</v>
      </c>
      <c r="BZ162" s="5">
        <f t="shared" si="364"/>
        <v>13.416</v>
      </c>
      <c r="CA162" s="173">
        <f t="shared" si="365"/>
        <v>0.86297627980631231</v>
      </c>
      <c r="CB162" s="5">
        <f t="shared" si="366"/>
        <v>86.297627980631233</v>
      </c>
      <c r="CC162">
        <f t="shared" si="367"/>
        <v>52</v>
      </c>
      <c r="CE162" s="562">
        <f t="shared" si="470"/>
        <v>-50</v>
      </c>
      <c r="CF162">
        <f t="shared" si="471"/>
        <v>-50</v>
      </c>
      <c r="CG162" s="173">
        <f t="shared" si="370"/>
        <v>0.34658417599272728</v>
      </c>
      <c r="CH162" s="173">
        <f t="shared" si="472"/>
        <v>9.446712174985028E-2</v>
      </c>
      <c r="CI162" s="170">
        <v>52</v>
      </c>
      <c r="CJ162" s="217">
        <f t="shared" si="438"/>
        <v>0.52</v>
      </c>
      <c r="CK162" s="217">
        <f t="shared" si="372"/>
        <v>5.2000000000000005E-2</v>
      </c>
      <c r="CL162" s="217">
        <f t="shared" si="373"/>
        <v>12.48</v>
      </c>
      <c r="CM162" s="217">
        <f t="shared" si="374"/>
        <v>0.93600000000000005</v>
      </c>
      <c r="CN162" s="541">
        <f t="shared" si="375"/>
        <v>9</v>
      </c>
      <c r="CO162" s="443">
        <f t="shared" si="473"/>
        <v>16.474900000000002</v>
      </c>
      <c r="CP162" s="443">
        <f t="shared" si="474"/>
        <v>25.474900000000002</v>
      </c>
      <c r="CQ162" s="443"/>
      <c r="CR162" s="217">
        <f t="shared" si="378"/>
        <v>0.64485133082098534</v>
      </c>
      <c r="CS162" s="172">
        <f t="shared" si="379"/>
        <v>29.993085154464438</v>
      </c>
      <c r="CT162" s="172">
        <f t="shared" si="380"/>
        <v>2.4181924905786953</v>
      </c>
      <c r="CU162" s="217">
        <f t="shared" si="381"/>
        <v>1.2497118814360182</v>
      </c>
      <c r="CV162" s="217">
        <f t="shared" si="382"/>
        <v>1.6662825085813577</v>
      </c>
      <c r="CW162" s="217">
        <f t="shared" si="383"/>
        <v>24</v>
      </c>
      <c r="CX162" s="217">
        <f t="shared" si="384"/>
        <v>4.623287866270946</v>
      </c>
      <c r="CY162" s="217">
        <f t="shared" si="385"/>
        <v>5.1369865180788299</v>
      </c>
      <c r="CZ162" s="217">
        <f t="shared" si="386"/>
        <v>2.8062615653332927</v>
      </c>
      <c r="DA162" s="197">
        <f t="shared" si="387"/>
        <v>261.91798593910079</v>
      </c>
      <c r="DB162" s="443">
        <f t="shared" si="388"/>
        <v>125.89308422687931</v>
      </c>
      <c r="DD162" s="217">
        <f t="shared" si="389"/>
        <v>2.2222222222222228</v>
      </c>
      <c r="DE162" s="173">
        <f t="shared" si="390"/>
        <v>1.3488532386977905</v>
      </c>
      <c r="DF162" s="173">
        <f t="shared" si="391"/>
        <v>0.24355939229558116</v>
      </c>
      <c r="DG162" s="173"/>
      <c r="DH162" s="173">
        <f t="shared" si="392"/>
        <v>1.3488532386977903</v>
      </c>
      <c r="DI162" s="545">
        <f t="shared" si="393"/>
        <v>520.18199999999979</v>
      </c>
      <c r="DJ162" s="528">
        <f t="shared" si="394"/>
        <v>0.26182634671774968</v>
      </c>
      <c r="DL162" s="173">
        <f t="shared" si="395"/>
        <v>2.7688058282020633</v>
      </c>
      <c r="DM162" s="173">
        <f t="shared" si="396"/>
        <v>4.623287866270946</v>
      </c>
      <c r="DN162" s="173">
        <f t="shared" si="397"/>
        <v>2.9785671437397951</v>
      </c>
      <c r="DP162" s="545">
        <f t="shared" si="398"/>
        <v>520</v>
      </c>
      <c r="DQ162" s="460">
        <f t="shared" si="399"/>
        <v>125.89308422687931</v>
      </c>
      <c r="DS162">
        <f t="shared" si="400"/>
        <v>520</v>
      </c>
      <c r="DT162">
        <f t="shared" si="401"/>
        <v>125.89308422687931</v>
      </c>
      <c r="DV162" s="5">
        <f t="shared" si="402"/>
        <v>7.9432480834121231</v>
      </c>
      <c r="DW162" s="5">
        <f t="shared" si="403"/>
        <v>5.1369865180788299</v>
      </c>
      <c r="DX162" s="5">
        <f t="shared" si="404"/>
        <v>2.8062615653332932</v>
      </c>
      <c r="DY162" s="173">
        <f t="shared" si="405"/>
        <v>0.64671107639284153</v>
      </c>
      <c r="EA162" s="5">
        <f t="shared" si="406"/>
        <v>11.130137455837465</v>
      </c>
      <c r="EB162" s="5">
        <f t="shared" si="407"/>
        <v>1.4840183274449954</v>
      </c>
      <c r="EC162" s="5">
        <f t="shared" si="408"/>
        <v>3.2427911421629161</v>
      </c>
      <c r="ED162" s="5"/>
      <c r="EE162" s="173">
        <f t="shared" si="409"/>
        <v>2.1465719878954594</v>
      </c>
      <c r="EF162" s="173">
        <f t="shared" si="410"/>
        <v>1.0582326399287754</v>
      </c>
      <c r="EG162" s="173">
        <f t="shared" si="411"/>
        <v>0.10596626840367872</v>
      </c>
      <c r="EH162" s="173"/>
      <c r="EI162" s="528">
        <f t="shared" si="412"/>
        <v>0.18431085196869859</v>
      </c>
      <c r="EJ162" s="528">
        <f t="shared" si="413"/>
        <v>0.40775377500000004</v>
      </c>
      <c r="EK162" s="528">
        <f t="shared" si="414"/>
        <v>2.517861684537586E-2</v>
      </c>
      <c r="EL162" s="528">
        <f t="shared" si="415"/>
        <v>1.4297657779179502E-2</v>
      </c>
      <c r="EM162">
        <f t="shared" si="416"/>
        <v>4.0499999999999998E-3</v>
      </c>
      <c r="EN162" s="460">
        <f t="shared" si="417"/>
        <v>29.228616845375857</v>
      </c>
      <c r="EP162" s="460">
        <f t="shared" si="439"/>
        <v>635.59090159325388</v>
      </c>
      <c r="EQ162" s="173">
        <f t="shared" si="418"/>
        <v>0.36399999999999999</v>
      </c>
      <c r="ER162" s="173">
        <f t="shared" si="475"/>
        <v>3.2240000000000005E-2</v>
      </c>
      <c r="ES162" s="528"/>
      <c r="EU162" s="460">
        <f t="shared" si="420"/>
        <v>396.24</v>
      </c>
      <c r="EV162" s="528">
        <f t="shared" si="421"/>
        <v>0.13823313897652392</v>
      </c>
      <c r="EW162" s="528">
        <f t="shared" si="422"/>
        <v>3.359568960631875E-2</v>
      </c>
      <c r="EX162" s="528">
        <f t="shared" si="423"/>
        <v>5.6144250197002388E-5</v>
      </c>
      <c r="EY162" s="528">
        <f t="shared" si="424"/>
        <v>0.40865049202349135</v>
      </c>
      <c r="EZ162" s="528"/>
      <c r="FA162" s="625">
        <f t="shared" si="425"/>
        <v>0.53818766504460847</v>
      </c>
      <c r="FB162" s="460">
        <f t="shared" si="426"/>
        <v>1118.7231299011396</v>
      </c>
      <c r="FC162" s="173">
        <f t="shared" si="427"/>
        <v>2.1505540314943934</v>
      </c>
      <c r="FD162" s="5">
        <f t="shared" si="428"/>
        <v>13.416</v>
      </c>
      <c r="FE162" s="173">
        <f t="shared" si="429"/>
        <v>0.86184777779697586</v>
      </c>
      <c r="FF162" s="5">
        <f t="shared" si="430"/>
        <v>86.184777779697583</v>
      </c>
      <c r="FG162">
        <f t="shared" si="431"/>
        <v>52</v>
      </c>
      <c r="FI162" s="562">
        <f t="shared" si="432"/>
        <v>-50</v>
      </c>
      <c r="FJ162">
        <f t="shared" si="433"/>
        <v>-50</v>
      </c>
    </row>
    <row r="163" spans="5:166">
      <c r="E163" s="170">
        <v>53</v>
      </c>
      <c r="F163" s="217">
        <f t="shared" si="476"/>
        <v>0.53</v>
      </c>
      <c r="G163" s="217">
        <f t="shared" si="444"/>
        <v>5.3000000000000005E-2</v>
      </c>
      <c r="H163" s="217">
        <f t="shared" si="445"/>
        <v>12.72</v>
      </c>
      <c r="I163" s="217">
        <f t="shared" si="446"/>
        <v>0.95400000000000007</v>
      </c>
      <c r="J163" s="541">
        <f t="shared" si="447"/>
        <v>8.7954128263720222</v>
      </c>
      <c r="K163" s="443">
        <f t="shared" si="448"/>
        <v>16.505499492806106</v>
      </c>
      <c r="L163" s="172">
        <f t="shared" si="449"/>
        <v>25.300912319178128</v>
      </c>
      <c r="M163" s="443"/>
      <c r="N163" s="217">
        <f t="shared" si="450"/>
        <v>0.65236775988883666</v>
      </c>
      <c r="O163" s="172">
        <f t="shared" si="451"/>
        <v>29.652939342831303</v>
      </c>
      <c r="P163" s="172">
        <f t="shared" si="452"/>
        <v>2.3907682345157739</v>
      </c>
      <c r="Q163" s="217">
        <f t="shared" si="322"/>
        <v>1.2355391392846375</v>
      </c>
      <c r="R163" s="217">
        <f t="shared" si="453"/>
        <v>1.6473855190461835</v>
      </c>
      <c r="S163" s="217">
        <f t="shared" si="454"/>
        <v>24</v>
      </c>
      <c r="T163" s="217">
        <f t="shared" si="455"/>
        <v>4.7662503773846332</v>
      </c>
      <c r="U163" s="217">
        <f t="shared" si="326"/>
        <v>5.4190183809150909</v>
      </c>
      <c r="V163" s="217">
        <f t="shared" si="327"/>
        <v>2.8876741230775811</v>
      </c>
      <c r="W163" s="197">
        <f t="shared" si="328"/>
        <v>258.20296932770356</v>
      </c>
      <c r="X163" s="443">
        <f t="shared" si="435"/>
        <v>117.55450188550293</v>
      </c>
      <c r="Z163" s="217">
        <f t="shared" si="329"/>
        <v>2.2222222222222223</v>
      </c>
      <c r="AA163" s="173">
        <f t="shared" si="330"/>
        <v>1.3463526039855835</v>
      </c>
      <c r="AB163" s="173">
        <f t="shared" si="456"/>
        <v>0.23965964253658503</v>
      </c>
      <c r="AC163" s="173"/>
      <c r="AD163" s="173">
        <f t="shared" si="332"/>
        <v>1.3463526039855835</v>
      </c>
      <c r="AE163" s="545">
        <f t="shared" si="457"/>
        <v>531.17023480222326</v>
      </c>
      <c r="AF163" s="528">
        <f t="shared" si="458"/>
        <v>0.25763411572682893</v>
      </c>
      <c r="AH163" s="173">
        <f t="shared" si="459"/>
        <v>2.7953021814670209</v>
      </c>
      <c r="AI163" s="173">
        <f t="shared" si="460"/>
        <v>4.7662503773846332</v>
      </c>
      <c r="AJ163" s="173">
        <f t="shared" si="461"/>
        <v>3.0844653001203044</v>
      </c>
      <c r="AL163" s="545">
        <f t="shared" si="462"/>
        <v>530</v>
      </c>
      <c r="AM163" s="460">
        <f t="shared" si="463"/>
        <v>117.55450188550293</v>
      </c>
      <c r="AO163">
        <f t="shared" si="340"/>
        <v>530</v>
      </c>
      <c r="AP163">
        <f t="shared" si="341"/>
        <v>117.55450188550293</v>
      </c>
      <c r="AR163" s="5">
        <f t="shared" si="443"/>
        <v>8.5066925039926709</v>
      </c>
      <c r="AS163" s="5">
        <f t="shared" si="440"/>
        <v>5.4190183809150909</v>
      </c>
      <c r="AT163" s="5">
        <f t="shared" si="441"/>
        <v>3.0876741230775799</v>
      </c>
      <c r="AU163" s="173">
        <f t="shared" si="442"/>
        <v>0.63703000647685804</v>
      </c>
      <c r="AW163" s="5">
        <f t="shared" si="342"/>
        <v>11.966998924520826</v>
      </c>
      <c r="AX163" s="5">
        <f t="shared" si="343"/>
        <v>1.5955998566027771</v>
      </c>
      <c r="AY163" s="5">
        <f t="shared" si="344"/>
        <v>3.7211835704274399</v>
      </c>
      <c r="AZ163" s="5"/>
      <c r="BA163" s="173">
        <f t="shared" si="345"/>
        <v>2.1963228007880207</v>
      </c>
      <c r="BB163" s="173">
        <f t="shared" si="346"/>
        <v>1.1058021272776553</v>
      </c>
      <c r="BC163" s="173">
        <f t="shared" si="347"/>
        <v>0.1107296454476679</v>
      </c>
      <c r="BD163" s="173"/>
      <c r="BE163" s="528">
        <f t="shared" si="348"/>
        <v>0.19295335381045342</v>
      </c>
      <c r="BF163" s="528">
        <f t="shared" si="464"/>
        <v>0.31895896833455695</v>
      </c>
      <c r="BG163" s="528">
        <f t="shared" si="465"/>
        <v>4.1357614947261062E-2</v>
      </c>
      <c r="BH163" s="528">
        <f t="shared" si="351"/>
        <v>1.3168905385894731E-2</v>
      </c>
      <c r="BI163">
        <f t="shared" si="352"/>
        <v>3.9579357718674095E-3</v>
      </c>
      <c r="BJ163" s="460">
        <f t="shared" si="436"/>
        <v>45.315550719128474</v>
      </c>
      <c r="BK163">
        <f t="shared" si="466"/>
        <v>0.60491122165647138</v>
      </c>
      <c r="BL163" s="460">
        <f t="shared" si="437"/>
        <v>570.39677825003366</v>
      </c>
      <c r="BM163" s="173">
        <f t="shared" si="467"/>
        <v>0.46004</v>
      </c>
      <c r="BN163" s="173">
        <f t="shared" si="468"/>
        <v>4.6004000000000003E-2</v>
      </c>
      <c r="BO163" s="528"/>
      <c r="BQ163" s="460">
        <f t="shared" si="356"/>
        <v>506.04400000000004</v>
      </c>
      <c r="BR163" s="528">
        <f t="shared" si="357"/>
        <v>0.14471501535784004</v>
      </c>
      <c r="BS163" s="528">
        <f t="shared" si="358"/>
        <v>3.6683950340753627E-2</v>
      </c>
      <c r="BT163" s="528">
        <f t="shared" si="359"/>
        <v>6.1305271904831207E-5</v>
      </c>
      <c r="BU163" s="528">
        <f t="shared" si="360"/>
        <v>0.37154404074560948</v>
      </c>
      <c r="BV163" s="528"/>
      <c r="BW163" s="625">
        <f t="shared" si="469"/>
        <v>0.53410047792974114</v>
      </c>
      <c r="BX163" s="460">
        <f t="shared" si="362"/>
        <v>1087.1047896458492</v>
      </c>
      <c r="BY163" s="173">
        <f t="shared" si="363"/>
        <v>2.1635455678958824</v>
      </c>
      <c r="BZ163" s="5">
        <f t="shared" si="364"/>
        <v>13.674000000000001</v>
      </c>
      <c r="CA163" s="173">
        <f t="shared" si="365"/>
        <v>0.86339135956258384</v>
      </c>
      <c r="CB163" s="5">
        <f t="shared" si="366"/>
        <v>86.339135956258389</v>
      </c>
      <c r="CC163">
        <f t="shared" si="367"/>
        <v>53</v>
      </c>
      <c r="CE163" s="562">
        <f t="shared" si="470"/>
        <v>-50</v>
      </c>
      <c r="CF163">
        <f t="shared" si="471"/>
        <v>-50</v>
      </c>
      <c r="CG163" s="173">
        <f t="shared" si="370"/>
        <v>0.34658417599272739</v>
      </c>
      <c r="CH163" s="173">
        <f t="shared" si="472"/>
        <v>9.446712174985028E-2</v>
      </c>
      <c r="CI163" s="170">
        <v>53</v>
      </c>
      <c r="CJ163" s="217">
        <f t="shared" si="438"/>
        <v>0.53</v>
      </c>
      <c r="CK163" s="217">
        <f t="shared" si="372"/>
        <v>5.3000000000000005E-2</v>
      </c>
      <c r="CL163" s="217">
        <f t="shared" si="373"/>
        <v>12.72</v>
      </c>
      <c r="CM163" s="217">
        <f t="shared" si="374"/>
        <v>0.95400000000000007</v>
      </c>
      <c r="CN163" s="541">
        <f t="shared" si="375"/>
        <v>9</v>
      </c>
      <c r="CO163" s="443">
        <f t="shared" si="473"/>
        <v>16.474900000000002</v>
      </c>
      <c r="CP163" s="443">
        <f t="shared" si="474"/>
        <v>25.474900000000002</v>
      </c>
      <c r="CQ163" s="443"/>
      <c r="CR163" s="217">
        <f t="shared" si="378"/>
        <v>0.64485133082098534</v>
      </c>
      <c r="CS163" s="172">
        <f t="shared" si="379"/>
        <v>29.993085154464438</v>
      </c>
      <c r="CT163" s="172">
        <f t="shared" si="380"/>
        <v>2.4181924905786953</v>
      </c>
      <c r="CU163" s="217">
        <f t="shared" si="381"/>
        <v>1.2497118814360182</v>
      </c>
      <c r="CV163" s="217">
        <f t="shared" si="382"/>
        <v>1.6662825085813577</v>
      </c>
      <c r="CW163" s="217">
        <f t="shared" si="383"/>
        <v>24</v>
      </c>
      <c r="CX163" s="217">
        <f t="shared" si="384"/>
        <v>4.7121972483146184</v>
      </c>
      <c r="CY163" s="217">
        <f t="shared" si="385"/>
        <v>5.2357747203495757</v>
      </c>
      <c r="CZ163" s="217">
        <f t="shared" si="386"/>
        <v>2.8602281338973947</v>
      </c>
      <c r="DA163" s="197">
        <f t="shared" si="387"/>
        <v>261.91798593910079</v>
      </c>
      <c r="DB163" s="443">
        <f t="shared" si="388"/>
        <v>123.51774301505141</v>
      </c>
      <c r="DD163" s="217">
        <f t="shared" si="389"/>
        <v>2.2222222222222228</v>
      </c>
      <c r="DE163" s="173">
        <f t="shared" si="390"/>
        <v>1.3488532386977905</v>
      </c>
      <c r="DF163" s="173">
        <f t="shared" si="391"/>
        <v>0.24355939229558116</v>
      </c>
      <c r="DG163" s="173"/>
      <c r="DH163" s="173">
        <f t="shared" si="392"/>
        <v>1.3488532386977903</v>
      </c>
      <c r="DI163" s="545">
        <f t="shared" si="393"/>
        <v>530.18549999999993</v>
      </c>
      <c r="DJ163" s="528">
        <f t="shared" si="394"/>
        <v>0.26182634671774968</v>
      </c>
      <c r="DL163" s="173">
        <f t="shared" si="395"/>
        <v>2.7953021814670209</v>
      </c>
      <c r="DM163" s="173">
        <f t="shared" si="396"/>
        <v>4.7121972483146184</v>
      </c>
      <c r="DN163" s="173">
        <f t="shared" si="397"/>
        <v>3.0444259452536269</v>
      </c>
      <c r="DP163" s="545">
        <f t="shared" si="398"/>
        <v>530</v>
      </c>
      <c r="DQ163" s="460">
        <f t="shared" si="399"/>
        <v>123.51774301505141</v>
      </c>
      <c r="DS163">
        <f t="shared" si="400"/>
        <v>530</v>
      </c>
      <c r="DT163">
        <f t="shared" si="401"/>
        <v>123.51774301505141</v>
      </c>
      <c r="DV163" s="5">
        <f t="shared" si="402"/>
        <v>8.0960028542469704</v>
      </c>
      <c r="DW163" s="5">
        <f t="shared" si="403"/>
        <v>5.2357747203495757</v>
      </c>
      <c r="DX163" s="5">
        <f t="shared" si="404"/>
        <v>2.8602281338973947</v>
      </c>
      <c r="DY163" s="173">
        <f t="shared" si="405"/>
        <v>0.64671107639284153</v>
      </c>
      <c r="EA163" s="5">
        <f t="shared" si="406"/>
        <v>11.562335840771979</v>
      </c>
      <c r="EB163" s="5">
        <f t="shared" si="407"/>
        <v>1.5416447787695973</v>
      </c>
      <c r="EC163" s="5">
        <f t="shared" si="408"/>
        <v>3.3687131354791537</v>
      </c>
      <c r="ED163" s="5"/>
      <c r="EE163" s="173">
        <f t="shared" si="409"/>
        <v>2.1878522184319107</v>
      </c>
      <c r="EF163" s="173">
        <f t="shared" si="410"/>
        <v>1.0785832676197136</v>
      </c>
      <c r="EG163" s="173">
        <f t="shared" si="411"/>
        <v>0.10800408125759563</v>
      </c>
      <c r="EH163" s="173"/>
      <c r="EI163" s="528">
        <f t="shared" si="412"/>
        <v>0.19146789318789734</v>
      </c>
      <c r="EJ163" s="528">
        <f t="shared" si="413"/>
        <v>0.40775377500000004</v>
      </c>
      <c r="EK163" s="528">
        <f t="shared" si="414"/>
        <v>2.4703548603010279E-2</v>
      </c>
      <c r="EL163" s="528">
        <f t="shared" si="415"/>
        <v>1.4027890651270455E-2</v>
      </c>
      <c r="EM163">
        <f t="shared" si="416"/>
        <v>4.0499999999999998E-3</v>
      </c>
      <c r="EN163" s="460">
        <f t="shared" si="417"/>
        <v>28.753548603010277</v>
      </c>
      <c r="EP163" s="460">
        <f t="shared" si="439"/>
        <v>642.00310744217802</v>
      </c>
      <c r="EQ163" s="173">
        <f t="shared" si="418"/>
        <v>0.371</v>
      </c>
      <c r="ER163" s="173">
        <f t="shared" si="475"/>
        <v>3.286E-2</v>
      </c>
      <c r="ES163" s="528"/>
      <c r="EU163" s="460">
        <f t="shared" si="420"/>
        <v>403.86</v>
      </c>
      <c r="EV163" s="528">
        <f t="shared" si="421"/>
        <v>0.143600919890923</v>
      </c>
      <c r="EW163" s="528">
        <f t="shared" si="422"/>
        <v>3.4900255955676557E-2</v>
      </c>
      <c r="EX163" s="528">
        <f t="shared" si="423"/>
        <v>5.8324407841486595E-5</v>
      </c>
      <c r="EY163" s="528">
        <f t="shared" si="424"/>
        <v>0.40865049202349168</v>
      </c>
      <c r="EZ163" s="528"/>
      <c r="FA163" s="625">
        <f t="shared" si="425"/>
        <v>0.548537427833928</v>
      </c>
      <c r="FB163" s="460">
        <f t="shared" si="426"/>
        <v>1135.7474201118607</v>
      </c>
      <c r="FC163" s="173">
        <f t="shared" si="427"/>
        <v>2.1816105275540387</v>
      </c>
      <c r="FD163" s="5">
        <f t="shared" si="428"/>
        <v>13.674000000000001</v>
      </c>
      <c r="FE163" s="173">
        <f t="shared" si="429"/>
        <v>0.86240766170669914</v>
      </c>
      <c r="FF163" s="5">
        <f t="shared" si="430"/>
        <v>86.240766170669914</v>
      </c>
      <c r="FG163">
        <f t="shared" si="431"/>
        <v>53</v>
      </c>
      <c r="FI163" s="562">
        <f t="shared" si="432"/>
        <v>-50</v>
      </c>
      <c r="FJ163">
        <f t="shared" si="433"/>
        <v>-50</v>
      </c>
    </row>
    <row r="164" spans="5:166">
      <c r="E164" s="170">
        <v>54</v>
      </c>
      <c r="F164" s="217">
        <f t="shared" si="476"/>
        <v>0.54</v>
      </c>
      <c r="G164" s="217">
        <f t="shared" si="444"/>
        <v>5.4000000000000006E-2</v>
      </c>
      <c r="H164" s="217">
        <f t="shared" si="445"/>
        <v>12.96</v>
      </c>
      <c r="I164" s="217">
        <f t="shared" si="446"/>
        <v>0.97200000000000009</v>
      </c>
      <c r="J164" s="541">
        <f t="shared" si="447"/>
        <v>8.7915526910205521</v>
      </c>
      <c r="K164" s="443">
        <f t="shared" si="448"/>
        <v>16.506076841726976</v>
      </c>
      <c r="L164" s="172">
        <f t="shared" si="449"/>
        <v>25.297629532747528</v>
      </c>
      <c r="M164" s="443"/>
      <c r="N164" s="217">
        <f t="shared" si="450"/>
        <v>0.6524752376644628</v>
      </c>
      <c r="O164" s="172">
        <f t="shared" si="451"/>
        <v>29.644808431593187</v>
      </c>
      <c r="P164" s="172">
        <f t="shared" si="452"/>
        <v>2.390112679797201</v>
      </c>
      <c r="Q164" s="217">
        <f t="shared" si="322"/>
        <v>1.2352003513163827</v>
      </c>
      <c r="R164" s="217">
        <f t="shared" si="453"/>
        <v>1.6469338017551771</v>
      </c>
      <c r="S164" s="217">
        <f t="shared" si="454"/>
        <v>24</v>
      </c>
      <c r="T164" s="217">
        <f t="shared" si="455"/>
        <v>4.8575115717912931</v>
      </c>
      <c r="U164" s="217">
        <f t="shared" si="326"/>
        <v>5.5252032746759525</v>
      </c>
      <c r="V164" s="217">
        <f t="shared" si="327"/>
        <v>2.9428625701727125</v>
      </c>
      <c r="W164" s="197">
        <f t="shared" si="328"/>
        <v>258.13216941809765</v>
      </c>
      <c r="X164" s="443">
        <f t="shared" si="435"/>
        <v>115.36599027962956</v>
      </c>
      <c r="Z164" s="217">
        <f t="shared" si="329"/>
        <v>2.2222222222222223</v>
      </c>
      <c r="AA164" s="173">
        <f t="shared" si="330"/>
        <v>1.3463055113159881</v>
      </c>
      <c r="AB164" s="173">
        <f t="shared" si="456"/>
        <v>0.23958554674708357</v>
      </c>
      <c r="AC164" s="173"/>
      <c r="AD164" s="173">
        <f t="shared" si="332"/>
        <v>1.3463055113159881</v>
      </c>
      <c r="AE164" s="545">
        <f t="shared" si="457"/>
        <v>541.21124517026828</v>
      </c>
      <c r="AF164" s="528">
        <f t="shared" si="458"/>
        <v>0.25755446275311483</v>
      </c>
      <c r="AH164" s="173">
        <f t="shared" si="459"/>
        <v>2.8215497261510127</v>
      </c>
      <c r="AI164" s="173">
        <f t="shared" si="460"/>
        <v>4.8575115717912931</v>
      </c>
      <c r="AJ164" s="173">
        <f t="shared" si="461"/>
        <v>3.1520661848659781</v>
      </c>
      <c r="AL164" s="545">
        <f t="shared" si="462"/>
        <v>540</v>
      </c>
      <c r="AM164" s="460">
        <f t="shared" si="463"/>
        <v>115.36599027962956</v>
      </c>
      <c r="AO164">
        <f t="shared" si="340"/>
        <v>540</v>
      </c>
      <c r="AP164">
        <f t="shared" si="341"/>
        <v>115.36599027962956</v>
      </c>
      <c r="AR164" s="5">
        <f t="shared" si="443"/>
        <v>8.6680658448486643</v>
      </c>
      <c r="AS164" s="5">
        <f t="shared" si="440"/>
        <v>5.5252032746759525</v>
      </c>
      <c r="AT164" s="5">
        <f t="shared" si="441"/>
        <v>3.1428625701727118</v>
      </c>
      <c r="AU164" s="173">
        <f t="shared" si="442"/>
        <v>0.63742054727924335</v>
      </c>
      <c r="AW164" s="5">
        <f t="shared" si="342"/>
        <v>12.431707368020895</v>
      </c>
      <c r="AX164" s="5">
        <f t="shared" si="343"/>
        <v>1.6575609824027859</v>
      </c>
      <c r="AY164" s="5">
        <f t="shared" si="344"/>
        <v>3.8608556361760349</v>
      </c>
      <c r="AZ164" s="5"/>
      <c r="BA164" s="173">
        <f t="shared" si="345"/>
        <v>2.2390626522400914</v>
      </c>
      <c r="BB164" s="173">
        <f t="shared" si="346"/>
        <v>1.1263688850992815</v>
      </c>
      <c r="BC164" s="173">
        <f t="shared" si="347"/>
        <v>0.11278910052142802</v>
      </c>
      <c r="BD164" s="173"/>
      <c r="BE164" s="528">
        <f t="shared" si="348"/>
        <v>0.20053606242625729</v>
      </c>
      <c r="BF164" s="528">
        <f t="shared" si="464"/>
        <v>0.31897304818154659</v>
      </c>
      <c r="BG164" s="528">
        <f t="shared" si="465"/>
        <v>4.0569847291805121E-2</v>
      </c>
      <c r="BH164" s="528">
        <f t="shared" si="351"/>
        <v>1.2920386450730726E-2</v>
      </c>
      <c r="BI164">
        <f t="shared" si="352"/>
        <v>3.9561987109592483E-3</v>
      </c>
      <c r="BJ164" s="460">
        <f t="shared" si="436"/>
        <v>44.526046002764375</v>
      </c>
      <c r="BK164">
        <f t="shared" si="466"/>
        <v>0.61592126116998758</v>
      </c>
      <c r="BL164" s="460">
        <f t="shared" si="437"/>
        <v>576.95554306129895</v>
      </c>
      <c r="BM164" s="173">
        <f t="shared" si="467"/>
        <v>0.46872000000000003</v>
      </c>
      <c r="BN164" s="173">
        <f t="shared" si="468"/>
        <v>4.6871999999999997E-2</v>
      </c>
      <c r="BO164" s="528"/>
      <c r="BQ164" s="460">
        <f t="shared" si="356"/>
        <v>515.5920000000001</v>
      </c>
      <c r="BR164" s="528">
        <f t="shared" si="357"/>
        <v>0.15040204681969296</v>
      </c>
      <c r="BS164" s="528">
        <f t="shared" si="358"/>
        <v>3.8061205959593947E-2</v>
      </c>
      <c r="BT164" s="528">
        <f t="shared" si="359"/>
        <v>6.3606905982163965E-5</v>
      </c>
      <c r="BU164" s="528">
        <f t="shared" si="360"/>
        <v>0.37170560491245147</v>
      </c>
      <c r="BV164" s="528"/>
      <c r="BW164" s="625">
        <f t="shared" si="469"/>
        <v>0.54442176818739374</v>
      </c>
      <c r="BX164" s="460">
        <f t="shared" si="362"/>
        <v>1104.6542327851143</v>
      </c>
      <c r="BY164" s="173">
        <f t="shared" si="363"/>
        <v>2.1972017758464131</v>
      </c>
      <c r="BZ164" s="5">
        <f t="shared" si="364"/>
        <v>13.932</v>
      </c>
      <c r="CA164" s="173">
        <f t="shared" si="365"/>
        <v>0.86377492163705594</v>
      </c>
      <c r="CB164" s="5">
        <f t="shared" si="366"/>
        <v>86.377492163705597</v>
      </c>
      <c r="CC164">
        <f t="shared" si="367"/>
        <v>54</v>
      </c>
      <c r="CE164" s="562">
        <f t="shared" si="470"/>
        <v>-50</v>
      </c>
      <c r="CF164">
        <f t="shared" si="471"/>
        <v>-50</v>
      </c>
      <c r="CG164" s="173">
        <f t="shared" si="370"/>
        <v>0.34658417599272739</v>
      </c>
      <c r="CH164" s="173">
        <f t="shared" si="472"/>
        <v>9.446712174985028E-2</v>
      </c>
      <c r="CI164" s="170">
        <v>54</v>
      </c>
      <c r="CJ164" s="217">
        <f t="shared" si="438"/>
        <v>0.54</v>
      </c>
      <c r="CK164" s="217">
        <f t="shared" si="372"/>
        <v>5.4000000000000006E-2</v>
      </c>
      <c r="CL164" s="217">
        <f t="shared" si="373"/>
        <v>12.96</v>
      </c>
      <c r="CM164" s="217">
        <f t="shared" si="374"/>
        <v>0.97200000000000009</v>
      </c>
      <c r="CN164" s="541">
        <f t="shared" si="375"/>
        <v>9</v>
      </c>
      <c r="CO164" s="443">
        <f t="shared" si="473"/>
        <v>16.474900000000002</v>
      </c>
      <c r="CP164" s="443">
        <f t="shared" si="474"/>
        <v>25.474900000000002</v>
      </c>
      <c r="CQ164" s="443"/>
      <c r="CR164" s="217">
        <f t="shared" si="378"/>
        <v>0.64485133082098534</v>
      </c>
      <c r="CS164" s="172">
        <f t="shared" si="379"/>
        <v>29.993085154464438</v>
      </c>
      <c r="CT164" s="172">
        <f t="shared" si="380"/>
        <v>2.4181924905786953</v>
      </c>
      <c r="CU164" s="217">
        <f t="shared" si="381"/>
        <v>1.2497118814360182</v>
      </c>
      <c r="CV164" s="217">
        <f t="shared" si="382"/>
        <v>1.6662825085813577</v>
      </c>
      <c r="CW164" s="217">
        <f t="shared" si="383"/>
        <v>24</v>
      </c>
      <c r="CX164" s="217">
        <f t="shared" si="384"/>
        <v>4.8011066303582899</v>
      </c>
      <c r="CY164" s="217">
        <f t="shared" si="385"/>
        <v>5.3345629226203224</v>
      </c>
      <c r="CZ164" s="217">
        <f t="shared" si="386"/>
        <v>2.9141947024614958</v>
      </c>
      <c r="DA164" s="197">
        <f t="shared" si="387"/>
        <v>261.91798593910079</v>
      </c>
      <c r="DB164" s="443">
        <f t="shared" si="388"/>
        <v>121.23037740366158</v>
      </c>
      <c r="DD164" s="217">
        <f t="shared" si="389"/>
        <v>2.2222222222222228</v>
      </c>
      <c r="DE164" s="173">
        <f t="shared" si="390"/>
        <v>1.3488532386977905</v>
      </c>
      <c r="DF164" s="173">
        <f t="shared" si="391"/>
        <v>0.24355939229558116</v>
      </c>
      <c r="DG164" s="173"/>
      <c r="DH164" s="173">
        <f t="shared" si="392"/>
        <v>1.3488532386977903</v>
      </c>
      <c r="DI164" s="545">
        <f t="shared" si="393"/>
        <v>540.18899999999985</v>
      </c>
      <c r="DJ164" s="528">
        <f t="shared" si="394"/>
        <v>0.26182634671774968</v>
      </c>
      <c r="DL164" s="173">
        <f t="shared" si="395"/>
        <v>2.8215497261510127</v>
      </c>
      <c r="DM164" s="173">
        <f t="shared" si="396"/>
        <v>4.8011066303582899</v>
      </c>
      <c r="DN164" s="173">
        <f t="shared" si="397"/>
        <v>3.1102847467674573</v>
      </c>
      <c r="DP164" s="545">
        <f t="shared" si="398"/>
        <v>540</v>
      </c>
      <c r="DQ164" s="460">
        <f t="shared" si="399"/>
        <v>121.23037740366158</v>
      </c>
      <c r="DS164">
        <f t="shared" si="400"/>
        <v>540</v>
      </c>
      <c r="DT164">
        <f t="shared" si="401"/>
        <v>121.23037740366158</v>
      </c>
      <c r="DV164" s="5">
        <f t="shared" si="402"/>
        <v>8.2487576250818186</v>
      </c>
      <c r="DW164" s="5">
        <f t="shared" si="403"/>
        <v>5.3345629226203224</v>
      </c>
      <c r="DX164" s="5">
        <f t="shared" si="404"/>
        <v>2.9141947024614963</v>
      </c>
      <c r="DY164" s="173">
        <f t="shared" si="405"/>
        <v>0.64671107639284153</v>
      </c>
      <c r="EA164" s="5">
        <f t="shared" si="406"/>
        <v>12.002766575895725</v>
      </c>
      <c r="EB164" s="5">
        <f t="shared" si="407"/>
        <v>1.6003688767860969</v>
      </c>
      <c r="EC164" s="5">
        <f t="shared" si="408"/>
        <v>3.4970336429537956</v>
      </c>
      <c r="ED164" s="5"/>
      <c r="EE164" s="173">
        <f t="shared" si="409"/>
        <v>2.2291324489683615</v>
      </c>
      <c r="EF164" s="173">
        <f t="shared" si="410"/>
        <v>1.0989338953106513</v>
      </c>
      <c r="EG164" s="173">
        <f t="shared" si="411"/>
        <v>0.11004189411151252</v>
      </c>
      <c r="EH164" s="173"/>
      <c r="EI164" s="528">
        <f t="shared" si="412"/>
        <v>0.19876125900174738</v>
      </c>
      <c r="EJ164" s="528">
        <f t="shared" si="413"/>
        <v>0.40775377500000004</v>
      </c>
      <c r="EK164" s="528">
        <f t="shared" si="414"/>
        <v>2.4246075480732317E-2</v>
      </c>
      <c r="EL164" s="528">
        <f t="shared" si="415"/>
        <v>1.3768114898469151E-2</v>
      </c>
      <c r="EM164">
        <f t="shared" si="416"/>
        <v>4.0499999999999998E-3</v>
      </c>
      <c r="EN164" s="460">
        <f t="shared" si="417"/>
        <v>28.29607548073232</v>
      </c>
      <c r="EP164" s="460">
        <f t="shared" si="439"/>
        <v>648.57922438094897</v>
      </c>
      <c r="EQ164" s="173">
        <f t="shared" si="418"/>
        <v>0.378</v>
      </c>
      <c r="ER164" s="173">
        <f t="shared" si="475"/>
        <v>3.3480000000000003E-2</v>
      </c>
      <c r="ES164" s="528"/>
      <c r="EU164" s="460">
        <f t="shared" si="420"/>
        <v>411.48</v>
      </c>
      <c r="EV164" s="528">
        <f t="shared" si="421"/>
        <v>0.14907094425131054</v>
      </c>
      <c r="EW164" s="528">
        <f t="shared" si="422"/>
        <v>3.6229671187879245E-2</v>
      </c>
      <c r="EX164" s="528">
        <f t="shared" si="423"/>
        <v>6.0546092298246668E-5</v>
      </c>
      <c r="EY164" s="528">
        <f t="shared" si="424"/>
        <v>0.40865049202349185</v>
      </c>
      <c r="EZ164" s="528"/>
      <c r="FA164" s="625">
        <f t="shared" si="425"/>
        <v>0.55888719062324732</v>
      </c>
      <c r="FB164" s="460">
        <f t="shared" si="426"/>
        <v>1152.8988441782274</v>
      </c>
      <c r="FC164" s="173">
        <f t="shared" si="427"/>
        <v>2.2129580685591761</v>
      </c>
      <c r="FD164" s="5">
        <f t="shared" si="428"/>
        <v>13.932</v>
      </c>
      <c r="FE164" s="173">
        <f t="shared" si="429"/>
        <v>0.86293194078535829</v>
      </c>
      <c r="FF164" s="5">
        <f t="shared" si="430"/>
        <v>86.293194078535834</v>
      </c>
      <c r="FG164">
        <f t="shared" si="431"/>
        <v>54</v>
      </c>
      <c r="FI164" s="562">
        <f t="shared" si="432"/>
        <v>-50</v>
      </c>
      <c r="FJ164">
        <f t="shared" si="433"/>
        <v>-50</v>
      </c>
    </row>
    <row r="165" spans="5:166">
      <c r="E165" s="170">
        <v>55</v>
      </c>
      <c r="F165" s="217">
        <f t="shared" si="476"/>
        <v>0.55000000000000004</v>
      </c>
      <c r="G165" s="217">
        <f t="shared" si="444"/>
        <v>5.5000000000000007E-2</v>
      </c>
      <c r="H165" s="217">
        <f t="shared" si="445"/>
        <v>13.200000000000001</v>
      </c>
      <c r="I165" s="217">
        <f t="shared" si="446"/>
        <v>0.9900000000000001</v>
      </c>
      <c r="J165" s="541">
        <f t="shared" si="447"/>
        <v>8.7876925556690804</v>
      </c>
      <c r="K165" s="443">
        <f t="shared" si="448"/>
        <v>16.506654190647847</v>
      </c>
      <c r="L165" s="172">
        <f t="shared" si="449"/>
        <v>25.294346746316926</v>
      </c>
      <c r="M165" s="443"/>
      <c r="N165" s="217">
        <f t="shared" si="450"/>
        <v>0.65258274333775224</v>
      </c>
      <c r="O165" s="172">
        <f t="shared" si="451"/>
        <v>29.636674499159021</v>
      </c>
      <c r="P165" s="172">
        <f t="shared" si="452"/>
        <v>2.3894568814946959</v>
      </c>
      <c r="Q165" s="217">
        <f t="shared" si="322"/>
        <v>1.2348614374649591</v>
      </c>
      <c r="R165" s="217">
        <f t="shared" si="453"/>
        <v>1.6464819166199456</v>
      </c>
      <c r="S165" s="217">
        <f t="shared" si="454"/>
        <v>24</v>
      </c>
      <c r="T165" s="217">
        <f t="shared" si="455"/>
        <v>4.9488233462505562</v>
      </c>
      <c r="U165" s="217">
        <f t="shared" si="326"/>
        <v>5.6315390131144172</v>
      </c>
      <c r="V165" s="217">
        <f t="shared" si="327"/>
        <v>2.9980777988639304</v>
      </c>
      <c r="W165" s="197">
        <f t="shared" si="328"/>
        <v>258.06134320142718</v>
      </c>
      <c r="X165" s="443">
        <f t="shared" si="435"/>
        <v>113.25519796548701</v>
      </c>
      <c r="Z165" s="217">
        <f t="shared" si="329"/>
        <v>2.2222222222222223</v>
      </c>
      <c r="AA165" s="173">
        <f t="shared" si="330"/>
        <v>1.3462584219406888</v>
      </c>
      <c r="AB165" s="173">
        <f t="shared" si="456"/>
        <v>0.23951143172477454</v>
      </c>
      <c r="AC165" s="173"/>
      <c r="AD165" s="173">
        <f t="shared" si="332"/>
        <v>1.3462584219406888</v>
      </c>
      <c r="AE165" s="545">
        <f t="shared" si="457"/>
        <v>551.25295666668774</v>
      </c>
      <c r="AF165" s="528">
        <f t="shared" si="458"/>
        <v>0.25747478910413263</v>
      </c>
      <c r="AH165" s="173">
        <f t="shared" si="459"/>
        <v>2.8475553424949318</v>
      </c>
      <c r="AI165" s="173">
        <f t="shared" si="460"/>
        <v>4.9488233462505562</v>
      </c>
      <c r="AJ165" s="173">
        <f t="shared" si="461"/>
        <v>3.219704536317284</v>
      </c>
      <c r="AL165" s="545">
        <f t="shared" si="462"/>
        <v>550</v>
      </c>
      <c r="AM165" s="460">
        <f t="shared" si="463"/>
        <v>113.25519796548701</v>
      </c>
      <c r="AO165">
        <f t="shared" si="340"/>
        <v>550</v>
      </c>
      <c r="AP165">
        <f t="shared" si="341"/>
        <v>113.25519796548701</v>
      </c>
      <c r="AR165" s="5">
        <f t="shared" si="443"/>
        <v>8.8296168119783474</v>
      </c>
      <c r="AS165" s="5">
        <f t="shared" si="440"/>
        <v>5.6315390131144172</v>
      </c>
      <c r="AT165" s="5">
        <f t="shared" si="441"/>
        <v>3.1980777988639302</v>
      </c>
      <c r="AU165" s="173">
        <f t="shared" si="442"/>
        <v>0.63780106578063667</v>
      </c>
      <c r="AW165" s="5">
        <f t="shared" si="342"/>
        <v>12.905610238387208</v>
      </c>
      <c r="AX165" s="5">
        <f t="shared" si="343"/>
        <v>1.7207480317849613</v>
      </c>
      <c r="AY165" s="5">
        <f t="shared" si="344"/>
        <v>4.0031960113134355</v>
      </c>
      <c r="AZ165" s="5"/>
      <c r="BA165" s="173">
        <f t="shared" si="345"/>
        <v>2.2818334612237905</v>
      </c>
      <c r="BB165" s="173">
        <f t="shared" si="346"/>
        <v>1.1469401131597907</v>
      </c>
      <c r="BC165" s="173">
        <f t="shared" si="347"/>
        <v>0.11484900322316281</v>
      </c>
      <c r="BD165" s="173"/>
      <c r="BE165" s="528">
        <f t="shared" si="348"/>
        <v>0.20827055779042178</v>
      </c>
      <c r="BF165" s="528">
        <f t="shared" si="464"/>
        <v>0.31898192960894395</v>
      </c>
      <c r="BG165" s="528">
        <f t="shared" si="465"/>
        <v>3.9810074402085532E-2</v>
      </c>
      <c r="BH165" s="528">
        <f t="shared" si="351"/>
        <v>1.2680697069392196E-2</v>
      </c>
      <c r="BI165">
        <f t="shared" si="352"/>
        <v>3.9544616500510861E-3</v>
      </c>
      <c r="BJ165" s="460">
        <f t="shared" si="436"/>
        <v>43.76453605213662</v>
      </c>
      <c r="BK165">
        <f t="shared" si="466"/>
        <v>0.62720345085591422</v>
      </c>
      <c r="BL165" s="460">
        <f t="shared" si="437"/>
        <v>583.69772052089456</v>
      </c>
      <c r="BM165" s="173">
        <f t="shared" si="467"/>
        <v>0.47739999999999999</v>
      </c>
      <c r="BN165" s="173">
        <f t="shared" si="468"/>
        <v>4.7739999999999998E-2</v>
      </c>
      <c r="BO165" s="528"/>
      <c r="BQ165" s="460">
        <f t="shared" si="356"/>
        <v>525.14</v>
      </c>
      <c r="BR165" s="528">
        <f t="shared" si="357"/>
        <v>0.15620291834281633</v>
      </c>
      <c r="BS165" s="528">
        <f t="shared" si="358"/>
        <v>3.94641486952498E-2</v>
      </c>
      <c r="BT165" s="528">
        <f t="shared" si="359"/>
        <v>6.5951467706770319E-5</v>
      </c>
      <c r="BU165" s="528">
        <f t="shared" si="360"/>
        <v>0.37185210289310888</v>
      </c>
      <c r="BV165" s="528"/>
      <c r="BW165" s="625">
        <f t="shared" si="469"/>
        <v>0.5547432699269581</v>
      </c>
      <c r="BX165" s="460">
        <f t="shared" si="362"/>
        <v>1122.3283913258399</v>
      </c>
      <c r="BY165" s="173">
        <f t="shared" si="363"/>
        <v>2.2311661118467345</v>
      </c>
      <c r="BZ165" s="5">
        <f t="shared" si="364"/>
        <v>14.190000000000001</v>
      </c>
      <c r="CA165" s="173">
        <f t="shared" si="365"/>
        <v>0.86412864368766695</v>
      </c>
      <c r="CB165" s="5">
        <f t="shared" si="366"/>
        <v>86.412864368766691</v>
      </c>
      <c r="CC165">
        <f t="shared" si="367"/>
        <v>55.000000000000007</v>
      </c>
      <c r="CE165" s="562">
        <f t="shared" si="470"/>
        <v>-50</v>
      </c>
      <c r="CF165">
        <f t="shared" si="471"/>
        <v>-50</v>
      </c>
      <c r="CG165" s="173">
        <f t="shared" si="370"/>
        <v>0.34658417599272739</v>
      </c>
      <c r="CH165" s="173">
        <f t="shared" si="472"/>
        <v>9.446712174985028E-2</v>
      </c>
      <c r="CI165" s="170">
        <v>55</v>
      </c>
      <c r="CJ165" s="217">
        <f t="shared" si="438"/>
        <v>0.55000000000000004</v>
      </c>
      <c r="CK165" s="217">
        <f t="shared" si="372"/>
        <v>5.5000000000000007E-2</v>
      </c>
      <c r="CL165" s="217">
        <f t="shared" si="373"/>
        <v>13.200000000000001</v>
      </c>
      <c r="CM165" s="217">
        <f t="shared" si="374"/>
        <v>0.9900000000000001</v>
      </c>
      <c r="CN165" s="541">
        <f t="shared" si="375"/>
        <v>9</v>
      </c>
      <c r="CO165" s="443">
        <f t="shared" si="473"/>
        <v>16.474900000000002</v>
      </c>
      <c r="CP165" s="443">
        <f t="shared" si="474"/>
        <v>25.474900000000002</v>
      </c>
      <c r="CQ165" s="443"/>
      <c r="CR165" s="217">
        <f t="shared" si="378"/>
        <v>0.64485133082098534</v>
      </c>
      <c r="CS165" s="172">
        <f t="shared" si="379"/>
        <v>29.993085154464438</v>
      </c>
      <c r="CT165" s="172">
        <f t="shared" si="380"/>
        <v>2.4181924905786953</v>
      </c>
      <c r="CU165" s="217">
        <f t="shared" si="381"/>
        <v>1.2497118814360182</v>
      </c>
      <c r="CV165" s="217">
        <f t="shared" si="382"/>
        <v>1.6662825085813577</v>
      </c>
      <c r="CW165" s="217">
        <f t="shared" si="383"/>
        <v>24</v>
      </c>
      <c r="CX165" s="217">
        <f t="shared" si="384"/>
        <v>4.8900160124019623</v>
      </c>
      <c r="CY165" s="217">
        <f t="shared" si="385"/>
        <v>5.4333511248910691</v>
      </c>
      <c r="CZ165" s="217">
        <f t="shared" si="386"/>
        <v>2.9681612710255978</v>
      </c>
      <c r="DA165" s="197">
        <f t="shared" si="387"/>
        <v>261.91798593910079</v>
      </c>
      <c r="DB165" s="443">
        <f t="shared" si="388"/>
        <v>119.02618872359501</v>
      </c>
      <c r="DD165" s="217">
        <f t="shared" si="389"/>
        <v>2.2222222222222228</v>
      </c>
      <c r="DE165" s="173">
        <f t="shared" si="390"/>
        <v>1.3488532386977905</v>
      </c>
      <c r="DF165" s="173">
        <f t="shared" si="391"/>
        <v>0.24355939229558116</v>
      </c>
      <c r="DG165" s="173"/>
      <c r="DH165" s="173">
        <f t="shared" si="392"/>
        <v>1.3488532386977903</v>
      </c>
      <c r="DI165" s="545">
        <f t="shared" si="393"/>
        <v>550.19249999999988</v>
      </c>
      <c r="DJ165" s="528">
        <f t="shared" si="394"/>
        <v>0.26182634671774968</v>
      </c>
      <c r="DL165" s="173">
        <f t="shared" si="395"/>
        <v>2.8475553424949318</v>
      </c>
      <c r="DM165" s="173">
        <f t="shared" si="396"/>
        <v>4.8900160124019623</v>
      </c>
      <c r="DN165" s="173">
        <f t="shared" si="397"/>
        <v>3.176143548281289</v>
      </c>
      <c r="DP165" s="545">
        <f t="shared" si="398"/>
        <v>550</v>
      </c>
      <c r="DQ165" s="460">
        <f t="shared" si="399"/>
        <v>119.02618872359501</v>
      </c>
      <c r="DS165">
        <f t="shared" si="400"/>
        <v>550</v>
      </c>
      <c r="DT165">
        <f t="shared" si="401"/>
        <v>119.02618872359501</v>
      </c>
      <c r="DV165" s="5">
        <f t="shared" si="402"/>
        <v>8.4015123959166651</v>
      </c>
      <c r="DW165" s="5">
        <f t="shared" si="403"/>
        <v>5.4333511248910691</v>
      </c>
      <c r="DX165" s="5">
        <f t="shared" si="404"/>
        <v>2.968161271025596</v>
      </c>
      <c r="DY165" s="173">
        <f t="shared" si="405"/>
        <v>0.64671107639284175</v>
      </c>
      <c r="EA165" s="5">
        <f t="shared" si="406"/>
        <v>12.451429661208703</v>
      </c>
      <c r="EB165" s="5">
        <f t="shared" si="407"/>
        <v>1.6601906214944935</v>
      </c>
      <c r="EC165" s="5">
        <f t="shared" si="408"/>
        <v>3.6277526645868394</v>
      </c>
      <c r="ED165" s="5"/>
      <c r="EE165" s="173">
        <f t="shared" si="409"/>
        <v>2.2704126795048132</v>
      </c>
      <c r="EF165" s="173">
        <f t="shared" si="410"/>
        <v>1.1192845230015891</v>
      </c>
      <c r="EG165" s="173">
        <f t="shared" si="411"/>
        <v>0.11207970696542936</v>
      </c>
      <c r="EH165" s="173"/>
      <c r="EI165" s="528">
        <f t="shared" si="412"/>
        <v>0.20619094941024901</v>
      </c>
      <c r="EJ165" s="528">
        <f t="shared" si="413"/>
        <v>0.4077537750000001</v>
      </c>
      <c r="EK165" s="528">
        <f t="shared" si="414"/>
        <v>2.3805237744719002E-2</v>
      </c>
      <c r="EL165" s="528">
        <f t="shared" si="415"/>
        <v>1.3517785536678805E-2</v>
      </c>
      <c r="EM165">
        <f t="shared" si="416"/>
        <v>4.0499999999999998E-3</v>
      </c>
      <c r="EN165" s="460">
        <f t="shared" si="417"/>
        <v>27.855237744718998</v>
      </c>
      <c r="EP165" s="460">
        <f t="shared" si="439"/>
        <v>655.31774769164701</v>
      </c>
      <c r="EQ165" s="173">
        <f t="shared" si="418"/>
        <v>0.38500000000000001</v>
      </c>
      <c r="ER165" s="173">
        <f t="shared" si="475"/>
        <v>3.4100000000000005E-2</v>
      </c>
      <c r="ES165" s="528"/>
      <c r="EU165" s="460">
        <f t="shared" si="420"/>
        <v>419.1</v>
      </c>
      <c r="EV165" s="528">
        <f t="shared" si="421"/>
        <v>0.15464321205768675</v>
      </c>
      <c r="EW165" s="528">
        <f t="shared" si="422"/>
        <v>3.7583935302926842E-2</v>
      </c>
      <c r="EX165" s="528">
        <f t="shared" si="423"/>
        <v>6.2809303567282573E-5</v>
      </c>
      <c r="EY165" s="528">
        <f t="shared" si="424"/>
        <v>0.40865049202349202</v>
      </c>
      <c r="EZ165" s="528"/>
      <c r="FA165" s="625">
        <f t="shared" si="425"/>
        <v>0.56923695341256686</v>
      </c>
      <c r="FB165" s="460">
        <f t="shared" si="426"/>
        <v>1170.1774021002395</v>
      </c>
      <c r="FC165" s="173">
        <f t="shared" si="427"/>
        <v>2.2445951497918868</v>
      </c>
      <c r="FD165" s="5">
        <f t="shared" si="428"/>
        <v>14.190000000000001</v>
      </c>
      <c r="FE165" s="173">
        <f t="shared" si="429"/>
        <v>0.86342254680850405</v>
      </c>
      <c r="FF165" s="5">
        <f t="shared" si="430"/>
        <v>86.342254680850402</v>
      </c>
      <c r="FG165">
        <f t="shared" si="431"/>
        <v>55.000000000000007</v>
      </c>
      <c r="FI165" s="562">
        <f t="shared" si="432"/>
        <v>-50</v>
      </c>
      <c r="FJ165">
        <f t="shared" si="433"/>
        <v>-50</v>
      </c>
    </row>
    <row r="166" spans="5:166">
      <c r="E166" s="170">
        <v>56</v>
      </c>
      <c r="F166" s="217">
        <f t="shared" si="476"/>
        <v>0.56000000000000005</v>
      </c>
      <c r="G166" s="217">
        <f t="shared" si="444"/>
        <v>5.6000000000000008E-2</v>
      </c>
      <c r="H166" s="217">
        <f t="shared" si="445"/>
        <v>13.440000000000001</v>
      </c>
      <c r="I166" s="217">
        <f t="shared" si="446"/>
        <v>1.0080000000000002</v>
      </c>
      <c r="J166" s="541">
        <f t="shared" si="447"/>
        <v>8.7838324203176086</v>
      </c>
      <c r="K166" s="443">
        <f t="shared" si="448"/>
        <v>16.507231539568718</v>
      </c>
      <c r="L166" s="172">
        <f t="shared" si="449"/>
        <v>25.291063959886326</v>
      </c>
      <c r="M166" s="443"/>
      <c r="N166" s="217">
        <f t="shared" si="450"/>
        <v>0.65269027691956816</v>
      </c>
      <c r="O166" s="172">
        <f t="shared" si="451"/>
        <v>29.628537544352355</v>
      </c>
      <c r="P166" s="172">
        <f t="shared" si="452"/>
        <v>2.3888008395134084</v>
      </c>
      <c r="Q166" s="217">
        <f t="shared" si="322"/>
        <v>1.2345223976813482</v>
      </c>
      <c r="R166" s="217">
        <f t="shared" si="453"/>
        <v>1.6460298635751309</v>
      </c>
      <c r="S166" s="217">
        <f t="shared" si="454"/>
        <v>24</v>
      </c>
      <c r="T166" s="217">
        <f t="shared" si="455"/>
        <v>5.0401857705527737</v>
      </c>
      <c r="U166" s="217">
        <f t="shared" si="326"/>
        <v>5.7380258745538884</v>
      </c>
      <c r="V166" s="217">
        <f t="shared" si="327"/>
        <v>3.0533198486197874</v>
      </c>
      <c r="W166" s="197">
        <f t="shared" si="328"/>
        <v>257.99049066744811</v>
      </c>
      <c r="X166" s="443">
        <f t="shared" si="435"/>
        <v>111.21805687247338</v>
      </c>
      <c r="Z166" s="217">
        <f t="shared" si="329"/>
        <v>2.2222222222222223</v>
      </c>
      <c r="AA166" s="173">
        <f t="shared" si="330"/>
        <v>1.3462113358593395</v>
      </c>
      <c r="AB166" s="173">
        <f t="shared" si="456"/>
        <v>0.23943729746216846</v>
      </c>
      <c r="AC166" s="173"/>
      <c r="AD166" s="173">
        <f t="shared" si="332"/>
        <v>1.3462113358593395</v>
      </c>
      <c r="AE166" s="545">
        <f t="shared" si="457"/>
        <v>561.29536929148207</v>
      </c>
      <c r="AF166" s="528">
        <f t="shared" si="458"/>
        <v>0.25739509477183109</v>
      </c>
      <c r="AH166" s="173">
        <f t="shared" si="459"/>
        <v>2.8733255993708755</v>
      </c>
      <c r="AI166" s="173">
        <f t="shared" si="460"/>
        <v>5.0401857705527737</v>
      </c>
      <c r="AJ166" s="173">
        <f t="shared" si="461"/>
        <v>3.2873804061707785</v>
      </c>
      <c r="AL166" s="545">
        <f t="shared" si="462"/>
        <v>560</v>
      </c>
      <c r="AM166" s="460">
        <f t="shared" si="463"/>
        <v>111.21805687247338</v>
      </c>
      <c r="AO166">
        <f t="shared" si="340"/>
        <v>560</v>
      </c>
      <c r="AP166">
        <f t="shared" si="341"/>
        <v>111.21805687247338</v>
      </c>
      <c r="AR166" s="5">
        <f t="shared" si="443"/>
        <v>8.9913457231736729</v>
      </c>
      <c r="AS166" s="5">
        <f t="shared" si="440"/>
        <v>5.7380258745538884</v>
      </c>
      <c r="AT166" s="5">
        <f t="shared" si="441"/>
        <v>3.2533198486197845</v>
      </c>
      <c r="AU166" s="173">
        <f t="shared" si="442"/>
        <v>0.63817208805185821</v>
      </c>
      <c r="AW166" s="5">
        <f t="shared" si="342"/>
        <v>13.38872704062574</v>
      </c>
      <c r="AX166" s="5">
        <f t="shared" si="343"/>
        <v>1.7851636054167654</v>
      </c>
      <c r="AY166" s="5">
        <f t="shared" si="344"/>
        <v>4.1482100933824597</v>
      </c>
      <c r="AZ166" s="5"/>
      <c r="BA166" s="173">
        <f t="shared" si="345"/>
        <v>2.3246352512443749</v>
      </c>
      <c r="BB166" s="173">
        <f t="shared" si="346"/>
        <v>1.1675158453087782</v>
      </c>
      <c r="BC166" s="173">
        <f t="shared" si="347"/>
        <v>0.11690935694240601</v>
      </c>
      <c r="BD166" s="173"/>
      <c r="BE166" s="528">
        <f t="shared" si="348"/>
        <v>0.21615716205311991</v>
      </c>
      <c r="BF166" s="528">
        <f t="shared" si="464"/>
        <v>0.31898588419250812</v>
      </c>
      <c r="BG166" s="528">
        <f t="shared" si="465"/>
        <v>3.9076830947246378E-2</v>
      </c>
      <c r="BH166" s="528">
        <f t="shared" si="351"/>
        <v>1.2449375075250181E-2</v>
      </c>
      <c r="BI166">
        <f t="shared" si="352"/>
        <v>3.952724589142924E-3</v>
      </c>
      <c r="BJ166" s="460">
        <f t="shared" si="436"/>
        <v>43.029555536389303</v>
      </c>
      <c r="BK166">
        <f t="shared" si="466"/>
        <v>0.63876094100708125</v>
      </c>
      <c r="BL166" s="460">
        <f t="shared" si="437"/>
        <v>590.62197685726755</v>
      </c>
      <c r="BM166" s="173">
        <f t="shared" si="467"/>
        <v>0.48608000000000001</v>
      </c>
      <c r="BN166" s="173">
        <f t="shared" si="468"/>
        <v>4.8608000000000005E-2</v>
      </c>
      <c r="BO166" s="528"/>
      <c r="BQ166" s="460">
        <f t="shared" si="356"/>
        <v>534.6880000000001</v>
      </c>
      <c r="BR166" s="528">
        <f t="shared" si="357"/>
        <v>0.16211787153983992</v>
      </c>
      <c r="BS166" s="528">
        <f t="shared" si="358"/>
        <v>4.0892797471412126E-2</v>
      </c>
      <c r="BT166" s="528">
        <f t="shared" si="359"/>
        <v>6.8338988703434481E-5</v>
      </c>
      <c r="BU166" s="528">
        <f t="shared" si="360"/>
        <v>0.37198430983367337</v>
      </c>
      <c r="BV166" s="528"/>
      <c r="BW166" s="625">
        <f t="shared" si="469"/>
        <v>0.56506497211445228</v>
      </c>
      <c r="BX166" s="460">
        <f t="shared" si="362"/>
        <v>1140.1282899480811</v>
      </c>
      <c r="BY166" s="173">
        <f t="shared" si="363"/>
        <v>2.265438266805349</v>
      </c>
      <c r="BZ166" s="5">
        <f t="shared" si="364"/>
        <v>14.448000000000002</v>
      </c>
      <c r="CA166" s="173">
        <f t="shared" si="365"/>
        <v>0.86445408594922402</v>
      </c>
      <c r="CB166" s="5">
        <f t="shared" si="366"/>
        <v>86.445408594922398</v>
      </c>
      <c r="CC166">
        <f t="shared" si="367"/>
        <v>56.000000000000007</v>
      </c>
      <c r="CE166" s="562">
        <f t="shared" si="470"/>
        <v>-50</v>
      </c>
      <c r="CF166">
        <f t="shared" si="471"/>
        <v>-50</v>
      </c>
      <c r="CG166" s="173">
        <f t="shared" si="370"/>
        <v>0.34658417599272739</v>
      </c>
      <c r="CH166" s="173">
        <f t="shared" si="472"/>
        <v>9.446712174985028E-2</v>
      </c>
      <c r="CI166" s="170">
        <v>56</v>
      </c>
      <c r="CJ166" s="217">
        <f t="shared" si="438"/>
        <v>0.56000000000000005</v>
      </c>
      <c r="CK166" s="217">
        <f t="shared" si="372"/>
        <v>5.6000000000000008E-2</v>
      </c>
      <c r="CL166" s="217">
        <f t="shared" si="373"/>
        <v>13.440000000000001</v>
      </c>
      <c r="CM166" s="217">
        <f t="shared" si="374"/>
        <v>1.0080000000000002</v>
      </c>
      <c r="CN166" s="541">
        <f t="shared" si="375"/>
        <v>9</v>
      </c>
      <c r="CO166" s="443">
        <f t="shared" si="473"/>
        <v>16.474900000000002</v>
      </c>
      <c r="CP166" s="443">
        <f t="shared" si="474"/>
        <v>25.474900000000002</v>
      </c>
      <c r="CQ166" s="443"/>
      <c r="CR166" s="217">
        <f t="shared" si="378"/>
        <v>0.64485133082098534</v>
      </c>
      <c r="CS166" s="172">
        <f t="shared" si="379"/>
        <v>29.993085154464438</v>
      </c>
      <c r="CT166" s="172">
        <f t="shared" si="380"/>
        <v>2.4181924905786953</v>
      </c>
      <c r="CU166" s="217">
        <f t="shared" si="381"/>
        <v>1.2497118814360182</v>
      </c>
      <c r="CV166" s="217">
        <f t="shared" si="382"/>
        <v>1.6662825085813577</v>
      </c>
      <c r="CW166" s="217">
        <f t="shared" si="383"/>
        <v>24</v>
      </c>
      <c r="CX166" s="217">
        <f t="shared" si="384"/>
        <v>4.9789253944456346</v>
      </c>
      <c r="CY166" s="217">
        <f t="shared" si="385"/>
        <v>5.5321393271618176</v>
      </c>
      <c r="CZ166" s="217">
        <f t="shared" si="386"/>
        <v>3.0221278395896998</v>
      </c>
      <c r="DA166" s="197">
        <f t="shared" si="387"/>
        <v>261.91798593910079</v>
      </c>
      <c r="DB166" s="443">
        <f t="shared" si="388"/>
        <v>116.90072106781651</v>
      </c>
      <c r="DD166" s="217">
        <f t="shared" si="389"/>
        <v>2.2222222222222228</v>
      </c>
      <c r="DE166" s="173">
        <f t="shared" si="390"/>
        <v>1.3488532386977905</v>
      </c>
      <c r="DF166" s="173">
        <f t="shared" si="391"/>
        <v>0.24355939229558116</v>
      </c>
      <c r="DG166" s="173"/>
      <c r="DH166" s="173">
        <f t="shared" si="392"/>
        <v>1.3488532386977903</v>
      </c>
      <c r="DI166" s="545">
        <f t="shared" si="393"/>
        <v>560.19599999999991</v>
      </c>
      <c r="DJ166" s="528">
        <f t="shared" si="394"/>
        <v>0.26182634671774968</v>
      </c>
      <c r="DL166" s="173">
        <f t="shared" si="395"/>
        <v>2.8733255993708755</v>
      </c>
      <c r="DM166" s="173">
        <f t="shared" si="396"/>
        <v>4.9789253944456346</v>
      </c>
      <c r="DN166" s="173">
        <f t="shared" si="397"/>
        <v>3.2420023497951203</v>
      </c>
      <c r="DP166" s="545">
        <f t="shared" si="398"/>
        <v>560</v>
      </c>
      <c r="DQ166" s="460">
        <f t="shared" si="399"/>
        <v>116.90072106781651</v>
      </c>
      <c r="DS166">
        <f t="shared" si="400"/>
        <v>560</v>
      </c>
      <c r="DT166">
        <f t="shared" si="401"/>
        <v>116.90072106781651</v>
      </c>
      <c r="DV166" s="5">
        <f t="shared" si="402"/>
        <v>8.5542671667515169</v>
      </c>
      <c r="DW166" s="5">
        <f t="shared" si="403"/>
        <v>5.5321393271618176</v>
      </c>
      <c r="DX166" s="5">
        <f t="shared" si="404"/>
        <v>3.0221278395896993</v>
      </c>
      <c r="DY166" s="173">
        <f t="shared" si="405"/>
        <v>0.64671107639284164</v>
      </c>
      <c r="EA166" s="5">
        <f t="shared" si="406"/>
        <v>12.908325096710911</v>
      </c>
      <c r="EB166" s="5">
        <f t="shared" si="407"/>
        <v>1.7211100128947878</v>
      </c>
      <c r="EC166" s="5">
        <f t="shared" si="408"/>
        <v>3.7608702003782919</v>
      </c>
      <c r="ED166" s="5"/>
      <c r="EE166" s="173">
        <f t="shared" si="409"/>
        <v>2.311692910041264</v>
      </c>
      <c r="EF166" s="173">
        <f t="shared" si="410"/>
        <v>1.1396351506925273</v>
      </c>
      <c r="EG166" s="173">
        <f t="shared" si="411"/>
        <v>0.11411751981934629</v>
      </c>
      <c r="EH166" s="173"/>
      <c r="EI166" s="528">
        <f t="shared" si="412"/>
        <v>0.21375696441340189</v>
      </c>
      <c r="EJ166" s="528">
        <f t="shared" si="413"/>
        <v>0.40775377500000004</v>
      </c>
      <c r="EK166" s="528">
        <f t="shared" si="414"/>
        <v>2.3380144213563301E-2</v>
      </c>
      <c r="EL166" s="528">
        <f t="shared" si="415"/>
        <v>1.3276396509238108E-2</v>
      </c>
      <c r="EM166">
        <f t="shared" si="416"/>
        <v>4.0499999999999998E-3</v>
      </c>
      <c r="EN166" s="460">
        <f t="shared" si="417"/>
        <v>27.430144213563302</v>
      </c>
      <c r="EP166" s="460">
        <f t="shared" si="439"/>
        <v>662.21728013620327</v>
      </c>
      <c r="EQ166" s="173">
        <f t="shared" si="418"/>
        <v>0.39200000000000002</v>
      </c>
      <c r="ER166" s="173">
        <f t="shared" si="475"/>
        <v>3.4720000000000008E-2</v>
      </c>
      <c r="ES166" s="528"/>
      <c r="EU166" s="460">
        <f t="shared" si="420"/>
        <v>426.72</v>
      </c>
      <c r="EV166" s="528">
        <f t="shared" si="421"/>
        <v>0.16031772331005142</v>
      </c>
      <c r="EW166" s="528">
        <f t="shared" si="422"/>
        <v>3.8963048300819383E-2</v>
      </c>
      <c r="EX166" s="528">
        <f t="shared" si="423"/>
        <v>6.5114041648594472E-5</v>
      </c>
      <c r="EY166" s="528">
        <f t="shared" si="424"/>
        <v>0.40865049202349241</v>
      </c>
      <c r="EZ166" s="528"/>
      <c r="FA166" s="625">
        <f t="shared" si="425"/>
        <v>0.57958671620188618</v>
      </c>
      <c r="FB166" s="460">
        <f t="shared" si="426"/>
        <v>1187.5830938778979</v>
      </c>
      <c r="FC166" s="173">
        <f t="shared" si="427"/>
        <v>2.2765203740141011</v>
      </c>
      <c r="FD166" s="5">
        <f t="shared" si="428"/>
        <v>14.448000000000002</v>
      </c>
      <c r="FE166" s="173">
        <f t="shared" si="429"/>
        <v>0.86388127592876929</v>
      </c>
      <c r="FF166" s="5">
        <f t="shared" si="430"/>
        <v>86.388127592876927</v>
      </c>
      <c r="FG166">
        <f t="shared" si="431"/>
        <v>56.000000000000007</v>
      </c>
      <c r="FI166" s="562">
        <f t="shared" si="432"/>
        <v>-50</v>
      </c>
      <c r="FJ166">
        <f t="shared" si="433"/>
        <v>-50</v>
      </c>
    </row>
    <row r="167" spans="5:166">
      <c r="E167" s="170">
        <v>57</v>
      </c>
      <c r="F167" s="217">
        <f t="shared" si="476"/>
        <v>0.56999999999999995</v>
      </c>
      <c r="G167" s="217">
        <f t="shared" si="444"/>
        <v>5.6999999999999995E-2</v>
      </c>
      <c r="H167" s="217">
        <f t="shared" si="445"/>
        <v>13.68</v>
      </c>
      <c r="I167" s="217">
        <f t="shared" si="446"/>
        <v>1.0259999999999998</v>
      </c>
      <c r="J167" s="541">
        <f t="shared" si="447"/>
        <v>8.7799722849661386</v>
      </c>
      <c r="K167" s="443">
        <f t="shared" si="448"/>
        <v>16.507808888489588</v>
      </c>
      <c r="L167" s="172">
        <f t="shared" si="449"/>
        <v>25.287781173455727</v>
      </c>
      <c r="M167" s="443"/>
      <c r="N167" s="217">
        <f t="shared" si="450"/>
        <v>0.65279783842077976</v>
      </c>
      <c r="O167" s="172">
        <f t="shared" si="451"/>
        <v>29.620397565996122</v>
      </c>
      <c r="P167" s="172">
        <f t="shared" si="452"/>
        <v>2.3881445537584374</v>
      </c>
      <c r="Q167" s="217">
        <f t="shared" si="322"/>
        <v>1.2341832319165051</v>
      </c>
      <c r="R167" s="217">
        <f t="shared" si="453"/>
        <v>1.6455776425553401</v>
      </c>
      <c r="S167" s="217">
        <f t="shared" si="454"/>
        <v>24</v>
      </c>
      <c r="T167" s="217">
        <f t="shared" si="455"/>
        <v>5.1315989146105947</v>
      </c>
      <c r="U167" s="217">
        <f t="shared" si="326"/>
        <v>5.8446641379465198</v>
      </c>
      <c r="V167" s="217">
        <f t="shared" si="327"/>
        <v>3.1085887589774006</v>
      </c>
      <c r="W167" s="197">
        <f t="shared" si="328"/>
        <v>257.91961180591119</v>
      </c>
      <c r="X167" s="443">
        <f t="shared" si="435"/>
        <v>109.25077797599847</v>
      </c>
      <c r="Z167" s="217">
        <f t="shared" si="329"/>
        <v>2.2222222222222228</v>
      </c>
      <c r="AA167" s="173">
        <f t="shared" si="330"/>
        <v>1.3461642530715954</v>
      </c>
      <c r="AB167" s="173">
        <f t="shared" si="456"/>
        <v>0.23936314395177261</v>
      </c>
      <c r="AC167" s="173"/>
      <c r="AD167" s="173">
        <f t="shared" si="332"/>
        <v>1.3461642530715952</v>
      </c>
      <c r="AE167" s="545">
        <f t="shared" si="457"/>
        <v>571.33848304465062</v>
      </c>
      <c r="AF167" s="528">
        <f t="shared" si="458"/>
        <v>0.25731537974815544</v>
      </c>
      <c r="AH167" s="173">
        <f t="shared" si="459"/>
        <v>2.8988667736597642</v>
      </c>
      <c r="AI167" s="173">
        <f t="shared" si="460"/>
        <v>5.1315989146105947</v>
      </c>
      <c r="AJ167" s="173">
        <f t="shared" si="461"/>
        <v>3.3550938462136095</v>
      </c>
      <c r="AL167" s="545">
        <f t="shared" si="462"/>
        <v>570</v>
      </c>
      <c r="AM167" s="460">
        <f t="shared" si="463"/>
        <v>109.25077797599847</v>
      </c>
      <c r="AO167">
        <f t="shared" si="340"/>
        <v>570</v>
      </c>
      <c r="AP167">
        <f t="shared" si="341"/>
        <v>109.25077797599847</v>
      </c>
      <c r="AR167" s="5">
        <f t="shared" si="443"/>
        <v>9.1532528969239202</v>
      </c>
      <c r="AS167" s="5">
        <f t="shared" si="440"/>
        <v>5.8446641379465198</v>
      </c>
      <c r="AT167" s="5">
        <f t="shared" si="441"/>
        <v>3.3085887589774003</v>
      </c>
      <c r="AU167" s="173">
        <f t="shared" si="442"/>
        <v>0.63853410407907574</v>
      </c>
      <c r="AW167" s="5">
        <f t="shared" si="342"/>
        <v>13.881077327622982</v>
      </c>
      <c r="AX167" s="5">
        <f t="shared" si="343"/>
        <v>1.8508103103497311</v>
      </c>
      <c r="AY167" s="5">
        <f t="shared" si="344"/>
        <v>4.29590329310337</v>
      </c>
      <c r="AZ167" s="5"/>
      <c r="BA167" s="173">
        <f t="shared" si="345"/>
        <v>2.3674680470314571</v>
      </c>
      <c r="BB167" s="173">
        <f t="shared" si="346"/>
        <v>1.188096113551564</v>
      </c>
      <c r="BC167" s="173">
        <f t="shared" si="347"/>
        <v>0.11897016488401467</v>
      </c>
      <c r="BD167" s="173"/>
      <c r="BE167" s="528">
        <f t="shared" si="348"/>
        <v>0.22419619814859765</v>
      </c>
      <c r="BF167" s="528">
        <f t="shared" si="464"/>
        <v>0.31898516487947975</v>
      </c>
      <c r="BG167" s="528">
        <f t="shared" si="465"/>
        <v>3.8368752109610223E-2</v>
      </c>
      <c r="BH167" s="528">
        <f t="shared" si="351"/>
        <v>1.2225990003620457E-2</v>
      </c>
      <c r="BI167">
        <f t="shared" si="352"/>
        <v>3.9509875282347619E-3</v>
      </c>
      <c r="BJ167" s="460">
        <f t="shared" si="436"/>
        <v>42.319739637844989</v>
      </c>
      <c r="BK167">
        <f t="shared" si="466"/>
        <v>0.65059698835661506</v>
      </c>
      <c r="BL167" s="460">
        <f t="shared" si="437"/>
        <v>597.7270926695428</v>
      </c>
      <c r="BM167" s="173">
        <f t="shared" si="467"/>
        <v>0.49475999999999998</v>
      </c>
      <c r="BN167" s="173">
        <f t="shared" si="468"/>
        <v>4.9475999999999985E-2</v>
      </c>
      <c r="BO167" s="528"/>
      <c r="BQ167" s="460">
        <f t="shared" si="356"/>
        <v>544.23599999999999</v>
      </c>
      <c r="BR167" s="528">
        <f t="shared" si="357"/>
        <v>0.16814714861144822</v>
      </c>
      <c r="BS167" s="528">
        <f t="shared" si="358"/>
        <v>4.2347171251089923E-2</v>
      </c>
      <c r="BT167" s="528">
        <f t="shared" si="359"/>
        <v>7.0769500662648194E-5</v>
      </c>
      <c r="BU167" s="528">
        <f t="shared" si="360"/>
        <v>0.37210294866115123</v>
      </c>
      <c r="BV167" s="528"/>
      <c r="BW167" s="625">
        <f t="shared" si="469"/>
        <v>0.57538686447267984</v>
      </c>
      <c r="BX167" s="460">
        <f t="shared" si="362"/>
        <v>1158.0549024970319</v>
      </c>
      <c r="BY167" s="173">
        <f t="shared" si="363"/>
        <v>2.3000179951665745</v>
      </c>
      <c r="BZ167" s="5">
        <f t="shared" si="364"/>
        <v>14.706</v>
      </c>
      <c r="CA167" s="173">
        <f t="shared" si="365"/>
        <v>0.86475270131901061</v>
      </c>
      <c r="CB167" s="5">
        <f t="shared" si="366"/>
        <v>86.475270131901055</v>
      </c>
      <c r="CC167">
        <f t="shared" si="367"/>
        <v>56.999999999999993</v>
      </c>
      <c r="CE167" s="562">
        <f t="shared" si="470"/>
        <v>-50</v>
      </c>
      <c r="CF167">
        <f t="shared" si="471"/>
        <v>-50</v>
      </c>
      <c r="CG167" s="173">
        <f t="shared" si="370"/>
        <v>0.34658417599272739</v>
      </c>
      <c r="CH167" s="173">
        <f t="shared" si="472"/>
        <v>9.446712174985028E-2</v>
      </c>
      <c r="CI167" s="170">
        <v>57</v>
      </c>
      <c r="CJ167" s="217">
        <f t="shared" si="438"/>
        <v>0.56999999999999995</v>
      </c>
      <c r="CK167" s="217">
        <f t="shared" si="372"/>
        <v>5.6999999999999995E-2</v>
      </c>
      <c r="CL167" s="217">
        <f t="shared" si="373"/>
        <v>13.68</v>
      </c>
      <c r="CM167" s="217">
        <f t="shared" si="374"/>
        <v>1.0259999999999998</v>
      </c>
      <c r="CN167" s="541">
        <f t="shared" si="375"/>
        <v>9</v>
      </c>
      <c r="CO167" s="443">
        <f t="shared" si="473"/>
        <v>16.474900000000002</v>
      </c>
      <c r="CP167" s="443">
        <f t="shared" si="474"/>
        <v>25.474900000000002</v>
      </c>
      <c r="CQ167" s="443"/>
      <c r="CR167" s="217">
        <f t="shared" si="378"/>
        <v>0.64485133082098534</v>
      </c>
      <c r="CS167" s="172">
        <f t="shared" si="379"/>
        <v>29.993085154464438</v>
      </c>
      <c r="CT167" s="172">
        <f t="shared" si="380"/>
        <v>2.4181924905786953</v>
      </c>
      <c r="CU167" s="217">
        <f t="shared" si="381"/>
        <v>1.2497118814360182</v>
      </c>
      <c r="CV167" s="217">
        <f t="shared" si="382"/>
        <v>1.6662825085813577</v>
      </c>
      <c r="CW167" s="217">
        <f t="shared" si="383"/>
        <v>24</v>
      </c>
      <c r="CX167" s="217">
        <f t="shared" si="384"/>
        <v>5.0678347764893061</v>
      </c>
      <c r="CY167" s="217">
        <f t="shared" si="385"/>
        <v>5.6309275294325625</v>
      </c>
      <c r="CZ167" s="217">
        <f t="shared" si="386"/>
        <v>3.0760944081538013</v>
      </c>
      <c r="DA167" s="197">
        <f t="shared" si="387"/>
        <v>261.91798593910079</v>
      </c>
      <c r="DB167" s="443">
        <f t="shared" si="388"/>
        <v>114.84983122452149</v>
      </c>
      <c r="DD167" s="217">
        <f t="shared" si="389"/>
        <v>2.2222222222222228</v>
      </c>
      <c r="DE167" s="173">
        <f t="shared" si="390"/>
        <v>1.3488532386977905</v>
      </c>
      <c r="DF167" s="173">
        <f t="shared" si="391"/>
        <v>0.24355939229558116</v>
      </c>
      <c r="DG167" s="173"/>
      <c r="DH167" s="173">
        <f t="shared" si="392"/>
        <v>1.3488532386977903</v>
      </c>
      <c r="DI167" s="545">
        <f t="shared" si="393"/>
        <v>570.19949999999972</v>
      </c>
      <c r="DJ167" s="528">
        <f t="shared" si="394"/>
        <v>0.26182634671774968</v>
      </c>
      <c r="DL167" s="173">
        <f t="shared" si="395"/>
        <v>2.8988667736597642</v>
      </c>
      <c r="DM167" s="173">
        <f t="shared" si="396"/>
        <v>5.0678347764893061</v>
      </c>
      <c r="DN167" s="173">
        <f t="shared" si="397"/>
        <v>3.3078611513089511</v>
      </c>
      <c r="DP167" s="545">
        <f t="shared" si="398"/>
        <v>570</v>
      </c>
      <c r="DQ167" s="460">
        <f t="shared" si="399"/>
        <v>114.84983122452149</v>
      </c>
      <c r="DS167">
        <f t="shared" si="400"/>
        <v>570</v>
      </c>
      <c r="DT167">
        <f t="shared" si="401"/>
        <v>114.84983122452149</v>
      </c>
      <c r="DV167" s="5">
        <f t="shared" si="402"/>
        <v>8.7070219375863633</v>
      </c>
      <c r="DW167" s="5">
        <f t="shared" si="403"/>
        <v>5.6309275294325625</v>
      </c>
      <c r="DX167" s="5">
        <f t="shared" si="404"/>
        <v>3.0760944081538009</v>
      </c>
      <c r="DY167" s="173">
        <f t="shared" si="405"/>
        <v>0.64671107639284164</v>
      </c>
      <c r="EA167" s="5">
        <f t="shared" si="406"/>
        <v>13.373452882402335</v>
      </c>
      <c r="EB167" s="5">
        <f t="shared" si="407"/>
        <v>1.7831270509869779</v>
      </c>
      <c r="EC167" s="5">
        <f t="shared" si="408"/>
        <v>3.8963862503281472</v>
      </c>
      <c r="ED167" s="5"/>
      <c r="EE167" s="173">
        <f t="shared" si="409"/>
        <v>2.3529731405777152</v>
      </c>
      <c r="EF167" s="173">
        <f t="shared" si="410"/>
        <v>1.1599857783834653</v>
      </c>
      <c r="EG167" s="173">
        <f t="shared" si="411"/>
        <v>0.11615533267326318</v>
      </c>
      <c r="EH167" s="173"/>
      <c r="EI167" s="528">
        <f t="shared" si="412"/>
        <v>0.22145930401120628</v>
      </c>
      <c r="EJ167" s="528">
        <f t="shared" si="413"/>
        <v>0.4077537750000001</v>
      </c>
      <c r="EK167" s="528">
        <f t="shared" si="414"/>
        <v>2.29699662449043E-2</v>
      </c>
      <c r="EL167" s="528">
        <f t="shared" si="415"/>
        <v>1.3043477272233933E-2</v>
      </c>
      <c r="EM167">
        <f t="shared" si="416"/>
        <v>4.0499999999999998E-3</v>
      </c>
      <c r="EN167" s="460">
        <f t="shared" si="417"/>
        <v>27.019966244904296</v>
      </c>
      <c r="EP167" s="460">
        <f t="shared" si="439"/>
        <v>669.27652252834469</v>
      </c>
      <c r="EQ167" s="173">
        <f t="shared" si="418"/>
        <v>0.39899999999999997</v>
      </c>
      <c r="ER167" s="173">
        <f t="shared" si="475"/>
        <v>3.5339999999999996E-2</v>
      </c>
      <c r="ES167" s="528"/>
      <c r="EU167" s="460">
        <f t="shared" si="420"/>
        <v>434.34</v>
      </c>
      <c r="EV167" s="528">
        <f t="shared" si="421"/>
        <v>0.16609447800840468</v>
      </c>
      <c r="EW167" s="528">
        <f t="shared" si="422"/>
        <v>4.0367010181556813E-2</v>
      </c>
      <c r="EX167" s="528">
        <f t="shared" si="423"/>
        <v>6.7460306542182203E-5</v>
      </c>
      <c r="EY167" s="528">
        <f t="shared" si="424"/>
        <v>0.40865049202349241</v>
      </c>
      <c r="EZ167" s="528"/>
      <c r="FA167" s="625">
        <f t="shared" si="425"/>
        <v>0.58993647899120549</v>
      </c>
      <c r="FB167" s="460">
        <f t="shared" si="426"/>
        <v>1205.1159195112016</v>
      </c>
      <c r="FC167" s="173">
        <f t="shared" si="427"/>
        <v>2.3087324420395459</v>
      </c>
      <c r="FD167" s="5">
        <f t="shared" si="428"/>
        <v>14.706</v>
      </c>
      <c r="FE167" s="173">
        <f t="shared" si="429"/>
        <v>0.86430980035071303</v>
      </c>
      <c r="FF167" s="5">
        <f t="shared" si="430"/>
        <v>86.4309800350713</v>
      </c>
      <c r="FG167">
        <f t="shared" si="431"/>
        <v>56.999999999999993</v>
      </c>
      <c r="FI167" s="562">
        <f t="shared" si="432"/>
        <v>-50</v>
      </c>
      <c r="FJ167">
        <f t="shared" si="433"/>
        <v>-50</v>
      </c>
    </row>
    <row r="168" spans="5:166">
      <c r="E168" s="170">
        <v>58</v>
      </c>
      <c r="F168" s="217">
        <f t="shared" si="476"/>
        <v>0.57999999999999996</v>
      </c>
      <c r="G168" s="217">
        <f t="shared" si="444"/>
        <v>5.7999999999999996E-2</v>
      </c>
      <c r="H168" s="217">
        <f t="shared" si="445"/>
        <v>13.919999999999998</v>
      </c>
      <c r="I168" s="217">
        <f t="shared" si="446"/>
        <v>1.044</v>
      </c>
      <c r="J168" s="541">
        <f t="shared" si="447"/>
        <v>8.7761121496146668</v>
      </c>
      <c r="K168" s="443">
        <f t="shared" si="448"/>
        <v>16.508386237410459</v>
      </c>
      <c r="L168" s="172">
        <f t="shared" si="449"/>
        <v>25.284498387025124</v>
      </c>
      <c r="M168" s="443"/>
      <c r="N168" s="217">
        <f t="shared" si="450"/>
        <v>0.65290542785226169</v>
      </c>
      <c r="O168" s="172">
        <f t="shared" si="451"/>
        <v>29.612254562912639</v>
      </c>
      <c r="P168" s="172">
        <f t="shared" si="452"/>
        <v>2.3874880241348313</v>
      </c>
      <c r="Q168" s="217">
        <f t="shared" si="322"/>
        <v>1.2338439401213599</v>
      </c>
      <c r="R168" s="217">
        <f t="shared" si="453"/>
        <v>1.6451252534951466</v>
      </c>
      <c r="S168" s="217">
        <f t="shared" si="454"/>
        <v>24</v>
      </c>
      <c r="T168" s="217">
        <f t="shared" si="455"/>
        <v>5.2230628484592412</v>
      </c>
      <c r="U168" s="217">
        <f t="shared" si="326"/>
        <v>5.9514540828749221</v>
      </c>
      <c r="V168" s="217">
        <f t="shared" si="327"/>
        <v>3.1638845695426028</v>
      </c>
      <c r="W168" s="197">
        <f t="shared" si="328"/>
        <v>257.84870660656179</v>
      </c>
      <c r="X168" s="443">
        <f t="shared" si="435"/>
        <v>107.34982777469709</v>
      </c>
      <c r="Z168" s="217">
        <f t="shared" si="329"/>
        <v>2.2222222222222223</v>
      </c>
      <c r="AA168" s="173">
        <f t="shared" si="330"/>
        <v>1.3461171735771098</v>
      </c>
      <c r="AB168" s="173">
        <f t="shared" si="456"/>
        <v>0.23928897118608947</v>
      </c>
      <c r="AC168" s="173"/>
      <c r="AD168" s="173">
        <f t="shared" si="332"/>
        <v>1.3461171735771098</v>
      </c>
      <c r="AE168" s="545">
        <f t="shared" si="457"/>
        <v>581.38229792619416</v>
      </c>
      <c r="AF168" s="528">
        <f t="shared" si="458"/>
        <v>0.25723564402504623</v>
      </c>
      <c r="AH168" s="173">
        <f t="shared" si="459"/>
        <v>2.9241848681054936</v>
      </c>
      <c r="AI168" s="173">
        <f t="shared" si="460"/>
        <v>5.2230628484592412</v>
      </c>
      <c r="AJ168" s="173">
        <f t="shared" si="461"/>
        <v>3.422844908323718</v>
      </c>
      <c r="AL168" s="545">
        <f t="shared" si="462"/>
        <v>580</v>
      </c>
      <c r="AM168" s="460">
        <f t="shared" si="463"/>
        <v>107.34982777469709</v>
      </c>
      <c r="AO168">
        <f t="shared" si="340"/>
        <v>580</v>
      </c>
      <c r="AP168">
        <f t="shared" si="341"/>
        <v>107.34982777469709</v>
      </c>
      <c r="AR168" s="5">
        <f t="shared" si="443"/>
        <v>9.3153386524175232</v>
      </c>
      <c r="AS168" s="5">
        <f t="shared" si="440"/>
        <v>5.9514540828749221</v>
      </c>
      <c r="AT168" s="5">
        <f t="shared" si="441"/>
        <v>3.3638845695426012</v>
      </c>
      <c r="AU168" s="173">
        <f t="shared" si="442"/>
        <v>0.63888757080564074</v>
      </c>
      <c r="AW168" s="5">
        <f t="shared" si="342"/>
        <v>14.38268070028106</v>
      </c>
      <c r="AX168" s="5">
        <f t="shared" si="343"/>
        <v>1.9176907600374746</v>
      </c>
      <c r="AY168" s="5">
        <f t="shared" si="344"/>
        <v>4.4462810344108314</v>
      </c>
      <c r="AZ168" s="5"/>
      <c r="BA168" s="173">
        <f t="shared" si="345"/>
        <v>2.4103318744415425</v>
      </c>
      <c r="BB168" s="173">
        <f t="shared" si="346"/>
        <v>1.2086809482035581</v>
      </c>
      <c r="BC168" s="173">
        <f t="shared" si="347"/>
        <v>0.12103143008362652</v>
      </c>
      <c r="BD168" s="173"/>
      <c r="BE168" s="528">
        <f t="shared" si="348"/>
        <v>0.23238798979795519</v>
      </c>
      <c r="BF168" s="528">
        <f t="shared" si="464"/>
        <v>0.31898000755891204</v>
      </c>
      <c r="BG168" s="528">
        <f t="shared" si="465"/>
        <v>3.7684565111702442E-2</v>
      </c>
      <c r="BH168" s="528">
        <f t="shared" si="351"/>
        <v>1.2010140419379549E-2</v>
      </c>
      <c r="BI168">
        <f t="shared" si="352"/>
        <v>3.9492504673265998E-3</v>
      </c>
      <c r="BJ168" s="460">
        <f t="shared" si="436"/>
        <v>41.633815579029047</v>
      </c>
      <c r="BK168">
        <f t="shared" si="466"/>
        <v>0.66271495745470677</v>
      </c>
      <c r="BL168" s="460">
        <f t="shared" si="437"/>
        <v>605.01195335527586</v>
      </c>
      <c r="BM168" s="173">
        <f t="shared" si="467"/>
        <v>0.50344</v>
      </c>
      <c r="BN168" s="173">
        <f t="shared" si="468"/>
        <v>5.0343999999999993E-2</v>
      </c>
      <c r="BO168" s="528"/>
      <c r="BQ168" s="460">
        <f t="shared" si="356"/>
        <v>553.78399999999999</v>
      </c>
      <c r="BR168" s="528">
        <f t="shared" si="357"/>
        <v>0.17429099234846637</v>
      </c>
      <c r="BS168" s="528">
        <f t="shared" si="358"/>
        <v>4.3827289036507566E-2</v>
      </c>
      <c r="BT168" s="528">
        <f t="shared" si="359"/>
        <v>7.3243035340438871E-5</v>
      </c>
      <c r="BU168" s="528">
        <f t="shared" si="360"/>
        <v>0.37220869440723459</v>
      </c>
      <c r="BV168" s="528"/>
      <c r="BW168" s="625">
        <f t="shared" si="469"/>
        <v>0.58570893741743546</v>
      </c>
      <c r="BX168" s="460">
        <f t="shared" si="362"/>
        <v>1176.1091562449844</v>
      </c>
      <c r="BY168" s="173">
        <f t="shared" si="363"/>
        <v>2.3349051096002604</v>
      </c>
      <c r="BZ168" s="5">
        <f t="shared" si="364"/>
        <v>14.963999999999999</v>
      </c>
      <c r="CA168" s="173">
        <f t="shared" si="365"/>
        <v>0.86502584442153663</v>
      </c>
      <c r="CB168" s="5">
        <f t="shared" si="366"/>
        <v>86.502584442153662</v>
      </c>
      <c r="CC168">
        <f t="shared" si="367"/>
        <v>57.999999999999993</v>
      </c>
      <c r="CE168" s="562">
        <f t="shared" si="470"/>
        <v>-50</v>
      </c>
      <c r="CF168">
        <f t="shared" si="471"/>
        <v>-50</v>
      </c>
      <c r="CG168" s="173">
        <f t="shared" si="370"/>
        <v>0.34658417599272739</v>
      </c>
      <c r="CH168" s="173">
        <f t="shared" si="472"/>
        <v>9.446712174985028E-2</v>
      </c>
      <c r="CI168" s="170">
        <v>58</v>
      </c>
      <c r="CJ168" s="217">
        <f t="shared" si="438"/>
        <v>0.57999999999999996</v>
      </c>
      <c r="CK168" s="217">
        <f t="shared" si="372"/>
        <v>5.7999999999999996E-2</v>
      </c>
      <c r="CL168" s="217">
        <f t="shared" si="373"/>
        <v>13.919999999999998</v>
      </c>
      <c r="CM168" s="217">
        <f t="shared" si="374"/>
        <v>1.044</v>
      </c>
      <c r="CN168" s="541">
        <f t="shared" si="375"/>
        <v>9</v>
      </c>
      <c r="CO168" s="443">
        <f t="shared" si="473"/>
        <v>16.474900000000002</v>
      </c>
      <c r="CP168" s="443">
        <f t="shared" si="474"/>
        <v>25.474900000000002</v>
      </c>
      <c r="CQ168" s="443"/>
      <c r="CR168" s="217">
        <f t="shared" si="378"/>
        <v>0.64485133082098534</v>
      </c>
      <c r="CS168" s="172">
        <f t="shared" si="379"/>
        <v>29.993085154464438</v>
      </c>
      <c r="CT168" s="172">
        <f t="shared" si="380"/>
        <v>2.4181924905786953</v>
      </c>
      <c r="CU168" s="217">
        <f t="shared" si="381"/>
        <v>1.2497118814360182</v>
      </c>
      <c r="CV168" s="217">
        <f t="shared" si="382"/>
        <v>1.6662825085813577</v>
      </c>
      <c r="CW168" s="217">
        <f t="shared" si="383"/>
        <v>24</v>
      </c>
      <c r="CX168" s="217">
        <f t="shared" si="384"/>
        <v>5.1567441585329776</v>
      </c>
      <c r="CY168" s="217">
        <f t="shared" si="385"/>
        <v>5.7297157317033092</v>
      </c>
      <c r="CZ168" s="217">
        <f t="shared" si="386"/>
        <v>3.1300609767179024</v>
      </c>
      <c r="DA168" s="197">
        <f t="shared" si="387"/>
        <v>261.91798593910079</v>
      </c>
      <c r="DB168" s="443">
        <f t="shared" si="388"/>
        <v>112.86966172065044</v>
      </c>
      <c r="DD168" s="217">
        <f t="shared" si="389"/>
        <v>2.2222222222222228</v>
      </c>
      <c r="DE168" s="173">
        <f t="shared" si="390"/>
        <v>1.3488532386977905</v>
      </c>
      <c r="DF168" s="173">
        <f t="shared" si="391"/>
        <v>0.24355939229558116</v>
      </c>
      <c r="DG168" s="173"/>
      <c r="DH168" s="173">
        <f t="shared" si="392"/>
        <v>1.3488532386977903</v>
      </c>
      <c r="DI168" s="545">
        <f t="shared" si="393"/>
        <v>580.20299999999975</v>
      </c>
      <c r="DJ168" s="528">
        <f t="shared" si="394"/>
        <v>0.26182634671774968</v>
      </c>
      <c r="DL168" s="173">
        <f t="shared" si="395"/>
        <v>2.9241848681054936</v>
      </c>
      <c r="DM168" s="173">
        <f t="shared" si="396"/>
        <v>5.1567441585329776</v>
      </c>
      <c r="DN168" s="173">
        <f t="shared" si="397"/>
        <v>3.3737199528227819</v>
      </c>
      <c r="DP168" s="545">
        <f t="shared" si="398"/>
        <v>580</v>
      </c>
      <c r="DQ168" s="460">
        <f t="shared" si="399"/>
        <v>112.86966172065044</v>
      </c>
      <c r="DS168">
        <f t="shared" si="400"/>
        <v>580</v>
      </c>
      <c r="DT168">
        <f t="shared" si="401"/>
        <v>112.86966172065044</v>
      </c>
      <c r="DV168" s="5">
        <f t="shared" si="402"/>
        <v>8.8597767084212116</v>
      </c>
      <c r="DW168" s="5">
        <f t="shared" si="403"/>
        <v>5.7297157317033092</v>
      </c>
      <c r="DX168" s="5">
        <f t="shared" si="404"/>
        <v>3.1300609767179024</v>
      </c>
      <c r="DY168" s="173">
        <f t="shared" si="405"/>
        <v>0.64671107639284164</v>
      </c>
      <c r="EA168" s="5">
        <f t="shared" si="406"/>
        <v>13.846813018282996</v>
      </c>
      <c r="EB168" s="5">
        <f t="shared" si="407"/>
        <v>1.8462417357710663</v>
      </c>
      <c r="EC168" s="5">
        <f t="shared" si="408"/>
        <v>4.0343008144364063</v>
      </c>
      <c r="ED168" s="5"/>
      <c r="EE168" s="173">
        <f t="shared" si="409"/>
        <v>2.394253371114166</v>
      </c>
      <c r="EF168" s="173">
        <f t="shared" si="410"/>
        <v>1.180336406074403</v>
      </c>
      <c r="EG168" s="173">
        <f t="shared" si="411"/>
        <v>0.11819314552718006</v>
      </c>
      <c r="EH168" s="173"/>
      <c r="EI168" s="528">
        <f t="shared" si="412"/>
        <v>0.22929796820366194</v>
      </c>
      <c r="EJ168" s="528">
        <f t="shared" si="413"/>
        <v>0.40775377500000004</v>
      </c>
      <c r="EK168" s="528">
        <f t="shared" si="414"/>
        <v>2.2573932344130087E-2</v>
      </c>
      <c r="EL168" s="528">
        <f t="shared" si="415"/>
        <v>1.2818589733057488E-2</v>
      </c>
      <c r="EM168">
        <f t="shared" si="416"/>
        <v>4.0499999999999998E-3</v>
      </c>
      <c r="EN168" s="460">
        <f t="shared" si="417"/>
        <v>26.62393234413009</v>
      </c>
      <c r="EP168" s="460">
        <f t="shared" si="439"/>
        <v>676.4942652808495</v>
      </c>
      <c r="EQ168" s="173">
        <f t="shared" si="418"/>
        <v>0.40599999999999997</v>
      </c>
      <c r="ER168" s="173">
        <f t="shared" si="475"/>
        <v>3.5959999999999999E-2</v>
      </c>
      <c r="ES168" s="528"/>
      <c r="EU168" s="460">
        <f t="shared" si="420"/>
        <v>441.96</v>
      </c>
      <c r="EV168" s="528">
        <f t="shared" si="421"/>
        <v>0.17197347615274644</v>
      </c>
      <c r="EW168" s="528">
        <f t="shared" si="422"/>
        <v>4.1795820945139138E-2</v>
      </c>
      <c r="EX168" s="528">
        <f t="shared" si="423"/>
        <v>6.984809824804582E-5</v>
      </c>
      <c r="EY168" s="528">
        <f t="shared" si="424"/>
        <v>0.4086504920234913</v>
      </c>
      <c r="EZ168" s="528"/>
      <c r="FA168" s="625">
        <f t="shared" si="425"/>
        <v>0.6002862417805247</v>
      </c>
      <c r="FB168" s="460">
        <f t="shared" si="426"/>
        <v>1222.7758790001494</v>
      </c>
      <c r="FC168" s="173">
        <f t="shared" si="427"/>
        <v>2.3412301442809991</v>
      </c>
      <c r="FD168" s="5">
        <f t="shared" si="428"/>
        <v>14.963999999999999</v>
      </c>
      <c r="FE168" s="173">
        <f t="shared" si="429"/>
        <v>0.86470967882188354</v>
      </c>
      <c r="FF168" s="5">
        <f t="shared" si="430"/>
        <v>86.470967882188347</v>
      </c>
      <c r="FG168">
        <f t="shared" si="431"/>
        <v>57.999999999999993</v>
      </c>
      <c r="FI168" s="562">
        <f t="shared" si="432"/>
        <v>-50</v>
      </c>
      <c r="FJ168">
        <f t="shared" si="433"/>
        <v>-50</v>
      </c>
    </row>
    <row r="169" spans="5:166">
      <c r="E169" s="170">
        <v>59</v>
      </c>
      <c r="F169" s="217">
        <f t="shared" si="476"/>
        <v>0.59</v>
      </c>
      <c r="G169" s="217">
        <f t="shared" si="444"/>
        <v>5.8999999999999997E-2</v>
      </c>
      <c r="H169" s="217">
        <f t="shared" si="445"/>
        <v>14.16</v>
      </c>
      <c r="I169" s="217">
        <f t="shared" si="446"/>
        <v>1.0619999999999998</v>
      </c>
      <c r="J169" s="541">
        <f t="shared" si="447"/>
        <v>8.772252014263195</v>
      </c>
      <c r="K169" s="443">
        <f t="shared" si="448"/>
        <v>16.508963586331326</v>
      </c>
      <c r="L169" s="172">
        <f t="shared" si="449"/>
        <v>25.281215600594521</v>
      </c>
      <c r="M169" s="443"/>
      <c r="N169" s="217">
        <f t="shared" si="450"/>
        <v>0.65301304522489401</v>
      </c>
      <c r="O169" s="172">
        <f t="shared" si="451"/>
        <v>29.604108533923611</v>
      </c>
      <c r="P169" s="172">
        <f t="shared" si="452"/>
        <v>2.3868312505475915</v>
      </c>
      <c r="Q169" s="217">
        <f t="shared" si="322"/>
        <v>1.2335045222468171</v>
      </c>
      <c r="R169" s="217">
        <f t="shared" si="453"/>
        <v>1.6446726963290894</v>
      </c>
      <c r="S169" s="217">
        <f t="shared" si="454"/>
        <v>24</v>
      </c>
      <c r="T169" s="217">
        <f t="shared" si="455"/>
        <v>5.3145776422567712</v>
      </c>
      <c r="U169" s="217">
        <f t="shared" si="326"/>
        <v>6.0583959895538388</v>
      </c>
      <c r="V169" s="217">
        <f t="shared" si="327"/>
        <v>3.2192073199900939</v>
      </c>
      <c r="W169" s="197">
        <f t="shared" si="328"/>
        <v>257.77777505913986</v>
      </c>
      <c r="X169" s="443">
        <f t="shared" si="435"/>
        <v>105.51190710767578</v>
      </c>
      <c r="Z169" s="217">
        <f t="shared" si="329"/>
        <v>2.2222222222222223</v>
      </c>
      <c r="AA169" s="173">
        <f t="shared" si="330"/>
        <v>1.3460700973755384</v>
      </c>
      <c r="AB169" s="173">
        <f t="shared" si="456"/>
        <v>0.23921477915761832</v>
      </c>
      <c r="AC169" s="173"/>
      <c r="AD169" s="173">
        <f t="shared" si="332"/>
        <v>1.3460700973755384</v>
      </c>
      <c r="AE169" s="545">
        <f t="shared" si="457"/>
        <v>591.42681393611235</v>
      </c>
      <c r="AF169" s="528">
        <f t="shared" si="458"/>
        <v>0.25715588759443969</v>
      </c>
      <c r="AH169" s="173">
        <f t="shared" si="459"/>
        <v>2.9492856277895014</v>
      </c>
      <c r="AI169" s="173">
        <f t="shared" si="460"/>
        <v>5.3145776422567712</v>
      </c>
      <c r="AJ169" s="173">
        <f t="shared" si="461"/>
        <v>3.4906336444700363</v>
      </c>
      <c r="AL169" s="545">
        <f t="shared" si="462"/>
        <v>590</v>
      </c>
      <c r="AM169" s="460">
        <f t="shared" si="463"/>
        <v>105.51190710767578</v>
      </c>
      <c r="AO169">
        <f t="shared" si="340"/>
        <v>590</v>
      </c>
      <c r="AP169">
        <f t="shared" si="341"/>
        <v>105.51190710767578</v>
      </c>
      <c r="AR169" s="5">
        <f t="shared" si="443"/>
        <v>9.4776033095439338</v>
      </c>
      <c r="AS169" s="5">
        <f t="shared" si="440"/>
        <v>6.0583959895538388</v>
      </c>
      <c r="AT169" s="5">
        <f t="shared" si="441"/>
        <v>3.419207319990095</v>
      </c>
      <c r="AU169" s="173">
        <f t="shared" si="442"/>
        <v>0.63923291487132006</v>
      </c>
      <c r="AW169" s="5">
        <f t="shared" si="342"/>
        <v>14.893556807653185</v>
      </c>
      <c r="AX169" s="5">
        <f t="shared" si="343"/>
        <v>1.9858075743537582</v>
      </c>
      <c r="AY169" s="5">
        <f t="shared" si="344"/>
        <v>4.5993487544910598</v>
      </c>
      <c r="AZ169" s="5"/>
      <c r="BA169" s="173">
        <f t="shared" si="345"/>
        <v>2.4532267603702986</v>
      </c>
      <c r="BB169" s="173">
        <f t="shared" si="346"/>
        <v>1.229270378029456</v>
      </c>
      <c r="BC169" s="173">
        <f t="shared" si="347"/>
        <v>0.12309315542159821</v>
      </c>
      <c r="BD169" s="173"/>
      <c r="BE169" s="528">
        <f t="shared" si="348"/>
        <v>0.24073286151187803</v>
      </c>
      <c r="BF169" s="528">
        <f t="shared" si="464"/>
        <v>0.31897063247578655</v>
      </c>
      <c r="BG169" s="528">
        <f t="shared" si="465"/>
        <v>3.7023081586162403E-2</v>
      </c>
      <c r="BH169" s="528">
        <f t="shared" si="351"/>
        <v>1.1801451510428053E-2</v>
      </c>
      <c r="BI169">
        <f t="shared" si="352"/>
        <v>3.9475134064184377E-3</v>
      </c>
      <c r="BJ169" s="460">
        <f t="shared" si="436"/>
        <v>40.970594992580843</v>
      </c>
      <c r="BK169">
        <f t="shared" si="466"/>
        <v>0.67511832224656665</v>
      </c>
      <c r="BL169" s="460">
        <f t="shared" si="437"/>
        <v>612.47554049067355</v>
      </c>
      <c r="BM169" s="173">
        <f t="shared" si="467"/>
        <v>0.51212000000000002</v>
      </c>
      <c r="BN169" s="173">
        <f t="shared" si="468"/>
        <v>5.1211999999999994E-2</v>
      </c>
      <c r="BO169" s="528"/>
      <c r="BQ169" s="460">
        <f t="shared" si="356"/>
        <v>563.33200000000011</v>
      </c>
      <c r="BR169" s="528">
        <f t="shared" si="357"/>
        <v>0.1805496461339085</v>
      </c>
      <c r="BS169" s="528">
        <f t="shared" si="358"/>
        <v>4.5333169869020452E-2</v>
      </c>
      <c r="BT169" s="528">
        <f t="shared" si="359"/>
        <v>7.5759624558228666E-5</v>
      </c>
      <c r="BU169" s="528">
        <f t="shared" si="360"/>
        <v>0.37230217810956628</v>
      </c>
      <c r="BV169" s="528"/>
      <c r="BW169" s="625">
        <f t="shared" si="469"/>
        <v>0.59603118200005556</v>
      </c>
      <c r="BX169" s="460">
        <f t="shared" si="362"/>
        <v>1194.2919357371088</v>
      </c>
      <c r="BY169" s="173">
        <f t="shared" si="363"/>
        <v>2.3700994762277827</v>
      </c>
      <c r="BZ169" s="5">
        <f t="shared" si="364"/>
        <v>15.222</v>
      </c>
      <c r="CA169" s="173">
        <f t="shared" si="365"/>
        <v>0.86527477977085676</v>
      </c>
      <c r="CB169" s="5">
        <f t="shared" si="366"/>
        <v>86.527477977085681</v>
      </c>
      <c r="CC169">
        <f t="shared" si="367"/>
        <v>59</v>
      </c>
      <c r="CE169" s="562">
        <f t="shared" si="470"/>
        <v>-50</v>
      </c>
      <c r="CF169">
        <f t="shared" si="471"/>
        <v>-50</v>
      </c>
      <c r="CG169" s="173">
        <f t="shared" si="370"/>
        <v>0.34658417599272739</v>
      </c>
      <c r="CH169" s="173">
        <f t="shared" si="472"/>
        <v>9.446712174985028E-2</v>
      </c>
      <c r="CI169" s="170">
        <v>59</v>
      </c>
      <c r="CJ169" s="217">
        <f t="shared" si="438"/>
        <v>0.59</v>
      </c>
      <c r="CK169" s="217">
        <f t="shared" si="372"/>
        <v>5.8999999999999997E-2</v>
      </c>
      <c r="CL169" s="217">
        <f t="shared" si="373"/>
        <v>14.16</v>
      </c>
      <c r="CM169" s="217">
        <f t="shared" si="374"/>
        <v>1.0619999999999998</v>
      </c>
      <c r="CN169" s="541">
        <f t="shared" si="375"/>
        <v>9</v>
      </c>
      <c r="CO169" s="443">
        <f t="shared" si="473"/>
        <v>16.474900000000002</v>
      </c>
      <c r="CP169" s="443">
        <f t="shared" si="474"/>
        <v>25.474900000000002</v>
      </c>
      <c r="CQ169" s="443"/>
      <c r="CR169" s="217">
        <f t="shared" si="378"/>
        <v>0.64485133082098534</v>
      </c>
      <c r="CS169" s="172">
        <f t="shared" si="379"/>
        <v>29.993085154464438</v>
      </c>
      <c r="CT169" s="172">
        <f t="shared" si="380"/>
        <v>2.4181924905786953</v>
      </c>
      <c r="CU169" s="217">
        <f t="shared" si="381"/>
        <v>1.2497118814360182</v>
      </c>
      <c r="CV169" s="217">
        <f t="shared" si="382"/>
        <v>1.6662825085813577</v>
      </c>
      <c r="CW169" s="217">
        <f t="shared" si="383"/>
        <v>24</v>
      </c>
      <c r="CX169" s="217">
        <f t="shared" si="384"/>
        <v>5.24565354057665</v>
      </c>
      <c r="CY169" s="217">
        <f t="shared" si="385"/>
        <v>5.8285039339740559</v>
      </c>
      <c r="CZ169" s="217">
        <f t="shared" si="386"/>
        <v>3.1840275452820044</v>
      </c>
      <c r="DA169" s="197">
        <f t="shared" si="387"/>
        <v>261.91798593910079</v>
      </c>
      <c r="DB169" s="443">
        <f t="shared" si="388"/>
        <v>110.95661660674111</v>
      </c>
      <c r="DD169" s="217">
        <f t="shared" si="389"/>
        <v>2.2222222222222228</v>
      </c>
      <c r="DE169" s="173">
        <f t="shared" si="390"/>
        <v>1.3488532386977905</v>
      </c>
      <c r="DF169" s="173">
        <f t="shared" si="391"/>
        <v>0.24355939229558116</v>
      </c>
      <c r="DG169" s="173"/>
      <c r="DH169" s="173">
        <f t="shared" si="392"/>
        <v>1.3488532386977903</v>
      </c>
      <c r="DI169" s="545">
        <f t="shared" si="393"/>
        <v>590.20649999999978</v>
      </c>
      <c r="DJ169" s="528">
        <f t="shared" si="394"/>
        <v>0.26182634671774968</v>
      </c>
      <c r="DL169" s="173">
        <f t="shared" si="395"/>
        <v>2.9492856277895014</v>
      </c>
      <c r="DM169" s="173">
        <f t="shared" si="396"/>
        <v>5.24565354057665</v>
      </c>
      <c r="DN169" s="173">
        <f t="shared" si="397"/>
        <v>3.4395787543366128</v>
      </c>
      <c r="DP169" s="545">
        <f t="shared" si="398"/>
        <v>590</v>
      </c>
      <c r="DQ169" s="460">
        <f t="shared" si="399"/>
        <v>110.95661660674111</v>
      </c>
      <c r="DS169">
        <f t="shared" si="400"/>
        <v>590</v>
      </c>
      <c r="DT169">
        <f t="shared" si="401"/>
        <v>110.95661660674111</v>
      </c>
      <c r="DV169" s="5">
        <f t="shared" si="402"/>
        <v>9.0125314792560616</v>
      </c>
      <c r="DW169" s="5">
        <f t="shared" si="403"/>
        <v>5.8285039339740559</v>
      </c>
      <c r="DX169" s="5">
        <f t="shared" si="404"/>
        <v>3.1840275452820057</v>
      </c>
      <c r="DY169" s="173">
        <f t="shared" si="405"/>
        <v>0.64671107639284153</v>
      </c>
      <c r="EA169" s="5">
        <f t="shared" si="406"/>
        <v>14.328405504352887</v>
      </c>
      <c r="EB169" s="5">
        <f t="shared" si="407"/>
        <v>1.9104540672470516</v>
      </c>
      <c r="EC169" s="5">
        <f t="shared" si="408"/>
        <v>4.1746138927030731</v>
      </c>
      <c r="ED169" s="5"/>
      <c r="EE169" s="173">
        <f t="shared" si="409"/>
        <v>2.4355336016506173</v>
      </c>
      <c r="EF169" s="173">
        <f t="shared" si="410"/>
        <v>1.2006870337653412</v>
      </c>
      <c r="EG169" s="173">
        <f t="shared" si="411"/>
        <v>0.12023095838109699</v>
      </c>
      <c r="EH169" s="173"/>
      <c r="EI169" s="528">
        <f t="shared" si="412"/>
        <v>0.23727295699076911</v>
      </c>
      <c r="EJ169" s="528">
        <f t="shared" si="413"/>
        <v>0.4077537750000001</v>
      </c>
      <c r="EK169" s="528">
        <f t="shared" si="414"/>
        <v>2.2191323321348221E-2</v>
      </c>
      <c r="EL169" s="528">
        <f t="shared" si="415"/>
        <v>1.2601325500293801E-2</v>
      </c>
      <c r="EM169">
        <f t="shared" si="416"/>
        <v>4.0499999999999998E-3</v>
      </c>
      <c r="EN169" s="460">
        <f t="shared" si="417"/>
        <v>26.241323321348222</v>
      </c>
      <c r="EP169" s="460">
        <f t="shared" si="439"/>
        <v>683.86938081241124</v>
      </c>
      <c r="EQ169" s="173">
        <f t="shared" si="418"/>
        <v>0.41299999999999998</v>
      </c>
      <c r="ER169" s="173">
        <f t="shared" si="475"/>
        <v>3.6579999999999994E-2</v>
      </c>
      <c r="ES169" s="528"/>
      <c r="EU169" s="460">
        <f t="shared" si="420"/>
        <v>449.58</v>
      </c>
      <c r="EV169" s="528">
        <f t="shared" si="421"/>
        <v>0.17795471774307683</v>
      </c>
      <c r="EW169" s="528">
        <f t="shared" si="422"/>
        <v>4.3249480591566407E-2</v>
      </c>
      <c r="EX169" s="528">
        <f t="shared" si="423"/>
        <v>7.2277416766185378E-5</v>
      </c>
      <c r="EY169" s="528">
        <f t="shared" si="424"/>
        <v>0.40865049202349241</v>
      </c>
      <c r="EZ169" s="528"/>
      <c r="FA169" s="625">
        <f t="shared" si="425"/>
        <v>0.61063600456984435</v>
      </c>
      <c r="FB169" s="460">
        <f t="shared" si="426"/>
        <v>1240.5629723447462</v>
      </c>
      <c r="FC169" s="173">
        <f t="shared" si="427"/>
        <v>2.3740123531571573</v>
      </c>
      <c r="FD169" s="5">
        <f t="shared" si="428"/>
        <v>15.222</v>
      </c>
      <c r="FE169" s="173">
        <f t="shared" si="429"/>
        <v>0.86508236607760725</v>
      </c>
      <c r="FF169" s="5">
        <f t="shared" si="430"/>
        <v>86.508236607760722</v>
      </c>
      <c r="FG169">
        <f t="shared" si="431"/>
        <v>59</v>
      </c>
      <c r="FI169" s="562">
        <f t="shared" si="432"/>
        <v>-50</v>
      </c>
      <c r="FJ169">
        <f t="shared" si="433"/>
        <v>-50</v>
      </c>
    </row>
    <row r="170" spans="5:166">
      <c r="E170" s="170">
        <v>60</v>
      </c>
      <c r="F170" s="217">
        <f t="shared" si="476"/>
        <v>0.6</v>
      </c>
      <c r="G170" s="217">
        <f t="shared" si="444"/>
        <v>0.06</v>
      </c>
      <c r="H170" s="217">
        <f t="shared" si="445"/>
        <v>14.399999999999999</v>
      </c>
      <c r="I170" s="217">
        <f t="shared" si="446"/>
        <v>1.08</v>
      </c>
      <c r="J170" s="541">
        <f t="shared" si="447"/>
        <v>8.768391878911725</v>
      </c>
      <c r="K170" s="443">
        <f t="shared" si="448"/>
        <v>16.509540935252197</v>
      </c>
      <c r="L170" s="172">
        <f t="shared" si="449"/>
        <v>25.277932814163922</v>
      </c>
      <c r="M170" s="443"/>
      <c r="N170" s="217">
        <f t="shared" si="450"/>
        <v>0.6531206905495629</v>
      </c>
      <c r="O170" s="172">
        <f t="shared" si="451"/>
        <v>29.595959477850155</v>
      </c>
      <c r="P170" s="172">
        <f t="shared" si="452"/>
        <v>2.3861742329016686</v>
      </c>
      <c r="Q170" s="217">
        <f t="shared" si="322"/>
        <v>1.2331649782437564</v>
      </c>
      <c r="R170" s="217">
        <f t="shared" si="453"/>
        <v>1.6442199709916752</v>
      </c>
      <c r="S170" s="217">
        <f t="shared" si="454"/>
        <v>24</v>
      </c>
      <c r="T170" s="217">
        <f t="shared" si="455"/>
        <v>5.4061433662843479</v>
      </c>
      <c r="U170" s="217">
        <f t="shared" si="326"/>
        <v>6.1654901388318466</v>
      </c>
      <c r="V170" s="217">
        <f t="shared" si="327"/>
        <v>3.2745570500635881</v>
      </c>
      <c r="W170" s="197">
        <f t="shared" si="328"/>
        <v>257.7068171533802</v>
      </c>
      <c r="X170" s="443">
        <f t="shared" si="435"/>
        <v>103.73393204463981</v>
      </c>
      <c r="Z170" s="217">
        <f t="shared" si="329"/>
        <v>2.2222222222222228</v>
      </c>
      <c r="AA170" s="173">
        <f t="shared" si="330"/>
        <v>1.3460230244665352</v>
      </c>
      <c r="AB170" s="173">
        <f t="shared" si="456"/>
        <v>0.23914056785885446</v>
      </c>
      <c r="AC170" s="173"/>
      <c r="AD170" s="173">
        <f t="shared" si="332"/>
        <v>1.346023024466535</v>
      </c>
      <c r="AE170" s="545">
        <f t="shared" si="457"/>
        <v>601.47203107440521</v>
      </c>
      <c r="AF170" s="528">
        <f t="shared" si="458"/>
        <v>0.25707611044826845</v>
      </c>
      <c r="AH170" s="173">
        <f t="shared" si="459"/>
        <v>2.9741745553538519</v>
      </c>
      <c r="AI170" s="173">
        <f t="shared" si="460"/>
        <v>5.4061433662843479</v>
      </c>
      <c r="AJ170" s="173">
        <f t="shared" si="461"/>
        <v>3.5584601067126851</v>
      </c>
      <c r="AL170" s="545">
        <f t="shared" si="462"/>
        <v>600</v>
      </c>
      <c r="AM170" s="460">
        <f t="shared" si="463"/>
        <v>103.73393204463981</v>
      </c>
      <c r="AO170">
        <f t="shared" si="340"/>
        <v>600</v>
      </c>
      <c r="AP170">
        <f t="shared" si="341"/>
        <v>103.73393204463981</v>
      </c>
      <c r="AR170" s="5">
        <f t="shared" si="443"/>
        <v>9.6400471888954353</v>
      </c>
      <c r="AS170" s="5">
        <f t="shared" si="440"/>
        <v>6.1654901388318466</v>
      </c>
      <c r="AT170" s="5">
        <f t="shared" si="441"/>
        <v>3.4745570500635887</v>
      </c>
      <c r="AU170" s="173">
        <f t="shared" si="442"/>
        <v>0.63957053508347961</v>
      </c>
      <c r="AW170" s="5">
        <f t="shared" ref="AW170:AW210" si="477">F170*AS170/Vout_ripple*1000</f>
        <v>15.413725347079614</v>
      </c>
      <c r="AX170" s="5">
        <f t="shared" ref="AX170:AX210" si="478">G170*AS170/Vout_ripple2*1000</f>
        <v>2.0551633796106157</v>
      </c>
      <c r="AY170" s="5">
        <f t="shared" ref="AY170:AY210" si="479">H170/Efficiency/J170*AT170/Vinripple1</f>
        <v>4.7551119038190075</v>
      </c>
      <c r="AZ170" s="5"/>
      <c r="BA170" s="173">
        <f t="shared" ref="BA170:BA209" si="480">AI170*SQRT(AU170/3)</f>
        <v>2.4961527326734703</v>
      </c>
      <c r="BB170" s="173">
        <f t="shared" ref="BB170:BB210" si="481">AI170*Npri_sec1*SQRT((1-AU170)/3)*(Pout/Pout_total)</f>
        <v>1.2498644303689757</v>
      </c>
      <c r="BC170" s="173">
        <f t="shared" ref="BC170:BC210" si="482">AI170*Npri_sec2*SQRT((1-AU170)/3)*(Pout2/Pout_total)</f>
        <v>0.12515534363559605</v>
      </c>
      <c r="BD170" s="173"/>
      <c r="BE170" s="528">
        <f t="shared" ref="BE170:BE210" si="483">Rdson*BA170^2</f>
        <v>0.24923113859332932</v>
      </c>
      <c r="BF170" s="528">
        <f t="shared" si="464"/>
        <v>0.3189572455067482</v>
      </c>
      <c r="BG170" s="528">
        <f t="shared" si="465"/>
        <v>3.6383190692312016E-2</v>
      </c>
      <c r="BH170" s="528">
        <f t="shared" ref="BH170:BH210" si="484">0.5*(Coss+Csw)*L170^2*AM170*1000</f>
        <v>1.1599572916650307E-2</v>
      </c>
      <c r="BI170">
        <f t="shared" ref="BI170:BI210" si="485">J170*IQ</f>
        <v>3.9457763455102764E-3</v>
      </c>
      <c r="BJ170" s="460">
        <f t="shared" si="436"/>
        <v>40.328967037822295</v>
      </c>
      <c r="BK170">
        <f t="shared" si="466"/>
        <v>0.68781066784274802</v>
      </c>
      <c r="BL170" s="460">
        <f t="shared" si="437"/>
        <v>620.11692405455005</v>
      </c>
      <c r="BM170" s="173">
        <f t="shared" si="467"/>
        <v>0.52079999999999993</v>
      </c>
      <c r="BN170" s="173">
        <f t="shared" si="468"/>
        <v>5.2079999999999994E-2</v>
      </c>
      <c r="BO170" s="528"/>
      <c r="BQ170" s="460">
        <f t="shared" ref="BQ170:BQ210" si="486">SUM(BM170:BP170)*1000</f>
        <v>572.88</v>
      </c>
      <c r="BR170" s="528">
        <f t="shared" ref="BR170:BR210" si="487">Rdcr_pri*BA170^2</f>
        <v>0.18692335394499698</v>
      </c>
      <c r="BS170" s="528">
        <f t="shared" ref="BS170:BS210" si="488">Rdcr_sec*BB170^2</f>
        <v>4.6864832829046917E-2</v>
      </c>
      <c r="BT170" s="528">
        <f t="shared" ref="BT170:BT210" si="489">Rdcr_sec2*BC170^2</f>
        <v>7.8319300202720667E-5</v>
      </c>
      <c r="BU170" s="528">
        <f t="shared" ref="BU170:BU210" si="490">AI170^2.5*AM170^2.5*k_core</f>
        <v>0.37238399033788649</v>
      </c>
      <c r="BV170" s="528"/>
      <c r="BW170" s="625">
        <f t="shared" si="469"/>
        <v>0.60635358985559185</v>
      </c>
      <c r="BX170" s="460">
        <f t="shared" ref="BX170:BX192" si="491">SUM(BR170:BW170)*1000</f>
        <v>1212.6040862677251</v>
      </c>
      <c r="BY170" s="173">
        <f t="shared" ref="BY170:BY192" si="492">SUM(BE170:BI170,BM170:BP170,BR170:BW170)</f>
        <v>2.4056010103222749</v>
      </c>
      <c r="BZ170" s="5">
        <f t="shared" ref="BZ170:BZ192" si="493">MIN(H170+I170,O170+P170)</f>
        <v>15.479999999999999</v>
      </c>
      <c r="CA170" s="173">
        <f t="shared" ref="CA170:CA192" si="494">BZ170/(BZ170+BY170)</f>
        <v>0.86550068913345801</v>
      </c>
      <c r="CB170" s="5">
        <f t="shared" ref="CB170:CB192" si="495">CA170*100</f>
        <v>86.550068913345797</v>
      </c>
      <c r="CC170">
        <f t="shared" ref="CC170:CC192" si="496">F170/Iout*100</f>
        <v>60</v>
      </c>
      <c r="CE170" s="562">
        <f t="shared" si="470"/>
        <v>-50</v>
      </c>
      <c r="CF170">
        <f t="shared" si="471"/>
        <v>-50</v>
      </c>
      <c r="CG170" s="173">
        <f t="shared" si="370"/>
        <v>0.34658417599272739</v>
      </c>
      <c r="CH170" s="173">
        <f t="shared" si="472"/>
        <v>9.446712174985028E-2</v>
      </c>
      <c r="CI170" s="170">
        <v>60</v>
      </c>
      <c r="CJ170" s="217">
        <f t="shared" si="438"/>
        <v>0.6</v>
      </c>
      <c r="CK170" s="217">
        <f t="shared" si="372"/>
        <v>0.06</v>
      </c>
      <c r="CL170" s="217">
        <f t="shared" si="373"/>
        <v>14.399999999999999</v>
      </c>
      <c r="CM170" s="217">
        <f t="shared" si="374"/>
        <v>1.08</v>
      </c>
      <c r="CN170" s="541">
        <f t="shared" si="375"/>
        <v>9</v>
      </c>
      <c r="CO170" s="443">
        <f t="shared" si="473"/>
        <v>16.474900000000002</v>
      </c>
      <c r="CP170" s="443">
        <f t="shared" si="474"/>
        <v>25.474900000000002</v>
      </c>
      <c r="CQ170" s="443"/>
      <c r="CR170" s="217">
        <f t="shared" si="378"/>
        <v>0.64485133082098534</v>
      </c>
      <c r="CS170" s="172">
        <f t="shared" si="379"/>
        <v>29.993085154464438</v>
      </c>
      <c r="CT170" s="172">
        <f t="shared" si="380"/>
        <v>2.4181924905786953</v>
      </c>
      <c r="CU170" s="217">
        <f t="shared" si="381"/>
        <v>1.2497118814360182</v>
      </c>
      <c r="CV170" s="217">
        <f t="shared" si="382"/>
        <v>1.6662825085813577</v>
      </c>
      <c r="CW170" s="217">
        <f t="shared" si="383"/>
        <v>24</v>
      </c>
      <c r="CX170" s="217">
        <f t="shared" si="384"/>
        <v>5.3345629226203215</v>
      </c>
      <c r="CY170" s="217">
        <f t="shared" si="385"/>
        <v>5.9272921362448017</v>
      </c>
      <c r="CZ170" s="217">
        <f t="shared" si="386"/>
        <v>3.2379941138461064</v>
      </c>
      <c r="DA170" s="197">
        <f t="shared" si="387"/>
        <v>261.91798593910079</v>
      </c>
      <c r="DB170" s="443">
        <f t="shared" si="388"/>
        <v>109.10733966329543</v>
      </c>
      <c r="DD170" s="217">
        <f t="shared" si="389"/>
        <v>2.2222222222222228</v>
      </c>
      <c r="DE170" s="173">
        <f t="shared" si="390"/>
        <v>1.3488532386977905</v>
      </c>
      <c r="DF170" s="173">
        <f t="shared" si="391"/>
        <v>0.24355939229558116</v>
      </c>
      <c r="DG170" s="173"/>
      <c r="DH170" s="173">
        <f t="shared" si="392"/>
        <v>1.3488532386977903</v>
      </c>
      <c r="DI170" s="545">
        <f t="shared" si="393"/>
        <v>600.20999999999981</v>
      </c>
      <c r="DJ170" s="528">
        <f t="shared" si="394"/>
        <v>0.26182634671774968</v>
      </c>
      <c r="DL170" s="173">
        <f t="shared" si="395"/>
        <v>2.9741745553538519</v>
      </c>
      <c r="DM170" s="173">
        <f t="shared" si="396"/>
        <v>5.3345629226203215</v>
      </c>
      <c r="DN170" s="173">
        <f t="shared" si="397"/>
        <v>3.5054375558504436</v>
      </c>
      <c r="DP170" s="545">
        <f t="shared" si="398"/>
        <v>600</v>
      </c>
      <c r="DQ170" s="460">
        <f t="shared" si="399"/>
        <v>109.10733966329543</v>
      </c>
      <c r="DS170">
        <f t="shared" si="400"/>
        <v>600</v>
      </c>
      <c r="DT170">
        <f t="shared" si="401"/>
        <v>109.10733966329543</v>
      </c>
      <c r="DV170" s="5">
        <f t="shared" si="402"/>
        <v>9.165286250090908</v>
      </c>
      <c r="DW170" s="5">
        <f t="shared" si="403"/>
        <v>5.9272921362448017</v>
      </c>
      <c r="DX170" s="5">
        <f t="shared" si="404"/>
        <v>3.2379941138461064</v>
      </c>
      <c r="DY170" s="173">
        <f t="shared" si="405"/>
        <v>0.64671107639284153</v>
      </c>
      <c r="EA170" s="5">
        <f t="shared" si="406"/>
        <v>14.818230340612004</v>
      </c>
      <c r="EB170" s="5">
        <f t="shared" si="407"/>
        <v>1.9757640454149337</v>
      </c>
      <c r="EC170" s="5">
        <f t="shared" si="408"/>
        <v>4.3173254851281406</v>
      </c>
      <c r="ED170" s="5"/>
      <c r="EE170" s="173">
        <f t="shared" si="409"/>
        <v>2.4768138321870681</v>
      </c>
      <c r="EF170" s="173">
        <f t="shared" si="410"/>
        <v>1.2210376614562792</v>
      </c>
      <c r="EG170" s="173">
        <f t="shared" si="411"/>
        <v>0.12226877123501387</v>
      </c>
      <c r="EH170" s="173"/>
      <c r="EI170" s="528">
        <f t="shared" si="412"/>
        <v>0.24538427037252761</v>
      </c>
      <c r="EJ170" s="528">
        <f t="shared" si="413"/>
        <v>0.4077537750000001</v>
      </c>
      <c r="EK170" s="528">
        <f t="shared" si="414"/>
        <v>2.1821467932659086E-2</v>
      </c>
      <c r="EL170" s="528">
        <f t="shared" si="415"/>
        <v>1.239130340862224E-2</v>
      </c>
      <c r="EM170">
        <f t="shared" si="416"/>
        <v>4.0499999999999998E-3</v>
      </c>
      <c r="EN170" s="460">
        <f t="shared" si="417"/>
        <v>25.871467932659083</v>
      </c>
      <c r="EP170" s="460">
        <f t="shared" si="439"/>
        <v>691.40081671380904</v>
      </c>
      <c r="EQ170" s="173">
        <f t="shared" si="418"/>
        <v>0.42</v>
      </c>
      <c r="ER170" s="173">
        <f t="shared" si="475"/>
        <v>3.7199999999999997E-2</v>
      </c>
      <c r="ES170" s="528"/>
      <c r="EU170" s="460">
        <f t="shared" ref="EU170:EU210" si="497">SUM(EQ170:ET170)*1000</f>
        <v>457.2</v>
      </c>
      <c r="EV170" s="528">
        <f t="shared" si="421"/>
        <v>0.1840382027793957</v>
      </c>
      <c r="EW170" s="528">
        <f t="shared" si="422"/>
        <v>4.4727989120838578E-2</v>
      </c>
      <c r="EX170" s="528">
        <f t="shared" si="423"/>
        <v>7.4748262096600767E-5</v>
      </c>
      <c r="EY170" s="528">
        <f t="shared" si="424"/>
        <v>0.40865049202349168</v>
      </c>
      <c r="EZ170" s="528"/>
      <c r="FA170" s="625">
        <f t="shared" si="425"/>
        <v>0.62098576735916367</v>
      </c>
      <c r="FB170" s="460">
        <f t="shared" ref="FB170:FB192" si="498">SUM(EV170:FA170)*1000</f>
        <v>1258.4771995449864</v>
      </c>
      <c r="FC170" s="173">
        <f t="shared" si="427"/>
        <v>2.407078016258795</v>
      </c>
      <c r="FD170" s="5">
        <f t="shared" si="428"/>
        <v>15.479999999999999</v>
      </c>
      <c r="FE170" s="173">
        <f t="shared" si="429"/>
        <v>0.86542922135908185</v>
      </c>
      <c r="FF170" s="5">
        <f t="shared" si="430"/>
        <v>86.542922135908185</v>
      </c>
      <c r="FG170">
        <f t="shared" si="431"/>
        <v>60</v>
      </c>
      <c r="FI170" s="562">
        <f t="shared" si="432"/>
        <v>-50</v>
      </c>
      <c r="FJ170">
        <f t="shared" si="433"/>
        <v>-50</v>
      </c>
    </row>
    <row r="171" spans="5:166">
      <c r="E171" s="170">
        <v>61</v>
      </c>
      <c r="F171" s="217">
        <f t="shared" si="476"/>
        <v>0.61</v>
      </c>
      <c r="G171" s="217">
        <f t="shared" si="444"/>
        <v>6.0999999999999999E-2</v>
      </c>
      <c r="H171" s="217">
        <f t="shared" si="445"/>
        <v>14.64</v>
      </c>
      <c r="I171" s="217">
        <f t="shared" si="446"/>
        <v>1.0979999999999999</v>
      </c>
      <c r="J171" s="541">
        <f t="shared" si="447"/>
        <v>8.7645317435602532</v>
      </c>
      <c r="K171" s="443">
        <f t="shared" si="448"/>
        <v>16.510118284173068</v>
      </c>
      <c r="L171" s="172">
        <f t="shared" si="449"/>
        <v>25.274650027733323</v>
      </c>
      <c r="M171" s="443"/>
      <c r="N171" s="217">
        <f t="shared" si="450"/>
        <v>0.65322836383715999</v>
      </c>
      <c r="O171" s="172">
        <f t="shared" si="451"/>
        <v>29.587807393512737</v>
      </c>
      <c r="P171" s="172">
        <f t="shared" si="452"/>
        <v>2.3855169711019641</v>
      </c>
      <c r="Q171" s="217">
        <f t="shared" si="322"/>
        <v>1.2328253080630307</v>
      </c>
      <c r="R171" s="217">
        <f t="shared" si="453"/>
        <v>1.6437670774173743</v>
      </c>
      <c r="S171" s="217">
        <f t="shared" si="454"/>
        <v>24</v>
      </c>
      <c r="T171" s="217">
        <f t="shared" si="455"/>
        <v>5.4977600909465183</v>
      </c>
      <c r="U171" s="217">
        <f t="shared" si="326"/>
        <v>6.2727368121930782</v>
      </c>
      <c r="V171" s="217">
        <f t="shared" si="327"/>
        <v>3.3299337995759739</v>
      </c>
      <c r="W171" s="197">
        <f t="shared" si="328"/>
        <v>257.63583287901213</v>
      </c>
      <c r="X171" s="443">
        <f t="shared" si="435"/>
        <v>102.01301661604374</v>
      </c>
      <c r="Z171" s="217">
        <f t="shared" si="329"/>
        <v>2.2222222222222223</v>
      </c>
      <c r="AA171" s="173">
        <f t="shared" si="330"/>
        <v>1.3459759548497539</v>
      </c>
      <c r="AB171" s="173">
        <f t="shared" si="456"/>
        <v>0.23906633728228863</v>
      </c>
      <c r="AC171" s="173"/>
      <c r="AD171" s="173">
        <f t="shared" si="332"/>
        <v>1.3459759548497539</v>
      </c>
      <c r="AE171" s="545">
        <f t="shared" si="457"/>
        <v>611.51794934107284</v>
      </c>
      <c r="AF171" s="528">
        <f t="shared" si="458"/>
        <v>0.25699631257846028</v>
      </c>
      <c r="AH171" s="173">
        <f t="shared" si="459"/>
        <v>2.9988569250870998</v>
      </c>
      <c r="AI171" s="173">
        <f t="shared" si="460"/>
        <v>5.4977600909465183</v>
      </c>
      <c r="AJ171" s="173">
        <f t="shared" si="461"/>
        <v>3.6263243472031821</v>
      </c>
      <c r="AL171" s="545">
        <f t="shared" si="462"/>
        <v>610</v>
      </c>
      <c r="AM171" s="460">
        <f t="shared" si="463"/>
        <v>102.01301661604374</v>
      </c>
      <c r="AO171">
        <f t="shared" si="340"/>
        <v>610</v>
      </c>
      <c r="AP171">
        <f t="shared" si="341"/>
        <v>102.01301661604374</v>
      </c>
      <c r="AR171" s="5">
        <f t="shared" si="443"/>
        <v>9.8026706117690523</v>
      </c>
      <c r="AS171" s="5">
        <f t="shared" si="440"/>
        <v>6.2727368121930782</v>
      </c>
      <c r="AT171" s="5">
        <f t="shared" si="441"/>
        <v>3.5299337995759741</v>
      </c>
      <c r="AU171" s="173">
        <f t="shared" si="442"/>
        <v>0.63990080465032173</v>
      </c>
      <c r="AW171" s="5">
        <f t="shared" si="477"/>
        <v>15.943206064324075</v>
      </c>
      <c r="AX171" s="5">
        <f t="shared" si="478"/>
        <v>2.1257608085765431</v>
      </c>
      <c r="AY171" s="5">
        <f t="shared" si="479"/>
        <v>4.9135759461957642</v>
      </c>
      <c r="AZ171" s="5"/>
      <c r="BA171" s="173">
        <f t="shared" si="480"/>
        <v>2.5391098200954514</v>
      </c>
      <c r="BB171" s="173">
        <f t="shared" si="481"/>
        <v>1.2704631312506354</v>
      </c>
      <c r="BC171" s="173">
        <f t="shared" si="482"/>
        <v>0.12721799733198927</v>
      </c>
      <c r="BD171" s="173"/>
      <c r="BE171" s="528">
        <f t="shared" si="483"/>
        <v>0.25788314714020621</v>
      </c>
      <c r="BF171" s="528">
        <f t="shared" si="464"/>
        <v>0.31894003931300224</v>
      </c>
      <c r="BG171" s="528">
        <f t="shared" si="465"/>
        <v>3.5763852895506196E-2</v>
      </c>
      <c r="BH171" s="528">
        <f t="shared" si="484"/>
        <v>1.1404176767916045E-2</v>
      </c>
      <c r="BI171">
        <f t="shared" si="485"/>
        <v>3.9440392846021135E-3</v>
      </c>
      <c r="BJ171" s="460">
        <f t="shared" si="436"/>
        <v>39.70789218010831</v>
      </c>
      <c r="BK171">
        <f t="shared" si="466"/>
        <v>0.70079569247480222</v>
      </c>
      <c r="BL171" s="460">
        <f t="shared" si="437"/>
        <v>627.93525540123289</v>
      </c>
      <c r="BM171" s="173">
        <f t="shared" si="467"/>
        <v>0.52947999999999995</v>
      </c>
      <c r="BN171" s="173">
        <f t="shared" si="468"/>
        <v>5.2947999999999995E-2</v>
      </c>
      <c r="BO171" s="528"/>
      <c r="BQ171" s="460">
        <f t="shared" si="486"/>
        <v>582.428</v>
      </c>
      <c r="BR171" s="528">
        <f t="shared" si="487"/>
        <v>0.19341236035515466</v>
      </c>
      <c r="BS171" s="528">
        <f t="shared" si="488"/>
        <v>4.8422297036015069E-2</v>
      </c>
      <c r="BT171" s="528">
        <f t="shared" si="489"/>
        <v>8.0922094225810147E-5</v>
      </c>
      <c r="BU171" s="528">
        <f t="shared" si="490"/>
        <v>0.37245468438644957</v>
      </c>
      <c r="BV171" s="528"/>
      <c r="BW171" s="625">
        <f t="shared" si="469"/>
        <v>0.61667615315597368</v>
      </c>
      <c r="BX171" s="460">
        <f t="shared" si="491"/>
        <v>1231.0464170278187</v>
      </c>
      <c r="BY171" s="173">
        <f t="shared" si="492"/>
        <v>2.4414096724290517</v>
      </c>
      <c r="BZ171" s="5">
        <f t="shared" si="493"/>
        <v>15.738</v>
      </c>
      <c r="CA171" s="173">
        <f t="shared" si="494"/>
        <v>0.86570467818150876</v>
      </c>
      <c r="CB171" s="5">
        <f t="shared" si="495"/>
        <v>86.570467818150874</v>
      </c>
      <c r="CC171">
        <f t="shared" si="496"/>
        <v>61</v>
      </c>
      <c r="CE171" s="562">
        <f t="shared" si="470"/>
        <v>-50</v>
      </c>
      <c r="CF171">
        <f t="shared" si="471"/>
        <v>-50</v>
      </c>
      <c r="CG171" s="173">
        <f t="shared" si="370"/>
        <v>0.34658417599272739</v>
      </c>
      <c r="CH171" s="173">
        <f t="shared" si="472"/>
        <v>9.4467121749850266E-2</v>
      </c>
      <c r="CI171" s="170">
        <v>61</v>
      </c>
      <c r="CJ171" s="217">
        <f t="shared" si="438"/>
        <v>0.61</v>
      </c>
      <c r="CK171" s="217">
        <f t="shared" si="372"/>
        <v>6.0999999999999999E-2</v>
      </c>
      <c r="CL171" s="217">
        <f t="shared" si="373"/>
        <v>14.64</v>
      </c>
      <c r="CM171" s="217">
        <f t="shared" si="374"/>
        <v>1.0979999999999999</v>
      </c>
      <c r="CN171" s="541">
        <f t="shared" si="375"/>
        <v>9</v>
      </c>
      <c r="CO171" s="443">
        <f t="shared" si="473"/>
        <v>16.474900000000002</v>
      </c>
      <c r="CP171" s="443">
        <f t="shared" si="474"/>
        <v>25.474900000000002</v>
      </c>
      <c r="CQ171" s="443"/>
      <c r="CR171" s="217">
        <f t="shared" si="378"/>
        <v>0.64485133082098534</v>
      </c>
      <c r="CS171" s="172">
        <f t="shared" si="379"/>
        <v>29.993085154464438</v>
      </c>
      <c r="CT171" s="172">
        <f t="shared" si="380"/>
        <v>2.4181924905786953</v>
      </c>
      <c r="CU171" s="217">
        <f t="shared" si="381"/>
        <v>1.2497118814360182</v>
      </c>
      <c r="CV171" s="217">
        <f t="shared" si="382"/>
        <v>1.6662825085813577</v>
      </c>
      <c r="CW171" s="217">
        <f t="shared" si="383"/>
        <v>24</v>
      </c>
      <c r="CX171" s="217">
        <f t="shared" si="384"/>
        <v>5.4234723046639939</v>
      </c>
      <c r="CY171" s="217">
        <f t="shared" si="385"/>
        <v>6.0260803385155493</v>
      </c>
      <c r="CZ171" s="217">
        <f t="shared" si="386"/>
        <v>3.2919606824102083</v>
      </c>
      <c r="DA171" s="197">
        <f t="shared" si="387"/>
        <v>261.91798593910079</v>
      </c>
      <c r="DB171" s="443">
        <f t="shared" si="388"/>
        <v>107.31869475078237</v>
      </c>
      <c r="DD171" s="217">
        <f t="shared" si="389"/>
        <v>2.2222222222222228</v>
      </c>
      <c r="DE171" s="173">
        <f t="shared" si="390"/>
        <v>1.3488532386977905</v>
      </c>
      <c r="DF171" s="173">
        <f t="shared" si="391"/>
        <v>0.24355939229558116</v>
      </c>
      <c r="DG171" s="173"/>
      <c r="DH171" s="173">
        <f t="shared" si="392"/>
        <v>1.3488532386977903</v>
      </c>
      <c r="DI171" s="545">
        <f t="shared" si="393"/>
        <v>610.21349999999973</v>
      </c>
      <c r="DJ171" s="528">
        <f t="shared" si="394"/>
        <v>0.26182634671774968</v>
      </c>
      <c r="DL171" s="173">
        <f t="shared" si="395"/>
        <v>2.9988569250870998</v>
      </c>
      <c r="DM171" s="173">
        <f t="shared" si="396"/>
        <v>5.4234723046639939</v>
      </c>
      <c r="DN171" s="173">
        <f t="shared" si="397"/>
        <v>3.5712963573642753</v>
      </c>
      <c r="DP171" s="545">
        <f t="shared" si="398"/>
        <v>610</v>
      </c>
      <c r="DQ171" s="460">
        <f t="shared" si="399"/>
        <v>107.31869475078237</v>
      </c>
      <c r="DS171">
        <f t="shared" si="400"/>
        <v>610</v>
      </c>
      <c r="DT171">
        <f t="shared" si="401"/>
        <v>107.31869475078237</v>
      </c>
      <c r="DV171" s="5">
        <f t="shared" si="402"/>
        <v>9.318041020925758</v>
      </c>
      <c r="DW171" s="5">
        <f t="shared" si="403"/>
        <v>6.0260803385155493</v>
      </c>
      <c r="DX171" s="5">
        <f t="shared" si="404"/>
        <v>3.2919606824102088</v>
      </c>
      <c r="DY171" s="173">
        <f t="shared" si="405"/>
        <v>0.64671107639284153</v>
      </c>
      <c r="EA171" s="5">
        <f t="shared" si="406"/>
        <v>15.316287527060354</v>
      </c>
      <c r="EB171" s="5">
        <f t="shared" si="407"/>
        <v>2.0421716702747141</v>
      </c>
      <c r="EC171" s="5">
        <f t="shared" si="408"/>
        <v>4.4624355917116159</v>
      </c>
      <c r="ED171" s="5"/>
      <c r="EE171" s="173">
        <f t="shared" si="409"/>
        <v>2.5180940627235193</v>
      </c>
      <c r="EF171" s="173">
        <f t="shared" si="410"/>
        <v>1.2413882891472172</v>
      </c>
      <c r="EG171" s="173">
        <f t="shared" si="411"/>
        <v>0.12430658408893079</v>
      </c>
      <c r="EH171" s="173"/>
      <c r="EI171" s="528">
        <f t="shared" si="412"/>
        <v>0.25363190834893756</v>
      </c>
      <c r="EJ171" s="528">
        <f t="shared" si="413"/>
        <v>0.40775377499999998</v>
      </c>
      <c r="EK171" s="528">
        <f t="shared" si="414"/>
        <v>2.1463738950156474E-2</v>
      </c>
      <c r="EL171" s="528">
        <f t="shared" si="415"/>
        <v>1.2188167287169411E-2</v>
      </c>
      <c r="EM171">
        <f t="shared" si="416"/>
        <v>4.0499999999999998E-3</v>
      </c>
      <c r="EN171" s="460">
        <f t="shared" si="417"/>
        <v>25.513738950156476</v>
      </c>
      <c r="EP171" s="460">
        <f t="shared" si="439"/>
        <v>699.08758958626345</v>
      </c>
      <c r="EQ171" s="173">
        <f t="shared" si="418"/>
        <v>0.42699999999999999</v>
      </c>
      <c r="ER171" s="173">
        <f t="shared" si="475"/>
        <v>3.7819999999999999E-2</v>
      </c>
      <c r="ES171" s="528"/>
      <c r="EU171" s="460">
        <f t="shared" si="497"/>
        <v>464.82</v>
      </c>
      <c r="EV171" s="528">
        <f t="shared" si="421"/>
        <v>0.19022393126170317</v>
      </c>
      <c r="EW171" s="528">
        <f t="shared" si="422"/>
        <v>4.6231346532955644E-2</v>
      </c>
      <c r="EX171" s="528">
        <f t="shared" si="423"/>
        <v>7.726063423929211E-5</v>
      </c>
      <c r="EY171" s="528">
        <f t="shared" si="424"/>
        <v>0.40865049202349168</v>
      </c>
      <c r="EZ171" s="528"/>
      <c r="FA171" s="625">
        <f t="shared" si="425"/>
        <v>0.63133553014848298</v>
      </c>
      <c r="FB171" s="460">
        <f t="shared" si="498"/>
        <v>1276.5185606008727</v>
      </c>
      <c r="FC171" s="173">
        <f t="shared" si="427"/>
        <v>2.440426150187136</v>
      </c>
      <c r="FD171" s="5">
        <f t="shared" si="428"/>
        <v>15.738</v>
      </c>
      <c r="FE171" s="173">
        <f t="shared" si="429"/>
        <v>0.8657515161089997</v>
      </c>
      <c r="FF171" s="5">
        <f t="shared" si="430"/>
        <v>86.575151610899965</v>
      </c>
      <c r="FG171">
        <f t="shared" si="431"/>
        <v>61</v>
      </c>
      <c r="FI171" s="562">
        <f t="shared" si="432"/>
        <v>-50</v>
      </c>
      <c r="FJ171">
        <f t="shared" si="433"/>
        <v>-50</v>
      </c>
    </row>
    <row r="172" spans="5:166">
      <c r="E172" s="170">
        <v>62</v>
      </c>
      <c r="F172" s="217">
        <f t="shared" si="476"/>
        <v>0.62</v>
      </c>
      <c r="G172" s="217">
        <f t="shared" si="444"/>
        <v>6.2E-2</v>
      </c>
      <c r="H172" s="217">
        <f t="shared" si="445"/>
        <v>14.879999999999999</v>
      </c>
      <c r="I172" s="217">
        <f t="shared" si="446"/>
        <v>1.1160000000000001</v>
      </c>
      <c r="J172" s="541">
        <f t="shared" si="447"/>
        <v>8.7606716082087814</v>
      </c>
      <c r="K172" s="443">
        <f t="shared" si="448"/>
        <v>16.510695633093935</v>
      </c>
      <c r="L172" s="172">
        <f t="shared" si="449"/>
        <v>25.271367241302716</v>
      </c>
      <c r="M172" s="443"/>
      <c r="N172" s="217">
        <f t="shared" si="450"/>
        <v>0.65333606509858244</v>
      </c>
      <c r="O172" s="172">
        <f t="shared" si="451"/>
        <v>29.579652279731238</v>
      </c>
      <c r="P172" s="172">
        <f t="shared" si="452"/>
        <v>2.384859465053331</v>
      </c>
      <c r="Q172" s="217">
        <f t="shared" si="322"/>
        <v>1.2324855116554683</v>
      </c>
      <c r="R172" s="217">
        <f t="shared" si="453"/>
        <v>1.6433140155406243</v>
      </c>
      <c r="S172" s="217">
        <f t="shared" si="454"/>
        <v>24</v>
      </c>
      <c r="T172" s="217">
        <f t="shared" si="455"/>
        <v>5.5894278867714782</v>
      </c>
      <c r="U172" s="217">
        <f t="shared" si="326"/>
        <v>6.3801362917589151</v>
      </c>
      <c r="V172" s="217">
        <f t="shared" si="327"/>
        <v>3.3853376084094631</v>
      </c>
      <c r="W172" s="197">
        <f t="shared" si="328"/>
        <v>257.56482222575977</v>
      </c>
      <c r="X172" s="443">
        <f t="shared" si="435"/>
        <v>100.34645717983406</v>
      </c>
      <c r="Z172" s="217">
        <f t="shared" si="329"/>
        <v>2.2222222222222223</v>
      </c>
      <c r="AA172" s="173">
        <f t="shared" si="330"/>
        <v>1.3459288885248506</v>
      </c>
      <c r="AB172" s="173">
        <f t="shared" si="456"/>
        <v>0.23899208742040884</v>
      </c>
      <c r="AC172" s="173"/>
      <c r="AD172" s="173">
        <f t="shared" si="332"/>
        <v>1.3459288885248506</v>
      </c>
      <c r="AE172" s="545">
        <f t="shared" si="457"/>
        <v>621.56456873611478</v>
      </c>
      <c r="AF172" s="528">
        <f t="shared" si="458"/>
        <v>0.25691649397693955</v>
      </c>
      <c r="AH172" s="173">
        <f t="shared" si="459"/>
        <v>3.0233377959750753</v>
      </c>
      <c r="AI172" s="173">
        <f t="shared" si="460"/>
        <v>5.5894278867714782</v>
      </c>
      <c r="AJ172" s="173">
        <f t="shared" si="461"/>
        <v>3.694226418184634</v>
      </c>
      <c r="AL172" s="545">
        <f t="shared" si="462"/>
        <v>620</v>
      </c>
      <c r="AM172" s="460">
        <f t="shared" si="463"/>
        <v>100.34645717983406</v>
      </c>
      <c r="AO172">
        <f t="shared" si="340"/>
        <v>620</v>
      </c>
      <c r="AP172">
        <f t="shared" si="341"/>
        <v>100.34645717983406</v>
      </c>
      <c r="AR172" s="5">
        <f t="shared" si="443"/>
        <v>9.9654739001683765</v>
      </c>
      <c r="AS172" s="5">
        <f t="shared" si="440"/>
        <v>6.3801362917589151</v>
      </c>
      <c r="AT172" s="5">
        <f t="shared" si="441"/>
        <v>3.5853376084094615</v>
      </c>
      <c r="AU172" s="173">
        <f t="shared" si="442"/>
        <v>0.64022407320249131</v>
      </c>
      <c r="AW172" s="5">
        <f t="shared" si="477"/>
        <v>16.482018753710534</v>
      </c>
      <c r="AX172" s="5">
        <f t="shared" si="478"/>
        <v>2.1976025004947375</v>
      </c>
      <c r="AY172" s="5">
        <f t="shared" si="479"/>
        <v>5.0747463587859896</v>
      </c>
      <c r="AZ172" s="5"/>
      <c r="BA172" s="173">
        <f t="shared" si="480"/>
        <v>2.5820980522046564</v>
      </c>
      <c r="BB172" s="173">
        <f t="shared" si="481"/>
        <v>1.2910665054948731</v>
      </c>
      <c r="BC172" s="173">
        <f t="shared" si="482"/>
        <v>0.12928111899617575</v>
      </c>
      <c r="BD172" s="173"/>
      <c r="BE172" s="528">
        <f t="shared" si="483"/>
        <v>0.2666892140479632</v>
      </c>
      <c r="BF172" s="528">
        <f t="shared" si="464"/>
        <v>0.31891919438395849</v>
      </c>
      <c r="BG172" s="528">
        <f t="shared" si="465"/>
        <v>3.5164094335988418E-2</v>
      </c>
      <c r="BH172" s="528">
        <f t="shared" si="484"/>
        <v>1.1214955908012518E-2</v>
      </c>
      <c r="BI172">
        <f t="shared" si="485"/>
        <v>3.9423022236939513E-3</v>
      </c>
      <c r="BJ172" s="460">
        <f t="shared" si="436"/>
        <v>39.106396559682373</v>
      </c>
      <c r="BK172">
        <f t="shared" si="466"/>
        <v>0.71407720963078947</v>
      </c>
      <c r="BL172" s="460">
        <f t="shared" si="437"/>
        <v>635.92976089961667</v>
      </c>
      <c r="BM172" s="173">
        <f t="shared" si="467"/>
        <v>0.53815999999999997</v>
      </c>
      <c r="BN172" s="173">
        <f t="shared" si="468"/>
        <v>5.3815999999999996E-2</v>
      </c>
      <c r="BO172" s="528"/>
      <c r="BQ172" s="460">
        <f t="shared" si="486"/>
        <v>591.976</v>
      </c>
      <c r="BR172" s="528">
        <f t="shared" si="487"/>
        <v>0.2000169105359724</v>
      </c>
      <c r="BS172" s="528">
        <f t="shared" si="488"/>
        <v>5.0005581648322292E-2</v>
      </c>
      <c r="BT172" s="528">
        <f t="shared" si="489"/>
        <v>8.3568038644516783E-5</v>
      </c>
      <c r="BU172" s="528">
        <f t="shared" si="490"/>
        <v>0.37251477916899467</v>
      </c>
      <c r="BV172" s="528"/>
      <c r="BW172" s="625">
        <f t="shared" si="469"/>
        <v>0.62699886456761111</v>
      </c>
      <c r="BX172" s="460">
        <f t="shared" si="491"/>
        <v>1249.6197039595449</v>
      </c>
      <c r="BY172" s="173">
        <f t="shared" si="492"/>
        <v>2.4775254648591618</v>
      </c>
      <c r="BZ172" s="5">
        <f t="shared" si="493"/>
        <v>15.995999999999999</v>
      </c>
      <c r="CA172" s="173">
        <f t="shared" si="494"/>
        <v>0.86588778251493048</v>
      </c>
      <c r="CB172" s="5">
        <f t="shared" si="495"/>
        <v>86.588778251493054</v>
      </c>
      <c r="CC172">
        <f t="shared" si="496"/>
        <v>62</v>
      </c>
      <c r="CE172" s="562">
        <f t="shared" si="470"/>
        <v>-50</v>
      </c>
      <c r="CF172">
        <f t="shared" si="471"/>
        <v>-50</v>
      </c>
      <c r="CG172" s="173">
        <f t="shared" si="370"/>
        <v>0.34658417599272739</v>
      </c>
      <c r="CH172" s="173">
        <f t="shared" si="472"/>
        <v>9.446712174985028E-2</v>
      </c>
      <c r="CI172" s="170">
        <v>62</v>
      </c>
      <c r="CJ172" s="217">
        <f t="shared" si="438"/>
        <v>0.62</v>
      </c>
      <c r="CK172" s="217">
        <f t="shared" si="372"/>
        <v>6.2E-2</v>
      </c>
      <c r="CL172" s="217">
        <f t="shared" si="373"/>
        <v>14.879999999999999</v>
      </c>
      <c r="CM172" s="217">
        <f t="shared" si="374"/>
        <v>1.1160000000000001</v>
      </c>
      <c r="CN172" s="541">
        <f t="shared" si="375"/>
        <v>9</v>
      </c>
      <c r="CO172" s="443">
        <f t="shared" si="473"/>
        <v>16.474900000000002</v>
      </c>
      <c r="CP172" s="443">
        <f t="shared" si="474"/>
        <v>25.474900000000002</v>
      </c>
      <c r="CQ172" s="443"/>
      <c r="CR172" s="217">
        <f t="shared" si="378"/>
        <v>0.64485133082098534</v>
      </c>
      <c r="CS172" s="172">
        <f t="shared" si="379"/>
        <v>29.993085154464438</v>
      </c>
      <c r="CT172" s="172">
        <f t="shared" si="380"/>
        <v>2.4181924905786953</v>
      </c>
      <c r="CU172" s="217">
        <f t="shared" si="381"/>
        <v>1.2497118814360182</v>
      </c>
      <c r="CV172" s="217">
        <f t="shared" si="382"/>
        <v>1.6662825085813577</v>
      </c>
      <c r="CW172" s="217">
        <f t="shared" si="383"/>
        <v>24</v>
      </c>
      <c r="CX172" s="217">
        <f t="shared" si="384"/>
        <v>5.5123816867076654</v>
      </c>
      <c r="CY172" s="217">
        <f t="shared" si="385"/>
        <v>6.1248685407862959</v>
      </c>
      <c r="CZ172" s="217">
        <f t="shared" si="386"/>
        <v>3.3459272509743099</v>
      </c>
      <c r="DA172" s="197">
        <f t="shared" si="387"/>
        <v>261.91798593910079</v>
      </c>
      <c r="DB172" s="443">
        <f t="shared" si="388"/>
        <v>105.58774806125363</v>
      </c>
      <c r="DD172" s="217">
        <f t="shared" si="389"/>
        <v>2.2222222222222228</v>
      </c>
      <c r="DE172" s="173">
        <f t="shared" si="390"/>
        <v>1.3488532386977905</v>
      </c>
      <c r="DF172" s="173">
        <f t="shared" si="391"/>
        <v>0.24355939229558116</v>
      </c>
      <c r="DG172" s="173"/>
      <c r="DH172" s="173">
        <f t="shared" si="392"/>
        <v>1.3488532386977903</v>
      </c>
      <c r="DI172" s="545">
        <f t="shared" si="393"/>
        <v>620.21699999999976</v>
      </c>
      <c r="DJ172" s="528">
        <f t="shared" si="394"/>
        <v>0.26182634671774968</v>
      </c>
      <c r="DL172" s="173">
        <f t="shared" si="395"/>
        <v>3.0233377959750753</v>
      </c>
      <c r="DM172" s="173">
        <f t="shared" si="396"/>
        <v>5.5123816867076654</v>
      </c>
      <c r="DN172" s="173">
        <f t="shared" si="397"/>
        <v>3.6371551588781061</v>
      </c>
      <c r="DP172" s="545">
        <f t="shared" si="398"/>
        <v>620</v>
      </c>
      <c r="DQ172" s="460">
        <f t="shared" si="399"/>
        <v>105.58774806125363</v>
      </c>
      <c r="DS172">
        <f t="shared" si="400"/>
        <v>620</v>
      </c>
      <c r="DT172">
        <f t="shared" si="401"/>
        <v>105.58774806125363</v>
      </c>
      <c r="DV172" s="5">
        <f t="shared" si="402"/>
        <v>9.4707957917606063</v>
      </c>
      <c r="DW172" s="5">
        <f t="shared" si="403"/>
        <v>6.1248685407862959</v>
      </c>
      <c r="DX172" s="5">
        <f t="shared" si="404"/>
        <v>3.3459272509743103</v>
      </c>
      <c r="DY172" s="173">
        <f t="shared" si="405"/>
        <v>0.64671107639284153</v>
      </c>
      <c r="EA172" s="5">
        <f t="shared" si="406"/>
        <v>15.822577063697929</v>
      </c>
      <c r="EB172" s="5">
        <f t="shared" si="407"/>
        <v>2.1096769418263905</v>
      </c>
      <c r="EC172" s="5">
        <f t="shared" si="408"/>
        <v>4.6099442124534935</v>
      </c>
      <c r="ED172" s="5"/>
      <c r="EE172" s="173">
        <f t="shared" si="409"/>
        <v>2.5593742932599701</v>
      </c>
      <c r="EF172" s="173">
        <f t="shared" si="410"/>
        <v>1.2617389168381552</v>
      </c>
      <c r="EG172" s="173">
        <f t="shared" si="411"/>
        <v>0.12634439694284766</v>
      </c>
      <c r="EH172" s="173"/>
      <c r="EI172" s="528">
        <f t="shared" si="412"/>
        <v>0.26201587091999889</v>
      </c>
      <c r="EJ172" s="528">
        <f t="shared" si="413"/>
        <v>0.40775377500000004</v>
      </c>
      <c r="EK172" s="528">
        <f t="shared" si="414"/>
        <v>2.1117549612250725E-2</v>
      </c>
      <c r="EL172" s="528">
        <f t="shared" si="415"/>
        <v>1.1991583943827972E-2</v>
      </c>
      <c r="EM172">
        <f t="shared" si="416"/>
        <v>4.0499999999999998E-3</v>
      </c>
      <c r="EN172" s="460">
        <f t="shared" si="417"/>
        <v>25.167549612250728</v>
      </c>
      <c r="EP172" s="460">
        <f t="shared" si="439"/>
        <v>706.92877947607758</v>
      </c>
      <c r="EQ172" s="173">
        <f t="shared" si="418"/>
        <v>0.434</v>
      </c>
      <c r="ER172" s="173">
        <f t="shared" si="475"/>
        <v>3.8440000000000002E-2</v>
      </c>
      <c r="ES172" s="528"/>
      <c r="EU172" s="460">
        <f t="shared" si="497"/>
        <v>472.44</v>
      </c>
      <c r="EV172" s="528">
        <f t="shared" si="421"/>
        <v>0.19651190318999914</v>
      </c>
      <c r="EW172" s="528">
        <f t="shared" si="422"/>
        <v>4.7759552827917634E-2</v>
      </c>
      <c r="EX172" s="528">
        <f t="shared" si="423"/>
        <v>7.9814533194259258E-5</v>
      </c>
      <c r="EY172" s="528">
        <f t="shared" si="424"/>
        <v>0.40865049202349207</v>
      </c>
      <c r="EZ172" s="528"/>
      <c r="FA172" s="625">
        <f t="shared" si="425"/>
        <v>0.6416852929378023</v>
      </c>
      <c r="FB172" s="460">
        <f t="shared" si="498"/>
        <v>1294.6870555124055</v>
      </c>
      <c r="FC172" s="173">
        <f t="shared" si="427"/>
        <v>2.4740558349884827</v>
      </c>
      <c r="FD172" s="5">
        <f t="shared" si="428"/>
        <v>15.995999999999999</v>
      </c>
      <c r="FE172" s="173">
        <f t="shared" si="429"/>
        <v>0.86605044093576633</v>
      </c>
      <c r="FF172" s="5">
        <f t="shared" si="430"/>
        <v>86.605044093576637</v>
      </c>
      <c r="FG172">
        <f t="shared" si="431"/>
        <v>62</v>
      </c>
      <c r="FI172" s="562">
        <f t="shared" si="432"/>
        <v>-50</v>
      </c>
      <c r="FJ172">
        <f t="shared" si="433"/>
        <v>-50</v>
      </c>
    </row>
    <row r="173" spans="5:166">
      <c r="E173" s="170">
        <v>63</v>
      </c>
      <c r="F173" s="217">
        <f t="shared" si="476"/>
        <v>0.63</v>
      </c>
      <c r="G173" s="217">
        <f t="shared" si="444"/>
        <v>6.3E-2</v>
      </c>
      <c r="H173" s="217">
        <f t="shared" si="445"/>
        <v>15.120000000000001</v>
      </c>
      <c r="I173" s="217">
        <f t="shared" si="446"/>
        <v>1.1339999999999999</v>
      </c>
      <c r="J173" s="541">
        <f t="shared" si="447"/>
        <v>8.7568114728573097</v>
      </c>
      <c r="K173" s="443">
        <f t="shared" si="448"/>
        <v>16.511272982014805</v>
      </c>
      <c r="L173" s="172">
        <f t="shared" si="449"/>
        <v>25.268084454872117</v>
      </c>
      <c r="M173" s="443"/>
      <c r="N173" s="217">
        <f t="shared" si="450"/>
        <v>0.65344379434473321</v>
      </c>
      <c r="O173" s="172">
        <f t="shared" si="451"/>
        <v>29.571494135324919</v>
      </c>
      <c r="P173" s="172">
        <f t="shared" si="452"/>
        <v>2.3842017146605716</v>
      </c>
      <c r="Q173" s="217">
        <f t="shared" si="322"/>
        <v>1.2321455889718715</v>
      </c>
      <c r="R173" s="217">
        <f t="shared" si="453"/>
        <v>1.6428607852958288</v>
      </c>
      <c r="S173" s="217">
        <f t="shared" si="454"/>
        <v>24</v>
      </c>
      <c r="T173" s="217">
        <f t="shared" si="455"/>
        <v>5.681146824411349</v>
      </c>
      <c r="U173" s="217">
        <f t="shared" si="326"/>
        <v>6.48768886028971</v>
      </c>
      <c r="V173" s="217">
        <f t="shared" si="327"/>
        <v>3.4407685165157398</v>
      </c>
      <c r="W173" s="197">
        <f t="shared" si="328"/>
        <v>257.49378518334174</v>
      </c>
      <c r="X173" s="443">
        <f t="shared" si="435"/>
        <v>98.731718246653998</v>
      </c>
      <c r="Z173" s="217">
        <f t="shared" si="329"/>
        <v>2.2222222222222223</v>
      </c>
      <c r="AA173" s="173">
        <f t="shared" si="330"/>
        <v>1.3458818254914793</v>
      </c>
      <c r="AB173" s="173">
        <f t="shared" si="456"/>
        <v>0.23891781826569819</v>
      </c>
      <c r="AC173" s="173"/>
      <c r="AD173" s="173">
        <f t="shared" si="332"/>
        <v>1.3458818254914793</v>
      </c>
      <c r="AE173" s="545">
        <f t="shared" si="457"/>
        <v>631.61188925953161</v>
      </c>
      <c r="AF173" s="528">
        <f t="shared" si="458"/>
        <v>0.25683665463562555</v>
      </c>
      <c r="AH173" s="173">
        <f t="shared" si="459"/>
        <v>3.0476220238080707</v>
      </c>
      <c r="AI173" s="173">
        <f t="shared" si="460"/>
        <v>5.681146824411349</v>
      </c>
      <c r="AJ173" s="173">
        <f t="shared" si="461"/>
        <v>3.7621663719919454</v>
      </c>
      <c r="AL173" s="545">
        <f t="shared" si="462"/>
        <v>630</v>
      </c>
      <c r="AM173" s="460">
        <f t="shared" si="463"/>
        <v>98.731718246653998</v>
      </c>
      <c r="AO173">
        <f t="shared" si="340"/>
        <v>630</v>
      </c>
      <c r="AP173">
        <f t="shared" si="341"/>
        <v>98.731718246653998</v>
      </c>
      <c r="AR173" s="5">
        <f t="shared" si="443"/>
        <v>10.12845737680545</v>
      </c>
      <c r="AS173" s="5">
        <f t="shared" si="440"/>
        <v>6.48768886028971</v>
      </c>
      <c r="AT173" s="5">
        <f t="shared" si="441"/>
        <v>3.64076851651574</v>
      </c>
      <c r="AU173" s="173">
        <f t="shared" si="442"/>
        <v>0.6405406686260795</v>
      </c>
      <c r="AW173" s="5">
        <f t="shared" si="477"/>
        <v>17.03018325826049</v>
      </c>
      <c r="AX173" s="5">
        <f t="shared" si="478"/>
        <v>2.2706911011013986</v>
      </c>
      <c r="AY173" s="5">
        <f t="shared" si="479"/>
        <v>5.2386286321555282</v>
      </c>
      <c r="AZ173" s="5"/>
      <c r="BA173" s="173">
        <f t="shared" si="480"/>
        <v>2.6251174593349695</v>
      </c>
      <c r="BB173" s="173">
        <f t="shared" si="481"/>
        <v>1.3116745768076581</v>
      </c>
      <c r="BC173" s="173">
        <f t="shared" si="482"/>
        <v>0.13134471100195599</v>
      </c>
      <c r="BD173" s="173"/>
      <c r="BE173" s="528">
        <f t="shared" si="483"/>
        <v>0.27564966701221144</v>
      </c>
      <c r="BF173" s="528">
        <f t="shared" si="464"/>
        <v>0.31889487998351052</v>
      </c>
      <c r="BG173" s="528">
        <f t="shared" si="465"/>
        <v>3.4583001723088605E-2</v>
      </c>
      <c r="BH173" s="528">
        <f t="shared" si="484"/>
        <v>1.1031622284270036E-2</v>
      </c>
      <c r="BI173">
        <f t="shared" si="485"/>
        <v>3.9405651627857892E-3</v>
      </c>
      <c r="BJ173" s="460">
        <f t="shared" si="436"/>
        <v>38.523566885874395</v>
      </c>
      <c r="BK173">
        <f t="shared" si="466"/>
        <v>0.72765915036655993</v>
      </c>
      <c r="BL173" s="460">
        <f t="shared" si="437"/>
        <v>644.09973616586637</v>
      </c>
      <c r="BM173" s="173">
        <f t="shared" si="467"/>
        <v>0.54683999999999988</v>
      </c>
      <c r="BN173" s="173">
        <f t="shared" si="468"/>
        <v>5.4684000000000003E-2</v>
      </c>
      <c r="BO173" s="528"/>
      <c r="BQ173" s="460">
        <f t="shared" si="486"/>
        <v>601.52399999999989</v>
      </c>
      <c r="BR173" s="528">
        <f t="shared" si="487"/>
        <v>0.20673725025915857</v>
      </c>
      <c r="BS173" s="528">
        <f t="shared" si="488"/>
        <v>5.1614705863306465E-2</v>
      </c>
      <c r="BT173" s="528">
        <f t="shared" si="489"/>
        <v>8.625716554093671E-5</v>
      </c>
      <c r="BU173" s="528">
        <f t="shared" si="490"/>
        <v>0.37256476184810389</v>
      </c>
      <c r="BV173" s="528"/>
      <c r="BW173" s="625">
        <f t="shared" si="469"/>
        <v>0.63732171721295094</v>
      </c>
      <c r="BX173" s="460">
        <f t="shared" si="491"/>
        <v>1268.324692349061</v>
      </c>
      <c r="BY173" s="173">
        <f t="shared" si="492"/>
        <v>2.5139484285149272</v>
      </c>
      <c r="BZ173" s="5">
        <f t="shared" si="493"/>
        <v>16.254000000000001</v>
      </c>
      <c r="CA173" s="173">
        <f t="shared" si="494"/>
        <v>0.86605097312099499</v>
      </c>
      <c r="CB173" s="5">
        <f t="shared" si="495"/>
        <v>86.605097312099502</v>
      </c>
      <c r="CC173">
        <f t="shared" si="496"/>
        <v>63</v>
      </c>
      <c r="CE173" s="562">
        <f t="shared" si="470"/>
        <v>-50</v>
      </c>
      <c r="CF173">
        <f t="shared" si="471"/>
        <v>-50</v>
      </c>
      <c r="CG173" s="173">
        <f t="shared" si="370"/>
        <v>0.34658417599272739</v>
      </c>
      <c r="CH173" s="173">
        <f t="shared" si="472"/>
        <v>9.446712174985028E-2</v>
      </c>
      <c r="CI173" s="170">
        <v>63</v>
      </c>
      <c r="CJ173" s="217">
        <f t="shared" si="438"/>
        <v>0.63</v>
      </c>
      <c r="CK173" s="217">
        <f t="shared" si="372"/>
        <v>6.3E-2</v>
      </c>
      <c r="CL173" s="217">
        <f t="shared" si="373"/>
        <v>15.120000000000001</v>
      </c>
      <c r="CM173" s="217">
        <f t="shared" si="374"/>
        <v>1.1339999999999999</v>
      </c>
      <c r="CN173" s="541">
        <f t="shared" si="375"/>
        <v>9</v>
      </c>
      <c r="CO173" s="443">
        <f t="shared" si="473"/>
        <v>16.474900000000002</v>
      </c>
      <c r="CP173" s="443">
        <f t="shared" si="474"/>
        <v>25.474900000000002</v>
      </c>
      <c r="CQ173" s="443"/>
      <c r="CR173" s="217">
        <f t="shared" si="378"/>
        <v>0.64485133082098534</v>
      </c>
      <c r="CS173" s="172">
        <f t="shared" si="379"/>
        <v>29.993085154464438</v>
      </c>
      <c r="CT173" s="172">
        <f t="shared" si="380"/>
        <v>2.4181924905786953</v>
      </c>
      <c r="CU173" s="217">
        <f t="shared" si="381"/>
        <v>1.2497118814360182</v>
      </c>
      <c r="CV173" s="217">
        <f t="shared" si="382"/>
        <v>1.6662825085813577</v>
      </c>
      <c r="CW173" s="217">
        <f t="shared" si="383"/>
        <v>24</v>
      </c>
      <c r="CX173" s="217">
        <f t="shared" si="384"/>
        <v>5.6012910687513386</v>
      </c>
      <c r="CY173" s="217">
        <f t="shared" si="385"/>
        <v>6.2236567430570435</v>
      </c>
      <c r="CZ173" s="217">
        <f t="shared" si="386"/>
        <v>3.3998938195384119</v>
      </c>
      <c r="DA173" s="197">
        <f t="shared" si="387"/>
        <v>261.91798593910079</v>
      </c>
      <c r="DB173" s="443">
        <f t="shared" si="388"/>
        <v>103.91175206028136</v>
      </c>
      <c r="DD173" s="217">
        <f t="shared" si="389"/>
        <v>2.2222222222222228</v>
      </c>
      <c r="DE173" s="173">
        <f t="shared" si="390"/>
        <v>1.3488532386977905</v>
      </c>
      <c r="DF173" s="173">
        <f t="shared" si="391"/>
        <v>0.24355939229558116</v>
      </c>
      <c r="DG173" s="173"/>
      <c r="DH173" s="173">
        <f t="shared" si="392"/>
        <v>1.3488532386977903</v>
      </c>
      <c r="DI173" s="545">
        <f t="shared" si="393"/>
        <v>630.22049999999979</v>
      </c>
      <c r="DJ173" s="528">
        <f t="shared" si="394"/>
        <v>0.26182634671774968</v>
      </c>
      <c r="DL173" s="173">
        <f t="shared" si="395"/>
        <v>3.0476220238080707</v>
      </c>
      <c r="DM173" s="173">
        <f t="shared" si="396"/>
        <v>5.6012910687513386</v>
      </c>
      <c r="DN173" s="173">
        <f t="shared" si="397"/>
        <v>3.7030139603919379</v>
      </c>
      <c r="DP173" s="545">
        <f t="shared" si="398"/>
        <v>630</v>
      </c>
      <c r="DQ173" s="460">
        <f t="shared" si="399"/>
        <v>103.91175206028136</v>
      </c>
      <c r="DS173">
        <f t="shared" si="400"/>
        <v>630</v>
      </c>
      <c r="DT173">
        <f t="shared" si="401"/>
        <v>103.91175206028136</v>
      </c>
      <c r="DV173" s="5">
        <f t="shared" si="402"/>
        <v>9.6235505625954545</v>
      </c>
      <c r="DW173" s="5">
        <f t="shared" si="403"/>
        <v>6.2236567430570435</v>
      </c>
      <c r="DX173" s="5">
        <f t="shared" si="404"/>
        <v>3.399893819538411</v>
      </c>
      <c r="DY173" s="173">
        <f t="shared" si="405"/>
        <v>0.64671107639284164</v>
      </c>
      <c r="EA173" s="5">
        <f t="shared" si="406"/>
        <v>16.337098950524741</v>
      </c>
      <c r="EB173" s="5">
        <f t="shared" si="407"/>
        <v>2.1782798600699653</v>
      </c>
      <c r="EC173" s="5">
        <f t="shared" si="408"/>
        <v>4.7598513473537745</v>
      </c>
      <c r="ED173" s="5"/>
      <c r="EE173" s="173">
        <f t="shared" si="409"/>
        <v>2.6006545237964223</v>
      </c>
      <c r="EF173" s="173">
        <f t="shared" si="410"/>
        <v>1.2820895445290932</v>
      </c>
      <c r="EG173" s="173">
        <f t="shared" si="411"/>
        <v>0.12838220979676457</v>
      </c>
      <c r="EH173" s="173"/>
      <c r="EI173" s="528">
        <f t="shared" si="412"/>
        <v>0.27053615808571185</v>
      </c>
      <c r="EJ173" s="528">
        <f t="shared" si="413"/>
        <v>0.4077537750000001</v>
      </c>
      <c r="EK173" s="528">
        <f t="shared" si="414"/>
        <v>2.0782350412056269E-2</v>
      </c>
      <c r="EL173" s="528">
        <f t="shared" si="415"/>
        <v>1.1801241341544987E-2</v>
      </c>
      <c r="EM173">
        <f t="shared" si="416"/>
        <v>4.0499999999999998E-3</v>
      </c>
      <c r="EN173" s="460">
        <f t="shared" si="417"/>
        <v>24.832350412056268</v>
      </c>
      <c r="EP173" s="460">
        <f t="shared" si="439"/>
        <v>714.92352483931325</v>
      </c>
      <c r="EQ173" s="173">
        <f t="shared" si="418"/>
        <v>0.44099999999999995</v>
      </c>
      <c r="ER173" s="173">
        <f t="shared" si="475"/>
        <v>3.9059999999999997E-2</v>
      </c>
      <c r="ES173" s="528"/>
      <c r="EU173" s="460">
        <f t="shared" si="497"/>
        <v>480.05999999999995</v>
      </c>
      <c r="EV173" s="528">
        <f t="shared" si="421"/>
        <v>0.20290211856428386</v>
      </c>
      <c r="EW173" s="528">
        <f t="shared" si="422"/>
        <v>4.9312608005724526E-2</v>
      </c>
      <c r="EX173" s="528">
        <f t="shared" si="423"/>
        <v>8.2409958961502373E-5</v>
      </c>
      <c r="EY173" s="528">
        <f t="shared" si="424"/>
        <v>0.40865049202349241</v>
      </c>
      <c r="EZ173" s="528"/>
      <c r="FA173" s="625">
        <f t="shared" si="425"/>
        <v>0.65203505572712206</v>
      </c>
      <c r="FB173" s="460">
        <f t="shared" si="498"/>
        <v>1312.9826842795844</v>
      </c>
      <c r="FC173" s="173">
        <f t="shared" si="427"/>
        <v>2.5079662091188974</v>
      </c>
      <c r="FD173" s="5">
        <f t="shared" si="428"/>
        <v>16.254000000000001</v>
      </c>
      <c r="FE173" s="173">
        <f t="shared" si="429"/>
        <v>0.86632711192604384</v>
      </c>
      <c r="FF173" s="5">
        <f t="shared" si="430"/>
        <v>86.63271119260439</v>
      </c>
      <c r="FG173">
        <f t="shared" si="431"/>
        <v>63</v>
      </c>
      <c r="FI173" s="562">
        <f t="shared" si="432"/>
        <v>-50</v>
      </c>
      <c r="FJ173">
        <f t="shared" si="433"/>
        <v>-50</v>
      </c>
    </row>
    <row r="174" spans="5:166">
      <c r="E174" s="170">
        <v>64</v>
      </c>
      <c r="F174" s="217">
        <f t="shared" si="476"/>
        <v>0.64</v>
      </c>
      <c r="G174" s="217">
        <f t="shared" ref="G174:G210" si="499">IF(PLOT_TYPE=1, E174/100*Iout2, min_I*EXP(Q174*rr/100))</f>
        <v>6.4000000000000001E-2</v>
      </c>
      <c r="H174" s="217">
        <f t="shared" ref="H174:H210" si="500">F174*Vout</f>
        <v>15.36</v>
      </c>
      <c r="I174" s="217">
        <f t="shared" ref="I174:I210" si="501">Vout2*G174</f>
        <v>1.1520000000000001</v>
      </c>
      <c r="J174" s="541">
        <f t="shared" ref="J174:J210" si="502">VIN_min-(F174/CG174/Nps+G174/CH174/(Nps/Nsec1sec2))*(Rdcr_pri+RON/1000)</f>
        <v>8.7529513375058396</v>
      </c>
      <c r="K174" s="443">
        <f t="shared" ref="K174:K210" si="503">MAX((S174+Vfwd2+Rdcr_sec*F174/CG174)*Nps,(Vout2+Vfwd22+Rdcr_sec2*G174/CH174)*Nps/Nsec1sec2)</f>
        <v>16.511850330935676</v>
      </c>
      <c r="L174" s="172">
        <f t="shared" ref="L174:L210" si="504">MAX((Vout+Vfwd2+F174/CG174*Rdcr_sec)*Nps+J174, (Vout2+Vfwd22+G174/CH174*Rdcr_sec2)*Nps/Nsec1sec2+J174)</f>
        <v>25.264801668441514</v>
      </c>
      <c r="M174" s="443"/>
      <c r="N174" s="217">
        <f t="shared" ref="N174:N210" si="505">MAX((Vout+Vfwd2+F174/CG174*Rdcr_sec)*Nps/((Vout+Vfwd2+F174/CG174*Rdcr_sec)*Nps+J174), (Vout2+Vfwd22+G174/CH174*Rdcr_sec2)*Nps/Nsec1sec2/((Vout2+Vfwd22+G174/CH174*Rdcr_sec2)*Nps/Nsec1sec2+J174))</f>
        <v>0.65355155158652101</v>
      </c>
      <c r="O174" s="172">
        <f t="shared" ref="O174:O205" si="506">N174*J174*Isw_max*0.5*Efficiency*Pout/(Pout+Pout2)</f>
        <v>29.563332959112433</v>
      </c>
      <c r="P174" s="172">
        <f t="shared" ref="P174:P210" si="507">N174*J174*Isw_max*0.5*Efficiency*(Pout2/Pout_total)</f>
        <v>2.3835437198284399</v>
      </c>
      <c r="Q174" s="217">
        <f t="shared" ref="Q174:Q210" si="508">O174/Vout</f>
        <v>1.2318055399630181</v>
      </c>
      <c r="R174" s="217">
        <f t="shared" ref="R174:R210" si="509">O174/Vout2</f>
        <v>1.6424073866173574</v>
      </c>
      <c r="S174" s="217">
        <f t="shared" ref="S174:S210" si="510">MIN(Vout,O174/F174)</f>
        <v>24</v>
      </c>
      <c r="T174" s="217">
        <f t="shared" ref="T174:T210" si="511">MIN(2*(Vout*F174+Vout2*G174)/(Efficiency*J174*N174), Isw_max)</f>
        <v>5.7729169746424462</v>
      </c>
      <c r="U174" s="217">
        <f t="shared" ref="U174:U210" si="512">L*T174/J174*1000000</f>
        <v>6.5953948011865036</v>
      </c>
      <c r="V174" s="217">
        <f t="shared" ref="V174:V210" si="513">L*T174/K174*1000000</f>
        <v>3.4962265639161187</v>
      </c>
      <c r="W174" s="197">
        <f t="shared" ref="W174:W210" si="514">IF(1/((350000*L)*(1/J174+1/K174))&gt;Isw_min, 350, 0.001/((Isw_min*L)*(1/J174+1/K174)))</f>
        <v>257.42272174147143</v>
      </c>
      <c r="X174" s="443">
        <f t="shared" si="435"/>
        <v>97.166419607201391</v>
      </c>
      <c r="Z174" s="217">
        <f t="shared" ref="Z174:Z210" si="515">1/((W174*1000*L)*(1/J174+1/K174))</f>
        <v>2.2222222222222223</v>
      </c>
      <c r="AA174" s="173">
        <f t="shared" ref="AA174:AA210" si="516">L*Z174/K174*1000000</f>
        <v>1.3458347657492946</v>
      </c>
      <c r="AB174" s="173">
        <f t="shared" ref="AB174:AB205" si="517">0.5*AA174*Z174*Nps*W174/1000*(Pout/(Pout+Pout2))</f>
        <v>0.23884352981063625</v>
      </c>
      <c r="AC174" s="173"/>
      <c r="AD174" s="173">
        <f t="shared" ref="AD174:AD210" si="518">L*Isw_min/K174*1000000</f>
        <v>1.3458347657492946</v>
      </c>
      <c r="AE174" s="545">
        <f t="shared" ref="AE174:AE205" si="519">MAX(10, F174/(0.5*AD174/1000000*Isw_min*Nps)/1000*Pout_total/Pout)</f>
        <v>641.65991091132332</v>
      </c>
      <c r="AF174" s="528">
        <f t="shared" ref="AF174:AF210" si="520">0.5*AD174/1000000*Isw_min*Nps*W174*1000*(Pout/Pout_total)</f>
        <v>0.25675679454643391</v>
      </c>
      <c r="AH174" s="173">
        <f t="shared" ref="AH174:AH210" si="521">SQRT((H174+I174)/(0.5*L*Fsw_DCM))</f>
        <v>3.071714272426485</v>
      </c>
      <c r="AI174" s="173">
        <f t="shared" ref="AI174:AI205" si="522">MAX(IF(F174&gt;AB174,T174,AH174),Isw_min)</f>
        <v>5.7729169746424462</v>
      </c>
      <c r="AJ174" s="173">
        <f t="shared" ref="AJ174:AJ205" si="523">IF(F174&gt;AF174, (AI174-Isw_min)/1.08*0.8+1.2, AE174*0.2/350+1)</f>
        <v>3.830144261052018</v>
      </c>
      <c r="AL174" s="545">
        <f t="shared" ref="AL174:AL210" si="524">F174*1000</f>
        <v>640</v>
      </c>
      <c r="AM174" s="460">
        <f t="shared" ref="AM174:AM210" si="525">IF(F174&gt;AF174, X174, AE174)</f>
        <v>97.166419607201391</v>
      </c>
      <c r="AO174">
        <f t="shared" ref="AO174:AO210" si="526">IF(H174&gt;O174, "",AL174)</f>
        <v>640</v>
      </c>
      <c r="AP174">
        <f t="shared" ref="AP174:AP210" si="527">IF(H174&gt;O174, "",AM174)</f>
        <v>97.166419607201391</v>
      </c>
      <c r="AR174" s="5">
        <f t="shared" si="443"/>
        <v>10.291621365102621</v>
      </c>
      <c r="AS174" s="5">
        <f t="shared" si="440"/>
        <v>6.5953948011865036</v>
      </c>
      <c r="AT174" s="5">
        <f t="shared" si="441"/>
        <v>3.6962265639161176</v>
      </c>
      <c r="AU174" s="173">
        <f t="shared" si="442"/>
        <v>0.64085089872724232</v>
      </c>
      <c r="AW174" s="5">
        <f t="shared" si="477"/>
        <v>17.587719469830677</v>
      </c>
      <c r="AX174" s="5">
        <f t="shared" si="478"/>
        <v>2.3450292626440903</v>
      </c>
      <c r="AY174" s="5">
        <f t="shared" si="479"/>
        <v>5.4052282703090864</v>
      </c>
      <c r="AZ174" s="5"/>
      <c r="BA174" s="173">
        <f t="shared" si="480"/>
        <v>2.6681680725325969</v>
      </c>
      <c r="BB174" s="173">
        <f t="shared" si="481"/>
        <v>1.3322873678656</v>
      </c>
      <c r="BC174" s="173">
        <f t="shared" si="482"/>
        <v>0.13340877562005532</v>
      </c>
      <c r="BD174" s="173"/>
      <c r="BE174" s="528">
        <f t="shared" si="483"/>
        <v>0.28476483453129253</v>
      </c>
      <c r="BF174" s="528">
        <f t="shared" ref="BF174:BF210" si="528">0.5*L174*AI174*AM174*1000*Tfall</f>
        <v>0.31886725500938556</v>
      </c>
      <c r="BG174" s="528">
        <f t="shared" ref="BG174:BG210" si="529">Qg*Vdd*AM174*1000*0+Qg*J174*AM174*1000</f>
        <v>3.4019717698460288E-2</v>
      </c>
      <c r="BH174" s="528">
        <f t="shared" si="484"/>
        <v>1.0853905485122854E-2</v>
      </c>
      <c r="BI174">
        <f t="shared" si="485"/>
        <v>3.938828101877628E-3</v>
      </c>
      <c r="BJ174" s="460">
        <f t="shared" si="436"/>
        <v>37.958545800337916</v>
      </c>
      <c r="BK174">
        <f t="shared" ref="BK174:BK210" si="530">(BF174+BG174*0+BH174+BI174*0+BE174*(1+RdsonTC*(Ta-25)))/(1-BE174*RdsonTC*ThetaJA)</f>
        <v>0.74154556578993525</v>
      </c>
      <c r="BL174" s="460">
        <f t="shared" si="437"/>
        <v>652.4445408261389</v>
      </c>
      <c r="BM174" s="173">
        <f t="shared" ref="BM174:BM210" si="531">Vfwd2*F174*(1+Diode_TC/1000*(Ta-25))</f>
        <v>0.5555199999999999</v>
      </c>
      <c r="BN174" s="173">
        <f t="shared" ref="BN174:BN210" si="532">Vfwd2*G174*(1+Diode_TC/1000*(Ta-25))</f>
        <v>5.5551999999999997E-2</v>
      </c>
      <c r="BO174" s="528"/>
      <c r="BQ174" s="460">
        <f t="shared" si="486"/>
        <v>611.072</v>
      </c>
      <c r="BR174" s="528">
        <f t="shared" si="487"/>
        <v>0.2135736258984694</v>
      </c>
      <c r="BS174" s="528">
        <f t="shared" si="488"/>
        <v>5.3249688917227457E-2</v>
      </c>
      <c r="BT174" s="528">
        <f t="shared" si="489"/>
        <v>8.8989507062211336E-5</v>
      </c>
      <c r="BU174" s="528">
        <f t="shared" si="490"/>
        <v>0.37260509022693128</v>
      </c>
      <c r="BV174" s="528"/>
      <c r="BW174" s="625">
        <f t="shared" ref="BW174:BW210" si="533">0.5*Lleak*0.000000001*AI174^2*AM174*1000</f>
        <v>0.64764470463556734</v>
      </c>
      <c r="BX174" s="460">
        <f t="shared" si="491"/>
        <v>1287.1620991852576</v>
      </c>
      <c r="BY174" s="173">
        <f t="shared" si="492"/>
        <v>2.5506786400113963</v>
      </c>
      <c r="BZ174" s="5">
        <f t="shared" si="493"/>
        <v>16.512</v>
      </c>
      <c r="CA174" s="173">
        <f t="shared" si="494"/>
        <v>0.86619516133175123</v>
      </c>
      <c r="CB174" s="5">
        <f t="shared" si="495"/>
        <v>86.619516133175125</v>
      </c>
      <c r="CC174">
        <f t="shared" si="496"/>
        <v>64</v>
      </c>
      <c r="CE174" s="562">
        <f t="shared" ref="CE174:CE210" si="534">IF(ABS(F174-Ioutmax_Vinmin)&lt;Iout/200, AM174, -50)</f>
        <v>-50</v>
      </c>
      <c r="CF174">
        <f t="shared" ref="CF174:CF210" si="535">IF(ABS(F174-Ioutmax_Vinmin)&lt;Iout/200, (O174+P174)*CA174, -50)</f>
        <v>-50</v>
      </c>
      <c r="CG174" s="173">
        <f t="shared" ref="CG174:CG210" si="536">MIN(SQRT(2*DT174*1000*Ls1_*(CL174+CJ174*Vfwd1))/(CW174+Vfwd1), 1-DY174)</f>
        <v>0.34658417599272739</v>
      </c>
      <c r="CH174" s="173">
        <f t="shared" ref="CH174:CH210" si="537">MIN(SQRT(2*DT174*1000*Ls2_*(CM174+CK174*Vfwd22))/(Vout2+Vfwd22), 1-DY174)</f>
        <v>9.446712174985028E-2</v>
      </c>
      <c r="CI174" s="170">
        <v>64</v>
      </c>
      <c r="CJ174" s="217">
        <f t="shared" si="438"/>
        <v>0.64</v>
      </c>
      <c r="CK174" s="217">
        <f t="shared" ref="CK174:CK210" si="538">IF(PLOT_TYPE=1, CI174/100*Iout2, min_I*EXP(CU174*rr/100))</f>
        <v>6.4000000000000001E-2</v>
      </c>
      <c r="CL174" s="217">
        <f t="shared" ref="CL174:CL210" si="539">CJ174*Vout</f>
        <v>15.36</v>
      </c>
      <c r="CM174" s="217">
        <f t="shared" ref="CM174:CM210" si="540">Vout2*CK174</f>
        <v>1.1520000000000001</v>
      </c>
      <c r="CN174" s="541">
        <f t="shared" ref="CN174:CN212" si="541">VIN_min</f>
        <v>9</v>
      </c>
      <c r="CO174" s="443">
        <f t="shared" ref="CO174:CO210" si="542">(CW174+Vfwd2)*Nps</f>
        <v>16.474900000000002</v>
      </c>
      <c r="CP174" s="443">
        <f t="shared" ref="CP174:CP210" si="543">(Vout+Vfwd2)*Nps+CN174</f>
        <v>25.474900000000002</v>
      </c>
      <c r="CQ174" s="443"/>
      <c r="CR174" s="217">
        <f t="shared" ref="CR174:CR210" si="544">(Vout+Vfwd1)*Nps/((Vout+Vfwd1)*Nps+CN174)</f>
        <v>0.64485133082098534</v>
      </c>
      <c r="CS174" s="172">
        <f t="shared" ref="CS174:CS210" si="545">CR174*CN174*Isw_max*0.5*Efficiency*Pout/(Pout+Pout2)</f>
        <v>29.993085154464438</v>
      </c>
      <c r="CT174" s="172">
        <f t="shared" ref="CT174:CT210" si="546">CR174*CN174*Isw_max*0.5*Efficiency*(Pout2/Pout_total)</f>
        <v>2.4181924905786953</v>
      </c>
      <c r="CU174" s="217">
        <f t="shared" ref="CU174:CU210" si="547">CS174/Vout</f>
        <v>1.2497118814360182</v>
      </c>
      <c r="CV174" s="217">
        <f t="shared" ref="CV174:CV210" si="548">CS174/Vout2</f>
        <v>1.6662825085813577</v>
      </c>
      <c r="CW174" s="217">
        <f t="shared" ref="CW174:CW210" si="549">MIN(Vout,CS174/CJ174)</f>
        <v>24</v>
      </c>
      <c r="CX174" s="217">
        <f t="shared" ref="CX174:CX210" si="550">MIN(2*(Vout*CJ174+Vout2*CK174)/(Efficiency*CN174*CR174), Isw_max)</f>
        <v>5.6902004507950101</v>
      </c>
      <c r="CY174" s="217">
        <f t="shared" ref="CY174:CY210" si="551">L*CX174/CN174*1000000</f>
        <v>6.3224449453277893</v>
      </c>
      <c r="CZ174" s="217">
        <f t="shared" ref="CZ174:CZ210" si="552">L*CX174/CO174*1000000</f>
        <v>3.4538603881025134</v>
      </c>
      <c r="DA174" s="197">
        <f t="shared" ref="DA174:DA210" si="553">IF(1/((350000*L)*(1/CN174+1/CO174))&gt;Isw_min, 350, 0.001/((Isw_min*L)*(1/CN174+1/CO174)))</f>
        <v>261.91798593910079</v>
      </c>
      <c r="DB174" s="443">
        <f t="shared" ref="DB174:DB210" si="554">MIN(1/(CY174+CZ174)*1000, 350)</f>
        <v>102.28813093433946</v>
      </c>
      <c r="DD174" s="217">
        <f t="shared" ref="DD174:DD210" si="555">1/((DA174*1000*L)*(1/CN174+1/CO174))</f>
        <v>2.2222222222222228</v>
      </c>
      <c r="DE174" s="173">
        <f t="shared" ref="DE174:DE210" si="556">L*DD174/CO174*1000000</f>
        <v>1.3488532386977905</v>
      </c>
      <c r="DF174" s="173">
        <f t="shared" ref="DF174:DF210" si="557">0.5*DE174*DD174*Nps*DA174/1000*(Pout/(Pout+Pout2))</f>
        <v>0.24355939229558116</v>
      </c>
      <c r="DG174" s="173"/>
      <c r="DH174" s="173">
        <f t="shared" ref="DH174:DH210" si="558">L*Isw_min/CO174*1000000</f>
        <v>1.3488532386977903</v>
      </c>
      <c r="DI174" s="545">
        <f t="shared" ref="DI174:DI210" si="559">MAX(10, CJ174/(0.5*DH174/1000000*Isw_min*Nps)/1000*Pout_total/Pout)</f>
        <v>640.22399999999982</v>
      </c>
      <c r="DJ174" s="528">
        <f t="shared" ref="DJ174:DJ210" si="560">0.5*DH174/1000000*Isw_min*Nps*DA174*1000*(Pout/Pout_total)</f>
        <v>0.26182634671774968</v>
      </c>
      <c r="DL174" s="173">
        <f t="shared" ref="DL174:DL210" si="561">SQRT((CL174+CM174)/(0.5*L*Fsw_DCM))</f>
        <v>3.071714272426485</v>
      </c>
      <c r="DM174" s="173">
        <f t="shared" ref="DM174:DM210" si="562">MAX(IF(CJ174&gt;DF174,CX174,DL174),Isw_min)</f>
        <v>5.6902004507950101</v>
      </c>
      <c r="DN174" s="173">
        <f t="shared" ref="DN174:DN210" si="563">IF(CJ174&gt;DJ174, (DM174-Isw_min)/1.08*0.8+1.2, DI174*0.2/350+1)</f>
        <v>3.7688727619057687</v>
      </c>
      <c r="DP174" s="545">
        <f t="shared" ref="DP174:DP210" si="564">CJ174*1000</f>
        <v>640</v>
      </c>
      <c r="DQ174" s="460">
        <f t="shared" ref="DQ174:DQ210" si="565">IF(CJ174&gt;DJ174, DB174, DI174)</f>
        <v>102.28813093433946</v>
      </c>
      <c r="DS174">
        <f t="shared" ref="DS174:DS192" si="566">IF(CL174&gt;CS174, "",DP174)</f>
        <v>640</v>
      </c>
      <c r="DT174">
        <f t="shared" ref="DT174:DT193" si="567">IF(CL174&gt;CS174, "",DQ174)</f>
        <v>102.28813093433946</v>
      </c>
      <c r="DV174" s="5">
        <f t="shared" ref="DV174:DV210" si="568">1/DQ174*1000</f>
        <v>9.7763053334303027</v>
      </c>
      <c r="DW174" s="5">
        <f t="shared" ref="DW174:DW210" si="569">L*DM174/CN174*1000000</f>
        <v>6.3224449453277893</v>
      </c>
      <c r="DX174" s="5">
        <f t="shared" ref="DX174:DX210" si="570">DV174-DW174</f>
        <v>3.4538603881025134</v>
      </c>
      <c r="DY174" s="173">
        <f t="shared" ref="DY174:DY210" si="571">DW174/DV174</f>
        <v>0.64671107639284164</v>
      </c>
      <c r="EA174" s="5">
        <f t="shared" ref="EA174:EA210" si="572">CJ174*DW174/Vout_ripple*1000</f>
        <v>16.859853187540772</v>
      </c>
      <c r="EB174" s="5">
        <f t="shared" ref="EB174:EB210" si="573">CK174*DW174/Vout_ripple2*1000</f>
        <v>2.2479804250054363</v>
      </c>
      <c r="EC174" s="5">
        <f t="shared" ref="EC174:EC210" si="574">CL174/Efficiency/CN174*DX174/Vinripple1</f>
        <v>4.9121569964124623</v>
      </c>
      <c r="ED174" s="5"/>
      <c r="EE174" s="173">
        <f t="shared" ref="EE174:EE210" si="575">DM174*SQRT(DY174/3)</f>
        <v>2.6419347543328731</v>
      </c>
      <c r="EF174" s="173">
        <f t="shared" ref="EF174:EF210" si="576">DM174*Npri_sec1*SQRT((1-DY174)/3)*(Pout/Pout_total)</f>
        <v>1.3024401722200312</v>
      </c>
      <c r="EG174" s="173">
        <f t="shared" ref="EG174:EG210" si="577">DM174*Npri_sec2*SQRT((1-DY174)/3)*(Pout2/Pout_total)</f>
        <v>0.13042002265068148</v>
      </c>
      <c r="EH174" s="173"/>
      <c r="EI174" s="528">
        <f t="shared" ref="EI174:EI210" si="578">Rdson*EE174^2</f>
        <v>0.27919276984607594</v>
      </c>
      <c r="EJ174" s="528">
        <f t="shared" ref="EJ174:EJ210" si="579">0.5*CP174*DM174*DQ174*1000*Trise</f>
        <v>0.4077537750000001</v>
      </c>
      <c r="EK174" s="528">
        <f t="shared" ref="EK174:EK210" si="580">Qg*Vdd*DQ174*1000</f>
        <v>2.0457626186867892E-2</v>
      </c>
      <c r="EL174" s="528">
        <f t="shared" ref="EL174:EL210" si="581">0.5*(Coss+Csw)*CP174^2*DQ174*1000</f>
        <v>1.1616846945583348E-2</v>
      </c>
      <c r="EM174">
        <f t="shared" ref="EM174:EM210" si="582">CN174*IQ</f>
        <v>4.0499999999999998E-3</v>
      </c>
      <c r="EN174" s="460">
        <f t="shared" ref="EN174:EN210" si="583">(EK174+EM174)*1000</f>
        <v>24.507626186867896</v>
      </c>
      <c r="EP174" s="460">
        <f t="shared" si="439"/>
        <v>723.07101797852727</v>
      </c>
      <c r="EQ174" s="173">
        <f t="shared" ref="EQ174:EQ210" si="584">Vfwd2*CJ174</f>
        <v>0.44799999999999995</v>
      </c>
      <c r="ER174" s="173">
        <f t="shared" ref="ER174:ER210" si="585">Vfwd22*CK174*(1+Diode_TC/1000*(Ta-25))</f>
        <v>3.968E-2</v>
      </c>
      <c r="ES174" s="528"/>
      <c r="EU174" s="460">
        <f t="shared" si="497"/>
        <v>487.67999999999995</v>
      </c>
      <c r="EV174" s="528">
        <f t="shared" ref="EV174:EV210" si="586">Rdcr_pri*EE174^2</f>
        <v>0.20939457738455694</v>
      </c>
      <c r="EW174" s="528">
        <f t="shared" ref="EW174:EW210" si="587">Rdcr_sec*EF174^2</f>
        <v>5.0890512066376327E-2</v>
      </c>
      <c r="EX174" s="528">
        <f t="shared" ref="EX174:EX210" si="588">Rdcr_sec2*EG174^2</f>
        <v>8.504691154102136E-5</v>
      </c>
      <c r="EY174" s="528">
        <f t="shared" ref="EY174:EY210" si="589">DM174^2.5*DQ174^2.5*k_core</f>
        <v>0.40865049202349168</v>
      </c>
      <c r="EZ174" s="528"/>
      <c r="FA174" s="625">
        <f t="shared" ref="FA174:FA210" si="590">0.5*Lleak*0.000000001*DM174^2*DQ174*1000</f>
        <v>0.66238481851644115</v>
      </c>
      <c r="FB174" s="460">
        <f t="shared" si="498"/>
        <v>1331.4054469024072</v>
      </c>
      <c r="FC174" s="173">
        <f t="shared" ref="FC174:FC210" si="591">SUM(EI174:EM174,EQ174:ET174,EV174:FA174)</f>
        <v>2.5421564648809341</v>
      </c>
      <c r="FD174" s="5">
        <f t="shared" ref="FD174:FD210" si="592">MIN(CL174+CM174,CS174+CT174)</f>
        <v>16.512</v>
      </c>
      <c r="FE174" s="173">
        <f t="shared" ref="FE174:FE210" si="593">FD174/(FD174+FC174)</f>
        <v>0.86658257637558356</v>
      </c>
      <c r="FF174" s="5">
        <f t="shared" ref="FF174:FF210" si="594">FE174*100</f>
        <v>86.65825763755835</v>
      </c>
      <c r="FG174">
        <f t="shared" ref="FG174:FG210" si="595">CJ174/Iout*100</f>
        <v>64</v>
      </c>
      <c r="FI174" s="562">
        <f t="shared" ref="FI174:FI210" si="596">IF(ABS(CJ174-Ioutmax_Vinmin)&lt;Iout/200, DQ174, -50)</f>
        <v>-50</v>
      </c>
      <c r="FJ174">
        <f t="shared" ref="FJ174:FJ210" si="597">IF(ABS(CJ174-Ioutmax_Vinmin)&lt;Iout/200, (CS174+CT174)*FE174, -50)</f>
        <v>-50</v>
      </c>
    </row>
    <row r="175" spans="5:166">
      <c r="E175" s="170">
        <v>65</v>
      </c>
      <c r="F175" s="217">
        <f t="shared" ref="F175:F206" si="598">IF(PLOT_TYPE=1, E175/100*Iout_max, min_I*EXP(O175*rr/100))</f>
        <v>0.65</v>
      </c>
      <c r="G175" s="217">
        <f t="shared" si="499"/>
        <v>6.5000000000000002E-2</v>
      </c>
      <c r="H175" s="217">
        <f t="shared" si="500"/>
        <v>15.600000000000001</v>
      </c>
      <c r="I175" s="217">
        <f t="shared" si="501"/>
        <v>1.17</v>
      </c>
      <c r="J175" s="541">
        <f t="shared" si="502"/>
        <v>8.7490912021543679</v>
      </c>
      <c r="K175" s="443">
        <f t="shared" si="503"/>
        <v>16.512427679856547</v>
      </c>
      <c r="L175" s="172">
        <f t="shared" si="504"/>
        <v>25.261518882010915</v>
      </c>
      <c r="M175" s="443"/>
      <c r="N175" s="217">
        <f t="shared" si="505"/>
        <v>0.65365933683485988</v>
      </c>
      <c r="O175" s="172">
        <f t="shared" si="506"/>
        <v>29.555168749911786</v>
      </c>
      <c r="P175" s="172">
        <f t="shared" si="507"/>
        <v>2.382885480461638</v>
      </c>
      <c r="Q175" s="217">
        <f t="shared" si="508"/>
        <v>1.2314653645796578</v>
      </c>
      <c r="R175" s="217">
        <f t="shared" si="509"/>
        <v>1.6419538194395438</v>
      </c>
      <c r="S175" s="217">
        <f t="shared" si="510"/>
        <v>24</v>
      </c>
      <c r="T175" s="217">
        <f t="shared" si="511"/>
        <v>5.8647384083655654</v>
      </c>
      <c r="U175" s="217">
        <f t="shared" si="512"/>
        <v>6.7032543984927697</v>
      </c>
      <c r="V175" s="217">
        <f t="shared" si="513"/>
        <v>3.5517117907017028</v>
      </c>
      <c r="W175" s="197">
        <f t="shared" si="514"/>
        <v>257.35163188985689</v>
      </c>
      <c r="X175" s="443">
        <f t="shared" ref="X175:X210" si="599">MIN(1/(U175+V175+0.2)*1000, 350)</f>
        <v>95.648324624285308</v>
      </c>
      <c r="Z175" s="217">
        <f t="shared" si="515"/>
        <v>2.2222222222222223</v>
      </c>
      <c r="AA175" s="173">
        <f t="shared" si="516"/>
        <v>1.3457877092979513</v>
      </c>
      <c r="AB175" s="173">
        <f t="shared" si="517"/>
        <v>0.23876922204769868</v>
      </c>
      <c r="AC175" s="173"/>
      <c r="AD175" s="173">
        <f t="shared" si="518"/>
        <v>1.3457877092979513</v>
      </c>
      <c r="AE175" s="545">
        <f t="shared" si="519"/>
        <v>651.70863369148935</v>
      </c>
      <c r="AF175" s="528">
        <f t="shared" si="520"/>
        <v>0.2566769137012761</v>
      </c>
      <c r="AH175" s="173">
        <f t="shared" si="521"/>
        <v>3.0956190241787094</v>
      </c>
      <c r="AI175" s="173">
        <f t="shared" si="522"/>
        <v>5.8647384083655654</v>
      </c>
      <c r="AJ175" s="173">
        <f t="shared" si="523"/>
        <v>3.8981601378839583</v>
      </c>
      <c r="AL175" s="545">
        <f t="shared" si="524"/>
        <v>650</v>
      </c>
      <c r="AM175" s="460">
        <f t="shared" si="525"/>
        <v>95.648324624285308</v>
      </c>
      <c r="AO175">
        <f t="shared" si="526"/>
        <v>650</v>
      </c>
      <c r="AP175">
        <f t="shared" si="527"/>
        <v>95.648324624285308</v>
      </c>
      <c r="AR175" s="5">
        <f t="shared" si="443"/>
        <v>10.454966189194472</v>
      </c>
      <c r="AS175" s="5">
        <f t="shared" si="440"/>
        <v>6.7032543984927697</v>
      </c>
      <c r="AT175" s="5">
        <f t="shared" si="441"/>
        <v>3.7517117907017026</v>
      </c>
      <c r="AU175" s="173">
        <f t="shared" si="442"/>
        <v>0.64115505274620477</v>
      </c>
      <c r="AW175" s="5">
        <f t="shared" si="477"/>
        <v>18.154647329251254</v>
      </c>
      <c r="AX175" s="5">
        <f t="shared" si="478"/>
        <v>2.4206196439001668</v>
      </c>
      <c r="AY175" s="5">
        <f t="shared" si="479"/>
        <v>5.5745507907281269</v>
      </c>
      <c r="AZ175" s="5"/>
      <c r="BA175" s="173">
        <f t="shared" si="480"/>
        <v>2.7112499235077658</v>
      </c>
      <c r="BB175" s="173">
        <f t="shared" si="481"/>
        <v>1.3529049003934488</v>
      </c>
      <c r="BC175" s="173">
        <f t="shared" si="482"/>
        <v>0.13547331502588453</v>
      </c>
      <c r="BD175" s="173"/>
      <c r="BE175" s="528">
        <f t="shared" si="483"/>
        <v>0.29403504590883467</v>
      </c>
      <c r="BF175" s="528">
        <f t="shared" si="528"/>
        <v>0.31883646877474142</v>
      </c>
      <c r="BG175" s="528">
        <f t="shared" si="529"/>
        <v>3.3473436618845588E-2</v>
      </c>
      <c r="BH175" s="528">
        <f t="shared" si="484"/>
        <v>1.0681551409989614E-2</v>
      </c>
      <c r="BI175">
        <f t="shared" si="485"/>
        <v>3.937091040969465E-3</v>
      </c>
      <c r="BJ175" s="460">
        <f t="shared" ref="BJ175:BJ210" si="600">(BG175+BI175)*1000</f>
        <v>37.410527659815052</v>
      </c>
      <c r="BK175">
        <f t="shared" si="530"/>
        <v>0.75574062971603628</v>
      </c>
      <c r="BL175" s="460">
        <f t="shared" ref="BL175:BL210" si="601">SUM(BE175:BI175)*1000</f>
        <v>660.96359375338091</v>
      </c>
      <c r="BM175" s="173">
        <f t="shared" si="531"/>
        <v>0.56419999999999992</v>
      </c>
      <c r="BN175" s="173">
        <f t="shared" si="532"/>
        <v>5.6419999999999998E-2</v>
      </c>
      <c r="BO175" s="528"/>
      <c r="BQ175" s="460">
        <f t="shared" si="486"/>
        <v>620.62</v>
      </c>
      <c r="BR175" s="528">
        <f t="shared" si="487"/>
        <v>0.22052628443162597</v>
      </c>
      <c r="BS175" s="528">
        <f t="shared" si="488"/>
        <v>5.4910550085258227E-2</v>
      </c>
      <c r="BT175" s="528">
        <f t="shared" si="489"/>
        <v>9.1765095420512745E-5</v>
      </c>
      <c r="BU175" s="528">
        <f t="shared" si="490"/>
        <v>0.37263619492798916</v>
      </c>
      <c r="BV175" s="528"/>
      <c r="BW175" s="625">
        <f t="shared" si="533"/>
        <v>0.65796782076840599</v>
      </c>
      <c r="BX175" s="460">
        <f t="shared" si="491"/>
        <v>1306.1326153086998</v>
      </c>
      <c r="BY175" s="173">
        <f t="shared" si="492"/>
        <v>2.5877162090620804</v>
      </c>
      <c r="BZ175" s="5">
        <f t="shared" si="493"/>
        <v>16.770000000000003</v>
      </c>
      <c r="CA175" s="173">
        <f t="shared" si="494"/>
        <v>0.86632120333230878</v>
      </c>
      <c r="CB175" s="5">
        <f t="shared" si="495"/>
        <v>86.632120333230873</v>
      </c>
      <c r="CC175">
        <f t="shared" si="496"/>
        <v>65</v>
      </c>
      <c r="CE175" s="562">
        <f t="shared" si="534"/>
        <v>-50</v>
      </c>
      <c r="CF175">
        <f t="shared" si="535"/>
        <v>-50</v>
      </c>
      <c r="CG175" s="173">
        <f t="shared" si="536"/>
        <v>0.34658417599272728</v>
      </c>
      <c r="CH175" s="173">
        <f t="shared" si="537"/>
        <v>9.4467121749850266E-2</v>
      </c>
      <c r="CI175" s="170">
        <v>65</v>
      </c>
      <c r="CJ175" s="217">
        <f t="shared" ref="CJ175:CJ210" si="602">IF(PLOT_TYPE=1, CI175/100*Iout_max, min_I*EXP(CS175*rr/100))</f>
        <v>0.65</v>
      </c>
      <c r="CK175" s="217">
        <f t="shared" si="538"/>
        <v>6.5000000000000002E-2</v>
      </c>
      <c r="CL175" s="217">
        <f t="shared" si="539"/>
        <v>15.600000000000001</v>
      </c>
      <c r="CM175" s="217">
        <f t="shared" si="540"/>
        <v>1.17</v>
      </c>
      <c r="CN175" s="541">
        <f t="shared" si="541"/>
        <v>9</v>
      </c>
      <c r="CO175" s="443">
        <f t="shared" si="542"/>
        <v>16.474900000000002</v>
      </c>
      <c r="CP175" s="443">
        <f t="shared" si="543"/>
        <v>25.474900000000002</v>
      </c>
      <c r="CQ175" s="443"/>
      <c r="CR175" s="217">
        <f t="shared" si="544"/>
        <v>0.64485133082098534</v>
      </c>
      <c r="CS175" s="172">
        <f t="shared" si="545"/>
        <v>29.993085154464438</v>
      </c>
      <c r="CT175" s="172">
        <f t="shared" si="546"/>
        <v>2.4181924905786953</v>
      </c>
      <c r="CU175" s="217">
        <f t="shared" si="547"/>
        <v>1.2497118814360182</v>
      </c>
      <c r="CV175" s="217">
        <f t="shared" si="548"/>
        <v>1.6662825085813577</v>
      </c>
      <c r="CW175" s="217">
        <f t="shared" si="549"/>
        <v>24</v>
      </c>
      <c r="CX175" s="217">
        <f t="shared" si="550"/>
        <v>5.7791098328386834</v>
      </c>
      <c r="CY175" s="217">
        <f t="shared" si="551"/>
        <v>6.4212331475985378</v>
      </c>
      <c r="CZ175" s="217">
        <f t="shared" si="552"/>
        <v>3.5078269566666158</v>
      </c>
      <c r="DA175" s="197">
        <f t="shared" si="553"/>
        <v>261.91798593910079</v>
      </c>
      <c r="DB175" s="443">
        <f t="shared" si="554"/>
        <v>100.71446738150344</v>
      </c>
      <c r="DD175" s="217">
        <f t="shared" si="555"/>
        <v>2.2222222222222228</v>
      </c>
      <c r="DE175" s="173">
        <f t="shared" si="556"/>
        <v>1.3488532386977905</v>
      </c>
      <c r="DF175" s="173">
        <f t="shared" si="557"/>
        <v>0.24355939229558116</v>
      </c>
      <c r="DG175" s="173"/>
      <c r="DH175" s="173">
        <f t="shared" si="558"/>
        <v>1.3488532386977903</v>
      </c>
      <c r="DI175" s="545">
        <f t="shared" si="559"/>
        <v>650.22749999999974</v>
      </c>
      <c r="DJ175" s="528">
        <f t="shared" si="560"/>
        <v>0.26182634671774968</v>
      </c>
      <c r="DL175" s="173">
        <f t="shared" si="561"/>
        <v>3.0956190241787094</v>
      </c>
      <c r="DM175" s="173">
        <f t="shared" si="562"/>
        <v>5.7791098328386834</v>
      </c>
      <c r="DN175" s="173">
        <f t="shared" si="563"/>
        <v>3.8347315634196013</v>
      </c>
      <c r="DP175" s="545">
        <f t="shared" si="564"/>
        <v>650</v>
      </c>
      <c r="DQ175" s="460">
        <f t="shared" si="565"/>
        <v>100.71446738150344</v>
      </c>
      <c r="DS175">
        <f t="shared" si="566"/>
        <v>650</v>
      </c>
      <c r="DT175">
        <f t="shared" si="567"/>
        <v>100.71446738150344</v>
      </c>
      <c r="DV175" s="5">
        <f t="shared" si="568"/>
        <v>9.9290601042651545</v>
      </c>
      <c r="DW175" s="5">
        <f t="shared" si="569"/>
        <v>6.4212331475985378</v>
      </c>
      <c r="DX175" s="5">
        <f t="shared" si="570"/>
        <v>3.5078269566666167</v>
      </c>
      <c r="DY175" s="173">
        <f t="shared" si="571"/>
        <v>0.64671107639284153</v>
      </c>
      <c r="EA175" s="5">
        <f t="shared" si="572"/>
        <v>17.390839774746041</v>
      </c>
      <c r="EB175" s="5">
        <f t="shared" si="573"/>
        <v>2.3187786366328056</v>
      </c>
      <c r="EC175" s="5">
        <f t="shared" si="574"/>
        <v>5.066861159629557</v>
      </c>
      <c r="ED175" s="5"/>
      <c r="EE175" s="173">
        <f t="shared" si="575"/>
        <v>2.6832149848693247</v>
      </c>
      <c r="EF175" s="173">
        <f t="shared" si="576"/>
        <v>1.3227907999109696</v>
      </c>
      <c r="EG175" s="173">
        <f t="shared" si="577"/>
        <v>0.13245783550459841</v>
      </c>
      <c r="EH175" s="173"/>
      <c r="EI175" s="528">
        <f t="shared" si="578"/>
        <v>0.28798570620109165</v>
      </c>
      <c r="EJ175" s="528">
        <f t="shared" si="579"/>
        <v>0.40775377500000004</v>
      </c>
      <c r="EK175" s="528">
        <f t="shared" si="580"/>
        <v>2.0142893476300688E-2</v>
      </c>
      <c r="EL175" s="528">
        <f t="shared" si="581"/>
        <v>1.14381262233436E-2</v>
      </c>
      <c r="EM175">
        <f t="shared" si="582"/>
        <v>4.0499999999999998E-3</v>
      </c>
      <c r="EN175" s="460">
        <f t="shared" si="583"/>
        <v>24.192893476300686</v>
      </c>
      <c r="EP175" s="460">
        <f t="shared" ref="EP175:EP210" si="603">SUM(EI175:EM175)*1000</f>
        <v>731.37050090073603</v>
      </c>
      <c r="EQ175" s="173">
        <f t="shared" si="584"/>
        <v>0.45499999999999996</v>
      </c>
      <c r="ER175" s="173">
        <f t="shared" si="585"/>
        <v>4.0300000000000002E-2</v>
      </c>
      <c r="ES175" s="528"/>
      <c r="EU175" s="460">
        <f t="shared" si="497"/>
        <v>495.29999999999995</v>
      </c>
      <c r="EV175" s="528">
        <f t="shared" si="586"/>
        <v>0.21598927965081871</v>
      </c>
      <c r="EW175" s="528">
        <f t="shared" si="587"/>
        <v>5.2493265009873086E-2</v>
      </c>
      <c r="EX175" s="528">
        <f t="shared" si="588"/>
        <v>8.7725390932816261E-5</v>
      </c>
      <c r="EY175" s="528">
        <f t="shared" si="589"/>
        <v>0.40865049202349168</v>
      </c>
      <c r="EZ175" s="528"/>
      <c r="FA175" s="625">
        <f t="shared" si="590"/>
        <v>0.67273458130576069</v>
      </c>
      <c r="FB175" s="460">
        <f t="shared" si="498"/>
        <v>1349.9553433808771</v>
      </c>
      <c r="FC175" s="173">
        <f t="shared" si="591"/>
        <v>2.576625844281613</v>
      </c>
      <c r="FD175" s="5">
        <f t="shared" si="592"/>
        <v>16.770000000000003</v>
      </c>
      <c r="FE175" s="173">
        <f t="shared" si="593"/>
        <v>0.8668178179998659</v>
      </c>
      <c r="FF175" s="5">
        <f t="shared" si="594"/>
        <v>86.681781799986595</v>
      </c>
      <c r="FG175">
        <f t="shared" si="595"/>
        <v>65</v>
      </c>
      <c r="FI175" s="562">
        <f t="shared" si="596"/>
        <v>-50</v>
      </c>
      <c r="FJ175">
        <f t="shared" si="597"/>
        <v>-50</v>
      </c>
    </row>
    <row r="176" spans="5:166">
      <c r="E176" s="170">
        <v>66</v>
      </c>
      <c r="F176" s="217">
        <f t="shared" si="598"/>
        <v>0.66</v>
      </c>
      <c r="G176" s="217">
        <f t="shared" si="499"/>
        <v>6.6000000000000003E-2</v>
      </c>
      <c r="H176" s="217">
        <f t="shared" si="500"/>
        <v>15.84</v>
      </c>
      <c r="I176" s="217">
        <f t="shared" si="501"/>
        <v>1.1880000000000002</v>
      </c>
      <c r="J176" s="541">
        <f t="shared" si="502"/>
        <v>8.7452310668028961</v>
      </c>
      <c r="K176" s="443">
        <f t="shared" si="503"/>
        <v>16.513005028777417</v>
      </c>
      <c r="L176" s="172">
        <f t="shared" si="504"/>
        <v>25.258236095580315</v>
      </c>
      <c r="M176" s="443"/>
      <c r="N176" s="217">
        <f t="shared" si="505"/>
        <v>0.65376715010066999</v>
      </c>
      <c r="O176" s="172">
        <f t="shared" si="506"/>
        <v>29.547001506540418</v>
      </c>
      <c r="P176" s="172">
        <f t="shared" si="507"/>
        <v>2.3822269964648211</v>
      </c>
      <c r="Q176" s="217">
        <f t="shared" si="508"/>
        <v>1.2311250627725174</v>
      </c>
      <c r="R176" s="217">
        <f t="shared" si="509"/>
        <v>1.64150008369669</v>
      </c>
      <c r="S176" s="217">
        <f t="shared" si="510"/>
        <v>24</v>
      </c>
      <c r="T176" s="217">
        <f t="shared" si="511"/>
        <v>5.9566111966062358</v>
      </c>
      <c r="U176" s="217">
        <f t="shared" si="512"/>
        <v>6.8112679368961135</v>
      </c>
      <c r="V176" s="217">
        <f t="shared" si="513"/>
        <v>3.6072242370335239</v>
      </c>
      <c r="W176" s="197">
        <f t="shared" si="514"/>
        <v>257.2805156182007</v>
      </c>
      <c r="X176" s="443">
        <f t="shared" si="599"/>
        <v>94.175329568465941</v>
      </c>
      <c r="Z176" s="217">
        <f t="shared" si="515"/>
        <v>2.2222222222222223</v>
      </c>
      <c r="AA176" s="173">
        <f t="shared" si="516"/>
        <v>1.3457406561371044</v>
      </c>
      <c r="AB176" s="173">
        <f t="shared" si="517"/>
        <v>0.2386948949693572</v>
      </c>
      <c r="AC176" s="173"/>
      <c r="AD176" s="173">
        <f t="shared" si="518"/>
        <v>1.3457406561371044</v>
      </c>
      <c r="AE176" s="545">
        <f t="shared" si="519"/>
        <v>661.7580576000305</v>
      </c>
      <c r="AF176" s="528">
        <f t="shared" si="520"/>
        <v>0.25659701209205898</v>
      </c>
      <c r="AH176" s="173">
        <f t="shared" si="521"/>
        <v>3.119340589657646</v>
      </c>
      <c r="AI176" s="173">
        <f t="shared" si="522"/>
        <v>5.9566111966062358</v>
      </c>
      <c r="AJ176" s="173">
        <f t="shared" si="523"/>
        <v>3.9662140550992691</v>
      </c>
      <c r="AL176" s="545">
        <f t="shared" si="524"/>
        <v>660</v>
      </c>
      <c r="AM176" s="460">
        <f t="shared" si="525"/>
        <v>94.175329568465941</v>
      </c>
      <c r="AO176">
        <f t="shared" si="526"/>
        <v>660</v>
      </c>
      <c r="AP176">
        <f t="shared" si="527"/>
        <v>94.175329568465941</v>
      </c>
      <c r="AR176" s="5">
        <f t="shared" si="443"/>
        <v>10.618492173929639</v>
      </c>
      <c r="AS176" s="5">
        <f t="shared" si="440"/>
        <v>6.8112679368961135</v>
      </c>
      <c r="AT176" s="5">
        <f t="shared" si="441"/>
        <v>3.807224237033525</v>
      </c>
      <c r="AU176" s="173">
        <f t="shared" si="442"/>
        <v>0.64145340273631657</v>
      </c>
      <c r="AW176" s="5">
        <f t="shared" si="477"/>
        <v>18.73098682646431</v>
      </c>
      <c r="AX176" s="5">
        <f t="shared" si="478"/>
        <v>2.4974649101952417</v>
      </c>
      <c r="AY176" s="5">
        <f t="shared" si="479"/>
        <v>5.7466017244087526</v>
      </c>
      <c r="AZ176" s="5"/>
      <c r="BA176" s="173">
        <f t="shared" si="480"/>
        <v>2.7543630445907477</v>
      </c>
      <c r="BB176" s="173">
        <f t="shared" si="481"/>
        <v>1.3735271952347572</v>
      </c>
      <c r="BC176" s="173">
        <f t="shared" si="482"/>
        <v>0.13753833130661552</v>
      </c>
      <c r="BD176" s="173"/>
      <c r="BE176" s="528">
        <f t="shared" si="483"/>
        <v>0.30346063125628853</v>
      </c>
      <c r="BF176" s="528">
        <f t="shared" si="528"/>
        <v>0.31880266172009758</v>
      </c>
      <c r="BG176" s="528">
        <f t="shared" si="529"/>
        <v>3.2943400714741992E-2</v>
      </c>
      <c r="BH176" s="528">
        <f t="shared" si="484"/>
        <v>1.0514321057713402E-2</v>
      </c>
      <c r="BI176">
        <f t="shared" si="485"/>
        <v>3.9353539800613029E-3</v>
      </c>
      <c r="BJ176" s="460">
        <f t="shared" si="600"/>
        <v>36.878754694803298</v>
      </c>
      <c r="BK176">
        <f t="shared" si="530"/>
        <v>0.77024864149298777</v>
      </c>
      <c r="BL176" s="460">
        <f t="shared" si="601"/>
        <v>669.65636872890275</v>
      </c>
      <c r="BM176" s="173">
        <f t="shared" si="531"/>
        <v>0.57287999999999994</v>
      </c>
      <c r="BN176" s="173">
        <f t="shared" si="532"/>
        <v>5.7287999999999999E-2</v>
      </c>
      <c r="BO176" s="528"/>
      <c r="BQ176" s="460">
        <f t="shared" si="486"/>
        <v>630.16800000000001</v>
      </c>
      <c r="BR176" s="528">
        <f t="shared" si="487"/>
        <v>0.22759547344221639</v>
      </c>
      <c r="BS176" s="528">
        <f t="shared" si="488"/>
        <v>5.6597308681483757E-2</v>
      </c>
      <c r="BT176" s="528">
        <f t="shared" si="489"/>
        <v>9.458396289304168E-5</v>
      </c>
      <c r="BU176" s="528">
        <f t="shared" si="490"/>
        <v>0.37265848138079338</v>
      </c>
      <c r="BV176" s="528"/>
      <c r="BW176" s="625">
        <f t="shared" si="533"/>
        <v>0.66829105990486537</v>
      </c>
      <c r="BX176" s="460">
        <f t="shared" si="491"/>
        <v>1325.2369073722518</v>
      </c>
      <c r="BY176" s="173">
        <f t="shared" si="492"/>
        <v>2.6250612761011545</v>
      </c>
      <c r="BZ176" s="5">
        <f t="shared" si="493"/>
        <v>17.027999999999999</v>
      </c>
      <c r="CA176" s="173">
        <f t="shared" si="494"/>
        <v>0.86642990426670452</v>
      </c>
      <c r="CB176" s="5">
        <f t="shared" si="495"/>
        <v>86.642990426670451</v>
      </c>
      <c r="CC176">
        <f t="shared" si="496"/>
        <v>66</v>
      </c>
      <c r="CE176" s="562">
        <f t="shared" si="534"/>
        <v>-50</v>
      </c>
      <c r="CF176">
        <f t="shared" si="535"/>
        <v>-50</v>
      </c>
      <c r="CG176" s="173">
        <f t="shared" si="536"/>
        <v>0.34658417599272739</v>
      </c>
      <c r="CH176" s="173">
        <f t="shared" si="537"/>
        <v>9.446712174985028E-2</v>
      </c>
      <c r="CI176" s="170">
        <v>66</v>
      </c>
      <c r="CJ176" s="217">
        <f t="shared" si="602"/>
        <v>0.66</v>
      </c>
      <c r="CK176" s="217">
        <f t="shared" si="538"/>
        <v>6.6000000000000003E-2</v>
      </c>
      <c r="CL176" s="217">
        <f t="shared" si="539"/>
        <v>15.84</v>
      </c>
      <c r="CM176" s="217">
        <f t="shared" si="540"/>
        <v>1.1880000000000002</v>
      </c>
      <c r="CN176" s="541">
        <f t="shared" si="541"/>
        <v>9</v>
      </c>
      <c r="CO176" s="443">
        <f t="shared" si="542"/>
        <v>16.474900000000002</v>
      </c>
      <c r="CP176" s="443">
        <f t="shared" si="543"/>
        <v>25.474900000000002</v>
      </c>
      <c r="CQ176" s="443"/>
      <c r="CR176" s="217">
        <f t="shared" si="544"/>
        <v>0.64485133082098534</v>
      </c>
      <c r="CS176" s="172">
        <f t="shared" si="545"/>
        <v>29.993085154464438</v>
      </c>
      <c r="CT176" s="172">
        <f t="shared" si="546"/>
        <v>2.4181924905786953</v>
      </c>
      <c r="CU176" s="217">
        <f t="shared" si="547"/>
        <v>1.2497118814360182</v>
      </c>
      <c r="CV176" s="217">
        <f t="shared" si="548"/>
        <v>1.6662825085813577</v>
      </c>
      <c r="CW176" s="217">
        <f t="shared" si="549"/>
        <v>24</v>
      </c>
      <c r="CX176" s="217">
        <f t="shared" si="550"/>
        <v>5.868019214882354</v>
      </c>
      <c r="CY176" s="217">
        <f t="shared" si="551"/>
        <v>6.5200213498692827</v>
      </c>
      <c r="CZ176" s="217">
        <f t="shared" si="552"/>
        <v>3.5617935252307169</v>
      </c>
      <c r="DA176" s="197">
        <f t="shared" si="553"/>
        <v>261.91798593910079</v>
      </c>
      <c r="DB176" s="443">
        <f t="shared" si="554"/>
        <v>99.188490602995856</v>
      </c>
      <c r="DD176" s="217">
        <f t="shared" si="555"/>
        <v>2.2222222222222228</v>
      </c>
      <c r="DE176" s="173">
        <f t="shared" si="556"/>
        <v>1.3488532386977905</v>
      </c>
      <c r="DF176" s="173">
        <f t="shared" si="557"/>
        <v>0.24355939229558116</v>
      </c>
      <c r="DG176" s="173"/>
      <c r="DH176" s="173">
        <f t="shared" si="558"/>
        <v>1.3488532386977903</v>
      </c>
      <c r="DI176" s="545">
        <f t="shared" si="559"/>
        <v>660.23099999999977</v>
      </c>
      <c r="DJ176" s="528">
        <f t="shared" si="560"/>
        <v>0.26182634671774968</v>
      </c>
      <c r="DL176" s="173">
        <f t="shared" si="561"/>
        <v>3.119340589657646</v>
      </c>
      <c r="DM176" s="173">
        <f t="shared" si="562"/>
        <v>5.868019214882354</v>
      </c>
      <c r="DN176" s="173">
        <f t="shared" si="563"/>
        <v>3.9005903649334313</v>
      </c>
      <c r="DP176" s="545">
        <f t="shared" si="564"/>
        <v>660</v>
      </c>
      <c r="DQ176" s="460">
        <f t="shared" si="565"/>
        <v>99.188490602995856</v>
      </c>
      <c r="DS176">
        <f t="shared" si="566"/>
        <v>660</v>
      </c>
      <c r="DT176">
        <f t="shared" si="567"/>
        <v>99.188490602995856</v>
      </c>
      <c r="DV176" s="5">
        <f t="shared" si="568"/>
        <v>10.081814875099997</v>
      </c>
      <c r="DW176" s="5">
        <f t="shared" si="569"/>
        <v>6.5200213498692827</v>
      </c>
      <c r="DX176" s="5">
        <f t="shared" si="570"/>
        <v>3.5617935252307147</v>
      </c>
      <c r="DY176" s="173">
        <f t="shared" si="571"/>
        <v>0.64671107639284175</v>
      </c>
      <c r="EA176" s="5">
        <f t="shared" si="572"/>
        <v>17.930058712140529</v>
      </c>
      <c r="EB176" s="5">
        <f t="shared" si="573"/>
        <v>2.3906744949520702</v>
      </c>
      <c r="EC176" s="5">
        <f t="shared" si="574"/>
        <v>5.2239638370050478</v>
      </c>
      <c r="ED176" s="5"/>
      <c r="EE176" s="173">
        <f t="shared" si="575"/>
        <v>2.7244952154057756</v>
      </c>
      <c r="EF176" s="173">
        <f t="shared" si="576"/>
        <v>1.3431414276019069</v>
      </c>
      <c r="EG176" s="173">
        <f t="shared" si="577"/>
        <v>0.13449564835851524</v>
      </c>
      <c r="EH176" s="173"/>
      <c r="EI176" s="528">
        <f t="shared" si="578"/>
        <v>0.29691496715075855</v>
      </c>
      <c r="EJ176" s="528">
        <f t="shared" si="579"/>
        <v>0.4077537750000001</v>
      </c>
      <c r="EK176" s="528">
        <f t="shared" si="580"/>
        <v>1.983769812059917E-2</v>
      </c>
      <c r="EL176" s="528">
        <f t="shared" si="581"/>
        <v>1.1264821280565673E-2</v>
      </c>
      <c r="EM176">
        <f t="shared" si="582"/>
        <v>4.0499999999999998E-3</v>
      </c>
      <c r="EN176" s="460">
        <f t="shared" si="583"/>
        <v>23.887698120599168</v>
      </c>
      <c r="EP176" s="460">
        <f t="shared" si="603"/>
        <v>739.82126155192361</v>
      </c>
      <c r="EQ176" s="173">
        <f t="shared" si="584"/>
        <v>0.46199999999999997</v>
      </c>
      <c r="ER176" s="173">
        <f t="shared" si="585"/>
        <v>4.0920000000000005E-2</v>
      </c>
      <c r="ES176" s="528"/>
      <c r="EU176" s="460">
        <f t="shared" si="497"/>
        <v>502.9199999999999</v>
      </c>
      <c r="EV176" s="528">
        <f t="shared" si="586"/>
        <v>0.2226862253630689</v>
      </c>
      <c r="EW176" s="528">
        <f t="shared" si="587"/>
        <v>5.4120866836214657E-2</v>
      </c>
      <c r="EX176" s="528">
        <f t="shared" si="588"/>
        <v>9.0445397136886926E-5</v>
      </c>
      <c r="EY176" s="528">
        <f t="shared" si="589"/>
        <v>0.40865049202349168</v>
      </c>
      <c r="EZ176" s="528"/>
      <c r="FA176" s="625">
        <f t="shared" si="590"/>
        <v>0.68308434409508012</v>
      </c>
      <c r="FB176" s="460">
        <f t="shared" si="498"/>
        <v>1368.6323737149921</v>
      </c>
      <c r="FC176" s="173">
        <f t="shared" si="591"/>
        <v>2.6113736352669159</v>
      </c>
      <c r="FD176" s="5">
        <f t="shared" si="592"/>
        <v>17.027999999999999</v>
      </c>
      <c r="FE176" s="173">
        <f t="shared" si="593"/>
        <v>0.86703376167875301</v>
      </c>
      <c r="FF176" s="5">
        <f t="shared" si="594"/>
        <v>86.703376167875305</v>
      </c>
      <c r="FG176">
        <f t="shared" si="595"/>
        <v>66</v>
      </c>
      <c r="FI176" s="562">
        <f t="shared" si="596"/>
        <v>-50</v>
      </c>
      <c r="FJ176">
        <f t="shared" si="597"/>
        <v>-50</v>
      </c>
    </row>
    <row r="177" spans="5:166">
      <c r="E177" s="170">
        <v>67</v>
      </c>
      <c r="F177" s="217">
        <f t="shared" si="598"/>
        <v>0.67</v>
      </c>
      <c r="G177" s="217">
        <f t="shared" si="499"/>
        <v>6.7000000000000004E-2</v>
      </c>
      <c r="H177" s="217">
        <f t="shared" si="500"/>
        <v>16.080000000000002</v>
      </c>
      <c r="I177" s="217">
        <f t="shared" si="501"/>
        <v>1.206</v>
      </c>
      <c r="J177" s="541">
        <f t="shared" si="502"/>
        <v>8.7413709314514261</v>
      </c>
      <c r="K177" s="443">
        <f t="shared" si="503"/>
        <v>16.513582377698288</v>
      </c>
      <c r="L177" s="172">
        <f t="shared" si="504"/>
        <v>25.254953309149712</v>
      </c>
      <c r="M177" s="443"/>
      <c r="N177" s="217">
        <f t="shared" si="505"/>
        <v>0.65387499139487693</v>
      </c>
      <c r="O177" s="172">
        <f t="shared" si="506"/>
        <v>29.538831227815137</v>
      </c>
      <c r="P177" s="172">
        <f t="shared" si="507"/>
        <v>2.3815682677425953</v>
      </c>
      <c r="Q177" s="217">
        <f t="shared" si="508"/>
        <v>1.2307846344922975</v>
      </c>
      <c r="R177" s="217">
        <f t="shared" si="509"/>
        <v>1.6410461793230633</v>
      </c>
      <c r="S177" s="217">
        <f t="shared" si="510"/>
        <v>24</v>
      </c>
      <c r="T177" s="217">
        <f t="shared" si="511"/>
        <v>6.0485354105150186</v>
      </c>
      <c r="U177" s="217">
        <f t="shared" si="512"/>
        <v>6.9194357017300421</v>
      </c>
      <c r="V177" s="217">
        <f t="shared" si="513"/>
        <v>3.6627639431427124</v>
      </c>
      <c r="W177" s="197">
        <f t="shared" si="514"/>
        <v>257.20937291620027</v>
      </c>
      <c r="X177" s="443">
        <f t="shared" si="599"/>
        <v>92.745453890341267</v>
      </c>
      <c r="Z177" s="217">
        <f t="shared" si="515"/>
        <v>2.2222222222222223</v>
      </c>
      <c r="AA177" s="173">
        <f t="shared" si="516"/>
        <v>1.3456936062664089</v>
      </c>
      <c r="AB177" s="173">
        <f t="shared" si="517"/>
        <v>0.23862054856807977</v>
      </c>
      <c r="AC177" s="173"/>
      <c r="AD177" s="173">
        <f t="shared" si="518"/>
        <v>1.3456936062664089</v>
      </c>
      <c r="AE177" s="545">
        <f t="shared" si="519"/>
        <v>671.80818263694596</v>
      </c>
      <c r="AF177" s="528">
        <f t="shared" si="520"/>
        <v>0.25651708971068571</v>
      </c>
      <c r="AH177" s="173">
        <f t="shared" si="521"/>
        <v>3.1428831167757871</v>
      </c>
      <c r="AI177" s="173">
        <f t="shared" si="522"/>
        <v>6.0485354105150186</v>
      </c>
      <c r="AJ177" s="173">
        <f t="shared" si="523"/>
        <v>4.0343060654020713</v>
      </c>
      <c r="AL177" s="545">
        <f t="shared" si="524"/>
        <v>670</v>
      </c>
      <c r="AM177" s="460">
        <f t="shared" si="525"/>
        <v>92.745453890341267</v>
      </c>
      <c r="AO177">
        <f t="shared" si="526"/>
        <v>670</v>
      </c>
      <c r="AP177">
        <f t="shared" si="527"/>
        <v>92.745453890341267</v>
      </c>
      <c r="AR177" s="5">
        <f t="shared" si="443"/>
        <v>10.782199644872753</v>
      </c>
      <c r="AS177" s="5">
        <f t="shared" si="440"/>
        <v>6.9194357017300421</v>
      </c>
      <c r="AT177" s="5">
        <f t="shared" si="441"/>
        <v>3.8627639431427108</v>
      </c>
      <c r="AU177" s="173">
        <f t="shared" si="442"/>
        <v>0.64174620482198486</v>
      </c>
      <c r="AW177" s="5">
        <f t="shared" si="477"/>
        <v>19.316758000663036</v>
      </c>
      <c r="AX177" s="5">
        <f t="shared" si="478"/>
        <v>2.5755677334217384</v>
      </c>
      <c r="AY177" s="5">
        <f t="shared" si="479"/>
        <v>5.9213866158998325</v>
      </c>
      <c r="AZ177" s="5"/>
      <c r="BA177" s="173">
        <f t="shared" si="480"/>
        <v>2.7975074686917871</v>
      </c>
      <c r="BB177" s="173">
        <f t="shared" si="481"/>
        <v>1.3941542724164122</v>
      </c>
      <c r="BC177" s="173">
        <f t="shared" si="482"/>
        <v>0.13960382646764341</v>
      </c>
      <c r="BD177" s="173"/>
      <c r="BE177" s="528">
        <f t="shared" si="483"/>
        <v>0.31304192149545323</v>
      </c>
      <c r="BF177" s="528">
        <f t="shared" si="528"/>
        <v>0.31876596606273561</v>
      </c>
      <c r="BG177" s="528">
        <f t="shared" si="529"/>
        <v>3.2428896586451907E-2</v>
      </c>
      <c r="BH177" s="528">
        <f t="shared" si="484"/>
        <v>1.0351989421412753E-2</v>
      </c>
      <c r="BI177">
        <f t="shared" si="485"/>
        <v>3.9336169191531416E-3</v>
      </c>
      <c r="BJ177" s="460">
        <f t="shared" si="600"/>
        <v>36.362513505605051</v>
      </c>
      <c r="BK177">
        <f t="shared" si="530"/>
        <v>0.7850740289981466</v>
      </c>
      <c r="BL177" s="460">
        <f t="shared" si="601"/>
        <v>678.52239048520664</v>
      </c>
      <c r="BM177" s="173">
        <f t="shared" si="531"/>
        <v>0.58155999999999997</v>
      </c>
      <c r="BN177" s="173">
        <f t="shared" si="532"/>
        <v>5.8155999999999999E-2</v>
      </c>
      <c r="BO177" s="528"/>
      <c r="BQ177" s="460">
        <f t="shared" si="486"/>
        <v>639.71599999999989</v>
      </c>
      <c r="BR177" s="528">
        <f t="shared" si="487"/>
        <v>0.23478144112158991</v>
      </c>
      <c r="BS177" s="528">
        <f t="shared" si="488"/>
        <v>5.8309984058908068E-2</v>
      </c>
      <c r="BT177" s="528">
        <f t="shared" si="489"/>
        <v>9.7446141822039466E-5</v>
      </c>
      <c r="BU177" s="528">
        <f t="shared" si="490"/>
        <v>0.37267233163761559</v>
      </c>
      <c r="BV177" s="528"/>
      <c r="BW177" s="625">
        <f t="shared" si="533"/>
        <v>0.67861441667241251</v>
      </c>
      <c r="BX177" s="460">
        <f t="shared" si="491"/>
        <v>1344.4756196323483</v>
      </c>
      <c r="BY177" s="173">
        <f t="shared" si="492"/>
        <v>2.6627140101175546</v>
      </c>
      <c r="BZ177" s="5">
        <f t="shared" si="493"/>
        <v>17.286000000000001</v>
      </c>
      <c r="CA177" s="173">
        <f t="shared" si="494"/>
        <v>0.86652202198261585</v>
      </c>
      <c r="CB177" s="5">
        <f t="shared" si="495"/>
        <v>86.652202198261591</v>
      </c>
      <c r="CC177">
        <f t="shared" si="496"/>
        <v>67</v>
      </c>
      <c r="CE177" s="562">
        <f t="shared" si="534"/>
        <v>-50</v>
      </c>
      <c r="CF177">
        <f t="shared" si="535"/>
        <v>-50</v>
      </c>
      <c r="CG177" s="173">
        <f t="shared" si="536"/>
        <v>0.34658417599272728</v>
      </c>
      <c r="CH177" s="173">
        <f t="shared" si="537"/>
        <v>9.446712174985028E-2</v>
      </c>
      <c r="CI177" s="170">
        <v>67</v>
      </c>
      <c r="CJ177" s="217">
        <f t="shared" si="602"/>
        <v>0.67</v>
      </c>
      <c r="CK177" s="217">
        <f t="shared" si="538"/>
        <v>6.7000000000000004E-2</v>
      </c>
      <c r="CL177" s="217">
        <f t="shared" si="539"/>
        <v>16.080000000000002</v>
      </c>
      <c r="CM177" s="217">
        <f t="shared" si="540"/>
        <v>1.206</v>
      </c>
      <c r="CN177" s="541">
        <f t="shared" si="541"/>
        <v>9</v>
      </c>
      <c r="CO177" s="443">
        <f t="shared" si="542"/>
        <v>16.474900000000002</v>
      </c>
      <c r="CP177" s="443">
        <f t="shared" si="543"/>
        <v>25.474900000000002</v>
      </c>
      <c r="CQ177" s="443"/>
      <c r="CR177" s="217">
        <f t="shared" si="544"/>
        <v>0.64485133082098534</v>
      </c>
      <c r="CS177" s="172">
        <f t="shared" si="545"/>
        <v>29.993085154464438</v>
      </c>
      <c r="CT177" s="172">
        <f t="shared" si="546"/>
        <v>2.4181924905786953</v>
      </c>
      <c r="CU177" s="217">
        <f t="shared" si="547"/>
        <v>1.2497118814360182</v>
      </c>
      <c r="CV177" s="217">
        <f t="shared" si="548"/>
        <v>1.6662825085813577</v>
      </c>
      <c r="CW177" s="217">
        <f t="shared" si="549"/>
        <v>24</v>
      </c>
      <c r="CX177" s="217">
        <f t="shared" si="550"/>
        <v>5.9569285969260273</v>
      </c>
      <c r="CY177" s="217">
        <f t="shared" si="551"/>
        <v>6.6188095521400312</v>
      </c>
      <c r="CZ177" s="217">
        <f t="shared" si="552"/>
        <v>3.6157600937948198</v>
      </c>
      <c r="DA177" s="197">
        <f t="shared" si="553"/>
        <v>261.91798593910079</v>
      </c>
      <c r="DB177" s="443">
        <f t="shared" si="554"/>
        <v>97.708065370115278</v>
      </c>
      <c r="DD177" s="217">
        <f t="shared" si="555"/>
        <v>2.2222222222222228</v>
      </c>
      <c r="DE177" s="173">
        <f t="shared" si="556"/>
        <v>1.3488532386977905</v>
      </c>
      <c r="DF177" s="173">
        <f t="shared" si="557"/>
        <v>0.24355939229558116</v>
      </c>
      <c r="DG177" s="173"/>
      <c r="DH177" s="173">
        <f t="shared" si="558"/>
        <v>1.3488532386977903</v>
      </c>
      <c r="DI177" s="545">
        <f t="shared" si="559"/>
        <v>670.2344999999998</v>
      </c>
      <c r="DJ177" s="528">
        <f t="shared" si="560"/>
        <v>0.26182634671774968</v>
      </c>
      <c r="DL177" s="173">
        <f t="shared" si="561"/>
        <v>3.1428831167757871</v>
      </c>
      <c r="DM177" s="173">
        <f t="shared" si="562"/>
        <v>5.9569285969260273</v>
      </c>
      <c r="DN177" s="173">
        <f t="shared" si="563"/>
        <v>3.966449166447263</v>
      </c>
      <c r="DP177" s="545">
        <f t="shared" si="564"/>
        <v>670</v>
      </c>
      <c r="DQ177" s="460">
        <f t="shared" si="565"/>
        <v>97.708065370115278</v>
      </c>
      <c r="DS177">
        <f t="shared" si="566"/>
        <v>670</v>
      </c>
      <c r="DT177">
        <f t="shared" si="567"/>
        <v>97.708065370115278</v>
      </c>
      <c r="DV177" s="5">
        <f t="shared" si="568"/>
        <v>10.234569645934851</v>
      </c>
      <c r="DW177" s="5">
        <f t="shared" si="569"/>
        <v>6.6188095521400312</v>
      </c>
      <c r="DX177" s="5">
        <f t="shared" si="570"/>
        <v>3.6157600937948198</v>
      </c>
      <c r="DY177" s="173">
        <f t="shared" si="571"/>
        <v>0.64671107639284164</v>
      </c>
      <c r="EA177" s="5">
        <f t="shared" si="572"/>
        <v>18.477509999724255</v>
      </c>
      <c r="EB177" s="5">
        <f t="shared" si="573"/>
        <v>2.463667999963234</v>
      </c>
      <c r="EC177" s="5">
        <f t="shared" si="574"/>
        <v>5.3834650285389536</v>
      </c>
      <c r="ED177" s="5"/>
      <c r="EE177" s="173">
        <f t="shared" si="575"/>
        <v>2.7657754459422268</v>
      </c>
      <c r="EF177" s="173">
        <f t="shared" si="576"/>
        <v>1.3634920552928453</v>
      </c>
      <c r="EG177" s="173">
        <f t="shared" si="577"/>
        <v>0.13653346121243218</v>
      </c>
      <c r="EH177" s="173"/>
      <c r="EI177" s="528">
        <f t="shared" si="578"/>
        <v>0.30598055269507696</v>
      </c>
      <c r="EJ177" s="528">
        <f t="shared" si="579"/>
        <v>0.40775377500000004</v>
      </c>
      <c r="EK177" s="528">
        <f t="shared" si="580"/>
        <v>1.9541613074023054E-2</v>
      </c>
      <c r="EL177" s="528">
        <f t="shared" si="581"/>
        <v>1.10966896196617E-2</v>
      </c>
      <c r="EM177">
        <f t="shared" si="582"/>
        <v>4.0499999999999998E-3</v>
      </c>
      <c r="EN177" s="460">
        <f t="shared" si="583"/>
        <v>23.591613074023055</v>
      </c>
      <c r="EP177" s="460">
        <f t="shared" si="603"/>
        <v>748.42263038876172</v>
      </c>
      <c r="EQ177" s="173">
        <f t="shared" si="584"/>
        <v>0.46899999999999997</v>
      </c>
      <c r="ER177" s="173">
        <f t="shared" si="585"/>
        <v>4.1540000000000001E-2</v>
      </c>
      <c r="ES177" s="528"/>
      <c r="EU177" s="460">
        <f t="shared" si="497"/>
        <v>510.54</v>
      </c>
      <c r="EV177" s="528">
        <f t="shared" si="586"/>
        <v>0.22948541452130769</v>
      </c>
      <c r="EW177" s="528">
        <f t="shared" si="587"/>
        <v>5.5773317545401227E-2</v>
      </c>
      <c r="EX177" s="528">
        <f t="shared" si="588"/>
        <v>9.3206930153233599E-5</v>
      </c>
      <c r="EY177" s="528">
        <f t="shared" si="589"/>
        <v>0.40865049202349168</v>
      </c>
      <c r="EZ177" s="528"/>
      <c r="FA177" s="625">
        <f t="shared" si="590"/>
        <v>0.69343410688439944</v>
      </c>
      <c r="FB177" s="460">
        <f t="shared" si="498"/>
        <v>1387.4365379047533</v>
      </c>
      <c r="FC177" s="173">
        <f t="shared" si="591"/>
        <v>2.6463991682935148</v>
      </c>
      <c r="FD177" s="5">
        <f t="shared" si="592"/>
        <v>17.286000000000001</v>
      </c>
      <c r="FE177" s="173">
        <f t="shared" si="593"/>
        <v>0.86723127778300058</v>
      </c>
      <c r="FF177" s="5">
        <f t="shared" si="594"/>
        <v>86.723127778300054</v>
      </c>
      <c r="FG177">
        <f t="shared" si="595"/>
        <v>67</v>
      </c>
      <c r="FI177" s="562">
        <f t="shared" si="596"/>
        <v>-50</v>
      </c>
      <c r="FJ177">
        <f t="shared" si="597"/>
        <v>-50</v>
      </c>
    </row>
    <row r="178" spans="5:166">
      <c r="E178" s="170">
        <v>68</v>
      </c>
      <c r="F178" s="217">
        <f t="shared" si="598"/>
        <v>0.68</v>
      </c>
      <c r="G178" s="217">
        <f t="shared" si="499"/>
        <v>6.8000000000000005E-2</v>
      </c>
      <c r="H178" s="217">
        <f t="shared" si="500"/>
        <v>16.32</v>
      </c>
      <c r="I178" s="217">
        <f t="shared" si="501"/>
        <v>1.2240000000000002</v>
      </c>
      <c r="J178" s="541">
        <f t="shared" si="502"/>
        <v>8.7375107960999543</v>
      </c>
      <c r="K178" s="443">
        <f t="shared" si="503"/>
        <v>16.514159726619155</v>
      </c>
      <c r="L178" s="172">
        <f t="shared" si="504"/>
        <v>25.25167052271911</v>
      </c>
      <c r="M178" s="443"/>
      <c r="N178" s="217">
        <f t="shared" si="505"/>
        <v>0.65398286072841194</v>
      </c>
      <c r="O178" s="172">
        <f t="shared" si="506"/>
        <v>29.530657912552105</v>
      </c>
      <c r="P178" s="172">
        <f t="shared" si="507"/>
        <v>2.3809092941995136</v>
      </c>
      <c r="Q178" s="217">
        <f t="shared" si="508"/>
        <v>1.230444079689671</v>
      </c>
      <c r="R178" s="217">
        <f t="shared" si="509"/>
        <v>1.6405921062528948</v>
      </c>
      <c r="S178" s="217">
        <f t="shared" si="510"/>
        <v>24</v>
      </c>
      <c r="T178" s="217">
        <f t="shared" si="511"/>
        <v>6.1405111213677701</v>
      </c>
      <c r="U178" s="217">
        <f t="shared" si="512"/>
        <v>7.0277579789756928</v>
      </c>
      <c r="V178" s="217">
        <f t="shared" si="513"/>
        <v>3.7183309493306451</v>
      </c>
      <c r="W178" s="197">
        <f t="shared" si="514"/>
        <v>257.13820377354739</v>
      </c>
      <c r="X178" s="443">
        <f t="shared" si="599"/>
        <v>91.356831334890998</v>
      </c>
      <c r="Z178" s="217">
        <f t="shared" si="515"/>
        <v>2.2222222222222223</v>
      </c>
      <c r="AA178" s="173">
        <f t="shared" si="516"/>
        <v>1.3456465596855196</v>
      </c>
      <c r="AB178" s="173">
        <f t="shared" si="517"/>
        <v>0.23854618283633</v>
      </c>
      <c r="AC178" s="173"/>
      <c r="AD178" s="173">
        <f t="shared" si="518"/>
        <v>1.3456465596855196</v>
      </c>
      <c r="AE178" s="545">
        <f t="shared" si="519"/>
        <v>681.85900880223608</v>
      </c>
      <c r="AF178" s="528">
        <f t="shared" si="520"/>
        <v>0.25643714654905475</v>
      </c>
      <c r="AH178" s="173">
        <f t="shared" si="521"/>
        <v>3.1662505992329248</v>
      </c>
      <c r="AI178" s="173">
        <f t="shared" si="522"/>
        <v>6.1405111213677701</v>
      </c>
      <c r="AJ178" s="173">
        <f t="shared" si="523"/>
        <v>4.1024362215892944</v>
      </c>
      <c r="AL178" s="545">
        <f t="shared" si="524"/>
        <v>680</v>
      </c>
      <c r="AM178" s="460">
        <f t="shared" si="525"/>
        <v>91.356831334890998</v>
      </c>
      <c r="AO178">
        <f t="shared" si="526"/>
        <v>680</v>
      </c>
      <c r="AP178">
        <f t="shared" si="527"/>
        <v>91.356831334890998</v>
      </c>
      <c r="AR178" s="5">
        <f t="shared" si="443"/>
        <v>10.94608892830634</v>
      </c>
      <c r="AS178" s="5">
        <f t="shared" si="440"/>
        <v>7.0277579789756928</v>
      </c>
      <c r="AT178" s="5">
        <f t="shared" si="441"/>
        <v>3.9183309493306471</v>
      </c>
      <c r="AU178" s="173">
        <f t="shared" si="442"/>
        <v>0.64203370034771678</v>
      </c>
      <c r="AW178" s="5">
        <f t="shared" si="477"/>
        <v>19.911980940431132</v>
      </c>
      <c r="AX178" s="5">
        <f t="shared" si="478"/>
        <v>2.6549307920574843</v>
      </c>
      <c r="AY178" s="5">
        <f t="shared" si="479"/>
        <v>6.0989110233412047</v>
      </c>
      <c r="AZ178" s="5"/>
      <c r="BA178" s="173">
        <f t="shared" si="480"/>
        <v>2.8406832292645072</v>
      </c>
      <c r="BB178" s="173">
        <f t="shared" si="481"/>
        <v>1.4147861512076394</v>
      </c>
      <c r="BC178" s="173">
        <f t="shared" si="482"/>
        <v>0.1416698024384947</v>
      </c>
      <c r="BD178" s="173"/>
      <c r="BE178" s="528">
        <f t="shared" si="483"/>
        <v>0.32277924836098515</v>
      </c>
      <c r="BF178" s="528">
        <f t="shared" si="528"/>
        <v>0.31872650638988737</v>
      </c>
      <c r="BG178" s="528">
        <f t="shared" si="529"/>
        <v>3.1929252003443709E-2</v>
      </c>
      <c r="BH178" s="528">
        <f t="shared" si="484"/>
        <v>1.0194344478997301E-2</v>
      </c>
      <c r="BI178">
        <f t="shared" si="485"/>
        <v>3.9318798582449795E-3</v>
      </c>
      <c r="BJ178" s="460">
        <f t="shared" si="600"/>
        <v>35.86113186168869</v>
      </c>
      <c r="BK178">
        <f t="shared" si="530"/>
        <v>0.8002213518058271</v>
      </c>
      <c r="BL178" s="460">
        <f t="shared" si="601"/>
        <v>687.5612310915584</v>
      </c>
      <c r="BM178" s="173">
        <f t="shared" si="531"/>
        <v>0.59023999999999999</v>
      </c>
      <c r="BN178" s="173">
        <f t="shared" si="532"/>
        <v>5.9024000000000007E-2</v>
      </c>
      <c r="BO178" s="528"/>
      <c r="BQ178" s="460">
        <f t="shared" si="486"/>
        <v>649.2639999999999</v>
      </c>
      <c r="BR178" s="528">
        <f t="shared" si="487"/>
        <v>0.24208443627073883</v>
      </c>
      <c r="BS178" s="528">
        <f t="shared" si="488"/>
        <v>6.0048595609467764E-2</v>
      </c>
      <c r="BT178" s="528">
        <f t="shared" si="489"/>
        <v>1.0035166461481059E-4</v>
      </c>
      <c r="BU178" s="528">
        <f t="shared" si="490"/>
        <v>0.37267810603446899</v>
      </c>
      <c r="BV178" s="528"/>
      <c r="BW178" s="625">
        <f t="shared" si="533"/>
        <v>0.68893788600848516</v>
      </c>
      <c r="BX178" s="460">
        <f t="shared" si="491"/>
        <v>1363.8493755877757</v>
      </c>
      <c r="BY178" s="173">
        <f t="shared" si="492"/>
        <v>2.7006746066793337</v>
      </c>
      <c r="BZ178" s="5">
        <f t="shared" si="493"/>
        <v>17.544</v>
      </c>
      <c r="CA178" s="173">
        <f t="shared" si="494"/>
        <v>0.86659827045141558</v>
      </c>
      <c r="CB178" s="5">
        <f t="shared" si="495"/>
        <v>86.659827045141554</v>
      </c>
      <c r="CC178">
        <f t="shared" si="496"/>
        <v>68</v>
      </c>
      <c r="CE178" s="562">
        <f t="shared" si="534"/>
        <v>-50</v>
      </c>
      <c r="CF178">
        <f t="shared" si="535"/>
        <v>-50</v>
      </c>
      <c r="CG178" s="173">
        <f t="shared" si="536"/>
        <v>0.34658417599272739</v>
      </c>
      <c r="CH178" s="173">
        <f t="shared" si="537"/>
        <v>9.446712174985028E-2</v>
      </c>
      <c r="CI178" s="170">
        <v>68</v>
      </c>
      <c r="CJ178" s="217">
        <f t="shared" si="602"/>
        <v>0.68</v>
      </c>
      <c r="CK178" s="217">
        <f t="shared" si="538"/>
        <v>6.8000000000000005E-2</v>
      </c>
      <c r="CL178" s="217">
        <f t="shared" si="539"/>
        <v>16.32</v>
      </c>
      <c r="CM178" s="217">
        <f t="shared" si="540"/>
        <v>1.2240000000000002</v>
      </c>
      <c r="CN178" s="541">
        <f t="shared" si="541"/>
        <v>9</v>
      </c>
      <c r="CO178" s="443">
        <f t="shared" si="542"/>
        <v>16.474900000000002</v>
      </c>
      <c r="CP178" s="443">
        <f t="shared" si="543"/>
        <v>25.474900000000002</v>
      </c>
      <c r="CQ178" s="443"/>
      <c r="CR178" s="217">
        <f t="shared" si="544"/>
        <v>0.64485133082098534</v>
      </c>
      <c r="CS178" s="172">
        <f t="shared" si="545"/>
        <v>29.993085154464438</v>
      </c>
      <c r="CT178" s="172">
        <f t="shared" si="546"/>
        <v>2.4181924905786953</v>
      </c>
      <c r="CU178" s="217">
        <f t="shared" si="547"/>
        <v>1.2497118814360182</v>
      </c>
      <c r="CV178" s="217">
        <f t="shared" si="548"/>
        <v>1.6662825085813577</v>
      </c>
      <c r="CW178" s="217">
        <f t="shared" si="549"/>
        <v>24</v>
      </c>
      <c r="CX178" s="217">
        <f t="shared" si="550"/>
        <v>6.0458379789696988</v>
      </c>
      <c r="CY178" s="217">
        <f t="shared" si="551"/>
        <v>6.717597754410777</v>
      </c>
      <c r="CZ178" s="217">
        <f t="shared" si="552"/>
        <v>3.6697266623589209</v>
      </c>
      <c r="DA178" s="197">
        <f t="shared" si="553"/>
        <v>261.91798593910079</v>
      </c>
      <c r="DB178" s="443">
        <f t="shared" si="554"/>
        <v>96.271182055848897</v>
      </c>
      <c r="DD178" s="217">
        <f t="shared" si="555"/>
        <v>2.2222222222222228</v>
      </c>
      <c r="DE178" s="173">
        <f t="shared" si="556"/>
        <v>1.3488532386977905</v>
      </c>
      <c r="DF178" s="173">
        <f t="shared" si="557"/>
        <v>0.24355939229558116</v>
      </c>
      <c r="DG178" s="173"/>
      <c r="DH178" s="173">
        <f t="shared" si="558"/>
        <v>1.3488532386977903</v>
      </c>
      <c r="DI178" s="545">
        <f t="shared" si="559"/>
        <v>680.23799999999972</v>
      </c>
      <c r="DJ178" s="528">
        <f t="shared" si="560"/>
        <v>0.26182634671774968</v>
      </c>
      <c r="DL178" s="173">
        <f t="shared" si="561"/>
        <v>3.1662505992329248</v>
      </c>
      <c r="DM178" s="173">
        <f t="shared" si="562"/>
        <v>6.0458379789696988</v>
      </c>
      <c r="DN178" s="173">
        <f t="shared" si="563"/>
        <v>4.0323079679610938</v>
      </c>
      <c r="DP178" s="545">
        <f t="shared" si="564"/>
        <v>680</v>
      </c>
      <c r="DQ178" s="460">
        <f t="shared" si="565"/>
        <v>96.271182055848897</v>
      </c>
      <c r="DS178">
        <f t="shared" si="566"/>
        <v>680</v>
      </c>
      <c r="DT178">
        <f t="shared" si="567"/>
        <v>96.271182055848897</v>
      </c>
      <c r="DV178" s="5">
        <f t="shared" si="568"/>
        <v>10.387324416769697</v>
      </c>
      <c r="DW178" s="5">
        <f t="shared" si="569"/>
        <v>6.717597754410777</v>
      </c>
      <c r="DX178" s="5">
        <f t="shared" si="570"/>
        <v>3.6697266623589204</v>
      </c>
      <c r="DY178" s="173">
        <f t="shared" si="571"/>
        <v>0.64671107639284164</v>
      </c>
      <c r="EA178" s="5">
        <f t="shared" si="572"/>
        <v>19.033193637497206</v>
      </c>
      <c r="EB178" s="5">
        <f t="shared" si="573"/>
        <v>2.5377591516662936</v>
      </c>
      <c r="EC178" s="5">
        <f t="shared" si="574"/>
        <v>5.5453647342312573</v>
      </c>
      <c r="ED178" s="5"/>
      <c r="EE178" s="173">
        <f t="shared" si="575"/>
        <v>2.8070556764786776</v>
      </c>
      <c r="EF178" s="173">
        <f t="shared" si="576"/>
        <v>1.3838426829837829</v>
      </c>
      <c r="EG178" s="173">
        <f t="shared" si="577"/>
        <v>0.13857127406634906</v>
      </c>
      <c r="EH178" s="173"/>
      <c r="EI178" s="528">
        <f t="shared" si="578"/>
        <v>0.31518246283404666</v>
      </c>
      <c r="EJ178" s="528">
        <f t="shared" si="579"/>
        <v>0.40775377500000004</v>
      </c>
      <c r="EK178" s="528">
        <f t="shared" si="580"/>
        <v>1.9254236411169776E-2</v>
      </c>
      <c r="EL178" s="528">
        <f t="shared" si="581"/>
        <v>1.0933503007607854E-2</v>
      </c>
      <c r="EM178">
        <f t="shared" si="582"/>
        <v>4.0499999999999998E-3</v>
      </c>
      <c r="EN178" s="460">
        <f t="shared" si="583"/>
        <v>23.304236411169779</v>
      </c>
      <c r="EP178" s="460">
        <f t="shared" si="603"/>
        <v>757.17397725282433</v>
      </c>
      <c r="EQ178" s="173">
        <f t="shared" si="584"/>
        <v>0.47599999999999998</v>
      </c>
      <c r="ER178" s="173">
        <f t="shared" si="585"/>
        <v>4.2160000000000003E-2</v>
      </c>
      <c r="ES178" s="528"/>
      <c r="EU178" s="460">
        <f t="shared" si="497"/>
        <v>518.16</v>
      </c>
      <c r="EV178" s="528">
        <f t="shared" si="586"/>
        <v>0.23638684712553498</v>
      </c>
      <c r="EW178" s="528">
        <f t="shared" si="587"/>
        <v>5.7450617137432637E-2</v>
      </c>
      <c r="EX178" s="528">
        <f t="shared" si="588"/>
        <v>9.6009989981856117E-5</v>
      </c>
      <c r="EY178" s="528">
        <f t="shared" si="589"/>
        <v>0.40865049202349241</v>
      </c>
      <c r="EZ178" s="528"/>
      <c r="FA178" s="625">
        <f t="shared" si="590"/>
        <v>0.70378386967371898</v>
      </c>
      <c r="FB178" s="460">
        <f t="shared" si="498"/>
        <v>1406.367835950161</v>
      </c>
      <c r="FC178" s="173">
        <f t="shared" si="591"/>
        <v>2.6817018132029853</v>
      </c>
      <c r="FD178" s="5">
        <f t="shared" si="592"/>
        <v>17.544</v>
      </c>
      <c r="FE178" s="173">
        <f t="shared" si="593"/>
        <v>0.86741118612495238</v>
      </c>
      <c r="FF178" s="5">
        <f t="shared" si="594"/>
        <v>86.741118612495242</v>
      </c>
      <c r="FG178">
        <f t="shared" si="595"/>
        <v>68</v>
      </c>
      <c r="FI178" s="562">
        <f t="shared" si="596"/>
        <v>-50</v>
      </c>
      <c r="FJ178">
        <f t="shared" si="597"/>
        <v>-50</v>
      </c>
    </row>
    <row r="179" spans="5:166">
      <c r="E179" s="170">
        <v>69</v>
      </c>
      <c r="F179" s="217">
        <f t="shared" si="598"/>
        <v>0.69</v>
      </c>
      <c r="G179" s="217">
        <f t="shared" si="499"/>
        <v>6.8999999999999992E-2</v>
      </c>
      <c r="H179" s="217">
        <f t="shared" si="500"/>
        <v>16.559999999999999</v>
      </c>
      <c r="I179" s="217">
        <f t="shared" si="501"/>
        <v>1.2419999999999998</v>
      </c>
      <c r="J179" s="541">
        <f t="shared" si="502"/>
        <v>8.7336506607484825</v>
      </c>
      <c r="K179" s="443">
        <f t="shared" si="503"/>
        <v>16.514737075540026</v>
      </c>
      <c r="L179" s="172">
        <f t="shared" si="504"/>
        <v>25.248387736288507</v>
      </c>
      <c r="M179" s="443"/>
      <c r="N179" s="217">
        <f t="shared" si="505"/>
        <v>0.65409075811221207</v>
      </c>
      <c r="O179" s="172">
        <f t="shared" si="506"/>
        <v>29.522481559566909</v>
      </c>
      <c r="P179" s="172">
        <f t="shared" si="507"/>
        <v>2.380250075740082</v>
      </c>
      <c r="Q179" s="217">
        <f t="shared" si="508"/>
        <v>1.2301033983152878</v>
      </c>
      <c r="R179" s="217">
        <f t="shared" si="509"/>
        <v>1.6401378644203839</v>
      </c>
      <c r="S179" s="217">
        <f t="shared" si="510"/>
        <v>24</v>
      </c>
      <c r="T179" s="217">
        <f t="shared" si="511"/>
        <v>6.2325384005659199</v>
      </c>
      <c r="U179" s="217">
        <f t="shared" si="512"/>
        <v>7.1362350552635752</v>
      </c>
      <c r="V179" s="217">
        <f t="shared" si="513"/>
        <v>3.7739252959690965</v>
      </c>
      <c r="W179" s="197">
        <f t="shared" si="514"/>
        <v>257.06700817992879</v>
      </c>
      <c r="X179" s="443">
        <f t="shared" si="599"/>
        <v>90.007701814047167</v>
      </c>
      <c r="Z179" s="217">
        <f t="shared" si="515"/>
        <v>2.2222222222222223</v>
      </c>
      <c r="AA179" s="173">
        <f t="shared" si="516"/>
        <v>1.3455995163940913</v>
      </c>
      <c r="AB179" s="173">
        <f t="shared" si="517"/>
        <v>0.2384717977665681</v>
      </c>
      <c r="AC179" s="173"/>
      <c r="AD179" s="173">
        <f t="shared" si="518"/>
        <v>1.3455995163940913</v>
      </c>
      <c r="AE179" s="545">
        <f t="shared" si="519"/>
        <v>691.91053609590074</v>
      </c>
      <c r="AF179" s="528">
        <f t="shared" si="520"/>
        <v>0.25635718259906076</v>
      </c>
      <c r="AH179" s="173">
        <f t="shared" si="521"/>
        <v>3.1894468844254842</v>
      </c>
      <c r="AI179" s="173">
        <f t="shared" si="522"/>
        <v>6.2325384005659199</v>
      </c>
      <c r="AJ179" s="173">
        <f t="shared" si="523"/>
        <v>4.170604576550887</v>
      </c>
      <c r="AL179" s="545">
        <f t="shared" si="524"/>
        <v>690</v>
      </c>
      <c r="AM179" s="460">
        <f t="shared" si="525"/>
        <v>90.007701814047167</v>
      </c>
      <c r="AO179">
        <f t="shared" si="526"/>
        <v>690</v>
      </c>
      <c r="AP179">
        <f t="shared" si="527"/>
        <v>90.007701814047167</v>
      </c>
      <c r="AR179" s="5">
        <f t="shared" si="443"/>
        <v>11.110160351232674</v>
      </c>
      <c r="AS179" s="5">
        <f t="shared" ref="AS179:AS242" si="604">L*AI179/J179*1000000</f>
        <v>7.1362350552635752</v>
      </c>
      <c r="AT179" s="5">
        <f t="shared" ref="AT179:AT242" si="605">AR179-AS179</f>
        <v>3.9739252959690985</v>
      </c>
      <c r="AU179" s="173">
        <f t="shared" ref="AU179:AU242" si="606">AS179/AR179</f>
        <v>0.64231611692911428</v>
      </c>
      <c r="AW179" s="5">
        <f t="shared" si="477"/>
        <v>20.516675783882775</v>
      </c>
      <c r="AX179" s="5">
        <f t="shared" si="478"/>
        <v>2.7355567711843705</v>
      </c>
      <c r="AY179" s="5">
        <f t="shared" si="479"/>
        <v>6.2791805185019491</v>
      </c>
      <c r="AZ179" s="5"/>
      <c r="BA179" s="173">
        <f t="shared" si="480"/>
        <v>2.8838903602724764</v>
      </c>
      <c r="BB179" s="173">
        <f t="shared" si="481"/>
        <v>1.4354228501740234</v>
      </c>
      <c r="BC179" s="173">
        <f t="shared" si="482"/>
        <v>0.14373626107823664</v>
      </c>
      <c r="BD179" s="173"/>
      <c r="BE179" s="528">
        <f t="shared" si="483"/>
        <v>0.33267294440290052</v>
      </c>
      <c r="BF179" s="528">
        <f t="shared" si="528"/>
        <v>0.31868440020130501</v>
      </c>
      <c r="BG179" s="528">
        <f t="shared" si="529"/>
        <v>3.1443832976828213E-2</v>
      </c>
      <c r="BH179" s="528">
        <f t="shared" si="484"/>
        <v>1.0041186269824285E-2</v>
      </c>
      <c r="BI179">
        <f t="shared" si="485"/>
        <v>3.9301427973368174E-3</v>
      </c>
      <c r="BJ179" s="460">
        <f t="shared" si="600"/>
        <v>35.373975774165032</v>
      </c>
      <c r="BK179">
        <f t="shared" si="530"/>
        <v>0.81569530452827999</v>
      </c>
      <c r="BL179" s="460">
        <f t="shared" si="601"/>
        <v>696.77250664819485</v>
      </c>
      <c r="BM179" s="173">
        <f t="shared" si="531"/>
        <v>0.5989199999999999</v>
      </c>
      <c r="BN179" s="173">
        <f t="shared" si="532"/>
        <v>5.9891999999999987E-2</v>
      </c>
      <c r="BO179" s="528"/>
      <c r="BQ179" s="460">
        <f t="shared" si="486"/>
        <v>658.8119999999999</v>
      </c>
      <c r="BR179" s="528">
        <f t="shared" si="487"/>
        <v>0.24950470830217539</v>
      </c>
      <c r="BS179" s="528">
        <f t="shared" si="488"/>
        <v>6.1813162764051494E-2</v>
      </c>
      <c r="BT179" s="528">
        <f t="shared" si="489"/>
        <v>1.0330056374375504E-4</v>
      </c>
      <c r="BU179" s="528">
        <f t="shared" si="490"/>
        <v>0.37267614471248667</v>
      </c>
      <c r="BV179" s="528"/>
      <c r="BW179" s="625">
        <f t="shared" si="533"/>
        <v>0.69926146313845039</v>
      </c>
      <c r="BX179" s="460">
        <f t="shared" si="491"/>
        <v>1383.3587794809077</v>
      </c>
      <c r="BY179" s="173">
        <f t="shared" si="492"/>
        <v>2.7389432861291025</v>
      </c>
      <c r="BZ179" s="5">
        <f t="shared" si="493"/>
        <v>17.802</v>
      </c>
      <c r="CA179" s="173">
        <f t="shared" si="494"/>
        <v>0.86665932289591308</v>
      </c>
      <c r="CB179" s="5">
        <f t="shared" si="495"/>
        <v>86.665932289591311</v>
      </c>
      <c r="CC179">
        <f t="shared" si="496"/>
        <v>69</v>
      </c>
      <c r="CE179" s="562">
        <f t="shared" si="534"/>
        <v>-50</v>
      </c>
      <c r="CF179">
        <f t="shared" si="535"/>
        <v>-50</v>
      </c>
      <c r="CG179" s="173">
        <f t="shared" si="536"/>
        <v>0.34658417599272728</v>
      </c>
      <c r="CH179" s="173">
        <f t="shared" si="537"/>
        <v>9.4467121749850266E-2</v>
      </c>
      <c r="CI179" s="170">
        <v>69</v>
      </c>
      <c r="CJ179" s="217">
        <f t="shared" si="602"/>
        <v>0.69</v>
      </c>
      <c r="CK179" s="217">
        <f t="shared" si="538"/>
        <v>6.8999999999999992E-2</v>
      </c>
      <c r="CL179" s="217">
        <f t="shared" si="539"/>
        <v>16.559999999999999</v>
      </c>
      <c r="CM179" s="217">
        <f t="shared" si="540"/>
        <v>1.2419999999999998</v>
      </c>
      <c r="CN179" s="541">
        <f t="shared" si="541"/>
        <v>9</v>
      </c>
      <c r="CO179" s="443">
        <f t="shared" si="542"/>
        <v>16.474900000000002</v>
      </c>
      <c r="CP179" s="443">
        <f t="shared" si="543"/>
        <v>25.474900000000002</v>
      </c>
      <c r="CQ179" s="443"/>
      <c r="CR179" s="217">
        <f t="shared" si="544"/>
        <v>0.64485133082098534</v>
      </c>
      <c r="CS179" s="172">
        <f t="shared" si="545"/>
        <v>29.993085154464438</v>
      </c>
      <c r="CT179" s="172">
        <f t="shared" si="546"/>
        <v>2.4181924905786953</v>
      </c>
      <c r="CU179" s="217">
        <f t="shared" si="547"/>
        <v>1.2497118814360182</v>
      </c>
      <c r="CV179" s="217">
        <f t="shared" si="548"/>
        <v>1.6662825085813577</v>
      </c>
      <c r="CW179" s="217">
        <f t="shared" si="549"/>
        <v>24</v>
      </c>
      <c r="CX179" s="217">
        <f t="shared" si="550"/>
        <v>6.1347473610133703</v>
      </c>
      <c r="CY179" s="217">
        <f t="shared" si="551"/>
        <v>6.8163859566815228</v>
      </c>
      <c r="CZ179" s="217">
        <f t="shared" si="552"/>
        <v>3.7236932309230224</v>
      </c>
      <c r="DA179" s="197">
        <f t="shared" si="553"/>
        <v>261.91798593910079</v>
      </c>
      <c r="DB179" s="443">
        <f t="shared" si="554"/>
        <v>94.875947533300362</v>
      </c>
      <c r="DD179" s="217">
        <f t="shared" si="555"/>
        <v>2.2222222222222228</v>
      </c>
      <c r="DE179" s="173">
        <f t="shared" si="556"/>
        <v>1.3488532386977905</v>
      </c>
      <c r="DF179" s="173">
        <f t="shared" si="557"/>
        <v>0.24355939229558116</v>
      </c>
      <c r="DG179" s="173"/>
      <c r="DH179" s="173">
        <f t="shared" si="558"/>
        <v>1.3488532386977903</v>
      </c>
      <c r="DI179" s="545">
        <f t="shared" si="559"/>
        <v>690.24149999999963</v>
      </c>
      <c r="DJ179" s="528">
        <f t="shared" si="560"/>
        <v>0.26182634671774968</v>
      </c>
      <c r="DL179" s="173">
        <f t="shared" si="561"/>
        <v>3.1894468844254842</v>
      </c>
      <c r="DM179" s="173">
        <f t="shared" si="562"/>
        <v>6.1347473610133703</v>
      </c>
      <c r="DN179" s="173">
        <f t="shared" si="563"/>
        <v>4.0981667694749246</v>
      </c>
      <c r="DP179" s="545">
        <f t="shared" si="564"/>
        <v>690</v>
      </c>
      <c r="DQ179" s="460">
        <f t="shared" si="565"/>
        <v>94.875947533300362</v>
      </c>
      <c r="DS179">
        <f t="shared" si="566"/>
        <v>690</v>
      </c>
      <c r="DT179">
        <f t="shared" si="567"/>
        <v>94.875947533300362</v>
      </c>
      <c r="DV179" s="5">
        <f t="shared" si="568"/>
        <v>10.540079187604546</v>
      </c>
      <c r="DW179" s="5">
        <f t="shared" si="569"/>
        <v>6.8163859566815228</v>
      </c>
      <c r="DX179" s="5">
        <f t="shared" si="570"/>
        <v>3.7236932309230228</v>
      </c>
      <c r="DY179" s="173">
        <f t="shared" si="571"/>
        <v>0.64671107639284153</v>
      </c>
      <c r="EA179" s="5">
        <f t="shared" si="572"/>
        <v>19.597109625459378</v>
      </c>
      <c r="EB179" s="5">
        <f t="shared" si="573"/>
        <v>2.6129479500612502</v>
      </c>
      <c r="EC179" s="5">
        <f t="shared" si="574"/>
        <v>5.709662954081967</v>
      </c>
      <c r="ED179" s="5"/>
      <c r="EE179" s="173">
        <f t="shared" si="575"/>
        <v>2.8483359070151288</v>
      </c>
      <c r="EF179" s="173">
        <f t="shared" si="576"/>
        <v>1.4041933106747213</v>
      </c>
      <c r="EG179" s="173">
        <f t="shared" si="577"/>
        <v>0.14060908692026597</v>
      </c>
      <c r="EH179" s="173"/>
      <c r="EI179" s="528">
        <f t="shared" si="578"/>
        <v>0.32452069756766788</v>
      </c>
      <c r="EJ179" s="528">
        <f t="shared" si="579"/>
        <v>0.4077537750000001</v>
      </c>
      <c r="EK179" s="528">
        <f t="shared" si="580"/>
        <v>1.8975189506660071E-2</v>
      </c>
      <c r="EL179" s="528">
        <f t="shared" si="581"/>
        <v>1.0775046442280205E-2</v>
      </c>
      <c r="EM179">
        <f t="shared" si="582"/>
        <v>4.0499999999999998E-3</v>
      </c>
      <c r="EN179" s="460">
        <f t="shared" si="583"/>
        <v>23.02518950666007</v>
      </c>
      <c r="EP179" s="460">
        <f t="shared" si="603"/>
        <v>766.07470851660833</v>
      </c>
      <c r="EQ179" s="173">
        <f t="shared" si="584"/>
        <v>0.48299999999999993</v>
      </c>
      <c r="ER179" s="173">
        <f t="shared" si="585"/>
        <v>4.2779999999999992E-2</v>
      </c>
      <c r="ES179" s="528"/>
      <c r="EU179" s="460">
        <f t="shared" si="497"/>
        <v>525.77999999999986</v>
      </c>
      <c r="EV179" s="528">
        <f t="shared" si="586"/>
        <v>0.24339052317575091</v>
      </c>
      <c r="EW179" s="528">
        <f t="shared" si="587"/>
        <v>5.9152765612309026E-2</v>
      </c>
      <c r="EX179" s="528">
        <f t="shared" si="588"/>
        <v>9.8854576622754549E-5</v>
      </c>
      <c r="EY179" s="528">
        <f t="shared" si="589"/>
        <v>0.40865049202349163</v>
      </c>
      <c r="EZ179" s="528"/>
      <c r="FA179" s="625">
        <f t="shared" si="590"/>
        <v>0.71413363246303818</v>
      </c>
      <c r="FB179" s="460">
        <f t="shared" si="498"/>
        <v>1425.4262678512125</v>
      </c>
      <c r="FC179" s="173">
        <f t="shared" si="591"/>
        <v>2.717280976367821</v>
      </c>
      <c r="FD179" s="5">
        <f t="shared" si="592"/>
        <v>17.802</v>
      </c>
      <c r="FE179" s="173">
        <f t="shared" si="593"/>
        <v>0.86757425957092116</v>
      </c>
      <c r="FF179" s="5">
        <f t="shared" si="594"/>
        <v>86.75742595709211</v>
      </c>
      <c r="FG179">
        <f t="shared" si="595"/>
        <v>69</v>
      </c>
      <c r="FI179" s="562">
        <f t="shared" si="596"/>
        <v>-50</v>
      </c>
      <c r="FJ179">
        <f t="shared" si="597"/>
        <v>-50</v>
      </c>
    </row>
    <row r="180" spans="5:166">
      <c r="E180" s="170">
        <v>70</v>
      </c>
      <c r="F180" s="217">
        <f t="shared" si="598"/>
        <v>0.7</v>
      </c>
      <c r="G180" s="217">
        <f t="shared" si="499"/>
        <v>6.9999999999999993E-2</v>
      </c>
      <c r="H180" s="217">
        <f t="shared" si="500"/>
        <v>16.799999999999997</v>
      </c>
      <c r="I180" s="217">
        <f t="shared" si="501"/>
        <v>1.2599999999999998</v>
      </c>
      <c r="J180" s="541">
        <f t="shared" si="502"/>
        <v>8.7297905253970107</v>
      </c>
      <c r="K180" s="443">
        <f t="shared" si="503"/>
        <v>16.515314424460897</v>
      </c>
      <c r="L180" s="172">
        <f t="shared" si="504"/>
        <v>25.245104949857907</v>
      </c>
      <c r="M180" s="443"/>
      <c r="N180" s="217">
        <f t="shared" si="505"/>
        <v>0.65419868355721977</v>
      </c>
      <c r="O180" s="172">
        <f t="shared" si="506"/>
        <v>29.514302167674494</v>
      </c>
      <c r="P180" s="172">
        <f t="shared" si="507"/>
        <v>2.379590612268756</v>
      </c>
      <c r="Q180" s="217">
        <f t="shared" si="508"/>
        <v>1.2297625903197706</v>
      </c>
      <c r="R180" s="217">
        <f t="shared" si="509"/>
        <v>1.639683453759694</v>
      </c>
      <c r="S180" s="217">
        <f t="shared" si="510"/>
        <v>24</v>
      </c>
      <c r="T180" s="217">
        <f t="shared" si="511"/>
        <v>6.3246173196367517</v>
      </c>
      <c r="U180" s="217">
        <f t="shared" si="512"/>
        <v>7.2448672178753375</v>
      </c>
      <c r="V180" s="217">
        <f t="shared" si="513"/>
        <v>3.8295470235004045</v>
      </c>
      <c r="W180" s="197">
        <f t="shared" si="514"/>
        <v>256.99578612502563</v>
      </c>
      <c r="X180" s="443">
        <f t="shared" si="599"/>
        <v>88.696403963065379</v>
      </c>
      <c r="Z180" s="217">
        <f t="shared" si="515"/>
        <v>2.2222222222222223</v>
      </c>
      <c r="AA180" s="173">
        <f t="shared" si="516"/>
        <v>1.3455524763917788</v>
      </c>
      <c r="AB180" s="173">
        <f t="shared" si="517"/>
        <v>0.23839739335125007</v>
      </c>
      <c r="AC180" s="173"/>
      <c r="AD180" s="173">
        <f t="shared" si="518"/>
        <v>1.3455524763917788</v>
      </c>
      <c r="AE180" s="545">
        <f t="shared" si="519"/>
        <v>701.9627645179404</v>
      </c>
      <c r="AF180" s="528">
        <f t="shared" si="520"/>
        <v>0.25627719785259373</v>
      </c>
      <c r="AH180" s="173">
        <f t="shared" si="521"/>
        <v>3.2124756808418016</v>
      </c>
      <c r="AI180" s="173">
        <f t="shared" si="522"/>
        <v>6.3246173196367517</v>
      </c>
      <c r="AJ180" s="173">
        <f t="shared" si="523"/>
        <v>4.2388111832700215</v>
      </c>
      <c r="AL180" s="545">
        <f t="shared" si="524"/>
        <v>700</v>
      </c>
      <c r="AM180" s="460">
        <f t="shared" si="525"/>
        <v>88.696403963065379</v>
      </c>
      <c r="AO180">
        <f t="shared" si="526"/>
        <v>700</v>
      </c>
      <c r="AP180">
        <f t="shared" si="527"/>
        <v>88.696403963065379</v>
      </c>
      <c r="AR180" s="5">
        <f t="shared" si="443"/>
        <v>11.274414241375741</v>
      </c>
      <c r="AS180" s="5">
        <f t="shared" si="604"/>
        <v>7.2448672178753375</v>
      </c>
      <c r="AT180" s="5">
        <f t="shared" si="605"/>
        <v>4.0295470235004034</v>
      </c>
      <c r="AU180" s="173">
        <f t="shared" si="606"/>
        <v>0.64259366941544049</v>
      </c>
      <c r="AW180" s="5">
        <f t="shared" si="477"/>
        <v>21.130862718803066</v>
      </c>
      <c r="AX180" s="5">
        <f t="shared" si="478"/>
        <v>2.8174483625070752</v>
      </c>
      <c r="AY180" s="5">
        <f t="shared" si="479"/>
        <v>6.4622006868188935</v>
      </c>
      <c r="AZ180" s="5"/>
      <c r="BA180" s="173">
        <f t="shared" si="480"/>
        <v>2.9271288961586004</v>
      </c>
      <c r="BB180" s="173">
        <f t="shared" si="481"/>
        <v>1.4560643872270371</v>
      </c>
      <c r="BC180" s="173">
        <f t="shared" si="482"/>
        <v>0.14580320418043707</v>
      </c>
      <c r="BD180" s="173"/>
      <c r="BE180" s="528">
        <f t="shared" si="483"/>
        <v>0.34272334298906665</v>
      </c>
      <c r="BF180" s="528">
        <f t="shared" si="528"/>
        <v>0.31863975840618103</v>
      </c>
      <c r="BG180" s="528">
        <f t="shared" si="529"/>
        <v>3.0972041078142165E-2</v>
      </c>
      <c r="BH180" s="528">
        <f t="shared" si="484"/>
        <v>9.8923260490405111E-3</v>
      </c>
      <c r="BI180">
        <f t="shared" si="485"/>
        <v>3.9284057364286544E-3</v>
      </c>
      <c r="BJ180" s="460">
        <f t="shared" si="600"/>
        <v>34.90044681457082</v>
      </c>
      <c r="BK180">
        <f t="shared" si="530"/>
        <v>0.83150072033240097</v>
      </c>
      <c r="BL180" s="460">
        <f t="shared" si="601"/>
        <v>706.15587425885906</v>
      </c>
      <c r="BM180" s="173">
        <f t="shared" si="531"/>
        <v>0.60759999999999992</v>
      </c>
      <c r="BN180" s="173">
        <f t="shared" si="532"/>
        <v>6.0759999999999995E-2</v>
      </c>
      <c r="BO180" s="528"/>
      <c r="BQ180" s="460">
        <f t="shared" si="486"/>
        <v>668.3599999999999</v>
      </c>
      <c r="BR180" s="528">
        <f t="shared" si="487"/>
        <v>0.25704250724179994</v>
      </c>
      <c r="BS180" s="528">
        <f t="shared" si="488"/>
        <v>6.3603704992525406E-2</v>
      </c>
      <c r="BT180" s="528">
        <f t="shared" si="489"/>
        <v>1.0629287174641112E-4</v>
      </c>
      <c r="BU180" s="528">
        <f t="shared" si="490"/>
        <v>0.37266676901317047</v>
      </c>
      <c r="BV180" s="528"/>
      <c r="BW180" s="625">
        <f t="shared" si="533"/>
        <v>0.70958514355541624</v>
      </c>
      <c r="BX180" s="460">
        <f t="shared" si="491"/>
        <v>1403.0044176746585</v>
      </c>
      <c r="BY180" s="173">
        <f t="shared" si="492"/>
        <v>2.7775202919335173</v>
      </c>
      <c r="BZ180" s="5">
        <f t="shared" si="493"/>
        <v>18.059999999999995</v>
      </c>
      <c r="CA180" s="173">
        <f t="shared" si="494"/>
        <v>0.86670581465450414</v>
      </c>
      <c r="CB180" s="5">
        <f t="shared" si="495"/>
        <v>86.670581465450411</v>
      </c>
      <c r="CC180">
        <f t="shared" si="496"/>
        <v>70</v>
      </c>
      <c r="CE180" s="562">
        <f t="shared" si="534"/>
        <v>-50</v>
      </c>
      <c r="CF180">
        <f t="shared" si="535"/>
        <v>-50</v>
      </c>
      <c r="CG180" s="173">
        <f t="shared" si="536"/>
        <v>0.34658417599272739</v>
      </c>
      <c r="CH180" s="173">
        <f t="shared" si="537"/>
        <v>9.446712174985028E-2</v>
      </c>
      <c r="CI180" s="170">
        <v>70</v>
      </c>
      <c r="CJ180" s="217">
        <f t="shared" si="602"/>
        <v>0.7</v>
      </c>
      <c r="CK180" s="217">
        <f t="shared" si="538"/>
        <v>6.9999999999999993E-2</v>
      </c>
      <c r="CL180" s="217">
        <f t="shared" si="539"/>
        <v>16.799999999999997</v>
      </c>
      <c r="CM180" s="217">
        <f t="shared" si="540"/>
        <v>1.2599999999999998</v>
      </c>
      <c r="CN180" s="541">
        <f t="shared" si="541"/>
        <v>9</v>
      </c>
      <c r="CO180" s="443">
        <f t="shared" si="542"/>
        <v>16.474900000000002</v>
      </c>
      <c r="CP180" s="443">
        <f t="shared" si="543"/>
        <v>25.474900000000002</v>
      </c>
      <c r="CQ180" s="443"/>
      <c r="CR180" s="217">
        <f t="shared" si="544"/>
        <v>0.64485133082098534</v>
      </c>
      <c r="CS180" s="172">
        <f t="shared" si="545"/>
        <v>29.993085154464438</v>
      </c>
      <c r="CT180" s="172">
        <f t="shared" si="546"/>
        <v>2.4181924905786953</v>
      </c>
      <c r="CU180" s="217">
        <f t="shared" si="547"/>
        <v>1.2497118814360182</v>
      </c>
      <c r="CV180" s="217">
        <f t="shared" si="548"/>
        <v>1.6662825085813577</v>
      </c>
      <c r="CW180" s="217">
        <f t="shared" si="549"/>
        <v>24</v>
      </c>
      <c r="CX180" s="217">
        <f t="shared" si="550"/>
        <v>6.2236567430570409</v>
      </c>
      <c r="CY180" s="217">
        <f t="shared" si="551"/>
        <v>6.9151741589522686</v>
      </c>
      <c r="CZ180" s="217">
        <f t="shared" si="552"/>
        <v>3.7776597994871235</v>
      </c>
      <c r="DA180" s="197">
        <f t="shared" si="553"/>
        <v>261.91798593910079</v>
      </c>
      <c r="DB180" s="443">
        <f t="shared" si="554"/>
        <v>93.520576854253235</v>
      </c>
      <c r="DD180" s="217">
        <f t="shared" si="555"/>
        <v>2.2222222222222228</v>
      </c>
      <c r="DE180" s="173">
        <f t="shared" si="556"/>
        <v>1.3488532386977905</v>
      </c>
      <c r="DF180" s="173">
        <f t="shared" si="557"/>
        <v>0.24355939229558116</v>
      </c>
      <c r="DG180" s="173"/>
      <c r="DH180" s="173">
        <f t="shared" si="558"/>
        <v>1.3488532386977903</v>
      </c>
      <c r="DI180" s="545">
        <f t="shared" si="559"/>
        <v>700.24499999999978</v>
      </c>
      <c r="DJ180" s="528">
        <f t="shared" si="560"/>
        <v>0.26182634671774968</v>
      </c>
      <c r="DL180" s="173">
        <f t="shared" si="561"/>
        <v>3.2124756808418016</v>
      </c>
      <c r="DM180" s="173">
        <f t="shared" si="562"/>
        <v>6.2236567430570409</v>
      </c>
      <c r="DN180" s="173">
        <f t="shared" si="563"/>
        <v>4.1640255709887546</v>
      </c>
      <c r="DP180" s="545">
        <f t="shared" si="564"/>
        <v>700</v>
      </c>
      <c r="DQ180" s="460">
        <f t="shared" si="565"/>
        <v>93.520576854253235</v>
      </c>
      <c r="DS180">
        <f t="shared" si="566"/>
        <v>700</v>
      </c>
      <c r="DT180">
        <f t="shared" si="567"/>
        <v>93.520576854253235</v>
      </c>
      <c r="DV180" s="5">
        <f t="shared" si="568"/>
        <v>10.692833958439392</v>
      </c>
      <c r="DW180" s="5">
        <f t="shared" si="569"/>
        <v>6.9151741589522686</v>
      </c>
      <c r="DX180" s="5">
        <f t="shared" si="570"/>
        <v>3.7776597994871235</v>
      </c>
      <c r="DY180" s="173">
        <f t="shared" si="571"/>
        <v>0.64671107639284164</v>
      </c>
      <c r="EA180" s="5">
        <f t="shared" si="572"/>
        <v>20.169257963610786</v>
      </c>
      <c r="EB180" s="5">
        <f t="shared" si="573"/>
        <v>2.6892343951481044</v>
      </c>
      <c r="EC180" s="5">
        <f t="shared" si="574"/>
        <v>5.8763596880910791</v>
      </c>
      <c r="ED180" s="5"/>
      <c r="EE180" s="173">
        <f t="shared" si="575"/>
        <v>2.8896161375515792</v>
      </c>
      <c r="EF180" s="173">
        <f t="shared" si="576"/>
        <v>1.4245439383656586</v>
      </c>
      <c r="EG180" s="173">
        <f t="shared" si="577"/>
        <v>0.14264689977418279</v>
      </c>
      <c r="EH180" s="173"/>
      <c r="EI180" s="528">
        <f t="shared" si="578"/>
        <v>0.33399525689594028</v>
      </c>
      <c r="EJ180" s="528">
        <f t="shared" si="579"/>
        <v>0.40775377500000004</v>
      </c>
      <c r="EK180" s="528">
        <f t="shared" si="580"/>
        <v>1.8704115370850646E-2</v>
      </c>
      <c r="EL180" s="528">
        <f t="shared" si="581"/>
        <v>1.062111720739049E-2</v>
      </c>
      <c r="EM180">
        <f t="shared" si="582"/>
        <v>4.0499999999999998E-3</v>
      </c>
      <c r="EN180" s="460">
        <f t="shared" si="583"/>
        <v>22.754115370850649</v>
      </c>
      <c r="EP180" s="460">
        <f t="shared" si="603"/>
        <v>775.12426447418136</v>
      </c>
      <c r="EQ180" s="173">
        <f t="shared" si="584"/>
        <v>0.48999999999999994</v>
      </c>
      <c r="ER180" s="173">
        <f t="shared" si="585"/>
        <v>4.3399999999999994E-2</v>
      </c>
      <c r="ES180" s="528"/>
      <c r="EU180" s="460">
        <f t="shared" si="497"/>
        <v>533.39999999999986</v>
      </c>
      <c r="EV180" s="528">
        <f t="shared" si="586"/>
        <v>0.2504964426719552</v>
      </c>
      <c r="EW180" s="528">
        <f t="shared" si="587"/>
        <v>6.0879762970030234E-2</v>
      </c>
      <c r="EX180" s="528">
        <f t="shared" si="588"/>
        <v>1.0174069007592876E-4</v>
      </c>
      <c r="EY180" s="528">
        <f t="shared" si="589"/>
        <v>0.40865049202349202</v>
      </c>
      <c r="EZ180" s="528"/>
      <c r="FA180" s="625">
        <f t="shared" si="590"/>
        <v>0.7244833952523575</v>
      </c>
      <c r="FB180" s="460">
        <f t="shared" si="498"/>
        <v>1444.6118336079107</v>
      </c>
      <c r="FC180" s="173">
        <f t="shared" si="591"/>
        <v>2.7531360980820923</v>
      </c>
      <c r="FD180" s="5">
        <f t="shared" si="592"/>
        <v>18.059999999999995</v>
      </c>
      <c r="FE180" s="173">
        <f t="shared" si="593"/>
        <v>0.86772122734854018</v>
      </c>
      <c r="FF180" s="5">
        <f t="shared" si="594"/>
        <v>86.772122734854022</v>
      </c>
      <c r="FG180">
        <f t="shared" si="595"/>
        <v>70</v>
      </c>
      <c r="FI180" s="562">
        <f t="shared" si="596"/>
        <v>-50</v>
      </c>
      <c r="FJ180">
        <f t="shared" si="597"/>
        <v>-50</v>
      </c>
    </row>
    <row r="181" spans="5:166">
      <c r="E181" s="170">
        <v>71</v>
      </c>
      <c r="F181" s="217">
        <f t="shared" si="598"/>
        <v>0.71</v>
      </c>
      <c r="G181" s="217">
        <f t="shared" si="499"/>
        <v>7.0999999999999994E-2</v>
      </c>
      <c r="H181" s="217">
        <f t="shared" si="500"/>
        <v>17.04</v>
      </c>
      <c r="I181" s="217">
        <f t="shared" si="501"/>
        <v>1.2779999999999998</v>
      </c>
      <c r="J181" s="541">
        <f t="shared" si="502"/>
        <v>8.7259303900455407</v>
      </c>
      <c r="K181" s="443">
        <f t="shared" si="503"/>
        <v>16.515891773381767</v>
      </c>
      <c r="L181" s="172">
        <f t="shared" si="504"/>
        <v>25.241822163427308</v>
      </c>
      <c r="M181" s="443"/>
      <c r="N181" s="217">
        <f t="shared" si="505"/>
        <v>0.65430663707438375</v>
      </c>
      <c r="O181" s="172">
        <f t="shared" si="506"/>
        <v>29.506119735689218</v>
      </c>
      <c r="P181" s="172">
        <f t="shared" si="507"/>
        <v>2.3789309036899429</v>
      </c>
      <c r="Q181" s="217">
        <f t="shared" si="508"/>
        <v>1.2294216556537174</v>
      </c>
      <c r="R181" s="217">
        <f t="shared" si="509"/>
        <v>1.6392288742049566</v>
      </c>
      <c r="S181" s="217">
        <f t="shared" si="510"/>
        <v>24</v>
      </c>
      <c r="T181" s="217">
        <f t="shared" si="511"/>
        <v>6.4167479502336802</v>
      </c>
      <c r="U181" s="217">
        <f t="shared" si="512"/>
        <v>7.3536547547455173</v>
      </c>
      <c r="V181" s="217">
        <f t="shared" si="513"/>
        <v>3.8851961724376185</v>
      </c>
      <c r="W181" s="197">
        <f t="shared" si="514"/>
        <v>256.92453759851378</v>
      </c>
      <c r="X181" s="443">
        <f t="shared" si="599"/>
        <v>87.421368314505528</v>
      </c>
      <c r="Z181" s="217">
        <f t="shared" si="515"/>
        <v>2.2222222222222232</v>
      </c>
      <c r="AA181" s="173">
        <f t="shared" si="516"/>
        <v>1.3455054396782384</v>
      </c>
      <c r="AB181" s="173">
        <f t="shared" si="517"/>
        <v>0.23832296958282814</v>
      </c>
      <c r="AC181" s="173"/>
      <c r="AD181" s="173">
        <f t="shared" si="518"/>
        <v>1.345505439678238</v>
      </c>
      <c r="AE181" s="545">
        <f t="shared" si="519"/>
        <v>712.01569406835472</v>
      </c>
      <c r="AF181" s="528">
        <f t="shared" si="520"/>
        <v>0.25619719230154009</v>
      </c>
      <c r="AH181" s="173">
        <f t="shared" si="521"/>
        <v>3.235340564983626</v>
      </c>
      <c r="AI181" s="173">
        <f t="shared" si="522"/>
        <v>6.4167479502336802</v>
      </c>
      <c r="AJ181" s="173">
        <f t="shared" si="523"/>
        <v>4.3070560948233023</v>
      </c>
      <c r="AL181" s="545">
        <f t="shared" si="524"/>
        <v>710</v>
      </c>
      <c r="AM181" s="460">
        <f t="shared" si="525"/>
        <v>87.421368314505528</v>
      </c>
      <c r="AO181">
        <f t="shared" si="526"/>
        <v>710</v>
      </c>
      <c r="AP181">
        <f t="shared" si="527"/>
        <v>87.421368314505528</v>
      </c>
      <c r="AR181" s="5">
        <f t="shared" si="443"/>
        <v>11.438850927183136</v>
      </c>
      <c r="AS181" s="5">
        <f t="shared" si="604"/>
        <v>7.3536547547455173</v>
      </c>
      <c r="AT181" s="5">
        <f t="shared" si="605"/>
        <v>4.0851961724376187</v>
      </c>
      <c r="AU181" s="173">
        <f t="shared" si="606"/>
        <v>0.64286656077232274</v>
      </c>
      <c r="AW181" s="5">
        <f t="shared" si="477"/>
        <v>21.754561982788822</v>
      </c>
      <c r="AX181" s="5">
        <f t="shared" si="478"/>
        <v>2.9006082643718423</v>
      </c>
      <c r="AY181" s="5">
        <f t="shared" si="479"/>
        <v>6.6479771274351664</v>
      </c>
      <c r="AZ181" s="5"/>
      <c r="BA181" s="173">
        <f t="shared" si="480"/>
        <v>2.970398871817082</v>
      </c>
      <c r="BB181" s="173">
        <f t="shared" si="481"/>
        <v>1.4767107796695045</v>
      </c>
      <c r="BC181" s="173">
        <f t="shared" si="482"/>
        <v>0.14787063347771653</v>
      </c>
      <c r="BD181" s="173"/>
      <c r="BE181" s="528">
        <f t="shared" si="483"/>
        <v>0.35293077830768776</v>
      </c>
      <c r="BF181" s="528">
        <f t="shared" si="528"/>
        <v>0.31859268577883948</v>
      </c>
      <c r="BG181" s="528">
        <f t="shared" si="529"/>
        <v>3.0513310980596325E-2</v>
      </c>
      <c r="BH181" s="528">
        <f t="shared" si="484"/>
        <v>9.7475855120898389E-3</v>
      </c>
      <c r="BI181">
        <f t="shared" si="485"/>
        <v>3.9266686755204932E-3</v>
      </c>
      <c r="BJ181" s="460">
        <f t="shared" si="600"/>
        <v>34.439979656116819</v>
      </c>
      <c r="BK181">
        <f t="shared" si="530"/>
        <v>0.84764257463533776</v>
      </c>
      <c r="BL181" s="460">
        <f t="shared" si="601"/>
        <v>715.71102925473394</v>
      </c>
      <c r="BM181" s="173">
        <f t="shared" si="531"/>
        <v>0.61627999999999994</v>
      </c>
      <c r="BN181" s="173">
        <f t="shared" si="532"/>
        <v>6.1627999999999995E-2</v>
      </c>
      <c r="BO181" s="528"/>
      <c r="BQ181" s="460">
        <f t="shared" si="486"/>
        <v>677.9079999999999</v>
      </c>
      <c r="BR181" s="528">
        <f t="shared" si="487"/>
        <v>0.26469808373076581</v>
      </c>
      <c r="BS181" s="528">
        <f t="shared" si="488"/>
        <v>6.5420241803763463E-2</v>
      </c>
      <c r="BT181" s="528">
        <f t="shared" si="489"/>
        <v>1.0932862122550591E-4</v>
      </c>
      <c r="BU181" s="528">
        <f t="shared" si="490"/>
        <v>0.37265028275958195</v>
      </c>
      <c r="BV181" s="528"/>
      <c r="BW181" s="625">
        <f t="shared" si="533"/>
        <v>0.71990892300171916</v>
      </c>
      <c r="BX181" s="460">
        <f t="shared" si="491"/>
        <v>1422.7868599170556</v>
      </c>
      <c r="BY181" s="173">
        <f t="shared" si="492"/>
        <v>2.81640588917179</v>
      </c>
      <c r="BZ181" s="5">
        <f t="shared" si="493"/>
        <v>18.317999999999998</v>
      </c>
      <c r="CA181" s="173">
        <f t="shared" si="494"/>
        <v>0.86673834580726139</v>
      </c>
      <c r="CB181" s="5">
        <f t="shared" si="495"/>
        <v>86.673834580726137</v>
      </c>
      <c r="CC181">
        <f t="shared" si="496"/>
        <v>71</v>
      </c>
      <c r="CE181" s="562">
        <f t="shared" si="534"/>
        <v>-50</v>
      </c>
      <c r="CF181">
        <f t="shared" si="535"/>
        <v>-50</v>
      </c>
      <c r="CG181" s="173">
        <f t="shared" si="536"/>
        <v>0.34658417599272739</v>
      </c>
      <c r="CH181" s="173">
        <f t="shared" si="537"/>
        <v>9.446712174985028E-2</v>
      </c>
      <c r="CI181" s="170">
        <v>71</v>
      </c>
      <c r="CJ181" s="217">
        <f t="shared" si="602"/>
        <v>0.71</v>
      </c>
      <c r="CK181" s="217">
        <f t="shared" si="538"/>
        <v>7.0999999999999994E-2</v>
      </c>
      <c r="CL181" s="217">
        <f t="shared" si="539"/>
        <v>17.04</v>
      </c>
      <c r="CM181" s="217">
        <f t="shared" si="540"/>
        <v>1.2779999999999998</v>
      </c>
      <c r="CN181" s="541">
        <f t="shared" si="541"/>
        <v>9</v>
      </c>
      <c r="CO181" s="443">
        <f t="shared" si="542"/>
        <v>16.474900000000002</v>
      </c>
      <c r="CP181" s="443">
        <f t="shared" si="543"/>
        <v>25.474900000000002</v>
      </c>
      <c r="CQ181" s="443"/>
      <c r="CR181" s="217">
        <f t="shared" si="544"/>
        <v>0.64485133082098534</v>
      </c>
      <c r="CS181" s="172">
        <f t="shared" si="545"/>
        <v>29.993085154464438</v>
      </c>
      <c r="CT181" s="172">
        <f t="shared" si="546"/>
        <v>2.4181924905786953</v>
      </c>
      <c r="CU181" s="217">
        <f t="shared" si="547"/>
        <v>1.2497118814360182</v>
      </c>
      <c r="CV181" s="217">
        <f t="shared" si="548"/>
        <v>1.6662825085813577</v>
      </c>
      <c r="CW181" s="217">
        <f t="shared" si="549"/>
        <v>24</v>
      </c>
      <c r="CX181" s="217">
        <f t="shared" si="550"/>
        <v>6.3125661251007141</v>
      </c>
      <c r="CY181" s="217">
        <f t="shared" si="551"/>
        <v>7.0139623612230162</v>
      </c>
      <c r="CZ181" s="217">
        <f t="shared" si="552"/>
        <v>3.8316263680512259</v>
      </c>
      <c r="DA181" s="197">
        <f t="shared" si="553"/>
        <v>261.91798593910079</v>
      </c>
      <c r="DB181" s="443">
        <f t="shared" si="554"/>
        <v>92.203385630953889</v>
      </c>
      <c r="DD181" s="217">
        <f t="shared" si="555"/>
        <v>2.2222222222222228</v>
      </c>
      <c r="DE181" s="173">
        <f t="shared" si="556"/>
        <v>1.3488532386977905</v>
      </c>
      <c r="DF181" s="173">
        <f t="shared" si="557"/>
        <v>0.24355939229558116</v>
      </c>
      <c r="DG181" s="173"/>
      <c r="DH181" s="173">
        <f t="shared" si="558"/>
        <v>1.3488532386977903</v>
      </c>
      <c r="DI181" s="545">
        <f t="shared" si="559"/>
        <v>710.24849999999981</v>
      </c>
      <c r="DJ181" s="528">
        <f t="shared" si="560"/>
        <v>0.26182634671774968</v>
      </c>
      <c r="DL181" s="173">
        <f t="shared" si="561"/>
        <v>3.235340564983626</v>
      </c>
      <c r="DM181" s="173">
        <f t="shared" si="562"/>
        <v>6.3125661251007141</v>
      </c>
      <c r="DN181" s="173">
        <f t="shared" si="563"/>
        <v>4.2298843725025863</v>
      </c>
      <c r="DP181" s="545">
        <f t="shared" si="564"/>
        <v>710</v>
      </c>
      <c r="DQ181" s="460">
        <f t="shared" si="565"/>
        <v>92.203385630953889</v>
      </c>
      <c r="DS181">
        <f t="shared" si="566"/>
        <v>710</v>
      </c>
      <c r="DT181">
        <f t="shared" si="567"/>
        <v>92.203385630953889</v>
      </c>
      <c r="DV181" s="5">
        <f t="shared" si="568"/>
        <v>10.845588729274242</v>
      </c>
      <c r="DW181" s="5">
        <f t="shared" si="569"/>
        <v>7.0139623612230162</v>
      </c>
      <c r="DX181" s="5">
        <f t="shared" si="570"/>
        <v>3.8316263680512259</v>
      </c>
      <c r="DY181" s="173">
        <f t="shared" si="571"/>
        <v>0.64671107639284164</v>
      </c>
      <c r="EA181" s="5">
        <f t="shared" si="572"/>
        <v>20.749638651951422</v>
      </c>
      <c r="EB181" s="5">
        <f t="shared" si="573"/>
        <v>2.7666184869268564</v>
      </c>
      <c r="EC181" s="5">
        <f t="shared" si="574"/>
        <v>6.0454549362585999</v>
      </c>
      <c r="ED181" s="5"/>
      <c r="EE181" s="173">
        <f t="shared" si="575"/>
        <v>2.9308963680880309</v>
      </c>
      <c r="EF181" s="173">
        <f t="shared" si="576"/>
        <v>1.4448945660565971</v>
      </c>
      <c r="EG181" s="173">
        <f t="shared" si="577"/>
        <v>0.14468471262809976</v>
      </c>
      <c r="EH181" s="173"/>
      <c r="EI181" s="528">
        <f t="shared" si="578"/>
        <v>0.34360614081886437</v>
      </c>
      <c r="EJ181" s="528">
        <f t="shared" si="579"/>
        <v>0.4077537750000001</v>
      </c>
      <c r="EK181" s="528">
        <f t="shared" si="580"/>
        <v>1.8440677126190776E-2</v>
      </c>
      <c r="EL181" s="528">
        <f t="shared" si="581"/>
        <v>1.0471524007286398E-2</v>
      </c>
      <c r="EM181">
        <f t="shared" si="582"/>
        <v>4.0499999999999998E-3</v>
      </c>
      <c r="EN181" s="460">
        <f t="shared" si="583"/>
        <v>22.490677126190775</v>
      </c>
      <c r="EP181" s="460">
        <f t="shared" si="603"/>
        <v>784.3221169523415</v>
      </c>
      <c r="EQ181" s="173">
        <f t="shared" si="584"/>
        <v>0.49699999999999994</v>
      </c>
      <c r="ER181" s="173">
        <f t="shared" si="585"/>
        <v>4.4019999999999997E-2</v>
      </c>
      <c r="ES181" s="528"/>
      <c r="EU181" s="460">
        <f t="shared" si="497"/>
        <v>541.02</v>
      </c>
      <c r="EV181" s="528">
        <f t="shared" si="586"/>
        <v>0.25770460561414826</v>
      </c>
      <c r="EW181" s="528">
        <f t="shared" si="587"/>
        <v>6.2631609210596462E-2</v>
      </c>
      <c r="EX181" s="528">
        <f t="shared" si="588"/>
        <v>1.0466833034137904E-4</v>
      </c>
      <c r="EY181" s="528">
        <f t="shared" si="589"/>
        <v>0.40865049202349241</v>
      </c>
      <c r="EZ181" s="528"/>
      <c r="FA181" s="625">
        <f t="shared" si="590"/>
        <v>0.73483315804167715</v>
      </c>
      <c r="FB181" s="460">
        <f t="shared" si="498"/>
        <v>1463.9245332202556</v>
      </c>
      <c r="FC181" s="173">
        <f t="shared" si="591"/>
        <v>2.7892666501725971</v>
      </c>
      <c r="FD181" s="5">
        <f t="shared" si="592"/>
        <v>18.317999999999998</v>
      </c>
      <c r="FE181" s="173">
        <f t="shared" si="593"/>
        <v>0.86785277807869132</v>
      </c>
      <c r="FF181" s="5">
        <f t="shared" si="594"/>
        <v>86.785277807869136</v>
      </c>
      <c r="FG181">
        <f t="shared" si="595"/>
        <v>71</v>
      </c>
      <c r="FI181" s="562">
        <f t="shared" si="596"/>
        <v>-50</v>
      </c>
      <c r="FJ181">
        <f t="shared" si="597"/>
        <v>-50</v>
      </c>
    </row>
    <row r="182" spans="5:166">
      <c r="E182" s="170">
        <v>72</v>
      </c>
      <c r="F182" s="217">
        <f t="shared" si="598"/>
        <v>0.72</v>
      </c>
      <c r="G182" s="217">
        <f t="shared" si="499"/>
        <v>7.1999999999999995E-2</v>
      </c>
      <c r="H182" s="217">
        <f t="shared" si="500"/>
        <v>17.28</v>
      </c>
      <c r="I182" s="217">
        <f t="shared" si="501"/>
        <v>1.2959999999999998</v>
      </c>
      <c r="J182" s="541">
        <f t="shared" si="502"/>
        <v>8.7220702546940689</v>
      </c>
      <c r="K182" s="443">
        <f t="shared" si="503"/>
        <v>16.516469122302638</v>
      </c>
      <c r="L182" s="172">
        <f t="shared" si="504"/>
        <v>25.238539376996705</v>
      </c>
      <c r="M182" s="443"/>
      <c r="N182" s="217">
        <f t="shared" si="505"/>
        <v>0.654414618674658</v>
      </c>
      <c r="O182" s="172">
        <f t="shared" si="506"/>
        <v>29.497934262424788</v>
      </c>
      <c r="P182" s="172">
        <f t="shared" si="507"/>
        <v>2.3782709499079981</v>
      </c>
      <c r="Q182" s="217">
        <f t="shared" si="508"/>
        <v>1.2290805942676994</v>
      </c>
      <c r="R182" s="217">
        <f t="shared" si="509"/>
        <v>1.6387741256902659</v>
      </c>
      <c r="S182" s="217">
        <f t="shared" si="510"/>
        <v>24</v>
      </c>
      <c r="T182" s="217">
        <f t="shared" si="511"/>
        <v>6.508930364136531</v>
      </c>
      <c r="U182" s="217">
        <f t="shared" si="512"/>
        <v>7.4625979544633188</v>
      </c>
      <c r="V182" s="217">
        <f t="shared" si="513"/>
        <v>3.9408727833646635</v>
      </c>
      <c r="W182" s="197">
        <f t="shared" si="514"/>
        <v>256.85326259006371</v>
      </c>
      <c r="X182" s="443">
        <f t="shared" si="599"/>
        <v>86.181111030852392</v>
      </c>
      <c r="Z182" s="217">
        <f t="shared" si="515"/>
        <v>2.2222222222222223</v>
      </c>
      <c r="AA182" s="173">
        <f t="shared" si="516"/>
        <v>1.345458406253123</v>
      </c>
      <c r="AB182" s="173">
        <f t="shared" si="517"/>
        <v>0.23824852645375003</v>
      </c>
      <c r="AC182" s="173"/>
      <c r="AD182" s="173">
        <f t="shared" si="518"/>
        <v>1.345458406253123</v>
      </c>
      <c r="AE182" s="545">
        <f t="shared" si="519"/>
        <v>722.06932474714358</v>
      </c>
      <c r="AF182" s="528">
        <f t="shared" si="520"/>
        <v>0.25611716593778128</v>
      </c>
      <c r="AH182" s="173">
        <f t="shared" si="521"/>
        <v>3.2580449878504045</v>
      </c>
      <c r="AI182" s="173">
        <f t="shared" si="522"/>
        <v>6.508930364136531</v>
      </c>
      <c r="AJ182" s="173">
        <f t="shared" si="523"/>
        <v>4.3753393643809693</v>
      </c>
      <c r="AL182" s="545">
        <f t="shared" si="524"/>
        <v>720</v>
      </c>
      <c r="AM182" s="460">
        <f t="shared" si="525"/>
        <v>86.181111030852392</v>
      </c>
      <c r="AO182">
        <f t="shared" si="526"/>
        <v>720</v>
      </c>
      <c r="AP182">
        <f t="shared" si="527"/>
        <v>86.181111030852392</v>
      </c>
      <c r="AR182" s="5">
        <f t="shared" si="443"/>
        <v>11.603470737827982</v>
      </c>
      <c r="AS182" s="5">
        <f t="shared" si="604"/>
        <v>7.4625979544633188</v>
      </c>
      <c r="AT182" s="5">
        <f t="shared" si="605"/>
        <v>4.1408727833646628</v>
      </c>
      <c r="AU182" s="173">
        <f t="shared" si="606"/>
        <v>0.64313498289221527</v>
      </c>
      <c r="AW182" s="5">
        <f t="shared" si="477"/>
        <v>22.387793863389955</v>
      </c>
      <c r="AX182" s="5">
        <f t="shared" si="478"/>
        <v>2.9850391817853272</v>
      </c>
      <c r="AY182" s="5">
        <f t="shared" si="479"/>
        <v>6.836515453238877</v>
      </c>
      <c r="AZ182" s="5"/>
      <c r="BA182" s="173">
        <f t="shared" si="480"/>
        <v>3.0137003225676953</v>
      </c>
      <c r="BB182" s="173">
        <f t="shared" si="481"/>
        <v>1.4973620442373765</v>
      </c>
      <c r="BC182" s="173">
        <f t="shared" si="482"/>
        <v>0.14993855064593187</v>
      </c>
      <c r="BD182" s="173"/>
      <c r="BE182" s="528">
        <f t="shared" si="483"/>
        <v>0.36329558536978523</v>
      </c>
      <c r="BF182" s="528">
        <f t="shared" si="528"/>
        <v>0.31854328137713239</v>
      </c>
      <c r="BG182" s="528">
        <f t="shared" si="529"/>
        <v>3.0067108201547385E-2</v>
      </c>
      <c r="BH182" s="528">
        <f t="shared" si="484"/>
        <v>9.6067960826868477E-3</v>
      </c>
      <c r="BI182">
        <f t="shared" si="485"/>
        <v>3.9249316146123311E-3</v>
      </c>
      <c r="BJ182" s="460">
        <f t="shared" si="600"/>
        <v>33.992039816159718</v>
      </c>
      <c r="BK182">
        <f t="shared" si="530"/>
        <v>0.86412598898282722</v>
      </c>
      <c r="BL182" s="460">
        <f t="shared" si="601"/>
        <v>725.43770264576426</v>
      </c>
      <c r="BM182" s="173">
        <f t="shared" si="531"/>
        <v>0.62495999999999996</v>
      </c>
      <c r="BN182" s="173">
        <f t="shared" si="532"/>
        <v>6.2495999999999989E-2</v>
      </c>
      <c r="BO182" s="528"/>
      <c r="BQ182" s="460">
        <f t="shared" si="486"/>
        <v>687.4559999999999</v>
      </c>
      <c r="BR182" s="528">
        <f t="shared" si="487"/>
        <v>0.27247168902733893</v>
      </c>
      <c r="BS182" s="528">
        <f t="shared" si="488"/>
        <v>6.726279274568206E-2</v>
      </c>
      <c r="BT182" s="528">
        <f t="shared" si="489"/>
        <v>1.1240784484901338E-4</v>
      </c>
      <c r="BU182" s="528">
        <f t="shared" si="490"/>
        <v>0.3726269734341689</v>
      </c>
      <c r="BV182" s="528"/>
      <c r="BW182" s="625">
        <f t="shared" si="533"/>
        <v>0.73023279745192704</v>
      </c>
      <c r="BX182" s="460">
        <f t="shared" si="491"/>
        <v>1442.7066605039661</v>
      </c>
      <c r="BY182" s="173">
        <f t="shared" si="492"/>
        <v>2.8556003631497302</v>
      </c>
      <c r="BZ182" s="5">
        <f t="shared" si="493"/>
        <v>18.576000000000001</v>
      </c>
      <c r="CA182" s="173">
        <f t="shared" si="494"/>
        <v>0.86675748358672489</v>
      </c>
      <c r="CB182" s="5">
        <f t="shared" si="495"/>
        <v>86.675748358672493</v>
      </c>
      <c r="CC182">
        <f t="shared" si="496"/>
        <v>72</v>
      </c>
      <c r="CE182" s="562">
        <f t="shared" si="534"/>
        <v>-50</v>
      </c>
      <c r="CF182">
        <f t="shared" si="535"/>
        <v>-50</v>
      </c>
      <c r="CG182" s="173">
        <f t="shared" si="536"/>
        <v>0.34658417599272728</v>
      </c>
      <c r="CH182" s="173">
        <f t="shared" si="537"/>
        <v>9.4467121749850266E-2</v>
      </c>
      <c r="CI182" s="170">
        <v>72</v>
      </c>
      <c r="CJ182" s="217">
        <f t="shared" si="602"/>
        <v>0.72</v>
      </c>
      <c r="CK182" s="217">
        <f t="shared" si="538"/>
        <v>7.1999999999999995E-2</v>
      </c>
      <c r="CL182" s="217">
        <f t="shared" si="539"/>
        <v>17.28</v>
      </c>
      <c r="CM182" s="217">
        <f t="shared" si="540"/>
        <v>1.2959999999999998</v>
      </c>
      <c r="CN182" s="541">
        <f t="shared" si="541"/>
        <v>9</v>
      </c>
      <c r="CO182" s="443">
        <f t="shared" si="542"/>
        <v>16.474900000000002</v>
      </c>
      <c r="CP182" s="443">
        <f t="shared" si="543"/>
        <v>25.474900000000002</v>
      </c>
      <c r="CQ182" s="443"/>
      <c r="CR182" s="217">
        <f t="shared" si="544"/>
        <v>0.64485133082098534</v>
      </c>
      <c r="CS182" s="172">
        <f t="shared" si="545"/>
        <v>29.993085154464438</v>
      </c>
      <c r="CT182" s="172">
        <f t="shared" si="546"/>
        <v>2.4181924905786953</v>
      </c>
      <c r="CU182" s="217">
        <f t="shared" si="547"/>
        <v>1.2497118814360182</v>
      </c>
      <c r="CV182" s="217">
        <f t="shared" si="548"/>
        <v>1.6662825085813577</v>
      </c>
      <c r="CW182" s="217">
        <f t="shared" si="549"/>
        <v>24</v>
      </c>
      <c r="CX182" s="217">
        <f t="shared" si="550"/>
        <v>6.4014755071443865</v>
      </c>
      <c r="CY182" s="217">
        <f t="shared" si="551"/>
        <v>7.1127505634937638</v>
      </c>
      <c r="CZ182" s="217">
        <f t="shared" si="552"/>
        <v>3.8855929366153283</v>
      </c>
      <c r="DA182" s="197">
        <f t="shared" si="553"/>
        <v>261.91798593910079</v>
      </c>
      <c r="DB182" s="443">
        <f t="shared" si="554"/>
        <v>90.922783052746169</v>
      </c>
      <c r="DD182" s="217">
        <f t="shared" si="555"/>
        <v>2.2222222222222228</v>
      </c>
      <c r="DE182" s="173">
        <f t="shared" si="556"/>
        <v>1.3488532386977905</v>
      </c>
      <c r="DF182" s="173">
        <f t="shared" si="557"/>
        <v>0.24355939229558116</v>
      </c>
      <c r="DG182" s="173"/>
      <c r="DH182" s="173">
        <f t="shared" si="558"/>
        <v>1.3488532386977903</v>
      </c>
      <c r="DI182" s="545">
        <f t="shared" si="559"/>
        <v>720.25199999999984</v>
      </c>
      <c r="DJ182" s="528">
        <f t="shared" si="560"/>
        <v>0.26182634671774968</v>
      </c>
      <c r="DL182" s="173">
        <f t="shared" si="561"/>
        <v>3.2580449878504045</v>
      </c>
      <c r="DM182" s="173">
        <f t="shared" si="562"/>
        <v>6.4014755071443865</v>
      </c>
      <c r="DN182" s="173">
        <f t="shared" si="563"/>
        <v>4.295743174016418</v>
      </c>
      <c r="DP182" s="545">
        <f t="shared" si="564"/>
        <v>720</v>
      </c>
      <c r="DQ182" s="460">
        <f t="shared" si="565"/>
        <v>90.922783052746169</v>
      </c>
      <c r="DS182">
        <f t="shared" si="566"/>
        <v>720</v>
      </c>
      <c r="DT182">
        <f t="shared" si="567"/>
        <v>90.922783052746169</v>
      </c>
      <c r="DV182" s="5">
        <f t="shared" si="568"/>
        <v>10.998343500109092</v>
      </c>
      <c r="DW182" s="5">
        <f t="shared" si="569"/>
        <v>7.1127505634937638</v>
      </c>
      <c r="DX182" s="5">
        <f t="shared" si="570"/>
        <v>3.8855929366153283</v>
      </c>
      <c r="DY182" s="173">
        <f t="shared" si="571"/>
        <v>0.64671107639284153</v>
      </c>
      <c r="EA182" s="5">
        <f t="shared" si="572"/>
        <v>21.338251690481293</v>
      </c>
      <c r="EB182" s="5">
        <f t="shared" si="573"/>
        <v>2.8451002253975055</v>
      </c>
      <c r="EC182" s="5">
        <f t="shared" si="574"/>
        <v>6.2169486985845248</v>
      </c>
      <c r="ED182" s="5"/>
      <c r="EE182" s="173">
        <f t="shared" si="575"/>
        <v>2.9721765986244821</v>
      </c>
      <c r="EF182" s="173">
        <f t="shared" si="576"/>
        <v>1.465245193747535</v>
      </c>
      <c r="EG182" s="173">
        <f t="shared" si="577"/>
        <v>0.14672252548201667</v>
      </c>
      <c r="EH182" s="173"/>
      <c r="EI182" s="528">
        <f t="shared" si="578"/>
        <v>0.35335334933643986</v>
      </c>
      <c r="EJ182" s="528">
        <f t="shared" si="579"/>
        <v>0.40775377499999998</v>
      </c>
      <c r="EK182" s="528">
        <f t="shared" si="580"/>
        <v>1.8184556610549234E-2</v>
      </c>
      <c r="EL182" s="528">
        <f t="shared" si="581"/>
        <v>1.0326086173851862E-2</v>
      </c>
      <c r="EM182">
        <f t="shared" si="582"/>
        <v>4.0499999999999998E-3</v>
      </c>
      <c r="EN182" s="460">
        <f t="shared" si="583"/>
        <v>22.23455661054923</v>
      </c>
      <c r="EP182" s="460">
        <f t="shared" si="603"/>
        <v>793.66776712084084</v>
      </c>
      <c r="EQ182" s="173">
        <f t="shared" si="584"/>
        <v>0.504</v>
      </c>
      <c r="ER182" s="173">
        <f t="shared" si="585"/>
        <v>4.4639999999999999E-2</v>
      </c>
      <c r="ES182" s="528"/>
      <c r="EU182" s="460">
        <f t="shared" si="497"/>
        <v>548.64</v>
      </c>
      <c r="EV182" s="528">
        <f t="shared" si="586"/>
        <v>0.26501501200232985</v>
      </c>
      <c r="EW182" s="528">
        <f t="shared" si="587"/>
        <v>6.4408304334007543E-2</v>
      </c>
      <c r="EX182" s="528">
        <f t="shared" si="588"/>
        <v>1.0763749741910516E-4</v>
      </c>
      <c r="EY182" s="528">
        <f t="shared" si="589"/>
        <v>0.40865049202349163</v>
      </c>
      <c r="EZ182" s="528"/>
      <c r="FA182" s="625">
        <f t="shared" si="590"/>
        <v>0.74518292083099635</v>
      </c>
      <c r="FB182" s="460">
        <f t="shared" si="498"/>
        <v>1483.3643666882447</v>
      </c>
      <c r="FC182" s="173">
        <f t="shared" si="591"/>
        <v>2.8256721338090856</v>
      </c>
      <c r="FD182" s="5">
        <f t="shared" si="592"/>
        <v>18.576000000000001</v>
      </c>
      <c r="FE182" s="173">
        <f t="shared" si="593"/>
        <v>0.86796956255837332</v>
      </c>
      <c r="FF182" s="5">
        <f t="shared" si="594"/>
        <v>86.79695625583733</v>
      </c>
      <c r="FG182">
        <f t="shared" si="595"/>
        <v>72</v>
      </c>
      <c r="FI182" s="562">
        <f t="shared" si="596"/>
        <v>-50</v>
      </c>
      <c r="FJ182">
        <f t="shared" si="597"/>
        <v>-50</v>
      </c>
    </row>
    <row r="183" spans="5:166">
      <c r="E183" s="170">
        <v>73</v>
      </c>
      <c r="F183" s="217">
        <f t="shared" si="598"/>
        <v>0.73</v>
      </c>
      <c r="G183" s="217">
        <f t="shared" si="499"/>
        <v>7.2999999999999995E-2</v>
      </c>
      <c r="H183" s="217">
        <f t="shared" si="500"/>
        <v>17.52</v>
      </c>
      <c r="I183" s="217">
        <f t="shared" si="501"/>
        <v>1.3139999999999998</v>
      </c>
      <c r="J183" s="541">
        <f t="shared" si="502"/>
        <v>8.7182101193425972</v>
      </c>
      <c r="K183" s="443">
        <f t="shared" si="503"/>
        <v>16.517046471223509</v>
      </c>
      <c r="L183" s="172">
        <f t="shared" si="504"/>
        <v>25.235256590566106</v>
      </c>
      <c r="M183" s="443"/>
      <c r="N183" s="217">
        <f t="shared" si="505"/>
        <v>0.65452262836900199</v>
      </c>
      <c r="O183" s="172">
        <f t="shared" si="506"/>
        <v>29.4897457466943</v>
      </c>
      <c r="P183" s="172">
        <f t="shared" si="507"/>
        <v>2.3776107508272277</v>
      </c>
      <c r="Q183" s="217">
        <f t="shared" si="508"/>
        <v>1.2287394061122625</v>
      </c>
      <c r="R183" s="217">
        <f t="shared" si="509"/>
        <v>1.6383192081496833</v>
      </c>
      <c r="S183" s="217">
        <f t="shared" si="510"/>
        <v>24</v>
      </c>
      <c r="T183" s="217">
        <f t="shared" si="511"/>
        <v>6.6011646332518179</v>
      </c>
      <c r="U183" s="217">
        <f t="shared" si="512"/>
        <v>7.5716971062743603</v>
      </c>
      <c r="V183" s="217">
        <f t="shared" si="513"/>
        <v>3.9965768969364865</v>
      </c>
      <c r="W183" s="197">
        <f t="shared" si="514"/>
        <v>256.7819610893406</v>
      </c>
      <c r="X183" s="443">
        <f t="shared" si="599"/>
        <v>84.974228143155131</v>
      </c>
      <c r="Z183" s="217">
        <f t="shared" si="515"/>
        <v>2.2222222222222228</v>
      </c>
      <c r="AA183" s="173">
        <f t="shared" si="516"/>
        <v>1.3454113761160902</v>
      </c>
      <c r="AB183" s="173">
        <f t="shared" si="517"/>
        <v>0.23817406395646079</v>
      </c>
      <c r="AC183" s="173"/>
      <c r="AD183" s="173">
        <f t="shared" si="518"/>
        <v>1.34541137611609</v>
      </c>
      <c r="AE183" s="545">
        <f t="shared" si="519"/>
        <v>732.12365655430722</v>
      </c>
      <c r="AF183" s="528">
        <f t="shared" si="520"/>
        <v>0.25603711875319518</v>
      </c>
      <c r="AH183" s="173">
        <f t="shared" si="521"/>
        <v>3.2805922810196506</v>
      </c>
      <c r="AI183" s="173">
        <f t="shared" si="522"/>
        <v>6.6011646332518179</v>
      </c>
      <c r="AJ183" s="173">
        <f t="shared" si="523"/>
        <v>4.4436610452071079</v>
      </c>
      <c r="AL183" s="545">
        <f t="shared" si="524"/>
        <v>730</v>
      </c>
      <c r="AM183" s="460">
        <f t="shared" si="525"/>
        <v>84.974228143155131</v>
      </c>
      <c r="AO183">
        <f t="shared" si="526"/>
        <v>730</v>
      </c>
      <c r="AP183">
        <f t="shared" si="527"/>
        <v>84.974228143155131</v>
      </c>
      <c r="AR183" s="5">
        <f t="shared" si="443"/>
        <v>11.768274003210847</v>
      </c>
      <c r="AS183" s="5">
        <f t="shared" si="604"/>
        <v>7.5716971062743603</v>
      </c>
      <c r="AT183" s="5">
        <f t="shared" si="605"/>
        <v>4.1965768969364863</v>
      </c>
      <c r="AU183" s="173">
        <f t="shared" si="606"/>
        <v>0.64339911733942501</v>
      </c>
      <c r="AW183" s="5">
        <f t="shared" si="477"/>
        <v>23.03057869825118</v>
      </c>
      <c r="AX183" s="5">
        <f t="shared" si="478"/>
        <v>3.0707438264334908</v>
      </c>
      <c r="AY183" s="5">
        <f t="shared" si="479"/>
        <v>7.0278212909019446</v>
      </c>
      <c r="AZ183" s="5"/>
      <c r="BA183" s="173">
        <f t="shared" si="480"/>
        <v>3.0570332841321517</v>
      </c>
      <c r="BB183" s="173">
        <f t="shared" si="481"/>
        <v>1.5180181971381785</v>
      </c>
      <c r="BC183" s="173">
        <f t="shared" si="482"/>
        <v>0.15200695730802566</v>
      </c>
      <c r="BD183" s="173"/>
      <c r="BE183" s="528">
        <f t="shared" si="483"/>
        <v>0.37381810001167237</v>
      </c>
      <c r="BF183" s="528">
        <f t="shared" si="528"/>
        <v>0.31849163892705668</v>
      </c>
      <c r="BG183" s="528">
        <f t="shared" si="529"/>
        <v>2.9632927027239259E-2</v>
      </c>
      <c r="BH183" s="528">
        <f t="shared" si="484"/>
        <v>9.4697982582784175E-3</v>
      </c>
      <c r="BI183">
        <f t="shared" si="485"/>
        <v>3.923194553704169E-3</v>
      </c>
      <c r="BJ183" s="460">
        <f t="shared" si="600"/>
        <v>33.556121580943426</v>
      </c>
      <c r="BK183">
        <f t="shared" si="530"/>
        <v>0.88095623511471388</v>
      </c>
      <c r="BL183" s="460">
        <f t="shared" si="601"/>
        <v>735.33565877795093</v>
      </c>
      <c r="BM183" s="173">
        <f t="shared" si="531"/>
        <v>0.63363999999999998</v>
      </c>
      <c r="BN183" s="173">
        <f t="shared" si="532"/>
        <v>6.336399999999999E-2</v>
      </c>
      <c r="BO183" s="528"/>
      <c r="BQ183" s="460">
        <f t="shared" si="486"/>
        <v>697.00399999999991</v>
      </c>
      <c r="BR183" s="528">
        <f t="shared" si="487"/>
        <v>0.28036357500875425</v>
      </c>
      <c r="BS183" s="528">
        <f t="shared" si="488"/>
        <v>6.9131377405279373E-2</v>
      </c>
      <c r="BT183" s="528">
        <f t="shared" si="489"/>
        <v>1.1553057535021968E-4</v>
      </c>
      <c r="BU183" s="528">
        <f t="shared" si="490"/>
        <v>0.37259711326285005</v>
      </c>
      <c r="BV183" s="528"/>
      <c r="BW183" s="625">
        <f t="shared" si="533"/>
        <v>0.74055676309721441</v>
      </c>
      <c r="BX183" s="460">
        <f t="shared" si="491"/>
        <v>1462.7643593494483</v>
      </c>
      <c r="BY183" s="173">
        <f t="shared" si="492"/>
        <v>2.895104018127399</v>
      </c>
      <c r="BZ183" s="5">
        <f t="shared" si="493"/>
        <v>18.834</v>
      </c>
      <c r="CA183" s="173">
        <f t="shared" si="494"/>
        <v>0.86676376459369098</v>
      </c>
      <c r="CB183" s="5">
        <f t="shared" si="495"/>
        <v>86.676376459369095</v>
      </c>
      <c r="CC183">
        <f t="shared" si="496"/>
        <v>73</v>
      </c>
      <c r="CE183" s="562">
        <f t="shared" si="534"/>
        <v>-50</v>
      </c>
      <c r="CF183">
        <f t="shared" si="535"/>
        <v>-50</v>
      </c>
      <c r="CG183" s="173">
        <f t="shared" si="536"/>
        <v>0.34658417599272739</v>
      </c>
      <c r="CH183" s="173">
        <f t="shared" si="537"/>
        <v>9.4467121749850266E-2</v>
      </c>
      <c r="CI183" s="170">
        <v>73</v>
      </c>
      <c r="CJ183" s="217">
        <f t="shared" si="602"/>
        <v>0.73</v>
      </c>
      <c r="CK183" s="217">
        <f t="shared" si="538"/>
        <v>7.2999999999999995E-2</v>
      </c>
      <c r="CL183" s="217">
        <f t="shared" si="539"/>
        <v>17.52</v>
      </c>
      <c r="CM183" s="217">
        <f t="shared" si="540"/>
        <v>1.3139999999999998</v>
      </c>
      <c r="CN183" s="541">
        <f t="shared" si="541"/>
        <v>9</v>
      </c>
      <c r="CO183" s="443">
        <f t="shared" si="542"/>
        <v>16.474900000000002</v>
      </c>
      <c r="CP183" s="443">
        <f t="shared" si="543"/>
        <v>25.474900000000002</v>
      </c>
      <c r="CQ183" s="443"/>
      <c r="CR183" s="217">
        <f t="shared" si="544"/>
        <v>0.64485133082098534</v>
      </c>
      <c r="CS183" s="172">
        <f t="shared" si="545"/>
        <v>29.993085154464438</v>
      </c>
      <c r="CT183" s="172">
        <f t="shared" si="546"/>
        <v>2.4181924905786953</v>
      </c>
      <c r="CU183" s="217">
        <f t="shared" si="547"/>
        <v>1.2497118814360182</v>
      </c>
      <c r="CV183" s="217">
        <f t="shared" si="548"/>
        <v>1.6662825085813577</v>
      </c>
      <c r="CW183" s="217">
        <f t="shared" si="549"/>
        <v>24</v>
      </c>
      <c r="CX183" s="217">
        <f t="shared" si="550"/>
        <v>6.4903848891880589</v>
      </c>
      <c r="CY183" s="217">
        <f t="shared" si="551"/>
        <v>7.2115387657645105</v>
      </c>
      <c r="CZ183" s="217">
        <f t="shared" si="552"/>
        <v>3.9395595051794299</v>
      </c>
      <c r="DA183" s="197">
        <f t="shared" si="553"/>
        <v>261.91798593910079</v>
      </c>
      <c r="DB183" s="443">
        <f t="shared" si="554"/>
        <v>89.677265476681157</v>
      </c>
      <c r="DD183" s="217">
        <f t="shared" si="555"/>
        <v>2.2222222222222228</v>
      </c>
      <c r="DE183" s="173">
        <f t="shared" si="556"/>
        <v>1.3488532386977905</v>
      </c>
      <c r="DF183" s="173">
        <f t="shared" si="557"/>
        <v>0.24355939229558116</v>
      </c>
      <c r="DG183" s="173"/>
      <c r="DH183" s="173">
        <f t="shared" si="558"/>
        <v>1.3488532386977903</v>
      </c>
      <c r="DI183" s="545">
        <f t="shared" si="559"/>
        <v>730.25549999999976</v>
      </c>
      <c r="DJ183" s="528">
        <f t="shared" si="560"/>
        <v>0.26182634671774968</v>
      </c>
      <c r="DL183" s="173">
        <f t="shared" si="561"/>
        <v>3.2805922810196506</v>
      </c>
      <c r="DM183" s="173">
        <f t="shared" si="562"/>
        <v>6.4903848891880589</v>
      </c>
      <c r="DN183" s="173">
        <f t="shared" si="563"/>
        <v>4.3616019755302498</v>
      </c>
      <c r="DP183" s="545">
        <f t="shared" si="564"/>
        <v>730</v>
      </c>
      <c r="DQ183" s="460">
        <f t="shared" si="565"/>
        <v>89.677265476681157</v>
      </c>
      <c r="DS183">
        <f t="shared" si="566"/>
        <v>730</v>
      </c>
      <c r="DT183">
        <f t="shared" si="567"/>
        <v>89.677265476681157</v>
      </c>
      <c r="DV183" s="5">
        <f t="shared" si="568"/>
        <v>11.15109827094394</v>
      </c>
      <c r="DW183" s="5">
        <f t="shared" si="569"/>
        <v>7.2115387657645105</v>
      </c>
      <c r="DX183" s="5">
        <f t="shared" si="570"/>
        <v>3.9395595051794299</v>
      </c>
      <c r="DY183" s="173">
        <f t="shared" si="571"/>
        <v>0.64671107639284164</v>
      </c>
      <c r="EA183" s="5">
        <f t="shared" si="572"/>
        <v>21.935097079200386</v>
      </c>
      <c r="EB183" s="5">
        <f t="shared" si="573"/>
        <v>2.9246796105600512</v>
      </c>
      <c r="EC183" s="5">
        <f t="shared" si="574"/>
        <v>6.3908409750688513</v>
      </c>
      <c r="ED183" s="5"/>
      <c r="EE183" s="173">
        <f t="shared" si="575"/>
        <v>3.0134568291609334</v>
      </c>
      <c r="EF183" s="173">
        <f t="shared" si="576"/>
        <v>1.485595821438473</v>
      </c>
      <c r="EG183" s="173">
        <f t="shared" si="577"/>
        <v>0.14876033833593355</v>
      </c>
      <c r="EH183" s="173"/>
      <c r="EI183" s="528">
        <f t="shared" si="578"/>
        <v>0.36323688244866664</v>
      </c>
      <c r="EJ183" s="528">
        <f t="shared" si="579"/>
        <v>0.40775377500000004</v>
      </c>
      <c r="EK183" s="528">
        <f t="shared" si="580"/>
        <v>1.7935453095336232E-2</v>
      </c>
      <c r="EL183" s="528">
        <f t="shared" si="581"/>
        <v>1.0184632938593617E-2</v>
      </c>
      <c r="EM183">
        <f t="shared" si="582"/>
        <v>4.0499999999999998E-3</v>
      </c>
      <c r="EN183" s="460">
        <f t="shared" si="583"/>
        <v>21.985453095336233</v>
      </c>
      <c r="EP183" s="460">
        <f t="shared" si="603"/>
        <v>803.16074348259656</v>
      </c>
      <c r="EQ183" s="173">
        <f t="shared" si="584"/>
        <v>0.51100000000000001</v>
      </c>
      <c r="ER183" s="173">
        <f t="shared" si="585"/>
        <v>4.5259999999999995E-2</v>
      </c>
      <c r="ES183" s="528"/>
      <c r="EU183" s="460">
        <f t="shared" si="497"/>
        <v>556.26</v>
      </c>
      <c r="EV183" s="528">
        <f t="shared" si="586"/>
        <v>0.27242766183649997</v>
      </c>
      <c r="EW183" s="528">
        <f t="shared" si="587"/>
        <v>6.6209848340263541E-2</v>
      </c>
      <c r="EX183" s="528">
        <f t="shared" si="588"/>
        <v>1.1064819130910711E-4</v>
      </c>
      <c r="EY183" s="528">
        <f t="shared" si="589"/>
        <v>0.40865049202349163</v>
      </c>
      <c r="EZ183" s="528"/>
      <c r="FA183" s="625">
        <f t="shared" si="590"/>
        <v>0.75553268362031578</v>
      </c>
      <c r="FB183" s="460">
        <f t="shared" si="498"/>
        <v>1502.9313340118802</v>
      </c>
      <c r="FC183" s="173">
        <f t="shared" si="591"/>
        <v>2.8623520774944771</v>
      </c>
      <c r="FD183" s="5">
        <f t="shared" si="592"/>
        <v>18.834</v>
      </c>
      <c r="FE183" s="173">
        <f t="shared" si="593"/>
        <v>0.86807219631803534</v>
      </c>
      <c r="FF183" s="5">
        <f t="shared" si="594"/>
        <v>86.807219631803534</v>
      </c>
      <c r="FG183">
        <f t="shared" si="595"/>
        <v>73</v>
      </c>
      <c r="FI183" s="562">
        <f t="shared" si="596"/>
        <v>-50</v>
      </c>
      <c r="FJ183">
        <f t="shared" si="597"/>
        <v>-50</v>
      </c>
    </row>
    <row r="184" spans="5:166">
      <c r="E184" s="170">
        <v>74</v>
      </c>
      <c r="F184" s="217">
        <f t="shared" si="598"/>
        <v>0.74</v>
      </c>
      <c r="G184" s="217">
        <f t="shared" si="499"/>
        <v>7.3999999999999996E-2</v>
      </c>
      <c r="H184" s="217">
        <f t="shared" si="500"/>
        <v>17.759999999999998</v>
      </c>
      <c r="I184" s="217">
        <f t="shared" si="501"/>
        <v>1.3319999999999999</v>
      </c>
      <c r="J184" s="541">
        <f t="shared" si="502"/>
        <v>8.7143499839911271</v>
      </c>
      <c r="K184" s="443">
        <f t="shared" si="503"/>
        <v>16.517623820144376</v>
      </c>
      <c r="L184" s="172">
        <f t="shared" si="504"/>
        <v>25.231973804135503</v>
      </c>
      <c r="M184" s="443"/>
      <c r="N184" s="217">
        <f t="shared" si="505"/>
        <v>0.6546306661683815</v>
      </c>
      <c r="O184" s="172">
        <f t="shared" si="506"/>
        <v>29.481554187310262</v>
      </c>
      <c r="P184" s="172">
        <f t="shared" si="507"/>
        <v>2.37695030635189</v>
      </c>
      <c r="Q184" s="217">
        <f t="shared" si="508"/>
        <v>1.2283980911379275</v>
      </c>
      <c r="R184" s="217">
        <f t="shared" si="509"/>
        <v>1.6378641215172367</v>
      </c>
      <c r="S184" s="217">
        <f t="shared" si="510"/>
        <v>24</v>
      </c>
      <c r="T184" s="217">
        <f t="shared" si="511"/>
        <v>6.6934508296130275</v>
      </c>
      <c r="U184" s="217">
        <f t="shared" si="512"/>
        <v>7.6809525000824701</v>
      </c>
      <c r="V184" s="217">
        <f t="shared" si="513"/>
        <v>4.0523085538792234</v>
      </c>
      <c r="W184" s="197">
        <f t="shared" si="514"/>
        <v>256.71063308600412</v>
      </c>
      <c r="X184" s="443">
        <f t="shared" si="599"/>
        <v>83.799390248653992</v>
      </c>
      <c r="Z184" s="217">
        <f t="shared" si="515"/>
        <v>2.2222222222222223</v>
      </c>
      <c r="AA184" s="173">
        <f t="shared" si="516"/>
        <v>1.3453643492667935</v>
      </c>
      <c r="AB184" s="173">
        <f t="shared" si="517"/>
        <v>0.23809958208340007</v>
      </c>
      <c r="AC184" s="173"/>
      <c r="AD184" s="173">
        <f t="shared" si="518"/>
        <v>1.3453643492667935</v>
      </c>
      <c r="AE184" s="545">
        <f t="shared" si="519"/>
        <v>742.1786894898454</v>
      </c>
      <c r="AF184" s="528">
        <f t="shared" si="520"/>
        <v>0.25595705073965508</v>
      </c>
      <c r="AH184" s="173">
        <f t="shared" si="521"/>
        <v>3.3029856623537261</v>
      </c>
      <c r="AI184" s="173">
        <f t="shared" si="522"/>
        <v>6.6934508296130275</v>
      </c>
      <c r="AJ184" s="173">
        <f t="shared" si="523"/>
        <v>4.5120211906598557</v>
      </c>
      <c r="AL184" s="545">
        <f t="shared" si="524"/>
        <v>740</v>
      </c>
      <c r="AM184" s="460">
        <f t="shared" si="525"/>
        <v>83.799390248653992</v>
      </c>
      <c r="AO184">
        <f t="shared" si="526"/>
        <v>740</v>
      </c>
      <c r="AP184">
        <f t="shared" si="527"/>
        <v>83.799390248653992</v>
      </c>
      <c r="AR184" s="5">
        <f t="shared" si="443"/>
        <v>11.933261053961694</v>
      </c>
      <c r="AS184" s="5">
        <f t="shared" si="604"/>
        <v>7.6809525000824701</v>
      </c>
      <c r="AT184" s="5">
        <f t="shared" si="605"/>
        <v>4.2523085538792236</v>
      </c>
      <c r="AU184" s="173">
        <f t="shared" si="606"/>
        <v>0.6436591360357854</v>
      </c>
      <c r="AW184" s="5">
        <f t="shared" si="477"/>
        <v>23.682936875254285</v>
      </c>
      <c r="AX184" s="5">
        <f t="shared" si="478"/>
        <v>3.157724916700571</v>
      </c>
      <c r="AY184" s="5">
        <f t="shared" si="479"/>
        <v>7.2219002809190558</v>
      </c>
      <c r="AZ184" s="5"/>
      <c r="BA184" s="173">
        <f t="shared" si="480"/>
        <v>3.1003977926123762</v>
      </c>
      <c r="BB184" s="173">
        <f t="shared" si="481"/>
        <v>1.538679254086416</v>
      </c>
      <c r="BC184" s="173">
        <f t="shared" si="482"/>
        <v>0.15407585503757215</v>
      </c>
      <c r="BD184" s="173"/>
      <c r="BE184" s="528">
        <f t="shared" si="483"/>
        <v>0.38449865889742785</v>
      </c>
      <c r="BF184" s="528">
        <f t="shared" si="528"/>
        <v>0.31843784717672863</v>
      </c>
      <c r="BG184" s="528">
        <f t="shared" si="529"/>
        <v>2.9210288602872968E-2</v>
      </c>
      <c r="BH184" s="528">
        <f t="shared" si="484"/>
        <v>9.3364410076500794E-3</v>
      </c>
      <c r="BI184">
        <f t="shared" si="485"/>
        <v>3.9214574927960068E-3</v>
      </c>
      <c r="BJ184" s="460">
        <f t="shared" si="600"/>
        <v>33.131746095668973</v>
      </c>
      <c r="BK184">
        <f t="shared" si="530"/>
        <v>0.89813873922274112</v>
      </c>
      <c r="BL184" s="460">
        <f t="shared" si="601"/>
        <v>745.40469317747556</v>
      </c>
      <c r="BM184" s="173">
        <f t="shared" si="531"/>
        <v>0.64232</v>
      </c>
      <c r="BN184" s="173">
        <f t="shared" si="532"/>
        <v>6.4231999999999984E-2</v>
      </c>
      <c r="BO184" s="528"/>
      <c r="BQ184" s="460">
        <f t="shared" si="486"/>
        <v>706.55199999999991</v>
      </c>
      <c r="BR184" s="528">
        <f t="shared" si="487"/>
        <v>0.28837399417307086</v>
      </c>
      <c r="BS184" s="528">
        <f t="shared" si="488"/>
        <v>7.1026015408677895E-2</v>
      </c>
      <c r="BT184" s="528">
        <f t="shared" si="489"/>
        <v>1.1869684552779474E-4</v>
      </c>
      <c r="BU184" s="528">
        <f t="shared" si="490"/>
        <v>0.37256096021392765</v>
      </c>
      <c r="BV184" s="528"/>
      <c r="BW184" s="625">
        <f t="shared" si="533"/>
        <v>0.75088081633098158</v>
      </c>
      <c r="BX184" s="460">
        <f t="shared" si="491"/>
        <v>1482.9604829721857</v>
      </c>
      <c r="BY184" s="173">
        <f t="shared" si="492"/>
        <v>2.9349171761496611</v>
      </c>
      <c r="BZ184" s="5">
        <f t="shared" si="493"/>
        <v>19.091999999999999</v>
      </c>
      <c r="CA184" s="173">
        <f t="shared" si="494"/>
        <v>0.8667576968361449</v>
      </c>
      <c r="CB184" s="5">
        <f t="shared" si="495"/>
        <v>86.67576968361449</v>
      </c>
      <c r="CC184">
        <f t="shared" si="496"/>
        <v>74</v>
      </c>
      <c r="CE184" s="562">
        <f t="shared" si="534"/>
        <v>-50</v>
      </c>
      <c r="CF184">
        <f t="shared" si="535"/>
        <v>-50</v>
      </c>
      <c r="CG184" s="173">
        <f t="shared" si="536"/>
        <v>0.34658417599272739</v>
      </c>
      <c r="CH184" s="173">
        <f t="shared" si="537"/>
        <v>9.446712174985028E-2</v>
      </c>
      <c r="CI184" s="170">
        <v>74</v>
      </c>
      <c r="CJ184" s="217">
        <f t="shared" si="602"/>
        <v>0.74</v>
      </c>
      <c r="CK184" s="217">
        <f t="shared" si="538"/>
        <v>7.3999999999999996E-2</v>
      </c>
      <c r="CL184" s="217">
        <f t="shared" si="539"/>
        <v>17.759999999999998</v>
      </c>
      <c r="CM184" s="217">
        <f t="shared" si="540"/>
        <v>1.3319999999999999</v>
      </c>
      <c r="CN184" s="541">
        <f t="shared" si="541"/>
        <v>9</v>
      </c>
      <c r="CO184" s="443">
        <f t="shared" si="542"/>
        <v>16.474900000000002</v>
      </c>
      <c r="CP184" s="443">
        <f t="shared" si="543"/>
        <v>25.474900000000002</v>
      </c>
      <c r="CQ184" s="443"/>
      <c r="CR184" s="217">
        <f t="shared" si="544"/>
        <v>0.64485133082098534</v>
      </c>
      <c r="CS184" s="172">
        <f t="shared" si="545"/>
        <v>29.993085154464438</v>
      </c>
      <c r="CT184" s="172">
        <f t="shared" si="546"/>
        <v>2.4181924905786953</v>
      </c>
      <c r="CU184" s="217">
        <f t="shared" si="547"/>
        <v>1.2497118814360182</v>
      </c>
      <c r="CV184" s="217">
        <f t="shared" si="548"/>
        <v>1.6662825085813577</v>
      </c>
      <c r="CW184" s="217">
        <f t="shared" si="549"/>
        <v>24</v>
      </c>
      <c r="CX184" s="217">
        <f t="shared" si="550"/>
        <v>6.5792942712317304</v>
      </c>
      <c r="CY184" s="217">
        <f t="shared" si="551"/>
        <v>7.3103269680352554</v>
      </c>
      <c r="CZ184" s="217">
        <f t="shared" si="552"/>
        <v>3.9935260737435305</v>
      </c>
      <c r="DA184" s="197">
        <f t="shared" si="553"/>
        <v>261.91798593910079</v>
      </c>
      <c r="DB184" s="443">
        <f t="shared" si="554"/>
        <v>88.465410537807116</v>
      </c>
      <c r="DD184" s="217">
        <f t="shared" si="555"/>
        <v>2.2222222222222228</v>
      </c>
      <c r="DE184" s="173">
        <f t="shared" si="556"/>
        <v>1.3488532386977905</v>
      </c>
      <c r="DF184" s="173">
        <f t="shared" si="557"/>
        <v>0.24355939229558116</v>
      </c>
      <c r="DG184" s="173"/>
      <c r="DH184" s="173">
        <f t="shared" si="558"/>
        <v>1.3488532386977903</v>
      </c>
      <c r="DI184" s="545">
        <f t="shared" si="559"/>
        <v>740.25899999999967</v>
      </c>
      <c r="DJ184" s="528">
        <f t="shared" si="560"/>
        <v>0.26182634671774968</v>
      </c>
      <c r="DL184" s="173">
        <f t="shared" si="561"/>
        <v>3.3029856623537261</v>
      </c>
      <c r="DM184" s="173">
        <f t="shared" si="562"/>
        <v>6.5792942712317304</v>
      </c>
      <c r="DN184" s="173">
        <f t="shared" si="563"/>
        <v>4.4274607770440797</v>
      </c>
      <c r="DP184" s="545">
        <f t="shared" si="564"/>
        <v>740</v>
      </c>
      <c r="DQ184" s="460">
        <f t="shared" si="565"/>
        <v>88.465410537807116</v>
      </c>
      <c r="DS184">
        <f t="shared" si="566"/>
        <v>740</v>
      </c>
      <c r="DT184">
        <f t="shared" si="567"/>
        <v>88.465410537807116</v>
      </c>
      <c r="DV184" s="5">
        <f t="shared" si="568"/>
        <v>11.303853041778787</v>
      </c>
      <c r="DW184" s="5">
        <f t="shared" si="569"/>
        <v>7.3103269680352554</v>
      </c>
      <c r="DX184" s="5">
        <f t="shared" si="570"/>
        <v>3.9935260737435314</v>
      </c>
      <c r="DY184" s="173">
        <f t="shared" si="571"/>
        <v>0.64671107639284153</v>
      </c>
      <c r="EA184" s="5">
        <f t="shared" si="572"/>
        <v>22.540174818108706</v>
      </c>
      <c r="EB184" s="5">
        <f t="shared" si="573"/>
        <v>3.0053566424144935</v>
      </c>
      <c r="EC184" s="5">
        <f t="shared" si="574"/>
        <v>6.5671317657115837</v>
      </c>
      <c r="ED184" s="5"/>
      <c r="EE184" s="173">
        <f t="shared" si="575"/>
        <v>3.0547370596973842</v>
      </c>
      <c r="EF184" s="173">
        <f t="shared" si="576"/>
        <v>1.505946449129411</v>
      </c>
      <c r="EG184" s="173">
        <f t="shared" si="577"/>
        <v>0.15079815118985046</v>
      </c>
      <c r="EH184" s="173"/>
      <c r="EI184" s="528">
        <f t="shared" si="578"/>
        <v>0.37325674015554483</v>
      </c>
      <c r="EJ184" s="528">
        <f t="shared" si="579"/>
        <v>0.4077537750000001</v>
      </c>
      <c r="EK184" s="528">
        <f t="shared" si="580"/>
        <v>1.7693082107561424E-2</v>
      </c>
      <c r="EL184" s="528">
        <f t="shared" si="581"/>
        <v>1.0047002763747761E-2</v>
      </c>
      <c r="EM184">
        <f t="shared" si="582"/>
        <v>4.0499999999999998E-3</v>
      </c>
      <c r="EN184" s="460">
        <f t="shared" si="583"/>
        <v>21.74308210756142</v>
      </c>
      <c r="EP184" s="460">
        <f t="shared" si="603"/>
        <v>812.80060002685411</v>
      </c>
      <c r="EQ184" s="173">
        <f t="shared" si="584"/>
        <v>0.51800000000000002</v>
      </c>
      <c r="ER184" s="173">
        <f t="shared" si="585"/>
        <v>4.5879999999999997E-2</v>
      </c>
      <c r="ES184" s="528"/>
      <c r="EU184" s="460">
        <f t="shared" si="497"/>
        <v>563.88</v>
      </c>
      <c r="EV184" s="528">
        <f t="shared" si="586"/>
        <v>0.27994255511665861</v>
      </c>
      <c r="EW184" s="528">
        <f t="shared" si="587"/>
        <v>6.8036241229364455E-2</v>
      </c>
      <c r="EX184" s="528">
        <f t="shared" si="588"/>
        <v>1.13700412011385E-4</v>
      </c>
      <c r="EY184" s="528">
        <f t="shared" si="589"/>
        <v>0.40865049202349135</v>
      </c>
      <c r="EZ184" s="528"/>
      <c r="FA184" s="625">
        <f t="shared" si="590"/>
        <v>0.76588244640963532</v>
      </c>
      <c r="FB184" s="460">
        <f t="shared" si="498"/>
        <v>1522.6254351911609</v>
      </c>
      <c r="FC184" s="173">
        <f t="shared" si="591"/>
        <v>2.8993060352180149</v>
      </c>
      <c r="FD184" s="5">
        <f t="shared" si="592"/>
        <v>19.091999999999999</v>
      </c>
      <c r="FE184" s="173">
        <f t="shared" si="593"/>
        <v>0.86816126197439492</v>
      </c>
      <c r="FF184" s="5">
        <f t="shared" si="594"/>
        <v>86.816126197439488</v>
      </c>
      <c r="FG184">
        <f t="shared" si="595"/>
        <v>74</v>
      </c>
      <c r="FI184" s="562">
        <f t="shared" si="596"/>
        <v>-50</v>
      </c>
      <c r="FJ184">
        <f t="shared" si="597"/>
        <v>-50</v>
      </c>
    </row>
    <row r="185" spans="5:166">
      <c r="E185" s="170">
        <v>75</v>
      </c>
      <c r="F185" s="217">
        <f t="shared" si="598"/>
        <v>0.75</v>
      </c>
      <c r="G185" s="217">
        <f t="shared" si="499"/>
        <v>7.5000000000000011E-2</v>
      </c>
      <c r="H185" s="217">
        <f t="shared" si="500"/>
        <v>18</v>
      </c>
      <c r="I185" s="217">
        <f t="shared" si="501"/>
        <v>1.35</v>
      </c>
      <c r="J185" s="541">
        <f t="shared" si="502"/>
        <v>8.7104898486396554</v>
      </c>
      <c r="K185" s="443">
        <f t="shared" si="503"/>
        <v>16.518201169065247</v>
      </c>
      <c r="L185" s="172">
        <f t="shared" si="504"/>
        <v>25.228691017704904</v>
      </c>
      <c r="M185" s="443"/>
      <c r="N185" s="217">
        <f t="shared" si="505"/>
        <v>0.65473873208376765</v>
      </c>
      <c r="O185" s="172">
        <f t="shared" si="506"/>
        <v>29.47335958308453</v>
      </c>
      <c r="P185" s="172">
        <f t="shared" si="507"/>
        <v>2.3762896163861904</v>
      </c>
      <c r="Q185" s="217">
        <f t="shared" si="508"/>
        <v>1.2280566492951888</v>
      </c>
      <c r="R185" s="217">
        <f t="shared" si="509"/>
        <v>1.6374088657269183</v>
      </c>
      <c r="S185" s="217">
        <f t="shared" si="510"/>
        <v>24</v>
      </c>
      <c r="T185" s="217">
        <f t="shared" si="511"/>
        <v>6.7857890253809003</v>
      </c>
      <c r="U185" s="217">
        <f t="shared" si="512"/>
        <v>7.7903644264514691</v>
      </c>
      <c r="V185" s="217">
        <f t="shared" si="513"/>
        <v>4.1080677949903572</v>
      </c>
      <c r="W185" s="197">
        <f t="shared" si="514"/>
        <v>256.63927856970855</v>
      </c>
      <c r="X185" s="443">
        <f t="shared" si="599"/>
        <v>82.655337625293186</v>
      </c>
      <c r="Z185" s="217">
        <f t="shared" si="515"/>
        <v>2.2222222222222228</v>
      </c>
      <c r="AA185" s="173">
        <f t="shared" si="516"/>
        <v>1.3453173257048892</v>
      </c>
      <c r="AB185" s="173">
        <f t="shared" si="517"/>
        <v>0.23802508082700471</v>
      </c>
      <c r="AC185" s="173"/>
      <c r="AD185" s="173">
        <f t="shared" si="518"/>
        <v>1.3453173257048889</v>
      </c>
      <c r="AE185" s="545">
        <f t="shared" si="519"/>
        <v>752.23442355375812</v>
      </c>
      <c r="AF185" s="528">
        <f t="shared" si="520"/>
        <v>0.25587696188903003</v>
      </c>
      <c r="AH185" s="173">
        <f t="shared" si="521"/>
        <v>3.3252282413607124</v>
      </c>
      <c r="AI185" s="173">
        <f t="shared" si="522"/>
        <v>6.7857890253809003</v>
      </c>
      <c r="AJ185" s="173">
        <f t="shared" si="523"/>
        <v>4.5804198541916135</v>
      </c>
      <c r="AL185" s="545">
        <f t="shared" si="524"/>
        <v>750</v>
      </c>
      <c r="AM185" s="460">
        <f t="shared" si="525"/>
        <v>82.655337625293186</v>
      </c>
      <c r="AO185">
        <f t="shared" si="526"/>
        <v>750</v>
      </c>
      <c r="AP185">
        <f t="shared" si="527"/>
        <v>82.655337625293186</v>
      </c>
      <c r="AR185" s="5">
        <f t="shared" si="443"/>
        <v>12.098432221441826</v>
      </c>
      <c r="AS185" s="5">
        <f t="shared" si="604"/>
        <v>7.7903644264514691</v>
      </c>
      <c r="AT185" s="5">
        <f t="shared" si="605"/>
        <v>4.3080677949903565</v>
      </c>
      <c r="AU185" s="173">
        <f t="shared" si="606"/>
        <v>0.64391520189241969</v>
      </c>
      <c r="AW185" s="5">
        <f t="shared" si="477"/>
        <v>24.344888832660843</v>
      </c>
      <c r="AX185" s="5">
        <f t="shared" si="478"/>
        <v>3.2459851776881123</v>
      </c>
      <c r="AY185" s="5">
        <f t="shared" si="479"/>
        <v>7.4187580776467366</v>
      </c>
      <c r="AZ185" s="5"/>
      <c r="BA185" s="173">
        <f t="shared" si="480"/>
        <v>3.1437938844705053</v>
      </c>
      <c r="BB185" s="173">
        <f t="shared" si="481"/>
        <v>1.5593452303362354</v>
      </c>
      <c r="BC185" s="173">
        <f t="shared" si="482"/>
        <v>0.15614524536204732</v>
      </c>
      <c r="BD185" s="173"/>
      <c r="BE185" s="528">
        <f t="shared" si="483"/>
        <v>0.39533759952136599</v>
      </c>
      <c r="BF185" s="528">
        <f t="shared" si="528"/>
        <v>0.318381990222529</v>
      </c>
      <c r="BG185" s="528">
        <f t="shared" si="529"/>
        <v>2.8798739172839989E-2</v>
      </c>
      <c r="BH185" s="528">
        <f t="shared" si="484"/>
        <v>9.2065812158940961E-3</v>
      </c>
      <c r="BI185">
        <f t="shared" si="485"/>
        <v>3.9197204318878447E-3</v>
      </c>
      <c r="BJ185" s="460">
        <f t="shared" si="600"/>
        <v>32.718459604727833</v>
      </c>
      <c r="BK185">
        <f t="shared" si="530"/>
        <v>0.91567908640630191</v>
      </c>
      <c r="BL185" s="460">
        <f t="shared" si="601"/>
        <v>755.644630564517</v>
      </c>
      <c r="BM185" s="173">
        <f t="shared" si="531"/>
        <v>0.65099999999999991</v>
      </c>
      <c r="BN185" s="173">
        <f t="shared" si="532"/>
        <v>6.5100000000000005E-2</v>
      </c>
      <c r="BO185" s="528"/>
      <c r="BQ185" s="460">
        <f t="shared" si="486"/>
        <v>716.09999999999991</v>
      </c>
      <c r="BR185" s="528">
        <f t="shared" si="487"/>
        <v>0.29650319964102451</v>
      </c>
      <c r="BS185" s="528">
        <f t="shared" si="488"/>
        <v>7.2946726421171018E-2</v>
      </c>
      <c r="BT185" s="528">
        <f t="shared" si="489"/>
        <v>1.2190668824586981E-4</v>
      </c>
      <c r="BU185" s="528">
        <f t="shared" si="490"/>
        <v>0.37251875891955244</v>
      </c>
      <c r="BV185" s="528"/>
      <c r="BW185" s="625">
        <f t="shared" si="533"/>
        <v>0.76120495373560459</v>
      </c>
      <c r="BX185" s="460">
        <f t="shared" si="491"/>
        <v>1503.2955454055984</v>
      </c>
      <c r="BY185" s="173">
        <f t="shared" si="492"/>
        <v>2.9750401759701153</v>
      </c>
      <c r="BZ185" s="5">
        <f t="shared" si="493"/>
        <v>19.350000000000001</v>
      </c>
      <c r="CA185" s="173">
        <f t="shared" si="494"/>
        <v>0.86673976160758082</v>
      </c>
      <c r="CB185" s="5">
        <f t="shared" si="495"/>
        <v>86.673976160758087</v>
      </c>
      <c r="CC185">
        <f t="shared" si="496"/>
        <v>75</v>
      </c>
      <c r="CE185" s="562">
        <f t="shared" si="534"/>
        <v>-50</v>
      </c>
      <c r="CF185">
        <f t="shared" si="535"/>
        <v>-50</v>
      </c>
      <c r="CG185" s="173">
        <f t="shared" si="536"/>
        <v>0.34658417599272728</v>
      </c>
      <c r="CH185" s="173">
        <f t="shared" si="537"/>
        <v>9.446712174985028E-2</v>
      </c>
      <c r="CI185" s="170">
        <v>75</v>
      </c>
      <c r="CJ185" s="217">
        <f t="shared" si="602"/>
        <v>0.75</v>
      </c>
      <c r="CK185" s="217">
        <f t="shared" si="538"/>
        <v>7.5000000000000011E-2</v>
      </c>
      <c r="CL185" s="217">
        <f t="shared" si="539"/>
        <v>18</v>
      </c>
      <c r="CM185" s="217">
        <f t="shared" si="540"/>
        <v>1.35</v>
      </c>
      <c r="CN185" s="541">
        <f t="shared" si="541"/>
        <v>9</v>
      </c>
      <c r="CO185" s="443">
        <f t="shared" si="542"/>
        <v>16.474900000000002</v>
      </c>
      <c r="CP185" s="443">
        <f t="shared" si="543"/>
        <v>25.474900000000002</v>
      </c>
      <c r="CQ185" s="443"/>
      <c r="CR185" s="217">
        <f t="shared" si="544"/>
        <v>0.64485133082098534</v>
      </c>
      <c r="CS185" s="172">
        <f t="shared" si="545"/>
        <v>29.993085154464438</v>
      </c>
      <c r="CT185" s="172">
        <f t="shared" si="546"/>
        <v>2.4181924905786953</v>
      </c>
      <c r="CU185" s="217">
        <f t="shared" si="547"/>
        <v>1.2497118814360182</v>
      </c>
      <c r="CV185" s="217">
        <f t="shared" si="548"/>
        <v>1.6662825085813577</v>
      </c>
      <c r="CW185" s="217">
        <f t="shared" si="549"/>
        <v>24</v>
      </c>
      <c r="CX185" s="217">
        <f t="shared" si="550"/>
        <v>6.6682036532754028</v>
      </c>
      <c r="CY185" s="217">
        <f t="shared" si="551"/>
        <v>7.4091151703060039</v>
      </c>
      <c r="CZ185" s="217">
        <f t="shared" si="552"/>
        <v>4.0474926423076329</v>
      </c>
      <c r="DA185" s="197">
        <f t="shared" si="553"/>
        <v>261.91798593910079</v>
      </c>
      <c r="DB185" s="443">
        <f t="shared" si="554"/>
        <v>87.28587173063633</v>
      </c>
      <c r="DD185" s="217">
        <f t="shared" si="555"/>
        <v>2.2222222222222228</v>
      </c>
      <c r="DE185" s="173">
        <f t="shared" si="556"/>
        <v>1.3488532386977905</v>
      </c>
      <c r="DF185" s="173">
        <f t="shared" si="557"/>
        <v>0.24355939229558116</v>
      </c>
      <c r="DG185" s="173"/>
      <c r="DH185" s="173">
        <f t="shared" si="558"/>
        <v>1.3488532386977903</v>
      </c>
      <c r="DI185" s="545">
        <f t="shared" si="559"/>
        <v>750.26249999999982</v>
      </c>
      <c r="DJ185" s="528">
        <f t="shared" si="560"/>
        <v>0.26182634671774968</v>
      </c>
      <c r="DL185" s="173">
        <f t="shared" si="561"/>
        <v>3.3252282413607124</v>
      </c>
      <c r="DM185" s="173">
        <f t="shared" si="562"/>
        <v>6.6682036532754028</v>
      </c>
      <c r="DN185" s="173">
        <f t="shared" si="563"/>
        <v>4.4933195785579114</v>
      </c>
      <c r="DP185" s="545">
        <f t="shared" si="564"/>
        <v>750</v>
      </c>
      <c r="DQ185" s="460">
        <f t="shared" si="565"/>
        <v>87.28587173063633</v>
      </c>
      <c r="DS185">
        <f t="shared" si="566"/>
        <v>750</v>
      </c>
      <c r="DT185">
        <f t="shared" si="567"/>
        <v>87.28587173063633</v>
      </c>
      <c r="DV185" s="5">
        <f t="shared" si="568"/>
        <v>11.456607812613637</v>
      </c>
      <c r="DW185" s="5">
        <f t="shared" si="569"/>
        <v>7.4091151703060039</v>
      </c>
      <c r="DX185" s="5">
        <f t="shared" si="570"/>
        <v>4.0474926423076329</v>
      </c>
      <c r="DY185" s="173">
        <f t="shared" si="571"/>
        <v>0.64671107639284164</v>
      </c>
      <c r="EA185" s="5">
        <f t="shared" si="572"/>
        <v>23.153484907206263</v>
      </c>
      <c r="EB185" s="5">
        <f t="shared" si="573"/>
        <v>3.0871313209608355</v>
      </c>
      <c r="EC185" s="5">
        <f t="shared" si="574"/>
        <v>6.7458210705127204</v>
      </c>
      <c r="ED185" s="5"/>
      <c r="EE185" s="173">
        <f t="shared" si="575"/>
        <v>3.0960172902338354</v>
      </c>
      <c r="EF185" s="173">
        <f t="shared" si="576"/>
        <v>1.526297076820349</v>
      </c>
      <c r="EG185" s="173">
        <f t="shared" si="577"/>
        <v>0.15283596404376734</v>
      </c>
      <c r="EH185" s="173"/>
      <c r="EI185" s="528">
        <f t="shared" si="578"/>
        <v>0.38341292245707442</v>
      </c>
      <c r="EJ185" s="528">
        <f t="shared" si="579"/>
        <v>0.40775377500000004</v>
      </c>
      <c r="EK185" s="528">
        <f t="shared" si="580"/>
        <v>1.7457174346127265E-2</v>
      </c>
      <c r="EL185" s="528">
        <f t="shared" si="581"/>
        <v>9.9130427268977871E-3</v>
      </c>
      <c r="EM185">
        <f t="shared" si="582"/>
        <v>4.0499999999999998E-3</v>
      </c>
      <c r="EN185" s="460">
        <f t="shared" si="583"/>
        <v>21.507174346127261</v>
      </c>
      <c r="EP185" s="460">
        <f t="shared" si="603"/>
        <v>822.58691453009942</v>
      </c>
      <c r="EQ185" s="173">
        <f t="shared" si="584"/>
        <v>0.52499999999999991</v>
      </c>
      <c r="ER185" s="173">
        <f t="shared" si="585"/>
        <v>4.6500000000000007E-2</v>
      </c>
      <c r="ES185" s="528"/>
      <c r="EU185" s="460">
        <f t="shared" si="497"/>
        <v>571.49999999999989</v>
      </c>
      <c r="EV185" s="528">
        <f t="shared" si="586"/>
        <v>0.28755969184280583</v>
      </c>
      <c r="EW185" s="528">
        <f t="shared" si="587"/>
        <v>6.9887483001310258E-2</v>
      </c>
      <c r="EX185" s="528">
        <f t="shared" si="588"/>
        <v>1.1679415952593872E-4</v>
      </c>
      <c r="EY185" s="528">
        <f t="shared" si="589"/>
        <v>0.40865049202349135</v>
      </c>
      <c r="EZ185" s="528"/>
      <c r="FA185" s="625">
        <f t="shared" si="590"/>
        <v>0.77623220919895464</v>
      </c>
      <c r="FB185" s="460">
        <f t="shared" si="498"/>
        <v>1542.4466702260879</v>
      </c>
      <c r="FC185" s="173">
        <f t="shared" si="591"/>
        <v>2.9365335847561873</v>
      </c>
      <c r="FD185" s="5">
        <f t="shared" si="592"/>
        <v>19.350000000000001</v>
      </c>
      <c r="FE185" s="173">
        <f t="shared" si="593"/>
        <v>0.86823731139755389</v>
      </c>
      <c r="FF185" s="5">
        <f t="shared" si="594"/>
        <v>86.823731139755395</v>
      </c>
      <c r="FG185">
        <f t="shared" si="595"/>
        <v>75</v>
      </c>
      <c r="FI185" s="562">
        <f t="shared" si="596"/>
        <v>-50</v>
      </c>
      <c r="FJ185">
        <f t="shared" si="597"/>
        <v>-50</v>
      </c>
    </row>
    <row r="186" spans="5:166">
      <c r="E186" s="170">
        <v>76</v>
      </c>
      <c r="F186" s="217">
        <f t="shared" si="598"/>
        <v>0.76</v>
      </c>
      <c r="G186" s="217">
        <f t="shared" si="499"/>
        <v>7.6000000000000012E-2</v>
      </c>
      <c r="H186" s="217">
        <f t="shared" si="500"/>
        <v>18.240000000000002</v>
      </c>
      <c r="I186" s="217">
        <f t="shared" si="501"/>
        <v>1.3680000000000003</v>
      </c>
      <c r="J186" s="541">
        <f t="shared" si="502"/>
        <v>8.7066297132881836</v>
      </c>
      <c r="K186" s="443">
        <f t="shared" si="503"/>
        <v>16.518778517986117</v>
      </c>
      <c r="L186" s="172">
        <f t="shared" si="504"/>
        <v>25.225408231274301</v>
      </c>
      <c r="M186" s="443"/>
      <c r="N186" s="217">
        <f t="shared" si="505"/>
        <v>0.65484682612613743</v>
      </c>
      <c r="O186" s="172">
        <f t="shared" si="506"/>
        <v>29.465161932828366</v>
      </c>
      <c r="P186" s="172">
        <f t="shared" si="507"/>
        <v>2.375628680834287</v>
      </c>
      <c r="Q186" s="217">
        <f t="shared" si="508"/>
        <v>1.2277150805345152</v>
      </c>
      <c r="R186" s="217">
        <f t="shared" si="509"/>
        <v>1.6369534407126869</v>
      </c>
      <c r="S186" s="217">
        <f t="shared" si="510"/>
        <v>24</v>
      </c>
      <c r="T186" s="217">
        <f t="shared" si="511"/>
        <v>6.878179292843706</v>
      </c>
      <c r="U186" s="217">
        <f t="shared" si="512"/>
        <v>7.8999331766069378</v>
      </c>
      <c r="V186" s="217">
        <f t="shared" si="513"/>
        <v>4.163854661138866</v>
      </c>
      <c r="W186" s="197">
        <f t="shared" si="514"/>
        <v>256.56789753010293</v>
      </c>
      <c r="X186" s="443">
        <f t="shared" si="599"/>
        <v>81.540875725375344</v>
      </c>
      <c r="Z186" s="217">
        <f t="shared" si="515"/>
        <v>2.2222222222222228</v>
      </c>
      <c r="AA186" s="173">
        <f t="shared" si="516"/>
        <v>1.3452703054300317</v>
      </c>
      <c r="AB186" s="173">
        <f t="shared" si="517"/>
        <v>0.23795056017970692</v>
      </c>
      <c r="AC186" s="173"/>
      <c r="AD186" s="173">
        <f t="shared" si="518"/>
        <v>1.3452703054300315</v>
      </c>
      <c r="AE186" s="545">
        <f t="shared" si="519"/>
        <v>762.29085874604573</v>
      </c>
      <c r="AF186" s="528">
        <f t="shared" si="520"/>
        <v>0.25579685219318488</v>
      </c>
      <c r="AH186" s="173">
        <f t="shared" si="521"/>
        <v>3.3473230242346537</v>
      </c>
      <c r="AI186" s="173">
        <f t="shared" si="522"/>
        <v>6.878179292843706</v>
      </c>
      <c r="AJ186" s="173">
        <f t="shared" si="523"/>
        <v>4.6488570893492476</v>
      </c>
      <c r="AL186" s="545">
        <f t="shared" si="524"/>
        <v>760</v>
      </c>
      <c r="AM186" s="460">
        <f t="shared" si="525"/>
        <v>81.540875725375344</v>
      </c>
      <c r="AO186">
        <f t="shared" si="526"/>
        <v>760</v>
      </c>
      <c r="AP186">
        <f t="shared" si="527"/>
        <v>81.540875725375344</v>
      </c>
      <c r="AR186" s="5">
        <f t="shared" si="443"/>
        <v>12.263787837745802</v>
      </c>
      <c r="AS186" s="5">
        <f t="shared" si="604"/>
        <v>7.8999331766069378</v>
      </c>
      <c r="AT186" s="5">
        <f t="shared" si="605"/>
        <v>4.3638546611388644</v>
      </c>
      <c r="AU186" s="173">
        <f t="shared" si="606"/>
        <v>0.64416746939247593</v>
      </c>
      <c r="AW186" s="5">
        <f t="shared" si="477"/>
        <v>25.016455059255307</v>
      </c>
      <c r="AX186" s="5">
        <f t="shared" si="478"/>
        <v>3.3355273412340409</v>
      </c>
      <c r="AY186" s="5">
        <f t="shared" si="479"/>
        <v>7.6184003493425267</v>
      </c>
      <c r="AZ186" s="5"/>
      <c r="BA186" s="173">
        <f t="shared" si="480"/>
        <v>3.18722159651045</v>
      </c>
      <c r="BB186" s="173">
        <f t="shared" si="481"/>
        <v>1.5800161407115674</v>
      </c>
      <c r="BC186" s="173">
        <f t="shared" si="482"/>
        <v>0.15821512976584748</v>
      </c>
      <c r="BD186" s="173"/>
      <c r="BE186" s="528">
        <f t="shared" si="483"/>
        <v>0.40633526021050487</v>
      </c>
      <c r="BF186" s="528">
        <f t="shared" si="528"/>
        <v>0.31832414780993695</v>
      </c>
      <c r="BG186" s="528">
        <f t="shared" si="529"/>
        <v>2.8397848457523685E-2</v>
      </c>
      <c r="BH186" s="528">
        <f t="shared" si="484"/>
        <v>9.080083172451188E-3</v>
      </c>
      <c r="BI186">
        <f t="shared" si="485"/>
        <v>3.9179833709796826E-3</v>
      </c>
      <c r="BJ186" s="460">
        <f t="shared" si="600"/>
        <v>32.315831828503363</v>
      </c>
      <c r="BK186">
        <f t="shared" si="530"/>
        <v>0.93358302533244186</v>
      </c>
      <c r="BL186" s="460">
        <f t="shared" si="601"/>
        <v>766.05532302139648</v>
      </c>
      <c r="BM186" s="173">
        <f t="shared" si="531"/>
        <v>0.65967999999999993</v>
      </c>
      <c r="BN186" s="173">
        <f t="shared" si="532"/>
        <v>6.5967999999999999E-2</v>
      </c>
      <c r="BO186" s="528"/>
      <c r="BQ186" s="460">
        <f t="shared" si="486"/>
        <v>725.64799999999991</v>
      </c>
      <c r="BR186" s="528">
        <f t="shared" si="487"/>
        <v>0.30475144515787861</v>
      </c>
      <c r="BS186" s="528">
        <f t="shared" si="488"/>
        <v>7.4893530147272264E-2</v>
      </c>
      <c r="BT186" s="528">
        <f t="shared" si="489"/>
        <v>1.2516013643411978E-4</v>
      </c>
      <c r="BU186" s="528">
        <f t="shared" si="490"/>
        <v>0.37247074152663817</v>
      </c>
      <c r="BV186" s="528"/>
      <c r="BW186" s="625">
        <f t="shared" si="533"/>
        <v>0.77152917207021487</v>
      </c>
      <c r="BX186" s="460">
        <f t="shared" si="491"/>
        <v>1523.7700490384379</v>
      </c>
      <c r="BY186" s="173">
        <f t="shared" si="492"/>
        <v>3.0154733720598346</v>
      </c>
      <c r="BZ186" s="5">
        <f t="shared" si="493"/>
        <v>19.608000000000004</v>
      </c>
      <c r="CA186" s="173">
        <f t="shared" si="494"/>
        <v>0.86671041521926662</v>
      </c>
      <c r="CB186" s="5">
        <f t="shared" si="495"/>
        <v>86.671041521926668</v>
      </c>
      <c r="CC186">
        <f t="shared" si="496"/>
        <v>76</v>
      </c>
      <c r="CE186" s="562">
        <f t="shared" si="534"/>
        <v>-50</v>
      </c>
      <c r="CF186">
        <f t="shared" si="535"/>
        <v>-50</v>
      </c>
      <c r="CG186" s="173">
        <f t="shared" si="536"/>
        <v>0.34658417599272728</v>
      </c>
      <c r="CH186" s="173">
        <f t="shared" si="537"/>
        <v>9.446712174985028E-2</v>
      </c>
      <c r="CI186" s="170">
        <v>76</v>
      </c>
      <c r="CJ186" s="217">
        <f t="shared" si="602"/>
        <v>0.76</v>
      </c>
      <c r="CK186" s="217">
        <f t="shared" si="538"/>
        <v>7.6000000000000012E-2</v>
      </c>
      <c r="CL186" s="217">
        <f t="shared" si="539"/>
        <v>18.240000000000002</v>
      </c>
      <c r="CM186" s="217">
        <f t="shared" si="540"/>
        <v>1.3680000000000003</v>
      </c>
      <c r="CN186" s="541">
        <f t="shared" si="541"/>
        <v>9</v>
      </c>
      <c r="CO186" s="443">
        <f t="shared" si="542"/>
        <v>16.474900000000002</v>
      </c>
      <c r="CP186" s="443">
        <f t="shared" si="543"/>
        <v>25.474900000000002</v>
      </c>
      <c r="CQ186" s="443"/>
      <c r="CR186" s="217">
        <f t="shared" si="544"/>
        <v>0.64485133082098534</v>
      </c>
      <c r="CS186" s="172">
        <f t="shared" si="545"/>
        <v>29.993085154464438</v>
      </c>
      <c r="CT186" s="172">
        <f t="shared" si="546"/>
        <v>2.4181924905786953</v>
      </c>
      <c r="CU186" s="217">
        <f t="shared" si="547"/>
        <v>1.2497118814360182</v>
      </c>
      <c r="CV186" s="217">
        <f t="shared" si="548"/>
        <v>1.6662825085813577</v>
      </c>
      <c r="CW186" s="217">
        <f t="shared" si="549"/>
        <v>24</v>
      </c>
      <c r="CX186" s="217">
        <f t="shared" si="550"/>
        <v>6.757113035319076</v>
      </c>
      <c r="CY186" s="217">
        <f t="shared" si="551"/>
        <v>7.5079033725767514</v>
      </c>
      <c r="CZ186" s="217">
        <f t="shared" si="552"/>
        <v>4.1014592108717354</v>
      </c>
      <c r="DA186" s="197">
        <f t="shared" si="553"/>
        <v>261.91798593910079</v>
      </c>
      <c r="DB186" s="443">
        <f t="shared" si="554"/>
        <v>86.137373418391107</v>
      </c>
      <c r="DD186" s="217">
        <f t="shared" si="555"/>
        <v>2.2222222222222228</v>
      </c>
      <c r="DE186" s="173">
        <f t="shared" si="556"/>
        <v>1.3488532386977905</v>
      </c>
      <c r="DF186" s="173">
        <f t="shared" si="557"/>
        <v>0.24355939229558116</v>
      </c>
      <c r="DG186" s="173"/>
      <c r="DH186" s="173">
        <f t="shared" si="558"/>
        <v>1.3488532386977903</v>
      </c>
      <c r="DI186" s="545">
        <f t="shared" si="559"/>
        <v>760.26599999999974</v>
      </c>
      <c r="DJ186" s="528">
        <f t="shared" si="560"/>
        <v>0.26182634671774968</v>
      </c>
      <c r="DL186" s="173">
        <f t="shared" si="561"/>
        <v>3.3473230242346537</v>
      </c>
      <c r="DM186" s="173">
        <f t="shared" si="562"/>
        <v>6.757113035319076</v>
      </c>
      <c r="DN186" s="173">
        <f t="shared" si="563"/>
        <v>4.5591783800717431</v>
      </c>
      <c r="DP186" s="545">
        <f t="shared" si="564"/>
        <v>760</v>
      </c>
      <c r="DQ186" s="460">
        <f t="shared" si="565"/>
        <v>86.137373418391107</v>
      </c>
      <c r="DS186">
        <f t="shared" si="566"/>
        <v>760</v>
      </c>
      <c r="DT186">
        <f t="shared" si="567"/>
        <v>86.137373418391107</v>
      </c>
      <c r="DV186" s="5">
        <f t="shared" si="568"/>
        <v>11.609362583448487</v>
      </c>
      <c r="DW186" s="5">
        <f t="shared" si="569"/>
        <v>7.5079033725767514</v>
      </c>
      <c r="DX186" s="5">
        <f t="shared" si="570"/>
        <v>4.1014592108717354</v>
      </c>
      <c r="DY186" s="173">
        <f t="shared" si="571"/>
        <v>0.64671107639284164</v>
      </c>
      <c r="EA186" s="5">
        <f t="shared" si="572"/>
        <v>23.775027346493047</v>
      </c>
      <c r="EB186" s="5">
        <f t="shared" si="573"/>
        <v>3.1700036461990737</v>
      </c>
      <c r="EC186" s="5">
        <f t="shared" si="574"/>
        <v>6.9269088894722639</v>
      </c>
      <c r="ED186" s="5"/>
      <c r="EE186" s="173">
        <f t="shared" si="575"/>
        <v>3.1372975207702871</v>
      </c>
      <c r="EF186" s="173">
        <f t="shared" si="576"/>
        <v>1.5466477045112874</v>
      </c>
      <c r="EG186" s="173">
        <f t="shared" si="577"/>
        <v>0.15487377689768425</v>
      </c>
      <c r="EH186" s="173"/>
      <c r="EI186" s="528">
        <f t="shared" si="578"/>
        <v>0.39370542935325559</v>
      </c>
      <c r="EJ186" s="528">
        <f t="shared" si="579"/>
        <v>0.40775377500000004</v>
      </c>
      <c r="EK186" s="528">
        <f t="shared" si="580"/>
        <v>1.7227474683678221E-2</v>
      </c>
      <c r="EL186" s="528">
        <f t="shared" si="581"/>
        <v>9.7826079541754492E-3</v>
      </c>
      <c r="EM186">
        <f t="shared" si="582"/>
        <v>4.0499999999999998E-3</v>
      </c>
      <c r="EN186" s="460">
        <f t="shared" si="583"/>
        <v>21.277474683678221</v>
      </c>
      <c r="EP186" s="460">
        <f t="shared" si="603"/>
        <v>832.5192869911092</v>
      </c>
      <c r="EQ186" s="173">
        <f t="shared" si="584"/>
        <v>0.53199999999999992</v>
      </c>
      <c r="ER186" s="173">
        <f t="shared" si="585"/>
        <v>4.7120000000000009E-2</v>
      </c>
      <c r="ES186" s="528"/>
      <c r="EU186" s="460">
        <f t="shared" si="497"/>
        <v>579.12</v>
      </c>
      <c r="EV186" s="528">
        <f t="shared" si="586"/>
        <v>0.29527907201494169</v>
      </c>
      <c r="EW186" s="528">
        <f t="shared" si="587"/>
        <v>7.1763573656101032E-2</v>
      </c>
      <c r="EX186" s="528">
        <f t="shared" si="588"/>
        <v>1.1992943385276838E-4</v>
      </c>
      <c r="EY186" s="528">
        <f t="shared" si="589"/>
        <v>0.40865049202349168</v>
      </c>
      <c r="EZ186" s="528"/>
      <c r="FA186" s="625">
        <f t="shared" si="590"/>
        <v>0.78658197198827418</v>
      </c>
      <c r="FB186" s="460">
        <f t="shared" si="498"/>
        <v>1562.3950391166613</v>
      </c>
      <c r="FC186" s="173">
        <f t="shared" si="591"/>
        <v>2.9740343261077706</v>
      </c>
      <c r="FD186" s="5">
        <f t="shared" si="592"/>
        <v>19.608000000000004</v>
      </c>
      <c r="FE186" s="173">
        <f t="shared" si="593"/>
        <v>0.86830086770927462</v>
      </c>
      <c r="FF186" s="5">
        <f t="shared" si="594"/>
        <v>86.830086770927466</v>
      </c>
      <c r="FG186">
        <f t="shared" si="595"/>
        <v>76</v>
      </c>
      <c r="FI186" s="562">
        <f t="shared" si="596"/>
        <v>-50</v>
      </c>
      <c r="FJ186">
        <f t="shared" si="597"/>
        <v>-50</v>
      </c>
    </row>
    <row r="187" spans="5:166">
      <c r="E187" s="170">
        <v>77</v>
      </c>
      <c r="F187" s="217">
        <f t="shared" si="598"/>
        <v>0.77</v>
      </c>
      <c r="G187" s="217">
        <f t="shared" si="499"/>
        <v>7.7000000000000013E-2</v>
      </c>
      <c r="H187" s="217">
        <f t="shared" si="500"/>
        <v>18.48</v>
      </c>
      <c r="I187" s="217">
        <f t="shared" si="501"/>
        <v>1.3860000000000001</v>
      </c>
      <c r="J187" s="541">
        <f t="shared" si="502"/>
        <v>8.7027695779367118</v>
      </c>
      <c r="K187" s="443">
        <f t="shared" si="503"/>
        <v>16.519355866906984</v>
      </c>
      <c r="L187" s="172">
        <f t="shared" si="504"/>
        <v>25.222125444843698</v>
      </c>
      <c r="M187" s="443"/>
      <c r="N187" s="217">
        <f t="shared" si="505"/>
        <v>0.65495494830647316</v>
      </c>
      <c r="O187" s="172">
        <f t="shared" si="506"/>
        <v>29.456961235352384</v>
      </c>
      <c r="P187" s="172">
        <f t="shared" si="507"/>
        <v>2.3749674996002859</v>
      </c>
      <c r="Q187" s="217">
        <f t="shared" si="508"/>
        <v>1.2273733848063493</v>
      </c>
      <c r="R187" s="217">
        <f t="shared" si="509"/>
        <v>1.6364978464084659</v>
      </c>
      <c r="S187" s="217">
        <f t="shared" si="510"/>
        <v>24</v>
      </c>
      <c r="T187" s="217">
        <f t="shared" si="511"/>
        <v>6.9706217044175363</v>
      </c>
      <c r="U187" s="217">
        <f t="shared" si="512"/>
        <v>8.0096590424380274</v>
      </c>
      <c r="V187" s="217">
        <f t="shared" si="513"/>
        <v>4.2196691932653954</v>
      </c>
      <c r="W187" s="197">
        <f t="shared" si="514"/>
        <v>256.49648995683077</v>
      </c>
      <c r="X187" s="443">
        <f t="shared" si="599"/>
        <v>80.45487101446767</v>
      </c>
      <c r="Z187" s="217">
        <f t="shared" si="515"/>
        <v>2.2222222222222228</v>
      </c>
      <c r="AA187" s="173">
        <f t="shared" si="516"/>
        <v>1.3452232884418773</v>
      </c>
      <c r="AB187" s="173">
        <f t="shared" si="517"/>
        <v>0.23787602013393541</v>
      </c>
      <c r="AC187" s="173"/>
      <c r="AD187" s="173">
        <f t="shared" si="518"/>
        <v>1.3452232884418771</v>
      </c>
      <c r="AE187" s="545">
        <f t="shared" si="519"/>
        <v>772.34799506670788</v>
      </c>
      <c r="AF187" s="528">
        <f t="shared" si="520"/>
        <v>0.2557167216439804</v>
      </c>
      <c r="AH187" s="173">
        <f t="shared" si="521"/>
        <v>3.3692729185983135</v>
      </c>
      <c r="AI187" s="173">
        <f t="shared" si="522"/>
        <v>6.9706217044175363</v>
      </c>
      <c r="AJ187" s="173">
        <f t="shared" si="523"/>
        <v>4.7173329497743062</v>
      </c>
      <c r="AL187" s="545">
        <f t="shared" si="524"/>
        <v>770</v>
      </c>
      <c r="AM187" s="460">
        <f t="shared" si="525"/>
        <v>80.45487101446767</v>
      </c>
      <c r="AO187">
        <f t="shared" si="526"/>
        <v>770</v>
      </c>
      <c r="AP187">
        <f t="shared" si="527"/>
        <v>80.45487101446767</v>
      </c>
      <c r="AR187" s="5">
        <f t="shared" si="443"/>
        <v>12.429328235703423</v>
      </c>
      <c r="AS187" s="5">
        <f t="shared" si="604"/>
        <v>8.0096590424380274</v>
      </c>
      <c r="AT187" s="5">
        <f t="shared" si="605"/>
        <v>4.4196691932653955</v>
      </c>
      <c r="AU187" s="173">
        <f t="shared" si="606"/>
        <v>0.64441608512921622</v>
      </c>
      <c r="AW187" s="5">
        <f t="shared" si="477"/>
        <v>25.697656094488671</v>
      </c>
      <c r="AX187" s="5">
        <f t="shared" si="478"/>
        <v>3.4263541459318234</v>
      </c>
      <c r="AY187" s="5">
        <f t="shared" si="479"/>
        <v>7.820832778204351</v>
      </c>
      <c r="AZ187" s="5"/>
      <c r="BA187" s="173">
        <f t="shared" si="480"/>
        <v>3.230680965860897</v>
      </c>
      <c r="BB187" s="173">
        <f t="shared" si="481"/>
        <v>1.6006919996339928</v>
      </c>
      <c r="BC187" s="173">
        <f t="shared" si="482"/>
        <v>0.16028550969307953</v>
      </c>
      <c r="BD187" s="173"/>
      <c r="BE187" s="528">
        <f t="shared" si="483"/>
        <v>0.41749198012703598</v>
      </c>
      <c r="BF187" s="528">
        <f t="shared" si="528"/>
        <v>0.31826439561131553</v>
      </c>
      <c r="BG187" s="528">
        <f t="shared" si="529"/>
        <v>2.8007208154461255E-2</v>
      </c>
      <c r="BH187" s="528">
        <f t="shared" si="484"/>
        <v>8.9568180983757035E-3</v>
      </c>
      <c r="BI187">
        <f t="shared" si="485"/>
        <v>3.9162463100715205E-3</v>
      </c>
      <c r="BJ187" s="460">
        <f t="shared" si="600"/>
        <v>31.923454464532778</v>
      </c>
      <c r="BK187">
        <f t="shared" si="530"/>
        <v>0.95185647310702193</v>
      </c>
      <c r="BL187" s="460">
        <f t="shared" si="601"/>
        <v>776.63664830125992</v>
      </c>
      <c r="BM187" s="173">
        <f t="shared" si="531"/>
        <v>0.66835999999999995</v>
      </c>
      <c r="BN187" s="173">
        <f t="shared" si="532"/>
        <v>6.6836000000000007E-2</v>
      </c>
      <c r="BO187" s="528"/>
      <c r="BQ187" s="460">
        <f t="shared" si="486"/>
        <v>735.19599999999991</v>
      </c>
      <c r="BR187" s="528">
        <f t="shared" si="487"/>
        <v>0.31311898509527697</v>
      </c>
      <c r="BS187" s="528">
        <f t="shared" si="488"/>
        <v>7.6866446330768112E-2</v>
      </c>
      <c r="BT187" s="528">
        <f t="shared" si="489"/>
        <v>1.2845722308785145E-4</v>
      </c>
      <c r="BU187" s="528">
        <f t="shared" si="490"/>
        <v>0.37241712848346264</v>
      </c>
      <c r="BV187" s="528"/>
      <c r="BW187" s="625">
        <f t="shared" si="533"/>
        <v>0.78185346825941271</v>
      </c>
      <c r="BX187" s="460">
        <f t="shared" si="491"/>
        <v>1544.3844853920084</v>
      </c>
      <c r="BY187" s="173">
        <f t="shared" si="492"/>
        <v>3.0562171336932682</v>
      </c>
      <c r="BZ187" s="5">
        <f t="shared" si="493"/>
        <v>19.866</v>
      </c>
      <c r="CA187" s="173">
        <f t="shared" si="494"/>
        <v>0.86667009059952815</v>
      </c>
      <c r="CB187" s="5">
        <f t="shared" si="495"/>
        <v>86.667009059952818</v>
      </c>
      <c r="CC187">
        <f t="shared" si="496"/>
        <v>77</v>
      </c>
      <c r="CE187" s="562">
        <f t="shared" si="534"/>
        <v>-50</v>
      </c>
      <c r="CF187">
        <f t="shared" si="535"/>
        <v>-50</v>
      </c>
      <c r="CG187" s="173">
        <f t="shared" si="536"/>
        <v>0.34658417599272739</v>
      </c>
      <c r="CH187" s="173">
        <f t="shared" si="537"/>
        <v>9.446712174985028E-2</v>
      </c>
      <c r="CI187" s="170">
        <v>77</v>
      </c>
      <c r="CJ187" s="217">
        <f t="shared" si="602"/>
        <v>0.77</v>
      </c>
      <c r="CK187" s="217">
        <f t="shared" si="538"/>
        <v>7.7000000000000013E-2</v>
      </c>
      <c r="CL187" s="217">
        <f t="shared" si="539"/>
        <v>18.48</v>
      </c>
      <c r="CM187" s="217">
        <f t="shared" si="540"/>
        <v>1.3860000000000001</v>
      </c>
      <c r="CN187" s="541">
        <f t="shared" si="541"/>
        <v>9</v>
      </c>
      <c r="CO187" s="443">
        <f t="shared" si="542"/>
        <v>16.474900000000002</v>
      </c>
      <c r="CP187" s="443">
        <f t="shared" si="543"/>
        <v>25.474900000000002</v>
      </c>
      <c r="CQ187" s="443"/>
      <c r="CR187" s="217">
        <f t="shared" si="544"/>
        <v>0.64485133082098534</v>
      </c>
      <c r="CS187" s="172">
        <f t="shared" si="545"/>
        <v>29.993085154464438</v>
      </c>
      <c r="CT187" s="172">
        <f t="shared" si="546"/>
        <v>2.4181924905786953</v>
      </c>
      <c r="CU187" s="217">
        <f t="shared" si="547"/>
        <v>1.2497118814360182</v>
      </c>
      <c r="CV187" s="217">
        <f t="shared" si="548"/>
        <v>1.6662825085813577</v>
      </c>
      <c r="CW187" s="217">
        <f t="shared" si="549"/>
        <v>24</v>
      </c>
      <c r="CX187" s="217">
        <f t="shared" si="550"/>
        <v>6.8460224173627466</v>
      </c>
      <c r="CY187" s="217">
        <f t="shared" si="551"/>
        <v>7.6066915748474964</v>
      </c>
      <c r="CZ187" s="217">
        <f t="shared" si="552"/>
        <v>4.1554257794358369</v>
      </c>
      <c r="DA187" s="197">
        <f t="shared" si="553"/>
        <v>261.91798593910079</v>
      </c>
      <c r="DB187" s="443">
        <f t="shared" si="554"/>
        <v>85.018706231139291</v>
      </c>
      <c r="DD187" s="217">
        <f t="shared" si="555"/>
        <v>2.2222222222222228</v>
      </c>
      <c r="DE187" s="173">
        <f t="shared" si="556"/>
        <v>1.3488532386977905</v>
      </c>
      <c r="DF187" s="173">
        <f t="shared" si="557"/>
        <v>0.24355939229558116</v>
      </c>
      <c r="DG187" s="173"/>
      <c r="DH187" s="173">
        <f t="shared" si="558"/>
        <v>1.3488532386977903</v>
      </c>
      <c r="DI187" s="545">
        <f t="shared" si="559"/>
        <v>770.26949999999977</v>
      </c>
      <c r="DJ187" s="528">
        <f t="shared" si="560"/>
        <v>0.26182634671774968</v>
      </c>
      <c r="DL187" s="173">
        <f t="shared" si="561"/>
        <v>3.3692729185983135</v>
      </c>
      <c r="DM187" s="173">
        <f t="shared" si="562"/>
        <v>6.8460224173627466</v>
      </c>
      <c r="DN187" s="173">
        <f t="shared" si="563"/>
        <v>4.625037181585574</v>
      </c>
      <c r="DP187" s="545">
        <f t="shared" si="564"/>
        <v>770</v>
      </c>
      <c r="DQ187" s="460">
        <f t="shared" si="565"/>
        <v>85.018706231139291</v>
      </c>
      <c r="DS187">
        <f t="shared" si="566"/>
        <v>770</v>
      </c>
      <c r="DT187">
        <f t="shared" si="567"/>
        <v>85.018706231139291</v>
      </c>
      <c r="DV187" s="5">
        <f t="shared" si="568"/>
        <v>11.762117354283333</v>
      </c>
      <c r="DW187" s="5">
        <f t="shared" si="569"/>
        <v>7.6066915748474964</v>
      </c>
      <c r="DX187" s="5">
        <f t="shared" si="570"/>
        <v>4.1554257794358369</v>
      </c>
      <c r="DY187" s="173">
        <f t="shared" si="571"/>
        <v>0.64671107639284153</v>
      </c>
      <c r="EA187" s="5">
        <f t="shared" si="572"/>
        <v>24.404802135969053</v>
      </c>
      <c r="EB187" s="5">
        <f t="shared" si="573"/>
        <v>3.2539736181292076</v>
      </c>
      <c r="EC187" s="5">
        <f t="shared" si="574"/>
        <v>7.1103952225902081</v>
      </c>
      <c r="ED187" s="5"/>
      <c r="EE187" s="173">
        <f t="shared" si="575"/>
        <v>3.1785777513067379</v>
      </c>
      <c r="EF187" s="173">
        <f t="shared" si="576"/>
        <v>1.5669983322022252</v>
      </c>
      <c r="EG187" s="173">
        <f t="shared" si="577"/>
        <v>0.15691158975160116</v>
      </c>
      <c r="EH187" s="173"/>
      <c r="EI187" s="528">
        <f t="shared" si="578"/>
        <v>0.40413426084408799</v>
      </c>
      <c r="EJ187" s="528">
        <f t="shared" si="579"/>
        <v>0.4077537750000001</v>
      </c>
      <c r="EK187" s="528">
        <f t="shared" si="580"/>
        <v>1.7003741246227857E-2</v>
      </c>
      <c r="EL187" s="528">
        <f t="shared" si="581"/>
        <v>9.6555610976277184E-3</v>
      </c>
      <c r="EM187">
        <f t="shared" si="582"/>
        <v>4.0499999999999998E-3</v>
      </c>
      <c r="EN187" s="460">
        <f t="shared" si="583"/>
        <v>21.053741246227858</v>
      </c>
      <c r="EP187" s="460">
        <f t="shared" si="603"/>
        <v>842.59733818794359</v>
      </c>
      <c r="EQ187" s="173">
        <f t="shared" si="584"/>
        <v>0.53899999999999992</v>
      </c>
      <c r="ER187" s="173">
        <f t="shared" si="585"/>
        <v>4.7740000000000005E-2</v>
      </c>
      <c r="ES187" s="528"/>
      <c r="EU187" s="460">
        <f t="shared" si="497"/>
        <v>586.7399999999999</v>
      </c>
      <c r="EV187" s="528">
        <f t="shared" si="586"/>
        <v>0.30310069563306596</v>
      </c>
      <c r="EW187" s="528">
        <f t="shared" si="587"/>
        <v>7.3664513193736653E-2</v>
      </c>
      <c r="EX187" s="528">
        <f t="shared" si="588"/>
        <v>1.2310623499187394E-4</v>
      </c>
      <c r="EY187" s="528">
        <f t="shared" si="589"/>
        <v>0.40865049202349241</v>
      </c>
      <c r="EZ187" s="528"/>
      <c r="FA187" s="625">
        <f t="shared" si="590"/>
        <v>0.79693173477759349</v>
      </c>
      <c r="FB187" s="460">
        <f t="shared" si="498"/>
        <v>1582.4705418628803</v>
      </c>
      <c r="FC187" s="173">
        <f t="shared" si="591"/>
        <v>3.0118078800508243</v>
      </c>
      <c r="FD187" s="5">
        <f t="shared" si="592"/>
        <v>19.866</v>
      </c>
      <c r="FE187" s="173">
        <f t="shared" si="593"/>
        <v>0.86835242712755334</v>
      </c>
      <c r="FF187" s="5">
        <f t="shared" si="594"/>
        <v>86.835242712755331</v>
      </c>
      <c r="FG187">
        <f t="shared" si="595"/>
        <v>77</v>
      </c>
      <c r="FI187" s="562">
        <f t="shared" si="596"/>
        <v>-50</v>
      </c>
      <c r="FJ187">
        <f t="shared" si="597"/>
        <v>-50</v>
      </c>
    </row>
    <row r="188" spans="5:166">
      <c r="E188" s="170">
        <v>78</v>
      </c>
      <c r="F188" s="217">
        <f t="shared" si="598"/>
        <v>0.78</v>
      </c>
      <c r="G188" s="217">
        <f t="shared" si="499"/>
        <v>7.8000000000000014E-2</v>
      </c>
      <c r="H188" s="217">
        <f t="shared" si="500"/>
        <v>18.72</v>
      </c>
      <c r="I188" s="217">
        <f t="shared" si="501"/>
        <v>1.4040000000000004</v>
      </c>
      <c r="J188" s="541">
        <f t="shared" si="502"/>
        <v>8.6989094425852418</v>
      </c>
      <c r="K188" s="443">
        <f t="shared" si="503"/>
        <v>16.519933215827855</v>
      </c>
      <c r="L188" s="172">
        <f t="shared" si="504"/>
        <v>25.218842658413095</v>
      </c>
      <c r="M188" s="443"/>
      <c r="N188" s="217">
        <f t="shared" si="505"/>
        <v>0.6550630986357634</v>
      </c>
      <c r="O188" s="172">
        <f t="shared" si="506"/>
        <v>29.448757489466615</v>
      </c>
      <c r="P188" s="172">
        <f t="shared" si="507"/>
        <v>2.3743060725882459</v>
      </c>
      <c r="Q188" s="217">
        <f t="shared" si="508"/>
        <v>1.227031562061109</v>
      </c>
      <c r="R188" s="217">
        <f t="shared" si="509"/>
        <v>1.6360420827481452</v>
      </c>
      <c r="S188" s="217">
        <f t="shared" si="510"/>
        <v>24</v>
      </c>
      <c r="T188" s="217">
        <f t="shared" si="511"/>
        <v>7.0631163326465813</v>
      </c>
      <c r="U188" s="217">
        <f t="shared" si="512"/>
        <v>8.1195423164992562</v>
      </c>
      <c r="V188" s="217">
        <f t="shared" si="513"/>
        <v>4.2755114323824044</v>
      </c>
      <c r="W188" s="197">
        <f t="shared" si="514"/>
        <v>256.4250558395305</v>
      </c>
      <c r="X188" s="443">
        <f t="shared" si="599"/>
        <v>79.396247125090042</v>
      </c>
      <c r="Z188" s="217">
        <f t="shared" si="515"/>
        <v>2.2222222222222223</v>
      </c>
      <c r="AA188" s="173">
        <f t="shared" si="516"/>
        <v>1.3451762747400802</v>
      </c>
      <c r="AB188" s="173">
        <f t="shared" si="517"/>
        <v>0.23780146068211458</v>
      </c>
      <c r="AC188" s="173"/>
      <c r="AD188" s="173">
        <f t="shared" si="518"/>
        <v>1.3451762747400802</v>
      </c>
      <c r="AE188" s="545">
        <f t="shared" si="519"/>
        <v>782.40583251574469</v>
      </c>
      <c r="AF188" s="528">
        <f t="shared" si="520"/>
        <v>0.25563657023327324</v>
      </c>
      <c r="AH188" s="173">
        <f t="shared" si="521"/>
        <v>3.391080737969618</v>
      </c>
      <c r="AI188" s="173">
        <f t="shared" si="522"/>
        <v>7.0631163326465813</v>
      </c>
      <c r="AJ188" s="173">
        <f t="shared" si="523"/>
        <v>4.7858474892032286</v>
      </c>
      <c r="AL188" s="545">
        <f t="shared" si="524"/>
        <v>780</v>
      </c>
      <c r="AM188" s="460">
        <f t="shared" si="525"/>
        <v>79.396247125090042</v>
      </c>
      <c r="AO188">
        <f t="shared" si="526"/>
        <v>780</v>
      </c>
      <c r="AP188">
        <f t="shared" si="527"/>
        <v>79.396247125090042</v>
      </c>
      <c r="AR188" s="5">
        <f t="shared" si="443"/>
        <v>12.595053748881661</v>
      </c>
      <c r="AS188" s="5">
        <f t="shared" si="604"/>
        <v>8.1195423164992562</v>
      </c>
      <c r="AT188" s="5">
        <f t="shared" si="605"/>
        <v>4.4755114323824046</v>
      </c>
      <c r="AU188" s="173">
        <f t="shared" si="606"/>
        <v>0.64466118830340091</v>
      </c>
      <c r="AW188" s="5">
        <f t="shared" si="477"/>
        <v>26.388512528622584</v>
      </c>
      <c r="AX188" s="5">
        <f t="shared" si="478"/>
        <v>3.5184683371496783</v>
      </c>
      <c r="AY188" s="5">
        <f t="shared" si="479"/>
        <v>8.0260610604099121</v>
      </c>
      <c r="AZ188" s="5"/>
      <c r="BA188" s="173">
        <f t="shared" si="480"/>
        <v>3.2741720299596095</v>
      </c>
      <c r="BB188" s="173">
        <f t="shared" si="481"/>
        <v>1.6213728211485114</v>
      </c>
      <c r="BC188" s="173">
        <f t="shared" si="482"/>
        <v>0.16235638655014148</v>
      </c>
      <c r="BD188" s="173"/>
      <c r="BE188" s="528">
        <f t="shared" si="483"/>
        <v>0.42880809927079322</v>
      </c>
      <c r="BF188" s="528">
        <f t="shared" si="528"/>
        <v>0.31820280548268409</v>
      </c>
      <c r="BG188" s="528">
        <f t="shared" si="529"/>
        <v>2.7626430552891081E-2</v>
      </c>
      <c r="BH188" s="528">
        <f t="shared" si="484"/>
        <v>8.8366637093626292E-3</v>
      </c>
      <c r="BI188">
        <f t="shared" si="485"/>
        <v>3.9145092491633584E-3</v>
      </c>
      <c r="BJ188" s="460">
        <f t="shared" si="600"/>
        <v>31.540939802054442</v>
      </c>
      <c r="BK188">
        <f t="shared" si="530"/>
        <v>0.97050552036454774</v>
      </c>
      <c r="BL188" s="460">
        <f t="shared" si="601"/>
        <v>787.38850826489443</v>
      </c>
      <c r="BM188" s="173">
        <f t="shared" si="531"/>
        <v>0.67703999999999986</v>
      </c>
      <c r="BN188" s="173">
        <f t="shared" si="532"/>
        <v>6.7704000000000014E-2</v>
      </c>
      <c r="BO188" s="528"/>
      <c r="BQ188" s="460">
        <f t="shared" si="486"/>
        <v>744.7439999999998</v>
      </c>
      <c r="BR188" s="528">
        <f t="shared" si="487"/>
        <v>0.32160607445309486</v>
      </c>
      <c r="BS188" s="528">
        <f t="shared" si="488"/>
        <v>7.8865494754772489E-2</v>
      </c>
      <c r="BT188" s="528">
        <f t="shared" si="489"/>
        <v>1.3179798126809481E-4</v>
      </c>
      <c r="BU188" s="528">
        <f t="shared" si="490"/>
        <v>0.37235812926753648</v>
      </c>
      <c r="BV188" s="528"/>
      <c r="BW188" s="625">
        <f t="shared" si="533"/>
        <v>0.79217783938283737</v>
      </c>
      <c r="BX188" s="460">
        <f t="shared" si="491"/>
        <v>1565.1393358395094</v>
      </c>
      <c r="BY188" s="173">
        <f t="shared" si="492"/>
        <v>3.0972718441044034</v>
      </c>
      <c r="BZ188" s="5">
        <f t="shared" si="493"/>
        <v>20.123999999999999</v>
      </c>
      <c r="CA188" s="173">
        <f t="shared" si="494"/>
        <v>0.8666191987718036</v>
      </c>
      <c r="CB188" s="5">
        <f t="shared" si="495"/>
        <v>86.661919877180367</v>
      </c>
      <c r="CC188">
        <f t="shared" si="496"/>
        <v>78</v>
      </c>
      <c r="CE188" s="562">
        <f t="shared" si="534"/>
        <v>-50</v>
      </c>
      <c r="CF188">
        <f t="shared" si="535"/>
        <v>-50</v>
      </c>
      <c r="CG188" s="173">
        <f t="shared" si="536"/>
        <v>0.34658417599272739</v>
      </c>
      <c r="CH188" s="173">
        <f t="shared" si="537"/>
        <v>9.446712174985028E-2</v>
      </c>
      <c r="CI188" s="170">
        <v>78</v>
      </c>
      <c r="CJ188" s="217">
        <f t="shared" si="602"/>
        <v>0.78</v>
      </c>
      <c r="CK188" s="217">
        <f t="shared" si="538"/>
        <v>7.8000000000000014E-2</v>
      </c>
      <c r="CL188" s="217">
        <f t="shared" si="539"/>
        <v>18.72</v>
      </c>
      <c r="CM188" s="217">
        <f t="shared" si="540"/>
        <v>1.4040000000000004</v>
      </c>
      <c r="CN188" s="541">
        <f t="shared" si="541"/>
        <v>9</v>
      </c>
      <c r="CO188" s="443">
        <f t="shared" si="542"/>
        <v>16.474900000000002</v>
      </c>
      <c r="CP188" s="443">
        <f t="shared" si="543"/>
        <v>25.474900000000002</v>
      </c>
      <c r="CQ188" s="443"/>
      <c r="CR188" s="217">
        <f t="shared" si="544"/>
        <v>0.64485133082098534</v>
      </c>
      <c r="CS188" s="172">
        <f t="shared" si="545"/>
        <v>29.993085154464438</v>
      </c>
      <c r="CT188" s="172">
        <f t="shared" si="546"/>
        <v>2.4181924905786953</v>
      </c>
      <c r="CU188" s="217">
        <f t="shared" si="547"/>
        <v>1.2497118814360182</v>
      </c>
      <c r="CV188" s="217">
        <f t="shared" si="548"/>
        <v>1.6662825085813577</v>
      </c>
      <c r="CW188" s="217">
        <f t="shared" si="549"/>
        <v>24</v>
      </c>
      <c r="CX188" s="217">
        <f t="shared" si="550"/>
        <v>6.9349317994064181</v>
      </c>
      <c r="CY188" s="217">
        <f t="shared" si="551"/>
        <v>7.7054797771182431</v>
      </c>
      <c r="CZ188" s="217">
        <f t="shared" si="552"/>
        <v>4.2093923479999376</v>
      </c>
      <c r="DA188" s="197">
        <f t="shared" si="553"/>
        <v>261.91798593910079</v>
      </c>
      <c r="DB188" s="443">
        <f t="shared" si="554"/>
        <v>83.928722817919564</v>
      </c>
      <c r="DD188" s="217">
        <f t="shared" si="555"/>
        <v>2.2222222222222228</v>
      </c>
      <c r="DE188" s="173">
        <f t="shared" si="556"/>
        <v>1.3488532386977905</v>
      </c>
      <c r="DF188" s="173">
        <f t="shared" si="557"/>
        <v>0.24355939229558116</v>
      </c>
      <c r="DG188" s="173"/>
      <c r="DH188" s="173">
        <f t="shared" si="558"/>
        <v>1.3488532386977903</v>
      </c>
      <c r="DI188" s="545">
        <f t="shared" si="559"/>
        <v>780.2729999999998</v>
      </c>
      <c r="DJ188" s="528">
        <f t="shared" si="560"/>
        <v>0.26182634671774968</v>
      </c>
      <c r="DL188" s="173">
        <f t="shared" si="561"/>
        <v>3.391080737969618</v>
      </c>
      <c r="DM188" s="173">
        <f t="shared" si="562"/>
        <v>6.9349317994064181</v>
      </c>
      <c r="DN188" s="173">
        <f t="shared" si="563"/>
        <v>4.6908959830994048</v>
      </c>
      <c r="DP188" s="545">
        <f t="shared" si="564"/>
        <v>780</v>
      </c>
      <c r="DQ188" s="460">
        <f t="shared" si="565"/>
        <v>83.928722817919564</v>
      </c>
      <c r="DS188">
        <f t="shared" si="566"/>
        <v>780</v>
      </c>
      <c r="DT188">
        <f t="shared" si="567"/>
        <v>83.928722817919564</v>
      </c>
      <c r="DV188" s="5">
        <f t="shared" si="568"/>
        <v>11.91487212511818</v>
      </c>
      <c r="DW188" s="5">
        <f t="shared" si="569"/>
        <v>7.7054797771182431</v>
      </c>
      <c r="DX188" s="5">
        <f t="shared" si="570"/>
        <v>4.2093923479999367</v>
      </c>
      <c r="DY188" s="173">
        <f t="shared" si="571"/>
        <v>0.64671107639284164</v>
      </c>
      <c r="EA188" s="5">
        <f t="shared" si="572"/>
        <v>25.042809275634291</v>
      </c>
      <c r="EB188" s="5">
        <f t="shared" si="573"/>
        <v>3.339041236751239</v>
      </c>
      <c r="EC188" s="5">
        <f t="shared" si="574"/>
        <v>7.2962800698665555</v>
      </c>
      <c r="ED188" s="5"/>
      <c r="EE188" s="173">
        <f t="shared" si="575"/>
        <v>3.2198579818431887</v>
      </c>
      <c r="EF188" s="173">
        <f t="shared" si="576"/>
        <v>1.5873489598931627</v>
      </c>
      <c r="EG188" s="173">
        <f t="shared" si="577"/>
        <v>0.15894940260551801</v>
      </c>
      <c r="EH188" s="173"/>
      <c r="EI188" s="528">
        <f t="shared" si="578"/>
        <v>0.41469941692957174</v>
      </c>
      <c r="EJ188" s="528">
        <f t="shared" si="579"/>
        <v>0.40775377500000004</v>
      </c>
      <c r="EK188" s="528">
        <f t="shared" si="580"/>
        <v>1.6785744563583914E-2</v>
      </c>
      <c r="EL188" s="528">
        <f t="shared" si="581"/>
        <v>9.5317718527863377E-3</v>
      </c>
      <c r="EM188">
        <f t="shared" si="582"/>
        <v>4.0499999999999998E-3</v>
      </c>
      <c r="EN188" s="460">
        <f t="shared" si="583"/>
        <v>20.835744563583912</v>
      </c>
      <c r="EP188" s="460">
        <f t="shared" si="603"/>
        <v>852.82070834594208</v>
      </c>
      <c r="EQ188" s="173">
        <f t="shared" si="584"/>
        <v>0.54599999999999993</v>
      </c>
      <c r="ER188" s="173">
        <f t="shared" si="585"/>
        <v>4.8360000000000007E-2</v>
      </c>
      <c r="ES188" s="528"/>
      <c r="EU188" s="460">
        <f t="shared" si="497"/>
        <v>594.3599999999999</v>
      </c>
      <c r="EV188" s="528">
        <f t="shared" si="586"/>
        <v>0.31102456269717876</v>
      </c>
      <c r="EW188" s="528">
        <f t="shared" si="587"/>
        <v>7.5590301614217162E-2</v>
      </c>
      <c r="EX188" s="528">
        <f t="shared" si="588"/>
        <v>1.2632456294325528E-4</v>
      </c>
      <c r="EY188" s="528">
        <f t="shared" si="589"/>
        <v>0.4086504920234928</v>
      </c>
      <c r="EZ188" s="528"/>
      <c r="FA188" s="625">
        <f t="shared" si="590"/>
        <v>0.80728149756691281</v>
      </c>
      <c r="FB188" s="460">
        <f t="shared" si="498"/>
        <v>1602.6731784647448</v>
      </c>
      <c r="FC188" s="173">
        <f t="shared" si="591"/>
        <v>3.0498538868106868</v>
      </c>
      <c r="FD188" s="5">
        <f t="shared" si="592"/>
        <v>20.123999999999999</v>
      </c>
      <c r="FE188" s="173">
        <f t="shared" si="593"/>
        <v>0.8683924606710971</v>
      </c>
      <c r="FF188" s="5">
        <f t="shared" si="594"/>
        <v>86.839246067109713</v>
      </c>
      <c r="FG188">
        <f t="shared" si="595"/>
        <v>78</v>
      </c>
      <c r="FI188" s="562">
        <f t="shared" si="596"/>
        <v>-50</v>
      </c>
      <c r="FJ188">
        <f t="shared" si="597"/>
        <v>-50</v>
      </c>
    </row>
    <row r="189" spans="5:166">
      <c r="E189" s="170">
        <v>79</v>
      </c>
      <c r="F189" s="217">
        <f t="shared" si="598"/>
        <v>0.79</v>
      </c>
      <c r="G189" s="217">
        <f t="shared" si="499"/>
        <v>7.9000000000000015E-2</v>
      </c>
      <c r="H189" s="217">
        <f t="shared" si="500"/>
        <v>18.96</v>
      </c>
      <c r="I189" s="217">
        <f t="shared" si="501"/>
        <v>1.4220000000000002</v>
      </c>
      <c r="J189" s="541">
        <f t="shared" si="502"/>
        <v>8.69504930723377</v>
      </c>
      <c r="K189" s="443">
        <f t="shared" si="503"/>
        <v>16.520510564748726</v>
      </c>
      <c r="L189" s="172">
        <f t="shared" si="504"/>
        <v>25.215559871982496</v>
      </c>
      <c r="M189" s="443"/>
      <c r="N189" s="217">
        <f t="shared" si="505"/>
        <v>0.65517127712500212</v>
      </c>
      <c r="O189" s="172">
        <f t="shared" si="506"/>
        <v>29.44055069398043</v>
      </c>
      <c r="P189" s="172">
        <f t="shared" si="507"/>
        <v>2.3736443997021723</v>
      </c>
      <c r="Q189" s="217">
        <f t="shared" si="508"/>
        <v>1.2266896122491846</v>
      </c>
      <c r="R189" s="217">
        <f t="shared" si="509"/>
        <v>1.6355861496655795</v>
      </c>
      <c r="S189" s="217">
        <f t="shared" si="510"/>
        <v>24</v>
      </c>
      <c r="T189" s="217">
        <f t="shared" si="511"/>
        <v>7.1556632502034239</v>
      </c>
      <c r="U189" s="217">
        <f t="shared" si="512"/>
        <v>8.2295832920123093</v>
      </c>
      <c r="V189" s="217">
        <f t="shared" si="513"/>
        <v>4.3313814195743419</v>
      </c>
      <c r="W189" s="197">
        <f t="shared" si="514"/>
        <v>256.35359516783456</v>
      </c>
      <c r="X189" s="443">
        <f t="shared" si="599"/>
        <v>78.363981297748111</v>
      </c>
      <c r="Z189" s="217">
        <f t="shared" si="515"/>
        <v>2.2222222222222228</v>
      </c>
      <c r="AA189" s="173">
        <f t="shared" si="516"/>
        <v>1.3451292643242971</v>
      </c>
      <c r="AB189" s="173">
        <f t="shared" si="517"/>
        <v>0.23772688181666535</v>
      </c>
      <c r="AC189" s="173"/>
      <c r="AD189" s="173">
        <f t="shared" si="518"/>
        <v>1.3451292643242969</v>
      </c>
      <c r="AE189" s="545">
        <f t="shared" si="519"/>
        <v>792.46437109315639</v>
      </c>
      <c r="AF189" s="528">
        <f t="shared" si="520"/>
        <v>0.25555639795291518</v>
      </c>
      <c r="AH189" s="173">
        <f t="shared" si="521"/>
        <v>3.4127492059712128</v>
      </c>
      <c r="AI189" s="173">
        <f t="shared" si="522"/>
        <v>7.1556632502034239</v>
      </c>
      <c r="AJ189" s="173">
        <f t="shared" si="523"/>
        <v>4.8544007614675566</v>
      </c>
      <c r="AL189" s="545">
        <f t="shared" si="524"/>
        <v>790</v>
      </c>
      <c r="AM189" s="460">
        <f t="shared" si="525"/>
        <v>78.363981297748111</v>
      </c>
      <c r="AO189">
        <f t="shared" si="526"/>
        <v>790</v>
      </c>
      <c r="AP189">
        <f t="shared" si="527"/>
        <v>78.363981297748111</v>
      </c>
      <c r="AR189" s="5">
        <f t="shared" si="443"/>
        <v>12.760964711586652</v>
      </c>
      <c r="AS189" s="5">
        <f t="shared" si="604"/>
        <v>8.2295832920123093</v>
      </c>
      <c r="AT189" s="5">
        <f t="shared" si="605"/>
        <v>4.5313814195743429</v>
      </c>
      <c r="AU189" s="173">
        <f t="shared" si="606"/>
        <v>0.64490291118351295</v>
      </c>
      <c r="AW189" s="5">
        <f t="shared" si="477"/>
        <v>27.089045002873853</v>
      </c>
      <c r="AX189" s="5">
        <f t="shared" si="478"/>
        <v>3.6118726670498478</v>
      </c>
      <c r="AY189" s="5">
        <f t="shared" si="479"/>
        <v>8.2340909061563448</v>
      </c>
      <c r="AZ189" s="5"/>
      <c r="BA189" s="173">
        <f t="shared" si="480"/>
        <v>3.3176948265389172</v>
      </c>
      <c r="BB189" s="173">
        <f t="shared" si="481"/>
        <v>1.6420586189474184</v>
      </c>
      <c r="BC189" s="173">
        <f t="shared" si="482"/>
        <v>0.16442776170811307</v>
      </c>
      <c r="BD189" s="173"/>
      <c r="BE189" s="528">
        <f t="shared" si="483"/>
        <v>0.44028395848172386</v>
      </c>
      <c r="BF189" s="528">
        <f t="shared" si="528"/>
        <v>0.31813944570130642</v>
      </c>
      <c r="BG189" s="528">
        <f t="shared" si="529"/>
        <v>2.7255147251802593E-2</v>
      </c>
      <c r="BH189" s="528">
        <f t="shared" si="484"/>
        <v>8.7195038114194108E-3</v>
      </c>
      <c r="BI189">
        <f t="shared" si="485"/>
        <v>3.9127721882551963E-3</v>
      </c>
      <c r="BJ189" s="460">
        <f t="shared" si="600"/>
        <v>31.167919440057791</v>
      </c>
      <c r="BK189">
        <f t="shared" si="530"/>
        <v>0.98953643658479651</v>
      </c>
      <c r="BL189" s="460">
        <f t="shared" si="601"/>
        <v>798.31082743450736</v>
      </c>
      <c r="BM189" s="173">
        <f t="shared" si="531"/>
        <v>0.68571999999999989</v>
      </c>
      <c r="BN189" s="173">
        <f t="shared" si="532"/>
        <v>6.8572000000000008E-2</v>
      </c>
      <c r="BO189" s="528"/>
      <c r="BQ189" s="460">
        <f t="shared" si="486"/>
        <v>754.2919999999998</v>
      </c>
      <c r="BR189" s="528">
        <f t="shared" si="487"/>
        <v>0.33021296886129287</v>
      </c>
      <c r="BS189" s="528">
        <f t="shared" si="488"/>
        <v>8.0890695241785091E-2</v>
      </c>
      <c r="BT189" s="528">
        <f t="shared" si="489"/>
        <v>1.3518244410170007E-4</v>
      </c>
      <c r="BU189" s="528">
        <f t="shared" si="490"/>
        <v>0.37229394305981911</v>
      </c>
      <c r="BV189" s="528"/>
      <c r="BW189" s="625">
        <f t="shared" si="533"/>
        <v>0.80250228266551449</v>
      </c>
      <c r="BX189" s="460">
        <f t="shared" si="491"/>
        <v>1586.0350722725132</v>
      </c>
      <c r="BY189" s="173">
        <f t="shared" si="492"/>
        <v>3.138637899707021</v>
      </c>
      <c r="BZ189" s="5">
        <f t="shared" si="493"/>
        <v>20.382000000000001</v>
      </c>
      <c r="CA189" s="173">
        <f t="shared" si="494"/>
        <v>0.86655813022204997</v>
      </c>
      <c r="CB189" s="5">
        <f t="shared" si="495"/>
        <v>86.655813022204995</v>
      </c>
      <c r="CC189">
        <f t="shared" si="496"/>
        <v>79</v>
      </c>
      <c r="CE189" s="562">
        <f t="shared" si="534"/>
        <v>-50</v>
      </c>
      <c r="CF189">
        <f t="shared" si="535"/>
        <v>-50</v>
      </c>
      <c r="CG189" s="173">
        <f t="shared" si="536"/>
        <v>0.34658417599272739</v>
      </c>
      <c r="CH189" s="173">
        <f t="shared" si="537"/>
        <v>9.446712174985028E-2</v>
      </c>
      <c r="CI189" s="170">
        <v>79</v>
      </c>
      <c r="CJ189" s="217">
        <f t="shared" si="602"/>
        <v>0.79</v>
      </c>
      <c r="CK189" s="217">
        <f t="shared" si="538"/>
        <v>7.9000000000000015E-2</v>
      </c>
      <c r="CL189" s="217">
        <f t="shared" si="539"/>
        <v>18.96</v>
      </c>
      <c r="CM189" s="217">
        <f t="shared" si="540"/>
        <v>1.4220000000000002</v>
      </c>
      <c r="CN189" s="541">
        <f t="shared" si="541"/>
        <v>9</v>
      </c>
      <c r="CO189" s="443">
        <f t="shared" si="542"/>
        <v>16.474900000000002</v>
      </c>
      <c r="CP189" s="443">
        <f t="shared" si="543"/>
        <v>25.474900000000002</v>
      </c>
      <c r="CQ189" s="443"/>
      <c r="CR189" s="217">
        <f t="shared" si="544"/>
        <v>0.64485133082098534</v>
      </c>
      <c r="CS189" s="172">
        <f t="shared" si="545"/>
        <v>29.993085154464438</v>
      </c>
      <c r="CT189" s="172">
        <f t="shared" si="546"/>
        <v>2.4181924905786953</v>
      </c>
      <c r="CU189" s="217">
        <f t="shared" si="547"/>
        <v>1.2497118814360182</v>
      </c>
      <c r="CV189" s="217">
        <f t="shared" si="548"/>
        <v>1.6662825085813577</v>
      </c>
      <c r="CW189" s="217">
        <f t="shared" si="549"/>
        <v>24</v>
      </c>
      <c r="CX189" s="217">
        <f t="shared" si="550"/>
        <v>7.0238411814500914</v>
      </c>
      <c r="CY189" s="217">
        <f t="shared" si="551"/>
        <v>7.8042679793889915</v>
      </c>
      <c r="CZ189" s="217">
        <f t="shared" si="552"/>
        <v>4.26335891656404</v>
      </c>
      <c r="DA189" s="197">
        <f t="shared" si="553"/>
        <v>261.91798593910079</v>
      </c>
      <c r="DB189" s="443">
        <f t="shared" si="554"/>
        <v>82.866333921490195</v>
      </c>
      <c r="DD189" s="217">
        <f t="shared" si="555"/>
        <v>2.2222222222222228</v>
      </c>
      <c r="DE189" s="173">
        <f t="shared" si="556"/>
        <v>1.3488532386977905</v>
      </c>
      <c r="DF189" s="173">
        <f t="shared" si="557"/>
        <v>0.24355939229558116</v>
      </c>
      <c r="DG189" s="173"/>
      <c r="DH189" s="173">
        <f t="shared" si="558"/>
        <v>1.3488532386977903</v>
      </c>
      <c r="DI189" s="545">
        <f t="shared" si="559"/>
        <v>790.2764999999996</v>
      </c>
      <c r="DJ189" s="528">
        <f t="shared" si="560"/>
        <v>0.26182634671774968</v>
      </c>
      <c r="DL189" s="173">
        <f t="shared" si="561"/>
        <v>3.4127492059712128</v>
      </c>
      <c r="DM189" s="173">
        <f t="shared" si="562"/>
        <v>7.0238411814500914</v>
      </c>
      <c r="DN189" s="173">
        <f t="shared" si="563"/>
        <v>4.7567547846132365</v>
      </c>
      <c r="DP189" s="545">
        <f t="shared" si="564"/>
        <v>790</v>
      </c>
      <c r="DQ189" s="460">
        <f t="shared" si="565"/>
        <v>82.866333921490195</v>
      </c>
      <c r="DS189">
        <f t="shared" si="566"/>
        <v>790</v>
      </c>
      <c r="DT189">
        <f t="shared" si="567"/>
        <v>82.866333921490195</v>
      </c>
      <c r="DV189" s="5">
        <f t="shared" si="568"/>
        <v>12.06762689595303</v>
      </c>
      <c r="DW189" s="5">
        <f t="shared" si="569"/>
        <v>7.8042679793889915</v>
      </c>
      <c r="DX189" s="5">
        <f t="shared" si="570"/>
        <v>4.2633589165640382</v>
      </c>
      <c r="DY189" s="173">
        <f t="shared" si="571"/>
        <v>0.64671107639284175</v>
      </c>
      <c r="EA189" s="5">
        <f t="shared" si="572"/>
        <v>25.689048765488764</v>
      </c>
      <c r="EB189" s="5">
        <f t="shared" si="573"/>
        <v>3.4252065020651692</v>
      </c>
      <c r="EC189" s="5">
        <f t="shared" si="574"/>
        <v>7.4845634313013116</v>
      </c>
      <c r="ED189" s="5"/>
      <c r="EE189" s="173">
        <f t="shared" si="575"/>
        <v>3.2611382123796409</v>
      </c>
      <c r="EF189" s="173">
        <f t="shared" si="576"/>
        <v>1.6076995875841009</v>
      </c>
      <c r="EG189" s="173">
        <f t="shared" si="577"/>
        <v>0.16098721545943492</v>
      </c>
      <c r="EH189" s="173"/>
      <c r="EI189" s="528">
        <f t="shared" si="578"/>
        <v>0.42540089760970717</v>
      </c>
      <c r="EJ189" s="528">
        <f t="shared" si="579"/>
        <v>0.4077537750000001</v>
      </c>
      <c r="EK189" s="528">
        <f t="shared" si="580"/>
        <v>1.6573266784298039E-2</v>
      </c>
      <c r="EL189" s="528">
        <f t="shared" si="581"/>
        <v>9.411116512877649E-3</v>
      </c>
      <c r="EM189">
        <f t="shared" si="582"/>
        <v>4.0499999999999998E-3</v>
      </c>
      <c r="EN189" s="460">
        <f t="shared" si="583"/>
        <v>20.623266784298039</v>
      </c>
      <c r="EP189" s="460">
        <f t="shared" si="603"/>
        <v>863.18905590688291</v>
      </c>
      <c r="EQ189" s="173">
        <f t="shared" si="584"/>
        <v>0.55299999999999994</v>
      </c>
      <c r="ER189" s="173">
        <f t="shared" si="585"/>
        <v>4.898000000000001E-2</v>
      </c>
      <c r="ES189" s="528"/>
      <c r="EU189" s="460">
        <f t="shared" si="497"/>
        <v>601.9799999999999</v>
      </c>
      <c r="EV189" s="528">
        <f t="shared" si="586"/>
        <v>0.31905067320728037</v>
      </c>
      <c r="EW189" s="528">
        <f t="shared" si="587"/>
        <v>7.7540938917542643E-2</v>
      </c>
      <c r="EX189" s="528">
        <f t="shared" si="588"/>
        <v>1.2958441770691262E-4</v>
      </c>
      <c r="EY189" s="528">
        <f t="shared" si="589"/>
        <v>0.40865049202349246</v>
      </c>
      <c r="EZ189" s="528"/>
      <c r="FA189" s="625">
        <f t="shared" si="590"/>
        <v>0.81763126035623235</v>
      </c>
      <c r="FB189" s="460">
        <f t="shared" si="498"/>
        <v>1623.0029489222545</v>
      </c>
      <c r="FC189" s="173">
        <f t="shared" si="591"/>
        <v>3.0881720048291372</v>
      </c>
      <c r="FD189" s="5">
        <f t="shared" si="592"/>
        <v>20.382000000000001</v>
      </c>
      <c r="FE189" s="173">
        <f t="shared" si="593"/>
        <v>0.86842141573595089</v>
      </c>
      <c r="FF189" s="5">
        <f t="shared" si="594"/>
        <v>86.842141573595086</v>
      </c>
      <c r="FG189">
        <f t="shared" si="595"/>
        <v>79</v>
      </c>
      <c r="FI189" s="562">
        <f t="shared" si="596"/>
        <v>-50</v>
      </c>
      <c r="FJ189">
        <f t="shared" si="597"/>
        <v>-50</v>
      </c>
    </row>
    <row r="190" spans="5:166">
      <c r="E190" s="170">
        <v>80</v>
      </c>
      <c r="F190" s="217">
        <f t="shared" si="598"/>
        <v>0.8</v>
      </c>
      <c r="G190" s="217">
        <f t="shared" si="499"/>
        <v>8.0000000000000016E-2</v>
      </c>
      <c r="H190" s="217">
        <f t="shared" si="500"/>
        <v>19.200000000000003</v>
      </c>
      <c r="I190" s="217">
        <f t="shared" si="501"/>
        <v>1.4400000000000004</v>
      </c>
      <c r="J190" s="541">
        <f t="shared" si="502"/>
        <v>8.6911891718822982</v>
      </c>
      <c r="K190" s="443">
        <f t="shared" si="503"/>
        <v>16.521087913669597</v>
      </c>
      <c r="L190" s="172">
        <f t="shared" si="504"/>
        <v>25.212277085551897</v>
      </c>
      <c r="M190" s="443"/>
      <c r="N190" s="217">
        <f t="shared" si="505"/>
        <v>0.65527948378518897</v>
      </c>
      <c r="O190" s="172">
        <f t="shared" si="506"/>
        <v>29.432340847702619</v>
      </c>
      <c r="P190" s="172">
        <f t="shared" si="507"/>
        <v>2.3729824808460234</v>
      </c>
      <c r="Q190" s="217">
        <f t="shared" si="508"/>
        <v>1.2263475353209425</v>
      </c>
      <c r="R190" s="217">
        <f t="shared" si="509"/>
        <v>1.63513004709459</v>
      </c>
      <c r="S190" s="217">
        <f t="shared" si="510"/>
        <v>24</v>
      </c>
      <c r="T190" s="217">
        <f t="shared" si="511"/>
        <v>7.2482625298893071</v>
      </c>
      <c r="U190" s="217">
        <f t="shared" si="512"/>
        <v>8.339782262867848</v>
      </c>
      <c r="V190" s="217">
        <f t="shared" si="513"/>
        <v>4.3872791959977855</v>
      </c>
      <c r="W190" s="197">
        <f t="shared" si="514"/>
        <v>256.28210793137055</v>
      </c>
      <c r="X190" s="443">
        <f t="shared" si="599"/>
        <v>77.357101084576357</v>
      </c>
      <c r="Z190" s="217">
        <f t="shared" si="515"/>
        <v>2.2222222222222223</v>
      </c>
      <c r="AA190" s="173">
        <f t="shared" si="516"/>
        <v>1.3450822571941825</v>
      </c>
      <c r="AB190" s="173">
        <f t="shared" si="517"/>
        <v>0.23765228353000406</v>
      </c>
      <c r="AC190" s="173"/>
      <c r="AD190" s="173">
        <f t="shared" si="518"/>
        <v>1.3450822571941825</v>
      </c>
      <c r="AE190" s="545">
        <f t="shared" si="519"/>
        <v>802.52361079894263</v>
      </c>
      <c r="AF190" s="528">
        <f t="shared" si="520"/>
        <v>0.25547620479475441</v>
      </c>
      <c r="AH190" s="173">
        <f t="shared" si="521"/>
        <v>3.4342809603009647</v>
      </c>
      <c r="AI190" s="173">
        <f t="shared" si="522"/>
        <v>7.2482625298893071</v>
      </c>
      <c r="AJ190" s="173">
        <f t="shared" si="523"/>
        <v>4.9229928204941364</v>
      </c>
      <c r="AL190" s="545">
        <f t="shared" si="524"/>
        <v>800</v>
      </c>
      <c r="AM190" s="460">
        <f t="shared" si="525"/>
        <v>77.357101084576357</v>
      </c>
      <c r="AO190">
        <f t="shared" si="526"/>
        <v>800</v>
      </c>
      <c r="AP190">
        <f t="shared" si="527"/>
        <v>77.357101084576357</v>
      </c>
      <c r="AR190" s="5">
        <f t="shared" si="443"/>
        <v>12.927061458865635</v>
      </c>
      <c r="AS190" s="5">
        <f t="shared" si="604"/>
        <v>8.339782262867848</v>
      </c>
      <c r="AT190" s="5">
        <f t="shared" si="605"/>
        <v>4.5872791959977874</v>
      </c>
      <c r="AU190" s="173">
        <f t="shared" si="606"/>
        <v>0.64514137953202499</v>
      </c>
      <c r="AW190" s="5">
        <f t="shared" si="477"/>
        <v>27.799274209559496</v>
      </c>
      <c r="AX190" s="5">
        <f t="shared" si="478"/>
        <v>3.7065698946079331</v>
      </c>
      <c r="AY190" s="5">
        <f t="shared" si="479"/>
        <v>8.4449280396998585</v>
      </c>
      <c r="AZ190" s="5"/>
      <c r="BA190" s="173">
        <f t="shared" si="480"/>
        <v>3.3612493936122836</v>
      </c>
      <c r="BB190" s="173">
        <f t="shared" si="481"/>
        <v>1.6627494063924204</v>
      </c>
      <c r="BC190" s="173">
        <f t="shared" si="482"/>
        <v>0.16649963650497074</v>
      </c>
      <c r="BD190" s="173"/>
      <c r="BE190" s="528">
        <f t="shared" si="483"/>
        <v>0.45191989944235778</v>
      </c>
      <c r="BF190" s="528">
        <f t="shared" si="528"/>
        <v>0.3180743811857491</v>
      </c>
      <c r="BG190" s="528">
        <f t="shared" si="529"/>
        <v>2.6893007972578979E-2</v>
      </c>
      <c r="BH190" s="528">
        <f t="shared" si="484"/>
        <v>8.6052279263724007E-3</v>
      </c>
      <c r="BI190">
        <f t="shared" si="485"/>
        <v>3.9110351273470342E-3</v>
      </c>
      <c r="BJ190" s="460">
        <f t="shared" si="600"/>
        <v>30.804043099926016</v>
      </c>
      <c r="BK190">
        <f t="shared" si="530"/>
        <v>1.0089556756449931</v>
      </c>
      <c r="BL190" s="460">
        <f t="shared" si="601"/>
        <v>809.40355165440531</v>
      </c>
      <c r="BM190" s="173">
        <f t="shared" si="531"/>
        <v>0.69439999999999991</v>
      </c>
      <c r="BN190" s="173">
        <f t="shared" si="532"/>
        <v>6.9440000000000016E-2</v>
      </c>
      <c r="BO190" s="528"/>
      <c r="BQ190" s="460">
        <f t="shared" si="486"/>
        <v>763.83999999999992</v>
      </c>
      <c r="BR190" s="528">
        <f t="shared" si="487"/>
        <v>0.3389399245817683</v>
      </c>
      <c r="BS190" s="528">
        <f t="shared" si="488"/>
        <v>8.2942067653750395E-2</v>
      </c>
      <c r="BT190" s="528">
        <f t="shared" si="489"/>
        <v>1.3861064478143693E-4</v>
      </c>
      <c r="BU190" s="528">
        <f t="shared" si="490"/>
        <v>0.37222475936980853</v>
      </c>
      <c r="BV190" s="528"/>
      <c r="BW190" s="625">
        <f t="shared" si="533"/>
        <v>0.81282679546891479</v>
      </c>
      <c r="BX190" s="460">
        <f t="shared" si="491"/>
        <v>1607.0721577190234</v>
      </c>
      <c r="BY190" s="173">
        <f t="shared" si="492"/>
        <v>3.1803157093734287</v>
      </c>
      <c r="BZ190" s="5">
        <f t="shared" si="493"/>
        <v>20.640000000000004</v>
      </c>
      <c r="CA190" s="173">
        <f t="shared" si="494"/>
        <v>0.86648725616504085</v>
      </c>
      <c r="CB190" s="5">
        <f t="shared" si="495"/>
        <v>86.64872561650408</v>
      </c>
      <c r="CC190">
        <f t="shared" si="496"/>
        <v>80</v>
      </c>
      <c r="CE190" s="562">
        <f t="shared" si="534"/>
        <v>-50</v>
      </c>
      <c r="CF190">
        <f t="shared" si="535"/>
        <v>-50</v>
      </c>
      <c r="CG190" s="173">
        <f t="shared" si="536"/>
        <v>0.34658417599272728</v>
      </c>
      <c r="CH190" s="173">
        <f t="shared" si="537"/>
        <v>9.446712174985028E-2</v>
      </c>
      <c r="CI190" s="170">
        <v>80</v>
      </c>
      <c r="CJ190" s="217">
        <f t="shared" si="602"/>
        <v>0.8</v>
      </c>
      <c r="CK190" s="217">
        <f t="shared" si="538"/>
        <v>8.0000000000000016E-2</v>
      </c>
      <c r="CL190" s="217">
        <f t="shared" si="539"/>
        <v>19.200000000000003</v>
      </c>
      <c r="CM190" s="217">
        <f t="shared" si="540"/>
        <v>1.4400000000000004</v>
      </c>
      <c r="CN190" s="541">
        <f t="shared" si="541"/>
        <v>9</v>
      </c>
      <c r="CO190" s="443">
        <f t="shared" si="542"/>
        <v>16.474900000000002</v>
      </c>
      <c r="CP190" s="443">
        <f t="shared" si="543"/>
        <v>25.474900000000002</v>
      </c>
      <c r="CQ190" s="443"/>
      <c r="CR190" s="217">
        <f t="shared" si="544"/>
        <v>0.64485133082098534</v>
      </c>
      <c r="CS190" s="172">
        <f t="shared" si="545"/>
        <v>29.993085154464438</v>
      </c>
      <c r="CT190" s="172">
        <f t="shared" si="546"/>
        <v>2.4181924905786953</v>
      </c>
      <c r="CU190" s="217">
        <f t="shared" si="547"/>
        <v>1.2497118814360182</v>
      </c>
      <c r="CV190" s="217">
        <f t="shared" si="548"/>
        <v>1.6662825085813577</v>
      </c>
      <c r="CW190" s="217">
        <f t="shared" si="549"/>
        <v>24</v>
      </c>
      <c r="CX190" s="217">
        <f t="shared" si="550"/>
        <v>7.1127505634937647</v>
      </c>
      <c r="CY190" s="217">
        <f t="shared" si="551"/>
        <v>7.9030561816597391</v>
      </c>
      <c r="CZ190" s="217">
        <f t="shared" si="552"/>
        <v>4.3173254851281433</v>
      </c>
      <c r="DA190" s="197">
        <f t="shared" si="553"/>
        <v>261.91798593910079</v>
      </c>
      <c r="DB190" s="443">
        <f t="shared" si="554"/>
        <v>81.830504747471537</v>
      </c>
      <c r="DD190" s="217">
        <f t="shared" si="555"/>
        <v>2.2222222222222228</v>
      </c>
      <c r="DE190" s="173">
        <f t="shared" si="556"/>
        <v>1.3488532386977905</v>
      </c>
      <c r="DF190" s="173">
        <f t="shared" si="557"/>
        <v>0.24355939229558116</v>
      </c>
      <c r="DG190" s="173"/>
      <c r="DH190" s="173">
        <f t="shared" si="558"/>
        <v>1.3488532386977903</v>
      </c>
      <c r="DI190" s="545">
        <f t="shared" si="559"/>
        <v>800.27999999999975</v>
      </c>
      <c r="DJ190" s="528">
        <f t="shared" si="560"/>
        <v>0.26182634671774968</v>
      </c>
      <c r="DL190" s="173">
        <f t="shared" si="561"/>
        <v>3.4342809603009647</v>
      </c>
      <c r="DM190" s="173">
        <f t="shared" si="562"/>
        <v>7.1127505634937647</v>
      </c>
      <c r="DN190" s="173">
        <f t="shared" si="563"/>
        <v>4.8226135861270683</v>
      </c>
      <c r="DP190" s="545">
        <f t="shared" si="564"/>
        <v>800</v>
      </c>
      <c r="DQ190" s="460">
        <f t="shared" si="565"/>
        <v>81.830504747471537</v>
      </c>
      <c r="DS190">
        <f t="shared" si="566"/>
        <v>800</v>
      </c>
      <c r="DT190">
        <f t="shared" si="567"/>
        <v>81.830504747471537</v>
      </c>
      <c r="DV190" s="5">
        <f t="shared" si="568"/>
        <v>12.220381666787883</v>
      </c>
      <c r="DW190" s="5">
        <f t="shared" si="569"/>
        <v>7.9030561816597391</v>
      </c>
      <c r="DX190" s="5">
        <f t="shared" si="570"/>
        <v>4.3173254851281442</v>
      </c>
      <c r="DY190" s="173">
        <f t="shared" si="571"/>
        <v>0.64671107639284153</v>
      </c>
      <c r="EA190" s="5">
        <f t="shared" si="572"/>
        <v>26.343520605532468</v>
      </c>
      <c r="EB190" s="5">
        <f t="shared" si="573"/>
        <v>3.5124694140709956</v>
      </c>
      <c r="EC190" s="5">
        <f t="shared" si="574"/>
        <v>7.6752453068944781</v>
      </c>
      <c r="ED190" s="5"/>
      <c r="EE190" s="173">
        <f t="shared" si="575"/>
        <v>3.3024184429160921</v>
      </c>
      <c r="EF190" s="173">
        <f t="shared" si="576"/>
        <v>1.6280502152750396</v>
      </c>
      <c r="EG190" s="173">
        <f t="shared" si="577"/>
        <v>0.16302502831335189</v>
      </c>
      <c r="EH190" s="173"/>
      <c r="EI190" s="528">
        <f t="shared" si="578"/>
        <v>0.43623870288449385</v>
      </c>
      <c r="EJ190" s="528">
        <f t="shared" si="579"/>
        <v>0.40775377499999998</v>
      </c>
      <c r="EK190" s="528">
        <f t="shared" si="580"/>
        <v>1.6366100949494308E-2</v>
      </c>
      <c r="EL190" s="528">
        <f t="shared" si="581"/>
        <v>9.2934775564666745E-3</v>
      </c>
      <c r="EM190">
        <f t="shared" si="582"/>
        <v>4.0499999999999998E-3</v>
      </c>
      <c r="EN190" s="460">
        <f t="shared" si="583"/>
        <v>20.416100949494307</v>
      </c>
      <c r="EP190" s="460">
        <f t="shared" si="603"/>
        <v>873.7020563904548</v>
      </c>
      <c r="EQ190" s="173">
        <f t="shared" si="584"/>
        <v>0.55999999999999994</v>
      </c>
      <c r="ER190" s="173">
        <f t="shared" si="585"/>
        <v>4.9600000000000012E-2</v>
      </c>
      <c r="ES190" s="528"/>
      <c r="EU190" s="460">
        <f t="shared" si="497"/>
        <v>609.59999999999991</v>
      </c>
      <c r="EV190" s="528">
        <f t="shared" si="586"/>
        <v>0.32717902716337033</v>
      </c>
      <c r="EW190" s="528">
        <f t="shared" si="587"/>
        <v>7.9516425103713081E-2</v>
      </c>
      <c r="EX190" s="528">
        <f t="shared" si="588"/>
        <v>1.3288579928284595E-4</v>
      </c>
      <c r="EY190" s="528">
        <f t="shared" si="589"/>
        <v>0.40865049202349163</v>
      </c>
      <c r="EZ190" s="528"/>
      <c r="FA190" s="625">
        <f t="shared" si="590"/>
        <v>0.82798102314555166</v>
      </c>
      <c r="FB190" s="460">
        <f t="shared" si="498"/>
        <v>1643.4598532354094</v>
      </c>
      <c r="FC190" s="173">
        <f t="shared" si="591"/>
        <v>3.1267619096258641</v>
      </c>
      <c r="FD190" s="5">
        <f t="shared" si="592"/>
        <v>20.640000000000004</v>
      </c>
      <c r="FE190" s="173">
        <f t="shared" si="593"/>
        <v>0.86843971755531912</v>
      </c>
      <c r="FF190" s="5">
        <f t="shared" si="594"/>
        <v>86.843971755531911</v>
      </c>
      <c r="FG190">
        <f t="shared" si="595"/>
        <v>80</v>
      </c>
      <c r="FI190" s="562">
        <f t="shared" si="596"/>
        <v>-50</v>
      </c>
      <c r="FJ190">
        <f t="shared" si="597"/>
        <v>-50</v>
      </c>
    </row>
    <row r="191" spans="5:166">
      <c r="E191" s="170">
        <v>81</v>
      </c>
      <c r="F191" s="217">
        <f t="shared" si="598"/>
        <v>0.81</v>
      </c>
      <c r="G191" s="217">
        <f t="shared" si="499"/>
        <v>8.1000000000000016E-2</v>
      </c>
      <c r="H191" s="217">
        <f t="shared" si="500"/>
        <v>19.440000000000001</v>
      </c>
      <c r="I191" s="217">
        <f t="shared" si="501"/>
        <v>1.4580000000000002</v>
      </c>
      <c r="J191" s="541">
        <f t="shared" si="502"/>
        <v>8.6873290365308282</v>
      </c>
      <c r="K191" s="443">
        <f t="shared" si="503"/>
        <v>16.521665262590467</v>
      </c>
      <c r="L191" s="172">
        <f t="shared" si="504"/>
        <v>25.208994299121294</v>
      </c>
      <c r="M191" s="443"/>
      <c r="N191" s="217">
        <f t="shared" si="505"/>
        <v>0.65538771862732981</v>
      </c>
      <c r="O191" s="172">
        <f t="shared" si="506"/>
        <v>29.424127949441338</v>
      </c>
      <c r="P191" s="172">
        <f t="shared" si="507"/>
        <v>2.3723203159237078</v>
      </c>
      <c r="Q191" s="217">
        <f t="shared" si="508"/>
        <v>1.2260053312267225</v>
      </c>
      <c r="R191" s="217">
        <f t="shared" si="509"/>
        <v>1.6346737749689633</v>
      </c>
      <c r="S191" s="217">
        <f t="shared" si="510"/>
        <v>24</v>
      </c>
      <c r="T191" s="217">
        <f t="shared" si="511"/>
        <v>7.3409142446344315</v>
      </c>
      <c r="U191" s="217">
        <f t="shared" si="512"/>
        <v>8.4501395236273122</v>
      </c>
      <c r="V191" s="217">
        <f t="shared" si="513"/>
        <v>4.4432048028816169</v>
      </c>
      <c r="W191" s="197">
        <f t="shared" si="514"/>
        <v>256.21059411976034</v>
      </c>
      <c r="X191" s="443">
        <f t="shared" si="599"/>
        <v>76.374681293257453</v>
      </c>
      <c r="Z191" s="217">
        <f t="shared" si="515"/>
        <v>2.2222222222222223</v>
      </c>
      <c r="AA191" s="173">
        <f t="shared" si="516"/>
        <v>1.3450352533493926</v>
      </c>
      <c r="AB191" s="173">
        <f t="shared" si="517"/>
        <v>0.23757766581454373</v>
      </c>
      <c r="AC191" s="173"/>
      <c r="AD191" s="173">
        <f t="shared" si="518"/>
        <v>1.3450352533493926</v>
      </c>
      <c r="AE191" s="545">
        <f t="shared" si="519"/>
        <v>812.58355163310387</v>
      </c>
      <c r="AF191" s="528">
        <f t="shared" si="520"/>
        <v>0.25539599075063452</v>
      </c>
      <c r="AH191" s="173">
        <f t="shared" si="521"/>
        <v>3.4556785564797958</v>
      </c>
      <c r="AI191" s="173">
        <f t="shared" si="522"/>
        <v>7.3409142446344315</v>
      </c>
      <c r="AJ191" s="173">
        <f t="shared" si="523"/>
        <v>4.9916237203053404</v>
      </c>
      <c r="AL191" s="545">
        <f t="shared" si="524"/>
        <v>810</v>
      </c>
      <c r="AM191" s="460">
        <f t="shared" si="525"/>
        <v>76.374681293257453</v>
      </c>
      <c r="AO191">
        <f t="shared" si="526"/>
        <v>810</v>
      </c>
      <c r="AP191">
        <f t="shared" si="527"/>
        <v>76.374681293257453</v>
      </c>
      <c r="AR191" s="5">
        <f t="shared" si="443"/>
        <v>13.093344326508927</v>
      </c>
      <c r="AS191" s="5">
        <f t="shared" si="604"/>
        <v>8.4501395236273122</v>
      </c>
      <c r="AT191" s="5">
        <f t="shared" si="605"/>
        <v>4.6432048028816144</v>
      </c>
      <c r="AU191" s="173">
        <f t="shared" si="606"/>
        <v>0.6453767130005944</v>
      </c>
      <c r="AW191" s="5">
        <f t="shared" si="477"/>
        <v>28.519220892242181</v>
      </c>
      <c r="AX191" s="5">
        <f t="shared" si="478"/>
        <v>3.8025627856322912</v>
      </c>
      <c r="AY191" s="5">
        <f t="shared" si="479"/>
        <v>8.6585781993955919</v>
      </c>
      <c r="AZ191" s="5"/>
      <c r="BA191" s="173">
        <f t="shared" si="480"/>
        <v>3.404835769461882</v>
      </c>
      <c r="BB191" s="173">
        <f t="shared" si="481"/>
        <v>1.6834451965351702</v>
      </c>
      <c r="BC191" s="173">
        <f t="shared" si="482"/>
        <v>0.16857201224764337</v>
      </c>
      <c r="BD191" s="173"/>
      <c r="BE191" s="528">
        <f t="shared" si="483"/>
        <v>0.46371626468028349</v>
      </c>
      <c r="BF191" s="528">
        <f t="shared" si="528"/>
        <v>0.31800767369989885</v>
      </c>
      <c r="BG191" s="528">
        <f t="shared" si="529"/>
        <v>2.6539679458188133E-2</v>
      </c>
      <c r="BH191" s="528">
        <f t="shared" si="484"/>
        <v>8.4937309446707233E-3</v>
      </c>
      <c r="BI191">
        <f t="shared" si="485"/>
        <v>3.9092980664388729E-3</v>
      </c>
      <c r="BJ191" s="460">
        <f t="shared" si="600"/>
        <v>30.448977524627008</v>
      </c>
      <c r="BK191">
        <f t="shared" si="530"/>
        <v>1.0287698816169628</v>
      </c>
      <c r="BL191" s="460">
        <f t="shared" si="601"/>
        <v>820.66664684948023</v>
      </c>
      <c r="BM191" s="173">
        <f t="shared" si="531"/>
        <v>0.70307999999999993</v>
      </c>
      <c r="BN191" s="173">
        <f t="shared" si="532"/>
        <v>7.0308000000000009E-2</v>
      </c>
      <c r="BO191" s="528"/>
      <c r="BQ191" s="460">
        <f t="shared" si="486"/>
        <v>773.38799999999992</v>
      </c>
      <c r="BR191" s="528">
        <f t="shared" si="487"/>
        <v>0.34778719851021256</v>
      </c>
      <c r="BS191" s="528">
        <f t="shared" si="488"/>
        <v>8.5019631892120126E-2</v>
      </c>
      <c r="BT191" s="528">
        <f t="shared" si="489"/>
        <v>1.4208261656609814E-4</v>
      </c>
      <c r="BU191" s="528">
        <f t="shared" si="490"/>
        <v>0.37215075861565439</v>
      </c>
      <c r="BV191" s="528"/>
      <c r="BW191" s="625">
        <f t="shared" si="533"/>
        <v>0.82315137528266791</v>
      </c>
      <c r="BX191" s="460">
        <f t="shared" si="491"/>
        <v>1628.2510469172212</v>
      </c>
      <c r="BY191" s="173">
        <f t="shared" si="492"/>
        <v>3.222305693766701</v>
      </c>
      <c r="BZ191" s="5">
        <f t="shared" si="493"/>
        <v>20.898000000000003</v>
      </c>
      <c r="CA191" s="173">
        <f t="shared" si="494"/>
        <v>0.8664069297181658</v>
      </c>
      <c r="CB191" s="5">
        <f t="shared" si="495"/>
        <v>86.640692971816577</v>
      </c>
      <c r="CC191">
        <f t="shared" si="496"/>
        <v>81</v>
      </c>
      <c r="CE191" s="562">
        <f t="shared" si="534"/>
        <v>-50</v>
      </c>
      <c r="CF191">
        <f t="shared" si="535"/>
        <v>-50</v>
      </c>
      <c r="CG191" s="173">
        <f t="shared" si="536"/>
        <v>0.34658417599272728</v>
      </c>
      <c r="CH191" s="173">
        <f t="shared" si="537"/>
        <v>9.446712174985028E-2</v>
      </c>
      <c r="CI191" s="170">
        <v>81</v>
      </c>
      <c r="CJ191" s="217">
        <f t="shared" si="602"/>
        <v>0.81</v>
      </c>
      <c r="CK191" s="217">
        <f t="shared" si="538"/>
        <v>8.1000000000000016E-2</v>
      </c>
      <c r="CL191" s="217">
        <f t="shared" si="539"/>
        <v>19.440000000000001</v>
      </c>
      <c r="CM191" s="217">
        <f t="shared" si="540"/>
        <v>1.4580000000000002</v>
      </c>
      <c r="CN191" s="541">
        <f t="shared" si="541"/>
        <v>9</v>
      </c>
      <c r="CO191" s="443">
        <f t="shared" si="542"/>
        <v>16.474900000000002</v>
      </c>
      <c r="CP191" s="443">
        <f t="shared" si="543"/>
        <v>25.474900000000002</v>
      </c>
      <c r="CQ191" s="443"/>
      <c r="CR191" s="217">
        <f t="shared" si="544"/>
        <v>0.64485133082098534</v>
      </c>
      <c r="CS191" s="172">
        <f t="shared" si="545"/>
        <v>29.993085154464438</v>
      </c>
      <c r="CT191" s="172">
        <f t="shared" si="546"/>
        <v>2.4181924905786953</v>
      </c>
      <c r="CU191" s="217">
        <f t="shared" si="547"/>
        <v>1.2497118814360182</v>
      </c>
      <c r="CV191" s="217">
        <f t="shared" si="548"/>
        <v>1.6662825085813577</v>
      </c>
      <c r="CW191" s="217">
        <f t="shared" si="549"/>
        <v>24</v>
      </c>
      <c r="CX191" s="217">
        <f t="shared" si="550"/>
        <v>7.2016599455374362</v>
      </c>
      <c r="CY191" s="217">
        <f t="shared" si="551"/>
        <v>8.0018443839304858</v>
      </c>
      <c r="CZ191" s="217">
        <f t="shared" si="552"/>
        <v>4.3712920536922448</v>
      </c>
      <c r="DA191" s="197">
        <f t="shared" si="553"/>
        <v>261.91798593910079</v>
      </c>
      <c r="DB191" s="443">
        <f t="shared" si="554"/>
        <v>80.820251602441033</v>
      </c>
      <c r="DD191" s="217">
        <f t="shared" si="555"/>
        <v>2.2222222222222228</v>
      </c>
      <c r="DE191" s="173">
        <f t="shared" si="556"/>
        <v>1.3488532386977905</v>
      </c>
      <c r="DF191" s="173">
        <f t="shared" si="557"/>
        <v>0.24355939229558116</v>
      </c>
      <c r="DG191" s="173"/>
      <c r="DH191" s="173">
        <f t="shared" si="558"/>
        <v>1.3488532386977903</v>
      </c>
      <c r="DI191" s="545">
        <f t="shared" si="559"/>
        <v>810.28349999999989</v>
      </c>
      <c r="DJ191" s="528">
        <f t="shared" si="560"/>
        <v>0.26182634671774968</v>
      </c>
      <c r="DL191" s="173">
        <f t="shared" si="561"/>
        <v>3.4556785564797958</v>
      </c>
      <c r="DM191" s="173">
        <f t="shared" si="562"/>
        <v>7.2016599455374362</v>
      </c>
      <c r="DN191" s="173">
        <f t="shared" si="563"/>
        <v>4.8884723876408991</v>
      </c>
      <c r="DP191" s="545">
        <f t="shared" si="564"/>
        <v>810</v>
      </c>
      <c r="DQ191" s="460">
        <f t="shared" si="565"/>
        <v>80.820251602441033</v>
      </c>
      <c r="DS191">
        <f t="shared" si="566"/>
        <v>810</v>
      </c>
      <c r="DT191">
        <f t="shared" si="567"/>
        <v>80.820251602441033</v>
      </c>
      <c r="DV191" s="5">
        <f t="shared" si="568"/>
        <v>12.37313643762273</v>
      </c>
      <c r="DW191" s="5">
        <f t="shared" si="569"/>
        <v>8.0018443839304858</v>
      </c>
      <c r="DX191" s="5">
        <f t="shared" si="570"/>
        <v>4.3712920536922439</v>
      </c>
      <c r="DY191" s="173">
        <f t="shared" si="571"/>
        <v>0.64671107639284164</v>
      </c>
      <c r="EA191" s="5">
        <f t="shared" si="572"/>
        <v>27.006224795765391</v>
      </c>
      <c r="EB191" s="5">
        <f t="shared" si="573"/>
        <v>3.600829972768719</v>
      </c>
      <c r="EC191" s="5">
        <f t="shared" si="574"/>
        <v>7.8683256966460382</v>
      </c>
      <c r="ED191" s="5"/>
      <c r="EE191" s="173">
        <f t="shared" si="575"/>
        <v>3.3436986734525429</v>
      </c>
      <c r="EF191" s="173">
        <f t="shared" si="576"/>
        <v>1.6484008429659771</v>
      </c>
      <c r="EG191" s="173">
        <f t="shared" si="577"/>
        <v>0.16506284116726874</v>
      </c>
      <c r="EH191" s="173"/>
      <c r="EI191" s="528">
        <f t="shared" si="578"/>
        <v>0.44721283275393187</v>
      </c>
      <c r="EJ191" s="528">
        <f t="shared" si="579"/>
        <v>0.40775377500000004</v>
      </c>
      <c r="EK191" s="528">
        <f t="shared" si="580"/>
        <v>1.6164050320488208E-2</v>
      </c>
      <c r="EL191" s="528">
        <f t="shared" si="581"/>
        <v>9.1787432656460985E-3</v>
      </c>
      <c r="EM191">
        <f t="shared" si="582"/>
        <v>4.0499999999999998E-3</v>
      </c>
      <c r="EN191" s="460">
        <f t="shared" si="583"/>
        <v>20.214050320488209</v>
      </c>
      <c r="EP191" s="460">
        <f t="shared" si="603"/>
        <v>884.35940134006614</v>
      </c>
      <c r="EQ191" s="173">
        <f t="shared" si="584"/>
        <v>0.56699999999999995</v>
      </c>
      <c r="ER191" s="173">
        <f t="shared" si="585"/>
        <v>5.0220000000000008E-2</v>
      </c>
      <c r="ES191" s="528"/>
      <c r="EU191" s="460">
        <f t="shared" si="497"/>
        <v>617.22</v>
      </c>
      <c r="EV191" s="528">
        <f t="shared" si="586"/>
        <v>0.33540962456544887</v>
      </c>
      <c r="EW191" s="528">
        <f t="shared" si="587"/>
        <v>8.1516760172728311E-2</v>
      </c>
      <c r="EX191" s="528">
        <f t="shared" si="588"/>
        <v>1.3622870767105493E-4</v>
      </c>
      <c r="EY191" s="528">
        <f t="shared" si="589"/>
        <v>0.40865049202349207</v>
      </c>
      <c r="EZ191" s="528"/>
      <c r="FA191" s="625">
        <f t="shared" si="590"/>
        <v>0.83833078593487109</v>
      </c>
      <c r="FB191" s="460">
        <f t="shared" si="498"/>
        <v>1664.0438914042113</v>
      </c>
      <c r="FC191" s="173">
        <f t="shared" si="591"/>
        <v>3.1656232927442773</v>
      </c>
      <c r="FD191" s="5">
        <f t="shared" si="592"/>
        <v>20.898000000000003</v>
      </c>
      <c r="FE191" s="173">
        <f t="shared" si="593"/>
        <v>0.86844777055254252</v>
      </c>
      <c r="FF191" s="5">
        <f t="shared" si="594"/>
        <v>86.844777055254255</v>
      </c>
      <c r="FG191">
        <f t="shared" si="595"/>
        <v>81</v>
      </c>
      <c r="FI191" s="562">
        <f t="shared" si="596"/>
        <v>-50</v>
      </c>
      <c r="FJ191">
        <f t="shared" si="597"/>
        <v>-50</v>
      </c>
    </row>
    <row r="192" spans="5:166">
      <c r="E192" s="170">
        <v>82</v>
      </c>
      <c r="F192" s="217">
        <f t="shared" si="598"/>
        <v>0.82</v>
      </c>
      <c r="G192" s="217">
        <f t="shared" si="499"/>
        <v>8.2000000000000003E-2</v>
      </c>
      <c r="H192" s="217">
        <f t="shared" si="500"/>
        <v>19.68</v>
      </c>
      <c r="I192" s="217">
        <f t="shared" si="501"/>
        <v>1.476</v>
      </c>
      <c r="J192" s="541">
        <f t="shared" si="502"/>
        <v>8.6834689011793564</v>
      </c>
      <c r="K192" s="443">
        <f t="shared" si="503"/>
        <v>16.522242611511338</v>
      </c>
      <c r="L192" s="172">
        <f t="shared" si="504"/>
        <v>25.205711512690694</v>
      </c>
      <c r="M192" s="443"/>
      <c r="N192" s="217">
        <f t="shared" si="505"/>
        <v>0.6554959816624355</v>
      </c>
      <c r="O192" s="172">
        <f t="shared" si="506"/>
        <v>29.415911998004095</v>
      </c>
      <c r="P192" s="172">
        <f t="shared" si="507"/>
        <v>2.37165790483908</v>
      </c>
      <c r="Q192" s="217">
        <f t="shared" si="508"/>
        <v>1.2256629999168374</v>
      </c>
      <c r="R192" s="217">
        <f t="shared" si="509"/>
        <v>1.6342173332224497</v>
      </c>
      <c r="S192" s="217">
        <f t="shared" si="510"/>
        <v>24</v>
      </c>
      <c r="T192" s="217">
        <f t="shared" si="511"/>
        <v>7.4336184674982517</v>
      </c>
      <c r="U192" s="217">
        <f t="shared" si="512"/>
        <v>8.5606553695247829</v>
      </c>
      <c r="V192" s="217">
        <f t="shared" si="513"/>
        <v>4.4991582815271824</v>
      </c>
      <c r="W192" s="197">
        <f t="shared" si="514"/>
        <v>256.13905372262059</v>
      </c>
      <c r="X192" s="443">
        <f t="shared" si="599"/>
        <v>75.415841151030449</v>
      </c>
      <c r="Z192" s="217">
        <f t="shared" si="515"/>
        <v>2.2222222222222228</v>
      </c>
      <c r="AA192" s="173">
        <f t="shared" si="516"/>
        <v>1.3449882527895829</v>
      </c>
      <c r="AB192" s="173">
        <f t="shared" si="517"/>
        <v>0.23750302866269313</v>
      </c>
      <c r="AC192" s="173"/>
      <c r="AD192" s="173">
        <f t="shared" si="518"/>
        <v>1.3449882527895827</v>
      </c>
      <c r="AE192" s="545">
        <f t="shared" si="519"/>
        <v>822.64419359563919</v>
      </c>
      <c r="AF192" s="528">
        <f t="shared" si="520"/>
        <v>0.25531575581239507</v>
      </c>
      <c r="AH192" s="173">
        <f t="shared" si="521"/>
        <v>3.4769444713919224</v>
      </c>
      <c r="AI192" s="173">
        <f t="shared" si="522"/>
        <v>7.4336184674982517</v>
      </c>
      <c r="AJ192" s="173">
        <f t="shared" si="523"/>
        <v>5.0602935150192812</v>
      </c>
      <c r="AL192" s="545">
        <f t="shared" si="524"/>
        <v>820</v>
      </c>
      <c r="AM192" s="460">
        <f t="shared" si="525"/>
        <v>75.415841151030449</v>
      </c>
      <c r="AO192">
        <f t="shared" si="526"/>
        <v>820</v>
      </c>
      <c r="AP192">
        <f t="shared" si="527"/>
        <v>75.415841151030449</v>
      </c>
      <c r="AR192" s="5">
        <f t="shared" si="443"/>
        <v>13.259813651051964</v>
      </c>
      <c r="AS192" s="5">
        <f t="shared" si="604"/>
        <v>8.5606553695247829</v>
      </c>
      <c r="AT192" s="5">
        <f t="shared" si="605"/>
        <v>4.6991582815271808</v>
      </c>
      <c r="AU192" s="173">
        <f t="shared" si="606"/>
        <v>0.64560902549679688</v>
      </c>
      <c r="AW192" s="5">
        <f t="shared" si="477"/>
        <v>29.24890584587634</v>
      </c>
      <c r="AX192" s="5">
        <f t="shared" si="478"/>
        <v>3.8998541127835127</v>
      </c>
      <c r="AY192" s="5">
        <f t="shared" si="479"/>
        <v>8.8750471377376492</v>
      </c>
      <c r="AZ192" s="5"/>
      <c r="BA192" s="173">
        <f t="shared" si="480"/>
        <v>3.4484539926270745</v>
      </c>
      <c r="BB192" s="173">
        <f t="shared" si="481"/>
        <v>1.7041460021363337</v>
      </c>
      <c r="BC192" s="173">
        <f t="shared" si="482"/>
        <v>0.17064489021392201</v>
      </c>
      <c r="BD192" s="173"/>
      <c r="BE192" s="528">
        <f t="shared" si="483"/>
        <v>0.47567339757062449</v>
      </c>
      <c r="BF192" s="528">
        <f t="shared" si="528"/>
        <v>0.31793938204228706</v>
      </c>
      <c r="BG192" s="528">
        <f t="shared" si="529"/>
        <v>2.6194844451650212E-2</v>
      </c>
      <c r="BH192" s="528">
        <f t="shared" si="484"/>
        <v>8.384912803194056E-3</v>
      </c>
      <c r="BI192">
        <f t="shared" si="485"/>
        <v>3.9075610055307099E-3</v>
      </c>
      <c r="BJ192" s="460">
        <f t="shared" si="600"/>
        <v>30.102405457180925</v>
      </c>
      <c r="BK192">
        <f t="shared" si="530"/>
        <v>1.0489858948193209</v>
      </c>
      <c r="BL192" s="460">
        <f t="shared" si="601"/>
        <v>832.10009787328659</v>
      </c>
      <c r="BM192" s="173">
        <f t="shared" si="531"/>
        <v>0.71175999999999995</v>
      </c>
      <c r="BN192" s="173">
        <f t="shared" si="532"/>
        <v>7.1176000000000003E-2</v>
      </c>
      <c r="BO192" s="528"/>
      <c r="BQ192" s="460">
        <f t="shared" si="486"/>
        <v>782.93599999999992</v>
      </c>
      <c r="BR192" s="528">
        <f t="shared" si="487"/>
        <v>0.35675504817796833</v>
      </c>
      <c r="BS192" s="528">
        <f t="shared" si="488"/>
        <v>8.7123407897917476E-2</v>
      </c>
      <c r="BT192" s="528">
        <f t="shared" si="489"/>
        <v>1.4559839278060747E-4</v>
      </c>
      <c r="BU192" s="528">
        <f t="shared" si="490"/>
        <v>0.37207211266301066</v>
      </c>
      <c r="BV192" s="528"/>
      <c r="BW192" s="625">
        <f t="shared" si="533"/>
        <v>0.83347601971687013</v>
      </c>
      <c r="BX192" s="460">
        <f t="shared" si="491"/>
        <v>1649.5721868485473</v>
      </c>
      <c r="BY192" s="173">
        <f t="shared" si="492"/>
        <v>3.2646082847218332</v>
      </c>
      <c r="BZ192" s="5">
        <f t="shared" si="493"/>
        <v>21.155999999999999</v>
      </c>
      <c r="CA192" s="173">
        <f t="shared" si="494"/>
        <v>0.86631748699051614</v>
      </c>
      <c r="CB192" s="5">
        <f t="shared" si="495"/>
        <v>86.631748699051613</v>
      </c>
      <c r="CC192">
        <f t="shared" si="496"/>
        <v>82</v>
      </c>
      <c r="CE192" s="562">
        <f t="shared" si="534"/>
        <v>-50</v>
      </c>
      <c r="CF192">
        <f t="shared" si="535"/>
        <v>-50</v>
      </c>
      <c r="CG192" s="173">
        <f t="shared" si="536"/>
        <v>0.34658417599272739</v>
      </c>
      <c r="CH192" s="173">
        <f t="shared" si="537"/>
        <v>9.446712174985028E-2</v>
      </c>
      <c r="CI192" s="170">
        <v>82</v>
      </c>
      <c r="CJ192" s="217">
        <f t="shared" si="602"/>
        <v>0.82</v>
      </c>
      <c r="CK192" s="217">
        <f t="shared" si="538"/>
        <v>8.2000000000000003E-2</v>
      </c>
      <c r="CL192" s="217">
        <f t="shared" si="539"/>
        <v>19.68</v>
      </c>
      <c r="CM192" s="217">
        <f t="shared" si="540"/>
        <v>1.476</v>
      </c>
      <c r="CN192" s="541">
        <f t="shared" si="541"/>
        <v>9</v>
      </c>
      <c r="CO192" s="443">
        <f t="shared" si="542"/>
        <v>16.474900000000002</v>
      </c>
      <c r="CP192" s="443">
        <f t="shared" si="543"/>
        <v>25.474900000000002</v>
      </c>
      <c r="CQ192" s="443"/>
      <c r="CR192" s="217">
        <f t="shared" si="544"/>
        <v>0.64485133082098534</v>
      </c>
      <c r="CS192" s="172">
        <f t="shared" si="545"/>
        <v>29.993085154464438</v>
      </c>
      <c r="CT192" s="172">
        <f t="shared" si="546"/>
        <v>2.4181924905786953</v>
      </c>
      <c r="CU192" s="217">
        <f t="shared" si="547"/>
        <v>1.2497118814360182</v>
      </c>
      <c r="CV192" s="217">
        <f t="shared" si="548"/>
        <v>1.6662825085813577</v>
      </c>
      <c r="CW192" s="217">
        <f t="shared" si="549"/>
        <v>24</v>
      </c>
      <c r="CX192" s="217">
        <f t="shared" si="550"/>
        <v>7.2905693275811068</v>
      </c>
      <c r="CY192" s="217">
        <f t="shared" si="551"/>
        <v>8.1006325862012307</v>
      </c>
      <c r="CZ192" s="217">
        <f t="shared" si="552"/>
        <v>4.4252586222563455</v>
      </c>
      <c r="DA192" s="197">
        <f t="shared" si="553"/>
        <v>261.91798593910079</v>
      </c>
      <c r="DB192" s="443">
        <f t="shared" si="554"/>
        <v>79.834638778021031</v>
      </c>
      <c r="DD192" s="217">
        <f t="shared" si="555"/>
        <v>2.2222222222222228</v>
      </c>
      <c r="DE192" s="173">
        <f t="shared" si="556"/>
        <v>1.3488532386977905</v>
      </c>
      <c r="DF192" s="173">
        <f t="shared" si="557"/>
        <v>0.24355939229558116</v>
      </c>
      <c r="DG192" s="173"/>
      <c r="DH192" s="173">
        <f t="shared" si="558"/>
        <v>1.3488532386977903</v>
      </c>
      <c r="DI192" s="545">
        <f t="shared" si="559"/>
        <v>820.28699999999969</v>
      </c>
      <c r="DJ192" s="528">
        <f t="shared" si="560"/>
        <v>0.26182634671774968</v>
      </c>
      <c r="DL192" s="173">
        <f t="shared" si="561"/>
        <v>3.4769444713919224</v>
      </c>
      <c r="DM192" s="173">
        <f t="shared" si="562"/>
        <v>7.2905693275811068</v>
      </c>
      <c r="DN192" s="173">
        <f t="shared" si="563"/>
        <v>4.954331189154729</v>
      </c>
      <c r="DP192" s="545">
        <f t="shared" si="564"/>
        <v>820</v>
      </c>
      <c r="DQ192" s="460">
        <f t="shared" si="565"/>
        <v>79.834638778021031</v>
      </c>
      <c r="DS192">
        <f t="shared" si="566"/>
        <v>820</v>
      </c>
      <c r="DT192">
        <f t="shared" si="567"/>
        <v>79.834638778021031</v>
      </c>
      <c r="DV192" s="5">
        <f t="shared" si="568"/>
        <v>12.525891208457576</v>
      </c>
      <c r="DW192" s="5">
        <f t="shared" si="569"/>
        <v>8.1006325862012307</v>
      </c>
      <c r="DX192" s="5">
        <f t="shared" si="570"/>
        <v>4.4252586222563455</v>
      </c>
      <c r="DY192" s="173">
        <f t="shared" si="571"/>
        <v>0.64671107639284164</v>
      </c>
      <c r="EA192" s="5">
        <f t="shared" si="572"/>
        <v>27.677161336187535</v>
      </c>
      <c r="EB192" s="5">
        <f t="shared" si="573"/>
        <v>3.6902881781583381</v>
      </c>
      <c r="EC192" s="5">
        <f t="shared" si="574"/>
        <v>8.063804600556006</v>
      </c>
      <c r="ED192" s="5"/>
      <c r="EE192" s="173">
        <f t="shared" si="575"/>
        <v>3.3849789039889933</v>
      </c>
      <c r="EF192" s="173">
        <f t="shared" si="576"/>
        <v>1.6687514706569149</v>
      </c>
      <c r="EG192" s="173">
        <f t="shared" si="577"/>
        <v>0.16710065402118562</v>
      </c>
      <c r="EH192" s="173"/>
      <c r="EI192" s="528">
        <f t="shared" si="578"/>
        <v>0.45832328721802107</v>
      </c>
      <c r="EJ192" s="528">
        <f t="shared" si="579"/>
        <v>0.40775377499999998</v>
      </c>
      <c r="EK192" s="528">
        <f t="shared" si="580"/>
        <v>1.5966927755604206E-2</v>
      </c>
      <c r="EL192" s="528">
        <f t="shared" si="581"/>
        <v>9.0668073721626111E-3</v>
      </c>
      <c r="EM192">
        <f t="shared" si="582"/>
        <v>4.0499999999999998E-3</v>
      </c>
      <c r="EN192" s="460">
        <f t="shared" si="583"/>
        <v>20.016927755604208</v>
      </c>
      <c r="EP192" s="460">
        <f t="shared" si="603"/>
        <v>895.16079734578784</v>
      </c>
      <c r="EQ192" s="173">
        <f t="shared" si="584"/>
        <v>0.57399999999999995</v>
      </c>
      <c r="ER192" s="173">
        <f t="shared" si="585"/>
        <v>5.0840000000000003E-2</v>
      </c>
      <c r="ES192" s="528"/>
      <c r="EU192" s="460">
        <f t="shared" si="497"/>
        <v>624.83999999999992</v>
      </c>
      <c r="EV192" s="528">
        <f t="shared" si="586"/>
        <v>0.34374246541351577</v>
      </c>
      <c r="EW192" s="528">
        <f t="shared" si="587"/>
        <v>8.3541944124588471E-2</v>
      </c>
      <c r="EX192" s="528">
        <f t="shared" si="588"/>
        <v>1.396131428715399E-4</v>
      </c>
      <c r="EY192" s="528">
        <f t="shared" si="589"/>
        <v>0.40865049202349163</v>
      </c>
      <c r="EZ192" s="528"/>
      <c r="FA192" s="625">
        <f t="shared" si="590"/>
        <v>0.8486805487241903</v>
      </c>
      <c r="FB192" s="460">
        <f t="shared" si="498"/>
        <v>1684.7550634286579</v>
      </c>
      <c r="FC192" s="173">
        <f t="shared" si="591"/>
        <v>3.2047558607744451</v>
      </c>
      <c r="FD192" s="5">
        <f t="shared" si="592"/>
        <v>21.155999999999999</v>
      </c>
      <c r="FE192" s="173">
        <f t="shared" si="593"/>
        <v>0.86844595959624038</v>
      </c>
      <c r="FF192" s="5">
        <f t="shared" si="594"/>
        <v>86.844595959624044</v>
      </c>
      <c r="FG192">
        <f t="shared" si="595"/>
        <v>82</v>
      </c>
      <c r="FI192" s="562">
        <f t="shared" si="596"/>
        <v>-50</v>
      </c>
      <c r="FJ192">
        <f t="shared" si="597"/>
        <v>-50</v>
      </c>
    </row>
    <row r="193" spans="5:166">
      <c r="E193" s="170">
        <v>83</v>
      </c>
      <c r="F193" s="217">
        <f t="shared" si="598"/>
        <v>0.83</v>
      </c>
      <c r="G193" s="217">
        <f t="shared" si="499"/>
        <v>8.3000000000000004E-2</v>
      </c>
      <c r="H193" s="217">
        <f t="shared" si="500"/>
        <v>19.919999999999998</v>
      </c>
      <c r="I193" s="217">
        <f t="shared" si="501"/>
        <v>1.494</v>
      </c>
      <c r="J193" s="541">
        <f t="shared" si="502"/>
        <v>8.6796087658278847</v>
      </c>
      <c r="K193" s="443">
        <f t="shared" si="503"/>
        <v>16.522819960432205</v>
      </c>
      <c r="L193" s="172">
        <f t="shared" si="504"/>
        <v>25.202428726260088</v>
      </c>
      <c r="M193" s="443"/>
      <c r="N193" s="217">
        <f t="shared" si="505"/>
        <v>0.65560427290152312</v>
      </c>
      <c r="O193" s="172">
        <f t="shared" si="506"/>
        <v>29.407692992197813</v>
      </c>
      <c r="P193" s="172">
        <f t="shared" si="507"/>
        <v>2.3709952474959484</v>
      </c>
      <c r="Q193" s="217">
        <f t="shared" si="508"/>
        <v>1.2253205413415755</v>
      </c>
      <c r="R193" s="217">
        <f t="shared" si="509"/>
        <v>1.6337607217887673</v>
      </c>
      <c r="S193" s="217">
        <f t="shared" si="510"/>
        <v>24</v>
      </c>
      <c r="T193" s="217">
        <f t="shared" si="511"/>
        <v>7.5263752716697461</v>
      </c>
      <c r="U193" s="217">
        <f t="shared" si="512"/>
        <v>8.6713300964687665</v>
      </c>
      <c r="V193" s="217">
        <f t="shared" si="513"/>
        <v>4.5551396733084486</v>
      </c>
      <c r="W193" s="197">
        <f t="shared" si="514"/>
        <v>256.0674867295624</v>
      </c>
      <c r="X193" s="443">
        <f t="shared" si="599"/>
        <v>74.479741670516049</v>
      </c>
      <c r="Z193" s="217">
        <f t="shared" si="515"/>
        <v>2.2222222222222223</v>
      </c>
      <c r="AA193" s="173">
        <f t="shared" si="516"/>
        <v>1.3449412555144089</v>
      </c>
      <c r="AB193" s="173">
        <f t="shared" si="517"/>
        <v>0.23742837206685699</v>
      </c>
      <c r="AC193" s="173"/>
      <c r="AD193" s="173">
        <f t="shared" si="518"/>
        <v>1.3449412555144089</v>
      </c>
      <c r="AE193" s="545">
        <f t="shared" si="519"/>
        <v>832.70553668654929</v>
      </c>
      <c r="AF193" s="528">
        <f t="shared" si="520"/>
        <v>0.25523549997187128</v>
      </c>
      <c r="AH193" s="173">
        <f t="shared" si="521"/>
        <v>3.4980811066313806</v>
      </c>
      <c r="AI193" s="173">
        <f t="shared" si="522"/>
        <v>7.5263752716697461</v>
      </c>
      <c r="AJ193" s="173">
        <f t="shared" si="523"/>
        <v>5.1290022588500177</v>
      </c>
      <c r="AL193" s="545">
        <f t="shared" si="524"/>
        <v>830</v>
      </c>
      <c r="AM193" s="460">
        <f t="shared" si="525"/>
        <v>74.479741670516049</v>
      </c>
      <c r="AO193">
        <f t="shared" si="526"/>
        <v>830</v>
      </c>
      <c r="AP193">
        <f t="shared" si="527"/>
        <v>74.479741670516049</v>
      </c>
      <c r="AR193" s="5">
        <f t="shared" si="443"/>
        <v>13.426469769777214</v>
      </c>
      <c r="AS193" s="5">
        <f t="shared" si="604"/>
        <v>8.6713300964687665</v>
      </c>
      <c r="AT193" s="5">
        <f t="shared" si="605"/>
        <v>4.755139673308447</v>
      </c>
      <c r="AU193" s="173">
        <f t="shared" si="606"/>
        <v>0.64583842552476478</v>
      </c>
      <c r="AW193" s="5">
        <f t="shared" si="477"/>
        <v>29.988349916954483</v>
      </c>
      <c r="AX193" s="5">
        <f t="shared" si="478"/>
        <v>3.9984466555939315</v>
      </c>
      <c r="AY193" s="5">
        <f t="shared" si="479"/>
        <v>9.0943406213990965</v>
      </c>
      <c r="AZ193" s="5"/>
      <c r="BA193" s="173">
        <f t="shared" si="480"/>
        <v>3.4921041018937249</v>
      </c>
      <c r="BB193" s="173">
        <f t="shared" si="481"/>
        <v>1.7248518356833034</v>
      </c>
      <c r="BC193" s="173">
        <f t="shared" si="482"/>
        <v>0.17271827165423345</v>
      </c>
      <c r="BD193" s="173"/>
      <c r="BE193" s="528">
        <f t="shared" si="483"/>
        <v>0.48779164233851918</v>
      </c>
      <c r="BF193" s="528">
        <f t="shared" si="528"/>
        <v>0.31786956222194201</v>
      </c>
      <c r="BG193" s="528">
        <f t="shared" si="529"/>
        <v>2.5858200747200299E-2</v>
      </c>
      <c r="BH193" s="528">
        <f t="shared" si="484"/>
        <v>8.2786781859884827E-3</v>
      </c>
      <c r="BI193">
        <f t="shared" si="485"/>
        <v>3.9058239446225478E-3</v>
      </c>
      <c r="BJ193" s="460">
        <f t="shared" si="600"/>
        <v>29.764024691822851</v>
      </c>
      <c r="BK193">
        <f t="shared" si="530"/>
        <v>1.0696107581354772</v>
      </c>
      <c r="BL193" s="460">
        <f t="shared" si="601"/>
        <v>843.70390743827261</v>
      </c>
      <c r="BM193" s="173">
        <f t="shared" si="531"/>
        <v>0.72043999999999997</v>
      </c>
      <c r="BN193" s="173">
        <f t="shared" si="532"/>
        <v>7.2043999999999997E-2</v>
      </c>
      <c r="BO193" s="528"/>
      <c r="BQ193" s="460">
        <f t="shared" si="486"/>
        <v>792.48399999999992</v>
      </c>
      <c r="BR193" s="528">
        <f t="shared" si="487"/>
        <v>0.36584373175388935</v>
      </c>
      <c r="BS193" s="528">
        <f t="shared" si="488"/>
        <v>8.9253415651801837E-2</v>
      </c>
      <c r="BT193" s="528">
        <f t="shared" si="489"/>
        <v>1.4915800681612791E-4</v>
      </c>
      <c r="BU193" s="528">
        <f t="shared" si="490"/>
        <v>0.37198898532602176</v>
      </c>
      <c r="BV193" s="528"/>
      <c r="BW193" s="625">
        <f t="shared" si="533"/>
        <v>0.84380072649494053</v>
      </c>
      <c r="BX193" s="460">
        <f t="shared" ref="BX193:BX210" si="607">SUM(BR193:BW193)*1000</f>
        <v>1671.0360172334697</v>
      </c>
      <c r="BY193" s="173">
        <f t="shared" ref="BY193:BY210" si="608">SUM(BE193:BI193,BM193:BP193,BR193:BW193)</f>
        <v>3.3072239246717419</v>
      </c>
      <c r="BZ193" s="5">
        <f t="shared" ref="BZ193:BZ210" si="609">MIN(H193+I193,O193+P193)</f>
        <v>21.413999999999998</v>
      </c>
      <c r="CA193" s="173">
        <f t="shared" ref="CA193:CA210" si="610">BZ193/(BZ193+BY193)</f>
        <v>0.86621924809430095</v>
      </c>
      <c r="CB193" s="5">
        <f t="shared" ref="CB193:CB210" si="611">CA193*100</f>
        <v>86.621924809430098</v>
      </c>
      <c r="CC193">
        <f t="shared" ref="CC193:CC210" si="612">F193/Iout*100</f>
        <v>83</v>
      </c>
      <c r="CE193" s="562">
        <f t="shared" si="534"/>
        <v>-50</v>
      </c>
      <c r="CF193">
        <f t="shared" si="535"/>
        <v>-50</v>
      </c>
      <c r="CG193" s="173">
        <f t="shared" si="536"/>
        <v>0.34658417599272739</v>
      </c>
      <c r="CH193" s="173">
        <f t="shared" si="537"/>
        <v>9.446712174985028E-2</v>
      </c>
      <c r="CI193" s="170">
        <v>83</v>
      </c>
      <c r="CJ193" s="217">
        <f t="shared" si="602"/>
        <v>0.83</v>
      </c>
      <c r="CK193" s="217">
        <f t="shared" si="538"/>
        <v>8.3000000000000004E-2</v>
      </c>
      <c r="CL193" s="217">
        <f t="shared" si="539"/>
        <v>19.919999999999998</v>
      </c>
      <c r="CM193" s="217">
        <f t="shared" si="540"/>
        <v>1.494</v>
      </c>
      <c r="CN193" s="541">
        <f t="shared" si="541"/>
        <v>9</v>
      </c>
      <c r="CO193" s="443">
        <f t="shared" si="542"/>
        <v>16.474900000000002</v>
      </c>
      <c r="CP193" s="443">
        <f t="shared" si="543"/>
        <v>25.474900000000002</v>
      </c>
      <c r="CQ193" s="443"/>
      <c r="CR193" s="217">
        <f t="shared" si="544"/>
        <v>0.64485133082098534</v>
      </c>
      <c r="CS193" s="172">
        <f t="shared" si="545"/>
        <v>29.993085154464438</v>
      </c>
      <c r="CT193" s="172">
        <f t="shared" si="546"/>
        <v>2.4181924905786953</v>
      </c>
      <c r="CU193" s="217">
        <f t="shared" si="547"/>
        <v>1.2497118814360182</v>
      </c>
      <c r="CV193" s="217">
        <f t="shared" si="548"/>
        <v>1.6662825085813577</v>
      </c>
      <c r="CW193" s="217">
        <f t="shared" si="549"/>
        <v>24</v>
      </c>
      <c r="CX193" s="217">
        <f t="shared" si="550"/>
        <v>7.3794787096247783</v>
      </c>
      <c r="CY193" s="217">
        <f t="shared" si="551"/>
        <v>8.1994207884719774</v>
      </c>
      <c r="CZ193" s="217">
        <f t="shared" si="552"/>
        <v>4.479225190820447</v>
      </c>
      <c r="DA193" s="197">
        <f t="shared" si="553"/>
        <v>261.91798593910079</v>
      </c>
      <c r="DB193" s="443">
        <f t="shared" si="554"/>
        <v>78.872775660213563</v>
      </c>
      <c r="DD193" s="217">
        <f t="shared" si="555"/>
        <v>2.2222222222222228</v>
      </c>
      <c r="DE193" s="173">
        <f t="shared" si="556"/>
        <v>1.3488532386977905</v>
      </c>
      <c r="DF193" s="173">
        <f t="shared" si="557"/>
        <v>0.24355939229558116</v>
      </c>
      <c r="DG193" s="173"/>
      <c r="DH193" s="173">
        <f t="shared" si="558"/>
        <v>1.3488532386977903</v>
      </c>
      <c r="DI193" s="545">
        <f t="shared" si="559"/>
        <v>830.29049999999961</v>
      </c>
      <c r="DJ193" s="528">
        <f t="shared" si="560"/>
        <v>0.26182634671774968</v>
      </c>
      <c r="DL193" s="173">
        <f t="shared" si="561"/>
        <v>3.4980811066313806</v>
      </c>
      <c r="DM193" s="173">
        <f t="shared" si="562"/>
        <v>7.3794787096247783</v>
      </c>
      <c r="DN193" s="173">
        <f t="shared" si="563"/>
        <v>5.0201899906685599</v>
      </c>
      <c r="DP193" s="545">
        <f t="shared" si="564"/>
        <v>830</v>
      </c>
      <c r="DQ193" s="460">
        <f t="shared" si="565"/>
        <v>78.872775660213563</v>
      </c>
      <c r="DS193">
        <f>IF(CL193&gt;CS193, "",DP193)</f>
        <v>830</v>
      </c>
      <c r="DT193">
        <f t="shared" si="567"/>
        <v>78.872775660213563</v>
      </c>
      <c r="DV193" s="5">
        <f t="shared" si="568"/>
        <v>12.678645979292424</v>
      </c>
      <c r="DW193" s="5">
        <f t="shared" si="569"/>
        <v>8.1994207884719774</v>
      </c>
      <c r="DX193" s="5">
        <f t="shared" si="570"/>
        <v>4.479225190820447</v>
      </c>
      <c r="DY193" s="173">
        <f t="shared" si="571"/>
        <v>0.64671107639284164</v>
      </c>
      <c r="EA193" s="5">
        <f t="shared" si="572"/>
        <v>28.356330226798917</v>
      </c>
      <c r="EB193" s="5">
        <f t="shared" si="573"/>
        <v>3.780844030239856</v>
      </c>
      <c r="EC193" s="5">
        <f t="shared" si="574"/>
        <v>8.2616820186243771</v>
      </c>
      <c r="ED193" s="5"/>
      <c r="EE193" s="173">
        <f t="shared" si="575"/>
        <v>3.4262591345254445</v>
      </c>
      <c r="EF193" s="173">
        <f t="shared" si="576"/>
        <v>1.6891020983478526</v>
      </c>
      <c r="EG193" s="173">
        <f t="shared" si="577"/>
        <v>0.16913846687510251</v>
      </c>
      <c r="EH193" s="173"/>
      <c r="EI193" s="528">
        <f t="shared" si="578"/>
        <v>0.46957006627676195</v>
      </c>
      <c r="EJ193" s="528">
        <f t="shared" si="579"/>
        <v>0.4077537750000001</v>
      </c>
      <c r="EK193" s="528">
        <f t="shared" si="580"/>
        <v>1.5774555132042713E-2</v>
      </c>
      <c r="EL193" s="528">
        <f t="shared" si="581"/>
        <v>8.9575687291245081E-3</v>
      </c>
      <c r="EM193">
        <f t="shared" si="582"/>
        <v>4.0499999999999998E-3</v>
      </c>
      <c r="EN193" s="460">
        <f t="shared" si="583"/>
        <v>19.824555132042711</v>
      </c>
      <c r="EP193" s="460">
        <f t="shared" si="603"/>
        <v>906.10596513792927</v>
      </c>
      <c r="EQ193" s="173">
        <f t="shared" si="584"/>
        <v>0.58099999999999996</v>
      </c>
      <c r="ER193" s="173">
        <f t="shared" si="585"/>
        <v>5.1460000000000006E-2</v>
      </c>
      <c r="ES193" s="528"/>
      <c r="EU193" s="460">
        <f t="shared" si="497"/>
        <v>632.46</v>
      </c>
      <c r="EV193" s="528">
        <f t="shared" si="586"/>
        <v>0.35217754970757142</v>
      </c>
      <c r="EW193" s="528">
        <f t="shared" si="587"/>
        <v>8.5591976959293561E-2</v>
      </c>
      <c r="EX193" s="528">
        <f t="shared" si="588"/>
        <v>1.4303910488430073E-4</v>
      </c>
      <c r="EY193" s="528">
        <f t="shared" si="589"/>
        <v>0.40865049202349168</v>
      </c>
      <c r="EZ193" s="528"/>
      <c r="FA193" s="625">
        <f t="shared" si="590"/>
        <v>0.85903031151350961</v>
      </c>
      <c r="FB193" s="460">
        <f t="shared" ref="FB193:FB210" si="613">SUM(EV193:FA193)*1000</f>
        <v>1705.5933693087507</v>
      </c>
      <c r="FC193" s="173">
        <f t="shared" si="591"/>
        <v>3.2441593344466799</v>
      </c>
      <c r="FD193" s="5">
        <f t="shared" si="592"/>
        <v>21.413999999999998</v>
      </c>
      <c r="FE193" s="173">
        <f t="shared" si="593"/>
        <v>0.86843465116576268</v>
      </c>
      <c r="FF193" s="5">
        <f t="shared" si="594"/>
        <v>86.843465116576269</v>
      </c>
      <c r="FG193">
        <f t="shared" si="595"/>
        <v>83</v>
      </c>
      <c r="FI193" s="562">
        <f t="shared" si="596"/>
        <v>-50</v>
      </c>
      <c r="FJ193">
        <f t="shared" si="597"/>
        <v>-50</v>
      </c>
    </row>
    <row r="194" spans="5:166">
      <c r="E194" s="170">
        <v>84</v>
      </c>
      <c r="F194" s="217">
        <f t="shared" si="598"/>
        <v>0.84</v>
      </c>
      <c r="G194" s="217">
        <f t="shared" si="499"/>
        <v>8.4000000000000005E-2</v>
      </c>
      <c r="H194" s="217">
        <f t="shared" si="500"/>
        <v>20.16</v>
      </c>
      <c r="I194" s="217">
        <f t="shared" si="501"/>
        <v>1.512</v>
      </c>
      <c r="J194" s="541">
        <f t="shared" si="502"/>
        <v>8.6757486304764146</v>
      </c>
      <c r="K194" s="443">
        <f t="shared" si="503"/>
        <v>16.523397309353076</v>
      </c>
      <c r="L194" s="172">
        <f t="shared" si="504"/>
        <v>25.199145939829492</v>
      </c>
      <c r="M194" s="443"/>
      <c r="N194" s="217">
        <f t="shared" si="505"/>
        <v>0.65571259235561541</v>
      </c>
      <c r="O194" s="172">
        <f t="shared" si="506"/>
        <v>29.399470930828787</v>
      </c>
      <c r="P194" s="172">
        <f t="shared" si="507"/>
        <v>2.3703323437980708</v>
      </c>
      <c r="Q194" s="217">
        <f t="shared" si="508"/>
        <v>1.2249779554511995</v>
      </c>
      <c r="R194" s="217">
        <f t="shared" si="509"/>
        <v>1.6333039406015992</v>
      </c>
      <c r="S194" s="217">
        <f t="shared" si="510"/>
        <v>24</v>
      </c>
      <c r="T194" s="217">
        <f t="shared" si="511"/>
        <v>7.6191847304677101</v>
      </c>
      <c r="U194" s="217">
        <f t="shared" si="512"/>
        <v>8.7821640010440412</v>
      </c>
      <c r="V194" s="217">
        <f t="shared" si="513"/>
        <v>4.6111490196721636</v>
      </c>
      <c r="W194" s="197">
        <f t="shared" si="514"/>
        <v>255.9958931301916</v>
      </c>
      <c r="X194" s="443">
        <f t="shared" si="599"/>
        <v>73.565583200798827</v>
      </c>
      <c r="Z194" s="217">
        <f t="shared" si="515"/>
        <v>2.2222222222222223</v>
      </c>
      <c r="AA194" s="173">
        <f t="shared" si="516"/>
        <v>1.3448942615235264</v>
      </c>
      <c r="AB194" s="173">
        <f t="shared" si="517"/>
        <v>0.23735369601943629</v>
      </c>
      <c r="AC194" s="173"/>
      <c r="AD194" s="173">
        <f t="shared" si="518"/>
        <v>1.3448942615235264</v>
      </c>
      <c r="AE194" s="545">
        <f t="shared" si="519"/>
        <v>842.76758090583428</v>
      </c>
      <c r="AF194" s="528">
        <f t="shared" si="520"/>
        <v>0.25515522322089396</v>
      </c>
      <c r="AH194" s="173">
        <f t="shared" si="521"/>
        <v>3.5190907916676428</v>
      </c>
      <c r="AI194" s="173">
        <f t="shared" si="522"/>
        <v>7.6191847304677101</v>
      </c>
      <c r="AJ194" s="173">
        <f t="shared" si="523"/>
        <v>5.1977500061077686</v>
      </c>
      <c r="AL194" s="545">
        <f t="shared" si="524"/>
        <v>840</v>
      </c>
      <c r="AM194" s="460">
        <f t="shared" si="525"/>
        <v>73.565583200798827</v>
      </c>
      <c r="AO194">
        <f t="shared" si="526"/>
        <v>840</v>
      </c>
      <c r="AP194">
        <f t="shared" si="527"/>
        <v>73.565583200798827</v>
      </c>
      <c r="AR194" s="5">
        <f t="shared" si="443"/>
        <v>13.593313020716206</v>
      </c>
      <c r="AS194" s="5">
        <f t="shared" si="604"/>
        <v>8.7821640010440412</v>
      </c>
      <c r="AT194" s="5">
        <f t="shared" si="605"/>
        <v>4.8111490196721647</v>
      </c>
      <c r="AU194" s="173">
        <f t="shared" si="606"/>
        <v>0.64606501650186565</v>
      </c>
      <c r="AW194" s="5">
        <f t="shared" si="477"/>
        <v>30.737574003654142</v>
      </c>
      <c r="AX194" s="5">
        <f t="shared" si="478"/>
        <v>4.0983432004872196</v>
      </c>
      <c r="AY194" s="5">
        <f t="shared" si="479"/>
        <v>9.3164644312722391</v>
      </c>
      <c r="AZ194" s="5"/>
      <c r="BA194" s="173">
        <f t="shared" si="480"/>
        <v>3.5357861362842704</v>
      </c>
      <c r="BB194" s="173">
        <f t="shared" si="481"/>
        <v>1.7455627094066928</v>
      </c>
      <c r="BC194" s="173">
        <f t="shared" si="482"/>
        <v>0.17479215779329177</v>
      </c>
      <c r="BD194" s="173"/>
      <c r="BE194" s="528">
        <f t="shared" si="483"/>
        <v>0.50007134406160203</v>
      </c>
      <c r="BF194" s="528">
        <f t="shared" si="528"/>
        <v>0.31779826762187346</v>
      </c>
      <c r="BG194" s="528">
        <f t="shared" si="529"/>
        <v>2.5529460308181168E-2</v>
      </c>
      <c r="BH194" s="528">
        <f t="shared" si="484"/>
        <v>8.1749362460491245E-3</v>
      </c>
      <c r="BI194">
        <f t="shared" si="485"/>
        <v>3.9040868837143866E-3</v>
      </c>
      <c r="BJ194" s="460">
        <f t="shared" si="600"/>
        <v>29.433547191895556</v>
      </c>
      <c r="BK194">
        <f t="shared" si="530"/>
        <v>1.0906517236089441</v>
      </c>
      <c r="BL194" s="460">
        <f t="shared" si="601"/>
        <v>855.4780951214201</v>
      </c>
      <c r="BM194" s="173">
        <f t="shared" si="531"/>
        <v>0.72911999999999999</v>
      </c>
      <c r="BN194" s="173">
        <f t="shared" si="532"/>
        <v>7.2911999999999991E-2</v>
      </c>
      <c r="BO194" s="528"/>
      <c r="BQ194" s="460">
        <f t="shared" si="486"/>
        <v>802.03199999999993</v>
      </c>
      <c r="BR194" s="528">
        <f t="shared" si="487"/>
        <v>0.37505350804620147</v>
      </c>
      <c r="BS194" s="528">
        <f t="shared" si="488"/>
        <v>9.140967517413702E-2</v>
      </c>
      <c r="BT194" s="528">
        <f t="shared" si="489"/>
        <v>1.5276149213017505E-4</v>
      </c>
      <c r="BU194" s="528">
        <f t="shared" si="490"/>
        <v>0.37190153283349991</v>
      </c>
      <c r="BV194" s="528"/>
      <c r="BW194" s="625">
        <f t="shared" si="533"/>
        <v>0.85412549344697819</v>
      </c>
      <c r="BX194" s="460">
        <f t="shared" si="607"/>
        <v>1692.6429709929466</v>
      </c>
      <c r="BY194" s="173">
        <f t="shared" si="608"/>
        <v>3.350153066114367</v>
      </c>
      <c r="BZ194" s="5">
        <f t="shared" si="609"/>
        <v>21.672000000000001</v>
      </c>
      <c r="CA194" s="173">
        <f t="shared" si="610"/>
        <v>0.86611251808497536</v>
      </c>
      <c r="CB194" s="5">
        <f t="shared" si="611"/>
        <v>86.611251808497542</v>
      </c>
      <c r="CC194">
        <f t="shared" si="612"/>
        <v>84</v>
      </c>
      <c r="CE194" s="562">
        <f t="shared" si="534"/>
        <v>-50</v>
      </c>
      <c r="CF194">
        <f t="shared" si="535"/>
        <v>-50</v>
      </c>
      <c r="CG194" s="173">
        <f t="shared" si="536"/>
        <v>0.34658417599272739</v>
      </c>
      <c r="CH194" s="173">
        <f t="shared" si="537"/>
        <v>9.446712174985028E-2</v>
      </c>
      <c r="CI194" s="170">
        <v>84</v>
      </c>
      <c r="CJ194" s="217">
        <f t="shared" si="602"/>
        <v>0.84</v>
      </c>
      <c r="CK194" s="217">
        <f t="shared" si="538"/>
        <v>8.4000000000000005E-2</v>
      </c>
      <c r="CL194" s="217">
        <f t="shared" si="539"/>
        <v>20.16</v>
      </c>
      <c r="CM194" s="217">
        <f t="shared" si="540"/>
        <v>1.512</v>
      </c>
      <c r="CN194" s="541">
        <f t="shared" si="541"/>
        <v>9</v>
      </c>
      <c r="CO194" s="443">
        <f t="shared" si="542"/>
        <v>16.474900000000002</v>
      </c>
      <c r="CP194" s="443">
        <f t="shared" si="543"/>
        <v>25.474900000000002</v>
      </c>
      <c r="CQ194" s="443"/>
      <c r="CR194" s="217">
        <f t="shared" si="544"/>
        <v>0.64485133082098534</v>
      </c>
      <c r="CS194" s="172">
        <f t="shared" si="545"/>
        <v>29.993085154464438</v>
      </c>
      <c r="CT194" s="172">
        <f t="shared" si="546"/>
        <v>2.4181924905786953</v>
      </c>
      <c r="CU194" s="217">
        <f t="shared" si="547"/>
        <v>1.2497118814360182</v>
      </c>
      <c r="CV194" s="217">
        <f t="shared" si="548"/>
        <v>1.6662825085813577</v>
      </c>
      <c r="CW194" s="217">
        <f t="shared" si="549"/>
        <v>24</v>
      </c>
      <c r="CX194" s="217">
        <f t="shared" si="550"/>
        <v>7.4683880916684515</v>
      </c>
      <c r="CY194" s="217">
        <f t="shared" si="551"/>
        <v>8.2982089907427241</v>
      </c>
      <c r="CZ194" s="217">
        <f t="shared" si="552"/>
        <v>4.5331917593845494</v>
      </c>
      <c r="DA194" s="197">
        <f t="shared" si="553"/>
        <v>261.91798593910079</v>
      </c>
      <c r="DB194" s="443">
        <f t="shared" si="554"/>
        <v>77.933814045211022</v>
      </c>
      <c r="DD194" s="217">
        <f t="shared" si="555"/>
        <v>2.2222222222222228</v>
      </c>
      <c r="DE194" s="173">
        <f t="shared" si="556"/>
        <v>1.3488532386977905</v>
      </c>
      <c r="DF194" s="173">
        <f t="shared" si="557"/>
        <v>0.24355939229558116</v>
      </c>
      <c r="DG194" s="173"/>
      <c r="DH194" s="173">
        <f t="shared" si="558"/>
        <v>1.3488532386977903</v>
      </c>
      <c r="DI194" s="545">
        <f t="shared" si="559"/>
        <v>840.29399999999953</v>
      </c>
      <c r="DJ194" s="528">
        <f t="shared" si="560"/>
        <v>0.26182634671774968</v>
      </c>
      <c r="DL194" s="173">
        <f t="shared" si="561"/>
        <v>3.5190907916676428</v>
      </c>
      <c r="DM194" s="173">
        <f t="shared" si="562"/>
        <v>7.4683880916684515</v>
      </c>
      <c r="DN194" s="173">
        <f t="shared" si="563"/>
        <v>5.0860487921823916</v>
      </c>
      <c r="DP194" s="545">
        <f t="shared" si="564"/>
        <v>840</v>
      </c>
      <c r="DQ194" s="460">
        <f t="shared" si="565"/>
        <v>77.933814045211022</v>
      </c>
      <c r="DS194">
        <f t="shared" ref="DS194:DS210" si="614">IF(CL194&gt;CS194, "",DP194)</f>
        <v>840</v>
      </c>
      <c r="DT194">
        <f t="shared" ref="DT194:DT210" si="615">IF(CL194&gt;CS194, "",DQ194)</f>
        <v>77.933814045211022</v>
      </c>
      <c r="DV194" s="5">
        <f t="shared" si="568"/>
        <v>12.831400750127271</v>
      </c>
      <c r="DW194" s="5">
        <f t="shared" si="569"/>
        <v>8.2982089907427241</v>
      </c>
      <c r="DX194" s="5">
        <f t="shared" si="570"/>
        <v>4.5331917593845468</v>
      </c>
      <c r="DY194" s="173">
        <f t="shared" si="571"/>
        <v>0.64671107639284175</v>
      </c>
      <c r="EA194" s="5">
        <f t="shared" si="572"/>
        <v>29.043731467599532</v>
      </c>
      <c r="EB194" s="5">
        <f t="shared" si="573"/>
        <v>3.8724975290132715</v>
      </c>
      <c r="EC194" s="5">
        <f t="shared" si="574"/>
        <v>8.4619579508511542</v>
      </c>
      <c r="ED194" s="5"/>
      <c r="EE194" s="173">
        <f t="shared" si="575"/>
        <v>3.4675393650618966</v>
      </c>
      <c r="EF194" s="173">
        <f t="shared" si="576"/>
        <v>1.7094527260387906</v>
      </c>
      <c r="EG194" s="173">
        <f t="shared" si="577"/>
        <v>0.17117627972901941</v>
      </c>
      <c r="EH194" s="173"/>
      <c r="EI194" s="528">
        <f t="shared" si="578"/>
        <v>0.48095316993015447</v>
      </c>
      <c r="EJ194" s="528">
        <f t="shared" si="579"/>
        <v>0.4077537750000001</v>
      </c>
      <c r="EK194" s="528">
        <f t="shared" si="580"/>
        <v>1.5586762809042202E-2</v>
      </c>
      <c r="EL194" s="528">
        <f t="shared" si="581"/>
        <v>8.8509310061587413E-3</v>
      </c>
      <c r="EM194">
        <f t="shared" si="582"/>
        <v>4.0499999999999998E-3</v>
      </c>
      <c r="EN194" s="460">
        <f t="shared" si="583"/>
        <v>19.636762809042203</v>
      </c>
      <c r="EP194" s="460">
        <f t="shared" si="603"/>
        <v>917.19463874535552</v>
      </c>
      <c r="EQ194" s="173">
        <f t="shared" si="584"/>
        <v>0.58799999999999997</v>
      </c>
      <c r="ER194" s="173">
        <f t="shared" si="585"/>
        <v>5.2080000000000001E-2</v>
      </c>
      <c r="ES194" s="528"/>
      <c r="EU194" s="460">
        <f t="shared" si="497"/>
        <v>640.07999999999993</v>
      </c>
      <c r="EV194" s="528">
        <f t="shared" si="586"/>
        <v>0.36071487744761582</v>
      </c>
      <c r="EW194" s="528">
        <f t="shared" si="587"/>
        <v>8.7666858676843581E-2</v>
      </c>
      <c r="EX194" s="528">
        <f t="shared" si="588"/>
        <v>1.4650659370933752E-4</v>
      </c>
      <c r="EY194" s="528">
        <f t="shared" si="589"/>
        <v>0.40865049202349135</v>
      </c>
      <c r="EZ194" s="528"/>
      <c r="FA194" s="625">
        <f t="shared" si="590"/>
        <v>0.86938007430282938</v>
      </c>
      <c r="FB194" s="460">
        <f t="shared" si="613"/>
        <v>1726.5588090444894</v>
      </c>
      <c r="FC194" s="173">
        <f t="shared" si="591"/>
        <v>3.2838334477898448</v>
      </c>
      <c r="FD194" s="5">
        <f t="shared" si="592"/>
        <v>21.672000000000001</v>
      </c>
      <c r="FE194" s="173">
        <f t="shared" si="593"/>
        <v>0.86841419443434098</v>
      </c>
      <c r="FF194" s="5">
        <f t="shared" si="594"/>
        <v>86.841419443434091</v>
      </c>
      <c r="FG194">
        <f t="shared" si="595"/>
        <v>84</v>
      </c>
      <c r="FI194" s="562">
        <f t="shared" si="596"/>
        <v>-50</v>
      </c>
      <c r="FJ194">
        <f t="shared" si="597"/>
        <v>-50</v>
      </c>
    </row>
    <row r="195" spans="5:166">
      <c r="E195" s="170">
        <v>85</v>
      </c>
      <c r="F195" s="217">
        <f t="shared" si="598"/>
        <v>0.85</v>
      </c>
      <c r="G195" s="217">
        <f t="shared" si="499"/>
        <v>8.5000000000000006E-2</v>
      </c>
      <c r="H195" s="217">
        <f t="shared" si="500"/>
        <v>20.399999999999999</v>
      </c>
      <c r="I195" s="217">
        <f t="shared" si="501"/>
        <v>1.53</v>
      </c>
      <c r="J195" s="541">
        <f t="shared" si="502"/>
        <v>8.6718884951249429</v>
      </c>
      <c r="K195" s="443">
        <f t="shared" si="503"/>
        <v>16.523974658273946</v>
      </c>
      <c r="L195" s="172">
        <f t="shared" si="504"/>
        <v>25.195863153398889</v>
      </c>
      <c r="M195" s="443"/>
      <c r="N195" s="217">
        <f t="shared" si="505"/>
        <v>0.65582094003574087</v>
      </c>
      <c r="O195" s="172">
        <f t="shared" si="506"/>
        <v>29.391245812702667</v>
      </c>
      <c r="P195" s="172">
        <f t="shared" si="507"/>
        <v>2.3696691936491527</v>
      </c>
      <c r="Q195" s="217">
        <f t="shared" si="508"/>
        <v>1.2246352421959446</v>
      </c>
      <c r="R195" s="217">
        <f t="shared" si="509"/>
        <v>1.6328469895945927</v>
      </c>
      <c r="S195" s="217">
        <f t="shared" si="510"/>
        <v>24</v>
      </c>
      <c r="T195" s="217">
        <f t="shared" si="511"/>
        <v>7.7120469173410493</v>
      </c>
      <c r="U195" s="217">
        <f t="shared" si="512"/>
        <v>8.8931573805135002</v>
      </c>
      <c r="V195" s="217">
        <f t="shared" si="513"/>
        <v>4.6671863621380254</v>
      </c>
      <c r="W195" s="197">
        <f t="shared" si="514"/>
        <v>255.92427291410846</v>
      </c>
      <c r="X195" s="443">
        <f t="shared" si="599"/>
        <v>72.672603148742766</v>
      </c>
      <c r="Z195" s="217">
        <f t="shared" si="515"/>
        <v>2.2222222222222223</v>
      </c>
      <c r="AA195" s="173">
        <f t="shared" si="516"/>
        <v>1.3448472708165911</v>
      </c>
      <c r="AB195" s="173">
        <f t="shared" si="517"/>
        <v>0.23727900051282777</v>
      </c>
      <c r="AC195" s="173"/>
      <c r="AD195" s="173">
        <f t="shared" si="518"/>
        <v>1.3448472708165911</v>
      </c>
      <c r="AE195" s="545">
        <f t="shared" si="519"/>
        <v>852.83032625349381</v>
      </c>
      <c r="AF195" s="528">
        <f t="shared" si="520"/>
        <v>0.25507492555128991</v>
      </c>
      <c r="AH195" s="173">
        <f t="shared" si="521"/>
        <v>3.539975786842132</v>
      </c>
      <c r="AI195" s="173">
        <f t="shared" si="522"/>
        <v>7.7120469173410493</v>
      </c>
      <c r="AJ195" s="173">
        <f t="shared" si="523"/>
        <v>5.2665368111991313</v>
      </c>
      <c r="AL195" s="545">
        <f t="shared" si="524"/>
        <v>850</v>
      </c>
      <c r="AM195" s="460">
        <f t="shared" si="525"/>
        <v>72.672603148742766</v>
      </c>
      <c r="AO195">
        <f t="shared" si="526"/>
        <v>850</v>
      </c>
      <c r="AP195">
        <f t="shared" si="527"/>
        <v>72.672603148742766</v>
      </c>
      <c r="AR195" s="5">
        <f t="shared" si="443"/>
        <v>13.760343742651525</v>
      </c>
      <c r="AS195" s="5">
        <f t="shared" si="604"/>
        <v>8.8931573805135002</v>
      </c>
      <c r="AT195" s="5">
        <f t="shared" si="605"/>
        <v>4.8671863621380247</v>
      </c>
      <c r="AU195" s="173">
        <f t="shared" si="606"/>
        <v>0.64628889705337034</v>
      </c>
      <c r="AW195" s="5">
        <f t="shared" si="477"/>
        <v>31.496599055985314</v>
      </c>
      <c r="AX195" s="5">
        <f t="shared" si="478"/>
        <v>4.1995465407980417</v>
      </c>
      <c r="AY195" s="5">
        <f t="shared" si="479"/>
        <v>9.5414243625089732</v>
      </c>
      <c r="AZ195" s="5"/>
      <c r="BA195" s="173">
        <f t="shared" si="480"/>
        <v>3.5795001350485141</v>
      </c>
      <c r="BB195" s="173">
        <f t="shared" si="481"/>
        <v>1.7662786352956854</v>
      </c>
      <c r="BC195" s="173">
        <f t="shared" si="482"/>
        <v>0.17686654983163549</v>
      </c>
      <c r="BD195" s="173"/>
      <c r="BE195" s="528">
        <f t="shared" si="483"/>
        <v>0.51251284867249325</v>
      </c>
      <c r="BF195" s="528">
        <f t="shared" si="528"/>
        <v>0.31772554915119228</v>
      </c>
      <c r="BG195" s="528">
        <f t="shared" si="529"/>
        <v>2.5208348446254525E-2</v>
      </c>
      <c r="BH195" s="528">
        <f t="shared" si="484"/>
        <v>8.0736003464426023E-3</v>
      </c>
      <c r="BI195">
        <f t="shared" si="485"/>
        <v>3.902349822806224E-3</v>
      </c>
      <c r="BJ195" s="460">
        <f t="shared" si="600"/>
        <v>29.110698269060752</v>
      </c>
      <c r="BK195">
        <f t="shared" si="530"/>
        <v>1.112116259328195</v>
      </c>
      <c r="BL195" s="460">
        <f t="shared" si="601"/>
        <v>867.42269643918894</v>
      </c>
      <c r="BM195" s="173">
        <f t="shared" si="531"/>
        <v>0.73780000000000001</v>
      </c>
      <c r="BN195" s="173">
        <f t="shared" si="532"/>
        <v>7.3779999999999998E-2</v>
      </c>
      <c r="BO195" s="528"/>
      <c r="BQ195" s="460">
        <f t="shared" si="486"/>
        <v>811.57999999999993</v>
      </c>
      <c r="BR195" s="528">
        <f t="shared" si="487"/>
        <v>0.38438463650436994</v>
      </c>
      <c r="BS195" s="528">
        <f t="shared" si="488"/>
        <v>9.3592206525059674E-2</v>
      </c>
      <c r="BT195" s="528">
        <f t="shared" si="489"/>
        <v>1.5640888224673202E-4</v>
      </c>
      <c r="BU195" s="528">
        <f t="shared" si="490"/>
        <v>0.37180990426308702</v>
      </c>
      <c r="BV195" s="528"/>
      <c r="BW195" s="625">
        <f t="shared" si="533"/>
        <v>0.86445031850358467</v>
      </c>
      <c r="BX195" s="460">
        <f t="shared" si="607"/>
        <v>1714.393474678348</v>
      </c>
      <c r="BY195" s="173">
        <f t="shared" si="608"/>
        <v>3.3933961711175367</v>
      </c>
      <c r="BZ195" s="5">
        <f t="shared" si="609"/>
        <v>21.93</v>
      </c>
      <c r="CA195" s="173">
        <f t="shared" si="610"/>
        <v>0.86599758783587422</v>
      </c>
      <c r="CB195" s="5">
        <f t="shared" si="611"/>
        <v>86.599758783587419</v>
      </c>
      <c r="CC195">
        <f t="shared" si="612"/>
        <v>85</v>
      </c>
      <c r="CE195" s="562">
        <f t="shared" si="534"/>
        <v>-50</v>
      </c>
      <c r="CF195">
        <f t="shared" si="535"/>
        <v>-50</v>
      </c>
      <c r="CG195" s="173">
        <f t="shared" si="536"/>
        <v>0.34658417599272739</v>
      </c>
      <c r="CH195" s="173">
        <f t="shared" si="537"/>
        <v>9.446712174985028E-2</v>
      </c>
      <c r="CI195" s="170">
        <v>85</v>
      </c>
      <c r="CJ195" s="217">
        <f t="shared" si="602"/>
        <v>0.85</v>
      </c>
      <c r="CK195" s="217">
        <f t="shared" si="538"/>
        <v>8.5000000000000006E-2</v>
      </c>
      <c r="CL195" s="217">
        <f t="shared" si="539"/>
        <v>20.399999999999999</v>
      </c>
      <c r="CM195" s="217">
        <f t="shared" si="540"/>
        <v>1.53</v>
      </c>
      <c r="CN195" s="541">
        <f t="shared" si="541"/>
        <v>9</v>
      </c>
      <c r="CO195" s="443">
        <f t="shared" si="542"/>
        <v>16.474900000000002</v>
      </c>
      <c r="CP195" s="443">
        <f t="shared" si="543"/>
        <v>25.474900000000002</v>
      </c>
      <c r="CQ195" s="443"/>
      <c r="CR195" s="217">
        <f t="shared" si="544"/>
        <v>0.64485133082098534</v>
      </c>
      <c r="CS195" s="172">
        <f t="shared" si="545"/>
        <v>29.993085154464438</v>
      </c>
      <c r="CT195" s="172">
        <f t="shared" si="546"/>
        <v>2.4181924905786953</v>
      </c>
      <c r="CU195" s="217">
        <f t="shared" si="547"/>
        <v>1.2497118814360182</v>
      </c>
      <c r="CV195" s="217">
        <f t="shared" si="548"/>
        <v>1.6662825085813577</v>
      </c>
      <c r="CW195" s="217">
        <f t="shared" si="549"/>
        <v>24</v>
      </c>
      <c r="CX195" s="217">
        <f t="shared" si="550"/>
        <v>7.557297473712123</v>
      </c>
      <c r="CY195" s="217">
        <f t="shared" si="551"/>
        <v>8.3969971930134708</v>
      </c>
      <c r="CZ195" s="217">
        <f t="shared" si="552"/>
        <v>4.587158327948651</v>
      </c>
      <c r="DA195" s="197">
        <f t="shared" si="553"/>
        <v>261.91798593910079</v>
      </c>
      <c r="DB195" s="443">
        <f t="shared" si="554"/>
        <v>77.016945644679112</v>
      </c>
      <c r="DD195" s="217">
        <f t="shared" si="555"/>
        <v>2.2222222222222228</v>
      </c>
      <c r="DE195" s="173">
        <f t="shared" si="556"/>
        <v>1.3488532386977905</v>
      </c>
      <c r="DF195" s="173">
        <f t="shared" si="557"/>
        <v>0.24355939229558116</v>
      </c>
      <c r="DG195" s="173"/>
      <c r="DH195" s="173">
        <f t="shared" si="558"/>
        <v>1.3488532386977903</v>
      </c>
      <c r="DI195" s="545">
        <f t="shared" si="559"/>
        <v>850.29749999999967</v>
      </c>
      <c r="DJ195" s="528">
        <f t="shared" si="560"/>
        <v>0.26182634671774968</v>
      </c>
      <c r="DL195" s="173">
        <f t="shared" si="561"/>
        <v>3.539975786842132</v>
      </c>
      <c r="DM195" s="173">
        <f t="shared" si="562"/>
        <v>7.557297473712123</v>
      </c>
      <c r="DN195" s="173">
        <f t="shared" si="563"/>
        <v>5.1519075936962224</v>
      </c>
      <c r="DP195" s="545">
        <f t="shared" si="564"/>
        <v>850</v>
      </c>
      <c r="DQ195" s="460">
        <f t="shared" si="565"/>
        <v>77.016945644679112</v>
      </c>
      <c r="DS195">
        <f t="shared" si="614"/>
        <v>850</v>
      </c>
      <c r="DT195">
        <f t="shared" si="615"/>
        <v>77.016945644679112</v>
      </c>
      <c r="DV195" s="5">
        <f t="shared" si="568"/>
        <v>12.984155520962123</v>
      </c>
      <c r="DW195" s="5">
        <f t="shared" si="569"/>
        <v>8.3969971930134708</v>
      </c>
      <c r="DX195" s="5">
        <f t="shared" si="570"/>
        <v>4.5871583279486519</v>
      </c>
      <c r="DY195" s="173">
        <f t="shared" si="571"/>
        <v>0.64671107639284153</v>
      </c>
      <c r="EA195" s="5">
        <f t="shared" si="572"/>
        <v>29.739365058589375</v>
      </c>
      <c r="EB195" s="5">
        <f t="shared" si="573"/>
        <v>3.9652486744785835</v>
      </c>
      <c r="EC195" s="5">
        <f t="shared" si="574"/>
        <v>8.6646323972363408</v>
      </c>
      <c r="ED195" s="5"/>
      <c r="EE195" s="173">
        <f t="shared" si="575"/>
        <v>3.508819595598347</v>
      </c>
      <c r="EF195" s="173">
        <f t="shared" si="576"/>
        <v>1.7298033537297288</v>
      </c>
      <c r="EG195" s="173">
        <f t="shared" si="577"/>
        <v>0.17321409258293635</v>
      </c>
      <c r="EH195" s="173"/>
      <c r="EI195" s="528">
        <f t="shared" si="578"/>
        <v>0.49247259817819788</v>
      </c>
      <c r="EJ195" s="528">
        <f t="shared" si="579"/>
        <v>0.40775377499999998</v>
      </c>
      <c r="EK195" s="528">
        <f t="shared" si="580"/>
        <v>1.5403389128935822E-2</v>
      </c>
      <c r="EL195" s="528">
        <f t="shared" si="581"/>
        <v>8.7468024060862841E-3</v>
      </c>
      <c r="EM195">
        <f t="shared" si="582"/>
        <v>4.0499999999999998E-3</v>
      </c>
      <c r="EN195" s="460">
        <f t="shared" si="583"/>
        <v>19.453389128935822</v>
      </c>
      <c r="EP195" s="460">
        <f t="shared" si="603"/>
        <v>928.42656471321993</v>
      </c>
      <c r="EQ195" s="173">
        <f t="shared" si="584"/>
        <v>0.59499999999999997</v>
      </c>
      <c r="ER195" s="173">
        <f t="shared" si="585"/>
        <v>5.2700000000000004E-2</v>
      </c>
      <c r="ES195" s="528"/>
      <c r="EU195" s="460">
        <f t="shared" si="497"/>
        <v>647.69999999999993</v>
      </c>
      <c r="EV195" s="528">
        <f t="shared" si="586"/>
        <v>0.36935444863364841</v>
      </c>
      <c r="EW195" s="528">
        <f t="shared" si="587"/>
        <v>8.9766589277238518E-2</v>
      </c>
      <c r="EX195" s="528">
        <f t="shared" si="588"/>
        <v>1.5001560934665024E-4</v>
      </c>
      <c r="EY195" s="528">
        <f t="shared" si="589"/>
        <v>0.40865049202349163</v>
      </c>
      <c r="EZ195" s="528"/>
      <c r="FA195" s="625">
        <f t="shared" si="590"/>
        <v>0.87972983709214836</v>
      </c>
      <c r="FB195" s="460">
        <f t="shared" si="613"/>
        <v>1747.6513826358735</v>
      </c>
      <c r="FC195" s="173">
        <f t="shared" si="591"/>
        <v>3.3237779473490932</v>
      </c>
      <c r="FD195" s="5">
        <f t="shared" si="592"/>
        <v>21.93</v>
      </c>
      <c r="FE195" s="173">
        <f t="shared" si="593"/>
        <v>0.86838492227662945</v>
      </c>
      <c r="FF195" s="5">
        <f t="shared" si="594"/>
        <v>86.83849222766294</v>
      </c>
      <c r="FG195">
        <f t="shared" si="595"/>
        <v>85</v>
      </c>
      <c r="FI195" s="562">
        <f t="shared" si="596"/>
        <v>-50</v>
      </c>
      <c r="FJ195">
        <f t="shared" si="597"/>
        <v>-50</v>
      </c>
    </row>
    <row r="196" spans="5:166">
      <c r="E196" s="170">
        <v>86</v>
      </c>
      <c r="F196" s="217">
        <f t="shared" si="598"/>
        <v>0.86</v>
      </c>
      <c r="G196" s="217">
        <f t="shared" si="499"/>
        <v>8.6000000000000007E-2</v>
      </c>
      <c r="H196" s="217">
        <f t="shared" si="500"/>
        <v>20.64</v>
      </c>
      <c r="I196" s="217">
        <f t="shared" si="501"/>
        <v>1.548</v>
      </c>
      <c r="J196" s="541">
        <f t="shared" si="502"/>
        <v>8.6680283597734711</v>
      </c>
      <c r="K196" s="443">
        <f t="shared" si="503"/>
        <v>16.524552007194814</v>
      </c>
      <c r="L196" s="172">
        <f t="shared" si="504"/>
        <v>25.192580366968286</v>
      </c>
      <c r="M196" s="443"/>
      <c r="N196" s="217">
        <f t="shared" si="505"/>
        <v>0.65592931595293358</v>
      </c>
      <c r="O196" s="172">
        <f t="shared" si="506"/>
        <v>29.383017636624498</v>
      </c>
      <c r="P196" s="172">
        <f t="shared" si="507"/>
        <v>2.3690057969528504</v>
      </c>
      <c r="Q196" s="217">
        <f t="shared" si="508"/>
        <v>1.2242924015260208</v>
      </c>
      <c r="R196" s="217">
        <f t="shared" si="509"/>
        <v>1.6323898687013609</v>
      </c>
      <c r="S196" s="217">
        <f t="shared" si="510"/>
        <v>24</v>
      </c>
      <c r="T196" s="217">
        <f t="shared" si="511"/>
        <v>7.8049619058690727</v>
      </c>
      <c r="U196" s="217">
        <f t="shared" si="512"/>
        <v>9.0043105328199999</v>
      </c>
      <c r="V196" s="217">
        <f t="shared" si="513"/>
        <v>4.7232517422988414</v>
      </c>
      <c r="W196" s="197">
        <f t="shared" si="514"/>
        <v>255.85262607090783</v>
      </c>
      <c r="X196" s="443">
        <f t="shared" si="599"/>
        <v>71.800073856892311</v>
      </c>
      <c r="Z196" s="217">
        <f t="shared" si="515"/>
        <v>2.2222222222222228</v>
      </c>
      <c r="AA196" s="173">
        <f t="shared" si="516"/>
        <v>1.3448002833932589</v>
      </c>
      <c r="AB196" s="173">
        <f t="shared" si="517"/>
        <v>0.2372042855394246</v>
      </c>
      <c r="AC196" s="173"/>
      <c r="AD196" s="173">
        <f t="shared" si="518"/>
        <v>1.3448002833932586</v>
      </c>
      <c r="AE196" s="545">
        <f t="shared" si="519"/>
        <v>862.89377272952788</v>
      </c>
      <c r="AF196" s="528">
        <f t="shared" si="520"/>
        <v>0.25499460695488141</v>
      </c>
      <c r="AH196" s="173">
        <f t="shared" si="521"/>
        <v>3.5607382862065475</v>
      </c>
      <c r="AI196" s="173">
        <f t="shared" si="522"/>
        <v>7.8049619058690727</v>
      </c>
      <c r="AJ196" s="173">
        <f t="shared" si="523"/>
        <v>5.3353627286272962</v>
      </c>
      <c r="AL196" s="545">
        <f t="shared" si="524"/>
        <v>860</v>
      </c>
      <c r="AM196" s="460">
        <f t="shared" si="525"/>
        <v>71.800073856892311</v>
      </c>
      <c r="AO196">
        <f t="shared" si="526"/>
        <v>860</v>
      </c>
      <c r="AP196">
        <f t="shared" si="527"/>
        <v>71.800073856892311</v>
      </c>
      <c r="AR196" s="5">
        <f t="shared" si="443"/>
        <v>13.927562275118841</v>
      </c>
      <c r="AS196" s="5">
        <f t="shared" si="604"/>
        <v>9.0043105328199999</v>
      </c>
      <c r="AT196" s="5">
        <f t="shared" si="605"/>
        <v>4.9232517422988415</v>
      </c>
      <c r="AU196" s="173">
        <f t="shared" si="606"/>
        <v>0.64651016128686944</v>
      </c>
      <c r="AW196" s="5">
        <f t="shared" si="477"/>
        <v>32.265446075938328</v>
      </c>
      <c r="AX196" s="5">
        <f t="shared" si="478"/>
        <v>4.3020594767917784</v>
      </c>
      <c r="AY196" s="5">
        <f t="shared" si="479"/>
        <v>9.7692262245613009</v>
      </c>
      <c r="AZ196" s="5"/>
      <c r="BA196" s="173">
        <f t="shared" si="480"/>
        <v>3.6232461376550504</v>
      </c>
      <c r="BB196" s="173">
        <f t="shared" si="481"/>
        <v>1.7869996251123483</v>
      </c>
      <c r="BC196" s="173">
        <f t="shared" si="482"/>
        <v>0.17894144894706077</v>
      </c>
      <c r="BD196" s="173"/>
      <c r="BE196" s="528">
        <f t="shared" si="483"/>
        <v>0.52511650296128964</v>
      </c>
      <c r="BF196" s="528">
        <f t="shared" si="528"/>
        <v>0.31765145538677786</v>
      </c>
      <c r="BG196" s="528">
        <f t="shared" si="529"/>
        <v>2.4894603057014894E-2</v>
      </c>
      <c r="BH196" s="528">
        <f t="shared" si="484"/>
        <v>7.9745878192190364E-3</v>
      </c>
      <c r="BI196">
        <f t="shared" si="485"/>
        <v>3.9006127618980619E-3</v>
      </c>
      <c r="BJ196" s="460">
        <f t="shared" si="600"/>
        <v>28.795215818912958</v>
      </c>
      <c r="BK196">
        <f t="shared" si="530"/>
        <v>1.1340120566141036</v>
      </c>
      <c r="BL196" s="460">
        <f t="shared" si="601"/>
        <v>879.53776198619937</v>
      </c>
      <c r="BM196" s="173">
        <f t="shared" si="531"/>
        <v>0.74647999999999992</v>
      </c>
      <c r="BN196" s="173">
        <f t="shared" si="532"/>
        <v>7.4648000000000006E-2</v>
      </c>
      <c r="BO196" s="528"/>
      <c r="BQ196" s="460">
        <f t="shared" si="486"/>
        <v>821.12799999999993</v>
      </c>
      <c r="BR196" s="528">
        <f t="shared" si="487"/>
        <v>0.39383737722096718</v>
      </c>
      <c r="BS196" s="528">
        <f t="shared" si="488"/>
        <v>9.58010298045502E-2</v>
      </c>
      <c r="BT196" s="528">
        <f t="shared" si="489"/>
        <v>1.6010021075636778E-4</v>
      </c>
      <c r="BU196" s="528">
        <f t="shared" si="490"/>
        <v>0.37171424194594388</v>
      </c>
      <c r="BV196" s="528"/>
      <c r="BW196" s="625">
        <f t="shared" si="533"/>
        <v>0.87477519969010642</v>
      </c>
      <c r="BX196" s="460">
        <f t="shared" si="607"/>
        <v>1736.2879488723243</v>
      </c>
      <c r="BY196" s="173">
        <f t="shared" si="608"/>
        <v>3.4369537108585235</v>
      </c>
      <c r="BZ196" s="5">
        <f t="shared" si="609"/>
        <v>22.188000000000002</v>
      </c>
      <c r="CA196" s="173">
        <f t="shared" si="610"/>
        <v>0.8658747348526088</v>
      </c>
      <c r="CB196" s="5">
        <f t="shared" si="611"/>
        <v>86.587473485260887</v>
      </c>
      <c r="CC196">
        <f t="shared" si="612"/>
        <v>86</v>
      </c>
      <c r="CE196" s="562">
        <f t="shared" si="534"/>
        <v>-50</v>
      </c>
      <c r="CF196">
        <f t="shared" si="535"/>
        <v>-50</v>
      </c>
      <c r="CG196" s="173">
        <f t="shared" si="536"/>
        <v>0.34658417599272739</v>
      </c>
      <c r="CH196" s="173">
        <f t="shared" si="537"/>
        <v>9.446712174985028E-2</v>
      </c>
      <c r="CI196" s="170">
        <v>86</v>
      </c>
      <c r="CJ196" s="217">
        <f t="shared" si="602"/>
        <v>0.86</v>
      </c>
      <c r="CK196" s="217">
        <f t="shared" si="538"/>
        <v>8.6000000000000007E-2</v>
      </c>
      <c r="CL196" s="217">
        <f t="shared" si="539"/>
        <v>20.64</v>
      </c>
      <c r="CM196" s="217">
        <f t="shared" si="540"/>
        <v>1.548</v>
      </c>
      <c r="CN196" s="541">
        <f t="shared" si="541"/>
        <v>9</v>
      </c>
      <c r="CO196" s="443">
        <f t="shared" si="542"/>
        <v>16.474900000000002</v>
      </c>
      <c r="CP196" s="443">
        <f t="shared" si="543"/>
        <v>25.474900000000002</v>
      </c>
      <c r="CQ196" s="443"/>
      <c r="CR196" s="217">
        <f t="shared" si="544"/>
        <v>0.64485133082098534</v>
      </c>
      <c r="CS196" s="172">
        <f t="shared" si="545"/>
        <v>29.993085154464438</v>
      </c>
      <c r="CT196" s="172">
        <f t="shared" si="546"/>
        <v>2.4181924905786953</v>
      </c>
      <c r="CU196" s="217">
        <f t="shared" si="547"/>
        <v>1.2497118814360182</v>
      </c>
      <c r="CV196" s="217">
        <f t="shared" si="548"/>
        <v>1.6662825085813577</v>
      </c>
      <c r="CW196" s="217">
        <f t="shared" si="549"/>
        <v>24</v>
      </c>
      <c r="CX196" s="217">
        <f t="shared" si="550"/>
        <v>7.6462068557557963</v>
      </c>
      <c r="CY196" s="217">
        <f t="shared" si="551"/>
        <v>8.4957853952842193</v>
      </c>
      <c r="CZ196" s="217">
        <f t="shared" si="552"/>
        <v>4.6411248965127543</v>
      </c>
      <c r="DA196" s="197">
        <f t="shared" si="553"/>
        <v>261.91798593910079</v>
      </c>
      <c r="DB196" s="443">
        <f t="shared" si="554"/>
        <v>76.121399765089819</v>
      </c>
      <c r="DD196" s="217">
        <f t="shared" si="555"/>
        <v>2.2222222222222228</v>
      </c>
      <c r="DE196" s="173">
        <f t="shared" si="556"/>
        <v>1.3488532386977905</v>
      </c>
      <c r="DF196" s="173">
        <f t="shared" si="557"/>
        <v>0.24355939229558116</v>
      </c>
      <c r="DG196" s="173"/>
      <c r="DH196" s="173">
        <f t="shared" si="558"/>
        <v>1.3488532386977903</v>
      </c>
      <c r="DI196" s="545">
        <f t="shared" si="559"/>
        <v>860.30099999999982</v>
      </c>
      <c r="DJ196" s="528">
        <f t="shared" si="560"/>
        <v>0.26182634671774968</v>
      </c>
      <c r="DL196" s="173">
        <f t="shared" si="561"/>
        <v>3.5607382862065475</v>
      </c>
      <c r="DM196" s="173">
        <f t="shared" si="562"/>
        <v>7.6462068557557963</v>
      </c>
      <c r="DN196" s="173">
        <f t="shared" si="563"/>
        <v>5.217766395210055</v>
      </c>
      <c r="DP196" s="545">
        <f t="shared" si="564"/>
        <v>860</v>
      </c>
      <c r="DQ196" s="460">
        <f t="shared" si="565"/>
        <v>76.121399765089819</v>
      </c>
      <c r="DS196">
        <f t="shared" si="614"/>
        <v>860</v>
      </c>
      <c r="DT196">
        <f t="shared" si="615"/>
        <v>76.121399765089819</v>
      </c>
      <c r="DV196" s="5">
        <f t="shared" si="568"/>
        <v>13.136910291796973</v>
      </c>
      <c r="DW196" s="5">
        <f t="shared" si="569"/>
        <v>8.4957853952842193</v>
      </c>
      <c r="DX196" s="5">
        <f t="shared" si="570"/>
        <v>4.6411248965127534</v>
      </c>
      <c r="DY196" s="173">
        <f t="shared" si="571"/>
        <v>0.64671107639284164</v>
      </c>
      <c r="EA196" s="5">
        <f t="shared" si="572"/>
        <v>30.443230999768453</v>
      </c>
      <c r="EB196" s="5">
        <f t="shared" si="573"/>
        <v>4.0590974666357935</v>
      </c>
      <c r="EC196" s="5">
        <f t="shared" si="574"/>
        <v>8.8697053577799281</v>
      </c>
      <c r="ED196" s="5"/>
      <c r="EE196" s="173">
        <f t="shared" si="575"/>
        <v>3.5500998261347987</v>
      </c>
      <c r="EF196" s="173">
        <f t="shared" si="576"/>
        <v>1.750153981420667</v>
      </c>
      <c r="EG196" s="173">
        <f t="shared" si="577"/>
        <v>0.17525190543685323</v>
      </c>
      <c r="EH196" s="173"/>
      <c r="EI196" s="528">
        <f t="shared" si="578"/>
        <v>0.50412835102089315</v>
      </c>
      <c r="EJ196" s="528">
        <f t="shared" si="579"/>
        <v>0.40775377500000004</v>
      </c>
      <c r="EK196" s="528">
        <f t="shared" si="580"/>
        <v>1.5224279953017963E-2</v>
      </c>
      <c r="EL196" s="528">
        <f t="shared" si="581"/>
        <v>8.64509540136435E-3</v>
      </c>
      <c r="EM196">
        <f t="shared" si="582"/>
        <v>4.0499999999999998E-3</v>
      </c>
      <c r="EN196" s="460">
        <f t="shared" si="583"/>
        <v>19.274279953017963</v>
      </c>
      <c r="EP196" s="460">
        <f t="shared" si="603"/>
        <v>939.80150137527551</v>
      </c>
      <c r="EQ196" s="173">
        <f t="shared" si="584"/>
        <v>0.60199999999999998</v>
      </c>
      <c r="ER196" s="173">
        <f t="shared" si="585"/>
        <v>5.3320000000000006E-2</v>
      </c>
      <c r="ES196" s="528"/>
      <c r="EU196" s="460">
        <f t="shared" si="497"/>
        <v>655.32000000000005</v>
      </c>
      <c r="EV196" s="528">
        <f t="shared" si="586"/>
        <v>0.37809626326566981</v>
      </c>
      <c r="EW196" s="528">
        <f t="shared" si="587"/>
        <v>9.189116876047837E-2</v>
      </c>
      <c r="EX196" s="528">
        <f t="shared" si="588"/>
        <v>1.5356615179623875E-4</v>
      </c>
      <c r="EY196" s="528">
        <f t="shared" si="589"/>
        <v>0.40865049202349207</v>
      </c>
      <c r="EZ196" s="528"/>
      <c r="FA196" s="625">
        <f t="shared" si="590"/>
        <v>0.89007959988146812</v>
      </c>
      <c r="FB196" s="460">
        <f t="shared" si="613"/>
        <v>1768.8710900829046</v>
      </c>
      <c r="FC196" s="173">
        <f t="shared" si="591"/>
        <v>3.3639925914581799</v>
      </c>
      <c r="FD196" s="5">
        <f t="shared" si="592"/>
        <v>22.188000000000002</v>
      </c>
      <c r="FE196" s="173">
        <f t="shared" si="593"/>
        <v>0.86834715220672332</v>
      </c>
      <c r="FF196" s="5">
        <f t="shared" si="594"/>
        <v>86.834715220672336</v>
      </c>
      <c r="FG196">
        <f t="shared" si="595"/>
        <v>86</v>
      </c>
      <c r="FI196" s="562">
        <f t="shared" si="596"/>
        <v>-50</v>
      </c>
      <c r="FJ196">
        <f t="shared" si="597"/>
        <v>-50</v>
      </c>
    </row>
    <row r="197" spans="5:166">
      <c r="E197" s="170">
        <v>87</v>
      </c>
      <c r="F197" s="217">
        <f t="shared" si="598"/>
        <v>0.87</v>
      </c>
      <c r="G197" s="217">
        <f t="shared" si="499"/>
        <v>8.7000000000000008E-2</v>
      </c>
      <c r="H197" s="217">
        <f t="shared" si="500"/>
        <v>20.88</v>
      </c>
      <c r="I197" s="217">
        <f t="shared" si="501"/>
        <v>1.5660000000000001</v>
      </c>
      <c r="J197" s="541">
        <f t="shared" si="502"/>
        <v>8.6641682244219993</v>
      </c>
      <c r="K197" s="443">
        <f t="shared" si="503"/>
        <v>16.525129356115684</v>
      </c>
      <c r="L197" s="172">
        <f t="shared" si="504"/>
        <v>25.189297580537684</v>
      </c>
      <c r="M197" s="443"/>
      <c r="N197" s="217">
        <f t="shared" si="505"/>
        <v>0.6560377201182338</v>
      </c>
      <c r="O197" s="172">
        <f t="shared" si="506"/>
        <v>29.374786401398726</v>
      </c>
      <c r="P197" s="172">
        <f t="shared" si="507"/>
        <v>2.368342153612772</v>
      </c>
      <c r="Q197" s="217">
        <f t="shared" si="508"/>
        <v>1.2239494333916137</v>
      </c>
      <c r="R197" s="217">
        <f t="shared" si="509"/>
        <v>1.6319325778554847</v>
      </c>
      <c r="S197" s="217">
        <f t="shared" si="510"/>
        <v>24</v>
      </c>
      <c r="T197" s="217">
        <f t="shared" si="511"/>
        <v>7.8979297697617614</v>
      </c>
      <c r="U197" s="217">
        <f t="shared" si="512"/>
        <v>9.1156237565881817</v>
      </c>
      <c r="V197" s="217">
        <f t="shared" si="513"/>
        <v>4.7793452018206839</v>
      </c>
      <c r="W197" s="197">
        <f t="shared" si="514"/>
        <v>255.78095259017942</v>
      </c>
      <c r="X197" s="443">
        <f t="shared" si="599"/>
        <v>70.947300625547939</v>
      </c>
      <c r="Z197" s="217">
        <f t="shared" si="515"/>
        <v>2.2222222222222223</v>
      </c>
      <c r="AA197" s="173">
        <f t="shared" si="516"/>
        <v>1.344753299253185</v>
      </c>
      <c r="AB197" s="173">
        <f t="shared" si="517"/>
        <v>0.2371295510916156</v>
      </c>
      <c r="AC197" s="173"/>
      <c r="AD197" s="173">
        <f t="shared" si="518"/>
        <v>1.344753299253185</v>
      </c>
      <c r="AE197" s="545">
        <f t="shared" si="519"/>
        <v>872.95792033393684</v>
      </c>
      <c r="AF197" s="528">
        <f t="shared" si="520"/>
        <v>0.25491426742348688</v>
      </c>
      <c r="AH197" s="173">
        <f t="shared" si="521"/>
        <v>3.581380420213093</v>
      </c>
      <c r="AI197" s="173">
        <f t="shared" si="522"/>
        <v>7.8979297697617614</v>
      </c>
      <c r="AJ197" s="173">
        <f t="shared" si="523"/>
        <v>5.404227812992251</v>
      </c>
      <c r="AL197" s="545">
        <f t="shared" si="524"/>
        <v>870</v>
      </c>
      <c r="AM197" s="460">
        <f t="shared" si="525"/>
        <v>70.947300625547939</v>
      </c>
      <c r="AO197">
        <f t="shared" si="526"/>
        <v>870</v>
      </c>
      <c r="AP197">
        <f t="shared" si="527"/>
        <v>70.947300625547939</v>
      </c>
      <c r="AR197" s="5">
        <f t="shared" si="443"/>
        <v>14.094968958408863</v>
      </c>
      <c r="AS197" s="5">
        <f t="shared" si="604"/>
        <v>9.1156237565881817</v>
      </c>
      <c r="AT197" s="5">
        <f t="shared" si="605"/>
        <v>4.9793452018206814</v>
      </c>
      <c r="AU197" s="173">
        <f t="shared" si="606"/>
        <v>0.64672889904804842</v>
      </c>
      <c r="AW197" s="5">
        <f t="shared" si="477"/>
        <v>33.044136117632156</v>
      </c>
      <c r="AX197" s="5">
        <f t="shared" si="478"/>
        <v>4.4058848156842876</v>
      </c>
      <c r="AY197" s="5">
        <f t="shared" si="479"/>
        <v>9.9998758412218827</v>
      </c>
      <c r="AZ197" s="5"/>
      <c r="BA197" s="173">
        <f t="shared" si="480"/>
        <v>3.6670241837832833</v>
      </c>
      <c r="BB197" s="173">
        <f t="shared" si="481"/>
        <v>1.807725690404969</v>
      </c>
      <c r="BC197" s="173">
        <f t="shared" si="482"/>
        <v>0.18101685629595698</v>
      </c>
      <c r="BD197" s="173"/>
      <c r="BE197" s="528">
        <f t="shared" si="483"/>
        <v>0.53788265457805817</v>
      </c>
      <c r="BF197" s="528">
        <f t="shared" si="528"/>
        <v>0.31757603270531987</v>
      </c>
      <c r="BG197" s="528">
        <f t="shared" si="529"/>
        <v>2.4587973907535501E-2</v>
      </c>
      <c r="BH197" s="528">
        <f t="shared" si="484"/>
        <v>7.8778197407033488E-3</v>
      </c>
      <c r="BI197">
        <f t="shared" si="485"/>
        <v>3.8988757009898994E-3</v>
      </c>
      <c r="BJ197" s="460">
        <f t="shared" si="600"/>
        <v>28.486849608525397</v>
      </c>
      <c r="BK197">
        <f t="shared" si="530"/>
        <v>1.1563470375238081</v>
      </c>
      <c r="BL197" s="460">
        <f t="shared" si="601"/>
        <v>891.82335663260676</v>
      </c>
      <c r="BM197" s="173">
        <f t="shared" si="531"/>
        <v>0.75515999999999994</v>
      </c>
      <c r="BN197" s="173">
        <f t="shared" si="532"/>
        <v>7.5516E-2</v>
      </c>
      <c r="BO197" s="528"/>
      <c r="BQ197" s="460">
        <f t="shared" si="486"/>
        <v>830.67599999999993</v>
      </c>
      <c r="BR197" s="528">
        <f t="shared" si="487"/>
        <v>0.40341199093354363</v>
      </c>
      <c r="BS197" s="528">
        <f t="shared" si="488"/>
        <v>9.8036165152503643E-2</v>
      </c>
      <c r="BT197" s="528">
        <f t="shared" si="489"/>
        <v>1.6383551131635572E-4</v>
      </c>
      <c r="BU197" s="528">
        <f t="shared" si="490"/>
        <v>0.37161468184425861</v>
      </c>
      <c r="BV197" s="528"/>
      <c r="BW197" s="625">
        <f t="shared" si="533"/>
        <v>0.88510013512127172</v>
      </c>
      <c r="BX197" s="460">
        <f t="shared" si="607"/>
        <v>1758.326808562894</v>
      </c>
      <c r="BY197" s="173">
        <f t="shared" si="608"/>
        <v>3.4808261651955004</v>
      </c>
      <c r="BZ197" s="5">
        <f t="shared" si="609"/>
        <v>22.445999999999998</v>
      </c>
      <c r="CA197" s="173">
        <f t="shared" si="610"/>
        <v>0.86574422403201023</v>
      </c>
      <c r="CB197" s="5">
        <f t="shared" si="611"/>
        <v>86.574422403201027</v>
      </c>
      <c r="CC197">
        <f t="shared" si="612"/>
        <v>87</v>
      </c>
      <c r="CE197" s="562">
        <f t="shared" si="534"/>
        <v>-50</v>
      </c>
      <c r="CF197">
        <f t="shared" si="535"/>
        <v>-50</v>
      </c>
      <c r="CG197" s="173">
        <f t="shared" si="536"/>
        <v>0.34658417599272739</v>
      </c>
      <c r="CH197" s="173">
        <f t="shared" si="537"/>
        <v>9.446712174985028E-2</v>
      </c>
      <c r="CI197" s="170">
        <v>87</v>
      </c>
      <c r="CJ197" s="217">
        <f t="shared" si="602"/>
        <v>0.87</v>
      </c>
      <c r="CK197" s="217">
        <f t="shared" si="538"/>
        <v>8.7000000000000008E-2</v>
      </c>
      <c r="CL197" s="217">
        <f t="shared" si="539"/>
        <v>20.88</v>
      </c>
      <c r="CM197" s="217">
        <f t="shared" si="540"/>
        <v>1.5660000000000001</v>
      </c>
      <c r="CN197" s="541">
        <f t="shared" si="541"/>
        <v>9</v>
      </c>
      <c r="CO197" s="443">
        <f t="shared" si="542"/>
        <v>16.474900000000002</v>
      </c>
      <c r="CP197" s="443">
        <f t="shared" si="543"/>
        <v>25.474900000000002</v>
      </c>
      <c r="CQ197" s="443"/>
      <c r="CR197" s="217">
        <f t="shared" si="544"/>
        <v>0.64485133082098534</v>
      </c>
      <c r="CS197" s="172">
        <f t="shared" si="545"/>
        <v>29.993085154464438</v>
      </c>
      <c r="CT197" s="172">
        <f t="shared" si="546"/>
        <v>2.4181924905786953</v>
      </c>
      <c r="CU197" s="217">
        <f t="shared" si="547"/>
        <v>1.2497118814360182</v>
      </c>
      <c r="CV197" s="217">
        <f t="shared" si="548"/>
        <v>1.6662825085813577</v>
      </c>
      <c r="CW197" s="217">
        <f t="shared" si="549"/>
        <v>24</v>
      </c>
      <c r="CX197" s="217">
        <f t="shared" si="550"/>
        <v>7.735116237799466</v>
      </c>
      <c r="CY197" s="217">
        <f t="shared" si="551"/>
        <v>8.5945735975549624</v>
      </c>
      <c r="CZ197" s="217">
        <f t="shared" si="552"/>
        <v>4.695091465076854</v>
      </c>
      <c r="DA197" s="197">
        <f t="shared" si="553"/>
        <v>261.91798593910079</v>
      </c>
      <c r="DB197" s="443">
        <f t="shared" si="554"/>
        <v>75.246441147100299</v>
      </c>
      <c r="DD197" s="217">
        <f t="shared" si="555"/>
        <v>2.2222222222222228</v>
      </c>
      <c r="DE197" s="173">
        <f t="shared" si="556"/>
        <v>1.3488532386977905</v>
      </c>
      <c r="DF197" s="173">
        <f t="shared" si="557"/>
        <v>0.24355939229558116</v>
      </c>
      <c r="DG197" s="173"/>
      <c r="DH197" s="173">
        <f t="shared" si="558"/>
        <v>1.3488532386977903</v>
      </c>
      <c r="DI197" s="545">
        <f t="shared" si="559"/>
        <v>870.30449999999962</v>
      </c>
      <c r="DJ197" s="528">
        <f t="shared" si="560"/>
        <v>0.26182634671774968</v>
      </c>
      <c r="DL197" s="173">
        <f t="shared" si="561"/>
        <v>3.581380420213093</v>
      </c>
      <c r="DM197" s="173">
        <f t="shared" si="562"/>
        <v>7.735116237799466</v>
      </c>
      <c r="DN197" s="173">
        <f t="shared" si="563"/>
        <v>5.2836251967238841</v>
      </c>
      <c r="DP197" s="545">
        <f t="shared" si="564"/>
        <v>870</v>
      </c>
      <c r="DQ197" s="460">
        <f t="shared" si="565"/>
        <v>75.246441147100299</v>
      </c>
      <c r="DS197">
        <f t="shared" si="614"/>
        <v>870</v>
      </c>
      <c r="DT197">
        <f t="shared" si="615"/>
        <v>75.246441147100299</v>
      </c>
      <c r="DV197" s="5">
        <f t="shared" si="568"/>
        <v>13.289665062631817</v>
      </c>
      <c r="DW197" s="5">
        <f t="shared" si="569"/>
        <v>8.5945735975549624</v>
      </c>
      <c r="DX197" s="5">
        <f t="shared" si="570"/>
        <v>4.6950914650768549</v>
      </c>
      <c r="DY197" s="173">
        <f t="shared" si="571"/>
        <v>0.64671107639284153</v>
      </c>
      <c r="EA197" s="5">
        <f t="shared" si="572"/>
        <v>31.155329291136738</v>
      </c>
      <c r="EB197" s="5">
        <f t="shared" si="573"/>
        <v>4.1540439054848983</v>
      </c>
      <c r="EC197" s="5">
        <f t="shared" si="574"/>
        <v>9.0771768324819178</v>
      </c>
      <c r="ED197" s="5"/>
      <c r="EE197" s="173">
        <f t="shared" si="575"/>
        <v>3.5913800566712486</v>
      </c>
      <c r="EF197" s="173">
        <f t="shared" si="576"/>
        <v>1.7705046091116048</v>
      </c>
      <c r="EG197" s="173">
        <f t="shared" si="577"/>
        <v>0.17728971829077012</v>
      </c>
      <c r="EH197" s="173"/>
      <c r="EI197" s="528">
        <f t="shared" si="578"/>
        <v>0.51592042845823927</v>
      </c>
      <c r="EJ197" s="528">
        <f t="shared" si="579"/>
        <v>0.40775377500000004</v>
      </c>
      <c r="EK197" s="528">
        <f t="shared" si="580"/>
        <v>1.5049288229420059E-2</v>
      </c>
      <c r="EL197" s="528">
        <f t="shared" si="581"/>
        <v>8.5457264887049914E-3</v>
      </c>
      <c r="EM197">
        <f t="shared" si="582"/>
        <v>4.0499999999999998E-3</v>
      </c>
      <c r="EN197" s="460">
        <f t="shared" si="583"/>
        <v>19.099288229420058</v>
      </c>
      <c r="EP197" s="460">
        <f t="shared" si="603"/>
        <v>951.3192181763643</v>
      </c>
      <c r="EQ197" s="173">
        <f t="shared" si="584"/>
        <v>0.60899999999999999</v>
      </c>
      <c r="ER197" s="173">
        <f t="shared" si="585"/>
        <v>5.3940000000000002E-2</v>
      </c>
      <c r="ES197" s="528"/>
      <c r="EU197" s="460">
        <f t="shared" si="497"/>
        <v>662.93999999999994</v>
      </c>
      <c r="EV197" s="528">
        <f t="shared" si="586"/>
        <v>0.38694032134367945</v>
      </c>
      <c r="EW197" s="528">
        <f t="shared" si="587"/>
        <v>9.4040597126563097E-2</v>
      </c>
      <c r="EX197" s="528">
        <f t="shared" si="588"/>
        <v>1.5715822105810313E-4</v>
      </c>
      <c r="EY197" s="528">
        <f t="shared" si="589"/>
        <v>0.40865049202349163</v>
      </c>
      <c r="EZ197" s="528"/>
      <c r="FA197" s="625">
        <f t="shared" si="590"/>
        <v>0.90042936267078733</v>
      </c>
      <c r="FB197" s="460">
        <f t="shared" si="613"/>
        <v>1790.2179313855795</v>
      </c>
      <c r="FC197" s="173">
        <f t="shared" si="591"/>
        <v>3.4044771495619441</v>
      </c>
      <c r="FD197" s="5">
        <f t="shared" si="592"/>
        <v>22.445999999999998</v>
      </c>
      <c r="FE197" s="173">
        <f t="shared" si="593"/>
        <v>0.86830118725218053</v>
      </c>
      <c r="FF197" s="5">
        <f t="shared" si="594"/>
        <v>86.830118725218057</v>
      </c>
      <c r="FG197">
        <f t="shared" si="595"/>
        <v>87</v>
      </c>
      <c r="FI197" s="562">
        <f t="shared" si="596"/>
        <v>-50</v>
      </c>
      <c r="FJ197">
        <f t="shared" si="597"/>
        <v>-50</v>
      </c>
    </row>
    <row r="198" spans="5:166">
      <c r="E198" s="170">
        <v>88</v>
      </c>
      <c r="F198" s="217">
        <f t="shared" si="598"/>
        <v>0.88</v>
      </c>
      <c r="G198" s="217">
        <f t="shared" si="499"/>
        <v>8.8000000000000009E-2</v>
      </c>
      <c r="H198" s="217">
        <f t="shared" si="500"/>
        <v>21.12</v>
      </c>
      <c r="I198" s="217">
        <f t="shared" si="501"/>
        <v>1.5840000000000001</v>
      </c>
      <c r="J198" s="541">
        <f t="shared" si="502"/>
        <v>8.6603080890705293</v>
      </c>
      <c r="K198" s="443">
        <f t="shared" si="503"/>
        <v>16.525706705036555</v>
      </c>
      <c r="L198" s="172">
        <f t="shared" si="504"/>
        <v>25.186014794107084</v>
      </c>
      <c r="M198" s="443"/>
      <c r="N198" s="217">
        <f t="shared" si="505"/>
        <v>0.65614615254268682</v>
      </c>
      <c r="O198" s="172">
        <f t="shared" si="506"/>
        <v>29.366552105829125</v>
      </c>
      <c r="P198" s="172">
        <f t="shared" si="507"/>
        <v>2.3676782635324733</v>
      </c>
      <c r="Q198" s="217">
        <f t="shared" si="508"/>
        <v>1.2236063377428803</v>
      </c>
      <c r="R198" s="217">
        <f t="shared" si="509"/>
        <v>1.6314751169905071</v>
      </c>
      <c r="S198" s="217">
        <f t="shared" si="510"/>
        <v>24</v>
      </c>
      <c r="T198" s="217">
        <f t="shared" si="511"/>
        <v>7.9909505828600969</v>
      </c>
      <c r="U198" s="217">
        <f t="shared" si="512"/>
        <v>9.227097351126373</v>
      </c>
      <c r="V198" s="217">
        <f t="shared" si="513"/>
        <v>4.8354667824430697</v>
      </c>
      <c r="W198" s="197">
        <f t="shared" si="514"/>
        <v>255.70925246150705</v>
      </c>
      <c r="X198" s="443">
        <f t="shared" si="599"/>
        <v>70.113619867715443</v>
      </c>
      <c r="Z198" s="217">
        <f t="shared" si="515"/>
        <v>2.2222222222222223</v>
      </c>
      <c r="AA198" s="173">
        <f t="shared" si="516"/>
        <v>1.3447063183960259</v>
      </c>
      <c r="AB198" s="173">
        <f t="shared" si="517"/>
        <v>0.23705479716178587</v>
      </c>
      <c r="AC198" s="173"/>
      <c r="AD198" s="173">
        <f t="shared" si="518"/>
        <v>1.3447063183960259</v>
      </c>
      <c r="AE198" s="545">
        <f t="shared" si="519"/>
        <v>883.02276906672057</v>
      </c>
      <c r="AF198" s="528">
        <f t="shared" si="520"/>
        <v>0.25483390694891983</v>
      </c>
      <c r="AH198" s="173">
        <f t="shared" si="521"/>
        <v>3.6019042582659364</v>
      </c>
      <c r="AI198" s="173">
        <f t="shared" si="522"/>
        <v>7.9909505828600969</v>
      </c>
      <c r="AJ198" s="173">
        <f t="shared" si="523"/>
        <v>5.4731321189910176</v>
      </c>
      <c r="AL198" s="545">
        <f t="shared" si="524"/>
        <v>880</v>
      </c>
      <c r="AM198" s="460">
        <f t="shared" si="525"/>
        <v>70.113619867715443</v>
      </c>
      <c r="AO198">
        <f t="shared" si="526"/>
        <v>880</v>
      </c>
      <c r="AP198">
        <f t="shared" si="527"/>
        <v>70.113619867715443</v>
      </c>
      <c r="AR198" s="5">
        <f t="shared" ref="AR198:AR262" si="616">1/AM198*1000</f>
        <v>14.262564133569441</v>
      </c>
      <c r="AS198" s="5">
        <f t="shared" si="604"/>
        <v>9.227097351126373</v>
      </c>
      <c r="AT198" s="5">
        <f t="shared" si="605"/>
        <v>5.0354667824430681</v>
      </c>
      <c r="AU198" s="173">
        <f t="shared" si="606"/>
        <v>0.64694519615927859</v>
      </c>
      <c r="AW198" s="5">
        <f t="shared" si="477"/>
        <v>33.832690287463372</v>
      </c>
      <c r="AX198" s="5">
        <f t="shared" si="478"/>
        <v>4.5110253716617832</v>
      </c>
      <c r="AY198" s="5">
        <f t="shared" si="479"/>
        <v>10.233379050664885</v>
      </c>
      <c r="AZ198" s="5"/>
      <c r="BA198" s="173">
        <f t="shared" si="480"/>
        <v>3.7108343133160151</v>
      </c>
      <c r="BB198" s="173">
        <f t="shared" si="481"/>
        <v>1.8284568425205259</v>
      </c>
      <c r="BC198" s="173">
        <f t="shared" si="482"/>
        <v>0.18309277301455537</v>
      </c>
      <c r="BD198" s="173"/>
      <c r="BE198" s="528">
        <f t="shared" si="483"/>
        <v>0.55081165203534166</v>
      </c>
      <c r="BF198" s="528">
        <f t="shared" si="528"/>
        <v>0.31749932540648973</v>
      </c>
      <c r="BG198" s="528">
        <f t="shared" si="529"/>
        <v>2.4288221971775693E-2</v>
      </c>
      <c r="BH198" s="528">
        <f t="shared" si="484"/>
        <v>7.7832207218822098E-3</v>
      </c>
      <c r="BI198">
        <f t="shared" si="485"/>
        <v>3.8971386400817381E-3</v>
      </c>
      <c r="BJ198" s="460">
        <f t="shared" si="600"/>
        <v>28.185360611857433</v>
      </c>
      <c r="BK198">
        <f t="shared" si="530"/>
        <v>1.1791293626857542</v>
      </c>
      <c r="BL198" s="460">
        <f t="shared" si="601"/>
        <v>904.2795587755711</v>
      </c>
      <c r="BM198" s="173">
        <f t="shared" si="531"/>
        <v>0.76383999999999996</v>
      </c>
      <c r="BN198" s="173">
        <f t="shared" si="532"/>
        <v>7.6384000000000007E-2</v>
      </c>
      <c r="BO198" s="528"/>
      <c r="BQ198" s="460">
        <f t="shared" si="486"/>
        <v>840.22399999999993</v>
      </c>
      <c r="BR198" s="528">
        <f t="shared" si="487"/>
        <v>0.41310873902650619</v>
      </c>
      <c r="BS198" s="528">
        <f t="shared" si="488"/>
        <v>0.10029763274880393</v>
      </c>
      <c r="BT198" s="528">
        <f t="shared" si="489"/>
        <v>1.6761481765079748E-4</v>
      </c>
      <c r="BU198" s="528">
        <f t="shared" si="490"/>
        <v>0.37151135390369938</v>
      </c>
      <c r="BV198" s="528"/>
      <c r="BW198" s="625">
        <f t="shared" si="533"/>
        <v>0.89542512299618726</v>
      </c>
      <c r="BX198" s="460">
        <f t="shared" si="607"/>
        <v>1780.5104634928477</v>
      </c>
      <c r="BY198" s="173">
        <f t="shared" si="608"/>
        <v>3.5250140222684183</v>
      </c>
      <c r="BZ198" s="5">
        <f t="shared" si="609"/>
        <v>22.704000000000001</v>
      </c>
      <c r="CA198" s="173">
        <f t="shared" si="610"/>
        <v>0.8656063083699721</v>
      </c>
      <c r="CB198" s="5">
        <f t="shared" si="611"/>
        <v>86.560630836997206</v>
      </c>
      <c r="CC198">
        <f t="shared" si="612"/>
        <v>88</v>
      </c>
      <c r="CE198" s="562">
        <f t="shared" si="534"/>
        <v>-50</v>
      </c>
      <c r="CF198">
        <f t="shared" si="535"/>
        <v>-50</v>
      </c>
      <c r="CG198" s="173">
        <f t="shared" si="536"/>
        <v>0.34658417599272745</v>
      </c>
      <c r="CH198" s="173">
        <f t="shared" si="537"/>
        <v>9.446712174985028E-2</v>
      </c>
      <c r="CI198" s="170">
        <v>88</v>
      </c>
      <c r="CJ198" s="217">
        <f t="shared" si="602"/>
        <v>0.88</v>
      </c>
      <c r="CK198" s="217">
        <f t="shared" si="538"/>
        <v>8.8000000000000009E-2</v>
      </c>
      <c r="CL198" s="217">
        <f t="shared" si="539"/>
        <v>21.12</v>
      </c>
      <c r="CM198" s="217">
        <f t="shared" si="540"/>
        <v>1.5840000000000001</v>
      </c>
      <c r="CN198" s="541">
        <f t="shared" si="541"/>
        <v>9</v>
      </c>
      <c r="CO198" s="443">
        <f t="shared" si="542"/>
        <v>16.474900000000002</v>
      </c>
      <c r="CP198" s="443">
        <f t="shared" si="543"/>
        <v>25.474900000000002</v>
      </c>
      <c r="CQ198" s="443"/>
      <c r="CR198" s="217">
        <f t="shared" si="544"/>
        <v>0.64485133082098534</v>
      </c>
      <c r="CS198" s="172">
        <f t="shared" si="545"/>
        <v>29.993085154464438</v>
      </c>
      <c r="CT198" s="172">
        <f t="shared" si="546"/>
        <v>2.4181924905786953</v>
      </c>
      <c r="CU198" s="217">
        <f t="shared" si="547"/>
        <v>1.2497118814360182</v>
      </c>
      <c r="CV198" s="217">
        <f t="shared" si="548"/>
        <v>1.6662825085813577</v>
      </c>
      <c r="CW198" s="217">
        <f t="shared" si="549"/>
        <v>24</v>
      </c>
      <c r="CX198" s="217">
        <f t="shared" si="550"/>
        <v>7.8240256198431393</v>
      </c>
      <c r="CY198" s="217">
        <f t="shared" si="551"/>
        <v>8.6933617998257109</v>
      </c>
      <c r="CZ198" s="217">
        <f t="shared" si="552"/>
        <v>4.7490580336409565</v>
      </c>
      <c r="DA198" s="197">
        <f t="shared" si="553"/>
        <v>261.91798593910079</v>
      </c>
      <c r="DB198" s="443">
        <f t="shared" si="554"/>
        <v>74.391367952246881</v>
      </c>
      <c r="DD198" s="217">
        <f t="shared" si="555"/>
        <v>2.2222222222222228</v>
      </c>
      <c r="DE198" s="173">
        <f t="shared" si="556"/>
        <v>1.3488532386977905</v>
      </c>
      <c r="DF198" s="173">
        <f t="shared" si="557"/>
        <v>0.24355939229558116</v>
      </c>
      <c r="DG198" s="173"/>
      <c r="DH198" s="173">
        <f t="shared" si="558"/>
        <v>1.3488532386977903</v>
      </c>
      <c r="DI198" s="545">
        <f t="shared" si="559"/>
        <v>880.30799999999965</v>
      </c>
      <c r="DJ198" s="528">
        <f t="shared" si="560"/>
        <v>0.26182634671774968</v>
      </c>
      <c r="DL198" s="173">
        <f t="shared" si="561"/>
        <v>3.6019042582659364</v>
      </c>
      <c r="DM198" s="173">
        <f t="shared" si="562"/>
        <v>7.8240256198431393</v>
      </c>
      <c r="DN198" s="173">
        <f t="shared" si="563"/>
        <v>5.3494839982377158</v>
      </c>
      <c r="DP198" s="545">
        <f t="shared" si="564"/>
        <v>880</v>
      </c>
      <c r="DQ198" s="460">
        <f t="shared" si="565"/>
        <v>74.391367952246881</v>
      </c>
      <c r="DS198">
        <f t="shared" si="614"/>
        <v>880</v>
      </c>
      <c r="DT198">
        <f t="shared" si="615"/>
        <v>74.391367952246881</v>
      </c>
      <c r="DV198" s="5">
        <f t="shared" si="568"/>
        <v>13.442419833466666</v>
      </c>
      <c r="DW198" s="5">
        <f t="shared" si="569"/>
        <v>8.6933617998257109</v>
      </c>
      <c r="DX198" s="5">
        <f t="shared" si="570"/>
        <v>4.7490580336409547</v>
      </c>
      <c r="DY198" s="173">
        <f t="shared" si="571"/>
        <v>0.64671107639284164</v>
      </c>
      <c r="EA198" s="5">
        <f t="shared" si="572"/>
        <v>31.875659932694276</v>
      </c>
      <c r="EB198" s="5">
        <f t="shared" si="573"/>
        <v>4.2500879910259037</v>
      </c>
      <c r="EC198" s="5">
        <f t="shared" si="574"/>
        <v>9.2870468213423099</v>
      </c>
      <c r="ED198" s="5"/>
      <c r="EE198" s="173">
        <f t="shared" si="575"/>
        <v>3.6326602872077003</v>
      </c>
      <c r="EF198" s="173">
        <f t="shared" si="576"/>
        <v>1.7908552368025428</v>
      </c>
      <c r="EG198" s="173">
        <f t="shared" si="577"/>
        <v>0.179327531144687</v>
      </c>
      <c r="EH198" s="173"/>
      <c r="EI198" s="528">
        <f t="shared" si="578"/>
        <v>0.52784883049023723</v>
      </c>
      <c r="EJ198" s="528">
        <f t="shared" si="579"/>
        <v>0.4077537750000001</v>
      </c>
      <c r="EK198" s="528">
        <f t="shared" si="580"/>
        <v>1.4878273590449374E-2</v>
      </c>
      <c r="EL198" s="528">
        <f t="shared" si="581"/>
        <v>8.4486159604242519E-3</v>
      </c>
      <c r="EM198">
        <f t="shared" si="582"/>
        <v>4.0499999999999998E-3</v>
      </c>
      <c r="EN198" s="460">
        <f t="shared" si="583"/>
        <v>18.928273590449372</v>
      </c>
      <c r="EP198" s="460">
        <f t="shared" si="603"/>
        <v>962.97949504111091</v>
      </c>
      <c r="EQ198" s="173">
        <f t="shared" si="584"/>
        <v>0.61599999999999999</v>
      </c>
      <c r="ER198" s="173">
        <f t="shared" si="585"/>
        <v>5.4560000000000004E-2</v>
      </c>
      <c r="ES198" s="528"/>
      <c r="EU198" s="460">
        <f t="shared" si="497"/>
        <v>670.56000000000006</v>
      </c>
      <c r="EV198" s="528">
        <f t="shared" si="586"/>
        <v>0.39588662286767795</v>
      </c>
      <c r="EW198" s="528">
        <f t="shared" si="587"/>
        <v>9.6214874375492754E-2</v>
      </c>
      <c r="EX198" s="528">
        <f t="shared" si="588"/>
        <v>1.6079181713224343E-4</v>
      </c>
      <c r="EY198" s="528">
        <f t="shared" si="589"/>
        <v>0.40865049202349235</v>
      </c>
      <c r="EZ198" s="528"/>
      <c r="FA198" s="625">
        <f t="shared" si="590"/>
        <v>0.91077912546010686</v>
      </c>
      <c r="FB198" s="460">
        <f t="shared" si="613"/>
        <v>1811.6919065439024</v>
      </c>
      <c r="FC198" s="173">
        <f t="shared" si="591"/>
        <v>3.445231401585013</v>
      </c>
      <c r="FD198" s="5">
        <f t="shared" si="592"/>
        <v>22.704000000000001</v>
      </c>
      <c r="FE198" s="173">
        <f t="shared" si="593"/>
        <v>0.86824731676908173</v>
      </c>
      <c r="FF198" s="5">
        <f t="shared" si="594"/>
        <v>86.824731676908172</v>
      </c>
      <c r="FG198">
        <f t="shared" si="595"/>
        <v>88</v>
      </c>
      <c r="FI198" s="562">
        <f t="shared" si="596"/>
        <v>-50</v>
      </c>
      <c r="FJ198">
        <f t="shared" si="597"/>
        <v>-50</v>
      </c>
    </row>
    <row r="199" spans="5:166">
      <c r="E199" s="170">
        <v>89</v>
      </c>
      <c r="F199" s="217">
        <f t="shared" si="598"/>
        <v>0.89</v>
      </c>
      <c r="G199" s="217">
        <f t="shared" si="499"/>
        <v>8.900000000000001E-2</v>
      </c>
      <c r="H199" s="217">
        <f t="shared" si="500"/>
        <v>21.36</v>
      </c>
      <c r="I199" s="217">
        <f t="shared" si="501"/>
        <v>1.6020000000000001</v>
      </c>
      <c r="J199" s="541">
        <f t="shared" si="502"/>
        <v>8.6564479537190575</v>
      </c>
      <c r="K199" s="443">
        <f t="shared" si="503"/>
        <v>16.526284053957426</v>
      </c>
      <c r="L199" s="172">
        <f t="shared" si="504"/>
        <v>25.182732007676485</v>
      </c>
      <c r="M199" s="443"/>
      <c r="N199" s="217">
        <f t="shared" si="505"/>
        <v>0.65625461323734446</v>
      </c>
      <c r="O199" s="172">
        <f t="shared" si="506"/>
        <v>29.358314748718868</v>
      </c>
      <c r="P199" s="172">
        <f t="shared" si="507"/>
        <v>2.3670141266154587</v>
      </c>
      <c r="Q199" s="217">
        <f t="shared" si="508"/>
        <v>1.2232631145299528</v>
      </c>
      <c r="R199" s="217">
        <f t="shared" si="509"/>
        <v>1.6310174860399371</v>
      </c>
      <c r="S199" s="217">
        <f t="shared" si="510"/>
        <v>24</v>
      </c>
      <c r="T199" s="217">
        <f t="shared" si="511"/>
        <v>8.0840244191363198</v>
      </c>
      <c r="U199" s="217">
        <f t="shared" si="512"/>
        <v>9.3387316164284151</v>
      </c>
      <c r="V199" s="217">
        <f t="shared" si="513"/>
        <v>4.8916165259791109</v>
      </c>
      <c r="W199" s="197">
        <f t="shared" si="514"/>
        <v>255.63752567446954</v>
      </c>
      <c r="X199" s="443">
        <f t="shared" si="599"/>
        <v>69.298397386631748</v>
      </c>
      <c r="Z199" s="217">
        <f t="shared" si="515"/>
        <v>2.2222222222222223</v>
      </c>
      <c r="AA199" s="173">
        <f t="shared" si="516"/>
        <v>1.3446593408214376</v>
      </c>
      <c r="AB199" s="173">
        <f t="shared" si="517"/>
        <v>0.23698002374231655</v>
      </c>
      <c r="AC199" s="173"/>
      <c r="AD199" s="173">
        <f t="shared" si="518"/>
        <v>1.3446593408214376</v>
      </c>
      <c r="AE199" s="545">
        <f t="shared" si="519"/>
        <v>893.08831892787884</v>
      </c>
      <c r="AF199" s="528">
        <f t="shared" si="520"/>
        <v>0.25475352552299035</v>
      </c>
      <c r="AH199" s="173">
        <f t="shared" si="521"/>
        <v>3.6223118111425547</v>
      </c>
      <c r="AI199" s="173">
        <f t="shared" si="522"/>
        <v>8.0840244191363198</v>
      </c>
      <c r="AJ199" s="173">
        <f t="shared" si="523"/>
        <v>5.5420757014178506</v>
      </c>
      <c r="AL199" s="545">
        <f t="shared" si="524"/>
        <v>890</v>
      </c>
      <c r="AM199" s="460">
        <f t="shared" si="525"/>
        <v>69.298397386631748</v>
      </c>
      <c r="AO199">
        <f t="shared" si="526"/>
        <v>890</v>
      </c>
      <c r="AP199">
        <f t="shared" si="527"/>
        <v>69.298397386631748</v>
      </c>
      <c r="AR199" s="5">
        <f t="shared" si="616"/>
        <v>14.430348142407526</v>
      </c>
      <c r="AS199" s="5">
        <f t="shared" si="604"/>
        <v>9.3387316164284151</v>
      </c>
      <c r="AT199" s="5">
        <f t="shared" si="605"/>
        <v>5.0916165259791111</v>
      </c>
      <c r="AU199" s="173">
        <f t="shared" si="606"/>
        <v>0.64715913464235819</v>
      </c>
      <c r="AW199" s="5">
        <f t="shared" si="477"/>
        <v>34.631129744255375</v>
      </c>
      <c r="AX199" s="5">
        <f t="shared" si="478"/>
        <v>4.6174839659007167</v>
      </c>
      <c r="AY199" s="5">
        <f t="shared" si="479"/>
        <v>10.469741705486786</v>
      </c>
      <c r="AZ199" s="5"/>
      <c r="BA199" s="173">
        <f t="shared" si="480"/>
        <v>3.7546765663325132</v>
      </c>
      <c r="BB199" s="173">
        <f t="shared" si="481"/>
        <v>1.849193092616316</v>
      </c>
      <c r="BC199" s="173">
        <f t="shared" si="482"/>
        <v>0.18516920022009323</v>
      </c>
      <c r="BD199" s="173"/>
      <c r="BE199" s="528">
        <f t="shared" si="483"/>
        <v>0.56390384471066046</v>
      </c>
      <c r="BF199" s="528">
        <f t="shared" si="528"/>
        <v>0.31742137582792967</v>
      </c>
      <c r="BG199" s="528">
        <f t="shared" si="529"/>
        <v>2.3995118810140742E-2</v>
      </c>
      <c r="BH199" s="528">
        <f t="shared" si="484"/>
        <v>7.6907187127166427E-3</v>
      </c>
      <c r="BI199">
        <f t="shared" si="485"/>
        <v>3.8954015791735756E-3</v>
      </c>
      <c r="BJ199" s="460">
        <f t="shared" si="600"/>
        <v>27.890520389314318</v>
      </c>
      <c r="BK199">
        <f t="shared" si="530"/>
        <v>1.2023674394815276</v>
      </c>
      <c r="BL199" s="460">
        <f t="shared" si="601"/>
        <v>916.90645964062116</v>
      </c>
      <c r="BM199" s="173">
        <f t="shared" si="531"/>
        <v>0.77251999999999998</v>
      </c>
      <c r="BN199" s="173">
        <f t="shared" si="532"/>
        <v>7.7252000000000001E-2</v>
      </c>
      <c r="BO199" s="528"/>
      <c r="BQ199" s="460">
        <f t="shared" si="486"/>
        <v>849.77199999999993</v>
      </c>
      <c r="BR199" s="528">
        <f t="shared" si="487"/>
        <v>0.42292788353299537</v>
      </c>
      <c r="BS199" s="528">
        <f t="shared" si="488"/>
        <v>0.10258545281339684</v>
      </c>
      <c r="BT199" s="528">
        <f t="shared" si="489"/>
        <v>1.7143816355074485E-4</v>
      </c>
      <c r="BU199" s="528">
        <f t="shared" si="490"/>
        <v>0.37140438238271467</v>
      </c>
      <c r="BV199" s="528"/>
      <c r="BW199" s="625">
        <f t="shared" si="533"/>
        <v>0.90575016159366528</v>
      </c>
      <c r="BX199" s="460">
        <f t="shared" si="607"/>
        <v>1802.8393184863228</v>
      </c>
      <c r="BY199" s="173">
        <f t="shared" si="608"/>
        <v>3.569517778126944</v>
      </c>
      <c r="BZ199" s="5">
        <f t="shared" si="609"/>
        <v>22.962</v>
      </c>
      <c r="CA199" s="173">
        <f t="shared" si="610"/>
        <v>0.8654612296221621</v>
      </c>
      <c r="CB199" s="5">
        <f t="shared" si="611"/>
        <v>86.546122962216216</v>
      </c>
      <c r="CC199">
        <f t="shared" si="612"/>
        <v>89</v>
      </c>
      <c r="CE199" s="562">
        <f t="shared" si="534"/>
        <v>-50</v>
      </c>
      <c r="CF199">
        <f t="shared" si="535"/>
        <v>-50</v>
      </c>
      <c r="CG199" s="173">
        <f t="shared" si="536"/>
        <v>0.34658417599272739</v>
      </c>
      <c r="CH199" s="173">
        <f t="shared" si="537"/>
        <v>9.446712174985028E-2</v>
      </c>
      <c r="CI199" s="170">
        <v>89</v>
      </c>
      <c r="CJ199" s="217">
        <f t="shared" si="602"/>
        <v>0.89</v>
      </c>
      <c r="CK199" s="217">
        <f t="shared" si="538"/>
        <v>8.900000000000001E-2</v>
      </c>
      <c r="CL199" s="217">
        <f t="shared" si="539"/>
        <v>21.36</v>
      </c>
      <c r="CM199" s="217">
        <f t="shared" si="540"/>
        <v>1.6020000000000001</v>
      </c>
      <c r="CN199" s="541">
        <f t="shared" si="541"/>
        <v>9</v>
      </c>
      <c r="CO199" s="443">
        <f t="shared" si="542"/>
        <v>16.474900000000002</v>
      </c>
      <c r="CP199" s="443">
        <f t="shared" si="543"/>
        <v>25.474900000000002</v>
      </c>
      <c r="CQ199" s="443"/>
      <c r="CR199" s="217">
        <f t="shared" si="544"/>
        <v>0.64485133082098534</v>
      </c>
      <c r="CS199" s="172">
        <f t="shared" si="545"/>
        <v>29.993085154464438</v>
      </c>
      <c r="CT199" s="172">
        <f t="shared" si="546"/>
        <v>2.4181924905786953</v>
      </c>
      <c r="CU199" s="217">
        <f t="shared" si="547"/>
        <v>1.2497118814360182</v>
      </c>
      <c r="CV199" s="217">
        <f t="shared" si="548"/>
        <v>1.6662825085813577</v>
      </c>
      <c r="CW199" s="217">
        <f t="shared" si="549"/>
        <v>24</v>
      </c>
      <c r="CX199" s="217">
        <f t="shared" si="550"/>
        <v>7.9129350018868108</v>
      </c>
      <c r="CY199" s="217">
        <f t="shared" si="551"/>
        <v>8.7921500020964576</v>
      </c>
      <c r="CZ199" s="217">
        <f t="shared" si="552"/>
        <v>4.803024602205058</v>
      </c>
      <c r="DA199" s="197">
        <f t="shared" si="553"/>
        <v>261.91798593910079</v>
      </c>
      <c r="DB199" s="443">
        <f t="shared" si="554"/>
        <v>73.555509885367698</v>
      </c>
      <c r="DD199" s="217">
        <f t="shared" si="555"/>
        <v>2.2222222222222228</v>
      </c>
      <c r="DE199" s="173">
        <f t="shared" si="556"/>
        <v>1.3488532386977905</v>
      </c>
      <c r="DF199" s="173">
        <f t="shared" si="557"/>
        <v>0.24355939229558116</v>
      </c>
      <c r="DG199" s="173"/>
      <c r="DH199" s="173">
        <f t="shared" si="558"/>
        <v>1.3488532386977903</v>
      </c>
      <c r="DI199" s="545">
        <f t="shared" si="559"/>
        <v>890.31149999999968</v>
      </c>
      <c r="DJ199" s="528">
        <f t="shared" si="560"/>
        <v>0.26182634671774968</v>
      </c>
      <c r="DL199" s="173">
        <f t="shared" si="561"/>
        <v>3.6223118111425547</v>
      </c>
      <c r="DM199" s="173">
        <f t="shared" si="562"/>
        <v>7.9129350018868108</v>
      </c>
      <c r="DN199" s="173">
        <f t="shared" si="563"/>
        <v>5.4153427997515466</v>
      </c>
      <c r="DP199" s="545">
        <f t="shared" si="564"/>
        <v>890</v>
      </c>
      <c r="DQ199" s="460">
        <f t="shared" si="565"/>
        <v>73.555509885367698</v>
      </c>
      <c r="DS199">
        <f t="shared" si="614"/>
        <v>890</v>
      </c>
      <c r="DT199">
        <f t="shared" si="615"/>
        <v>73.555509885367698</v>
      </c>
      <c r="DV199" s="5">
        <f t="shared" si="568"/>
        <v>13.595174604301516</v>
      </c>
      <c r="DW199" s="5">
        <f t="shared" si="569"/>
        <v>8.7921500020964576</v>
      </c>
      <c r="DX199" s="5">
        <f t="shared" si="570"/>
        <v>4.803024602205058</v>
      </c>
      <c r="DY199" s="173">
        <f t="shared" si="571"/>
        <v>0.64671107639284164</v>
      </c>
      <c r="EA199" s="5">
        <f t="shared" si="572"/>
        <v>32.604222924441032</v>
      </c>
      <c r="EB199" s="5">
        <f t="shared" si="573"/>
        <v>4.3472297232588044</v>
      </c>
      <c r="EC199" s="5">
        <f t="shared" si="574"/>
        <v>9.4993153243611115</v>
      </c>
      <c r="ED199" s="5"/>
      <c r="EE199" s="173">
        <f t="shared" si="575"/>
        <v>3.6739405177441515</v>
      </c>
      <c r="EF199" s="173">
        <f t="shared" si="576"/>
        <v>1.8112058644934805</v>
      </c>
      <c r="EG199" s="173">
        <f t="shared" si="577"/>
        <v>0.18136534399860391</v>
      </c>
      <c r="EH199" s="173"/>
      <c r="EI199" s="528">
        <f t="shared" si="578"/>
        <v>0.5399135571168866</v>
      </c>
      <c r="EJ199" s="528">
        <f t="shared" si="579"/>
        <v>0.40775377500000004</v>
      </c>
      <c r="EK199" s="528">
        <f t="shared" si="580"/>
        <v>1.4711101977073539E-2</v>
      </c>
      <c r="EL199" s="528">
        <f t="shared" si="581"/>
        <v>8.3536876912060024E-3</v>
      </c>
      <c r="EM199">
        <f t="shared" si="582"/>
        <v>4.0499999999999998E-3</v>
      </c>
      <c r="EN199" s="460">
        <f t="shared" si="583"/>
        <v>18.76110197707354</v>
      </c>
      <c r="EP199" s="460">
        <f t="shared" si="603"/>
        <v>974.78212178516628</v>
      </c>
      <c r="EQ199" s="173">
        <f t="shared" si="584"/>
        <v>0.623</v>
      </c>
      <c r="ER199" s="173">
        <f t="shared" si="585"/>
        <v>5.5180000000000007E-2</v>
      </c>
      <c r="ES199" s="528"/>
      <c r="EU199" s="460">
        <f t="shared" si="497"/>
        <v>678.18</v>
      </c>
      <c r="EV199" s="528">
        <f t="shared" si="586"/>
        <v>0.40493516783766492</v>
      </c>
      <c r="EW199" s="528">
        <f t="shared" si="587"/>
        <v>9.8414000507267285E-2</v>
      </c>
      <c r="EX199" s="528">
        <f t="shared" si="588"/>
        <v>1.6446694001865964E-4</v>
      </c>
      <c r="EY199" s="528">
        <f t="shared" si="589"/>
        <v>0.40865049202349163</v>
      </c>
      <c r="EZ199" s="528"/>
      <c r="FA199" s="625">
        <f t="shared" si="590"/>
        <v>0.92112888824942607</v>
      </c>
      <c r="FB199" s="460">
        <f t="shared" si="613"/>
        <v>1833.2930155578686</v>
      </c>
      <c r="FC199" s="173">
        <f t="shared" si="591"/>
        <v>3.4862551373430342</v>
      </c>
      <c r="FD199" s="5">
        <f t="shared" si="592"/>
        <v>22.962</v>
      </c>
      <c r="FE199" s="173">
        <f t="shared" si="593"/>
        <v>0.86818581720271248</v>
      </c>
      <c r="FF199" s="5">
        <f t="shared" si="594"/>
        <v>86.818581720271254</v>
      </c>
      <c r="FG199">
        <f t="shared" si="595"/>
        <v>89</v>
      </c>
      <c r="FI199" s="562">
        <f t="shared" si="596"/>
        <v>-50</v>
      </c>
      <c r="FJ199">
        <f t="shared" si="597"/>
        <v>-50</v>
      </c>
    </row>
    <row r="200" spans="5:166">
      <c r="E200" s="170">
        <v>90</v>
      </c>
      <c r="F200" s="217">
        <f t="shared" si="598"/>
        <v>0.9</v>
      </c>
      <c r="G200" s="217">
        <f t="shared" si="499"/>
        <v>9.0000000000000011E-2</v>
      </c>
      <c r="H200" s="217">
        <f t="shared" si="500"/>
        <v>21.6</v>
      </c>
      <c r="I200" s="217">
        <f t="shared" si="501"/>
        <v>1.62</v>
      </c>
      <c r="J200" s="541">
        <f t="shared" si="502"/>
        <v>8.6525878183675857</v>
      </c>
      <c r="K200" s="443">
        <f t="shared" si="503"/>
        <v>16.526861402878296</v>
      </c>
      <c r="L200" s="172">
        <f t="shared" si="504"/>
        <v>25.179449221245882</v>
      </c>
      <c r="M200" s="443"/>
      <c r="N200" s="217">
        <f t="shared" si="505"/>
        <v>0.65636310221326377</v>
      </c>
      <c r="O200" s="172">
        <f t="shared" si="506"/>
        <v>29.350074328870512</v>
      </c>
      <c r="P200" s="172">
        <f t="shared" si="507"/>
        <v>2.3663497427651849</v>
      </c>
      <c r="Q200" s="217">
        <f t="shared" si="508"/>
        <v>1.2229197637029381</v>
      </c>
      <c r="R200" s="217">
        <f t="shared" si="509"/>
        <v>1.6305596849372508</v>
      </c>
      <c r="S200" s="217">
        <f t="shared" si="510"/>
        <v>24</v>
      </c>
      <c r="T200" s="217">
        <f t="shared" si="511"/>
        <v>8.1771513526942403</v>
      </c>
      <c r="U200" s="217">
        <f t="shared" si="512"/>
        <v>9.4505268531755373</v>
      </c>
      <c r="V200" s="217">
        <f t="shared" si="513"/>
        <v>4.9477944743156854</v>
      </c>
      <c r="W200" s="197">
        <f t="shared" si="514"/>
        <v>255.56577221863998</v>
      </c>
      <c r="X200" s="443">
        <f t="shared" si="599"/>
        <v>68.501026766469593</v>
      </c>
      <c r="Z200" s="217">
        <f t="shared" si="515"/>
        <v>2.2222222222222223</v>
      </c>
      <c r="AA200" s="173">
        <f t="shared" si="516"/>
        <v>1.3446123665290759</v>
      </c>
      <c r="AB200" s="173">
        <f t="shared" si="517"/>
        <v>0.2369052308255846</v>
      </c>
      <c r="AC200" s="173"/>
      <c r="AD200" s="173">
        <f t="shared" si="518"/>
        <v>1.3446123665290759</v>
      </c>
      <c r="AE200" s="545">
        <f t="shared" si="519"/>
        <v>903.15456991741178</v>
      </c>
      <c r="AF200" s="528">
        <f t="shared" si="520"/>
        <v>0.25467312313750345</v>
      </c>
      <c r="AH200" s="173">
        <f t="shared" si="521"/>
        <v>3.6426050332929907</v>
      </c>
      <c r="AI200" s="173">
        <f t="shared" si="522"/>
        <v>8.1771513526942403</v>
      </c>
      <c r="AJ200" s="173">
        <f t="shared" si="523"/>
        <v>5.6110586151644579</v>
      </c>
      <c r="AL200" s="545">
        <f t="shared" si="524"/>
        <v>900</v>
      </c>
      <c r="AM200" s="460">
        <f t="shared" si="525"/>
        <v>68.501026766469593</v>
      </c>
      <c r="AO200">
        <f t="shared" si="526"/>
        <v>900</v>
      </c>
      <c r="AP200">
        <f t="shared" si="527"/>
        <v>68.501026766469593</v>
      </c>
      <c r="AR200" s="5">
        <f t="shared" si="616"/>
        <v>14.59832132749122</v>
      </c>
      <c r="AS200" s="5">
        <f t="shared" si="604"/>
        <v>9.4505268531755373</v>
      </c>
      <c r="AT200" s="5">
        <f t="shared" si="605"/>
        <v>5.1477944743156829</v>
      </c>
      <c r="AU200" s="173">
        <f t="shared" si="606"/>
        <v>0.64737079292661714</v>
      </c>
      <c r="AW200" s="5">
        <f t="shared" si="477"/>
        <v>35.439475699408263</v>
      </c>
      <c r="AX200" s="5">
        <f t="shared" si="478"/>
        <v>4.7252634265877687</v>
      </c>
      <c r="AY200" s="5">
        <f t="shared" si="479"/>
        <v>10.708969672747426</v>
      </c>
      <c r="AZ200" s="5"/>
      <c r="BA200" s="173">
        <f t="shared" si="480"/>
        <v>3.7985509831020638</v>
      </c>
      <c r="BB200" s="173">
        <f t="shared" si="481"/>
        <v>1.8699344516708425</v>
      </c>
      <c r="BC200" s="173">
        <f t="shared" si="482"/>
        <v>0.18724613901190459</v>
      </c>
      <c r="BD200" s="173"/>
      <c r="BE200" s="528">
        <f t="shared" si="483"/>
        <v>0.57715958284902624</v>
      </c>
      <c r="BF200" s="528">
        <f t="shared" si="528"/>
        <v>0.31734222445268595</v>
      </c>
      <c r="BG200" s="528">
        <f t="shared" si="529"/>
        <v>2.370844598980907E-2</v>
      </c>
      <c r="BH200" s="528">
        <f t="shared" si="484"/>
        <v>7.6002448193127157E-3</v>
      </c>
      <c r="BI200">
        <f t="shared" si="485"/>
        <v>3.8936645182654135E-3</v>
      </c>
      <c r="BJ200" s="460">
        <f t="shared" si="600"/>
        <v>27.602110508074485</v>
      </c>
      <c r="BK200">
        <f t="shared" si="530"/>
        <v>1.2260699305911089</v>
      </c>
      <c r="BL200" s="460">
        <f t="shared" si="601"/>
        <v>929.70416262909941</v>
      </c>
      <c r="BM200" s="173">
        <f t="shared" si="531"/>
        <v>0.78120000000000001</v>
      </c>
      <c r="BN200" s="173">
        <f t="shared" si="532"/>
        <v>7.8119999999999995E-2</v>
      </c>
      <c r="BO200" s="528"/>
      <c r="BQ200" s="460">
        <f t="shared" si="486"/>
        <v>859.31999999999994</v>
      </c>
      <c r="BR200" s="528">
        <f t="shared" si="487"/>
        <v>0.43286968713676971</v>
      </c>
      <c r="BS200" s="528">
        <f t="shared" si="488"/>
        <v>0.10489964560636603</v>
      </c>
      <c r="BT200" s="528">
        <f t="shared" si="489"/>
        <v>1.753055828743275E-4</v>
      </c>
      <c r="BU200" s="528">
        <f t="shared" si="490"/>
        <v>0.37129388616043896</v>
      </c>
      <c r="BV200" s="528"/>
      <c r="BW200" s="625">
        <f t="shared" si="533"/>
        <v>0.91607524926786088</v>
      </c>
      <c r="BX200" s="460">
        <f t="shared" si="607"/>
        <v>1825.31377375431</v>
      </c>
      <c r="BY200" s="173">
        <f t="shared" si="608"/>
        <v>3.6143379363834089</v>
      </c>
      <c r="BZ200" s="5">
        <f t="shared" si="609"/>
        <v>23.220000000000002</v>
      </c>
      <c r="CA200" s="173">
        <f t="shared" si="610"/>
        <v>0.86530921892122037</v>
      </c>
      <c r="CB200" s="5">
        <f t="shared" si="611"/>
        <v>86.530921892122038</v>
      </c>
      <c r="CC200">
        <f t="shared" si="612"/>
        <v>90</v>
      </c>
      <c r="CE200" s="562">
        <f t="shared" si="534"/>
        <v>-50</v>
      </c>
      <c r="CF200">
        <f t="shared" si="535"/>
        <v>-50</v>
      </c>
      <c r="CG200" s="173">
        <f t="shared" si="536"/>
        <v>0.34658417599272728</v>
      </c>
      <c r="CH200" s="173">
        <f t="shared" si="537"/>
        <v>9.4467121749850266E-2</v>
      </c>
      <c r="CI200" s="170">
        <v>90</v>
      </c>
      <c r="CJ200" s="217">
        <f t="shared" si="602"/>
        <v>0.9</v>
      </c>
      <c r="CK200" s="217">
        <f t="shared" si="538"/>
        <v>9.0000000000000011E-2</v>
      </c>
      <c r="CL200" s="217">
        <f t="shared" si="539"/>
        <v>21.6</v>
      </c>
      <c r="CM200" s="217">
        <f t="shared" si="540"/>
        <v>1.62</v>
      </c>
      <c r="CN200" s="541">
        <f t="shared" si="541"/>
        <v>9</v>
      </c>
      <c r="CO200" s="443">
        <f t="shared" si="542"/>
        <v>16.474900000000002</v>
      </c>
      <c r="CP200" s="443">
        <f t="shared" si="543"/>
        <v>25.474900000000002</v>
      </c>
      <c r="CQ200" s="443"/>
      <c r="CR200" s="217">
        <f t="shared" si="544"/>
        <v>0.64485133082098534</v>
      </c>
      <c r="CS200" s="172">
        <f t="shared" si="545"/>
        <v>29.993085154464438</v>
      </c>
      <c r="CT200" s="172">
        <f t="shared" si="546"/>
        <v>2.4181924905786953</v>
      </c>
      <c r="CU200" s="217">
        <f t="shared" si="547"/>
        <v>1.2497118814360182</v>
      </c>
      <c r="CV200" s="217">
        <f t="shared" si="548"/>
        <v>1.6662825085813577</v>
      </c>
      <c r="CW200" s="217">
        <f t="shared" si="549"/>
        <v>24</v>
      </c>
      <c r="CX200" s="217">
        <f t="shared" si="550"/>
        <v>8.001844383930484</v>
      </c>
      <c r="CY200" s="217">
        <f t="shared" si="551"/>
        <v>8.8909382043672061</v>
      </c>
      <c r="CZ200" s="217">
        <f t="shared" si="552"/>
        <v>4.8569911707691604</v>
      </c>
      <c r="DA200" s="197">
        <f t="shared" si="553"/>
        <v>261.91798593910079</v>
      </c>
      <c r="DB200" s="443">
        <f t="shared" si="554"/>
        <v>72.738226442196932</v>
      </c>
      <c r="DD200" s="217">
        <f t="shared" si="555"/>
        <v>2.2222222222222228</v>
      </c>
      <c r="DE200" s="173">
        <f t="shared" si="556"/>
        <v>1.3488532386977905</v>
      </c>
      <c r="DF200" s="173">
        <f t="shared" si="557"/>
        <v>0.24355939229558116</v>
      </c>
      <c r="DG200" s="173"/>
      <c r="DH200" s="173">
        <f t="shared" si="558"/>
        <v>1.3488532386977903</v>
      </c>
      <c r="DI200" s="545">
        <f t="shared" si="559"/>
        <v>900.31499999999971</v>
      </c>
      <c r="DJ200" s="528">
        <f t="shared" si="560"/>
        <v>0.26182634671774968</v>
      </c>
      <c r="DL200" s="173">
        <f t="shared" si="561"/>
        <v>3.6426050332929907</v>
      </c>
      <c r="DM200" s="173">
        <f t="shared" si="562"/>
        <v>8.001844383930484</v>
      </c>
      <c r="DN200" s="173">
        <f t="shared" si="563"/>
        <v>5.4812016012653793</v>
      </c>
      <c r="DP200" s="545">
        <f t="shared" si="564"/>
        <v>900</v>
      </c>
      <c r="DQ200" s="460">
        <f t="shared" si="565"/>
        <v>72.738226442196932</v>
      </c>
      <c r="DS200">
        <f t="shared" si="614"/>
        <v>900</v>
      </c>
      <c r="DT200">
        <f t="shared" si="615"/>
        <v>72.738226442196932</v>
      </c>
      <c r="DV200" s="5">
        <f t="shared" si="568"/>
        <v>13.747929375136367</v>
      </c>
      <c r="DW200" s="5">
        <f t="shared" si="569"/>
        <v>8.8909382043672061</v>
      </c>
      <c r="DX200" s="5">
        <f t="shared" si="570"/>
        <v>4.8569911707691613</v>
      </c>
      <c r="DY200" s="173">
        <f t="shared" si="571"/>
        <v>0.64671107639284153</v>
      </c>
      <c r="EA200" s="5">
        <f t="shared" si="572"/>
        <v>33.341018266377027</v>
      </c>
      <c r="EB200" s="5">
        <f t="shared" si="573"/>
        <v>4.445469102183603</v>
      </c>
      <c r="EC200" s="5">
        <f t="shared" si="574"/>
        <v>9.7139823415383226</v>
      </c>
      <c r="ED200" s="5"/>
      <c r="EE200" s="173">
        <f t="shared" si="575"/>
        <v>3.7152207482806032</v>
      </c>
      <c r="EF200" s="173">
        <f t="shared" si="576"/>
        <v>1.8315564921844192</v>
      </c>
      <c r="EG200" s="173">
        <f t="shared" si="577"/>
        <v>0.18340315685252087</v>
      </c>
      <c r="EH200" s="173"/>
      <c r="EI200" s="528">
        <f t="shared" si="578"/>
        <v>0.55211460833818737</v>
      </c>
      <c r="EJ200" s="528">
        <f t="shared" si="579"/>
        <v>0.40775377500000004</v>
      </c>
      <c r="EK200" s="528">
        <f t="shared" si="580"/>
        <v>1.4547645288439385E-2</v>
      </c>
      <c r="EL200" s="528">
        <f t="shared" si="581"/>
        <v>8.260868939081489E-3</v>
      </c>
      <c r="EM200">
        <f t="shared" si="582"/>
        <v>4.0499999999999998E-3</v>
      </c>
      <c r="EN200" s="460">
        <f t="shared" si="583"/>
        <v>18.597645288439388</v>
      </c>
      <c r="EP200" s="460">
        <f t="shared" si="603"/>
        <v>986.72689756570833</v>
      </c>
      <c r="EQ200" s="173">
        <f t="shared" si="584"/>
        <v>0.63</v>
      </c>
      <c r="ER200" s="173">
        <f t="shared" si="585"/>
        <v>5.5800000000000009E-2</v>
      </c>
      <c r="ES200" s="528"/>
      <c r="EU200" s="460">
        <f t="shared" si="497"/>
        <v>685.8</v>
      </c>
      <c r="EV200" s="528">
        <f t="shared" si="586"/>
        <v>0.41408595625364053</v>
      </c>
      <c r="EW200" s="528">
        <f t="shared" si="587"/>
        <v>0.10063797552188682</v>
      </c>
      <c r="EX200" s="528">
        <f t="shared" si="588"/>
        <v>1.6818358971735188E-4</v>
      </c>
      <c r="EY200" s="528">
        <f t="shared" si="589"/>
        <v>0.40865049202349202</v>
      </c>
      <c r="EZ200" s="528"/>
      <c r="FA200" s="625">
        <f t="shared" si="590"/>
        <v>0.93147865103874561</v>
      </c>
      <c r="FB200" s="460">
        <f t="shared" si="613"/>
        <v>1855.0212584274823</v>
      </c>
      <c r="FC200" s="173">
        <f t="shared" si="591"/>
        <v>3.5275481559931903</v>
      </c>
      <c r="FD200" s="5">
        <f t="shared" si="592"/>
        <v>23.220000000000002</v>
      </c>
      <c r="FE200" s="173">
        <f t="shared" si="593"/>
        <v>0.86811695279805334</v>
      </c>
      <c r="FF200" s="5">
        <f t="shared" si="594"/>
        <v>86.811695279805335</v>
      </c>
      <c r="FG200">
        <f t="shared" si="595"/>
        <v>90</v>
      </c>
      <c r="FI200" s="562">
        <f t="shared" si="596"/>
        <v>-50</v>
      </c>
      <c r="FJ200">
        <f t="shared" si="597"/>
        <v>-50</v>
      </c>
    </row>
    <row r="201" spans="5:166">
      <c r="E201" s="170">
        <v>91</v>
      </c>
      <c r="F201" s="217">
        <f t="shared" si="598"/>
        <v>0.91</v>
      </c>
      <c r="G201" s="217">
        <f t="shared" si="499"/>
        <v>9.1000000000000011E-2</v>
      </c>
      <c r="H201" s="217">
        <f t="shared" si="500"/>
        <v>21.84</v>
      </c>
      <c r="I201" s="217">
        <f t="shared" si="501"/>
        <v>1.6380000000000001</v>
      </c>
      <c r="J201" s="541">
        <f t="shared" si="502"/>
        <v>8.6487276830161157</v>
      </c>
      <c r="K201" s="443">
        <f t="shared" si="503"/>
        <v>16.527438751799167</v>
      </c>
      <c r="L201" s="172">
        <f t="shared" si="504"/>
        <v>25.176166434815283</v>
      </c>
      <c r="M201" s="443"/>
      <c r="N201" s="217">
        <f t="shared" si="505"/>
        <v>0.65647161948150778</v>
      </c>
      <c r="O201" s="172">
        <f t="shared" si="506"/>
        <v>29.341830845085983</v>
      </c>
      <c r="P201" s="172">
        <f t="shared" si="507"/>
        <v>2.3656851118850573</v>
      </c>
      <c r="Q201" s="217">
        <f t="shared" si="508"/>
        <v>1.222576285211916</v>
      </c>
      <c r="R201" s="217">
        <f t="shared" si="509"/>
        <v>1.630101713615888</v>
      </c>
      <c r="S201" s="217">
        <f t="shared" si="510"/>
        <v>24</v>
      </c>
      <c r="T201" s="217">
        <f t="shared" si="511"/>
        <v>8.2703314577695224</v>
      </c>
      <c r="U201" s="217">
        <f t="shared" si="512"/>
        <v>9.5624833627382362</v>
      </c>
      <c r="V201" s="217">
        <f t="shared" si="513"/>
        <v>5.0040006694135952</v>
      </c>
      <c r="W201" s="197">
        <f t="shared" si="514"/>
        <v>255.49399208358614</v>
      </c>
      <c r="X201" s="443">
        <f t="shared" si="599"/>
        <v>67.72092786763919</v>
      </c>
      <c r="Z201" s="217">
        <f t="shared" si="515"/>
        <v>2.2222222222222228</v>
      </c>
      <c r="AA201" s="173">
        <f t="shared" si="516"/>
        <v>1.3445653955185968</v>
      </c>
      <c r="AB201" s="173">
        <f t="shared" si="517"/>
        <v>0.23683041840396318</v>
      </c>
      <c r="AC201" s="173"/>
      <c r="AD201" s="173">
        <f t="shared" si="518"/>
        <v>1.3445653955185966</v>
      </c>
      <c r="AE201" s="545">
        <f t="shared" si="519"/>
        <v>913.22152203531948</v>
      </c>
      <c r="AF201" s="528">
        <f t="shared" si="520"/>
        <v>0.2545926997842603</v>
      </c>
      <c r="AH201" s="173">
        <f t="shared" si="521"/>
        <v>3.6627858250244443</v>
      </c>
      <c r="AI201" s="173">
        <f t="shared" si="522"/>
        <v>8.2703314577695224</v>
      </c>
      <c r="AJ201" s="173">
        <f t="shared" si="523"/>
        <v>5.6800809152202225</v>
      </c>
      <c r="AL201" s="545">
        <f t="shared" si="524"/>
        <v>910</v>
      </c>
      <c r="AM201" s="460">
        <f t="shared" si="525"/>
        <v>67.72092786763919</v>
      </c>
      <c r="AO201">
        <f t="shared" si="526"/>
        <v>910</v>
      </c>
      <c r="AP201">
        <f t="shared" si="527"/>
        <v>67.72092786763919</v>
      </c>
      <c r="AR201" s="5">
        <f t="shared" si="616"/>
        <v>14.76648403215183</v>
      </c>
      <c r="AS201" s="5">
        <f t="shared" si="604"/>
        <v>9.5624833627382362</v>
      </c>
      <c r="AT201" s="5">
        <f t="shared" si="605"/>
        <v>5.2040006694135936</v>
      </c>
      <c r="AU201" s="173">
        <f t="shared" si="606"/>
        <v>0.64758024604349596</v>
      </c>
      <c r="AW201" s="5">
        <f t="shared" si="477"/>
        <v>36.257749417049148</v>
      </c>
      <c r="AX201" s="5">
        <f t="shared" si="478"/>
        <v>4.8343665889398872</v>
      </c>
      <c r="AY201" s="5">
        <f t="shared" si="479"/>
        <v>10.951068834011167</v>
      </c>
      <c r="AZ201" s="5"/>
      <c r="BA201" s="173">
        <f t="shared" si="480"/>
        <v>3.8424576040779472</v>
      </c>
      <c r="BB201" s="173">
        <f t="shared" si="481"/>
        <v>1.890680930493996</v>
      </c>
      <c r="BC201" s="173">
        <f t="shared" si="482"/>
        <v>0.1893235904724393</v>
      </c>
      <c r="BD201" s="173"/>
      <c r="BE201" s="528">
        <f t="shared" si="483"/>
        <v>0.5905792175654575</v>
      </c>
      <c r="BF201" s="528">
        <f t="shared" si="528"/>
        <v>0.31726191000965859</v>
      </c>
      <c r="BG201" s="528">
        <f t="shared" si="529"/>
        <v>2.3427994542735545E-2</v>
      </c>
      <c r="BH201" s="528">
        <f t="shared" si="484"/>
        <v>7.5117331329753222E-3</v>
      </c>
      <c r="BI201">
        <f t="shared" si="485"/>
        <v>3.8919274573572518E-3</v>
      </c>
      <c r="BJ201" s="460">
        <f t="shared" si="600"/>
        <v>27.319922000092799</v>
      </c>
      <c r="BK201">
        <f t="shared" si="530"/>
        <v>1.250245762919175</v>
      </c>
      <c r="BL201" s="460">
        <f t="shared" si="601"/>
        <v>942.67278270818429</v>
      </c>
      <c r="BM201" s="173">
        <f t="shared" si="531"/>
        <v>0.78988000000000003</v>
      </c>
      <c r="BN201" s="173">
        <f t="shared" si="532"/>
        <v>7.8988000000000003E-2</v>
      </c>
      <c r="BO201" s="528"/>
      <c r="BQ201" s="460">
        <f t="shared" si="486"/>
        <v>868.86799999999994</v>
      </c>
      <c r="BR201" s="528">
        <f t="shared" si="487"/>
        <v>0.44293441317409316</v>
      </c>
      <c r="BS201" s="528">
        <f t="shared" si="488"/>
        <v>0.10724023142800927</v>
      </c>
      <c r="BT201" s="528">
        <f t="shared" si="489"/>
        <v>1.7921710954687953E-4</v>
      </c>
      <c r="BU201" s="528">
        <f t="shared" si="490"/>
        <v>0.37117997902482447</v>
      </c>
      <c r="BV201" s="528"/>
      <c r="BW201" s="625">
        <f t="shared" si="533"/>
        <v>0.92640038444418882</v>
      </c>
      <c r="BX201" s="460">
        <f t="shared" si="607"/>
        <v>1847.9342251806625</v>
      </c>
      <c r="BY201" s="173">
        <f t="shared" si="608"/>
        <v>3.6594750078888474</v>
      </c>
      <c r="BZ201" s="5">
        <f t="shared" si="609"/>
        <v>23.478000000000002</v>
      </c>
      <c r="CA201" s="173">
        <f t="shared" si="610"/>
        <v>0.86515049735375016</v>
      </c>
      <c r="CB201" s="5">
        <f t="shared" si="611"/>
        <v>86.515049735375015</v>
      </c>
      <c r="CC201">
        <f t="shared" si="612"/>
        <v>91</v>
      </c>
      <c r="CE201" s="562">
        <f t="shared" si="534"/>
        <v>-50</v>
      </c>
      <c r="CF201">
        <f t="shared" si="535"/>
        <v>-50</v>
      </c>
      <c r="CG201" s="173">
        <f t="shared" si="536"/>
        <v>0.34658417599272728</v>
      </c>
      <c r="CH201" s="173">
        <f t="shared" si="537"/>
        <v>9.446712174985028E-2</v>
      </c>
      <c r="CI201" s="170">
        <v>91</v>
      </c>
      <c r="CJ201" s="217">
        <f t="shared" si="602"/>
        <v>0.91</v>
      </c>
      <c r="CK201" s="217">
        <f t="shared" si="538"/>
        <v>9.1000000000000011E-2</v>
      </c>
      <c r="CL201" s="217">
        <f t="shared" si="539"/>
        <v>21.84</v>
      </c>
      <c r="CM201" s="217">
        <f t="shared" si="540"/>
        <v>1.6380000000000001</v>
      </c>
      <c r="CN201" s="541">
        <f t="shared" si="541"/>
        <v>9</v>
      </c>
      <c r="CO201" s="443">
        <f t="shared" si="542"/>
        <v>16.474900000000002</v>
      </c>
      <c r="CP201" s="443">
        <f t="shared" si="543"/>
        <v>25.474900000000002</v>
      </c>
      <c r="CQ201" s="443"/>
      <c r="CR201" s="217">
        <f t="shared" si="544"/>
        <v>0.64485133082098534</v>
      </c>
      <c r="CS201" s="172">
        <f t="shared" si="545"/>
        <v>29.993085154464438</v>
      </c>
      <c r="CT201" s="172">
        <f t="shared" si="546"/>
        <v>2.4181924905786953</v>
      </c>
      <c r="CU201" s="217">
        <f t="shared" si="547"/>
        <v>1.2497118814360182</v>
      </c>
      <c r="CV201" s="217">
        <f t="shared" si="548"/>
        <v>1.6662825085813577</v>
      </c>
      <c r="CW201" s="217">
        <f t="shared" si="549"/>
        <v>24</v>
      </c>
      <c r="CX201" s="217">
        <f t="shared" si="550"/>
        <v>8.0907537659741564</v>
      </c>
      <c r="CY201" s="217">
        <f t="shared" si="551"/>
        <v>8.9897264066379527</v>
      </c>
      <c r="CZ201" s="217">
        <f t="shared" si="552"/>
        <v>4.9109577393332629</v>
      </c>
      <c r="DA201" s="197">
        <f t="shared" si="553"/>
        <v>261.91798593910079</v>
      </c>
      <c r="DB201" s="443">
        <f t="shared" si="554"/>
        <v>71.938905272502467</v>
      </c>
      <c r="DD201" s="217">
        <f t="shared" si="555"/>
        <v>2.2222222222222228</v>
      </c>
      <c r="DE201" s="173">
        <f t="shared" si="556"/>
        <v>1.3488532386977905</v>
      </c>
      <c r="DF201" s="173">
        <f t="shared" si="557"/>
        <v>0.24355939229558116</v>
      </c>
      <c r="DG201" s="173"/>
      <c r="DH201" s="173">
        <f t="shared" si="558"/>
        <v>1.3488532386977903</v>
      </c>
      <c r="DI201" s="545">
        <f t="shared" si="559"/>
        <v>910.31849999999974</v>
      </c>
      <c r="DJ201" s="528">
        <f t="shared" si="560"/>
        <v>0.26182634671774968</v>
      </c>
      <c r="DL201" s="173">
        <f t="shared" si="561"/>
        <v>3.6627858250244443</v>
      </c>
      <c r="DM201" s="173">
        <f t="shared" si="562"/>
        <v>8.0907537659741564</v>
      </c>
      <c r="DN201" s="173">
        <f t="shared" si="563"/>
        <v>5.5470604027792101</v>
      </c>
      <c r="DP201" s="545">
        <f t="shared" si="564"/>
        <v>910</v>
      </c>
      <c r="DQ201" s="460">
        <f t="shared" si="565"/>
        <v>71.938905272502467</v>
      </c>
      <c r="DS201">
        <f t="shared" si="614"/>
        <v>910</v>
      </c>
      <c r="DT201">
        <f t="shared" si="615"/>
        <v>71.938905272502467</v>
      </c>
      <c r="DV201" s="5">
        <f t="shared" si="568"/>
        <v>13.900684145971214</v>
      </c>
      <c r="DW201" s="5">
        <f t="shared" si="569"/>
        <v>8.9897264066379527</v>
      </c>
      <c r="DX201" s="5">
        <f t="shared" si="570"/>
        <v>4.9109577393332611</v>
      </c>
      <c r="DY201" s="173">
        <f t="shared" si="571"/>
        <v>0.64671107639284164</v>
      </c>
      <c r="EA201" s="5">
        <f t="shared" si="572"/>
        <v>34.08604595850224</v>
      </c>
      <c r="EB201" s="5">
        <f t="shared" si="573"/>
        <v>4.5448061278002987</v>
      </c>
      <c r="EC201" s="5">
        <f t="shared" si="574"/>
        <v>9.9310478728739273</v>
      </c>
      <c r="ED201" s="5"/>
      <c r="EE201" s="173">
        <f t="shared" si="575"/>
        <v>3.7565009788170545</v>
      </c>
      <c r="EF201" s="173">
        <f t="shared" si="576"/>
        <v>1.8519071198753572</v>
      </c>
      <c r="EG201" s="173">
        <f t="shared" si="577"/>
        <v>0.18544096970643772</v>
      </c>
      <c r="EH201" s="173"/>
      <c r="EI201" s="528">
        <f t="shared" si="578"/>
        <v>0.56445198415413955</v>
      </c>
      <c r="EJ201" s="528">
        <f t="shared" si="579"/>
        <v>0.4077537750000001</v>
      </c>
      <c r="EK201" s="528">
        <f t="shared" si="580"/>
        <v>1.4387781054500493E-2</v>
      </c>
      <c r="EL201" s="528">
        <f t="shared" si="581"/>
        <v>8.1700901595311431E-3</v>
      </c>
      <c r="EM201">
        <f t="shared" si="582"/>
        <v>4.0499999999999998E-3</v>
      </c>
      <c r="EN201" s="460">
        <f t="shared" si="583"/>
        <v>18.437781054500494</v>
      </c>
      <c r="EP201" s="460">
        <f t="shared" si="603"/>
        <v>998.81363036817129</v>
      </c>
      <c r="EQ201" s="173">
        <f t="shared" si="584"/>
        <v>0.63700000000000001</v>
      </c>
      <c r="ER201" s="173">
        <f t="shared" si="585"/>
        <v>5.6420000000000005E-2</v>
      </c>
      <c r="ES201" s="528"/>
      <c r="EU201" s="460">
        <f t="shared" si="497"/>
        <v>693.42000000000007</v>
      </c>
      <c r="EV201" s="528">
        <f t="shared" si="586"/>
        <v>0.42333898811560466</v>
      </c>
      <c r="EW201" s="528">
        <f t="shared" si="587"/>
        <v>0.10288679941935121</v>
      </c>
      <c r="EX201" s="528">
        <f t="shared" si="588"/>
        <v>1.7194176622831975E-4</v>
      </c>
      <c r="EY201" s="528">
        <f t="shared" si="589"/>
        <v>0.40865049202349168</v>
      </c>
      <c r="EZ201" s="528"/>
      <c r="FA201" s="625">
        <f t="shared" si="590"/>
        <v>0.94182841382806515</v>
      </c>
      <c r="FB201" s="460">
        <f t="shared" si="613"/>
        <v>1876.8766351527411</v>
      </c>
      <c r="FC201" s="173">
        <f t="shared" si="591"/>
        <v>3.5691102655209122</v>
      </c>
      <c r="FD201" s="5">
        <f t="shared" si="592"/>
        <v>23.478000000000002</v>
      </c>
      <c r="FE201" s="173">
        <f t="shared" si="593"/>
        <v>0.86804097626389543</v>
      </c>
      <c r="FF201" s="5">
        <f t="shared" si="594"/>
        <v>86.804097626389549</v>
      </c>
      <c r="FG201">
        <f t="shared" si="595"/>
        <v>91</v>
      </c>
      <c r="FI201" s="562">
        <f t="shared" si="596"/>
        <v>-50</v>
      </c>
      <c r="FJ201">
        <f t="shared" si="597"/>
        <v>-50</v>
      </c>
    </row>
    <row r="202" spans="5:166">
      <c r="E202" s="170">
        <v>92</v>
      </c>
      <c r="F202" s="217">
        <f t="shared" si="598"/>
        <v>0.92</v>
      </c>
      <c r="G202" s="217">
        <f t="shared" si="499"/>
        <v>9.2000000000000012E-2</v>
      </c>
      <c r="H202" s="217">
        <f t="shared" si="500"/>
        <v>22.080000000000002</v>
      </c>
      <c r="I202" s="217">
        <f t="shared" si="501"/>
        <v>1.6560000000000001</v>
      </c>
      <c r="J202" s="541">
        <f t="shared" si="502"/>
        <v>8.6448675476646439</v>
      </c>
      <c r="K202" s="443">
        <f t="shared" si="503"/>
        <v>16.528016100720034</v>
      </c>
      <c r="L202" s="172">
        <f t="shared" si="504"/>
        <v>25.172883648384676</v>
      </c>
      <c r="M202" s="443"/>
      <c r="N202" s="217">
        <f t="shared" si="505"/>
        <v>0.65658016505314531</v>
      </c>
      <c r="O202" s="172">
        <f t="shared" si="506"/>
        <v>29.33358429616657</v>
      </c>
      <c r="P202" s="172">
        <f t="shared" si="507"/>
        <v>2.3650202338784294</v>
      </c>
      <c r="Q202" s="217">
        <f t="shared" si="508"/>
        <v>1.2222326790069404</v>
      </c>
      <c r="R202" s="217">
        <f t="shared" si="509"/>
        <v>1.6296435720092539</v>
      </c>
      <c r="S202" s="217">
        <f t="shared" si="510"/>
        <v>24</v>
      </c>
      <c r="T202" s="217">
        <f t="shared" si="511"/>
        <v>8.3635648087299881</v>
      </c>
      <c r="U202" s="217">
        <f t="shared" si="512"/>
        <v>9.6746014471781603</v>
      </c>
      <c r="V202" s="217">
        <f t="shared" si="513"/>
        <v>5.0602351533077421</v>
      </c>
      <c r="W202" s="197">
        <f t="shared" si="514"/>
        <v>255.42218525887037</v>
      </c>
      <c r="X202" s="443">
        <f t="shared" si="599"/>
        <v>66.957545418840752</v>
      </c>
      <c r="Z202" s="217">
        <f t="shared" si="515"/>
        <v>2.2222222222222223</v>
      </c>
      <c r="AA202" s="173">
        <f t="shared" si="516"/>
        <v>1.3445184277896562</v>
      </c>
      <c r="AB202" s="173">
        <f t="shared" si="517"/>
        <v>0.23675558646982131</v>
      </c>
      <c r="AC202" s="173"/>
      <c r="AD202" s="173">
        <f t="shared" si="518"/>
        <v>1.3445184277896562</v>
      </c>
      <c r="AE202" s="545">
        <f t="shared" si="519"/>
        <v>923.28917528160173</v>
      </c>
      <c r="AF202" s="528">
        <f t="shared" si="520"/>
        <v>0.2545122554550579</v>
      </c>
      <c r="AH202" s="173">
        <f t="shared" si="521"/>
        <v>3.6828560345781329</v>
      </c>
      <c r="AI202" s="173">
        <f t="shared" si="522"/>
        <v>8.3635648087299881</v>
      </c>
      <c r="AJ202" s="173">
        <f t="shared" si="523"/>
        <v>5.7491426566724186</v>
      </c>
      <c r="AL202" s="545">
        <f t="shared" si="524"/>
        <v>920</v>
      </c>
      <c r="AM202" s="460">
        <f t="shared" si="525"/>
        <v>66.957545418840752</v>
      </c>
      <c r="AO202">
        <f t="shared" si="526"/>
        <v>920</v>
      </c>
      <c r="AP202">
        <f t="shared" si="527"/>
        <v>66.957545418840752</v>
      </c>
      <c r="AR202" s="5">
        <f t="shared" si="616"/>
        <v>14.934836600485902</v>
      </c>
      <c r="AS202" s="5">
        <f t="shared" si="604"/>
        <v>9.6746014471781603</v>
      </c>
      <c r="AT202" s="5">
        <f t="shared" si="605"/>
        <v>5.2602351533077414</v>
      </c>
      <c r="AU202" s="173">
        <f t="shared" si="606"/>
        <v>0.64778756580861419</v>
      </c>
      <c r="AW202" s="5">
        <f t="shared" si="477"/>
        <v>37.085972214182952</v>
      </c>
      <c r="AX202" s="5">
        <f t="shared" si="478"/>
        <v>4.9447962952243936</v>
      </c>
      <c r="AY202" s="5">
        <f t="shared" si="479"/>
        <v>11.196045085388173</v>
      </c>
      <c r="AZ202" s="5"/>
      <c r="BA202" s="173">
        <f t="shared" si="480"/>
        <v>3.8863964698918219</v>
      </c>
      <c r="BB202" s="173">
        <f t="shared" si="481"/>
        <v>1.9114325397365868</v>
      </c>
      <c r="BC202" s="173">
        <f t="shared" si="482"/>
        <v>0.19140155566821765</v>
      </c>
      <c r="BD202" s="173"/>
      <c r="BE202" s="528">
        <f t="shared" si="483"/>
        <v>0.60416310084750457</v>
      </c>
      <c r="BF202" s="528">
        <f t="shared" si="528"/>
        <v>0.31718046956759377</v>
      </c>
      <c r="BG202" s="528">
        <f t="shared" si="529"/>
        <v>2.3153564458504715E-2</v>
      </c>
      <c r="BH202" s="528">
        <f t="shared" si="484"/>
        <v>7.425120570253632E-3</v>
      </c>
      <c r="BI202">
        <f t="shared" si="485"/>
        <v>3.8901903964490897E-3</v>
      </c>
      <c r="BJ202" s="460">
        <f t="shared" si="600"/>
        <v>27.043754854953804</v>
      </c>
      <c r="BK202">
        <f t="shared" si="530"/>
        <v>1.2749041369211749</v>
      </c>
      <c r="BL202" s="460">
        <f t="shared" si="601"/>
        <v>955.81244584030583</v>
      </c>
      <c r="BM202" s="173">
        <f t="shared" si="531"/>
        <v>0.79856000000000005</v>
      </c>
      <c r="BN202" s="173">
        <f t="shared" si="532"/>
        <v>7.9855999999999996E-2</v>
      </c>
      <c r="BO202" s="528"/>
      <c r="BQ202" s="460">
        <f t="shared" si="486"/>
        <v>878.41600000000005</v>
      </c>
      <c r="BR202" s="528">
        <f t="shared" si="487"/>
        <v>0.45312232563562843</v>
      </c>
      <c r="BS202" s="528">
        <f t="shared" si="488"/>
        <v>0.10960723061891575</v>
      </c>
      <c r="BT202" s="528">
        <f t="shared" si="489"/>
        <v>1.8317277756106911E-4</v>
      </c>
      <c r="BU202" s="528">
        <f t="shared" si="490"/>
        <v>0.3710627699424327</v>
      </c>
      <c r="BV202" s="528"/>
      <c r="BW202" s="625">
        <f t="shared" si="533"/>
        <v>0.93672556561550735</v>
      </c>
      <c r="BX202" s="460">
        <f t="shared" si="607"/>
        <v>1870.7010645900452</v>
      </c>
      <c r="BY202" s="173">
        <f t="shared" si="608"/>
        <v>3.7049295104303512</v>
      </c>
      <c r="BZ202" s="5">
        <f t="shared" si="609"/>
        <v>23.736000000000001</v>
      </c>
      <c r="CA202" s="173">
        <f t="shared" si="610"/>
        <v>0.86498527650012369</v>
      </c>
      <c r="CB202" s="5">
        <f t="shared" si="611"/>
        <v>86.498527650012363</v>
      </c>
      <c r="CC202">
        <f t="shared" si="612"/>
        <v>92</v>
      </c>
      <c r="CE202" s="562">
        <f t="shared" si="534"/>
        <v>-50</v>
      </c>
      <c r="CF202">
        <f t="shared" si="535"/>
        <v>-50</v>
      </c>
      <c r="CG202" s="173">
        <f t="shared" si="536"/>
        <v>0.34658417599272739</v>
      </c>
      <c r="CH202" s="173">
        <f t="shared" si="537"/>
        <v>9.446712174985028E-2</v>
      </c>
      <c r="CI202" s="170">
        <v>92</v>
      </c>
      <c r="CJ202" s="217">
        <f t="shared" si="602"/>
        <v>0.92</v>
      </c>
      <c r="CK202" s="217">
        <f t="shared" si="538"/>
        <v>9.2000000000000012E-2</v>
      </c>
      <c r="CL202" s="217">
        <f t="shared" si="539"/>
        <v>22.080000000000002</v>
      </c>
      <c r="CM202" s="217">
        <f t="shared" si="540"/>
        <v>1.6560000000000001</v>
      </c>
      <c r="CN202" s="541">
        <f t="shared" si="541"/>
        <v>9</v>
      </c>
      <c r="CO202" s="443">
        <f t="shared" si="542"/>
        <v>16.474900000000002</v>
      </c>
      <c r="CP202" s="443">
        <f t="shared" si="543"/>
        <v>25.474900000000002</v>
      </c>
      <c r="CQ202" s="443"/>
      <c r="CR202" s="217">
        <f t="shared" si="544"/>
        <v>0.64485133082098534</v>
      </c>
      <c r="CS202" s="172">
        <f t="shared" si="545"/>
        <v>29.993085154464438</v>
      </c>
      <c r="CT202" s="172">
        <f t="shared" si="546"/>
        <v>2.4181924905786953</v>
      </c>
      <c r="CU202" s="217">
        <f t="shared" si="547"/>
        <v>1.2497118814360182</v>
      </c>
      <c r="CV202" s="217">
        <f t="shared" si="548"/>
        <v>1.6662825085813577</v>
      </c>
      <c r="CW202" s="217">
        <f t="shared" si="549"/>
        <v>24</v>
      </c>
      <c r="CX202" s="217">
        <f t="shared" si="550"/>
        <v>8.179663148017827</v>
      </c>
      <c r="CY202" s="217">
        <f t="shared" si="551"/>
        <v>9.0885146089086977</v>
      </c>
      <c r="CZ202" s="217">
        <f t="shared" si="552"/>
        <v>4.9649243078973635</v>
      </c>
      <c r="DA202" s="197">
        <f t="shared" si="553"/>
        <v>261.91798593910079</v>
      </c>
      <c r="DB202" s="443">
        <f t="shared" si="554"/>
        <v>71.156960649975275</v>
      </c>
      <c r="DD202" s="217">
        <f t="shared" si="555"/>
        <v>2.2222222222222228</v>
      </c>
      <c r="DE202" s="173">
        <f t="shared" si="556"/>
        <v>1.3488532386977905</v>
      </c>
      <c r="DF202" s="173">
        <f t="shared" si="557"/>
        <v>0.24355939229558116</v>
      </c>
      <c r="DG202" s="173"/>
      <c r="DH202" s="173">
        <f t="shared" si="558"/>
        <v>1.3488532386977903</v>
      </c>
      <c r="DI202" s="545">
        <f t="shared" si="559"/>
        <v>920.32199999999978</v>
      </c>
      <c r="DJ202" s="528">
        <f t="shared" si="560"/>
        <v>0.26182634671774968</v>
      </c>
      <c r="DL202" s="173">
        <f t="shared" si="561"/>
        <v>3.6828560345781329</v>
      </c>
      <c r="DM202" s="173">
        <f t="shared" si="562"/>
        <v>8.179663148017827</v>
      </c>
      <c r="DN202" s="173">
        <f t="shared" si="563"/>
        <v>5.6129192042930409</v>
      </c>
      <c r="DP202" s="545">
        <f t="shared" si="564"/>
        <v>920</v>
      </c>
      <c r="DQ202" s="460">
        <f t="shared" si="565"/>
        <v>71.156960649975275</v>
      </c>
      <c r="DS202">
        <f t="shared" si="614"/>
        <v>920</v>
      </c>
      <c r="DT202">
        <f t="shared" si="615"/>
        <v>71.156960649975275</v>
      </c>
      <c r="DV202" s="5">
        <f t="shared" si="568"/>
        <v>14.053438916806062</v>
      </c>
      <c r="DW202" s="5">
        <f t="shared" si="569"/>
        <v>9.0885146089086977</v>
      </c>
      <c r="DX202" s="5">
        <f t="shared" si="570"/>
        <v>4.9649243078973644</v>
      </c>
      <c r="DY202" s="173">
        <f t="shared" si="571"/>
        <v>0.64671107639284153</v>
      </c>
      <c r="EA202" s="5">
        <f t="shared" si="572"/>
        <v>34.839306000816677</v>
      </c>
      <c r="EB202" s="5">
        <f t="shared" si="573"/>
        <v>4.6452408001088905</v>
      </c>
      <c r="EC202" s="5">
        <f t="shared" si="574"/>
        <v>10.150511918367945</v>
      </c>
      <c r="ED202" s="5"/>
      <c r="EE202" s="173">
        <f t="shared" si="575"/>
        <v>3.7977812093535048</v>
      </c>
      <c r="EF202" s="173">
        <f t="shared" si="576"/>
        <v>1.8722577475662949</v>
      </c>
      <c r="EG202" s="173">
        <f t="shared" si="577"/>
        <v>0.18747878256035463</v>
      </c>
      <c r="EH202" s="173"/>
      <c r="EI202" s="528">
        <f t="shared" si="578"/>
        <v>0.5769256845647428</v>
      </c>
      <c r="EJ202" s="528">
        <f t="shared" si="579"/>
        <v>0.40775377500000004</v>
      </c>
      <c r="EK202" s="528">
        <f t="shared" si="580"/>
        <v>1.4231392129995055E-2</v>
      </c>
      <c r="EL202" s="528">
        <f t="shared" si="581"/>
        <v>8.081284831710155E-3</v>
      </c>
      <c r="EM202">
        <f t="shared" si="582"/>
        <v>4.0499999999999998E-3</v>
      </c>
      <c r="EN202" s="460">
        <f t="shared" si="583"/>
        <v>18.281392129995059</v>
      </c>
      <c r="EP202" s="460">
        <f t="shared" si="603"/>
        <v>1011.0421365264482</v>
      </c>
      <c r="EQ202" s="173">
        <f t="shared" si="584"/>
        <v>0.64400000000000002</v>
      </c>
      <c r="ER202" s="173">
        <f t="shared" si="585"/>
        <v>5.7040000000000007E-2</v>
      </c>
      <c r="ES202" s="528"/>
      <c r="EU202" s="460">
        <f t="shared" si="497"/>
        <v>701.04</v>
      </c>
      <c r="EV202" s="528">
        <f t="shared" si="586"/>
        <v>0.43269426342355705</v>
      </c>
      <c r="EW202" s="528">
        <f t="shared" si="587"/>
        <v>0.10516047219966049</v>
      </c>
      <c r="EX202" s="528">
        <f t="shared" si="588"/>
        <v>1.7574146955156366E-4</v>
      </c>
      <c r="EY202" s="528">
        <f t="shared" si="589"/>
        <v>0.40865049202349241</v>
      </c>
      <c r="EZ202" s="528"/>
      <c r="FA202" s="625">
        <f t="shared" si="590"/>
        <v>0.95217817661738424</v>
      </c>
      <c r="FB202" s="460">
        <f t="shared" si="613"/>
        <v>1898.8591457336456</v>
      </c>
      <c r="FC202" s="173">
        <f t="shared" si="591"/>
        <v>3.6109412822600939</v>
      </c>
      <c r="FD202" s="5">
        <f t="shared" si="592"/>
        <v>23.736000000000001</v>
      </c>
      <c r="FE202" s="173">
        <f t="shared" si="593"/>
        <v>0.86795812939407213</v>
      </c>
      <c r="FF202" s="5">
        <f t="shared" si="594"/>
        <v>86.795812939407213</v>
      </c>
      <c r="FG202">
        <f t="shared" si="595"/>
        <v>92</v>
      </c>
      <c r="FI202" s="562">
        <f t="shared" si="596"/>
        <v>-50</v>
      </c>
      <c r="FJ202">
        <f t="shared" si="597"/>
        <v>-50</v>
      </c>
    </row>
    <row r="203" spans="5:166">
      <c r="E203" s="170">
        <v>93</v>
      </c>
      <c r="F203" s="217">
        <f t="shared" si="598"/>
        <v>0.93</v>
      </c>
      <c r="G203" s="217">
        <f t="shared" si="499"/>
        <v>9.3000000000000013E-2</v>
      </c>
      <c r="H203" s="217">
        <f t="shared" si="500"/>
        <v>22.32</v>
      </c>
      <c r="I203" s="217">
        <f t="shared" si="501"/>
        <v>1.6740000000000002</v>
      </c>
      <c r="J203" s="541">
        <f t="shared" si="502"/>
        <v>8.6410074123131722</v>
      </c>
      <c r="K203" s="443">
        <f t="shared" si="503"/>
        <v>16.528593449640905</v>
      </c>
      <c r="L203" s="172">
        <f t="shared" si="504"/>
        <v>25.169600861954077</v>
      </c>
      <c r="M203" s="443"/>
      <c r="N203" s="217">
        <f t="shared" si="505"/>
        <v>0.65668873893925084</v>
      </c>
      <c r="O203" s="172">
        <f t="shared" si="506"/>
        <v>29.325334680912945</v>
      </c>
      <c r="P203" s="172">
        <f t="shared" si="507"/>
        <v>2.3643551086486063</v>
      </c>
      <c r="Q203" s="217">
        <f t="shared" si="508"/>
        <v>1.2218889450380395</v>
      </c>
      <c r="R203" s="217">
        <f t="shared" si="509"/>
        <v>1.6291852600507193</v>
      </c>
      <c r="S203" s="217">
        <f t="shared" si="510"/>
        <v>24</v>
      </c>
      <c r="T203" s="217">
        <f t="shared" si="511"/>
        <v>8.4568514800759065</v>
      </c>
      <c r="U203" s="217">
        <f t="shared" si="512"/>
        <v>9.7868814092499807</v>
      </c>
      <c r="V203" s="217">
        <f t="shared" si="513"/>
        <v>5.1164979681072857</v>
      </c>
      <c r="W203" s="197">
        <f t="shared" si="514"/>
        <v>255.3503517340495</v>
      </c>
      <c r="X203" s="443">
        <f t="shared" si="599"/>
        <v>66.210347698686775</v>
      </c>
      <c r="Z203" s="217">
        <f t="shared" si="515"/>
        <v>2.2222222222222223</v>
      </c>
      <c r="AA203" s="173">
        <f t="shared" si="516"/>
        <v>1.3444714633419108</v>
      </c>
      <c r="AB203" s="173">
        <f t="shared" si="517"/>
        <v>0.23668073501552422</v>
      </c>
      <c r="AC203" s="173"/>
      <c r="AD203" s="173">
        <f t="shared" si="518"/>
        <v>1.3444714633419108</v>
      </c>
      <c r="AE203" s="545">
        <f t="shared" si="519"/>
        <v>933.35752965625863</v>
      </c>
      <c r="AF203" s="528">
        <f t="shared" si="520"/>
        <v>0.25443179014168854</v>
      </c>
      <c r="AH203" s="173">
        <f t="shared" si="521"/>
        <v>3.702817460104824</v>
      </c>
      <c r="AI203" s="173">
        <f t="shared" si="522"/>
        <v>8.4568514800759065</v>
      </c>
      <c r="AJ203" s="173">
        <f t="shared" si="523"/>
        <v>5.8182438947064332</v>
      </c>
      <c r="AL203" s="545">
        <f t="shared" si="524"/>
        <v>930</v>
      </c>
      <c r="AM203" s="460">
        <f t="shared" si="525"/>
        <v>66.210347698686775</v>
      </c>
      <c r="AO203">
        <f t="shared" si="526"/>
        <v>930</v>
      </c>
      <c r="AP203">
        <f t="shared" si="527"/>
        <v>66.210347698686775</v>
      </c>
      <c r="AR203" s="5">
        <f t="shared" si="616"/>
        <v>15.103379377357268</v>
      </c>
      <c r="AS203" s="5">
        <f t="shared" si="604"/>
        <v>9.7868814092499807</v>
      </c>
      <c r="AT203" s="5">
        <f t="shared" si="605"/>
        <v>5.3164979681072868</v>
      </c>
      <c r="AU203" s="173">
        <f t="shared" si="606"/>
        <v>0.64799282099225486</v>
      </c>
      <c r="AW203" s="5">
        <f t="shared" si="477"/>
        <v>37.924165460843682</v>
      </c>
      <c r="AX203" s="5">
        <f t="shared" si="478"/>
        <v>5.0565553947791573</v>
      </c>
      <c r="AY203" s="5">
        <f t="shared" si="479"/>
        <v>11.443904337575818</v>
      </c>
      <c r="AZ203" s="5"/>
      <c r="BA203" s="173">
        <f t="shared" si="480"/>
        <v>3.9303676213484695</v>
      </c>
      <c r="BB203" s="173">
        <f t="shared" si="481"/>
        <v>1.9321892898992798</v>
      </c>
      <c r="BC203" s="173">
        <f t="shared" si="482"/>
        <v>0.19348003565072514</v>
      </c>
      <c r="BD203" s="173"/>
      <c r="BE203" s="528">
        <f t="shared" si="483"/>
        <v>0.61791158555777703</v>
      </c>
      <c r="BF203" s="528">
        <f t="shared" si="528"/>
        <v>0.31709793862309565</v>
      </c>
      <c r="BG203" s="528">
        <f t="shared" si="529"/>
        <v>2.2884964209447391E-2</v>
      </c>
      <c r="BH203" s="528">
        <f t="shared" si="484"/>
        <v>7.3403467231624589E-3</v>
      </c>
      <c r="BI203">
        <f t="shared" si="485"/>
        <v>3.8884533355409276E-3</v>
      </c>
      <c r="BJ203" s="460">
        <f t="shared" si="600"/>
        <v>26.77341754498832</v>
      </c>
      <c r="BK203">
        <f t="shared" si="530"/>
        <v>1.3000545363490374</v>
      </c>
      <c r="BL203" s="460">
        <f t="shared" si="601"/>
        <v>969.12328844902345</v>
      </c>
      <c r="BM203" s="173">
        <f t="shared" si="531"/>
        <v>0.80724000000000007</v>
      </c>
      <c r="BN203" s="173">
        <f t="shared" si="532"/>
        <v>8.0724000000000004E-2</v>
      </c>
      <c r="BO203" s="528"/>
      <c r="BQ203" s="460">
        <f t="shared" si="486"/>
        <v>887.96400000000006</v>
      </c>
      <c r="BR203" s="528">
        <f t="shared" si="487"/>
        <v>0.46343368916833277</v>
      </c>
      <c r="BS203" s="528">
        <f t="shared" si="488"/>
        <v>0.1120006635600445</v>
      </c>
      <c r="BT203" s="528">
        <f t="shared" si="489"/>
        <v>1.8717262097702934E-4</v>
      </c>
      <c r="BU203" s="528">
        <f t="shared" si="490"/>
        <v>0.37094236331126723</v>
      </c>
      <c r="BV203" s="528"/>
      <c r="BW203" s="625">
        <f t="shared" si="533"/>
        <v>0.94705079133854164</v>
      </c>
      <c r="BX203" s="460">
        <f t="shared" si="607"/>
        <v>1893.6146799991632</v>
      </c>
      <c r="BY203" s="173">
        <f t="shared" si="608"/>
        <v>3.7507019684481864</v>
      </c>
      <c r="BZ203" s="5">
        <f t="shared" si="609"/>
        <v>23.994</v>
      </c>
      <c r="CA203" s="173">
        <f t="shared" si="610"/>
        <v>0.86481375893986689</v>
      </c>
      <c r="CB203" s="5">
        <f t="shared" si="611"/>
        <v>86.481375893986694</v>
      </c>
      <c r="CC203">
        <f t="shared" si="612"/>
        <v>93</v>
      </c>
      <c r="CE203" s="562">
        <f t="shared" si="534"/>
        <v>-50</v>
      </c>
      <c r="CF203">
        <f t="shared" si="535"/>
        <v>-50</v>
      </c>
      <c r="CG203" s="173">
        <f t="shared" si="536"/>
        <v>0.34658417599272739</v>
      </c>
      <c r="CH203" s="173">
        <f t="shared" si="537"/>
        <v>9.446712174985028E-2</v>
      </c>
      <c r="CI203" s="170">
        <v>93</v>
      </c>
      <c r="CJ203" s="217">
        <f t="shared" si="602"/>
        <v>0.93</v>
      </c>
      <c r="CK203" s="217">
        <f t="shared" si="538"/>
        <v>9.3000000000000013E-2</v>
      </c>
      <c r="CL203" s="217">
        <f t="shared" si="539"/>
        <v>22.32</v>
      </c>
      <c r="CM203" s="217">
        <f t="shared" si="540"/>
        <v>1.6740000000000002</v>
      </c>
      <c r="CN203" s="541">
        <f t="shared" si="541"/>
        <v>9</v>
      </c>
      <c r="CO203" s="443">
        <f t="shared" si="542"/>
        <v>16.474900000000002</v>
      </c>
      <c r="CP203" s="443">
        <f t="shared" si="543"/>
        <v>25.474900000000002</v>
      </c>
      <c r="CQ203" s="443"/>
      <c r="CR203" s="217">
        <f t="shared" si="544"/>
        <v>0.64485133082098534</v>
      </c>
      <c r="CS203" s="172">
        <f t="shared" si="545"/>
        <v>29.993085154464438</v>
      </c>
      <c r="CT203" s="172">
        <f t="shared" si="546"/>
        <v>2.4181924905786953</v>
      </c>
      <c r="CU203" s="217">
        <f t="shared" si="547"/>
        <v>1.2497118814360182</v>
      </c>
      <c r="CV203" s="217">
        <f t="shared" si="548"/>
        <v>1.6662825085813577</v>
      </c>
      <c r="CW203" s="217">
        <f t="shared" si="549"/>
        <v>24</v>
      </c>
      <c r="CX203" s="217">
        <f t="shared" si="550"/>
        <v>8.2685725300614994</v>
      </c>
      <c r="CY203" s="217">
        <f t="shared" si="551"/>
        <v>9.1873028111794444</v>
      </c>
      <c r="CZ203" s="217">
        <f t="shared" si="552"/>
        <v>5.018890876461465</v>
      </c>
      <c r="DA203" s="197">
        <f t="shared" si="553"/>
        <v>261.91798593910079</v>
      </c>
      <c r="DB203" s="443">
        <f t="shared" si="554"/>
        <v>70.391832040835752</v>
      </c>
      <c r="DD203" s="217">
        <f t="shared" si="555"/>
        <v>2.2222222222222228</v>
      </c>
      <c r="DE203" s="173">
        <f t="shared" si="556"/>
        <v>1.3488532386977905</v>
      </c>
      <c r="DF203" s="173">
        <f t="shared" si="557"/>
        <v>0.24355939229558116</v>
      </c>
      <c r="DG203" s="173"/>
      <c r="DH203" s="173">
        <f t="shared" si="558"/>
        <v>1.3488532386977903</v>
      </c>
      <c r="DI203" s="545">
        <f t="shared" si="559"/>
        <v>930.32549999999981</v>
      </c>
      <c r="DJ203" s="528">
        <f t="shared" si="560"/>
        <v>0.26182634671774968</v>
      </c>
      <c r="DL203" s="173">
        <f t="shared" si="561"/>
        <v>3.702817460104824</v>
      </c>
      <c r="DM203" s="173">
        <f t="shared" si="562"/>
        <v>8.2685725300614994</v>
      </c>
      <c r="DN203" s="173">
        <f t="shared" si="563"/>
        <v>5.6787780058068726</v>
      </c>
      <c r="DP203" s="545">
        <f t="shared" si="564"/>
        <v>930</v>
      </c>
      <c r="DQ203" s="460">
        <f t="shared" si="565"/>
        <v>70.391832040835752</v>
      </c>
      <c r="DS203">
        <f t="shared" si="614"/>
        <v>930</v>
      </c>
      <c r="DT203">
        <f t="shared" si="615"/>
        <v>70.391832040835752</v>
      </c>
      <c r="DV203" s="5">
        <f t="shared" si="568"/>
        <v>14.20619368764091</v>
      </c>
      <c r="DW203" s="5">
        <f t="shared" si="569"/>
        <v>9.1873028111794444</v>
      </c>
      <c r="DX203" s="5">
        <f t="shared" si="570"/>
        <v>5.0188908764614659</v>
      </c>
      <c r="DY203" s="173">
        <f t="shared" si="571"/>
        <v>0.64671107639284153</v>
      </c>
      <c r="EA203" s="5">
        <f t="shared" si="572"/>
        <v>35.600798393320346</v>
      </c>
      <c r="EB203" s="5">
        <f t="shared" si="573"/>
        <v>4.7467731191093803</v>
      </c>
      <c r="EC203" s="5">
        <f t="shared" si="574"/>
        <v>10.37237447802036</v>
      </c>
      <c r="ED203" s="5"/>
      <c r="EE203" s="173">
        <f t="shared" si="575"/>
        <v>3.8390614398899561</v>
      </c>
      <c r="EF203" s="173">
        <f t="shared" si="576"/>
        <v>1.8926083752572329</v>
      </c>
      <c r="EG203" s="173">
        <f t="shared" si="577"/>
        <v>0.18951659541427154</v>
      </c>
      <c r="EH203" s="173"/>
      <c r="EI203" s="528">
        <f t="shared" si="578"/>
        <v>0.58953570956999768</v>
      </c>
      <c r="EJ203" s="528">
        <f t="shared" si="579"/>
        <v>0.4077537750000001</v>
      </c>
      <c r="EK203" s="528">
        <f t="shared" si="580"/>
        <v>1.407836640816715E-2</v>
      </c>
      <c r="EL203" s="528">
        <f t="shared" si="581"/>
        <v>7.9943892958853121E-3</v>
      </c>
      <c r="EM203">
        <f t="shared" si="582"/>
        <v>4.0499999999999998E-3</v>
      </c>
      <c r="EN203" s="460">
        <f t="shared" si="583"/>
        <v>18.12836640816715</v>
      </c>
      <c r="EP203" s="460">
        <f t="shared" si="603"/>
        <v>1023.4122402740504</v>
      </c>
      <c r="EQ203" s="173">
        <f t="shared" si="584"/>
        <v>0.65100000000000002</v>
      </c>
      <c r="ER203" s="173">
        <f t="shared" si="585"/>
        <v>5.766000000000001E-2</v>
      </c>
      <c r="ES203" s="528"/>
      <c r="EU203" s="460">
        <f t="shared" si="497"/>
        <v>708.66000000000008</v>
      </c>
      <c r="EV203" s="528">
        <f t="shared" si="586"/>
        <v>0.44215178217749823</v>
      </c>
      <c r="EW203" s="528">
        <f t="shared" si="587"/>
        <v>0.10745899386281468</v>
      </c>
      <c r="EX203" s="528">
        <f t="shared" si="588"/>
        <v>1.7958269968708346E-4</v>
      </c>
      <c r="EY203" s="528">
        <f t="shared" si="589"/>
        <v>0.40865049202349241</v>
      </c>
      <c r="EZ203" s="528"/>
      <c r="FA203" s="625">
        <f t="shared" si="590"/>
        <v>0.96252793940670367</v>
      </c>
      <c r="FB203" s="460">
        <f t="shared" si="613"/>
        <v>1920.9687901701961</v>
      </c>
      <c r="FC203" s="173">
        <f t="shared" si="591"/>
        <v>3.6530410304442462</v>
      </c>
      <c r="FD203" s="5">
        <f t="shared" si="592"/>
        <v>23.994</v>
      </c>
      <c r="FE203" s="173">
        <f t="shared" si="593"/>
        <v>0.86786864364900362</v>
      </c>
      <c r="FF203" s="5">
        <f t="shared" si="594"/>
        <v>86.786864364900367</v>
      </c>
      <c r="FG203">
        <f t="shared" si="595"/>
        <v>93</v>
      </c>
      <c r="FI203" s="562">
        <f t="shared" si="596"/>
        <v>-50</v>
      </c>
      <c r="FJ203">
        <f t="shared" si="597"/>
        <v>-50</v>
      </c>
    </row>
    <row r="204" spans="5:166">
      <c r="E204" s="170">
        <v>94</v>
      </c>
      <c r="F204" s="217">
        <f t="shared" si="598"/>
        <v>0.94</v>
      </c>
      <c r="G204" s="217">
        <f t="shared" si="499"/>
        <v>9.4E-2</v>
      </c>
      <c r="H204" s="217">
        <f t="shared" si="500"/>
        <v>22.56</v>
      </c>
      <c r="I204" s="217">
        <f t="shared" si="501"/>
        <v>1.6919999999999999</v>
      </c>
      <c r="J204" s="541">
        <f t="shared" si="502"/>
        <v>8.6371472769617004</v>
      </c>
      <c r="K204" s="443">
        <f t="shared" si="503"/>
        <v>16.529170798561776</v>
      </c>
      <c r="L204" s="172">
        <f t="shared" si="504"/>
        <v>25.166318075523478</v>
      </c>
      <c r="M204" s="443"/>
      <c r="N204" s="217">
        <f t="shared" si="505"/>
        <v>0.65679734115090482</v>
      </c>
      <c r="O204" s="172">
        <f t="shared" si="506"/>
        <v>29.317081998125175</v>
      </c>
      <c r="P204" s="172">
        <f t="shared" si="507"/>
        <v>2.3636897360988423</v>
      </c>
      <c r="Q204" s="217">
        <f t="shared" si="508"/>
        <v>1.2215450832552157</v>
      </c>
      <c r="R204" s="217">
        <f t="shared" si="509"/>
        <v>1.628726777673621</v>
      </c>
      <c r="S204" s="217">
        <f t="shared" si="510"/>
        <v>24</v>
      </c>
      <c r="T204" s="217">
        <f t="shared" si="511"/>
        <v>8.5501915464402884</v>
      </c>
      <c r="U204" s="217">
        <f t="shared" si="512"/>
        <v>9.8993235524032883</v>
      </c>
      <c r="V204" s="217">
        <f t="shared" si="513"/>
        <v>5.1727891559958055</v>
      </c>
      <c r="W204" s="197">
        <f t="shared" si="514"/>
        <v>255.27849149867498</v>
      </c>
      <c r="X204" s="443">
        <f t="shared" si="599"/>
        <v>65.478825300316004</v>
      </c>
      <c r="Z204" s="217">
        <f t="shared" si="515"/>
        <v>2.2222222222222223</v>
      </c>
      <c r="AA204" s="173">
        <f t="shared" si="516"/>
        <v>1.3444245021750161</v>
      </c>
      <c r="AB204" s="173">
        <f t="shared" si="517"/>
        <v>0.23660586403343309</v>
      </c>
      <c r="AC204" s="173"/>
      <c r="AD204" s="173">
        <f t="shared" si="518"/>
        <v>1.3444245021750161</v>
      </c>
      <c r="AE204" s="545">
        <f t="shared" si="519"/>
        <v>943.42658515929031</v>
      </c>
      <c r="AF204" s="528">
        <f t="shared" si="520"/>
        <v>0.25435130383594057</v>
      </c>
      <c r="AH204" s="173">
        <f t="shared" si="521"/>
        <v>3.7226718515450314</v>
      </c>
      <c r="AI204" s="173">
        <f t="shared" si="522"/>
        <v>8.5501915464402884</v>
      </c>
      <c r="AJ204" s="173">
        <f t="shared" si="523"/>
        <v>5.8873846846059754</v>
      </c>
      <c r="AL204" s="545">
        <f t="shared" si="524"/>
        <v>940</v>
      </c>
      <c r="AM204" s="460">
        <f t="shared" si="525"/>
        <v>65.478825300316004</v>
      </c>
      <c r="AO204">
        <f t="shared" si="526"/>
        <v>940</v>
      </c>
      <c r="AP204">
        <f t="shared" si="527"/>
        <v>65.478825300316004</v>
      </c>
      <c r="AR204" s="5">
        <f t="shared" si="616"/>
        <v>15.272112708399092</v>
      </c>
      <c r="AS204" s="5">
        <f t="shared" si="604"/>
        <v>9.8993235524032883</v>
      </c>
      <c r="AT204" s="5">
        <f t="shared" si="605"/>
        <v>5.3727891559958039</v>
      </c>
      <c r="AU204" s="173">
        <f t="shared" si="606"/>
        <v>0.64819607747911856</v>
      </c>
      <c r="AW204" s="5">
        <f t="shared" si="477"/>
        <v>38.772350580246211</v>
      </c>
      <c r="AX204" s="5">
        <f t="shared" si="478"/>
        <v>5.1696467440328284</v>
      </c>
      <c r="AY204" s="5">
        <f t="shared" si="479"/>
        <v>11.694652515900245</v>
      </c>
      <c r="AZ204" s="5"/>
      <c r="BA204" s="173">
        <f t="shared" si="480"/>
        <v>3.9743710994208876</v>
      </c>
      <c r="BB204" s="173">
        <f t="shared" si="481"/>
        <v>1.9529511913409681</v>
      </c>
      <c r="BC204" s="173">
        <f t="shared" si="482"/>
        <v>0.19555903145725098</v>
      </c>
      <c r="BD204" s="173"/>
      <c r="BE204" s="528">
        <f t="shared" si="483"/>
        <v>0.63182502543647978</v>
      </c>
      <c r="BF204" s="528">
        <f t="shared" si="528"/>
        <v>0.31701435118309818</v>
      </c>
      <c r="BG204" s="528">
        <f t="shared" si="529"/>
        <v>2.2622010305651009E-2</v>
      </c>
      <c r="BH204" s="528">
        <f t="shared" si="484"/>
        <v>7.2573537188321199E-3</v>
      </c>
      <c r="BI204">
        <f t="shared" si="485"/>
        <v>3.886716274632765E-3</v>
      </c>
      <c r="BJ204" s="460">
        <f t="shared" si="600"/>
        <v>26.508726580283774</v>
      </c>
      <c r="BK204">
        <f t="shared" si="530"/>
        <v>1.3257067384376144</v>
      </c>
      <c r="BL204" s="460">
        <f t="shared" si="601"/>
        <v>982.60545691869379</v>
      </c>
      <c r="BM204" s="173">
        <f t="shared" si="531"/>
        <v>0.81591999999999987</v>
      </c>
      <c r="BN204" s="173">
        <f t="shared" si="532"/>
        <v>8.1591999999999998E-2</v>
      </c>
      <c r="BO204" s="528"/>
      <c r="BQ204" s="460">
        <f t="shared" si="486"/>
        <v>897.51199999999983</v>
      </c>
      <c r="BR204" s="528">
        <f t="shared" si="487"/>
        <v>0.47386876907735981</v>
      </c>
      <c r="BS204" s="528">
        <f t="shared" si="488"/>
        <v>0.1144205506728032</v>
      </c>
      <c r="BT204" s="528">
        <f t="shared" si="489"/>
        <v>1.9121667392249042E-4</v>
      </c>
      <c r="BU204" s="528">
        <f t="shared" si="490"/>
        <v>0.3708188591978544</v>
      </c>
      <c r="BV204" s="528"/>
      <c r="BW204" s="625">
        <f t="shared" si="533"/>
        <v>0.95737606023053423</v>
      </c>
      <c r="BX204" s="460">
        <f t="shared" si="607"/>
        <v>1916.6754558524742</v>
      </c>
      <c r="BY204" s="173">
        <f t="shared" si="608"/>
        <v>3.7967929127711684</v>
      </c>
      <c r="BZ204" s="5">
        <f t="shared" si="609"/>
        <v>24.251999999999999</v>
      </c>
      <c r="CA204" s="173">
        <f t="shared" si="610"/>
        <v>0.86463613872515654</v>
      </c>
      <c r="CB204" s="5">
        <f t="shared" si="611"/>
        <v>86.463613872515651</v>
      </c>
      <c r="CC204">
        <f t="shared" si="612"/>
        <v>94</v>
      </c>
      <c r="CE204" s="562">
        <f t="shared" si="534"/>
        <v>-50</v>
      </c>
      <c r="CF204">
        <f t="shared" si="535"/>
        <v>-50</v>
      </c>
      <c r="CG204" s="173">
        <f t="shared" si="536"/>
        <v>0.34658417599272728</v>
      </c>
      <c r="CH204" s="173">
        <f t="shared" si="537"/>
        <v>9.4467121749850266E-2</v>
      </c>
      <c r="CI204" s="170">
        <v>94</v>
      </c>
      <c r="CJ204" s="217">
        <f t="shared" si="602"/>
        <v>0.94</v>
      </c>
      <c r="CK204" s="217">
        <f t="shared" si="538"/>
        <v>9.4E-2</v>
      </c>
      <c r="CL204" s="217">
        <f t="shared" si="539"/>
        <v>22.56</v>
      </c>
      <c r="CM204" s="217">
        <f t="shared" si="540"/>
        <v>1.6919999999999999</v>
      </c>
      <c r="CN204" s="541">
        <f t="shared" si="541"/>
        <v>9</v>
      </c>
      <c r="CO204" s="443">
        <f t="shared" si="542"/>
        <v>16.474900000000002</v>
      </c>
      <c r="CP204" s="443">
        <f t="shared" si="543"/>
        <v>25.474900000000002</v>
      </c>
      <c r="CQ204" s="443"/>
      <c r="CR204" s="217">
        <f t="shared" si="544"/>
        <v>0.64485133082098534</v>
      </c>
      <c r="CS204" s="172">
        <f t="shared" si="545"/>
        <v>29.993085154464438</v>
      </c>
      <c r="CT204" s="172">
        <f t="shared" si="546"/>
        <v>2.4181924905786953</v>
      </c>
      <c r="CU204" s="217">
        <f t="shared" si="547"/>
        <v>1.2497118814360182</v>
      </c>
      <c r="CV204" s="217">
        <f t="shared" si="548"/>
        <v>1.6662825085813577</v>
      </c>
      <c r="CW204" s="217">
        <f t="shared" si="549"/>
        <v>24</v>
      </c>
      <c r="CX204" s="217">
        <f t="shared" si="550"/>
        <v>8.3574819121051718</v>
      </c>
      <c r="CY204" s="217">
        <f t="shared" si="551"/>
        <v>9.2860910134501911</v>
      </c>
      <c r="CZ204" s="217">
        <f t="shared" si="552"/>
        <v>5.0728574450255666</v>
      </c>
      <c r="DA204" s="197">
        <f t="shared" si="553"/>
        <v>261.91798593910079</v>
      </c>
      <c r="DB204" s="443">
        <f t="shared" si="554"/>
        <v>69.642982763805577</v>
      </c>
      <c r="DD204" s="217">
        <f t="shared" si="555"/>
        <v>2.2222222222222228</v>
      </c>
      <c r="DE204" s="173">
        <f t="shared" si="556"/>
        <v>1.3488532386977905</v>
      </c>
      <c r="DF204" s="173">
        <f t="shared" si="557"/>
        <v>0.24355939229558116</v>
      </c>
      <c r="DG204" s="173"/>
      <c r="DH204" s="173">
        <f t="shared" si="558"/>
        <v>1.3488532386977903</v>
      </c>
      <c r="DI204" s="545">
        <f t="shared" si="559"/>
        <v>940.32899999999961</v>
      </c>
      <c r="DJ204" s="528">
        <f t="shared" si="560"/>
        <v>0.26182634671774968</v>
      </c>
      <c r="DL204" s="173">
        <f t="shared" si="561"/>
        <v>3.7226718515450314</v>
      </c>
      <c r="DM204" s="173">
        <f t="shared" si="562"/>
        <v>8.3574819121051718</v>
      </c>
      <c r="DN204" s="173">
        <f t="shared" si="563"/>
        <v>5.7446368073207035</v>
      </c>
      <c r="DP204" s="545">
        <f t="shared" si="564"/>
        <v>940</v>
      </c>
      <c r="DQ204" s="460">
        <f t="shared" si="565"/>
        <v>69.642982763805577</v>
      </c>
      <c r="DS204">
        <f t="shared" si="614"/>
        <v>940</v>
      </c>
      <c r="DT204">
        <f t="shared" si="615"/>
        <v>69.642982763805577</v>
      </c>
      <c r="DV204" s="5">
        <f t="shared" si="568"/>
        <v>14.35894845847576</v>
      </c>
      <c r="DW204" s="5">
        <f t="shared" si="569"/>
        <v>9.2860910134501911</v>
      </c>
      <c r="DX204" s="5">
        <f t="shared" si="570"/>
        <v>5.0728574450255692</v>
      </c>
      <c r="DY204" s="173">
        <f t="shared" si="571"/>
        <v>0.64671107639284153</v>
      </c>
      <c r="EA204" s="5">
        <f t="shared" si="572"/>
        <v>36.370523136013254</v>
      </c>
      <c r="EB204" s="5">
        <f t="shared" si="573"/>
        <v>4.8494030848017671</v>
      </c>
      <c r="EC204" s="5">
        <f t="shared" si="574"/>
        <v>10.596635551831186</v>
      </c>
      <c r="ED204" s="5"/>
      <c r="EE204" s="173">
        <f t="shared" si="575"/>
        <v>3.8803416704264073</v>
      </c>
      <c r="EF204" s="173">
        <f t="shared" si="576"/>
        <v>1.9129590029481711</v>
      </c>
      <c r="EG204" s="173">
        <f t="shared" si="577"/>
        <v>0.19155440826818845</v>
      </c>
      <c r="EH204" s="173"/>
      <c r="EI204" s="528">
        <f t="shared" si="578"/>
        <v>0.60228205916990407</v>
      </c>
      <c r="EJ204" s="528">
        <f t="shared" si="579"/>
        <v>0.40775377500000004</v>
      </c>
      <c r="EK204" s="528">
        <f t="shared" si="580"/>
        <v>1.3928596552761114E-2</v>
      </c>
      <c r="EL204" s="528">
        <f t="shared" si="581"/>
        <v>7.909342601248235E-3</v>
      </c>
      <c r="EM204">
        <f t="shared" si="582"/>
        <v>4.0499999999999998E-3</v>
      </c>
      <c r="EN204" s="460">
        <f t="shared" si="583"/>
        <v>17.978596552761115</v>
      </c>
      <c r="EP204" s="460">
        <f t="shared" si="603"/>
        <v>1035.9237733239136</v>
      </c>
      <c r="EQ204" s="173">
        <f t="shared" si="584"/>
        <v>0.65799999999999992</v>
      </c>
      <c r="ER204" s="173">
        <f t="shared" si="585"/>
        <v>5.8279999999999998E-2</v>
      </c>
      <c r="ES204" s="528"/>
      <c r="EU204" s="460">
        <f t="shared" si="497"/>
        <v>716.28</v>
      </c>
      <c r="EV204" s="528">
        <f t="shared" si="586"/>
        <v>0.451711544377428</v>
      </c>
      <c r="EW204" s="528">
        <f t="shared" si="587"/>
        <v>0.10978236440881382</v>
      </c>
      <c r="EX204" s="528">
        <f t="shared" si="588"/>
        <v>1.8346545663487914E-4</v>
      </c>
      <c r="EY204" s="528">
        <f t="shared" si="589"/>
        <v>0.4086504920234913</v>
      </c>
      <c r="EZ204" s="528"/>
      <c r="FA204" s="625">
        <f t="shared" si="590"/>
        <v>0.97287770219602299</v>
      </c>
      <c r="FB204" s="460">
        <f t="shared" si="613"/>
        <v>1943.2055684623908</v>
      </c>
      <c r="FC204" s="173">
        <f t="shared" si="591"/>
        <v>3.6954093417863048</v>
      </c>
      <c r="FD204" s="5">
        <f t="shared" si="592"/>
        <v>24.251999999999999</v>
      </c>
      <c r="FE204" s="173">
        <f t="shared" si="593"/>
        <v>0.86777274070047639</v>
      </c>
      <c r="FF204" s="5">
        <f t="shared" si="594"/>
        <v>86.777274070047639</v>
      </c>
      <c r="FG204">
        <f t="shared" si="595"/>
        <v>94</v>
      </c>
      <c r="FI204" s="562">
        <f t="shared" si="596"/>
        <v>-50</v>
      </c>
      <c r="FJ204">
        <f t="shared" si="597"/>
        <v>-50</v>
      </c>
    </row>
    <row r="205" spans="5:166">
      <c r="E205" s="170">
        <v>95</v>
      </c>
      <c r="F205" s="217">
        <f t="shared" si="598"/>
        <v>0.95</v>
      </c>
      <c r="G205" s="217">
        <f t="shared" si="499"/>
        <v>9.5000000000000001E-2</v>
      </c>
      <c r="H205" s="217">
        <f t="shared" si="500"/>
        <v>22.799999999999997</v>
      </c>
      <c r="I205" s="217">
        <f t="shared" si="501"/>
        <v>1.71</v>
      </c>
      <c r="J205" s="541">
        <f t="shared" si="502"/>
        <v>8.6332871416102304</v>
      </c>
      <c r="K205" s="443">
        <f t="shared" si="503"/>
        <v>16.529748147482646</v>
      </c>
      <c r="L205" s="172">
        <f t="shared" si="504"/>
        <v>25.163035289092875</v>
      </c>
      <c r="M205" s="443"/>
      <c r="N205" s="217">
        <f t="shared" si="505"/>
        <v>0.65690597169919329</v>
      </c>
      <c r="O205" s="172">
        <f t="shared" si="506"/>
        <v>29.308826246602681</v>
      </c>
      <c r="P205" s="172">
        <f t="shared" si="507"/>
        <v>2.3630241161323413</v>
      </c>
      <c r="Q205" s="217">
        <f t="shared" si="508"/>
        <v>1.221201093608445</v>
      </c>
      <c r="R205" s="217">
        <f t="shared" si="509"/>
        <v>1.62826812481126</v>
      </c>
      <c r="S205" s="217">
        <f t="shared" si="510"/>
        <v>24</v>
      </c>
      <c r="T205" s="217">
        <f t="shared" si="511"/>
        <v>8.6435850825891851</v>
      </c>
      <c r="U205" s="217">
        <f t="shared" si="512"/>
        <v>10.011928180784491</v>
      </c>
      <c r="V205" s="217">
        <f t="shared" si="513"/>
        <v>5.2291087592314813</v>
      </c>
      <c r="W205" s="197">
        <f t="shared" si="514"/>
        <v>255.20660454229281</v>
      </c>
      <c r="X205" s="443">
        <f t="shared" si="599"/>
        <v>64.762489972967174</v>
      </c>
      <c r="Z205" s="217">
        <f t="shared" si="515"/>
        <v>2.2222222222222228</v>
      </c>
      <c r="AA205" s="173">
        <f t="shared" si="516"/>
        <v>1.3443775442886288</v>
      </c>
      <c r="AB205" s="173">
        <f t="shared" si="517"/>
        <v>0.2365309735159051</v>
      </c>
      <c r="AC205" s="173"/>
      <c r="AD205" s="173">
        <f t="shared" si="518"/>
        <v>1.3443775442886285</v>
      </c>
      <c r="AE205" s="545">
        <f t="shared" si="519"/>
        <v>953.49634179069665</v>
      </c>
      <c r="AF205" s="528">
        <f t="shared" si="520"/>
        <v>0.25427079652959789</v>
      </c>
      <c r="AH205" s="173">
        <f t="shared" si="521"/>
        <v>3.7424209124194308</v>
      </c>
      <c r="AI205" s="173">
        <f t="shared" si="522"/>
        <v>8.6435850825891851</v>
      </c>
      <c r="AJ205" s="173">
        <f t="shared" si="523"/>
        <v>5.9565650817533058</v>
      </c>
      <c r="AL205" s="545">
        <f t="shared" si="524"/>
        <v>950</v>
      </c>
      <c r="AM205" s="460">
        <f t="shared" si="525"/>
        <v>64.762489972967174</v>
      </c>
      <c r="AO205">
        <f t="shared" si="526"/>
        <v>950</v>
      </c>
      <c r="AP205">
        <f t="shared" si="527"/>
        <v>64.762489972967174</v>
      </c>
      <c r="AR205" s="5">
        <f t="shared" si="616"/>
        <v>15.441036940015969</v>
      </c>
      <c r="AS205" s="5">
        <f t="shared" si="604"/>
        <v>10.011928180784491</v>
      </c>
      <c r="AT205" s="5">
        <f t="shared" si="605"/>
        <v>5.4291087592314788</v>
      </c>
      <c r="AU205" s="173">
        <f t="shared" si="606"/>
        <v>0.64839739841812305</v>
      </c>
      <c r="AW205" s="5">
        <f t="shared" si="477"/>
        <v>39.630549048938605</v>
      </c>
      <c r="AX205" s="5">
        <f t="shared" si="478"/>
        <v>5.2840732065251483</v>
      </c>
      <c r="AY205" s="5">
        <f t="shared" si="479"/>
        <v>11.948295560358087</v>
      </c>
      <c r="AZ205" s="5"/>
      <c r="BA205" s="173">
        <f t="shared" si="480"/>
        <v>4.0184069452456921</v>
      </c>
      <c r="BB205" s="173">
        <f t="shared" si="481"/>
        <v>1.9737182542866385</v>
      </c>
      <c r="BC205" s="173">
        <f t="shared" si="482"/>
        <v>0.1976385441116755</v>
      </c>
      <c r="BD205" s="173"/>
      <c r="BE205" s="528">
        <f t="shared" si="483"/>
        <v>0.64590377510395258</v>
      </c>
      <c r="BF205" s="528">
        <f t="shared" si="528"/>
        <v>0.31692973984219858</v>
      </c>
      <c r="BG205" s="528">
        <f t="shared" si="529"/>
        <v>2.2364526877691158E-2</v>
      </c>
      <c r="BH205" s="528">
        <f t="shared" si="484"/>
        <v>7.1760860879016026E-3</v>
      </c>
      <c r="BI205">
        <f t="shared" si="485"/>
        <v>3.8849792137246038E-3</v>
      </c>
      <c r="BJ205" s="460">
        <f t="shared" si="600"/>
        <v>26.249506091415764</v>
      </c>
      <c r="BK205">
        <f t="shared" si="530"/>
        <v>1.3518708245542359</v>
      </c>
      <c r="BL205" s="460">
        <f t="shared" si="601"/>
        <v>996.25910712546852</v>
      </c>
      <c r="BM205" s="173">
        <f t="shared" si="531"/>
        <v>0.82459999999999989</v>
      </c>
      <c r="BN205" s="173">
        <f t="shared" si="532"/>
        <v>8.2459999999999992E-2</v>
      </c>
      <c r="BO205" s="528"/>
      <c r="BQ205" s="460">
        <f t="shared" si="486"/>
        <v>907.05999999999983</v>
      </c>
      <c r="BR205" s="528">
        <f t="shared" si="487"/>
        <v>0.48442783132796441</v>
      </c>
      <c r="BS205" s="528">
        <f t="shared" si="488"/>
        <v>0.11686691241912887</v>
      </c>
      <c r="BT205" s="528">
        <f t="shared" si="489"/>
        <v>1.9530497059291351E-4</v>
      </c>
      <c r="BU205" s="528">
        <f t="shared" si="490"/>
        <v>0.37069235355971469</v>
      </c>
      <c r="BV205" s="528"/>
      <c r="BW205" s="625">
        <f t="shared" si="533"/>
        <v>0.96770137096610076</v>
      </c>
      <c r="BX205" s="460">
        <f t="shared" si="607"/>
        <v>1939.8837732435018</v>
      </c>
      <c r="BY205" s="173">
        <f t="shared" si="608"/>
        <v>3.8432028803689708</v>
      </c>
      <c r="BZ205" s="5">
        <f t="shared" si="609"/>
        <v>24.509999999999998</v>
      </c>
      <c r="CA205" s="173">
        <f t="shared" si="610"/>
        <v>0.8644526018247517</v>
      </c>
      <c r="CB205" s="5">
        <f t="shared" si="611"/>
        <v>86.445260182475167</v>
      </c>
      <c r="CC205">
        <f t="shared" si="612"/>
        <v>95</v>
      </c>
      <c r="CE205" s="562">
        <f t="shared" si="534"/>
        <v>-50</v>
      </c>
      <c r="CF205">
        <f t="shared" si="535"/>
        <v>-50</v>
      </c>
      <c r="CG205" s="173">
        <f t="shared" si="536"/>
        <v>0.34658417599272739</v>
      </c>
      <c r="CH205" s="173">
        <f t="shared" si="537"/>
        <v>9.446712174985028E-2</v>
      </c>
      <c r="CI205" s="170">
        <v>95</v>
      </c>
      <c r="CJ205" s="217">
        <f t="shared" si="602"/>
        <v>0.95</v>
      </c>
      <c r="CK205" s="217">
        <f t="shared" si="538"/>
        <v>9.5000000000000001E-2</v>
      </c>
      <c r="CL205" s="217">
        <f t="shared" si="539"/>
        <v>22.799999999999997</v>
      </c>
      <c r="CM205" s="217">
        <f t="shared" si="540"/>
        <v>1.71</v>
      </c>
      <c r="CN205" s="541">
        <f t="shared" si="541"/>
        <v>9</v>
      </c>
      <c r="CO205" s="443">
        <f t="shared" si="542"/>
        <v>16.474900000000002</v>
      </c>
      <c r="CP205" s="443">
        <f t="shared" si="543"/>
        <v>25.474900000000002</v>
      </c>
      <c r="CQ205" s="443"/>
      <c r="CR205" s="217">
        <f t="shared" si="544"/>
        <v>0.64485133082098534</v>
      </c>
      <c r="CS205" s="172">
        <f t="shared" si="545"/>
        <v>29.993085154464438</v>
      </c>
      <c r="CT205" s="172">
        <f t="shared" si="546"/>
        <v>2.4181924905786953</v>
      </c>
      <c r="CU205" s="217">
        <f t="shared" si="547"/>
        <v>1.2497118814360182</v>
      </c>
      <c r="CV205" s="217">
        <f t="shared" si="548"/>
        <v>1.6662825085813577</v>
      </c>
      <c r="CW205" s="217">
        <f t="shared" si="549"/>
        <v>24</v>
      </c>
      <c r="CX205" s="217">
        <f t="shared" si="550"/>
        <v>8.4463912941488424</v>
      </c>
      <c r="CY205" s="217">
        <f t="shared" si="551"/>
        <v>9.384879215720936</v>
      </c>
      <c r="CZ205" s="217">
        <f t="shared" si="552"/>
        <v>5.1268240135896681</v>
      </c>
      <c r="DA205" s="197">
        <f t="shared" si="553"/>
        <v>261.91798593910079</v>
      </c>
      <c r="DB205" s="443">
        <f t="shared" si="554"/>
        <v>68.909898734712897</v>
      </c>
      <c r="DD205" s="217">
        <f t="shared" si="555"/>
        <v>2.2222222222222228</v>
      </c>
      <c r="DE205" s="173">
        <f t="shared" si="556"/>
        <v>1.3488532386977905</v>
      </c>
      <c r="DF205" s="173">
        <f t="shared" si="557"/>
        <v>0.24355939229558116</v>
      </c>
      <c r="DG205" s="173"/>
      <c r="DH205" s="173">
        <f t="shared" si="558"/>
        <v>1.3488532386977903</v>
      </c>
      <c r="DI205" s="545">
        <f t="shared" si="559"/>
        <v>950.33249999999964</v>
      </c>
      <c r="DJ205" s="528">
        <f t="shared" si="560"/>
        <v>0.26182634671774968</v>
      </c>
      <c r="DL205" s="173">
        <f t="shared" si="561"/>
        <v>3.7424209124194308</v>
      </c>
      <c r="DM205" s="173">
        <f t="shared" si="562"/>
        <v>8.4463912941488424</v>
      </c>
      <c r="DN205" s="173">
        <f t="shared" si="563"/>
        <v>5.8104956088345334</v>
      </c>
      <c r="DP205" s="545">
        <f t="shared" si="564"/>
        <v>950</v>
      </c>
      <c r="DQ205" s="460">
        <f t="shared" si="565"/>
        <v>68.909898734712897</v>
      </c>
      <c r="DS205">
        <f t="shared" si="614"/>
        <v>950</v>
      </c>
      <c r="DT205">
        <f t="shared" si="615"/>
        <v>68.909898734712897</v>
      </c>
      <c r="DV205" s="5">
        <f t="shared" si="568"/>
        <v>14.511703229310607</v>
      </c>
      <c r="DW205" s="5">
        <f t="shared" si="569"/>
        <v>9.384879215720936</v>
      </c>
      <c r="DX205" s="5">
        <f t="shared" si="570"/>
        <v>5.1268240135896708</v>
      </c>
      <c r="DY205" s="173">
        <f t="shared" si="571"/>
        <v>0.64671107639284142</v>
      </c>
      <c r="EA205" s="5">
        <f t="shared" si="572"/>
        <v>37.148480228895373</v>
      </c>
      <c r="EB205" s="5">
        <f t="shared" si="573"/>
        <v>4.9531306971860491</v>
      </c>
      <c r="EC205" s="5">
        <f t="shared" si="574"/>
        <v>10.823295139800415</v>
      </c>
      <c r="ED205" s="5"/>
      <c r="EE205" s="173">
        <f t="shared" si="575"/>
        <v>3.9216219009628572</v>
      </c>
      <c r="EF205" s="173">
        <f t="shared" si="576"/>
        <v>1.9333096306391089</v>
      </c>
      <c r="EG205" s="173">
        <f t="shared" si="577"/>
        <v>0.19359222112210533</v>
      </c>
      <c r="EH205" s="173"/>
      <c r="EI205" s="528">
        <f t="shared" si="578"/>
        <v>0.61516473336446131</v>
      </c>
      <c r="EJ205" s="528">
        <f t="shared" si="579"/>
        <v>0.40775377499999998</v>
      </c>
      <c r="EK205" s="528">
        <f t="shared" si="580"/>
        <v>1.3781979746942579E-2</v>
      </c>
      <c r="EL205" s="528">
        <f t="shared" si="581"/>
        <v>7.826086363340359E-3</v>
      </c>
      <c r="EM205">
        <f t="shared" si="582"/>
        <v>4.0499999999999998E-3</v>
      </c>
      <c r="EN205" s="460">
        <f t="shared" si="583"/>
        <v>17.831979746942579</v>
      </c>
      <c r="EP205" s="460">
        <f t="shared" si="603"/>
        <v>1048.5765744747443</v>
      </c>
      <c r="EQ205" s="173">
        <f t="shared" si="584"/>
        <v>0.66499999999999992</v>
      </c>
      <c r="ER205" s="173">
        <f t="shared" si="585"/>
        <v>5.8900000000000001E-2</v>
      </c>
      <c r="ES205" s="528"/>
      <c r="EU205" s="460">
        <f t="shared" si="497"/>
        <v>723.89999999999986</v>
      </c>
      <c r="EV205" s="528">
        <f t="shared" si="586"/>
        <v>0.46137355002334596</v>
      </c>
      <c r="EW205" s="528">
        <f t="shared" si="587"/>
        <v>0.11213058383765782</v>
      </c>
      <c r="EX205" s="528">
        <f t="shared" si="588"/>
        <v>1.8738974039495064E-4</v>
      </c>
      <c r="EY205" s="528">
        <f t="shared" si="589"/>
        <v>0.4086504920234913</v>
      </c>
      <c r="EZ205" s="528"/>
      <c r="FA205" s="625">
        <f t="shared" si="590"/>
        <v>0.9832274649853423</v>
      </c>
      <c r="FB205" s="460">
        <f t="shared" si="613"/>
        <v>1965.5694806102324</v>
      </c>
      <c r="FC205" s="173">
        <f t="shared" si="591"/>
        <v>3.7380460550849772</v>
      </c>
      <c r="FD205" s="5">
        <f t="shared" si="592"/>
        <v>24.509999999999998</v>
      </c>
      <c r="FE205" s="173">
        <f t="shared" si="593"/>
        <v>0.86767063294234159</v>
      </c>
      <c r="FF205" s="5">
        <f t="shared" si="594"/>
        <v>86.767063294234163</v>
      </c>
      <c r="FG205">
        <f t="shared" si="595"/>
        <v>95</v>
      </c>
      <c r="FI205" s="562">
        <f t="shared" si="596"/>
        <v>-50</v>
      </c>
      <c r="FJ205">
        <f t="shared" si="597"/>
        <v>-50</v>
      </c>
    </row>
    <row r="206" spans="5:166">
      <c r="E206" s="170">
        <v>96</v>
      </c>
      <c r="F206" s="217">
        <f t="shared" si="598"/>
        <v>0.96</v>
      </c>
      <c r="G206" s="217">
        <f t="shared" si="499"/>
        <v>9.6000000000000002E-2</v>
      </c>
      <c r="H206" s="217">
        <f t="shared" si="500"/>
        <v>23.04</v>
      </c>
      <c r="I206" s="217">
        <f t="shared" si="501"/>
        <v>1.728</v>
      </c>
      <c r="J206" s="541">
        <f t="shared" si="502"/>
        <v>8.6294270062587586</v>
      </c>
      <c r="K206" s="443">
        <f t="shared" si="503"/>
        <v>16.530325496403517</v>
      </c>
      <c r="L206" s="172">
        <f t="shared" si="504"/>
        <v>25.159752502662275</v>
      </c>
      <c r="M206" s="443"/>
      <c r="N206" s="217">
        <f t="shared" si="505"/>
        <v>0.65701463059520804</v>
      </c>
      <c r="O206" s="172">
        <f>N206*J206*Isw_max*0.5*Efficiency*Pout/(Pout+Pout2)</f>
        <v>29.300567425144234</v>
      </c>
      <c r="P206" s="172">
        <f t="shared" si="507"/>
        <v>2.3623582486522539</v>
      </c>
      <c r="Q206" s="217">
        <f t="shared" si="508"/>
        <v>1.2208569760476764</v>
      </c>
      <c r="R206" s="217">
        <f t="shared" si="509"/>
        <v>1.6278093013969019</v>
      </c>
      <c r="S206" s="217">
        <f t="shared" si="510"/>
        <v>24</v>
      </c>
      <c r="T206" s="217">
        <f t="shared" si="511"/>
        <v>8.7370321634219952</v>
      </c>
      <c r="U206" s="217">
        <f t="shared" si="512"/>
        <v>10.124695599238736</v>
      </c>
      <c r="V206" s="217">
        <f t="shared" si="513"/>
        <v>5.2854568201472505</v>
      </c>
      <c r="W206" s="197">
        <f t="shared" si="514"/>
        <v>255.13469085444345</v>
      </c>
      <c r="X206" s="443">
        <f t="shared" si="599"/>
        <v>64.060873534976949</v>
      </c>
      <c r="Z206" s="217">
        <f t="shared" si="515"/>
        <v>2.2222222222222223</v>
      </c>
      <c r="AA206" s="173">
        <f t="shared" si="516"/>
        <v>1.3443305896824045</v>
      </c>
      <c r="AB206" s="173">
        <f>0.5*AA206*Z206*Nps*W206/1000*(Pout/(Pout+Pout2))</f>
        <v>0.23645606345529324</v>
      </c>
      <c r="AC206" s="173"/>
      <c r="AD206" s="173">
        <f t="shared" si="518"/>
        <v>1.3443305896824045</v>
      </c>
      <c r="AE206" s="545">
        <f>MAX(10, F206/(0.5*AD206/1000000*Isw_min*Nps)/1000*Pout_total/Pout)</f>
        <v>963.56679955047764</v>
      </c>
      <c r="AF206" s="528">
        <f t="shared" si="520"/>
        <v>0.2541902682144403</v>
      </c>
      <c r="AH206" s="173">
        <f t="shared" si="521"/>
        <v>3.7620663015346838</v>
      </c>
      <c r="AI206" s="173">
        <f>MAX(IF(F206&gt;AB206,T206,AH206),Isw_min)</f>
        <v>8.7370321634219952</v>
      </c>
      <c r="AJ206" s="173">
        <f>IF(F206&gt;AF206, (AI206-Isw_min)/1.08*0.8+1.2, AE206*0.2/350+1)</f>
        <v>6.0257851416294619</v>
      </c>
      <c r="AL206" s="545">
        <f t="shared" si="524"/>
        <v>960</v>
      </c>
      <c r="AM206" s="460">
        <f t="shared" si="525"/>
        <v>64.060873534976949</v>
      </c>
      <c r="AO206">
        <f t="shared" si="526"/>
        <v>960</v>
      </c>
      <c r="AP206">
        <f t="shared" si="527"/>
        <v>64.060873534976949</v>
      </c>
      <c r="AR206" s="5">
        <f t="shared" si="616"/>
        <v>15.610152419385985</v>
      </c>
      <c r="AS206" s="5">
        <f t="shared" si="604"/>
        <v>10.124695599238736</v>
      </c>
      <c r="AT206" s="5">
        <f t="shared" si="605"/>
        <v>5.4854568201472489</v>
      </c>
      <c r="AU206" s="173">
        <f t="shared" si="606"/>
        <v>0.64859684436297027</v>
      </c>
      <c r="AW206" s="5">
        <f t="shared" si="477"/>
        <v>40.498782396954937</v>
      </c>
      <c r="AX206" s="5">
        <f t="shared" si="478"/>
        <v>5.3998376529273262</v>
      </c>
      <c r="AY206" s="5">
        <f t="shared" si="479"/>
        <v>12.204839425658275</v>
      </c>
      <c r="AZ206" s="5"/>
      <c r="BA206" s="173">
        <f t="shared" si="480"/>
        <v>4.0624752001188362</v>
      </c>
      <c r="BB206" s="173">
        <f t="shared" si="481"/>
        <v>1.9944904888347477</v>
      </c>
      <c r="BC206" s="173">
        <f t="shared" si="482"/>
        <v>0.19971857462520914</v>
      </c>
      <c r="BD206" s="173"/>
      <c r="BE206" s="528">
        <f t="shared" si="483"/>
        <v>0.66014819006322312</v>
      </c>
      <c r="BF206" s="528">
        <f t="shared" si="528"/>
        <v>0.31684413585522425</v>
      </c>
      <c r="BG206" s="528">
        <f t="shared" si="529"/>
        <v>2.2112345285090283E-2</v>
      </c>
      <c r="BH206" s="528">
        <f t="shared" si="484"/>
        <v>7.0964906410261016E-3</v>
      </c>
      <c r="BI206">
        <f t="shared" si="485"/>
        <v>3.8832421528164412E-3</v>
      </c>
      <c r="BJ206" s="460">
        <f t="shared" si="600"/>
        <v>25.995587437906725</v>
      </c>
      <c r="BK206">
        <f t="shared" si="530"/>
        <v>1.3785571913351771</v>
      </c>
      <c r="BL206" s="460">
        <f t="shared" si="601"/>
        <v>1010.0844039973804</v>
      </c>
      <c r="BM206" s="173">
        <f t="shared" si="531"/>
        <v>0.83327999999999991</v>
      </c>
      <c r="BN206" s="173">
        <f t="shared" si="532"/>
        <v>8.3327999999999999E-2</v>
      </c>
      <c r="BO206" s="528"/>
      <c r="BQ206" s="460">
        <f t="shared" si="486"/>
        <v>916.60799999999983</v>
      </c>
      <c r="BR206" s="528">
        <f t="shared" si="487"/>
        <v>0.49511114254741734</v>
      </c>
      <c r="BS206" s="528">
        <f t="shared" si="488"/>
        <v>0.11933976930156812</v>
      </c>
      <c r="BT206" s="528">
        <f t="shared" si="489"/>
        <v>1.9943754525162617E-4</v>
      </c>
      <c r="BU206" s="528">
        <f t="shared" si="490"/>
        <v>0.37056293845426891</v>
      </c>
      <c r="BV206" s="528"/>
      <c r="BW206" s="625">
        <f t="shared" si="533"/>
        <v>0.97802672227428589</v>
      </c>
      <c r="BX206" s="460">
        <f t="shared" si="607"/>
        <v>1963.2400101227918</v>
      </c>
      <c r="BY206" s="173">
        <f t="shared" si="608"/>
        <v>3.8899324141201723</v>
      </c>
      <c r="BZ206" s="5">
        <f t="shared" si="609"/>
        <v>24.768000000000001</v>
      </c>
      <c r="CA206" s="173">
        <f t="shared" si="610"/>
        <v>0.86426332654048876</v>
      </c>
      <c r="CB206" s="5">
        <f t="shared" si="611"/>
        <v>86.426332654048878</v>
      </c>
      <c r="CC206">
        <f t="shared" si="612"/>
        <v>96</v>
      </c>
      <c r="CE206" s="562">
        <f t="shared" si="534"/>
        <v>-50</v>
      </c>
      <c r="CF206">
        <f t="shared" si="535"/>
        <v>-50</v>
      </c>
      <c r="CG206" s="173">
        <f t="shared" si="536"/>
        <v>0.34658417599272739</v>
      </c>
      <c r="CH206" s="173">
        <f t="shared" si="537"/>
        <v>9.446712174985028E-2</v>
      </c>
      <c r="CI206" s="170">
        <v>96</v>
      </c>
      <c r="CJ206" s="217">
        <f t="shared" si="602"/>
        <v>0.96</v>
      </c>
      <c r="CK206" s="217">
        <f t="shared" si="538"/>
        <v>9.6000000000000002E-2</v>
      </c>
      <c r="CL206" s="217">
        <f t="shared" si="539"/>
        <v>23.04</v>
      </c>
      <c r="CM206" s="217">
        <f t="shared" si="540"/>
        <v>1.728</v>
      </c>
      <c r="CN206" s="541">
        <f t="shared" si="541"/>
        <v>9</v>
      </c>
      <c r="CO206" s="443">
        <f t="shared" si="542"/>
        <v>16.474900000000002</v>
      </c>
      <c r="CP206" s="443">
        <f t="shared" si="543"/>
        <v>25.474900000000002</v>
      </c>
      <c r="CQ206" s="443"/>
      <c r="CR206" s="217">
        <f t="shared" si="544"/>
        <v>0.64485133082098534</v>
      </c>
      <c r="CS206" s="172">
        <f t="shared" si="545"/>
        <v>29.993085154464438</v>
      </c>
      <c r="CT206" s="172">
        <f t="shared" si="546"/>
        <v>2.4181924905786953</v>
      </c>
      <c r="CU206" s="217">
        <f t="shared" si="547"/>
        <v>1.2497118814360182</v>
      </c>
      <c r="CV206" s="217">
        <f t="shared" si="548"/>
        <v>1.6662825085813577</v>
      </c>
      <c r="CW206" s="217">
        <f t="shared" si="549"/>
        <v>24</v>
      </c>
      <c r="CX206" s="217">
        <f t="shared" si="550"/>
        <v>8.5353006761925148</v>
      </c>
      <c r="CY206" s="217">
        <f t="shared" si="551"/>
        <v>9.4836674179916844</v>
      </c>
      <c r="CZ206" s="217">
        <f t="shared" si="552"/>
        <v>5.1807905821537705</v>
      </c>
      <c r="DA206" s="197">
        <f t="shared" si="553"/>
        <v>261.91798593910079</v>
      </c>
      <c r="DB206" s="443">
        <f t="shared" si="554"/>
        <v>68.192087289559637</v>
      </c>
      <c r="DD206" s="217">
        <f t="shared" si="555"/>
        <v>2.2222222222222228</v>
      </c>
      <c r="DE206" s="173">
        <f t="shared" si="556"/>
        <v>1.3488532386977905</v>
      </c>
      <c r="DF206" s="173">
        <f t="shared" si="557"/>
        <v>0.24355939229558116</v>
      </c>
      <c r="DG206" s="173"/>
      <c r="DH206" s="173">
        <f t="shared" si="558"/>
        <v>1.3488532386977903</v>
      </c>
      <c r="DI206" s="545">
        <f t="shared" si="559"/>
        <v>960.33599999999967</v>
      </c>
      <c r="DJ206" s="528">
        <f t="shared" si="560"/>
        <v>0.26182634671774968</v>
      </c>
      <c r="DL206" s="173">
        <f t="shared" si="561"/>
        <v>3.7620663015346838</v>
      </c>
      <c r="DM206" s="173">
        <f t="shared" si="562"/>
        <v>8.5353006761925148</v>
      </c>
      <c r="DN206" s="173">
        <f t="shared" si="563"/>
        <v>5.8763544103483651</v>
      </c>
      <c r="DP206" s="545">
        <f t="shared" si="564"/>
        <v>960</v>
      </c>
      <c r="DQ206" s="460">
        <f t="shared" si="565"/>
        <v>68.192087289559637</v>
      </c>
      <c r="DS206">
        <f t="shared" si="614"/>
        <v>960</v>
      </c>
      <c r="DT206">
        <f t="shared" si="615"/>
        <v>68.192087289559637</v>
      </c>
      <c r="DV206" s="5">
        <f t="shared" si="568"/>
        <v>14.664458000145455</v>
      </c>
      <c r="DW206" s="5">
        <f t="shared" si="569"/>
        <v>9.4836674179916844</v>
      </c>
      <c r="DX206" s="5">
        <f t="shared" si="570"/>
        <v>5.1807905821537705</v>
      </c>
      <c r="DY206" s="173">
        <f t="shared" si="571"/>
        <v>0.64671107639284164</v>
      </c>
      <c r="EA206" s="5">
        <f t="shared" si="572"/>
        <v>37.934669671966731</v>
      </c>
      <c r="EB206" s="5">
        <f t="shared" si="573"/>
        <v>5.0579559562622309</v>
      </c>
      <c r="EC206" s="5">
        <f t="shared" si="574"/>
        <v>11.052353241928042</v>
      </c>
      <c r="ED206" s="5"/>
      <c r="EE206" s="173">
        <f t="shared" si="575"/>
        <v>3.9629021314993094</v>
      </c>
      <c r="EF206" s="173">
        <f t="shared" si="576"/>
        <v>1.9536602583300464</v>
      </c>
      <c r="EG206" s="173">
        <f t="shared" si="577"/>
        <v>0.19563003397602219</v>
      </c>
      <c r="EH206" s="173"/>
      <c r="EI206" s="528">
        <f t="shared" si="578"/>
        <v>0.62818373215367074</v>
      </c>
      <c r="EJ206" s="528">
        <f t="shared" si="579"/>
        <v>0.40775377500000004</v>
      </c>
      <c r="EK206" s="528">
        <f t="shared" si="580"/>
        <v>1.3638417457911927E-2</v>
      </c>
      <c r="EL206" s="528">
        <f t="shared" si="581"/>
        <v>7.744564630388898E-3</v>
      </c>
      <c r="EM206">
        <f t="shared" si="582"/>
        <v>4.0499999999999998E-3</v>
      </c>
      <c r="EN206" s="460">
        <f t="shared" si="583"/>
        <v>17.688417457911928</v>
      </c>
      <c r="EP206" s="460">
        <f t="shared" si="603"/>
        <v>1061.3704892419714</v>
      </c>
      <c r="EQ206" s="173">
        <f t="shared" si="584"/>
        <v>0.67199999999999993</v>
      </c>
      <c r="ER206" s="173">
        <f t="shared" si="585"/>
        <v>5.9520000000000003E-2</v>
      </c>
      <c r="ES206" s="528"/>
      <c r="EU206" s="460">
        <f t="shared" si="497"/>
        <v>731.52</v>
      </c>
      <c r="EV206" s="528">
        <f t="shared" si="586"/>
        <v>0.47113779911525305</v>
      </c>
      <c r="EW206" s="528">
        <f t="shared" si="587"/>
        <v>0.11450365214934671</v>
      </c>
      <c r="EX206" s="528">
        <f t="shared" si="588"/>
        <v>1.9135555096729798E-4</v>
      </c>
      <c r="EY206" s="528">
        <f t="shared" si="589"/>
        <v>0.40865049202349207</v>
      </c>
      <c r="EZ206" s="528"/>
      <c r="FA206" s="625">
        <f t="shared" si="590"/>
        <v>0.99357722777466184</v>
      </c>
      <c r="FB206" s="460">
        <f t="shared" si="613"/>
        <v>1988.0605266137211</v>
      </c>
      <c r="FC206" s="173">
        <f t="shared" si="591"/>
        <v>3.7809510158556923</v>
      </c>
      <c r="FD206" s="5">
        <f t="shared" si="592"/>
        <v>24.768000000000001</v>
      </c>
      <c r="FE206" s="173">
        <f t="shared" si="593"/>
        <v>0.86756252396959155</v>
      </c>
      <c r="FF206" s="5">
        <f t="shared" si="594"/>
        <v>86.756252396959155</v>
      </c>
      <c r="FG206">
        <f t="shared" si="595"/>
        <v>96</v>
      </c>
      <c r="FI206" s="562">
        <f t="shared" si="596"/>
        <v>-50</v>
      </c>
      <c r="FJ206">
        <f t="shared" si="597"/>
        <v>-50</v>
      </c>
    </row>
    <row r="207" spans="5:166">
      <c r="E207" s="170">
        <v>97</v>
      </c>
      <c r="F207" s="217">
        <f>IF(PLOT_TYPE=1, E207/100*Iout_max, min_I*EXP(O207*rr/100))</f>
        <v>0.97</v>
      </c>
      <c r="G207" s="217">
        <f t="shared" si="499"/>
        <v>9.7000000000000003E-2</v>
      </c>
      <c r="H207" s="217">
        <f t="shared" si="500"/>
        <v>23.28</v>
      </c>
      <c r="I207" s="217">
        <f t="shared" si="501"/>
        <v>1.746</v>
      </c>
      <c r="J207" s="541">
        <f t="shared" si="502"/>
        <v>8.6255668709072868</v>
      </c>
      <c r="K207" s="443">
        <f t="shared" si="503"/>
        <v>16.530902845324388</v>
      </c>
      <c r="L207" s="172">
        <f t="shared" si="504"/>
        <v>25.156469716231676</v>
      </c>
      <c r="M207" s="443"/>
      <c r="N207" s="217">
        <f t="shared" si="505"/>
        <v>0.65712331785004696</v>
      </c>
      <c r="O207" s="172">
        <f>N207*J207*Isw_max*0.5*Efficiency*Pout/(Pout+Pout2)</f>
        <v>29.292305532548031</v>
      </c>
      <c r="P207" s="172">
        <f t="shared" si="507"/>
        <v>2.3616921335616849</v>
      </c>
      <c r="Q207" s="217">
        <f t="shared" si="508"/>
        <v>1.2205127305228347</v>
      </c>
      <c r="R207" s="217">
        <f t="shared" si="509"/>
        <v>1.6273503073637796</v>
      </c>
      <c r="S207" s="217">
        <f t="shared" si="510"/>
        <v>24</v>
      </c>
      <c r="T207" s="217">
        <f t="shared" si="511"/>
        <v>8.830532863971742</v>
      </c>
      <c r="U207" s="217">
        <f t="shared" si="512"/>
        <v>10.237626113311782</v>
      </c>
      <c r="V207" s="217">
        <f t="shared" si="513"/>
        <v>5.3418333811509733</v>
      </c>
      <c r="W207" s="197">
        <f t="shared" si="514"/>
        <v>255.06275042466194</v>
      </c>
      <c r="X207" s="443">
        <f t="shared" si="599"/>
        <v>63.373526853116537</v>
      </c>
      <c r="Z207" s="217">
        <f t="shared" si="515"/>
        <v>2.2222222222222223</v>
      </c>
      <c r="AA207" s="173">
        <f t="shared" si="516"/>
        <v>1.3442836383560004</v>
      </c>
      <c r="AB207" s="173">
        <f>0.5*AA207*Z207*Nps*W207/1000*(Pout/(Pout+Pout2))</f>
        <v>0.23638113384394696</v>
      </c>
      <c r="AC207" s="173"/>
      <c r="AD207" s="173">
        <f t="shared" si="518"/>
        <v>1.3442836383560004</v>
      </c>
      <c r="AE207" s="545">
        <f>MAX(10, F207/(0.5*AD207/1000000*Isw_min*Nps)/1000*Pout_total/Pout)</f>
        <v>973.63795843863318</v>
      </c>
      <c r="AF207" s="528">
        <f t="shared" si="520"/>
        <v>0.25410971888224304</v>
      </c>
      <c r="AH207" s="173">
        <f t="shared" si="521"/>
        <v>3.7816096346095041</v>
      </c>
      <c r="AI207" s="173">
        <f>MAX(IF(F207&gt;AB207,T207,AH207),Isw_min)</f>
        <v>8.830532863971742</v>
      </c>
      <c r="AJ207" s="173">
        <f>IF(F207&gt;AF207, (AI207-Isw_min)/1.08*0.8+1.2, AE207*0.2/350+1)</f>
        <v>6.0950449198144598</v>
      </c>
      <c r="AL207" s="545">
        <f t="shared" si="524"/>
        <v>970</v>
      </c>
      <c r="AM207" s="460">
        <f t="shared" si="525"/>
        <v>63.373526853116537</v>
      </c>
      <c r="AO207">
        <f t="shared" si="526"/>
        <v>970</v>
      </c>
      <c r="AP207">
        <f t="shared" si="527"/>
        <v>63.373526853116537</v>
      </c>
      <c r="AR207" s="5">
        <f t="shared" si="616"/>
        <v>15.779459494462754</v>
      </c>
      <c r="AS207" s="5">
        <f t="shared" si="604"/>
        <v>10.237626113311782</v>
      </c>
      <c r="AT207" s="5">
        <f t="shared" si="605"/>
        <v>5.5418333811509726</v>
      </c>
      <c r="AU207" s="173">
        <f t="shared" si="606"/>
        <v>0.64879447340413121</v>
      </c>
      <c r="AW207" s="5">
        <f t="shared" si="477"/>
        <v>41.377072207968453</v>
      </c>
      <c r="AX207" s="5">
        <f t="shared" si="478"/>
        <v>5.516942961062461</v>
      </c>
      <c r="AY207" s="5">
        <f t="shared" si="479"/>
        <v>12.464290081263975</v>
      </c>
      <c r="AZ207" s="5"/>
      <c r="BA207" s="173">
        <f t="shared" si="480"/>
        <v>4.1065759054915674</v>
      </c>
      <c r="BB207" s="173">
        <f t="shared" si="481"/>
        <v>2.015267904964158</v>
      </c>
      <c r="BC207" s="173">
        <f t="shared" si="482"/>
        <v>0.2017991239970866</v>
      </c>
      <c r="BD207" s="173"/>
      <c r="BE207" s="528">
        <f t="shared" si="483"/>
        <v>0.6745586267025554</v>
      </c>
      <c r="BF207" s="528">
        <f t="shared" si="528"/>
        <v>0.31675756920536935</v>
      </c>
      <c r="BG207" s="528">
        <f t="shared" si="529"/>
        <v>2.1865303748671811E-2</v>
      </c>
      <c r="BH207" s="528">
        <f t="shared" si="484"/>
        <v>7.0185163529211817E-3</v>
      </c>
      <c r="BI207">
        <f t="shared" si="485"/>
        <v>3.8815050919082791E-3</v>
      </c>
      <c r="BJ207" s="460">
        <f t="shared" si="600"/>
        <v>25.746808840580091</v>
      </c>
      <c r="BK207">
        <f t="shared" si="530"/>
        <v>1.4057765623342406</v>
      </c>
      <c r="BL207" s="460">
        <f t="shared" si="601"/>
        <v>1024.0815211014262</v>
      </c>
      <c r="BM207" s="173">
        <f t="shared" si="531"/>
        <v>0.84195999999999993</v>
      </c>
      <c r="BN207" s="173">
        <f t="shared" si="532"/>
        <v>8.4196000000000007E-2</v>
      </c>
      <c r="BO207" s="528"/>
      <c r="BQ207" s="460">
        <f t="shared" si="486"/>
        <v>926.15599999999995</v>
      </c>
      <c r="BR207" s="528">
        <f t="shared" si="487"/>
        <v>0.50591897002691655</v>
      </c>
      <c r="BS207" s="528">
        <f t="shared" si="488"/>
        <v>0.1218391418633588</v>
      </c>
      <c r="BT207" s="528">
        <f t="shared" si="489"/>
        <v>2.0361443222995768E-4</v>
      </c>
      <c r="BU207" s="528">
        <f t="shared" si="490"/>
        <v>0.3704307022351167</v>
      </c>
      <c r="BV207" s="528"/>
      <c r="BW207" s="625">
        <f t="shared" si="533"/>
        <v>0.98835211293579117</v>
      </c>
      <c r="BX207" s="460">
        <f t="shared" si="607"/>
        <v>1986.744541493413</v>
      </c>
      <c r="BY207" s="173">
        <f t="shared" si="608"/>
        <v>3.9369820625948391</v>
      </c>
      <c r="BZ207" s="5">
        <f t="shared" si="609"/>
        <v>25.026</v>
      </c>
      <c r="CA207" s="173">
        <f t="shared" si="610"/>
        <v>0.8640684838983006</v>
      </c>
      <c r="CB207" s="5">
        <f t="shared" si="611"/>
        <v>86.40684838983006</v>
      </c>
      <c r="CC207">
        <f t="shared" si="612"/>
        <v>97</v>
      </c>
      <c r="CE207" s="562">
        <f t="shared" si="534"/>
        <v>-50</v>
      </c>
      <c r="CF207">
        <f t="shared" si="535"/>
        <v>-50</v>
      </c>
      <c r="CG207" s="173">
        <f t="shared" si="536"/>
        <v>0.34658417599272739</v>
      </c>
      <c r="CH207" s="173">
        <f t="shared" si="537"/>
        <v>9.446712174985028E-2</v>
      </c>
      <c r="CI207" s="170">
        <v>97</v>
      </c>
      <c r="CJ207" s="217">
        <f t="shared" si="602"/>
        <v>0.97</v>
      </c>
      <c r="CK207" s="217">
        <f t="shared" si="538"/>
        <v>9.7000000000000003E-2</v>
      </c>
      <c r="CL207" s="217">
        <f t="shared" si="539"/>
        <v>23.28</v>
      </c>
      <c r="CM207" s="217">
        <f t="shared" si="540"/>
        <v>1.746</v>
      </c>
      <c r="CN207" s="541">
        <f t="shared" si="541"/>
        <v>9</v>
      </c>
      <c r="CO207" s="443">
        <f t="shared" si="542"/>
        <v>16.474900000000002</v>
      </c>
      <c r="CP207" s="443">
        <f t="shared" si="543"/>
        <v>25.474900000000002</v>
      </c>
      <c r="CQ207" s="443"/>
      <c r="CR207" s="217">
        <f t="shared" si="544"/>
        <v>0.64485133082098534</v>
      </c>
      <c r="CS207" s="172">
        <f t="shared" si="545"/>
        <v>29.993085154464438</v>
      </c>
      <c r="CT207" s="172">
        <f t="shared" si="546"/>
        <v>2.4181924905786953</v>
      </c>
      <c r="CU207" s="217">
        <f t="shared" si="547"/>
        <v>1.2497118814360182</v>
      </c>
      <c r="CV207" s="217">
        <f t="shared" si="548"/>
        <v>1.6662825085813577</v>
      </c>
      <c r="CW207" s="217">
        <f t="shared" si="549"/>
        <v>24</v>
      </c>
      <c r="CX207" s="217">
        <f t="shared" si="550"/>
        <v>8.6242100582361871</v>
      </c>
      <c r="CY207" s="217">
        <f t="shared" si="551"/>
        <v>9.5824556202624311</v>
      </c>
      <c r="CZ207" s="217">
        <f t="shared" si="552"/>
        <v>5.2347571507178712</v>
      </c>
      <c r="DA207" s="197">
        <f t="shared" si="553"/>
        <v>261.91798593910079</v>
      </c>
      <c r="DB207" s="443">
        <f t="shared" si="554"/>
        <v>67.489076080388926</v>
      </c>
      <c r="DD207" s="217">
        <f t="shared" si="555"/>
        <v>2.2222222222222228</v>
      </c>
      <c r="DE207" s="173">
        <f t="shared" si="556"/>
        <v>1.3488532386977905</v>
      </c>
      <c r="DF207" s="173">
        <f t="shared" si="557"/>
        <v>0.24355939229558116</v>
      </c>
      <c r="DG207" s="173"/>
      <c r="DH207" s="173">
        <f t="shared" si="558"/>
        <v>1.3488532386977903</v>
      </c>
      <c r="DI207" s="545">
        <f t="shared" si="559"/>
        <v>970.3394999999997</v>
      </c>
      <c r="DJ207" s="528">
        <f t="shared" si="560"/>
        <v>0.26182634671774968</v>
      </c>
      <c r="DL207" s="173">
        <f t="shared" si="561"/>
        <v>3.7816096346095041</v>
      </c>
      <c r="DM207" s="173">
        <f t="shared" si="562"/>
        <v>8.6242100582361871</v>
      </c>
      <c r="DN207" s="173">
        <f t="shared" si="563"/>
        <v>5.942213211862196</v>
      </c>
      <c r="DP207" s="545">
        <f t="shared" si="564"/>
        <v>970</v>
      </c>
      <c r="DQ207" s="460">
        <f t="shared" si="565"/>
        <v>67.489076080388926</v>
      </c>
      <c r="DS207">
        <f t="shared" si="614"/>
        <v>970</v>
      </c>
      <c r="DT207">
        <f t="shared" si="615"/>
        <v>67.489076080388926</v>
      </c>
      <c r="DV207" s="5">
        <f t="shared" si="568"/>
        <v>14.817212770980301</v>
      </c>
      <c r="DW207" s="5">
        <f t="shared" si="569"/>
        <v>9.5824556202624311</v>
      </c>
      <c r="DX207" s="5">
        <f t="shared" si="570"/>
        <v>5.2347571507178703</v>
      </c>
      <c r="DY207" s="173">
        <f t="shared" si="571"/>
        <v>0.64671107639284164</v>
      </c>
      <c r="EA207" s="5">
        <f t="shared" si="572"/>
        <v>38.72909146522732</v>
      </c>
      <c r="EB207" s="5">
        <f t="shared" si="573"/>
        <v>5.1638788620303098</v>
      </c>
      <c r="EC207" s="5">
        <f t="shared" si="574"/>
        <v>11.283809858214076</v>
      </c>
      <c r="ED207" s="5"/>
      <c r="EE207" s="173">
        <f t="shared" si="575"/>
        <v>4.0041823620357606</v>
      </c>
      <c r="EF207" s="173">
        <f t="shared" si="576"/>
        <v>1.9740108860209846</v>
      </c>
      <c r="EG207" s="173">
        <f t="shared" si="577"/>
        <v>0.1976678468299391</v>
      </c>
      <c r="EH207" s="173"/>
      <c r="EI207" s="528">
        <f t="shared" si="578"/>
        <v>0.64133905553753134</v>
      </c>
      <c r="EJ207" s="528">
        <f t="shared" si="579"/>
        <v>0.4077537750000001</v>
      </c>
      <c r="EK207" s="528">
        <f t="shared" si="580"/>
        <v>1.3497815216077786E-2</v>
      </c>
      <c r="EL207" s="528">
        <f t="shared" si="581"/>
        <v>7.6647237579106622E-3</v>
      </c>
      <c r="EM207">
        <f t="shared" si="582"/>
        <v>4.0499999999999998E-3</v>
      </c>
      <c r="EN207" s="460">
        <f t="shared" si="583"/>
        <v>17.547815216077787</v>
      </c>
      <c r="EP207" s="460">
        <f t="shared" si="603"/>
        <v>1074.3053695115202</v>
      </c>
      <c r="EQ207" s="173">
        <f t="shared" si="584"/>
        <v>0.67899999999999994</v>
      </c>
      <c r="ER207" s="173">
        <f t="shared" si="585"/>
        <v>6.0139999999999999E-2</v>
      </c>
      <c r="ES207" s="528"/>
      <c r="EU207" s="460">
        <f t="shared" si="497"/>
        <v>739.13999999999987</v>
      </c>
      <c r="EV207" s="528">
        <f t="shared" si="586"/>
        <v>0.48100429165314851</v>
      </c>
      <c r="EW207" s="528">
        <f t="shared" si="587"/>
        <v>0.11690156934388057</v>
      </c>
      <c r="EX207" s="528">
        <f t="shared" si="588"/>
        <v>1.9536288835192133E-4</v>
      </c>
      <c r="EY207" s="528">
        <f t="shared" si="589"/>
        <v>0.40865049202349241</v>
      </c>
      <c r="EZ207" s="528"/>
      <c r="FA207" s="625">
        <f t="shared" si="590"/>
        <v>1.0039269905639814</v>
      </c>
      <c r="FB207" s="460">
        <f t="shared" si="613"/>
        <v>2010.6787064728549</v>
      </c>
      <c r="FC207" s="173">
        <f t="shared" si="591"/>
        <v>3.8241240759843751</v>
      </c>
      <c r="FD207" s="5">
        <f t="shared" si="592"/>
        <v>25.026</v>
      </c>
      <c r="FE207" s="173">
        <f t="shared" si="593"/>
        <v>0.86744860902807419</v>
      </c>
      <c r="FF207" s="5">
        <f t="shared" si="594"/>
        <v>86.744860902807417</v>
      </c>
      <c r="FG207">
        <f t="shared" si="595"/>
        <v>97</v>
      </c>
      <c r="FI207" s="562">
        <f t="shared" si="596"/>
        <v>-50</v>
      </c>
      <c r="FJ207">
        <f t="shared" si="597"/>
        <v>-50</v>
      </c>
    </row>
    <row r="208" spans="5:166">
      <c r="E208" s="170">
        <v>98</v>
      </c>
      <c r="F208" s="217">
        <f>IF(PLOT_TYPE=1, E208/100*Iout_max, min_I*EXP(O208*rr/100))</f>
        <v>0.98</v>
      </c>
      <c r="G208" s="217">
        <f t="shared" si="499"/>
        <v>9.8000000000000004E-2</v>
      </c>
      <c r="H208" s="217">
        <f t="shared" si="500"/>
        <v>23.52</v>
      </c>
      <c r="I208" s="217">
        <f t="shared" si="501"/>
        <v>1.764</v>
      </c>
      <c r="J208" s="541">
        <f t="shared" si="502"/>
        <v>8.6217067355558168</v>
      </c>
      <c r="K208" s="443">
        <f t="shared" si="503"/>
        <v>16.531480194245255</v>
      </c>
      <c r="L208" s="172">
        <f t="shared" si="504"/>
        <v>25.153186929801073</v>
      </c>
      <c r="M208" s="443"/>
      <c r="N208" s="217">
        <f t="shared" si="505"/>
        <v>0.65723203347481329</v>
      </c>
      <c r="O208" s="172">
        <f>N208*J208*Isw_max*0.5*Efficiency*Pout/(Pout+Pout2)</f>
        <v>29.284040567611594</v>
      </c>
      <c r="P208" s="172">
        <f t="shared" si="507"/>
        <v>2.361025770763685</v>
      </c>
      <c r="Q208" s="217">
        <f t="shared" si="508"/>
        <v>1.2201683569838164</v>
      </c>
      <c r="R208" s="217">
        <f t="shared" si="509"/>
        <v>1.6268911426450885</v>
      </c>
      <c r="S208" s="217">
        <f t="shared" si="510"/>
        <v>24</v>
      </c>
      <c r="T208" s="217">
        <f t="shared" si="511"/>
        <v>8.9240872594053933</v>
      </c>
      <c r="U208" s="217">
        <f t="shared" si="512"/>
        <v>10.350720029251939</v>
      </c>
      <c r="V208" s="217">
        <f t="shared" si="513"/>
        <v>5.3982384847256109</v>
      </c>
      <c r="W208" s="197">
        <f t="shared" si="514"/>
        <v>254.99078324247793</v>
      </c>
      <c r="X208" s="443">
        <f t="shared" si="599"/>
        <v>62.700018883590893</v>
      </c>
      <c r="Z208" s="217">
        <f t="shared" si="515"/>
        <v>2.2222222222222223</v>
      </c>
      <c r="AA208" s="173">
        <f t="shared" si="516"/>
        <v>1.3442366903090728</v>
      </c>
      <c r="AB208" s="173">
        <f>0.5*AA208*Z208*Nps*W208/1000*(Pout/(Pout+Pout2))</f>
        <v>0.23630618467421144</v>
      </c>
      <c r="AC208" s="173"/>
      <c r="AD208" s="173">
        <f t="shared" si="518"/>
        <v>1.3442366903090728</v>
      </c>
      <c r="AE208" s="545">
        <f>MAX(10, F208/(0.5*AD208/1000000*Isw_min*Nps)/1000*Pout_total/Pout)</f>
        <v>983.70981845516326</v>
      </c>
      <c r="AF208" s="528">
        <f t="shared" si="520"/>
        <v>0.25402914852477732</v>
      </c>
      <c r="AH208" s="173">
        <f t="shared" si="521"/>
        <v>3.8010524858254717</v>
      </c>
      <c r="AI208" s="173">
        <f>MAX(IF(F208&gt;AB208,T208,AH208),Isw_min)</f>
        <v>8.9240872594053933</v>
      </c>
      <c r="AJ208" s="173">
        <f>IF(F208&gt;AF208, (AI208-Isw_min)/1.08*0.8+1.2, AE208*0.2/350+1)</f>
        <v>6.1643444719875342</v>
      </c>
      <c r="AL208" s="545">
        <f t="shared" si="524"/>
        <v>980</v>
      </c>
      <c r="AM208" s="460">
        <f t="shared" si="525"/>
        <v>62.700018883590893</v>
      </c>
      <c r="AO208">
        <f t="shared" si="526"/>
        <v>980</v>
      </c>
      <c r="AP208">
        <f t="shared" si="527"/>
        <v>62.700018883590893</v>
      </c>
      <c r="AR208" s="5">
        <f t="shared" si="616"/>
        <v>15.948958513977548</v>
      </c>
      <c r="AS208" s="5">
        <f t="shared" si="604"/>
        <v>10.350720029251939</v>
      </c>
      <c r="AT208" s="5">
        <f t="shared" si="605"/>
        <v>5.5982384847256093</v>
      </c>
      <c r="AU208" s="173">
        <f t="shared" si="606"/>
        <v>0.64899034129285904</v>
      </c>
      <c r="AW208" s="5">
        <f t="shared" si="477"/>
        <v>42.265440119445415</v>
      </c>
      <c r="AX208" s="5">
        <f t="shared" si="478"/>
        <v>5.6353920159260547</v>
      </c>
      <c r="AY208" s="5">
        <f t="shared" si="479"/>
        <v>12.726653511434733</v>
      </c>
      <c r="AZ208" s="5"/>
      <c r="BA208" s="173">
        <f t="shared" si="480"/>
        <v>4.1507091029666752</v>
      </c>
      <c r="BB208" s="173">
        <f t="shared" si="481"/>
        <v>2.0360505125406609</v>
      </c>
      <c r="BC208" s="173">
        <f t="shared" si="482"/>
        <v>0.20388019321522022</v>
      </c>
      <c r="BD208" s="173"/>
      <c r="BE208" s="528">
        <f t="shared" si="483"/>
        <v>0.68913544229801693</v>
      </c>
      <c r="BF208" s="528">
        <f t="shared" si="528"/>
        <v>0.31667006866821612</v>
      </c>
      <c r="BG208" s="528">
        <f t="shared" si="529"/>
        <v>2.1623247005125305E-2</v>
      </c>
      <c r="BH208" s="528">
        <f t="shared" si="484"/>
        <v>6.9421142534123147E-3</v>
      </c>
      <c r="BI208">
        <f t="shared" si="485"/>
        <v>3.8797680310001174E-3</v>
      </c>
      <c r="BJ208" s="460">
        <f t="shared" si="600"/>
        <v>25.503015036125422</v>
      </c>
      <c r="BK208">
        <f t="shared" si="530"/>
        <v>1.4335400002103182</v>
      </c>
      <c r="BL208" s="460">
        <f t="shared" si="601"/>
        <v>1038.2506402557708</v>
      </c>
      <c r="BM208" s="173">
        <f t="shared" si="531"/>
        <v>0.85063999999999995</v>
      </c>
      <c r="BN208" s="173">
        <f t="shared" si="532"/>
        <v>8.5063999999999987E-2</v>
      </c>
      <c r="BO208" s="528"/>
      <c r="BQ208" s="460">
        <f t="shared" si="486"/>
        <v>935.70399999999995</v>
      </c>
      <c r="BR208" s="528">
        <f t="shared" si="487"/>
        <v>0.51685158172351264</v>
      </c>
      <c r="BS208" s="528">
        <f t="shared" si="488"/>
        <v>0.12436505068851264</v>
      </c>
      <c r="BT208" s="528">
        <f t="shared" si="489"/>
        <v>2.0783566592737766E-4</v>
      </c>
      <c r="BU208" s="528">
        <f t="shared" si="490"/>
        <v>0.37029572973659597</v>
      </c>
      <c r="BV208" s="528"/>
      <c r="BW208" s="625">
        <f t="shared" si="533"/>
        <v>0.99867754178037849</v>
      </c>
      <c r="BX208" s="460">
        <f t="shared" si="607"/>
        <v>2010.3977395949273</v>
      </c>
      <c r="BY208" s="173">
        <f t="shared" si="608"/>
        <v>3.9843523798506975</v>
      </c>
      <c r="BZ208" s="5">
        <f t="shared" si="609"/>
        <v>25.283999999999999</v>
      </c>
      <c r="CA208" s="173">
        <f t="shared" si="610"/>
        <v>0.86386823801555501</v>
      </c>
      <c r="CB208" s="5">
        <f t="shared" si="611"/>
        <v>86.386823801555508</v>
      </c>
      <c r="CC208">
        <f t="shared" si="612"/>
        <v>98</v>
      </c>
      <c r="CE208" s="562">
        <f t="shared" si="534"/>
        <v>-50</v>
      </c>
      <c r="CF208">
        <f t="shared" si="535"/>
        <v>-50</v>
      </c>
      <c r="CG208" s="173">
        <f t="shared" si="536"/>
        <v>0.34658417599272739</v>
      </c>
      <c r="CH208" s="173">
        <f t="shared" si="537"/>
        <v>9.446712174985028E-2</v>
      </c>
      <c r="CI208" s="170">
        <v>98</v>
      </c>
      <c r="CJ208" s="217">
        <f t="shared" si="602"/>
        <v>0.98</v>
      </c>
      <c r="CK208" s="217">
        <f t="shared" si="538"/>
        <v>9.8000000000000004E-2</v>
      </c>
      <c r="CL208" s="217">
        <f t="shared" si="539"/>
        <v>23.52</v>
      </c>
      <c r="CM208" s="217">
        <f t="shared" si="540"/>
        <v>1.764</v>
      </c>
      <c r="CN208" s="541">
        <f t="shared" si="541"/>
        <v>9</v>
      </c>
      <c r="CO208" s="443">
        <f t="shared" si="542"/>
        <v>16.474900000000002</v>
      </c>
      <c r="CP208" s="443">
        <f t="shared" si="543"/>
        <v>25.474900000000002</v>
      </c>
      <c r="CQ208" s="443"/>
      <c r="CR208" s="217">
        <f t="shared" si="544"/>
        <v>0.64485133082098534</v>
      </c>
      <c r="CS208" s="172">
        <f t="shared" si="545"/>
        <v>29.993085154464438</v>
      </c>
      <c r="CT208" s="172">
        <f t="shared" si="546"/>
        <v>2.4181924905786953</v>
      </c>
      <c r="CU208" s="217">
        <f t="shared" si="547"/>
        <v>1.2497118814360182</v>
      </c>
      <c r="CV208" s="217">
        <f t="shared" si="548"/>
        <v>1.6662825085813577</v>
      </c>
      <c r="CW208" s="217">
        <f t="shared" si="549"/>
        <v>24</v>
      </c>
      <c r="CX208" s="217">
        <f t="shared" si="550"/>
        <v>8.7131194402798595</v>
      </c>
      <c r="CY208" s="217">
        <f t="shared" si="551"/>
        <v>9.6812438225331796</v>
      </c>
      <c r="CZ208" s="217">
        <f t="shared" si="552"/>
        <v>5.2887237192819736</v>
      </c>
      <c r="DA208" s="197">
        <f t="shared" si="553"/>
        <v>261.91798593910079</v>
      </c>
      <c r="DB208" s="443">
        <f t="shared" si="554"/>
        <v>66.800412038752299</v>
      </c>
      <c r="DD208" s="217">
        <f t="shared" si="555"/>
        <v>2.2222222222222228</v>
      </c>
      <c r="DE208" s="173">
        <f t="shared" si="556"/>
        <v>1.3488532386977905</v>
      </c>
      <c r="DF208" s="173">
        <f t="shared" si="557"/>
        <v>0.24355939229558116</v>
      </c>
      <c r="DG208" s="173"/>
      <c r="DH208" s="173">
        <f t="shared" si="558"/>
        <v>1.3488532386977903</v>
      </c>
      <c r="DI208" s="545">
        <f t="shared" si="559"/>
        <v>980.34299999999951</v>
      </c>
      <c r="DJ208" s="528">
        <f t="shared" si="560"/>
        <v>0.26182634671774968</v>
      </c>
      <c r="DL208" s="173">
        <f t="shared" si="561"/>
        <v>3.8010524858254717</v>
      </c>
      <c r="DM208" s="173">
        <f t="shared" si="562"/>
        <v>8.7131194402798595</v>
      </c>
      <c r="DN208" s="173">
        <f t="shared" si="563"/>
        <v>6.0080720133760277</v>
      </c>
      <c r="DP208" s="545">
        <f t="shared" si="564"/>
        <v>980</v>
      </c>
      <c r="DQ208" s="460">
        <f t="shared" si="565"/>
        <v>66.800412038752299</v>
      </c>
      <c r="DS208">
        <f t="shared" si="614"/>
        <v>980</v>
      </c>
      <c r="DT208">
        <f t="shared" si="615"/>
        <v>66.800412038752299</v>
      </c>
      <c r="DV208" s="5">
        <f t="shared" si="568"/>
        <v>14.969967541815151</v>
      </c>
      <c r="DW208" s="5">
        <f t="shared" si="569"/>
        <v>9.6812438225331796</v>
      </c>
      <c r="DX208" s="5">
        <f t="shared" si="570"/>
        <v>5.2887237192819718</v>
      </c>
      <c r="DY208" s="173">
        <f t="shared" si="571"/>
        <v>0.64671107639284175</v>
      </c>
      <c r="EA208" s="5">
        <f t="shared" si="572"/>
        <v>39.531745608677149</v>
      </c>
      <c r="EB208" s="5">
        <f t="shared" si="573"/>
        <v>5.2708994144902865</v>
      </c>
      <c r="EC208" s="5">
        <f t="shared" si="574"/>
        <v>11.517664988658515</v>
      </c>
      <c r="ED208" s="5"/>
      <c r="EE208" s="173">
        <f t="shared" si="575"/>
        <v>4.0454625925722123</v>
      </c>
      <c r="EF208" s="173">
        <f t="shared" si="576"/>
        <v>1.9943615137119224</v>
      </c>
      <c r="EG208" s="173">
        <f t="shared" si="577"/>
        <v>0.19970565968385595</v>
      </c>
      <c r="EH208" s="173"/>
      <c r="EI208" s="528">
        <f t="shared" si="578"/>
        <v>0.65463070351604347</v>
      </c>
      <c r="EJ208" s="528">
        <f t="shared" si="579"/>
        <v>0.40775377500000004</v>
      </c>
      <c r="EK208" s="528">
        <f t="shared" si="580"/>
        <v>1.3360082407750459E-2</v>
      </c>
      <c r="EL208" s="528">
        <f t="shared" si="581"/>
        <v>7.5865122909932062E-3</v>
      </c>
      <c r="EM208">
        <f t="shared" si="582"/>
        <v>4.0499999999999998E-3</v>
      </c>
      <c r="EN208" s="460">
        <f t="shared" si="583"/>
        <v>17.410082407750458</v>
      </c>
      <c r="EP208" s="460">
        <f t="shared" si="603"/>
        <v>1087.3810732147872</v>
      </c>
      <c r="EQ208" s="173">
        <f t="shared" si="584"/>
        <v>0.68599999999999994</v>
      </c>
      <c r="ER208" s="173">
        <f t="shared" si="585"/>
        <v>6.0760000000000002E-2</v>
      </c>
      <c r="ES208" s="528"/>
      <c r="EU208" s="460">
        <f t="shared" si="497"/>
        <v>746.76</v>
      </c>
      <c r="EV208" s="528">
        <f t="shared" si="586"/>
        <v>0.49097302763703254</v>
      </c>
      <c r="EW208" s="528">
        <f t="shared" si="587"/>
        <v>0.11932433542125931</v>
      </c>
      <c r="EX208" s="528">
        <f t="shared" si="588"/>
        <v>1.9941175254882044E-4</v>
      </c>
      <c r="EY208" s="528">
        <f t="shared" si="589"/>
        <v>0.40865049202349168</v>
      </c>
      <c r="EZ208" s="528"/>
      <c r="FA208" s="625">
        <f t="shared" si="590"/>
        <v>1.0142767533533006</v>
      </c>
      <c r="FB208" s="460">
        <f t="shared" si="613"/>
        <v>2033.424020187633</v>
      </c>
      <c r="FC208" s="173">
        <f t="shared" si="591"/>
        <v>3.8675650934024199</v>
      </c>
      <c r="FD208" s="5">
        <f t="shared" si="592"/>
        <v>25.283999999999999</v>
      </c>
      <c r="FE208" s="173">
        <f t="shared" si="593"/>
        <v>0.86732907543692306</v>
      </c>
      <c r="FF208" s="5">
        <f t="shared" si="594"/>
        <v>86.732907543692306</v>
      </c>
      <c r="FG208">
        <f t="shared" si="595"/>
        <v>98</v>
      </c>
      <c r="FI208" s="562">
        <f t="shared" si="596"/>
        <v>-50</v>
      </c>
      <c r="FJ208">
        <f t="shared" si="597"/>
        <v>-50</v>
      </c>
    </row>
    <row r="209" spans="1:169">
      <c r="E209" s="170">
        <v>99</v>
      </c>
      <c r="F209" s="217">
        <f>IF(PLOT_TYPE=1, E209/100*Iout_max, min_I*EXP(O209*rr/100))</f>
        <v>0.99</v>
      </c>
      <c r="G209" s="217">
        <f t="shared" si="499"/>
        <v>9.9000000000000005E-2</v>
      </c>
      <c r="H209" s="217">
        <f t="shared" si="500"/>
        <v>23.759999999999998</v>
      </c>
      <c r="I209" s="217">
        <f t="shared" si="501"/>
        <v>1.782</v>
      </c>
      <c r="J209" s="541">
        <f t="shared" si="502"/>
        <v>8.617846600204345</v>
      </c>
      <c r="K209" s="443">
        <f t="shared" si="503"/>
        <v>16.532057543166125</v>
      </c>
      <c r="L209" s="172">
        <f t="shared" si="504"/>
        <v>25.14990414337047</v>
      </c>
      <c r="M209" s="443"/>
      <c r="N209" s="217">
        <f t="shared" si="505"/>
        <v>0.65734077748061659</v>
      </c>
      <c r="O209" s="172">
        <f>N209*J209*Isw_max*0.5*Efficiency*Pout/(Pout+Pout2)</f>
        <v>29.275772529131849</v>
      </c>
      <c r="P209" s="172">
        <f t="shared" si="507"/>
        <v>2.3603591601612552</v>
      </c>
      <c r="Q209" s="217">
        <f t="shared" si="508"/>
        <v>1.2198238553804936</v>
      </c>
      <c r="R209" s="217">
        <f t="shared" si="509"/>
        <v>1.6264318071739916</v>
      </c>
      <c r="S209" s="217">
        <f t="shared" si="510"/>
        <v>24</v>
      </c>
      <c r="T209" s="217">
        <f t="shared" si="511"/>
        <v>9.0176954250241508</v>
      </c>
      <c r="U209" s="217">
        <f t="shared" si="512"/>
        <v>10.463977654011996</v>
      </c>
      <c r="V209" s="217">
        <f t="shared" si="513"/>
        <v>5.4546721734293779</v>
      </c>
      <c r="W209" s="197">
        <f t="shared" si="514"/>
        <v>254.91878929741551</v>
      </c>
      <c r="X209" s="443">
        <f t="shared" si="599"/>
        <v>62.039935770398017</v>
      </c>
      <c r="Z209" s="217">
        <f t="shared" si="515"/>
        <v>2.2222222222222223</v>
      </c>
      <c r="AA209" s="173">
        <f t="shared" si="516"/>
        <v>1.3441897455412772</v>
      </c>
      <c r="AB209" s="173">
        <f>0.5*AA209*Z209*Nps*W209/1000*(Pout/(Pout+Pout2))</f>
        <v>0.23623121593842764</v>
      </c>
      <c r="AC209" s="173"/>
      <c r="AD209" s="173">
        <f t="shared" si="518"/>
        <v>1.3441897455412772</v>
      </c>
      <c r="AE209" s="545">
        <f>MAX(10, F209/(0.5*AD209/1000000*Isw_min*Nps)/1000*Pout_total/Pout)</f>
        <v>993.78237960006834</v>
      </c>
      <c r="AF209" s="528">
        <f t="shared" si="520"/>
        <v>0.2539485571338097</v>
      </c>
      <c r="AH209" s="173">
        <f t="shared" si="521"/>
        <v>3.8203963893068176</v>
      </c>
      <c r="AI209" s="173">
        <f>MAX(IF(F209&gt;AB209,T209,AH209),Isw_min)</f>
        <v>9.0176954250241508</v>
      </c>
      <c r="AJ209" s="173">
        <f>IF(F209&gt;AF209, (AI209-Isw_min)/1.08*0.8+1.2, AE209*0.2/350+1)</f>
        <v>6.2336838539273547</v>
      </c>
      <c r="AL209" s="545">
        <f t="shared" si="524"/>
        <v>990</v>
      </c>
      <c r="AM209" s="460">
        <f t="shared" si="525"/>
        <v>62.039935770398017</v>
      </c>
      <c r="AO209">
        <f t="shared" si="526"/>
        <v>990</v>
      </c>
      <c r="AP209">
        <f t="shared" si="527"/>
        <v>62.039935770398017</v>
      </c>
      <c r="AR209" s="5">
        <f t="shared" si="616"/>
        <v>16.118649827441374</v>
      </c>
      <c r="AS209" s="5">
        <f t="shared" si="604"/>
        <v>10.463977654011996</v>
      </c>
      <c r="AT209" s="5">
        <f t="shared" si="605"/>
        <v>5.6546721734293772</v>
      </c>
      <c r="AU209" s="173">
        <f t="shared" si="606"/>
        <v>0.6491845015577844</v>
      </c>
      <c r="AW209" s="5">
        <f t="shared" si="477"/>
        <v>43.16390782279948</v>
      </c>
      <c r="AX209" s="5">
        <f t="shared" si="478"/>
        <v>5.7551877097065987</v>
      </c>
      <c r="AY209" s="5">
        <f t="shared" si="479"/>
        <v>12.991935715268685</v>
      </c>
      <c r="AZ209" s="5"/>
      <c r="BA209" s="173">
        <f t="shared" si="480"/>
        <v>4.1948748342949527</v>
      </c>
      <c r="BB209" s="173">
        <f t="shared" si="481"/>
        <v>2.0568383213231085</v>
      </c>
      <c r="BC209" s="173">
        <f t="shared" si="482"/>
        <v>0.20596178325681394</v>
      </c>
      <c r="BD209" s="173"/>
      <c r="BE209" s="528">
        <f t="shared" si="483"/>
        <v>0.70387899501604423</v>
      </c>
      <c r="BF209" s="528">
        <f t="shared" si="528"/>
        <v>0.31658166187192616</v>
      </c>
      <c r="BG209" s="528">
        <f t="shared" si="529"/>
        <v>2.1386025982232819E-2</v>
      </c>
      <c r="BH209" s="528">
        <f t="shared" si="484"/>
        <v>6.8672373250010131E-3</v>
      </c>
      <c r="BI209">
        <f t="shared" si="485"/>
        <v>3.8780309700919553E-3</v>
      </c>
      <c r="BJ209" s="460">
        <f t="shared" si="600"/>
        <v>25.264056952324776</v>
      </c>
      <c r="BK209">
        <f t="shared" si="530"/>
        <v>1.4618589194823819</v>
      </c>
      <c r="BL209" s="460">
        <f t="shared" si="601"/>
        <v>1052.591951165296</v>
      </c>
      <c r="BM209" s="173">
        <f t="shared" si="531"/>
        <v>0.85931999999999997</v>
      </c>
      <c r="BN209" s="173">
        <f t="shared" si="532"/>
        <v>8.5931999999999994E-2</v>
      </c>
      <c r="BO209" s="528"/>
      <c r="BQ209" s="460">
        <f t="shared" si="486"/>
        <v>945.25199999999995</v>
      </c>
      <c r="BR209" s="528">
        <f t="shared" si="487"/>
        <v>0.52790924626203317</v>
      </c>
      <c r="BS209" s="528">
        <f t="shared" si="488"/>
        <v>0.12691751640189788</v>
      </c>
      <c r="BT209" s="528">
        <f t="shared" si="489"/>
        <v>2.12101280811634E-4</v>
      </c>
      <c r="BU209" s="528">
        <f t="shared" si="490"/>
        <v>0.37015810244740416</v>
      </c>
      <c r="BV209" s="528"/>
      <c r="BW209" s="625">
        <f t="shared" si="533"/>
        <v>1.0090030076844199</v>
      </c>
      <c r="BX209" s="460">
        <f t="shared" si="607"/>
        <v>2034.1999740765666</v>
      </c>
      <c r="BY209" s="173">
        <f t="shared" si="608"/>
        <v>4.0320439252418625</v>
      </c>
      <c r="BZ209" s="5">
        <f t="shared" si="609"/>
        <v>25.541999999999998</v>
      </c>
      <c r="CA209" s="173">
        <f t="shared" si="610"/>
        <v>0.86366274644637098</v>
      </c>
      <c r="CB209" s="5">
        <f t="shared" si="611"/>
        <v>86.366274644637102</v>
      </c>
      <c r="CC209">
        <f t="shared" si="612"/>
        <v>99</v>
      </c>
      <c r="CE209" s="562">
        <f t="shared" si="534"/>
        <v>-50</v>
      </c>
      <c r="CF209">
        <f t="shared" si="535"/>
        <v>-50</v>
      </c>
      <c r="CG209" s="173">
        <f t="shared" si="536"/>
        <v>0.34658417599272739</v>
      </c>
      <c r="CH209" s="173">
        <f t="shared" si="537"/>
        <v>9.446712174985028E-2</v>
      </c>
      <c r="CI209" s="170">
        <v>99</v>
      </c>
      <c r="CJ209" s="217">
        <f t="shared" si="602"/>
        <v>0.99</v>
      </c>
      <c r="CK209" s="217">
        <f t="shared" si="538"/>
        <v>9.9000000000000005E-2</v>
      </c>
      <c r="CL209" s="217">
        <f t="shared" si="539"/>
        <v>23.759999999999998</v>
      </c>
      <c r="CM209" s="217">
        <f t="shared" si="540"/>
        <v>1.782</v>
      </c>
      <c r="CN209" s="541">
        <f t="shared" si="541"/>
        <v>9</v>
      </c>
      <c r="CO209" s="443">
        <f t="shared" si="542"/>
        <v>16.474900000000002</v>
      </c>
      <c r="CP209" s="443">
        <f t="shared" si="543"/>
        <v>25.474900000000002</v>
      </c>
      <c r="CQ209" s="443"/>
      <c r="CR209" s="217">
        <f t="shared" si="544"/>
        <v>0.64485133082098534</v>
      </c>
      <c r="CS209" s="172">
        <f t="shared" si="545"/>
        <v>29.993085154464438</v>
      </c>
      <c r="CT209" s="172">
        <f t="shared" si="546"/>
        <v>2.4181924905786953</v>
      </c>
      <c r="CU209" s="217">
        <f t="shared" si="547"/>
        <v>1.2497118814360182</v>
      </c>
      <c r="CV209" s="217">
        <f t="shared" si="548"/>
        <v>1.6662825085813577</v>
      </c>
      <c r="CW209" s="217">
        <f t="shared" si="549"/>
        <v>24</v>
      </c>
      <c r="CX209" s="217">
        <f t="shared" si="550"/>
        <v>8.8020288223235301</v>
      </c>
      <c r="CY209" s="217">
        <f t="shared" si="551"/>
        <v>9.7800320248039228</v>
      </c>
      <c r="CZ209" s="217">
        <f t="shared" si="552"/>
        <v>5.3426902878460742</v>
      </c>
      <c r="DA209" s="197">
        <f t="shared" si="553"/>
        <v>261.91798593910079</v>
      </c>
      <c r="DB209" s="443">
        <f t="shared" si="554"/>
        <v>66.125660401997223</v>
      </c>
      <c r="DD209" s="217">
        <f t="shared" si="555"/>
        <v>2.2222222222222228</v>
      </c>
      <c r="DE209" s="173">
        <f t="shared" si="556"/>
        <v>1.3488532386977905</v>
      </c>
      <c r="DF209" s="173">
        <f t="shared" si="557"/>
        <v>0.24355939229558116</v>
      </c>
      <c r="DG209" s="173"/>
      <c r="DH209" s="173">
        <f t="shared" si="558"/>
        <v>1.3488532386977903</v>
      </c>
      <c r="DI209" s="545">
        <f t="shared" si="559"/>
        <v>990.34649999999965</v>
      </c>
      <c r="DJ209" s="528">
        <f t="shared" si="560"/>
        <v>0.26182634671774968</v>
      </c>
      <c r="DL209" s="173">
        <f t="shared" si="561"/>
        <v>3.8203963893068176</v>
      </c>
      <c r="DM209" s="173">
        <f t="shared" si="562"/>
        <v>8.8020288223235301</v>
      </c>
      <c r="DN209" s="173">
        <f t="shared" si="563"/>
        <v>6.0739308148898576</v>
      </c>
      <c r="DP209" s="545">
        <f t="shared" si="564"/>
        <v>990</v>
      </c>
      <c r="DQ209" s="460">
        <f t="shared" si="565"/>
        <v>66.125660401997223</v>
      </c>
      <c r="DS209">
        <f t="shared" si="614"/>
        <v>990</v>
      </c>
      <c r="DT209">
        <f t="shared" si="615"/>
        <v>66.125660401997223</v>
      </c>
      <c r="DV209" s="5">
        <f t="shared" si="568"/>
        <v>15.122722312650001</v>
      </c>
      <c r="DW209" s="5">
        <f t="shared" si="569"/>
        <v>9.7800320248039228</v>
      </c>
      <c r="DX209" s="5">
        <f t="shared" si="570"/>
        <v>5.3426902878460787</v>
      </c>
      <c r="DY209" s="173">
        <f t="shared" si="571"/>
        <v>0.64671107639284142</v>
      </c>
      <c r="EA209" s="5">
        <f t="shared" si="572"/>
        <v>40.34263210231618</v>
      </c>
      <c r="EB209" s="5">
        <f t="shared" si="573"/>
        <v>5.3790176136421577</v>
      </c>
      <c r="EC209" s="5">
        <f t="shared" si="574"/>
        <v>11.753918633261369</v>
      </c>
      <c r="ED209" s="5"/>
      <c r="EE209" s="173">
        <f t="shared" si="575"/>
        <v>4.0867428231086622</v>
      </c>
      <c r="EF209" s="173">
        <f t="shared" si="576"/>
        <v>2.0147121414028608</v>
      </c>
      <c r="EG209" s="173">
        <f t="shared" si="577"/>
        <v>0.20174347253777292</v>
      </c>
      <c r="EH209" s="173"/>
      <c r="EI209" s="528">
        <f t="shared" si="578"/>
        <v>0.66805867608920633</v>
      </c>
      <c r="EJ209" s="528">
        <f t="shared" si="579"/>
        <v>0.40775377499999998</v>
      </c>
      <c r="EK209" s="528">
        <f t="shared" si="580"/>
        <v>1.3225132080399445E-2</v>
      </c>
      <c r="EL209" s="528">
        <f t="shared" si="581"/>
        <v>7.5098808537104461E-3</v>
      </c>
      <c r="EM209">
        <f t="shared" si="582"/>
        <v>4.0499999999999998E-3</v>
      </c>
      <c r="EN209" s="460">
        <f t="shared" si="583"/>
        <v>17.275132080399441</v>
      </c>
      <c r="EP209" s="460">
        <f t="shared" si="603"/>
        <v>1100.5974640233164</v>
      </c>
      <c r="EQ209" s="173">
        <f t="shared" si="584"/>
        <v>0.69299999999999995</v>
      </c>
      <c r="ER209" s="173">
        <f t="shared" si="585"/>
        <v>6.1380000000000004E-2</v>
      </c>
      <c r="ES209" s="528"/>
      <c r="EU209" s="460">
        <f t="shared" si="497"/>
        <v>754.38</v>
      </c>
      <c r="EV209" s="528">
        <f t="shared" si="586"/>
        <v>0.50104400706690477</v>
      </c>
      <c r="EW209" s="528">
        <f t="shared" si="587"/>
        <v>0.12177195038148304</v>
      </c>
      <c r="EX209" s="528">
        <f t="shared" si="588"/>
        <v>2.035021435579957E-4</v>
      </c>
      <c r="EY209" s="528">
        <f t="shared" si="589"/>
        <v>0.40865049202349135</v>
      </c>
      <c r="EZ209" s="528"/>
      <c r="FA209" s="625">
        <f t="shared" si="590"/>
        <v>1.0246265161426196</v>
      </c>
      <c r="FB209" s="460">
        <f t="shared" si="613"/>
        <v>2056.2964677580567</v>
      </c>
      <c r="FC209" s="173">
        <f t="shared" si="591"/>
        <v>3.9112739317813734</v>
      </c>
      <c r="FD209" s="5">
        <f t="shared" si="592"/>
        <v>25.541999999999998</v>
      </c>
      <c r="FE209" s="173">
        <f t="shared" si="593"/>
        <v>0.86720410298561279</v>
      </c>
      <c r="FF209" s="5">
        <f t="shared" si="594"/>
        <v>86.720410298561276</v>
      </c>
      <c r="FG209">
        <f t="shared" si="595"/>
        <v>99</v>
      </c>
      <c r="FI209" s="562">
        <f t="shared" si="596"/>
        <v>-50</v>
      </c>
      <c r="FJ209">
        <f t="shared" si="597"/>
        <v>-50</v>
      </c>
    </row>
    <row r="210" spans="1:169">
      <c r="A210" t="s">
        <v>862</v>
      </c>
      <c r="E210" s="170">
        <v>100</v>
      </c>
      <c r="F210" s="217">
        <f>IF(PLOT_TYPE=1, E210/100*Iout_max, min_I*EXP(O210*rr/100))</f>
        <v>1</v>
      </c>
      <c r="G210" s="217">
        <f t="shared" si="499"/>
        <v>0.1</v>
      </c>
      <c r="H210" s="217">
        <f t="shared" si="500"/>
        <v>24</v>
      </c>
      <c r="I210" s="217">
        <f t="shared" si="501"/>
        <v>1.8</v>
      </c>
      <c r="J210" s="541">
        <f t="shared" si="502"/>
        <v>8.6139864648528732</v>
      </c>
      <c r="K210" s="443">
        <f t="shared" si="503"/>
        <v>16.532634892086996</v>
      </c>
      <c r="L210" s="172">
        <f t="shared" si="504"/>
        <v>25.146621356939868</v>
      </c>
      <c r="M210" s="443"/>
      <c r="N210" s="217">
        <f t="shared" si="505"/>
        <v>0.65744954987857174</v>
      </c>
      <c r="O210" s="172">
        <f>N210*J210*Isw_max*0.5*Efficiency*Pout/(Pout+Pout2)</f>
        <v>29.267501415905066</v>
      </c>
      <c r="P210" s="172">
        <f t="shared" si="507"/>
        <v>2.3596923016573461</v>
      </c>
      <c r="Q210" s="217">
        <f t="shared" si="508"/>
        <v>1.2194792256627112</v>
      </c>
      <c r="R210" s="217">
        <f t="shared" si="509"/>
        <v>1.6259723008836149</v>
      </c>
      <c r="S210" s="217">
        <f t="shared" si="510"/>
        <v>24</v>
      </c>
      <c r="T210" s="217">
        <f t="shared" si="511"/>
        <v>9.1113574362637575</v>
      </c>
      <c r="U210" s="217">
        <f t="shared" si="512"/>
        <v>10.577399295251132</v>
      </c>
      <c r="V210" s="217">
        <f t="shared" si="513"/>
        <v>5.5111344898959338</v>
      </c>
      <c r="W210" s="197">
        <f t="shared" si="514"/>
        <v>254.84676857899333</v>
      </c>
      <c r="X210" s="443">
        <f t="shared" si="599"/>
        <v>61.392879997085096</v>
      </c>
      <c r="Z210" s="217">
        <f t="shared" si="515"/>
        <v>2.2222222222222228</v>
      </c>
      <c r="AA210" s="173">
        <f t="shared" si="516"/>
        <v>1.3441428040522712</v>
      </c>
      <c r="AB210" s="173">
        <f>0.5*AA210*Z210*Nps*W210/1000*(Pout/(Pout+Pout2))</f>
        <v>0.2361562276289331</v>
      </c>
      <c r="AC210" s="173"/>
      <c r="AD210" s="173">
        <f t="shared" si="518"/>
        <v>1.3441428040522709</v>
      </c>
      <c r="AE210" s="545">
        <f>MAX(10, F210/(0.5*AD210/1000000*Isw_min*Nps)/1000*Pout_total/Pout)</f>
        <v>1003.8556418733482</v>
      </c>
      <c r="AF210" s="528">
        <f t="shared" si="520"/>
        <v>0.25386794470110297</v>
      </c>
      <c r="AH210" s="173">
        <f t="shared" si="521"/>
        <v>3.8396428405331062</v>
      </c>
      <c r="AI210" s="173">
        <f>MAX(IF(F210&gt;AB210,T210,AH210),Isw_min)</f>
        <v>9.1113574362637575</v>
      </c>
      <c r="AJ210" s="173">
        <f>IF(F210&gt;AF210, (AI210-Isw_min)/1.08*0.8+1.2, AE210*0.2/350+1)</f>
        <v>6.3030631215122481</v>
      </c>
      <c r="AL210" s="545">
        <f t="shared" si="524"/>
        <v>1000</v>
      </c>
      <c r="AM210" s="460">
        <f t="shared" si="525"/>
        <v>61.392879997085096</v>
      </c>
      <c r="AO210">
        <f t="shared" si="526"/>
        <v>1000</v>
      </c>
      <c r="AP210">
        <f t="shared" si="527"/>
        <v>61.392879997085096</v>
      </c>
      <c r="AR210" s="5">
        <f t="shared" si="616"/>
        <v>16.288533785147063</v>
      </c>
      <c r="AS210" s="5">
        <f t="shared" si="604"/>
        <v>10.577399295251132</v>
      </c>
      <c r="AT210" s="5">
        <f t="shared" si="605"/>
        <v>5.7111344898959313</v>
      </c>
      <c r="AU210" s="173">
        <f t="shared" si="606"/>
        <v>0.64937700561460521</v>
      </c>
      <c r="AW210" s="5">
        <f t="shared" si="477"/>
        <v>44.072497063546386</v>
      </c>
      <c r="AX210" s="5">
        <f t="shared" si="478"/>
        <v>5.8763329418061847</v>
      </c>
      <c r="AY210" s="5">
        <f t="shared" si="479"/>
        <v>13.26014270674496</v>
      </c>
      <c r="AZ210" s="5"/>
      <c r="BA210" s="173">
        <f>AI210*SQRT(AU210/3)</f>
        <v>4.2390731413718878</v>
      </c>
      <c r="BB210" s="173">
        <f t="shared" si="481"/>
        <v>2.0776313409691909</v>
      </c>
      <c r="BC210" s="173">
        <f t="shared" si="482"/>
        <v>0.20804389508894192</v>
      </c>
      <c r="BD210" s="173"/>
      <c r="BE210" s="528">
        <f t="shared" si="483"/>
        <v>0.71878964391602096</v>
      </c>
      <c r="BF210" s="528">
        <f t="shared" si="528"/>
        <v>0.31649237535386765</v>
      </c>
      <c r="BG210" s="528">
        <f t="shared" si="529"/>
        <v>2.115349749332911E-2</v>
      </c>
      <c r="BH210" s="528">
        <f t="shared" si="484"/>
        <v>6.7938404064972809E-3</v>
      </c>
      <c r="BI210">
        <f t="shared" si="485"/>
        <v>3.8762939091837928E-3</v>
      </c>
      <c r="BJ210" s="460">
        <f t="shared" si="600"/>
        <v>25.029791402512902</v>
      </c>
      <c r="BK210">
        <f t="shared" si="530"/>
        <v>1.4907450998822112</v>
      </c>
      <c r="BL210" s="460">
        <f t="shared" si="601"/>
        <v>1067.105651078899</v>
      </c>
      <c r="BM210" s="173">
        <f t="shared" si="531"/>
        <v>0.86799999999999999</v>
      </c>
      <c r="BN210" s="173">
        <f t="shared" si="532"/>
        <v>8.6799999999999988E-2</v>
      </c>
      <c r="BO210" s="528"/>
      <c r="BQ210" s="460">
        <f t="shared" si="486"/>
        <v>954.8</v>
      </c>
      <c r="BR210" s="528">
        <f t="shared" si="487"/>
        <v>0.53909223293701569</v>
      </c>
      <c r="BS210" s="528">
        <f t="shared" si="488"/>
        <v>0.12949655966932314</v>
      </c>
      <c r="BT210" s="528">
        <f t="shared" si="489"/>
        <v>2.1641131141889334E-4</v>
      </c>
      <c r="BU210" s="528">
        <f t="shared" si="490"/>
        <v>0.37001789867404816</v>
      </c>
      <c r="BV210" s="528"/>
      <c r="BW210" s="625">
        <f t="shared" si="533"/>
        <v>1.0193285095686018</v>
      </c>
      <c r="BX210" s="460">
        <f t="shared" si="607"/>
        <v>2058.1516121604077</v>
      </c>
      <c r="BY210" s="173">
        <f t="shared" si="608"/>
        <v>4.080057263239306</v>
      </c>
      <c r="BZ210" s="5">
        <f t="shared" si="609"/>
        <v>25.8</v>
      </c>
      <c r="CA210" s="173">
        <f t="shared" si="610"/>
        <v>0.86345216050643581</v>
      </c>
      <c r="CB210" s="5">
        <f t="shared" si="611"/>
        <v>86.345216050643586</v>
      </c>
      <c r="CC210">
        <f t="shared" si="612"/>
        <v>100</v>
      </c>
      <c r="CE210" s="562">
        <f t="shared" si="534"/>
        <v>-50</v>
      </c>
      <c r="CF210">
        <f t="shared" si="535"/>
        <v>-50</v>
      </c>
      <c r="CG210" s="173">
        <f t="shared" si="536"/>
        <v>0.34658417599272739</v>
      </c>
      <c r="CH210" s="173">
        <f t="shared" si="537"/>
        <v>9.446712174985028E-2</v>
      </c>
      <c r="CI210" s="170">
        <v>100</v>
      </c>
      <c r="CJ210" s="217">
        <f t="shared" si="602"/>
        <v>1</v>
      </c>
      <c r="CK210" s="217">
        <f t="shared" si="538"/>
        <v>0.1</v>
      </c>
      <c r="CL210" s="217">
        <f t="shared" si="539"/>
        <v>24</v>
      </c>
      <c r="CM210" s="217">
        <f t="shared" si="540"/>
        <v>1.8</v>
      </c>
      <c r="CN210" s="541">
        <f t="shared" si="541"/>
        <v>9</v>
      </c>
      <c r="CO210" s="443">
        <f t="shared" si="542"/>
        <v>16.474900000000002</v>
      </c>
      <c r="CP210" s="443">
        <f t="shared" si="543"/>
        <v>25.474900000000002</v>
      </c>
      <c r="CQ210" s="443"/>
      <c r="CR210" s="217">
        <f t="shared" si="544"/>
        <v>0.64485133082098534</v>
      </c>
      <c r="CS210" s="172">
        <f t="shared" si="545"/>
        <v>29.993085154464438</v>
      </c>
      <c r="CT210" s="172">
        <f t="shared" si="546"/>
        <v>2.4181924905786953</v>
      </c>
      <c r="CU210" s="217">
        <f t="shared" si="547"/>
        <v>1.2497118814360182</v>
      </c>
      <c r="CV210" s="217">
        <f t="shared" si="548"/>
        <v>1.6662825085813577</v>
      </c>
      <c r="CW210" s="217">
        <f t="shared" si="549"/>
        <v>24</v>
      </c>
      <c r="CX210" s="217">
        <f t="shared" si="550"/>
        <v>8.8909382043672043</v>
      </c>
      <c r="CY210" s="217">
        <f t="shared" si="551"/>
        <v>9.8788202270746712</v>
      </c>
      <c r="CZ210" s="217">
        <f t="shared" si="552"/>
        <v>5.3966568564101776</v>
      </c>
      <c r="DA210" s="197">
        <f t="shared" si="553"/>
        <v>261.91798593910079</v>
      </c>
      <c r="DB210" s="443">
        <f t="shared" si="554"/>
        <v>65.464403797977255</v>
      </c>
      <c r="DD210" s="217">
        <f t="shared" si="555"/>
        <v>2.2222222222222228</v>
      </c>
      <c r="DE210" s="173">
        <f t="shared" si="556"/>
        <v>1.3488532386977905</v>
      </c>
      <c r="DF210" s="173">
        <f t="shared" si="557"/>
        <v>0.24355939229558116</v>
      </c>
      <c r="DG210" s="173"/>
      <c r="DH210" s="173">
        <f t="shared" si="558"/>
        <v>1.3488532386977903</v>
      </c>
      <c r="DI210" s="545">
        <f t="shared" si="559"/>
        <v>1000.3499999999998</v>
      </c>
      <c r="DJ210" s="528">
        <f t="shared" si="560"/>
        <v>0.26182634671774968</v>
      </c>
      <c r="DL210" s="173">
        <f t="shared" si="561"/>
        <v>3.8396428405331062</v>
      </c>
      <c r="DM210" s="173">
        <f t="shared" si="562"/>
        <v>8.8909382043672043</v>
      </c>
      <c r="DN210" s="173">
        <f t="shared" si="563"/>
        <v>6.1397896164036903</v>
      </c>
      <c r="DP210" s="545">
        <f t="shared" si="564"/>
        <v>1000</v>
      </c>
      <c r="DQ210" s="460">
        <f t="shared" si="565"/>
        <v>65.464403797977255</v>
      </c>
      <c r="DS210">
        <f t="shared" si="614"/>
        <v>1000</v>
      </c>
      <c r="DT210">
        <f t="shared" si="615"/>
        <v>65.464403797977255</v>
      </c>
      <c r="DV210" s="5">
        <f t="shared" si="568"/>
        <v>15.275477083484848</v>
      </c>
      <c r="DW210" s="5">
        <f t="shared" si="569"/>
        <v>9.8788202270746712</v>
      </c>
      <c r="DX210" s="5">
        <f t="shared" si="570"/>
        <v>5.3966568564101767</v>
      </c>
      <c r="DY210" s="173">
        <f t="shared" si="571"/>
        <v>0.64671107639284164</v>
      </c>
      <c r="EA210" s="5">
        <f t="shared" si="572"/>
        <v>41.161750946144466</v>
      </c>
      <c r="EB210" s="5">
        <f t="shared" si="573"/>
        <v>5.4882334594859286</v>
      </c>
      <c r="EC210" s="5">
        <f t="shared" si="574"/>
        <v>11.992570792022613</v>
      </c>
      <c r="ED210" s="5"/>
      <c r="EE210" s="173">
        <f t="shared" si="575"/>
        <v>4.1280230536451148</v>
      </c>
      <c r="EF210" s="173">
        <f t="shared" si="576"/>
        <v>2.0350627690937988</v>
      </c>
      <c r="EG210" s="173">
        <f t="shared" si="577"/>
        <v>0.20378128539168983</v>
      </c>
      <c r="EH210" s="173"/>
      <c r="EI210" s="528">
        <f t="shared" si="578"/>
        <v>0.68162297325702159</v>
      </c>
      <c r="EJ210" s="528">
        <f t="shared" si="579"/>
        <v>0.4077537750000001</v>
      </c>
      <c r="EK210" s="528">
        <f t="shared" si="580"/>
        <v>1.309288075959545E-2</v>
      </c>
      <c r="EL210" s="528">
        <f t="shared" si="581"/>
        <v>7.4347820451733425E-3</v>
      </c>
      <c r="EM210">
        <f t="shared" si="582"/>
        <v>4.0499999999999998E-3</v>
      </c>
      <c r="EN210" s="460">
        <f t="shared" si="583"/>
        <v>17.14288075959545</v>
      </c>
      <c r="EP210" s="460">
        <f t="shared" si="603"/>
        <v>1113.9544110617908</v>
      </c>
      <c r="EQ210" s="173">
        <f t="shared" si="584"/>
        <v>0.7</v>
      </c>
      <c r="ER210" s="173">
        <f t="shared" si="585"/>
        <v>6.2E-2</v>
      </c>
      <c r="ES210" s="528"/>
      <c r="EU210" s="460">
        <f t="shared" si="497"/>
        <v>762</v>
      </c>
      <c r="EV210" s="528">
        <f t="shared" si="586"/>
        <v>0.51121722994276619</v>
      </c>
      <c r="EW210" s="528">
        <f t="shared" si="587"/>
        <v>0.1242444142245516</v>
      </c>
      <c r="EX210" s="528">
        <f t="shared" si="588"/>
        <v>2.0763406137944669E-4</v>
      </c>
      <c r="EY210" s="528">
        <f t="shared" si="589"/>
        <v>0.40865049202349168</v>
      </c>
      <c r="EZ210" s="528"/>
      <c r="FA210" s="625">
        <f t="shared" si="590"/>
        <v>1.0349762789319399</v>
      </c>
      <c r="FB210" s="460">
        <f t="shared" si="613"/>
        <v>2079.2960491841291</v>
      </c>
      <c r="FC210" s="173">
        <f t="shared" si="591"/>
        <v>3.95525046024592</v>
      </c>
      <c r="FD210" s="5">
        <f t="shared" si="592"/>
        <v>25.8</v>
      </c>
      <c r="FE210" s="173">
        <f t="shared" si="593"/>
        <v>0.86707386430740097</v>
      </c>
      <c r="FF210" s="5">
        <f t="shared" si="594"/>
        <v>86.707386430740101</v>
      </c>
      <c r="FG210">
        <f t="shared" si="595"/>
        <v>100</v>
      </c>
      <c r="FI210" s="562">
        <f t="shared" si="596"/>
        <v>-50</v>
      </c>
      <c r="FJ210">
        <f t="shared" si="597"/>
        <v>-50</v>
      </c>
    </row>
    <row r="211" spans="1:169" ht="13">
      <c r="E211" s="170"/>
      <c r="F211" s="217"/>
      <c r="G211" s="217"/>
      <c r="H211" s="217"/>
      <c r="I211" s="217"/>
      <c r="J211" s="541"/>
      <c r="K211" s="443"/>
      <c r="L211" s="172"/>
      <c r="M211" s="443"/>
      <c r="N211" s="217"/>
      <c r="O211" s="172"/>
      <c r="P211" s="172"/>
      <c r="Q211" s="217"/>
      <c r="R211" s="217"/>
      <c r="S211" s="217"/>
      <c r="T211" s="217"/>
      <c r="U211" s="217"/>
      <c r="V211" s="217"/>
      <c r="W211" s="197"/>
      <c r="X211" s="443"/>
      <c r="Z211" s="217"/>
      <c r="AA211" s="173"/>
      <c r="AB211" s="173"/>
      <c r="AC211" s="173"/>
      <c r="AD211" s="173"/>
      <c r="AE211" s="545"/>
      <c r="AF211" s="528"/>
      <c r="AH211" s="173"/>
      <c r="AI211" s="173"/>
      <c r="AJ211" s="173"/>
      <c r="AL211" s="545"/>
      <c r="AM211" s="460"/>
      <c r="AR211" s="5"/>
      <c r="AS211" s="5"/>
      <c r="AT211" s="5"/>
      <c r="AU211" s="173"/>
      <c r="CE211" s="562"/>
      <c r="CF211" s="539">
        <f>MAX(CF110:CF210)</f>
        <v>-50</v>
      </c>
      <c r="CG211" s="173"/>
      <c r="CH211" s="173"/>
      <c r="CI211" s="170"/>
      <c r="CJ211" s="217"/>
      <c r="CK211" s="217"/>
      <c r="CL211" s="217"/>
      <c r="CM211" s="217"/>
      <c r="CN211" s="541"/>
      <c r="CO211" s="443"/>
      <c r="CP211" s="443"/>
      <c r="CQ211" s="443"/>
      <c r="CR211" s="217"/>
      <c r="CS211" s="172"/>
      <c r="CT211" s="172"/>
      <c r="CU211" s="217"/>
      <c r="CV211" s="217"/>
      <c r="CW211" s="217"/>
      <c r="CX211" s="217"/>
      <c r="CY211" s="217"/>
      <c r="CZ211" s="217"/>
      <c r="DA211" s="197"/>
      <c r="DB211" s="443"/>
      <c r="DD211" s="217"/>
      <c r="DE211" s="173"/>
      <c r="DF211" s="173"/>
      <c r="DG211" s="173"/>
      <c r="DH211" s="173"/>
      <c r="DI211" s="545"/>
      <c r="DJ211" s="528"/>
      <c r="DL211" s="173"/>
      <c r="DM211" s="173"/>
      <c r="DN211" s="173"/>
      <c r="DP211" s="545"/>
      <c r="DQ211" s="460"/>
      <c r="DV211" s="5"/>
      <c r="DW211" s="5"/>
      <c r="DX211" s="5"/>
      <c r="DY211" s="173"/>
      <c r="FI211" s="562"/>
      <c r="FJ211" s="539">
        <f>MAX(FJ110:FJ210)</f>
        <v>-50</v>
      </c>
    </row>
    <row r="212" spans="1:169">
      <c r="A212" t="s">
        <v>862</v>
      </c>
      <c r="E212" s="170">
        <v>101</v>
      </c>
      <c r="F212" s="217">
        <f>'Calculations - Dual'!Ioutmax_Vinmin+0*H210/(H210+I210)</f>
        <v>1.2527175976320766</v>
      </c>
      <c r="G212" s="217">
        <f>'Calculations - Dual'!Ioutmax_Vinmin/Nsec1sec2*(1-H210/(H210+I210))</f>
        <v>0.11668934504655798</v>
      </c>
      <c r="H212" s="217">
        <f>F212*Vout</f>
        <v>30.065222343169836</v>
      </c>
      <c r="I212" s="217">
        <f>Vout2*G212</f>
        <v>2.1004082108380437</v>
      </c>
      <c r="J212" s="541">
        <f>VIN_min-(F212/CG212/Nps+G212/CH212/(Nps/Nsec1sec2))*(Rdcr_pri+RON/1000)</f>
        <v>8.5235753272052364</v>
      </c>
      <c r="K212" s="443">
        <f>MAX((S212+Vfwd2+Rdcr_sec*F212/CG212)*Nps,(Vout2+Vfwd22+Rdcr_sec2*G212/CH212)*Nps/Nsec1sec2)</f>
        <v>16.480400112617755</v>
      </c>
      <c r="L212" s="172">
        <f>MAX((Vout+Vfwd2+F212/CG212*Rdcr_sec)*Nps+J212, (Vout2+Vfwd22+G212/CH212*Rdcr_sec2)*Nps/Nsec1sec2+J212)</f>
        <v>25.070800842520004</v>
      </c>
      <c r="M212" s="443"/>
      <c r="N212" s="217">
        <f>MAX((Vout+Vfwd2+F212/CG212*Rdcr_sec)*Nps/((Vout+Vfwd2+F212/CG212*Rdcr_sec)*Nps+J212), (Vout2+Vfwd22+G212/CH212*Rdcr_sec2)*Nps/Nsec1sec2/((Vout2+Vfwd22+G212/CH212*Rdcr_sec2)*Nps/Nsec1sec2+J212))</f>
        <v>0.66001982223283118</v>
      </c>
      <c r="O212" s="172">
        <f>N212*J212*Isw_max*0.5*Efficiency*Pout/(Pout+Pout2)</f>
        <v>29.073533189923232</v>
      </c>
      <c r="P212" s="172">
        <f>N212*J212*Isw_max*0.5*Efficiency*(Pout2/Pout_total)</f>
        <v>2.3440536134375605</v>
      </c>
      <c r="Q212" s="217">
        <f>O212/Vout</f>
        <v>1.2113972162468014</v>
      </c>
      <c r="R212" s="217">
        <f>O212/Vout2</f>
        <v>1.6151962883290685</v>
      </c>
      <c r="S212" s="217">
        <f>MIN(Vout,O212/F212)</f>
        <v>23.208369743411343</v>
      </c>
      <c r="T212" s="217">
        <f>MIN(2*(Vout*F212+Vout2*G212)/(Efficiency*J212*N212), Isw_max)</f>
        <v>11.111111111111111</v>
      </c>
      <c r="U212" s="217">
        <f>L*T212/J212*1000000</f>
        <v>13.035739914970979</v>
      </c>
      <c r="V212" s="217">
        <f>L*T212/K212*1000000</f>
        <v>6.7420153850537901</v>
      </c>
      <c r="W212" s="197">
        <f>IF(1/((350000*L)*(1/J212+1/K212))&gt;Isw_min, 350, 0.001/((Isw_min*L)*(1/J212+1/K212)))</f>
        <v>252.80927608573143</v>
      </c>
      <c r="X212" s="443">
        <f>MIN(1/(U212+V212+0.2)*1000, 350)</f>
        <v>50.055673672144749</v>
      </c>
      <c r="Z212" s="217">
        <f>1/((W212*1000*L)*(1/J212+1/K212))</f>
        <v>2.2222222222222223</v>
      </c>
      <c r="AA212" s="173">
        <f>L*Z212/K212*1000000</f>
        <v>1.3484030770107582</v>
      </c>
      <c r="AB212" s="173">
        <f>0.5*AA212*Z212*Nps*W212/1000*(Pout/(Pout+Pout2))</f>
        <v>0.23501068056761273</v>
      </c>
      <c r="AC212" s="173"/>
      <c r="AD212" s="173">
        <f>L*Isw_min/K212*1000000</f>
        <v>1.3484030770107582</v>
      </c>
      <c r="AE212" s="545">
        <f>MAX(10, F212/(0.5*AD212/1000000*Isw_min*Nps)/1000*Pout_total/Pout)</f>
        <v>1253.5744124472317</v>
      </c>
      <c r="AF212" s="528">
        <f>0.5*AD212/1000000*Isw_min*Nps*W212*1000*(Pout/Pout_total)</f>
        <v>0.25263648161018371</v>
      </c>
      <c r="AH212" s="173">
        <f>SQRT((H212+I212)/(0.5*L*Fsw_DCM))</f>
        <v>4.2872322443012028</v>
      </c>
      <c r="AI212" s="173">
        <f>MAX(IF(F212&gt;AB212,T212,AH212),Isw_min)</f>
        <v>11.111111111111111</v>
      </c>
      <c r="AJ212" s="173">
        <f>IF(F212&gt;AF212, (AI212-Isw_min)/1.08*0.8+1.2, AE212*0.2/350+1)</f>
        <v>7.7843621399176959</v>
      </c>
      <c r="AL212" s="545">
        <f>F212*1000</f>
        <v>1252.7175976320766</v>
      </c>
      <c r="AM212" s="460">
        <f>IF(F212&gt;AF212, X212, AE212)</f>
        <v>50.055673672144749</v>
      </c>
      <c r="AO212" t="str">
        <f>IF(H212&gt;O212, "",AL212)</f>
        <v/>
      </c>
      <c r="AP212" t="str">
        <f>IF(H212&gt;O212, "",AM212)</f>
        <v/>
      </c>
      <c r="AR212" s="5">
        <f>1/AM212*1000</f>
        <v>19.977755300024768</v>
      </c>
      <c r="AS212" s="5">
        <f>L*AI212/J212*1000000</f>
        <v>13.035739914970979</v>
      </c>
      <c r="AT212" s="5">
        <f>AR212-AS212</f>
        <v>6.9420153850537893</v>
      </c>
      <c r="AU212" s="173">
        <f>AS212/AR212</f>
        <v>0.6525127432587392</v>
      </c>
      <c r="AW212" s="5">
        <f>F212*AS212/Vout_ripple*1000</f>
        <v>68.042086623495891</v>
      </c>
      <c r="AX212" s="5">
        <f>G212*AS212/Vout_ripple2*1000</f>
        <v>8.4507330715290934</v>
      </c>
      <c r="AY212" s="5">
        <f>H212/Efficiency/J212*AT212/Vinripple1</f>
        <v>20.405485965807546</v>
      </c>
      <c r="AZ212" s="5"/>
      <c r="BA212" s="173">
        <f>AI212*SQRT(AU212/3)</f>
        <v>5.1819278522372096</v>
      </c>
      <c r="BB212" s="173">
        <f>AI212*Npri_sec1*SQRT((1-AU212)/3)*(Pout/Pout_total)</f>
        <v>2.5222732754203503</v>
      </c>
      <c r="BC212" s="173">
        <f>AI212*Npri_sec2*SQRT((1-AU212)/3)*(Pout2/Pout_total)</f>
        <v>0.25256817528195663</v>
      </c>
      <c r="BD212" s="173"/>
      <c r="BE212" s="528">
        <f>Rdson*BA212^2</f>
        <v>1.0740950506316695</v>
      </c>
      <c r="BF212" s="528">
        <f>0.5*L212*AI212*AM212*1000*Tfall</f>
        <v>0.31373395641812823</v>
      </c>
      <c r="BG212" s="528">
        <f>Qg*Vdd*AM212*1000*0+Qg*J212*AM212*1000</f>
        <v>1.7066132203941192E-2</v>
      </c>
      <c r="BH212" s="528">
        <f>0.5*(Coss+Csw)*L212^2*AM212*1000</f>
        <v>5.5058930772263204E-3</v>
      </c>
      <c r="BI212">
        <f>J212*IQ</f>
        <v>3.8356088972423563E-3</v>
      </c>
      <c r="BJ212" s="460">
        <f>(BG212+BI212)*1000</f>
        <v>20.90174110118355</v>
      </c>
      <c r="BK212">
        <f>(BF212+BG212*0+BH212+BI212*0+BE212*(1+RdsonTC*(Ta-25)))/(1-BE212*RdsonTC*ThetaJA)</f>
        <v>2.2601394044043528</v>
      </c>
      <c r="BL212" s="460">
        <f>SUM(BE212:BI212)*1000</f>
        <v>1414.2366412282076</v>
      </c>
      <c r="BM212" s="173">
        <f>Vfwd2*F212*(1+Diode_TC/1000*(Ta-25))</f>
        <v>1.0873588747446423</v>
      </c>
      <c r="BN212" s="173">
        <f>Vfwd2*G212*(1+Diode_TC/1000*(Ta-25))</f>
        <v>0.10128635150041232</v>
      </c>
      <c r="BO212" s="528"/>
      <c r="BQ212" s="460">
        <f>SUM(BM212:BP212)*1000</f>
        <v>1188.6452262450546</v>
      </c>
      <c r="BR212" s="528">
        <f>Rdcr_pri*BA212^2</f>
        <v>0.80557128797375221</v>
      </c>
      <c r="BS212" s="528">
        <f>Rdcr_sec*BB212^2</f>
        <v>0.19085587427699105</v>
      </c>
      <c r="BT212" s="528">
        <f>Rdcr_sec2*BC212^2</f>
        <v>3.1895341582628586E-4</v>
      </c>
      <c r="BU212" s="528">
        <f>AI212^2.5*AM212^2.5*k_core</f>
        <v>0.36475143355743384</v>
      </c>
      <c r="BV212" s="528"/>
      <c r="BW212" s="625">
        <f>0.5*Lleak*0.000000001*AI212^2*AM212*1000</f>
        <v>1.2359425598060434</v>
      </c>
      <c r="BX212" s="460">
        <f>SUM(BR212:BW212)*1000</f>
        <v>2597.4401090300471</v>
      </c>
      <c r="BY212" s="173">
        <f>SUM(BE212:BI212,BM212:BP212,BR212:BW212)</f>
        <v>5.20032197650331</v>
      </c>
      <c r="BZ212" s="5">
        <f>MIN(H212+I212,O212+P212)</f>
        <v>31.417586803360791</v>
      </c>
      <c r="CA212" s="173">
        <f>BZ212/(BZ212+BY212)</f>
        <v>0.85798418998293735</v>
      </c>
      <c r="CB212" s="5">
        <f>CA212*100</f>
        <v>85.798418998293741</v>
      </c>
      <c r="CC212">
        <f>F212/Iout*100</f>
        <v>125.27175976320765</v>
      </c>
      <c r="CE212" s="562">
        <f>IF(ABS(F212-Ioutmax_Vinmin)&lt;Iout/200, AM212, -50)</f>
        <v>50.055673672144749</v>
      </c>
      <c r="CF212">
        <f>IF(ABS(F212-Ioutmax_Vinmin)&lt;Iout/200, (O212+P212)*CA212, -50)</f>
        <v>26.955792764700131</v>
      </c>
      <c r="CG212" s="173">
        <f>MIN(SQRT(2*DT212*1000*Ls1_*(CL212+CJ212*Vfwd1))/(CW212+Vfwd1), 1-DY212)</f>
        <v>0.34658417599272739</v>
      </c>
      <c r="CH212" s="173">
        <f>MIN(SQRT(2*DT212*1000*Ls2_*(CM212+CK212*Vfwd22))/(Vout2+Vfwd22), 1-DY212)</f>
        <v>9.446712174985028E-2</v>
      </c>
      <c r="CI212" s="170">
        <v>100</v>
      </c>
      <c r="CJ212" s="217">
        <f>IF(PLOT_TYPE=1, CI212/100*Iout_max, min_I*EXP(CS212*rr/100))</f>
        <v>1</v>
      </c>
      <c r="CK212" s="217">
        <f>IF(PLOT_TYPE=1, CI212/100*Iout2, min_I*EXP(CU212*rr/100))</f>
        <v>0.1</v>
      </c>
      <c r="CL212" s="217">
        <f>CJ212*Vout</f>
        <v>24</v>
      </c>
      <c r="CM212" s="217">
        <f>Vout2*CK212</f>
        <v>1.8</v>
      </c>
      <c r="CN212" s="541">
        <f t="shared" si="541"/>
        <v>9</v>
      </c>
      <c r="CO212" s="443">
        <f>(CW212+Vfwd2)*Nps</f>
        <v>16.474900000000002</v>
      </c>
      <c r="CP212" s="443">
        <f>(Vout+Vfwd2)*Nps+CN212</f>
        <v>25.474900000000002</v>
      </c>
      <c r="CQ212" s="443"/>
      <c r="CR212" s="217">
        <f>(Vout+Vfwd1)*Nps/((Vout+Vfwd1)*Nps+CN212)</f>
        <v>0.64485133082098534</v>
      </c>
      <c r="CS212" s="172">
        <f>CR212*CN212*Isw_max*0.5*Efficiency*Pout/(Pout+Pout2)</f>
        <v>29.993085154464438</v>
      </c>
      <c r="CT212" s="172">
        <f>CR212*CN212*Isw_max*0.5*Efficiency*(Pout2/Pout_total)</f>
        <v>2.4181924905786953</v>
      </c>
      <c r="CU212" s="217">
        <f>CS212/Vout</f>
        <v>1.2497118814360182</v>
      </c>
      <c r="CV212" s="217">
        <f>CS212/Vout2</f>
        <v>1.6662825085813577</v>
      </c>
      <c r="CW212" s="217">
        <f>MIN(Vout,CS212/CJ212)</f>
        <v>24</v>
      </c>
      <c r="CX212" s="217">
        <f>MIN(2*(Vout*CJ212+Vout2*CK212)/(Efficiency*CN212*CR212), Isw_max)</f>
        <v>8.8909382043672043</v>
      </c>
      <c r="CY212" s="217">
        <f>L*CX212/CN212*1000000</f>
        <v>9.8788202270746712</v>
      </c>
      <c r="CZ212" s="217">
        <f>L*CX212/CO212*1000000</f>
        <v>5.3966568564101776</v>
      </c>
      <c r="DA212" s="197">
        <f>IF(1/((350000*L)*(1/CN212+1/CO212))&gt;Isw_min, 350, 0.001/((Isw_min*L)*(1/CN212+1/CO212)))</f>
        <v>261.91798593910079</v>
      </c>
      <c r="DB212" s="443">
        <f>MIN(1/(CY212+CZ212)*1000, 350)</f>
        <v>65.464403797977255</v>
      </c>
      <c r="DD212" s="217">
        <f>1/((DA212*1000*L)*(1/CN212+1/CO212))</f>
        <v>2.2222222222222228</v>
      </c>
      <c r="DE212" s="173">
        <f>L*DD212/CO212*1000000</f>
        <v>1.3488532386977905</v>
      </c>
      <c r="DF212" s="173">
        <f>0.5*DE212*DD212*Nps*DA212/1000*(Pout/(Pout+Pout2))</f>
        <v>0.24355939229558116</v>
      </c>
      <c r="DG212" s="173"/>
      <c r="DH212" s="173">
        <f>L*Isw_min/CO212*1000000</f>
        <v>1.3488532386977903</v>
      </c>
      <c r="DI212" s="545">
        <f>MAX(10, CJ212/(0.5*DH212/1000000*Isw_min*Nps)/1000*Pout_total/Pout)</f>
        <v>1000.3499999999998</v>
      </c>
      <c r="DJ212" s="528">
        <f>0.5*DH212/1000000*Isw_min*Nps*DA212*1000*(Pout/Pout_total)</f>
        <v>0.26182634671774968</v>
      </c>
      <c r="DL212" s="173">
        <f>SQRT((CL212+CM212)/(0.5*L*Fsw_DCM))</f>
        <v>3.8396428405331062</v>
      </c>
      <c r="DM212" s="173">
        <f>MAX(IF(CJ212&gt;DF212,CX212,DL212),Isw_min)</f>
        <v>8.8909382043672043</v>
      </c>
      <c r="DN212" s="173">
        <f>IF(CJ212&gt;DJ212, (DM212-Isw_min)/1.08*0.8+1.2, DI212*0.2/350+1)</f>
        <v>6.1397896164036903</v>
      </c>
      <c r="DP212" s="545">
        <f>CJ212*1000</f>
        <v>1000</v>
      </c>
      <c r="DQ212" s="460">
        <f>IF(CJ212&gt;DJ212, DB212, DI212)</f>
        <v>65.464403797977255</v>
      </c>
      <c r="DS212">
        <f>IF(CL212&gt;CS212, "",DP212)</f>
        <v>1000</v>
      </c>
      <c r="DT212">
        <f>IF(CL212&gt;CS212, "",DQ212)</f>
        <v>65.464403797977255</v>
      </c>
      <c r="DV212" s="5">
        <f>1/DQ212*1000</f>
        <v>15.275477083484848</v>
      </c>
      <c r="DW212" s="5">
        <f>L*DM212/CN212*1000000</f>
        <v>9.8788202270746712</v>
      </c>
      <c r="DX212" s="5">
        <f>DV212-DW212</f>
        <v>5.3966568564101767</v>
      </c>
      <c r="DY212" s="173">
        <f>DW212/DV212</f>
        <v>0.64671107639284164</v>
      </c>
      <c r="EA212" s="5">
        <f>CJ212*DW212/Vout_ripple*1000</f>
        <v>41.161750946144466</v>
      </c>
      <c r="EB212" s="5">
        <f>CK212*DW212/Vout_ripple2*1000</f>
        <v>5.4882334594859286</v>
      </c>
      <c r="EC212" s="5">
        <f>CL212/Efficiency/CN212*DX212/Vinripple1</f>
        <v>11.992570792022613</v>
      </c>
      <c r="ED212" s="5"/>
      <c r="EE212" s="173">
        <f>DM212*SQRT(DY212/3)</f>
        <v>4.1280230536451148</v>
      </c>
      <c r="EF212" s="173">
        <f>DM212*Npri_sec1*SQRT((1-DY212)/3)*(Pout/Pout_total)</f>
        <v>2.0350627690937988</v>
      </c>
      <c r="EG212" s="173">
        <f>DM212*Npri_sec2*SQRT((1-DY212)/3)*(Pout2/Pout_total)</f>
        <v>0.20378128539168983</v>
      </c>
      <c r="EH212" s="173"/>
      <c r="EI212" s="528">
        <f>Rdson*EE212^2</f>
        <v>0.68162297325702159</v>
      </c>
      <c r="EJ212" s="528">
        <f>0.5*CP212*DM212*DQ212*1000*Trise</f>
        <v>0.4077537750000001</v>
      </c>
      <c r="EK212" s="528">
        <f>Qg*Vdd*DQ212*1000</f>
        <v>1.309288075959545E-2</v>
      </c>
      <c r="EL212" s="528">
        <f>0.5*(Coss+Csw)*CP212^2*DQ212*1000</f>
        <v>7.4347820451733425E-3</v>
      </c>
      <c r="EM212">
        <f>CN212*IQ</f>
        <v>4.0499999999999998E-3</v>
      </c>
      <c r="EN212" s="460">
        <f>(EK212+EM212)*1000</f>
        <v>17.14288075959545</v>
      </c>
      <c r="EP212" s="460">
        <f>SUM(EI212:EM212)*1000</f>
        <v>1113.9544110617908</v>
      </c>
      <c r="EQ212" s="173">
        <f>Vfwd2*CJ212</f>
        <v>0.7</v>
      </c>
      <c r="ER212" s="173">
        <f>Vfwd22*CK212*(1+Diode_TC/1000*(Ta-25))</f>
        <v>6.2E-2</v>
      </c>
      <c r="ES212" s="528"/>
      <c r="EU212" s="460">
        <f>SUM(EQ212:ET212)*1000</f>
        <v>762</v>
      </c>
      <c r="EV212" s="528">
        <f>Rdcr_pri*EE212^2</f>
        <v>0.51121722994276619</v>
      </c>
      <c r="EW212" s="528">
        <f>Rdcr_sec*EF212^2</f>
        <v>0.1242444142245516</v>
      </c>
      <c r="EX212" s="528">
        <f>Rdcr_sec2*EG212^2</f>
        <v>2.0763406137944669E-4</v>
      </c>
      <c r="EY212" s="528">
        <f>DM212^2.5*DQ212^2.5*k_core</f>
        <v>0.40865049202349168</v>
      </c>
      <c r="EZ212" s="528"/>
      <c r="FA212" s="625">
        <f>0.5*Lleak*0.000000001*DM212^2*DQ212*1000</f>
        <v>1.0349762789319399</v>
      </c>
      <c r="FB212" s="460">
        <f>SUM(EV212:FA212)*1000</f>
        <v>2079.2960491841291</v>
      </c>
      <c r="FC212" s="173">
        <f>SUM(EI212:EM212,EQ212:ET212,EV212:FA212)</f>
        <v>3.95525046024592</v>
      </c>
      <c r="FD212" s="5">
        <f>MIN(CL212+CM212,CS212+CT212)</f>
        <v>25.8</v>
      </c>
      <c r="FE212" s="173">
        <f>FD212/(FD212+FC212)</f>
        <v>0.86707386430740097</v>
      </c>
      <c r="FF212" s="5">
        <f>FE212*100</f>
        <v>86.707386430740101</v>
      </c>
      <c r="FG212">
        <f>CJ212/Iout*100</f>
        <v>100</v>
      </c>
      <c r="FI212" s="562">
        <f>IF(ABS(CJ212-Ioutmax_Vinmin)&lt;Iout/200, DQ212, -50)</f>
        <v>-50</v>
      </c>
      <c r="FJ212">
        <f>IF(ABS(CJ212-Ioutmax_Vinmin)&lt;Iout/200, (CS212+CT212)*FE212, -50)</f>
        <v>-50</v>
      </c>
    </row>
    <row r="213" spans="1:169">
      <c r="G213" s="217"/>
      <c r="H213" s="217"/>
      <c r="I213" s="217"/>
      <c r="J213" s="541"/>
      <c r="K213" s="443"/>
      <c r="L213" s="172"/>
      <c r="M213" s="443"/>
      <c r="N213" s="217"/>
      <c r="O213" s="172"/>
      <c r="P213" s="172"/>
      <c r="Q213" s="217"/>
      <c r="R213" s="217"/>
      <c r="S213" s="217"/>
      <c r="T213" s="217"/>
      <c r="U213" s="217"/>
      <c r="V213" s="217"/>
      <c r="W213" s="197"/>
      <c r="X213" s="443"/>
      <c r="Z213" s="217"/>
      <c r="AA213" s="173"/>
      <c r="AB213" s="173"/>
      <c r="AC213" s="173"/>
      <c r="AD213" s="173"/>
      <c r="AE213" s="545"/>
      <c r="AF213" s="528"/>
      <c r="AH213" s="173"/>
      <c r="AI213" s="173"/>
      <c r="AJ213" s="173"/>
      <c r="AL213" s="545"/>
      <c r="AM213" s="460"/>
      <c r="AR213" s="5"/>
      <c r="AS213" s="5"/>
      <c r="AT213" s="5"/>
      <c r="AU213" s="173"/>
      <c r="CE213" s="562"/>
      <c r="CG213" s="173"/>
      <c r="CH213" s="173"/>
      <c r="CK213" s="217"/>
      <c r="CL213" s="217"/>
      <c r="CM213" s="217"/>
      <c r="CN213" s="541"/>
      <c r="CO213" s="443"/>
      <c r="CP213" s="443"/>
      <c r="CQ213" s="443"/>
      <c r="CR213" s="217"/>
      <c r="CS213" s="172"/>
      <c r="CT213" s="172"/>
      <c r="CU213" s="217"/>
      <c r="CV213" s="217"/>
      <c r="CW213" s="217"/>
      <c r="CX213" s="217"/>
      <c r="CY213" s="217"/>
      <c r="CZ213" s="217"/>
      <c r="DA213" s="197"/>
      <c r="DB213" s="443"/>
      <c r="DD213" s="217"/>
      <c r="DE213" s="173"/>
      <c r="DF213" s="173"/>
      <c r="DG213" s="173"/>
      <c r="DH213" s="173"/>
      <c r="DI213" s="545"/>
      <c r="DJ213" s="528"/>
      <c r="DL213" s="173"/>
      <c r="DM213" s="173"/>
      <c r="DN213" s="173"/>
      <c r="DP213" s="545"/>
      <c r="DQ213" s="460"/>
      <c r="DV213" s="5"/>
      <c r="DW213" s="5"/>
      <c r="DX213" s="5"/>
      <c r="DY213" s="173"/>
      <c r="FI213" s="562"/>
    </row>
    <row r="214" spans="1:169" ht="13">
      <c r="E214" s="445" t="s">
        <v>435</v>
      </c>
      <c r="G214" s="217"/>
      <c r="H214" s="217"/>
      <c r="I214" s="217"/>
      <c r="J214" s="541"/>
      <c r="K214" s="443"/>
      <c r="L214" s="172"/>
      <c r="M214" s="443"/>
      <c r="N214" s="217"/>
      <c r="O214" s="172"/>
      <c r="P214" s="172"/>
      <c r="Q214" s="217"/>
      <c r="R214" s="217"/>
      <c r="S214" s="217"/>
      <c r="T214" s="217"/>
      <c r="U214" s="217"/>
      <c r="V214" s="217"/>
      <c r="W214" s="197"/>
      <c r="X214" s="443"/>
      <c r="Z214" s="217"/>
      <c r="AA214" s="173"/>
      <c r="AB214" s="173"/>
      <c r="AC214" s="173"/>
      <c r="AD214" s="173"/>
      <c r="AE214" s="545"/>
      <c r="AF214" s="528"/>
      <c r="AH214" s="173"/>
      <c r="AI214" s="173"/>
      <c r="AJ214" s="173"/>
      <c r="AL214" s="545"/>
      <c r="AM214" s="460"/>
      <c r="AR214" s="5"/>
      <c r="AS214" s="5"/>
      <c r="AT214" s="5"/>
      <c r="AU214" s="173"/>
      <c r="CE214" s="562"/>
      <c r="CG214" s="173"/>
      <c r="CH214" s="173"/>
      <c r="CI214" s="445" t="s">
        <v>435</v>
      </c>
      <c r="CK214" s="217"/>
      <c r="CL214" s="217"/>
      <c r="CM214" s="217"/>
      <c r="CN214" s="541"/>
      <c r="CO214" s="443"/>
      <c r="CP214" s="443"/>
      <c r="CQ214" s="443"/>
      <c r="CR214" s="217"/>
      <c r="CS214" s="172"/>
      <c r="CT214" s="172"/>
      <c r="CU214" s="217"/>
      <c r="CV214" s="217"/>
      <c r="CW214" s="217"/>
      <c r="CX214" s="217"/>
      <c r="CY214" s="217"/>
      <c r="CZ214" s="217"/>
      <c r="DA214" s="197"/>
      <c r="DB214" s="443"/>
      <c r="DD214" s="217"/>
      <c r="DE214" s="173"/>
      <c r="DF214" s="173"/>
      <c r="DG214" s="173"/>
      <c r="DH214" s="173"/>
      <c r="DI214" s="545"/>
      <c r="DJ214" s="528"/>
      <c r="DL214" s="173"/>
      <c r="DM214" s="173"/>
      <c r="DN214" s="173"/>
      <c r="DP214" s="545"/>
      <c r="DQ214" s="460"/>
      <c r="DV214" s="5"/>
      <c r="DW214" s="5"/>
      <c r="DX214" s="5"/>
      <c r="DY214" s="173"/>
      <c r="FI214" s="562"/>
    </row>
    <row r="215" spans="1:169" ht="45" customHeight="1" thickBot="1">
      <c r="E215" s="241" t="s">
        <v>25</v>
      </c>
      <c r="F215" s="602" t="s">
        <v>580</v>
      </c>
      <c r="G215" s="444" t="s">
        <v>579</v>
      </c>
      <c r="H215" s="603" t="s">
        <v>581</v>
      </c>
      <c r="I215" s="604" t="s">
        <v>582</v>
      </c>
      <c r="J215" s="242" t="s">
        <v>412</v>
      </c>
      <c r="K215" s="243" t="s">
        <v>586</v>
      </c>
      <c r="L215" s="605" t="s">
        <v>413</v>
      </c>
      <c r="M215" s="606"/>
      <c r="N215" s="244" t="s">
        <v>48</v>
      </c>
      <c r="O215" s="606" t="s">
        <v>590</v>
      </c>
      <c r="P215" s="606" t="s">
        <v>606</v>
      </c>
      <c r="Q215" s="606" t="s">
        <v>583</v>
      </c>
      <c r="R215" s="606" t="s">
        <v>584</v>
      </c>
      <c r="S215" s="606" t="s">
        <v>585</v>
      </c>
      <c r="T215" s="606" t="s">
        <v>414</v>
      </c>
      <c r="U215" s="606" t="s">
        <v>466</v>
      </c>
      <c r="V215" s="606" t="s">
        <v>465</v>
      </c>
      <c r="W215" s="607" t="s">
        <v>420</v>
      </c>
      <c r="X215" s="608" t="s">
        <v>425</v>
      </c>
      <c r="Z215" s="245" t="s">
        <v>417</v>
      </c>
      <c r="AA215" s="245" t="s">
        <v>464</v>
      </c>
      <c r="AB215" s="245" t="s">
        <v>587</v>
      </c>
      <c r="AC215" s="544"/>
      <c r="AD215" s="245" t="s">
        <v>463</v>
      </c>
      <c r="AE215" s="607" t="s">
        <v>426</v>
      </c>
      <c r="AF215" s="245" t="s">
        <v>588</v>
      </c>
      <c r="AG215" s="544"/>
      <c r="AH215" s="245" t="s">
        <v>429</v>
      </c>
      <c r="AI215" s="547" t="s">
        <v>430</v>
      </c>
      <c r="AJ215" s="547" t="s">
        <v>431</v>
      </c>
      <c r="AL215" s="543" t="s">
        <v>275</v>
      </c>
      <c r="AM215" s="543" t="s">
        <v>432</v>
      </c>
      <c r="AO215" s="245" t="s">
        <v>275</v>
      </c>
      <c r="AP215" s="245" t="s">
        <v>432</v>
      </c>
      <c r="AQ215" s="548"/>
      <c r="AR215" s="245" t="s">
        <v>467</v>
      </c>
      <c r="AS215" s="245" t="s">
        <v>461</v>
      </c>
      <c r="AT215" s="245" t="s">
        <v>462</v>
      </c>
      <c r="AU215" s="245" t="s">
        <v>48</v>
      </c>
      <c r="AV215" s="544"/>
      <c r="AW215" s="245" t="s">
        <v>591</v>
      </c>
      <c r="AX215" s="245" t="s">
        <v>592</v>
      </c>
      <c r="AY215" s="245" t="s">
        <v>514</v>
      </c>
      <c r="AZ215" s="544"/>
      <c r="BA215" s="557" t="s">
        <v>456</v>
      </c>
      <c r="BB215" s="245" t="s">
        <v>599</v>
      </c>
      <c r="BC215" s="245" t="s">
        <v>598</v>
      </c>
      <c r="BD215" s="544"/>
      <c r="BE215" s="557" t="s">
        <v>474</v>
      </c>
      <c r="BF215" s="245" t="s">
        <v>475</v>
      </c>
      <c r="BG215" s="245" t="s">
        <v>473</v>
      </c>
      <c r="BH215" s="245" t="s">
        <v>469</v>
      </c>
      <c r="BI215" s="245" t="s">
        <v>478</v>
      </c>
      <c r="BJ215" s="245" t="s">
        <v>491</v>
      </c>
      <c r="BK215" s="245" t="s">
        <v>776</v>
      </c>
      <c r="BL215" s="245" t="s">
        <v>778</v>
      </c>
      <c r="BM215" s="557" t="s">
        <v>601</v>
      </c>
      <c r="BN215" s="245" t="s">
        <v>600</v>
      </c>
      <c r="BO215" s="245" t="s">
        <v>477</v>
      </c>
      <c r="BP215" s="245" t="s">
        <v>483</v>
      </c>
      <c r="BQ215" s="245" t="s">
        <v>487</v>
      </c>
      <c r="BR215" s="557" t="s">
        <v>458</v>
      </c>
      <c r="BS215" s="245" t="s">
        <v>603</v>
      </c>
      <c r="BT215" s="245" t="s">
        <v>602</v>
      </c>
      <c r="BU215" s="245" t="s">
        <v>468</v>
      </c>
      <c r="BV215" s="245" t="s">
        <v>673</v>
      </c>
      <c r="BW215" s="245" t="s">
        <v>484</v>
      </c>
      <c r="BX215" s="245" t="s">
        <v>667</v>
      </c>
      <c r="BY215" s="557" t="s">
        <v>482</v>
      </c>
      <c r="BZ215" s="245" t="s">
        <v>223</v>
      </c>
      <c r="CA215" s="245" t="s">
        <v>47</v>
      </c>
      <c r="CB215" s="245" t="s">
        <v>485</v>
      </c>
      <c r="CC215" s="245" t="s">
        <v>604</v>
      </c>
      <c r="CE215" s="569" t="s">
        <v>497</v>
      </c>
      <c r="CG215" s="782" t="s">
        <v>829</v>
      </c>
      <c r="CH215" s="783" t="s">
        <v>830</v>
      </c>
      <c r="CI215" s="241" t="s">
        <v>25</v>
      </c>
      <c r="CJ215" s="602" t="s">
        <v>580</v>
      </c>
      <c r="CK215" s="444" t="s">
        <v>579</v>
      </c>
      <c r="CL215" s="603" t="s">
        <v>581</v>
      </c>
      <c r="CM215" s="604" t="s">
        <v>582</v>
      </c>
      <c r="CN215" s="242" t="s">
        <v>412</v>
      </c>
      <c r="CO215" s="243" t="s">
        <v>586</v>
      </c>
      <c r="CP215" s="605" t="s">
        <v>413</v>
      </c>
      <c r="CQ215" s="606"/>
      <c r="CR215" s="244" t="s">
        <v>48</v>
      </c>
      <c r="CS215" s="606" t="s">
        <v>590</v>
      </c>
      <c r="CT215" s="606" t="s">
        <v>606</v>
      </c>
      <c r="CU215" s="606" t="s">
        <v>583</v>
      </c>
      <c r="CV215" s="606" t="s">
        <v>584</v>
      </c>
      <c r="CW215" s="606" t="s">
        <v>585</v>
      </c>
      <c r="CX215" s="606" t="s">
        <v>414</v>
      </c>
      <c r="CY215" s="606" t="s">
        <v>466</v>
      </c>
      <c r="CZ215" s="606" t="s">
        <v>465</v>
      </c>
      <c r="DA215" s="607" t="s">
        <v>420</v>
      </c>
      <c r="DB215" s="608" t="s">
        <v>425</v>
      </c>
      <c r="DD215" s="245" t="s">
        <v>417</v>
      </c>
      <c r="DE215" s="245" t="s">
        <v>464</v>
      </c>
      <c r="DF215" s="245" t="s">
        <v>587</v>
      </c>
      <c r="DG215" s="544"/>
      <c r="DH215" s="245" t="s">
        <v>463</v>
      </c>
      <c r="DI215" s="607" t="s">
        <v>426</v>
      </c>
      <c r="DJ215" s="245" t="s">
        <v>588</v>
      </c>
      <c r="DK215" s="544"/>
      <c r="DL215" s="245" t="s">
        <v>429</v>
      </c>
      <c r="DM215" s="547" t="s">
        <v>430</v>
      </c>
      <c r="DN215" s="547" t="s">
        <v>431</v>
      </c>
      <c r="DP215" s="543" t="s">
        <v>275</v>
      </c>
      <c r="DQ215" s="543" t="s">
        <v>432</v>
      </c>
      <c r="DS215" s="245" t="s">
        <v>275</v>
      </c>
      <c r="DT215" s="245" t="s">
        <v>432</v>
      </c>
      <c r="DU215" s="548"/>
      <c r="DV215" s="245" t="s">
        <v>467</v>
      </c>
      <c r="DW215" s="245" t="s">
        <v>461</v>
      </c>
      <c r="DX215" s="245" t="s">
        <v>462</v>
      </c>
      <c r="DY215" s="245" t="s">
        <v>48</v>
      </c>
      <c r="DZ215" s="544"/>
      <c r="EA215" s="245" t="s">
        <v>591</v>
      </c>
      <c r="EB215" s="245" t="s">
        <v>592</v>
      </c>
      <c r="EC215" s="245" t="s">
        <v>514</v>
      </c>
      <c r="ED215" s="544"/>
      <c r="EE215" s="557" t="s">
        <v>456</v>
      </c>
      <c r="EF215" s="245" t="s">
        <v>599</v>
      </c>
      <c r="EG215" s="245" t="s">
        <v>598</v>
      </c>
      <c r="EH215" s="544"/>
      <c r="EI215" s="557" t="s">
        <v>474</v>
      </c>
      <c r="EJ215" s="245" t="s">
        <v>475</v>
      </c>
      <c r="EK215" s="245" t="s">
        <v>473</v>
      </c>
      <c r="EL215" s="245" t="s">
        <v>469</v>
      </c>
      <c r="EM215" s="245" t="s">
        <v>478</v>
      </c>
      <c r="EN215" s="245" t="s">
        <v>491</v>
      </c>
      <c r="EO215" s="245" t="s">
        <v>776</v>
      </c>
      <c r="EP215" s="245" t="s">
        <v>778</v>
      </c>
      <c r="EQ215" s="557" t="s">
        <v>601</v>
      </c>
      <c r="ER215" s="245" t="s">
        <v>600</v>
      </c>
      <c r="ES215" s="245" t="s">
        <v>477</v>
      </c>
      <c r="ET215" s="245" t="s">
        <v>483</v>
      </c>
      <c r="EU215" s="245" t="s">
        <v>487</v>
      </c>
      <c r="EV215" s="557" t="s">
        <v>458</v>
      </c>
      <c r="EW215" s="245" t="s">
        <v>603</v>
      </c>
      <c r="EX215" s="245" t="s">
        <v>602</v>
      </c>
      <c r="EY215" s="245" t="s">
        <v>468</v>
      </c>
      <c r="EZ215" s="245" t="s">
        <v>673</v>
      </c>
      <c r="FA215" s="245" t="s">
        <v>484</v>
      </c>
      <c r="FB215" s="245" t="s">
        <v>486</v>
      </c>
      <c r="FC215" s="557" t="s">
        <v>482</v>
      </c>
      <c r="FD215" s="245" t="s">
        <v>223</v>
      </c>
      <c r="FE215" s="245" t="s">
        <v>47</v>
      </c>
      <c r="FF215" s="245" t="s">
        <v>485</v>
      </c>
      <c r="FG215" s="245" t="s">
        <v>604</v>
      </c>
      <c r="FI215" s="569" t="s">
        <v>497</v>
      </c>
      <c r="FL215" s="782" t="s">
        <v>876</v>
      </c>
      <c r="FM215" s="782" t="s">
        <v>875</v>
      </c>
    </row>
    <row r="216" spans="1:169">
      <c r="E216" s="170">
        <v>0.1</v>
      </c>
      <c r="F216" s="217">
        <v>1.0000000000000001E-9</v>
      </c>
      <c r="G216" s="217">
        <f t="shared" ref="G216:G247" si="617">IF(PLOT_TYPE=1, E216/100*Iout2, min_I*EXP(Q216*rr/100))</f>
        <v>1E-4</v>
      </c>
      <c r="H216" s="217">
        <f t="shared" ref="H216:H247" si="618">F216*Vout</f>
        <v>2.4000000000000003E-8</v>
      </c>
      <c r="I216" s="217">
        <f t="shared" ref="I216:I247" si="619">Vout2*G216</f>
        <v>1.8000000000000002E-3</v>
      </c>
      <c r="J216" s="541">
        <f t="shared" ref="J216:J247" si="620">VIN_max-(F216/CG216/Nps+G216/CH216/(Nps/Nsec1sec2))*(Rdcr_pri+RON/1000)</f>
        <v>35.99333496820234</v>
      </c>
      <c r="K216" s="443">
        <f t="shared" ref="K216:K247" si="621">MAX((S216+Vfwd2+Rdcr_sec*F216/CG216)*Nps,(Vout2+Vfwd22+Rdcr_sec2*G216/CH216)*Nps/Nsec1sec2)</f>
        <v>16.47527617798568</v>
      </c>
      <c r="L216" s="172">
        <f t="shared" ref="L216:L247" si="622">MAX((Vout+Vfwd2+F216/CG216*Rdcr_sec)*Nps+J216, (Vout2+Vfwd22+G216/CH216*Rdcr_sec2)*Nps/Nsec1sec2+J216)</f>
        <v>52.468611146188024</v>
      </c>
      <c r="M216" s="443"/>
      <c r="N216" s="217">
        <f t="shared" ref="N216:N247" si="623">MAX((Vout+Vfwd2+F216/CG216*Rdcr_sec)*Nps/((Vout+Vfwd2+F216/CG216*Rdcr_sec)*Nps+J216), (Vout2+Vfwd22+G216/CH216*Rdcr_sec2)*Nps/Nsec1sec2/((Vout2+Vfwd22+G216/CH216*Rdcr_sec2)*Nps/Nsec1sec2+J216))</f>
        <v>0.31400252108984306</v>
      </c>
      <c r="O216" s="172">
        <f t="shared" ref="O216:O247" si="624">N216*J216*Isw_max*0.5*Efficiency*Pout/(Pout+Pout2)</f>
        <v>58.40825799714078</v>
      </c>
      <c r="P216" s="172">
        <f t="shared" ref="P216:P247" si="625">N216*J216*Isw_max*0.5*Efficiency*(Pout2/Pout_total)</f>
        <v>4.7091658010194752</v>
      </c>
      <c r="Q216" s="217">
        <f t="shared" ref="Q216:Q279" si="626">O216/Vout</f>
        <v>2.4336774165475323</v>
      </c>
      <c r="R216" s="217">
        <f t="shared" ref="R216:R247" si="627">O216/Vout2</f>
        <v>3.2449032220633764</v>
      </c>
      <c r="S216" s="217">
        <f t="shared" ref="S216:S247" si="628">MIN(Vout,O216/F216)</f>
        <v>24</v>
      </c>
      <c r="T216" s="217">
        <f t="shared" ref="T216:T247" si="629">MIN(2*(Vout*F216+Vout2*G216)/(Efficiency*J216*N216), Isw_max)</f>
        <v>3.1853199980244156E-4</v>
      </c>
      <c r="U216" s="217">
        <f t="shared" ref="U216:U279" si="630">L*T216/J216*1000000</f>
        <v>8.8497495462380152E-5</v>
      </c>
      <c r="V216" s="217">
        <f t="shared" ref="V216:V279" si="631">L*T216/K216*1000000</f>
        <v>1.933393992071982E-4</v>
      </c>
      <c r="W216" s="197">
        <f t="shared" ref="W216:W279" si="632">IF(1/((350000*L)*(1/J216+1/K216))&gt;Isw_min, 350, 0.001/((Isw_min*L)*(1/J216+1/K216)))</f>
        <v>350</v>
      </c>
      <c r="X216" s="443">
        <f>MIN(1/(U216+V216+0.2)*1000, 350)</f>
        <v>350</v>
      </c>
      <c r="Z216" s="217">
        <f t="shared" ref="Z216:Z279" si="633">1/((W216*1000*L)*(1/J216+1/K216))</f>
        <v>3.2291422635562119</v>
      </c>
      <c r="AA216" s="173">
        <f t="shared" ref="AA216:AA279" si="634">L*Z216/K216*1000000</f>
        <v>1.9599927968861626</v>
      </c>
      <c r="AB216" s="173">
        <f t="shared" ref="AB216:AB247" si="635">0.5*AA216*Z216*Nps*W216/1000*(Pout/(Pout+Pout2))</f>
        <v>0.68722202901324658</v>
      </c>
      <c r="AC216" s="173"/>
      <c r="AD216" s="173">
        <f t="shared" ref="AD216:AD279" si="636">L*Isw_min/K216*1000000</f>
        <v>1.3488224404951483</v>
      </c>
      <c r="AE216" s="545">
        <f t="shared" ref="AE216:AE247" si="637">MAX(10, F216/(0.5*AD216/1000000*Isw_min*Nps)/1000*Pout_total/Pout)</f>
        <v>10</v>
      </c>
      <c r="AF216" s="528">
        <f t="shared" ref="AF216:AF247" si="638">0.5*AD216/1000000*Isw_min*Nps*W216*1000*(Pout/Pout_total)</f>
        <v>0.34986955414843601</v>
      </c>
      <c r="AH216" s="173">
        <f t="shared" ref="AH216:AH247" si="639">SQRT((H216+I216)/(0.5*L*Fsw_DCM))</f>
        <v>3.2071562837771767E-2</v>
      </c>
      <c r="AI216" s="173">
        <f t="shared" ref="AI216:AI247" si="640">MAX(IF(F216&gt;AB216,T216,AH216),Isw_min)</f>
        <v>2.2222222222222223</v>
      </c>
      <c r="AJ216" s="173">
        <f t="shared" ref="AJ216:AJ247" si="641">IF(F216&gt;AF216, (AI216-Isw_min)/1.08*0.8+1.2, AE216*0.2/350+1)</f>
        <v>1.0057142857142858</v>
      </c>
      <c r="AL216" s="545">
        <f t="shared" ref="AL216:AL247" si="642">F216*1000</f>
        <v>1.0000000000000002E-6</v>
      </c>
      <c r="AM216" s="460">
        <f t="shared" ref="AM216:AM247" si="643">IF(F216&gt;AF216, X216, AE216)</f>
        <v>10</v>
      </c>
      <c r="AO216">
        <f t="shared" ref="AO216:AO279" si="644">IF(H216&gt;O216, "",AL216)</f>
        <v>1.0000000000000002E-6</v>
      </c>
      <c r="AP216">
        <f t="shared" ref="AP216:AP279" si="645">IF(H216&gt;O216, "",AM216)</f>
        <v>10</v>
      </c>
      <c r="AR216" s="5">
        <f t="shared" si="616"/>
        <v>100</v>
      </c>
      <c r="AS216" s="5">
        <f t="shared" si="604"/>
        <v>0.61739825558965422</v>
      </c>
      <c r="AT216" s="5">
        <f t="shared" si="605"/>
        <v>99.382601744410351</v>
      </c>
      <c r="AU216" s="173">
        <f t="shared" si="606"/>
        <v>6.1739825558965421E-3</v>
      </c>
      <c r="BA216" s="173">
        <f>AI216*SQRT(AU216/3)</f>
        <v>0.10081137955801106</v>
      </c>
      <c r="BB216" s="173">
        <f>AI216*Npri_sec1*SQRT((1-AU216)/3)*(Pout/Pout_total)</f>
        <v>0.8531155808925478</v>
      </c>
      <c r="BC216" s="173">
        <f>AI216*Npri_sec2*SQRT((1-AU216)/3)*(Pout2/Pout_total)</f>
        <v>8.5426843978564579E-2</v>
      </c>
      <c r="BD216" s="173"/>
      <c r="BE216" s="528">
        <f>Rdson*BA216^2</f>
        <v>4.0651736993557481E-4</v>
      </c>
      <c r="BF216" s="528">
        <f t="shared" ref="BF216:BF247" si="646">0.5*L216*AI216*AM216*1000*Tfall</f>
        <v>2.6234305573094013E-2</v>
      </c>
      <c r="BG216" s="528">
        <f t="shared" ref="BG216:BG247" si="647">Qg*Vdd*AM216*1000*0+Qg*J216*AM216*1000</f>
        <v>1.4397333987280936E-2</v>
      </c>
      <c r="BH216" s="528">
        <f>0.5*(Coss+Csw)*L216^2*AM216*1000</f>
        <v>4.8176715223173005E-3</v>
      </c>
      <c r="BI216">
        <f>J216*IQ</f>
        <v>1.6197000735691053E-2</v>
      </c>
      <c r="BJ216" s="460">
        <f>(BG216+BI216)*1000</f>
        <v>30.59433472297199</v>
      </c>
      <c r="BK216">
        <f t="shared" ref="BK216:BK247" si="648">(BF216+BG216*0+BH216+BI216*0+BE216*(1+RdsonTC*(Ta-25)))/(1-BE216*RdsonTC*ThetaJA)</f>
        <v>3.1571303580940902E-2</v>
      </c>
      <c r="BL216" s="460">
        <f>SUM(BE216:BI216)*1000</f>
        <v>62.052829188318881</v>
      </c>
      <c r="BM216" s="173">
        <f t="shared" ref="BM216:BM247" si="649">Vfwd2*F216*(1+Diode_TC/1000*(Ta-25))</f>
        <v>8.679999999999999E-10</v>
      </c>
      <c r="BN216" s="173">
        <f t="shared" ref="BN216:BN247" si="650">Vfwd22*G216*(1+Diode_TC/1000*(Ta-25))</f>
        <v>6.2000000000000003E-5</v>
      </c>
      <c r="BQ216" s="460">
        <f>SUM(BM216:BP216)*1000</f>
        <v>6.2000868000000001E-2</v>
      </c>
      <c r="BR216" s="528">
        <f>Rdcr_pri*BA216^2</f>
        <v>3.0488802745168108E-4</v>
      </c>
      <c r="BS216" s="528">
        <f>Rdcr_sec*BB216^2</f>
        <v>2.1834185830848878E-2</v>
      </c>
      <c r="BT216" s="528">
        <f>Rdcr_sec2*BC216^2</f>
        <v>3.6488728360690073E-5</v>
      </c>
      <c r="BU216" s="528">
        <f>AI216^2.5*AM216^2.5*k_core</f>
        <v>1.1639617797309435E-4</v>
      </c>
      <c r="BV216" s="528"/>
      <c r="BW216" s="625">
        <f>0.5*Lleak*0.000000001*AI216^2*AM216*1000</f>
        <v>9.8765432098765465E-3</v>
      </c>
      <c r="BX216" s="460">
        <f>SUM(BR216:BW216)*1000</f>
        <v>32.168501974510889</v>
      </c>
      <c r="BY216" s="173">
        <f>SUM(BE216:BI216,BM216:BP216,BR216:BW216)</f>
        <v>9.4283332030829781E-2</v>
      </c>
      <c r="BZ216" s="5">
        <f>MIN(H216+I216,O216+P216)</f>
        <v>1.8000240000000001E-3</v>
      </c>
      <c r="CA216" s="173">
        <f>BZ216/(BZ216+BY216)</f>
        <v>1.8733983432285977E-2</v>
      </c>
      <c r="CB216" s="5">
        <f>CA216*100</f>
        <v>1.8733983432285977</v>
      </c>
      <c r="CC216">
        <f>F216/Iout*100</f>
        <v>1.0000000000000001E-7</v>
      </c>
      <c r="CE216" s="562">
        <f t="shared" ref="CE216:CE247" si="651">IF(ABS(F216-Ioutmax_Vinmax)&lt;Iout/200, AM216, -50)</f>
        <v>-50</v>
      </c>
      <c r="CG216" s="173">
        <f t="shared" ref="CG216:CG247" si="652">MIN(SQRT(2*DT216*1000*Ls1_*CL216)/CW216, 1-DY216)</f>
        <v>4.3279630374034922E-6</v>
      </c>
      <c r="CH216" s="173">
        <f t="shared" ref="CH216:CH247" si="653">MIN(SQRT(2*DT216*1000*Ls2_*CM216)/Vout2, 1-DY216)</f>
        <v>1.1836619486433914E-3</v>
      </c>
      <c r="CI216" s="170">
        <v>0.1</v>
      </c>
      <c r="CJ216" s="217">
        <v>1.0000000000000001E-9</v>
      </c>
      <c r="CK216" s="217">
        <f t="shared" ref="CK216:CK279" si="654">IF(PLOT_TYPE=1, CI216/100*Iout2, min_I*EXP(CU216*rr/100))</f>
        <v>1E-4</v>
      </c>
      <c r="CL216" s="217">
        <f t="shared" ref="CL216:CL279" si="655">CJ216*Vout</f>
        <v>2.4000000000000003E-8</v>
      </c>
      <c r="CM216" s="217">
        <f t="shared" ref="CM216:CM279" si="656">Vout2*CK216</f>
        <v>1.8000000000000002E-3</v>
      </c>
      <c r="CN216" s="541">
        <f t="shared" ref="CN216:CN279" si="657">VIN_max</f>
        <v>36</v>
      </c>
      <c r="CO216" s="443">
        <f t="shared" ref="CO216:CO247" si="658">(CW216+Vfwd2)*Nps</f>
        <v>16.474900000000002</v>
      </c>
      <c r="CP216" s="443">
        <f t="shared" ref="CP216:CP247" si="659">(Vout+Vfwd2)*Nps+CN216</f>
        <v>52.474900000000005</v>
      </c>
      <c r="CQ216" s="443"/>
      <c r="CR216" s="217">
        <f t="shared" ref="CR216:CR279" si="660">(Vout+Vfwd1)*Nps/((Vout+Vfwd1)*Nps+CN216)</f>
        <v>0.31220924123305599</v>
      </c>
      <c r="CS216" s="172">
        <f t="shared" ref="CS216:CS279" si="661">CR216*CN216*Isw_max*0.5*Efficiency*Pout/(Pout+Pout2)</f>
        <v>58.085440229405762</v>
      </c>
      <c r="CT216" s="172">
        <f t="shared" ref="CT216:CT279" si="662">CR216*CN216*Isw_max*0.5*Efficiency*(Pout2/Pout_total)</f>
        <v>4.683138618495839</v>
      </c>
      <c r="CU216" s="217">
        <f t="shared" ref="CU216:CU279" si="663">CS216/Vout</f>
        <v>2.4202266762252402</v>
      </c>
      <c r="CV216" s="217">
        <f t="shared" ref="CV216:CV279" si="664">CS216/Vout2</f>
        <v>3.2269689016336534</v>
      </c>
      <c r="CW216" s="217">
        <f t="shared" ref="CW216:CW279" si="665">MIN(Vout,CS216/CJ216)</f>
        <v>24</v>
      </c>
      <c r="CX216" s="217">
        <f t="shared" ref="CX216:CX279" si="666">MIN(2*(Vout*CJ216+Vout2*CK216)/(Efficiency*CN216*CR216), Isw_max)</f>
        <v>3.2030228489836717E-4</v>
      </c>
      <c r="CY216" s="217">
        <f t="shared" ref="CY216:CY279" si="667">L*CX216/CN216*1000000</f>
        <v>8.8972856916213106E-5</v>
      </c>
      <c r="CZ216" s="217">
        <f t="shared" ref="CZ216:CZ279" si="668">L*CX216/CO216*1000000</f>
        <v>1.9441834845635914E-4</v>
      </c>
      <c r="DA216" s="197">
        <f t="shared" ref="DA216:DA279" si="669">IF(1/((350000*L)*(1/CN216+1/CO216))&gt;Isw_min, 350, 0.001/((Isw_min*L)*(1/CN216+1/CO216)))</f>
        <v>350</v>
      </c>
      <c r="DB216" s="443">
        <f t="shared" ref="DB216:DB279" si="670">MIN(1/(CY216+CZ216)*1000, 350)</f>
        <v>350</v>
      </c>
      <c r="DD216" s="217">
        <f t="shared" ref="DD216:DD279" si="671">1/((DA216*1000*L)*(1/CN216+1/CO216))</f>
        <v>3.2292794133140656</v>
      </c>
      <c r="DE216" s="173">
        <f t="shared" ref="DE216:DE279" si="672">L*DD216/CO216*1000000</f>
        <v>1.9601207978889497</v>
      </c>
      <c r="DF216" s="173">
        <f t="shared" ref="DF216:DF279" si="673">0.5*DE216*DD216*Nps*DA216/1000*(Pout/(Pout+Pout2))</f>
        <v>0.6872960992823488</v>
      </c>
      <c r="DG216" s="173"/>
      <c r="DH216" s="173">
        <f t="shared" ref="DH216:DH279" si="674">L*Isw_min/CO216*1000000</f>
        <v>1.3488532386977903</v>
      </c>
      <c r="DI216" s="545">
        <f t="shared" ref="DI216:DI279" si="675">MAX(10, CJ216/(0.5*DH216/1000000*Isw_min*Nps)/1000*Pout_total/Pout)</f>
        <v>10</v>
      </c>
      <c r="DJ216" s="528">
        <f t="shared" ref="DJ216:DJ279" si="676">0.5*DH216/1000000*Isw_min*Nps*DA216*1000*(Pout/Pout_total)</f>
        <v>0.34987754285999911</v>
      </c>
      <c r="DL216" s="173">
        <f t="shared" ref="DL216:DL279" si="677">SQRT((CL216+CM216)/(0.5*L*Fsw_DCM))</f>
        <v>3.2071562837771767E-2</v>
      </c>
      <c r="DM216" s="173">
        <f t="shared" ref="DM216:DM279" si="678">MAX(IF(CJ216&gt;DF216,CX216,DL216),Isw_min)</f>
        <v>2.2222222222222223</v>
      </c>
      <c r="DN216" s="173">
        <f t="shared" ref="DN216:DN279" si="679">IF(CJ216&gt;DJ216, (DM216-Isw_min)/1.08*0.8+1.2, DI216*0.2/350+1)</f>
        <v>1.0057142857142858</v>
      </c>
      <c r="DP216" s="545">
        <f t="shared" ref="DP216:DP279" si="680">CJ216*1000</f>
        <v>1.0000000000000002E-6</v>
      </c>
      <c r="DQ216" s="460">
        <f t="shared" ref="DQ216:DQ279" si="681">IF(CJ216&gt;DJ216, DB216, DI216)</f>
        <v>10</v>
      </c>
      <c r="DS216">
        <f t="shared" ref="DS216:DS279" si="682">IF(CL216&gt;CS216, "",DP216)</f>
        <v>1.0000000000000002E-6</v>
      </c>
      <c r="DT216">
        <f t="shared" ref="DT216:DT279" si="683">IF(CL216&gt;CS216, "",DQ216)</f>
        <v>10</v>
      </c>
      <c r="DV216" s="5">
        <f t="shared" ref="DV216:DV280" si="684">1/DQ216*1000</f>
        <v>100</v>
      </c>
      <c r="DW216" s="5">
        <f t="shared" ref="DW216:DW279" si="685">L*DM216/CN216*1000000</f>
        <v>0.61728395061728403</v>
      </c>
      <c r="DX216" s="5">
        <f t="shared" ref="DX216:DX279" si="686">DV216-DW216</f>
        <v>99.382716049382722</v>
      </c>
      <c r="DY216" s="173">
        <f t="shared" ref="DY216:DY279" si="687">DW216/DV216</f>
        <v>6.17283950617284E-3</v>
      </c>
      <c r="EA216" s="5">
        <f>CJ216*DW216/Vout_ripple*1000</f>
        <v>2.5720164609053503E-9</v>
      </c>
      <c r="EB216" s="5">
        <f>CK216*DW216/Vout_ripple2*1000</f>
        <v>3.4293552812071339E-4</v>
      </c>
      <c r="EC216" s="5">
        <f>CL216/Efficiency/CN216*DX216/Vinripple1</f>
        <v>5.5212620027434845E-8</v>
      </c>
      <c r="ED216" s="5"/>
      <c r="EE216" s="173">
        <f>DM216*SQRT(DY216/3)</f>
        <v>0.10080204702811434</v>
      </c>
      <c r="EF216" s="173">
        <f>DM216*Npri_sec1*SQRT((1-DY216)/3)*(Pout/Pout_total)</f>
        <v>0.8531160714981626</v>
      </c>
      <c r="EG216" s="173">
        <f>DM216*Npri_sec2*SQRT((1-DY216)/3)*(Pout2/Pout_total)</f>
        <v>8.5426893105424104E-2</v>
      </c>
      <c r="EH216" s="173"/>
      <c r="EI216" s="528">
        <f>Rdson*EE216^2</f>
        <v>4.0644210740232696E-4</v>
      </c>
      <c r="EJ216" s="528">
        <f>0.5*CP216*DM216*DQ216*1000*Trise</f>
        <v>3.2067994444444456E-2</v>
      </c>
      <c r="EK216" s="528">
        <f>Qg*Vdd*DQ216*1000</f>
        <v>2E-3</v>
      </c>
      <c r="EL216" s="528">
        <f>0.5*(Coss+Csw)*CP216^2*DQ216*1000</f>
        <v>4.8188264775175004E-3</v>
      </c>
      <c r="EM216">
        <f>CN216*IQ</f>
        <v>1.6199999999999999E-2</v>
      </c>
      <c r="EN216" s="460">
        <f>(EK216+EM216)*1000</f>
        <v>18.2</v>
      </c>
      <c r="EP216" s="460">
        <f>SUM(EI216:EM216)*1000</f>
        <v>55.493263029364293</v>
      </c>
      <c r="EQ216" s="173">
        <f>Vfwd2*CJ216</f>
        <v>6.9999999999999996E-10</v>
      </c>
      <c r="ER216" s="173">
        <f t="shared" ref="ER216:ER247" si="688">Vfwd22*CK216*(1+Diode_TC/1000*(Ta-25))</f>
        <v>6.2000000000000003E-5</v>
      </c>
      <c r="ES216" s="528"/>
      <c r="EU216" s="460">
        <f>SUM(EQ216:ET216)*1000</f>
        <v>6.2000699999999999E-2</v>
      </c>
      <c r="EV216" s="528">
        <f>Rdcr_pri*EE216^2</f>
        <v>3.0483158055174522E-4</v>
      </c>
      <c r="EW216" s="528">
        <f>Rdcr_sec*EF216^2</f>
        <v>2.1834210943453742E-2</v>
      </c>
      <c r="EX216" s="528">
        <f>Rdcr_sec2*EG216^2</f>
        <v>3.6488770328227781E-5</v>
      </c>
      <c r="EY216" s="528">
        <f>DM216^2.5*DQ216^2.5*k_core</f>
        <v>1.1639617797309435E-4</v>
      </c>
      <c r="EZ216" s="528"/>
      <c r="FA216" s="625">
        <f>0.5*Lleak*0.000000001*DM216^2*DQ216*1000</f>
        <v>9.8765432098765465E-3</v>
      </c>
      <c r="FB216" s="460">
        <f>SUM(EV216:FA216)*1000</f>
        <v>32.168470682183354</v>
      </c>
      <c r="FC216" s="173">
        <f>SUM(EI216:EM216,EQ216:ET216,EV216:FA216)</f>
        <v>8.7723734411547655E-2</v>
      </c>
      <c r="FD216" s="5">
        <f>MIN(CL216+CM216,CS216+CT216)</f>
        <v>1.8000240000000001E-3</v>
      </c>
      <c r="FE216" s="173">
        <f>FD216/(FD216+FC216)</f>
        <v>2.0106662543423953E-2</v>
      </c>
      <c r="FF216" s="5">
        <f>FE216*100</f>
        <v>2.0106662543423952</v>
      </c>
      <c r="FG216">
        <f>CJ216/Iout*100</f>
        <v>1.0000000000000001E-7</v>
      </c>
      <c r="FI216" s="562">
        <f t="shared" ref="FI216:FI279" si="689">IF(ABS(CJ216-Ioutmax_Vinmax)&lt;Iout/200, DQ216, -50)</f>
        <v>-50</v>
      </c>
    </row>
    <row r="217" spans="1:169">
      <c r="E217" s="170">
        <v>1</v>
      </c>
      <c r="F217" s="217">
        <f t="shared" ref="F217:F248" si="690">IF(PLOT_TYPE=1, E217/100*Iout_max, min_I*EXP(O217*rr/100))</f>
        <v>0.01</v>
      </c>
      <c r="G217" s="217">
        <f t="shared" si="617"/>
        <v>1E-3</v>
      </c>
      <c r="H217" s="217">
        <f t="shared" si="618"/>
        <v>0.24</v>
      </c>
      <c r="I217" s="217">
        <f t="shared" si="619"/>
        <v>1.8000000000000002E-2</v>
      </c>
      <c r="J217" s="541">
        <f t="shared" si="620"/>
        <v>35.902335931666016</v>
      </c>
      <c r="K217" s="443">
        <f t="shared" si="621"/>
        <v>16.489517986529311</v>
      </c>
      <c r="L217" s="172">
        <f t="shared" si="622"/>
        <v>52.391853918195324</v>
      </c>
      <c r="M217" s="443"/>
      <c r="N217" s="217">
        <f t="shared" si="623"/>
        <v>0.31473438623256311</v>
      </c>
      <c r="O217" s="172">
        <f t="shared" si="624"/>
        <v>58.396380691308515</v>
      </c>
      <c r="P217" s="172">
        <f t="shared" si="625"/>
        <v>4.7082081932367492</v>
      </c>
      <c r="Q217" s="217">
        <f t="shared" si="626"/>
        <v>2.4331825288045215</v>
      </c>
      <c r="R217" s="217">
        <f t="shared" si="627"/>
        <v>3.2442433717393619</v>
      </c>
      <c r="S217" s="217">
        <f t="shared" si="628"/>
        <v>24</v>
      </c>
      <c r="T217" s="217">
        <f t="shared" si="629"/>
        <v>4.5664930516208554E-2</v>
      </c>
      <c r="U217" s="217">
        <f t="shared" si="630"/>
        <v>1.2719208745393052E-2</v>
      </c>
      <c r="V217" s="217">
        <f t="shared" si="631"/>
        <v>2.7693308290462675E-2</v>
      </c>
      <c r="W217" s="197">
        <f t="shared" si="632"/>
        <v>350</v>
      </c>
      <c r="X217" s="443">
        <f t="shared" ref="X217:X280" si="691">MIN(1/(U217+V217+0.2)*1000, 350)</f>
        <v>350</v>
      </c>
      <c r="Z217" s="217">
        <f t="shared" si="633"/>
        <v>3.228485618219485</v>
      </c>
      <c r="AA217" s="173">
        <f t="shared" si="634"/>
        <v>1.9579017536212484</v>
      </c>
      <c r="AB217" s="173">
        <f t="shared" si="635"/>
        <v>0.68634926009236363</v>
      </c>
      <c r="AC217" s="173"/>
      <c r="AD217" s="173">
        <f t="shared" si="636"/>
        <v>1.3476574779430244</v>
      </c>
      <c r="AE217" s="545">
        <f t="shared" si="637"/>
        <v>10.012375988822143</v>
      </c>
      <c r="AF217" s="528">
        <f t="shared" si="638"/>
        <v>0.34956737580644337</v>
      </c>
      <c r="AH217" s="173">
        <f t="shared" si="639"/>
        <v>0.38396428405331062</v>
      </c>
      <c r="AI217" s="173">
        <f t="shared" si="640"/>
        <v>2.2222222222222223</v>
      </c>
      <c r="AJ217" s="173">
        <f t="shared" si="641"/>
        <v>1.0057213577078983</v>
      </c>
      <c r="AL217" s="545">
        <f t="shared" si="642"/>
        <v>10</v>
      </c>
      <c r="AM217" s="460">
        <f t="shared" si="643"/>
        <v>10.012375988822143</v>
      </c>
      <c r="AO217">
        <f t="shared" si="644"/>
        <v>10</v>
      </c>
      <c r="AP217">
        <f t="shared" si="645"/>
        <v>10.012375988822143</v>
      </c>
      <c r="AR217" s="5">
        <f t="shared" si="616"/>
        <v>99.876393087555243</v>
      </c>
      <c r="AS217" s="5">
        <f t="shared" si="604"/>
        <v>0.61896312999016123</v>
      </c>
      <c r="AT217" s="5">
        <f t="shared" si="605"/>
        <v>99.25742995756508</v>
      </c>
      <c r="AU217" s="173">
        <f t="shared" si="606"/>
        <v>6.197291580679689E-3</v>
      </c>
      <c r="BA217" s="173">
        <f t="shared" ref="BA217:BA280" si="692">AI217*SQRT(AU217/3)</f>
        <v>0.10100150005551656</v>
      </c>
      <c r="BB217" s="173">
        <f t="shared" ref="BB217:BB280" si="693">AI217*Npri_sec1*SQRT((1-AU217)/3)*(Pout/Pout_total)</f>
        <v>0.85310557642070528</v>
      </c>
      <c r="BC217" s="173">
        <f t="shared" ref="BC217:BC280" si="694">AI217*Npri_sec2*SQRT((1-AU217)/3)*(Pout2/Pout_total)</f>
        <v>8.5425842179424658E-2</v>
      </c>
      <c r="BD217" s="173"/>
      <c r="BE217" s="528">
        <f t="shared" ref="BE217:BE280" si="695">Rdson*BA217^2</f>
        <v>4.0805212053858042E-4</v>
      </c>
      <c r="BF217" s="528">
        <f t="shared" si="646"/>
        <v>2.6228347009020811E-2</v>
      </c>
      <c r="BG217" s="528">
        <f t="shared" si="647"/>
        <v>1.4378707448993571E-2</v>
      </c>
      <c r="BH217" s="528">
        <f t="shared" ref="BH217:BH280" si="696">0.5*(Coss+Csw)*L217^2*AM217*1000</f>
        <v>4.8095310375432373E-3</v>
      </c>
      <c r="BI217">
        <f t="shared" ref="BI217:BI280" si="697">J217*IQ</f>
        <v>1.6156051169249706E-2</v>
      </c>
      <c r="BJ217" s="460">
        <f t="shared" ref="BJ217:BJ280" si="698">(BG217+BI217)*1000</f>
        <v>30.534758618243277</v>
      </c>
      <c r="BK217">
        <f t="shared" si="648"/>
        <v>3.1559164001077278E-2</v>
      </c>
      <c r="BL217" s="460">
        <f t="shared" ref="BL217:BL280" si="699">SUM(BE217:BI217)*1000</f>
        <v>61.980688785345905</v>
      </c>
      <c r="BM217" s="173">
        <f t="shared" si="649"/>
        <v>8.6799999999999985E-3</v>
      </c>
      <c r="BN217" s="173">
        <f t="shared" si="650"/>
        <v>6.2E-4</v>
      </c>
      <c r="BQ217" s="460">
        <f t="shared" ref="BQ217:BQ280" si="700">SUM(BM217:BP217)*1000</f>
        <v>9.2999999999999989</v>
      </c>
      <c r="BR217" s="528">
        <f t="shared" ref="BR217:BR280" si="701">Rdcr_pri*BA217^2</f>
        <v>3.0603909040393529E-4</v>
      </c>
      <c r="BS217" s="528">
        <f t="shared" ref="BS217:BS280" si="702">Rdcr_sec*BB217^2</f>
        <v>2.1833673735603115E-2</v>
      </c>
      <c r="BT217" s="528">
        <f t="shared" ref="BT217:BT280" si="703">Rdcr_sec2*BC217^2</f>
        <v>3.6487872560319847E-5</v>
      </c>
      <c r="BU217" s="528">
        <f t="shared" ref="BU217:BU280" si="704">AI217^2.5*AM217^2.5*k_core</f>
        <v>1.1675664176326943E-4</v>
      </c>
      <c r="BV217" s="528"/>
      <c r="BW217" s="625">
        <f t="shared" ref="BW217:BW280" si="705">0.5*Lleak*0.000000001*AI217^2*AM217*1000</f>
        <v>9.8887664087132301E-3</v>
      </c>
      <c r="BX217" s="460">
        <f t="shared" ref="BX217:BX280" si="706">SUM(BR217:BW217)*1000</f>
        <v>32.181723749043869</v>
      </c>
      <c r="BY217" s="173">
        <f t="shared" ref="BY217:BY280" si="707">SUM(BE217:BI217,BM217:BP217,BR217:BW217)</f>
        <v>0.10346241253438976</v>
      </c>
      <c r="BZ217" s="5">
        <f t="shared" ref="BZ217:BZ280" si="708">MIN(H217+I217,O217+P217)</f>
        <v>0.25800000000000001</v>
      </c>
      <c r="CA217" s="173">
        <f t="shared" ref="CA217:CA280" si="709">BZ217/(BZ217+BY217)</f>
        <v>0.71376716099202631</v>
      </c>
      <c r="CB217" s="5">
        <f t="shared" ref="CB217:CB280" si="710">CA217*100</f>
        <v>71.376716099202625</v>
      </c>
      <c r="CC217">
        <f t="shared" ref="CC217:CC280" si="711">F217/Iout*100</f>
        <v>1</v>
      </c>
      <c r="CE217" s="562">
        <f t="shared" si="651"/>
        <v>-50</v>
      </c>
      <c r="CG217" s="173">
        <f t="shared" si="652"/>
        <v>1.3688615706326715E-2</v>
      </c>
      <c r="CH217" s="173">
        <f t="shared" si="653"/>
        <v>3.7437227169347131E-3</v>
      </c>
      <c r="CI217" s="170">
        <v>1</v>
      </c>
      <c r="CJ217" s="217">
        <f t="shared" ref="CJ217:CJ280" si="712">IF(PLOT_TYPE=1, CI217/100*Iout_max, min_I*EXP(CS217*rr/100))</f>
        <v>0.01</v>
      </c>
      <c r="CK217" s="217">
        <f t="shared" si="654"/>
        <v>1E-3</v>
      </c>
      <c r="CL217" s="217">
        <f t="shared" si="655"/>
        <v>0.24</v>
      </c>
      <c r="CM217" s="217">
        <f t="shared" si="656"/>
        <v>1.8000000000000002E-2</v>
      </c>
      <c r="CN217" s="541">
        <f t="shared" si="657"/>
        <v>36</v>
      </c>
      <c r="CO217" s="443">
        <f t="shared" si="658"/>
        <v>16.474900000000002</v>
      </c>
      <c r="CP217" s="443">
        <f t="shared" si="659"/>
        <v>52.474900000000005</v>
      </c>
      <c r="CQ217" s="443"/>
      <c r="CR217" s="217">
        <f t="shared" si="660"/>
        <v>0.31220924123305599</v>
      </c>
      <c r="CS217" s="172">
        <f t="shared" si="661"/>
        <v>58.085440229405762</v>
      </c>
      <c r="CT217" s="172">
        <f t="shared" si="662"/>
        <v>4.683138618495839</v>
      </c>
      <c r="CU217" s="217">
        <f t="shared" si="663"/>
        <v>2.4202266762252402</v>
      </c>
      <c r="CV217" s="217">
        <f t="shared" si="664"/>
        <v>3.2269689016336534</v>
      </c>
      <c r="CW217" s="217">
        <f t="shared" si="665"/>
        <v>24</v>
      </c>
      <c r="CX217" s="217">
        <f t="shared" si="666"/>
        <v>4.5909382043672044E-2</v>
      </c>
      <c r="CY217" s="217">
        <f t="shared" si="667"/>
        <v>1.2752606123242236E-2</v>
      </c>
      <c r="CZ217" s="217">
        <f t="shared" si="668"/>
        <v>2.7866258395299541E-2</v>
      </c>
      <c r="DA217" s="197">
        <f t="shared" si="669"/>
        <v>350</v>
      </c>
      <c r="DB217" s="443">
        <f t="shared" si="670"/>
        <v>350</v>
      </c>
      <c r="DD217" s="217">
        <f t="shared" si="671"/>
        <v>3.2292794133140656</v>
      </c>
      <c r="DE217" s="173">
        <f t="shared" si="672"/>
        <v>1.9601207978889497</v>
      </c>
      <c r="DF217" s="173">
        <f t="shared" si="673"/>
        <v>0.6872960992823488</v>
      </c>
      <c r="DG217" s="173"/>
      <c r="DH217" s="173">
        <f t="shared" si="674"/>
        <v>1.3488532386977903</v>
      </c>
      <c r="DI217" s="545">
        <f t="shared" si="675"/>
        <v>10.003499999999997</v>
      </c>
      <c r="DJ217" s="528">
        <f t="shared" si="676"/>
        <v>0.34987754285999911</v>
      </c>
      <c r="DL217" s="173">
        <f t="shared" si="677"/>
        <v>0.38396428405331062</v>
      </c>
      <c r="DM217" s="173">
        <f t="shared" si="678"/>
        <v>2.2222222222222223</v>
      </c>
      <c r="DN217" s="173">
        <f t="shared" si="679"/>
        <v>1.0057162857142856</v>
      </c>
      <c r="DP217" s="545">
        <f t="shared" si="680"/>
        <v>10</v>
      </c>
      <c r="DQ217" s="460">
        <f t="shared" si="681"/>
        <v>10.003499999999997</v>
      </c>
      <c r="DS217">
        <f t="shared" si="682"/>
        <v>10</v>
      </c>
      <c r="DT217">
        <f t="shared" si="683"/>
        <v>10.003499999999997</v>
      </c>
      <c r="DV217" s="5">
        <f t="shared" si="684"/>
        <v>99.965012245714021</v>
      </c>
      <c r="DW217" s="5">
        <f t="shared" si="685"/>
        <v>0.61728395061728403</v>
      </c>
      <c r="DX217" s="5">
        <f t="shared" si="686"/>
        <v>99.347728295096744</v>
      </c>
      <c r="DY217" s="173">
        <f t="shared" si="687"/>
        <v>6.1749999999999991E-3</v>
      </c>
      <c r="EA217" s="5">
        <f t="shared" ref="EA217:EA280" si="713">CJ217*DW217/Vout_ripple*1000</f>
        <v>2.5720164609053502E-2</v>
      </c>
      <c r="EB217" s="5">
        <f t="shared" ref="EB217:EB280" si="714">CK217*DW217/Vout_ripple2*1000</f>
        <v>3.4293552812071334E-3</v>
      </c>
      <c r="EC217" s="5">
        <f t="shared" ref="EC217:EC280" si="715">CL217/Efficiency/CN217*DX217/Vinripple1</f>
        <v>0.55193182386164852</v>
      </c>
      <c r="ED217" s="5"/>
      <c r="EE217" s="173">
        <f t="shared" ref="EE217:EE280" si="716">DM217*SQRT(DY217/3)</f>
        <v>0.10081968584308294</v>
      </c>
      <c r="EF217" s="173">
        <f t="shared" ref="EF217:EF280" si="717">DM217*Npri_sec1*SQRT((1-DY217)/3)*(Pout/Pout_total)</f>
        <v>0.85311514419758094</v>
      </c>
      <c r="EG217" s="173">
        <f t="shared" ref="EG217:EG280" si="718">DM217*Npri_sec2*SQRT((1-DY217)/3)*(Pout2/Pout_total)</f>
        <v>8.5426800250055057E-2</v>
      </c>
      <c r="EH217" s="173"/>
      <c r="EI217" s="528">
        <f t="shared" ref="EI217:EI280" si="719">Rdson*EE217^2</f>
        <v>4.0658436213991754E-4</v>
      </c>
      <c r="EJ217" s="528">
        <f t="shared" ref="EJ217:EJ280" si="720">0.5*CP217*DM217*DQ217*1000*Trise</f>
        <v>3.2079218242499992E-2</v>
      </c>
      <c r="EK217" s="528">
        <f t="shared" ref="EK217:EK280" si="721">Qg*Vdd*DQ217*1000</f>
        <v>2.0006999999999994E-3</v>
      </c>
      <c r="EL217" s="528">
        <f t="shared" ref="EL217:EL280" si="722">0.5*(Coss+Csw)*CP217^2*DQ217*1000</f>
        <v>4.8205130667846301E-3</v>
      </c>
      <c r="EM217">
        <f t="shared" ref="EM217:EM280" si="723">CN217*IQ</f>
        <v>1.6199999999999999E-2</v>
      </c>
      <c r="EN217" s="460">
        <f t="shared" ref="EN217:EN280" si="724">(EK217+EM217)*1000</f>
        <v>18.200700000000001</v>
      </c>
      <c r="EP217" s="460">
        <f t="shared" ref="EP217:EP280" si="725">SUM(EI217:EM217)*1000</f>
        <v>55.50701567142454</v>
      </c>
      <c r="EQ217" s="173">
        <f t="shared" ref="EQ217:EQ280" si="726">Vfwd2*CJ217</f>
        <v>6.9999999999999993E-3</v>
      </c>
      <c r="ER217" s="173">
        <f t="shared" si="688"/>
        <v>6.2E-4</v>
      </c>
      <c r="ES217" s="528"/>
      <c r="EU217" s="460">
        <f t="shared" ref="EU217:EU280" si="727">SUM(EQ217:ET217)*1000</f>
        <v>7.6199999999999992</v>
      </c>
      <c r="EV217" s="528">
        <f t="shared" ref="EV217:EV280" si="728">Rdcr_pri*EE217^2</f>
        <v>3.0493827160493813E-4</v>
      </c>
      <c r="EW217" s="528">
        <f t="shared" ref="EW217:EW280" si="729">Rdcr_sec*EF217^2</f>
        <v>2.1834163477777776E-2</v>
      </c>
      <c r="EX217" s="528">
        <f t="shared" ref="EX217:EX280" si="730">Rdcr_sec2*EG217^2</f>
        <v>3.6488691004814038E-5</v>
      </c>
      <c r="EY217" s="528">
        <f t="shared" ref="EY217:EY280" si="731">DM217^2.5*DQ217^2.5*k_core</f>
        <v>1.1649805136512729E-4</v>
      </c>
      <c r="EZ217" s="528"/>
      <c r="FA217" s="625">
        <f t="shared" ref="FA217:FA280" si="732">0.5*Lleak*0.000000001*DM217^2*DQ217*1000</f>
        <v>9.8799999999999999E-3</v>
      </c>
      <c r="FB217" s="460">
        <f t="shared" ref="FB217:FB280" si="733">SUM(EV217:FA217)*1000</f>
        <v>32.172088491752653</v>
      </c>
      <c r="FC217" s="173">
        <f t="shared" ref="FC217:FC280" si="734">SUM(EI217:EM217,EQ217:ET217,EV217:FA217)</f>
        <v>9.529910416317719E-2</v>
      </c>
      <c r="FD217" s="5">
        <f t="shared" ref="FD217:FD280" si="735">MIN(CL217+CM217,CS217+CT217)</f>
        <v>0.25800000000000001</v>
      </c>
      <c r="FE217" s="173">
        <f t="shared" ref="FE217:FE280" si="736">FD217/(FD217+FC217)</f>
        <v>0.73025942313411107</v>
      </c>
      <c r="FF217" s="5">
        <f t="shared" ref="FF217:FF280" si="737">FE217*100</f>
        <v>73.025942313411107</v>
      </c>
      <c r="FG217">
        <f t="shared" ref="FG217:FG280" si="738">CJ217/Iout*100</f>
        <v>1</v>
      </c>
      <c r="FI217" s="562">
        <f t="shared" si="689"/>
        <v>-50</v>
      </c>
    </row>
    <row r="218" spans="1:169">
      <c r="E218" s="170">
        <v>2</v>
      </c>
      <c r="F218" s="217">
        <f t="shared" si="690"/>
        <v>0.02</v>
      </c>
      <c r="G218" s="217">
        <f t="shared" si="617"/>
        <v>2E-3</v>
      </c>
      <c r="H218" s="217">
        <f t="shared" si="618"/>
        <v>0.48</v>
      </c>
      <c r="I218" s="217">
        <f t="shared" si="619"/>
        <v>3.6000000000000004E-2</v>
      </c>
      <c r="J218" s="541">
        <f t="shared" si="620"/>
        <v>35.902335931666016</v>
      </c>
      <c r="K218" s="443">
        <f t="shared" si="621"/>
        <v>16.489517986529311</v>
      </c>
      <c r="L218" s="172">
        <f t="shared" si="622"/>
        <v>52.391853918195324</v>
      </c>
      <c r="M218" s="443"/>
      <c r="N218" s="217">
        <f t="shared" si="623"/>
        <v>0.31473438623256311</v>
      </c>
      <c r="O218" s="172">
        <f t="shared" si="624"/>
        <v>58.396380691308515</v>
      </c>
      <c r="P218" s="172">
        <f t="shared" si="625"/>
        <v>4.7082081932367492</v>
      </c>
      <c r="Q218" s="217">
        <f t="shared" si="626"/>
        <v>2.4331825288045215</v>
      </c>
      <c r="R218" s="217">
        <f t="shared" si="627"/>
        <v>3.2442433717393619</v>
      </c>
      <c r="S218" s="217">
        <f t="shared" si="628"/>
        <v>24</v>
      </c>
      <c r="T218" s="217">
        <f t="shared" si="629"/>
        <v>9.1329861032417109E-2</v>
      </c>
      <c r="U218" s="217">
        <f t="shared" si="630"/>
        <v>2.5438417490786104E-2</v>
      </c>
      <c r="V218" s="217">
        <f t="shared" si="631"/>
        <v>5.5386616580925349E-2</v>
      </c>
      <c r="W218" s="197">
        <f t="shared" si="632"/>
        <v>350</v>
      </c>
      <c r="X218" s="443">
        <f t="shared" si="691"/>
        <v>350</v>
      </c>
      <c r="Z218" s="217">
        <f t="shared" si="633"/>
        <v>3.228485618219485</v>
      </c>
      <c r="AA218" s="173">
        <f t="shared" si="634"/>
        <v>1.9579017536212484</v>
      </c>
      <c r="AB218" s="173">
        <f t="shared" si="635"/>
        <v>0.68634926009236363</v>
      </c>
      <c r="AC218" s="173"/>
      <c r="AD218" s="173">
        <f t="shared" si="636"/>
        <v>1.3476574779430244</v>
      </c>
      <c r="AE218" s="545">
        <f t="shared" si="637"/>
        <v>20.024751977644286</v>
      </c>
      <c r="AF218" s="528">
        <f t="shared" si="638"/>
        <v>0.34956737580644337</v>
      </c>
      <c r="AH218" s="173">
        <f t="shared" si="639"/>
        <v>0.54300749797506742</v>
      </c>
      <c r="AI218" s="173">
        <f t="shared" si="640"/>
        <v>2.2222222222222223</v>
      </c>
      <c r="AJ218" s="173">
        <f t="shared" si="641"/>
        <v>1.0114427154157968</v>
      </c>
      <c r="AL218" s="545">
        <f t="shared" si="642"/>
        <v>20</v>
      </c>
      <c r="AM218" s="460">
        <f t="shared" si="643"/>
        <v>20.024751977644286</v>
      </c>
      <c r="AO218">
        <f t="shared" si="644"/>
        <v>20</v>
      </c>
      <c r="AP218">
        <f t="shared" si="645"/>
        <v>20.024751977644286</v>
      </c>
      <c r="AR218" s="5">
        <f t="shared" si="616"/>
        <v>49.938196543777622</v>
      </c>
      <c r="AS218" s="5">
        <f t="shared" si="604"/>
        <v>0.61896312999016123</v>
      </c>
      <c r="AT218" s="5">
        <f t="shared" si="605"/>
        <v>49.319233413787458</v>
      </c>
      <c r="AU218" s="173">
        <f t="shared" si="606"/>
        <v>1.2394583161359378E-2</v>
      </c>
      <c r="BA218" s="173">
        <f t="shared" si="692"/>
        <v>0.14283769119853842</v>
      </c>
      <c r="BB218" s="173">
        <f t="shared" si="693"/>
        <v>0.85044146008043764</v>
      </c>
      <c r="BC218" s="173">
        <f t="shared" si="694"/>
        <v>8.5159070529676237E-2</v>
      </c>
      <c r="BD218" s="173"/>
      <c r="BE218" s="528">
        <f t="shared" si="695"/>
        <v>8.1610424107716084E-4</v>
      </c>
      <c r="BF218" s="528">
        <f t="shared" si="646"/>
        <v>5.2456694018041622E-2</v>
      </c>
      <c r="BG218" s="528">
        <f t="shared" si="647"/>
        <v>2.8757414897987141E-2</v>
      </c>
      <c r="BH218" s="528">
        <f t="shared" si="696"/>
        <v>9.6190620750864746E-3</v>
      </c>
      <c r="BI218">
        <f t="shared" si="697"/>
        <v>1.6156051169249706E-2</v>
      </c>
      <c r="BJ218" s="460">
        <f t="shared" si="698"/>
        <v>44.913466067236847</v>
      </c>
      <c r="BK218">
        <f t="shared" si="648"/>
        <v>6.31244487118576E-2</v>
      </c>
      <c r="BL218" s="460">
        <f t="shared" si="699"/>
        <v>107.8053264014421</v>
      </c>
      <c r="BM218" s="173">
        <f t="shared" si="649"/>
        <v>1.7359999999999997E-2</v>
      </c>
      <c r="BN218" s="173">
        <f t="shared" si="650"/>
        <v>1.24E-3</v>
      </c>
      <c r="BQ218" s="460">
        <f t="shared" si="700"/>
        <v>18.599999999999998</v>
      </c>
      <c r="BR218" s="528">
        <f t="shared" si="701"/>
        <v>6.1207818080787058E-4</v>
      </c>
      <c r="BS218" s="528">
        <f t="shared" si="702"/>
        <v>2.1697520310712395E-2</v>
      </c>
      <c r="BT218" s="528">
        <f t="shared" si="703"/>
        <v>3.626033646739186E-5</v>
      </c>
      <c r="BU218" s="528">
        <f t="shared" si="704"/>
        <v>6.6047530511501029E-4</v>
      </c>
      <c r="BV218" s="528"/>
      <c r="BW218" s="625">
        <f t="shared" si="705"/>
        <v>1.977753281742646E-2</v>
      </c>
      <c r="BX218" s="460">
        <f t="shared" si="706"/>
        <v>42.783866950529131</v>
      </c>
      <c r="BY218" s="173">
        <f t="shared" si="707"/>
        <v>0.16918919335197119</v>
      </c>
      <c r="BZ218" s="5">
        <f t="shared" si="708"/>
        <v>0.51600000000000001</v>
      </c>
      <c r="CA218" s="173">
        <f t="shared" si="709"/>
        <v>0.75307667576557757</v>
      </c>
      <c r="CB218" s="5">
        <f t="shared" si="710"/>
        <v>75.307667576557762</v>
      </c>
      <c r="CC218">
        <f t="shared" si="711"/>
        <v>2</v>
      </c>
      <c r="CE218" s="562">
        <f t="shared" si="651"/>
        <v>-50</v>
      </c>
      <c r="CG218" s="173">
        <f t="shared" si="652"/>
        <v>2.7377231412653431E-2</v>
      </c>
      <c r="CH218" s="173">
        <f t="shared" si="653"/>
        <v>7.4874454338694262E-3</v>
      </c>
      <c r="CI218" s="170">
        <v>2</v>
      </c>
      <c r="CJ218" s="217">
        <f t="shared" si="712"/>
        <v>0.02</v>
      </c>
      <c r="CK218" s="217">
        <f t="shared" si="654"/>
        <v>2E-3</v>
      </c>
      <c r="CL218" s="217">
        <f t="shared" si="655"/>
        <v>0.48</v>
      </c>
      <c r="CM218" s="217">
        <f t="shared" si="656"/>
        <v>3.6000000000000004E-2</v>
      </c>
      <c r="CN218" s="541">
        <f t="shared" si="657"/>
        <v>36</v>
      </c>
      <c r="CO218" s="443">
        <f t="shared" si="658"/>
        <v>16.474900000000002</v>
      </c>
      <c r="CP218" s="443">
        <f t="shared" si="659"/>
        <v>52.474900000000005</v>
      </c>
      <c r="CQ218" s="443"/>
      <c r="CR218" s="217">
        <f t="shared" si="660"/>
        <v>0.31220924123305599</v>
      </c>
      <c r="CS218" s="172">
        <f t="shared" si="661"/>
        <v>58.085440229405762</v>
      </c>
      <c r="CT218" s="172">
        <f t="shared" si="662"/>
        <v>4.683138618495839</v>
      </c>
      <c r="CU218" s="217">
        <f t="shared" si="663"/>
        <v>2.4202266762252402</v>
      </c>
      <c r="CV218" s="217">
        <f t="shared" si="664"/>
        <v>3.2269689016336534</v>
      </c>
      <c r="CW218" s="217">
        <f t="shared" si="665"/>
        <v>24</v>
      </c>
      <c r="CX218" s="217">
        <f t="shared" si="666"/>
        <v>9.1818764087344087E-2</v>
      </c>
      <c r="CY218" s="217">
        <f t="shared" si="667"/>
        <v>2.5505212246484471E-2</v>
      </c>
      <c r="CZ218" s="217">
        <f t="shared" si="668"/>
        <v>5.5732516790599082E-2</v>
      </c>
      <c r="DA218" s="197">
        <f t="shared" si="669"/>
        <v>350</v>
      </c>
      <c r="DB218" s="443">
        <f t="shared" si="670"/>
        <v>350</v>
      </c>
      <c r="DD218" s="217">
        <f t="shared" si="671"/>
        <v>3.2292794133140656</v>
      </c>
      <c r="DE218" s="173">
        <f t="shared" si="672"/>
        <v>1.9601207978889497</v>
      </c>
      <c r="DF218" s="173">
        <f t="shared" si="673"/>
        <v>0.6872960992823488</v>
      </c>
      <c r="DG218" s="173"/>
      <c r="DH218" s="173">
        <f t="shared" si="674"/>
        <v>1.3488532386977903</v>
      </c>
      <c r="DI218" s="545">
        <f t="shared" si="675"/>
        <v>20.006999999999994</v>
      </c>
      <c r="DJ218" s="528">
        <f t="shared" si="676"/>
        <v>0.34987754285999911</v>
      </c>
      <c r="DL218" s="173">
        <f t="shared" si="677"/>
        <v>0.54300749797506742</v>
      </c>
      <c r="DM218" s="173">
        <f t="shared" si="678"/>
        <v>2.2222222222222223</v>
      </c>
      <c r="DN218" s="173">
        <f t="shared" si="679"/>
        <v>1.0114325714285715</v>
      </c>
      <c r="DP218" s="545">
        <f t="shared" si="680"/>
        <v>20</v>
      </c>
      <c r="DQ218" s="460">
        <f t="shared" si="681"/>
        <v>20.006999999999994</v>
      </c>
      <c r="DS218">
        <f t="shared" si="682"/>
        <v>20</v>
      </c>
      <c r="DT218">
        <f t="shared" si="683"/>
        <v>20.006999999999994</v>
      </c>
      <c r="DV218" s="5">
        <f t="shared" si="684"/>
        <v>49.982506122857011</v>
      </c>
      <c r="DW218" s="5">
        <f t="shared" si="685"/>
        <v>0.61728395061728403</v>
      </c>
      <c r="DX218" s="5">
        <f t="shared" si="686"/>
        <v>49.365222172239726</v>
      </c>
      <c r="DY218" s="173">
        <f t="shared" si="687"/>
        <v>1.2349999999999998E-2</v>
      </c>
      <c r="EA218" s="5">
        <f t="shared" si="713"/>
        <v>5.1440329218107005E-2</v>
      </c>
      <c r="EB218" s="5">
        <f t="shared" si="714"/>
        <v>6.8587105624142667E-3</v>
      </c>
      <c r="EC218" s="5">
        <f t="shared" si="715"/>
        <v>0.54850246858044127</v>
      </c>
      <c r="ED218" s="5"/>
      <c r="EE218" s="173">
        <f t="shared" si="716"/>
        <v>0.14258056707348266</v>
      </c>
      <c r="EF218" s="173">
        <f t="shared" si="717"/>
        <v>0.85046065546976224</v>
      </c>
      <c r="EG218" s="173">
        <f t="shared" si="718"/>
        <v>8.5160992662580245E-2</v>
      </c>
      <c r="EH218" s="173"/>
      <c r="EI218" s="528">
        <f t="shared" si="719"/>
        <v>8.1316872427983551E-4</v>
      </c>
      <c r="EJ218" s="528">
        <f t="shared" si="720"/>
        <v>6.4158436484999984E-2</v>
      </c>
      <c r="EK218" s="528">
        <f t="shared" si="721"/>
        <v>4.0013999999999987E-3</v>
      </c>
      <c r="EL218" s="528">
        <f t="shared" si="722"/>
        <v>9.6410261335692603E-3</v>
      </c>
      <c r="EM218">
        <f t="shared" si="723"/>
        <v>1.6199999999999999E-2</v>
      </c>
      <c r="EN218" s="460">
        <f t="shared" si="724"/>
        <v>20.2014</v>
      </c>
      <c r="EP218" s="460">
        <f t="shared" si="725"/>
        <v>94.814031342849077</v>
      </c>
      <c r="EQ218" s="173">
        <f t="shared" si="726"/>
        <v>1.3999999999999999E-2</v>
      </c>
      <c r="ER218" s="173">
        <f t="shared" si="688"/>
        <v>1.24E-3</v>
      </c>
      <c r="ES218" s="528"/>
      <c r="EU218" s="460">
        <f t="shared" si="727"/>
        <v>15.239999999999998</v>
      </c>
      <c r="EV218" s="528">
        <f t="shared" si="728"/>
        <v>6.0987654320987658E-4</v>
      </c>
      <c r="EW218" s="528">
        <f t="shared" si="729"/>
        <v>2.1698499795061728E-2</v>
      </c>
      <c r="EX218" s="528">
        <f t="shared" si="730"/>
        <v>3.6261973356380235E-5</v>
      </c>
      <c r="EY218" s="528">
        <f t="shared" si="731"/>
        <v>6.5901249692240096E-4</v>
      </c>
      <c r="EZ218" s="528"/>
      <c r="FA218" s="625">
        <f t="shared" si="732"/>
        <v>1.976E-2</v>
      </c>
      <c r="FB218" s="460">
        <f t="shared" si="733"/>
        <v>42.763650808550381</v>
      </c>
      <c r="FC218" s="173">
        <f t="shared" si="734"/>
        <v>0.15281768215139946</v>
      </c>
      <c r="FD218" s="5">
        <f t="shared" si="735"/>
        <v>0.51600000000000001</v>
      </c>
      <c r="FE218" s="173">
        <f t="shared" si="736"/>
        <v>0.77151070279746836</v>
      </c>
      <c r="FF218" s="5">
        <f t="shared" si="737"/>
        <v>77.151070279746833</v>
      </c>
      <c r="FG218">
        <f t="shared" si="738"/>
        <v>2</v>
      </c>
      <c r="FI218" s="562">
        <f t="shared" si="689"/>
        <v>-50</v>
      </c>
    </row>
    <row r="219" spans="1:169">
      <c r="E219" s="170">
        <v>3</v>
      </c>
      <c r="F219" s="217">
        <f t="shared" si="690"/>
        <v>0.03</v>
      </c>
      <c r="G219" s="217">
        <f t="shared" si="617"/>
        <v>3.0000000000000001E-3</v>
      </c>
      <c r="H219" s="217">
        <f t="shared" si="618"/>
        <v>0.72</v>
      </c>
      <c r="I219" s="217">
        <f t="shared" si="619"/>
        <v>5.3999999999999999E-2</v>
      </c>
      <c r="J219" s="541">
        <f t="shared" si="620"/>
        <v>35.902335931666016</v>
      </c>
      <c r="K219" s="443">
        <f t="shared" si="621"/>
        <v>16.489517986529311</v>
      </c>
      <c r="L219" s="172">
        <f t="shared" si="622"/>
        <v>52.391853918195324</v>
      </c>
      <c r="M219" s="443"/>
      <c r="N219" s="217">
        <f t="shared" si="623"/>
        <v>0.31473438623256311</v>
      </c>
      <c r="O219" s="172">
        <f t="shared" si="624"/>
        <v>58.396380691308515</v>
      </c>
      <c r="P219" s="172">
        <f t="shared" si="625"/>
        <v>4.7082081932367492</v>
      </c>
      <c r="Q219" s="217">
        <f t="shared" si="626"/>
        <v>2.4331825288045215</v>
      </c>
      <c r="R219" s="217">
        <f t="shared" si="627"/>
        <v>3.2442433717393619</v>
      </c>
      <c r="S219" s="217">
        <f t="shared" si="628"/>
        <v>24</v>
      </c>
      <c r="T219" s="217">
        <f t="shared" si="629"/>
        <v>0.13699479154862568</v>
      </c>
      <c r="U219" s="217">
        <f t="shared" si="630"/>
        <v>3.815762623617916E-2</v>
      </c>
      <c r="V219" s="217">
        <f t="shared" si="631"/>
        <v>8.3079924871388031E-2</v>
      </c>
      <c r="W219" s="197">
        <f t="shared" si="632"/>
        <v>350</v>
      </c>
      <c r="X219" s="443">
        <f t="shared" si="691"/>
        <v>350</v>
      </c>
      <c r="Z219" s="217">
        <f t="shared" si="633"/>
        <v>3.228485618219485</v>
      </c>
      <c r="AA219" s="173">
        <f t="shared" si="634"/>
        <v>1.9579017536212484</v>
      </c>
      <c r="AB219" s="173">
        <f t="shared" si="635"/>
        <v>0.68634926009236363</v>
      </c>
      <c r="AC219" s="173"/>
      <c r="AD219" s="173">
        <f t="shared" si="636"/>
        <v>1.3476574779430244</v>
      </c>
      <c r="AE219" s="545">
        <f t="shared" si="637"/>
        <v>30.037127966466429</v>
      </c>
      <c r="AF219" s="528">
        <f t="shared" si="638"/>
        <v>0.34956737580644337</v>
      </c>
      <c r="AH219" s="173">
        <f t="shared" si="639"/>
        <v>0.66504564827214241</v>
      </c>
      <c r="AI219" s="173">
        <f t="shared" si="640"/>
        <v>2.2222222222222223</v>
      </c>
      <c r="AJ219" s="173">
        <f t="shared" si="641"/>
        <v>1.0171640731236951</v>
      </c>
      <c r="AL219" s="545">
        <f t="shared" si="642"/>
        <v>30</v>
      </c>
      <c r="AM219" s="460">
        <f t="shared" si="643"/>
        <v>30.037127966466429</v>
      </c>
      <c r="AO219">
        <f t="shared" si="644"/>
        <v>30</v>
      </c>
      <c r="AP219">
        <f t="shared" si="645"/>
        <v>30.037127966466429</v>
      </c>
      <c r="AR219" s="5">
        <f t="shared" si="616"/>
        <v>33.292131029185079</v>
      </c>
      <c r="AS219" s="5">
        <f t="shared" si="604"/>
        <v>0.61896312999016123</v>
      </c>
      <c r="AT219" s="5">
        <f t="shared" si="605"/>
        <v>32.673167899194915</v>
      </c>
      <c r="AU219" s="173">
        <f t="shared" si="606"/>
        <v>1.859187474203907E-2</v>
      </c>
      <c r="BA219" s="173">
        <f t="shared" si="692"/>
        <v>0.17493972973682545</v>
      </c>
      <c r="BB219" s="173">
        <f t="shared" si="693"/>
        <v>0.84776897178853472</v>
      </c>
      <c r="BC219" s="173">
        <f t="shared" si="694"/>
        <v>8.4891460553419479E-2</v>
      </c>
      <c r="BD219" s="173"/>
      <c r="BE219" s="528">
        <f t="shared" si="695"/>
        <v>1.2241563616157412E-3</v>
      </c>
      <c r="BF219" s="528">
        <f t="shared" si="646"/>
        <v>7.8685041027062419E-2</v>
      </c>
      <c r="BG219" s="528">
        <f t="shared" si="647"/>
        <v>4.3136122346980714E-2</v>
      </c>
      <c r="BH219" s="528">
        <f t="shared" si="696"/>
        <v>1.4428593112629711E-2</v>
      </c>
      <c r="BI219">
        <f t="shared" si="697"/>
        <v>1.6156051169249706E-2</v>
      </c>
      <c r="BJ219" s="460">
        <f t="shared" si="698"/>
        <v>59.29217351623042</v>
      </c>
      <c r="BK219">
        <f t="shared" si="648"/>
        <v>9.4695855913125807E-2</v>
      </c>
      <c r="BL219" s="460">
        <f t="shared" si="699"/>
        <v>153.62996401753827</v>
      </c>
      <c r="BM219" s="173">
        <f t="shared" si="649"/>
        <v>2.6039999999999997E-2</v>
      </c>
      <c r="BN219" s="173">
        <f t="shared" si="650"/>
        <v>1.8600000000000001E-3</v>
      </c>
      <c r="BQ219" s="460">
        <f t="shared" si="700"/>
        <v>27.9</v>
      </c>
      <c r="BR219" s="528">
        <f t="shared" si="701"/>
        <v>9.1811727121180592E-4</v>
      </c>
      <c r="BS219" s="528">
        <f t="shared" si="702"/>
        <v>2.1561366885821678E-2</v>
      </c>
      <c r="BT219" s="528">
        <f t="shared" si="703"/>
        <v>3.6032800374463879E-5</v>
      </c>
      <c r="BU219" s="528">
        <f t="shared" si="704"/>
        <v>1.8200559208959089E-3</v>
      </c>
      <c r="BV219" s="528"/>
      <c r="BW219" s="625">
        <f t="shared" si="705"/>
        <v>2.966629922613969E-2</v>
      </c>
      <c r="BX219" s="460">
        <f t="shared" si="706"/>
        <v>54.001872104443542</v>
      </c>
      <c r="BY219" s="173">
        <f t="shared" si="707"/>
        <v>0.23553183612198184</v>
      </c>
      <c r="BZ219" s="5">
        <f t="shared" si="708"/>
        <v>0.77400000000000002</v>
      </c>
      <c r="CA219" s="173">
        <f t="shared" si="709"/>
        <v>0.76669201733473369</v>
      </c>
      <c r="CB219" s="5">
        <f t="shared" si="710"/>
        <v>76.669201733473372</v>
      </c>
      <c r="CC219">
        <f t="shared" si="711"/>
        <v>3</v>
      </c>
      <c r="CE219" s="562">
        <f t="shared" si="651"/>
        <v>-50</v>
      </c>
      <c r="CG219" s="173">
        <f t="shared" si="652"/>
        <v>4.1065847118980141E-2</v>
      </c>
      <c r="CH219" s="173">
        <f t="shared" si="653"/>
        <v>1.123116815080414E-2</v>
      </c>
      <c r="CI219" s="170">
        <v>3</v>
      </c>
      <c r="CJ219" s="217">
        <f t="shared" si="712"/>
        <v>0.03</v>
      </c>
      <c r="CK219" s="217">
        <f t="shared" si="654"/>
        <v>3.0000000000000001E-3</v>
      </c>
      <c r="CL219" s="217">
        <f t="shared" si="655"/>
        <v>0.72</v>
      </c>
      <c r="CM219" s="217">
        <f t="shared" si="656"/>
        <v>5.3999999999999999E-2</v>
      </c>
      <c r="CN219" s="541">
        <f t="shared" si="657"/>
        <v>36</v>
      </c>
      <c r="CO219" s="443">
        <f t="shared" si="658"/>
        <v>16.474900000000002</v>
      </c>
      <c r="CP219" s="443">
        <f t="shared" si="659"/>
        <v>52.474900000000005</v>
      </c>
      <c r="CQ219" s="443"/>
      <c r="CR219" s="217">
        <f t="shared" si="660"/>
        <v>0.31220924123305599</v>
      </c>
      <c r="CS219" s="172">
        <f t="shared" si="661"/>
        <v>58.085440229405762</v>
      </c>
      <c r="CT219" s="172">
        <f t="shared" si="662"/>
        <v>4.683138618495839</v>
      </c>
      <c r="CU219" s="217">
        <f t="shared" si="663"/>
        <v>2.4202266762252402</v>
      </c>
      <c r="CV219" s="217">
        <f t="shared" si="664"/>
        <v>3.2269689016336534</v>
      </c>
      <c r="CW219" s="217">
        <f t="shared" si="665"/>
        <v>24</v>
      </c>
      <c r="CX219" s="217">
        <f t="shared" si="666"/>
        <v>0.13772814613101614</v>
      </c>
      <c r="CY219" s="217">
        <f t="shared" si="667"/>
        <v>3.8257818369726714E-2</v>
      </c>
      <c r="CZ219" s="217">
        <f t="shared" si="668"/>
        <v>8.359877518589863E-2</v>
      </c>
      <c r="DA219" s="197">
        <f t="shared" si="669"/>
        <v>350</v>
      </c>
      <c r="DB219" s="443">
        <f t="shared" si="670"/>
        <v>350</v>
      </c>
      <c r="DD219" s="217">
        <f t="shared" si="671"/>
        <v>3.2292794133140656</v>
      </c>
      <c r="DE219" s="173">
        <f t="shared" si="672"/>
        <v>1.9601207978889497</v>
      </c>
      <c r="DF219" s="173">
        <f t="shared" si="673"/>
        <v>0.6872960992823488</v>
      </c>
      <c r="DG219" s="173"/>
      <c r="DH219" s="173">
        <f t="shared" si="674"/>
        <v>1.3488532386977903</v>
      </c>
      <c r="DI219" s="545">
        <f t="shared" si="675"/>
        <v>30.01049999999999</v>
      </c>
      <c r="DJ219" s="528">
        <f t="shared" si="676"/>
        <v>0.34987754285999911</v>
      </c>
      <c r="DL219" s="173">
        <f t="shared" si="677"/>
        <v>0.66504564827214241</v>
      </c>
      <c r="DM219" s="173">
        <f t="shared" si="678"/>
        <v>2.2222222222222223</v>
      </c>
      <c r="DN219" s="173">
        <f t="shared" si="679"/>
        <v>1.0171488571428571</v>
      </c>
      <c r="DP219" s="545">
        <f t="shared" si="680"/>
        <v>30</v>
      </c>
      <c r="DQ219" s="460">
        <f t="shared" si="681"/>
        <v>30.01049999999999</v>
      </c>
      <c r="DS219">
        <f t="shared" si="682"/>
        <v>30</v>
      </c>
      <c r="DT219">
        <f t="shared" si="683"/>
        <v>30.01049999999999</v>
      </c>
      <c r="DV219" s="5">
        <f t="shared" si="684"/>
        <v>33.321670748571343</v>
      </c>
      <c r="DW219" s="5">
        <f t="shared" si="685"/>
        <v>0.61728395061728403</v>
      </c>
      <c r="DX219" s="5">
        <f t="shared" si="686"/>
        <v>32.704386797954058</v>
      </c>
      <c r="DY219" s="173">
        <f t="shared" si="687"/>
        <v>1.8524999999999996E-2</v>
      </c>
      <c r="EA219" s="5">
        <f t="shared" si="713"/>
        <v>7.7160493827160503E-2</v>
      </c>
      <c r="EB219" s="5">
        <f t="shared" si="714"/>
        <v>1.0288065843621399E-2</v>
      </c>
      <c r="EC219" s="5">
        <f t="shared" si="715"/>
        <v>0.54507311329923425</v>
      </c>
      <c r="ED219" s="5"/>
      <c r="EE219" s="173">
        <f t="shared" si="716"/>
        <v>0.17462481828335233</v>
      </c>
      <c r="EF219" s="173">
        <f t="shared" si="717"/>
        <v>0.84779785547314046</v>
      </c>
      <c r="EG219" s="173">
        <f t="shared" si="718"/>
        <v>8.4894352825080663E-2</v>
      </c>
      <c r="EH219" s="173"/>
      <c r="EI219" s="528">
        <f t="shared" si="719"/>
        <v>1.2197530864197529E-3</v>
      </c>
      <c r="EJ219" s="528">
        <f t="shared" si="720"/>
        <v>9.6237654727499997E-2</v>
      </c>
      <c r="EK219" s="528">
        <f t="shared" si="721"/>
        <v>6.0020999999999981E-3</v>
      </c>
      <c r="EL219" s="528">
        <f t="shared" si="722"/>
        <v>1.4461539200353889E-2</v>
      </c>
      <c r="EM219">
        <f t="shared" si="723"/>
        <v>1.6199999999999999E-2</v>
      </c>
      <c r="EN219" s="460">
        <f t="shared" si="724"/>
        <v>22.202099999999994</v>
      </c>
      <c r="EP219" s="460">
        <f t="shared" si="725"/>
        <v>134.12104701427364</v>
      </c>
      <c r="EQ219" s="173">
        <f t="shared" si="726"/>
        <v>2.0999999999999998E-2</v>
      </c>
      <c r="ER219" s="173">
        <f t="shared" si="688"/>
        <v>1.8600000000000001E-3</v>
      </c>
      <c r="ES219" s="528"/>
      <c r="EU219" s="460">
        <f t="shared" si="727"/>
        <v>22.86</v>
      </c>
      <c r="EV219" s="528">
        <f t="shared" si="728"/>
        <v>9.1481481481481459E-4</v>
      </c>
      <c r="EW219" s="528">
        <f t="shared" si="729"/>
        <v>2.156283611234568E-2</v>
      </c>
      <c r="EX219" s="528">
        <f t="shared" si="730"/>
        <v>3.6035255707946404E-5</v>
      </c>
      <c r="EY219" s="528">
        <f t="shared" si="731"/>
        <v>1.8160248955245227E-3</v>
      </c>
      <c r="EZ219" s="528"/>
      <c r="FA219" s="625">
        <f t="shared" si="732"/>
        <v>2.9639999999999996E-2</v>
      </c>
      <c r="FB219" s="460">
        <f t="shared" si="733"/>
        <v>53.969711078392962</v>
      </c>
      <c r="FC219" s="173">
        <f t="shared" si="734"/>
        <v>0.21095075809266658</v>
      </c>
      <c r="FD219" s="5">
        <f t="shared" si="735"/>
        <v>0.77400000000000002</v>
      </c>
      <c r="FE219" s="173">
        <f t="shared" si="736"/>
        <v>0.78582608687852817</v>
      </c>
      <c r="FF219" s="5">
        <f t="shared" si="737"/>
        <v>78.582608687852812</v>
      </c>
      <c r="FG219">
        <f t="shared" si="738"/>
        <v>3</v>
      </c>
      <c r="FI219" s="562">
        <f t="shared" si="689"/>
        <v>-50</v>
      </c>
    </row>
    <row r="220" spans="1:169">
      <c r="E220" s="170">
        <v>4</v>
      </c>
      <c r="F220" s="217">
        <f t="shared" si="690"/>
        <v>0.04</v>
      </c>
      <c r="G220" s="217">
        <f t="shared" si="617"/>
        <v>4.0000000000000001E-3</v>
      </c>
      <c r="H220" s="217">
        <f t="shared" si="618"/>
        <v>0.96</v>
      </c>
      <c r="I220" s="217">
        <f t="shared" si="619"/>
        <v>7.2000000000000008E-2</v>
      </c>
      <c r="J220" s="541">
        <f t="shared" si="620"/>
        <v>35.902335931666016</v>
      </c>
      <c r="K220" s="443">
        <f t="shared" si="621"/>
        <v>16.489517986529311</v>
      </c>
      <c r="L220" s="172">
        <f t="shared" si="622"/>
        <v>52.391853918195324</v>
      </c>
      <c r="M220" s="443"/>
      <c r="N220" s="217">
        <f t="shared" si="623"/>
        <v>0.31473438623256311</v>
      </c>
      <c r="O220" s="172">
        <f t="shared" si="624"/>
        <v>58.396380691308515</v>
      </c>
      <c r="P220" s="172">
        <f t="shared" si="625"/>
        <v>4.7082081932367492</v>
      </c>
      <c r="Q220" s="217">
        <f t="shared" si="626"/>
        <v>2.4331825288045215</v>
      </c>
      <c r="R220" s="217">
        <f t="shared" si="627"/>
        <v>3.2442433717393619</v>
      </c>
      <c r="S220" s="217">
        <f t="shared" si="628"/>
        <v>24</v>
      </c>
      <c r="T220" s="217">
        <f t="shared" si="629"/>
        <v>0.18265972206483422</v>
      </c>
      <c r="U220" s="217">
        <f t="shared" si="630"/>
        <v>5.0876834981572208E-2</v>
      </c>
      <c r="V220" s="217">
        <f t="shared" si="631"/>
        <v>0.1107732331618507</v>
      </c>
      <c r="W220" s="197">
        <f t="shared" si="632"/>
        <v>350</v>
      </c>
      <c r="X220" s="443">
        <f t="shared" si="691"/>
        <v>350</v>
      </c>
      <c r="Z220" s="217">
        <f t="shared" si="633"/>
        <v>3.228485618219485</v>
      </c>
      <c r="AA220" s="173">
        <f t="shared" si="634"/>
        <v>1.9579017536212484</v>
      </c>
      <c r="AB220" s="173">
        <f t="shared" si="635"/>
        <v>0.68634926009236363</v>
      </c>
      <c r="AC220" s="173"/>
      <c r="AD220" s="173">
        <f t="shared" si="636"/>
        <v>1.3476574779430244</v>
      </c>
      <c r="AE220" s="545">
        <f t="shared" si="637"/>
        <v>40.049503955288571</v>
      </c>
      <c r="AF220" s="528">
        <f t="shared" si="638"/>
        <v>0.34956737580644337</v>
      </c>
      <c r="AH220" s="173">
        <f t="shared" si="639"/>
        <v>0.76792856810662125</v>
      </c>
      <c r="AI220" s="173">
        <f t="shared" si="640"/>
        <v>2.2222222222222223</v>
      </c>
      <c r="AJ220" s="173">
        <f t="shared" si="641"/>
        <v>1.0228854308315936</v>
      </c>
      <c r="AL220" s="545">
        <f t="shared" si="642"/>
        <v>40</v>
      </c>
      <c r="AM220" s="460">
        <f t="shared" si="643"/>
        <v>40.049503955288571</v>
      </c>
      <c r="AO220">
        <f t="shared" si="644"/>
        <v>40</v>
      </c>
      <c r="AP220">
        <f t="shared" si="645"/>
        <v>40.049503955288571</v>
      </c>
      <c r="AR220" s="5">
        <f t="shared" si="616"/>
        <v>24.969098271888811</v>
      </c>
      <c r="AS220" s="5">
        <f t="shared" si="604"/>
        <v>0.61896312999016123</v>
      </c>
      <c r="AT220" s="5">
        <f t="shared" si="605"/>
        <v>24.350135141898651</v>
      </c>
      <c r="AU220" s="173">
        <f t="shared" si="606"/>
        <v>2.4789166322718756E-2</v>
      </c>
      <c r="BA220" s="173">
        <f t="shared" si="692"/>
        <v>0.20200300011103312</v>
      </c>
      <c r="BB220" s="173">
        <f t="shared" si="693"/>
        <v>0.84508803211915873</v>
      </c>
      <c r="BC220" s="173">
        <f t="shared" si="694"/>
        <v>8.4623004297337379E-2</v>
      </c>
      <c r="BD220" s="173"/>
      <c r="BE220" s="528">
        <f t="shared" si="695"/>
        <v>1.6322084821543217E-3</v>
      </c>
      <c r="BF220" s="528">
        <f t="shared" si="646"/>
        <v>0.10491338803608324</v>
      </c>
      <c r="BG220" s="528">
        <f t="shared" si="647"/>
        <v>5.7514829795974283E-2</v>
      </c>
      <c r="BH220" s="528">
        <f t="shared" si="696"/>
        <v>1.9238124150172949E-2</v>
      </c>
      <c r="BI220">
        <f t="shared" si="697"/>
        <v>1.6156051169249706E-2</v>
      </c>
      <c r="BJ220" s="460">
        <f t="shared" si="698"/>
        <v>73.670880965223986</v>
      </c>
      <c r="BK220">
        <f t="shared" si="648"/>
        <v>0.12627338738635763</v>
      </c>
      <c r="BL220" s="460">
        <f t="shared" si="699"/>
        <v>199.45460163363452</v>
      </c>
      <c r="BM220" s="173">
        <f t="shared" si="649"/>
        <v>3.4719999999999994E-2</v>
      </c>
      <c r="BN220" s="173">
        <f t="shared" si="650"/>
        <v>2.48E-3</v>
      </c>
      <c r="BQ220" s="460">
        <f t="shared" si="700"/>
        <v>37.199999999999996</v>
      </c>
      <c r="BR220" s="528">
        <f t="shared" si="701"/>
        <v>1.2241563616157412E-3</v>
      </c>
      <c r="BS220" s="528">
        <f t="shared" si="702"/>
        <v>2.1425213460930966E-2</v>
      </c>
      <c r="BT220" s="528">
        <f t="shared" si="703"/>
        <v>3.5805264281535905E-5</v>
      </c>
      <c r="BU220" s="528">
        <f t="shared" si="704"/>
        <v>3.7362125364246261E-3</v>
      </c>
      <c r="BV220" s="528"/>
      <c r="BW220" s="625">
        <f t="shared" si="705"/>
        <v>3.9555065634852921E-2</v>
      </c>
      <c r="BX220" s="460">
        <f t="shared" si="706"/>
        <v>65.976453258105792</v>
      </c>
      <c r="BY220" s="173">
        <f t="shared" si="707"/>
        <v>0.30263105489174036</v>
      </c>
      <c r="BZ220" s="5">
        <f t="shared" si="708"/>
        <v>1.032</v>
      </c>
      <c r="CA220" s="173">
        <f t="shared" si="709"/>
        <v>0.77324740512928614</v>
      </c>
      <c r="CB220" s="5">
        <f t="shared" si="710"/>
        <v>77.324740512928614</v>
      </c>
      <c r="CC220">
        <f t="shared" si="711"/>
        <v>4</v>
      </c>
      <c r="CE220" s="562">
        <f t="shared" si="651"/>
        <v>-50</v>
      </c>
      <c r="CG220" s="173">
        <f t="shared" si="652"/>
        <v>5.4754462825306861E-2</v>
      </c>
      <c r="CH220" s="173">
        <f t="shared" si="653"/>
        <v>1.4974890867738852E-2</v>
      </c>
      <c r="CI220" s="170">
        <v>4</v>
      </c>
      <c r="CJ220" s="217">
        <f t="shared" si="712"/>
        <v>0.04</v>
      </c>
      <c r="CK220" s="217">
        <f t="shared" si="654"/>
        <v>4.0000000000000001E-3</v>
      </c>
      <c r="CL220" s="217">
        <f t="shared" si="655"/>
        <v>0.96</v>
      </c>
      <c r="CM220" s="217">
        <f t="shared" si="656"/>
        <v>7.2000000000000008E-2</v>
      </c>
      <c r="CN220" s="541">
        <f t="shared" si="657"/>
        <v>36</v>
      </c>
      <c r="CO220" s="443">
        <f t="shared" si="658"/>
        <v>16.474900000000002</v>
      </c>
      <c r="CP220" s="443">
        <f t="shared" si="659"/>
        <v>52.474900000000005</v>
      </c>
      <c r="CQ220" s="443"/>
      <c r="CR220" s="217">
        <f t="shared" si="660"/>
        <v>0.31220924123305599</v>
      </c>
      <c r="CS220" s="172">
        <f t="shared" si="661"/>
        <v>58.085440229405762</v>
      </c>
      <c r="CT220" s="172">
        <f t="shared" si="662"/>
        <v>4.683138618495839</v>
      </c>
      <c r="CU220" s="217">
        <f t="shared" si="663"/>
        <v>2.4202266762252402</v>
      </c>
      <c r="CV220" s="217">
        <f t="shared" si="664"/>
        <v>3.2269689016336534</v>
      </c>
      <c r="CW220" s="217">
        <f t="shared" si="665"/>
        <v>24</v>
      </c>
      <c r="CX220" s="217">
        <f t="shared" si="666"/>
        <v>0.18363752817468817</v>
      </c>
      <c r="CY220" s="217">
        <f t="shared" si="667"/>
        <v>5.1010424492968942E-2</v>
      </c>
      <c r="CZ220" s="217">
        <f t="shared" si="668"/>
        <v>0.11146503358119816</v>
      </c>
      <c r="DA220" s="197">
        <f t="shared" si="669"/>
        <v>350</v>
      </c>
      <c r="DB220" s="443">
        <f t="shared" si="670"/>
        <v>350</v>
      </c>
      <c r="DD220" s="217">
        <f t="shared" si="671"/>
        <v>3.2292794133140656</v>
      </c>
      <c r="DE220" s="173">
        <f t="shared" si="672"/>
        <v>1.9601207978889497</v>
      </c>
      <c r="DF220" s="173">
        <f t="shared" si="673"/>
        <v>0.6872960992823488</v>
      </c>
      <c r="DG220" s="173"/>
      <c r="DH220" s="173">
        <f t="shared" si="674"/>
        <v>1.3488532386977903</v>
      </c>
      <c r="DI220" s="545">
        <f t="shared" si="675"/>
        <v>40.013999999999989</v>
      </c>
      <c r="DJ220" s="528">
        <f t="shared" si="676"/>
        <v>0.34987754285999911</v>
      </c>
      <c r="DL220" s="173">
        <f t="shared" si="677"/>
        <v>0.76792856810662125</v>
      </c>
      <c r="DM220" s="173">
        <f t="shared" si="678"/>
        <v>2.2222222222222223</v>
      </c>
      <c r="DN220" s="173">
        <f t="shared" si="679"/>
        <v>1.0228651428571429</v>
      </c>
      <c r="DP220" s="545">
        <f t="shared" si="680"/>
        <v>40</v>
      </c>
      <c r="DQ220" s="460">
        <f t="shared" si="681"/>
        <v>40.013999999999989</v>
      </c>
      <c r="DS220">
        <f t="shared" si="682"/>
        <v>40</v>
      </c>
      <c r="DT220">
        <f t="shared" si="683"/>
        <v>40.013999999999989</v>
      </c>
      <c r="DV220" s="5">
        <f t="shared" si="684"/>
        <v>24.991253061428505</v>
      </c>
      <c r="DW220" s="5">
        <f t="shared" si="685"/>
        <v>0.61728395061728403</v>
      </c>
      <c r="DX220" s="5">
        <f t="shared" si="686"/>
        <v>24.37396911081122</v>
      </c>
      <c r="DY220" s="173">
        <f t="shared" si="687"/>
        <v>2.4699999999999996E-2</v>
      </c>
      <c r="EA220" s="5">
        <f t="shared" si="713"/>
        <v>0.10288065843621401</v>
      </c>
      <c r="EB220" s="5">
        <f t="shared" si="714"/>
        <v>1.3717421124828533E-2</v>
      </c>
      <c r="EC220" s="5">
        <f t="shared" si="715"/>
        <v>0.541643758018027</v>
      </c>
      <c r="ED220" s="5"/>
      <c r="EE220" s="173">
        <f t="shared" si="716"/>
        <v>0.20163937168616589</v>
      </c>
      <c r="EF220" s="173">
        <f t="shared" si="717"/>
        <v>0.84512666564702277</v>
      </c>
      <c r="EG220" s="173">
        <f t="shared" si="718"/>
        <v>8.462687287087077E-2</v>
      </c>
      <c r="EH220" s="173"/>
      <c r="EI220" s="528">
        <f t="shared" si="719"/>
        <v>1.6263374485596701E-3</v>
      </c>
      <c r="EJ220" s="528">
        <f t="shared" si="720"/>
        <v>0.12831687296999997</v>
      </c>
      <c r="EK220" s="528">
        <f t="shared" si="721"/>
        <v>8.0027999999999974E-3</v>
      </c>
      <c r="EL220" s="528">
        <f t="shared" si="722"/>
        <v>1.9282052267138521E-2</v>
      </c>
      <c r="EM220">
        <f t="shared" si="723"/>
        <v>1.6199999999999999E-2</v>
      </c>
      <c r="EN220" s="460">
        <f t="shared" si="724"/>
        <v>24.202799999999996</v>
      </c>
      <c r="EP220" s="460">
        <f t="shared" si="725"/>
        <v>173.42806268569817</v>
      </c>
      <c r="EQ220" s="173">
        <f t="shared" si="726"/>
        <v>2.7999999999999997E-2</v>
      </c>
      <c r="ER220" s="173">
        <f t="shared" si="688"/>
        <v>2.48E-3</v>
      </c>
      <c r="ES220" s="528"/>
      <c r="EU220" s="460">
        <f t="shared" si="727"/>
        <v>30.479999999999997</v>
      </c>
      <c r="EV220" s="528">
        <f t="shared" si="728"/>
        <v>1.2197530864197525E-3</v>
      </c>
      <c r="EW220" s="528">
        <f t="shared" si="729"/>
        <v>2.1427172429629639E-2</v>
      </c>
      <c r="EX220" s="528">
        <f t="shared" si="730"/>
        <v>3.5808538059512615E-5</v>
      </c>
      <c r="EY220" s="528">
        <f t="shared" si="731"/>
        <v>3.7279376436840689E-3</v>
      </c>
      <c r="EZ220" s="528"/>
      <c r="FA220" s="625">
        <f t="shared" si="732"/>
        <v>3.952E-2</v>
      </c>
      <c r="FB220" s="460">
        <f t="shared" si="733"/>
        <v>65.930671697792974</v>
      </c>
      <c r="FC220" s="173">
        <f t="shared" si="734"/>
        <v>0.26983873438349115</v>
      </c>
      <c r="FD220" s="5">
        <f t="shared" si="735"/>
        <v>1.032</v>
      </c>
      <c r="FE220" s="173">
        <f t="shared" si="736"/>
        <v>0.79272491495555475</v>
      </c>
      <c r="FF220" s="5">
        <f t="shared" si="737"/>
        <v>79.272491495555471</v>
      </c>
      <c r="FG220">
        <f t="shared" si="738"/>
        <v>4</v>
      </c>
      <c r="FI220" s="562">
        <f t="shared" si="689"/>
        <v>-50</v>
      </c>
    </row>
    <row r="221" spans="1:169">
      <c r="E221" s="170">
        <v>5</v>
      </c>
      <c r="F221" s="217">
        <f t="shared" si="690"/>
        <v>0.05</v>
      </c>
      <c r="G221" s="217">
        <f t="shared" si="617"/>
        <v>5.000000000000001E-3</v>
      </c>
      <c r="H221" s="217">
        <f t="shared" si="618"/>
        <v>1.2000000000000002</v>
      </c>
      <c r="I221" s="217">
        <f t="shared" si="619"/>
        <v>9.0000000000000024E-2</v>
      </c>
      <c r="J221" s="541">
        <f t="shared" si="620"/>
        <v>35.902335931666016</v>
      </c>
      <c r="K221" s="443">
        <f t="shared" si="621"/>
        <v>16.489517986529311</v>
      </c>
      <c r="L221" s="172">
        <f t="shared" si="622"/>
        <v>52.391853918195324</v>
      </c>
      <c r="M221" s="443"/>
      <c r="N221" s="217">
        <f t="shared" si="623"/>
        <v>0.31473438623256311</v>
      </c>
      <c r="O221" s="172">
        <f t="shared" si="624"/>
        <v>58.396380691308515</v>
      </c>
      <c r="P221" s="172">
        <f t="shared" si="625"/>
        <v>4.7082081932367492</v>
      </c>
      <c r="Q221" s="217">
        <f t="shared" si="626"/>
        <v>2.4331825288045215</v>
      </c>
      <c r="R221" s="217">
        <f t="shared" si="627"/>
        <v>3.2442433717393619</v>
      </c>
      <c r="S221" s="217">
        <f t="shared" si="628"/>
        <v>24</v>
      </c>
      <c r="T221" s="217">
        <f t="shared" si="629"/>
        <v>0.22832465258104281</v>
      </c>
      <c r="U221" s="217">
        <f t="shared" si="630"/>
        <v>6.3596043726965285E-2</v>
      </c>
      <c r="V221" s="217">
        <f t="shared" si="631"/>
        <v>0.13846654145231341</v>
      </c>
      <c r="W221" s="197">
        <f t="shared" si="632"/>
        <v>350</v>
      </c>
      <c r="X221" s="443">
        <f t="shared" si="691"/>
        <v>350</v>
      </c>
      <c r="Z221" s="217">
        <f t="shared" si="633"/>
        <v>3.228485618219485</v>
      </c>
      <c r="AA221" s="173">
        <f t="shared" si="634"/>
        <v>1.9579017536212484</v>
      </c>
      <c r="AB221" s="173">
        <f t="shared" si="635"/>
        <v>0.68634926009236363</v>
      </c>
      <c r="AC221" s="173"/>
      <c r="AD221" s="173">
        <f t="shared" si="636"/>
        <v>1.3476574779430244</v>
      </c>
      <c r="AE221" s="545">
        <f t="shared" si="637"/>
        <v>50.061879944110721</v>
      </c>
      <c r="AF221" s="528">
        <f t="shared" si="638"/>
        <v>0.34956737580644337</v>
      </c>
      <c r="AH221" s="173">
        <f t="shared" si="639"/>
        <v>0.85857024007524119</v>
      </c>
      <c r="AI221" s="173">
        <f t="shared" si="640"/>
        <v>2.2222222222222223</v>
      </c>
      <c r="AJ221" s="173">
        <f t="shared" si="641"/>
        <v>1.0286067885394918</v>
      </c>
      <c r="AL221" s="545">
        <f t="shared" si="642"/>
        <v>50</v>
      </c>
      <c r="AM221" s="460">
        <f t="shared" si="643"/>
        <v>50.061879944110721</v>
      </c>
      <c r="AO221">
        <f t="shared" si="644"/>
        <v>50</v>
      </c>
      <c r="AP221">
        <f t="shared" si="645"/>
        <v>50.061879944110721</v>
      </c>
      <c r="AR221" s="5">
        <f t="shared" si="616"/>
        <v>19.975278617511044</v>
      </c>
      <c r="AS221" s="5">
        <f t="shared" si="604"/>
        <v>0.61896312999016123</v>
      </c>
      <c r="AT221" s="5">
        <f t="shared" si="605"/>
        <v>19.356315487520884</v>
      </c>
      <c r="AU221" s="173">
        <f t="shared" si="606"/>
        <v>3.0986457903398452E-2</v>
      </c>
      <c r="BA221" s="173">
        <f t="shared" si="692"/>
        <v>0.22584621995358381</v>
      </c>
      <c r="BB221" s="173">
        <f t="shared" si="693"/>
        <v>0.84239856038259886</v>
      </c>
      <c r="BC221" s="173">
        <f t="shared" si="694"/>
        <v>8.435369368155482E-2</v>
      </c>
      <c r="BD221" s="173"/>
      <c r="BE221" s="528">
        <f t="shared" si="695"/>
        <v>2.0402606026929024E-3</v>
      </c>
      <c r="BF221" s="528">
        <f t="shared" si="646"/>
        <v>0.13114173504510407</v>
      </c>
      <c r="BG221" s="528">
        <f t="shared" si="647"/>
        <v>7.1893537244967859E-2</v>
      </c>
      <c r="BH221" s="528">
        <f t="shared" si="696"/>
        <v>2.4047655187716187E-2</v>
      </c>
      <c r="BI221">
        <f t="shared" si="697"/>
        <v>1.6156051169249706E-2</v>
      </c>
      <c r="BJ221" s="460">
        <f t="shared" si="698"/>
        <v>88.049588414217567</v>
      </c>
      <c r="BK221">
        <f t="shared" si="648"/>
        <v>0.15785704491372002</v>
      </c>
      <c r="BL221" s="460">
        <f t="shared" si="699"/>
        <v>245.27923924973072</v>
      </c>
      <c r="BM221" s="173">
        <f t="shared" si="649"/>
        <v>4.3399999999999994E-2</v>
      </c>
      <c r="BN221" s="173">
        <f t="shared" si="650"/>
        <v>3.1000000000000008E-3</v>
      </c>
      <c r="BQ221" s="460">
        <f t="shared" si="700"/>
        <v>46.499999999999993</v>
      </c>
      <c r="BR221" s="528">
        <f t="shared" si="701"/>
        <v>1.5301954520196767E-3</v>
      </c>
      <c r="BS221" s="528">
        <f t="shared" si="702"/>
        <v>2.1289060036040253E-2</v>
      </c>
      <c r="BT221" s="528">
        <f t="shared" si="703"/>
        <v>3.5577728188607905E-5</v>
      </c>
      <c r="BU221" s="528">
        <f t="shared" si="704"/>
        <v>6.5268946951815374E-3</v>
      </c>
      <c r="BV221" s="528"/>
      <c r="BW221" s="625">
        <f t="shared" si="705"/>
        <v>4.9443832043566158E-2</v>
      </c>
      <c r="BX221" s="460">
        <f t="shared" si="706"/>
        <v>78.825559954996237</v>
      </c>
      <c r="BY221" s="173">
        <f t="shared" si="707"/>
        <v>0.37060479920472694</v>
      </c>
      <c r="BZ221" s="5">
        <f t="shared" si="708"/>
        <v>1.2900000000000003</v>
      </c>
      <c r="CA221" s="173">
        <f t="shared" si="709"/>
        <v>0.77682540759715279</v>
      </c>
      <c r="CB221" s="5">
        <f t="shared" si="710"/>
        <v>77.68254075971528</v>
      </c>
      <c r="CC221">
        <f t="shared" si="711"/>
        <v>5</v>
      </c>
      <c r="CE221" s="562">
        <f t="shared" si="651"/>
        <v>-50</v>
      </c>
      <c r="CG221" s="173">
        <f t="shared" si="652"/>
        <v>6.8443078531633589E-2</v>
      </c>
      <c r="CH221" s="173">
        <f t="shared" si="653"/>
        <v>1.8718613584673569E-2</v>
      </c>
      <c r="CI221" s="170">
        <v>5</v>
      </c>
      <c r="CJ221" s="217">
        <f t="shared" si="712"/>
        <v>0.05</v>
      </c>
      <c r="CK221" s="217">
        <f t="shared" si="654"/>
        <v>5.000000000000001E-3</v>
      </c>
      <c r="CL221" s="217">
        <f t="shared" si="655"/>
        <v>1.2000000000000002</v>
      </c>
      <c r="CM221" s="217">
        <f t="shared" si="656"/>
        <v>9.0000000000000024E-2</v>
      </c>
      <c r="CN221" s="541">
        <f t="shared" si="657"/>
        <v>36</v>
      </c>
      <c r="CO221" s="443">
        <f t="shared" si="658"/>
        <v>16.474900000000002</v>
      </c>
      <c r="CP221" s="443">
        <f t="shared" si="659"/>
        <v>52.474900000000005</v>
      </c>
      <c r="CQ221" s="443"/>
      <c r="CR221" s="217">
        <f t="shared" si="660"/>
        <v>0.31220924123305599</v>
      </c>
      <c r="CS221" s="172">
        <f t="shared" si="661"/>
        <v>58.085440229405762</v>
      </c>
      <c r="CT221" s="172">
        <f t="shared" si="662"/>
        <v>4.683138618495839</v>
      </c>
      <c r="CU221" s="217">
        <f t="shared" si="663"/>
        <v>2.4202266762252402</v>
      </c>
      <c r="CV221" s="217">
        <f t="shared" si="664"/>
        <v>3.2269689016336534</v>
      </c>
      <c r="CW221" s="217">
        <f t="shared" si="665"/>
        <v>24</v>
      </c>
      <c r="CX221" s="217">
        <f t="shared" si="666"/>
        <v>0.22954691021836027</v>
      </c>
      <c r="CY221" s="217">
        <f t="shared" si="667"/>
        <v>6.3763030616211192E-2</v>
      </c>
      <c r="CZ221" s="217">
        <f t="shared" si="668"/>
        <v>0.13933129197649774</v>
      </c>
      <c r="DA221" s="197">
        <f t="shared" si="669"/>
        <v>350</v>
      </c>
      <c r="DB221" s="443">
        <f t="shared" si="670"/>
        <v>350</v>
      </c>
      <c r="DD221" s="217">
        <f t="shared" si="671"/>
        <v>3.2292794133140656</v>
      </c>
      <c r="DE221" s="173">
        <f t="shared" si="672"/>
        <v>1.9601207978889497</v>
      </c>
      <c r="DF221" s="173">
        <f t="shared" si="673"/>
        <v>0.6872960992823488</v>
      </c>
      <c r="DG221" s="173"/>
      <c r="DH221" s="173">
        <f t="shared" si="674"/>
        <v>1.3488532386977903</v>
      </c>
      <c r="DI221" s="545">
        <f t="shared" si="675"/>
        <v>50.017499999999984</v>
      </c>
      <c r="DJ221" s="528">
        <f t="shared" si="676"/>
        <v>0.34987754285999911</v>
      </c>
      <c r="DL221" s="173">
        <f t="shared" si="677"/>
        <v>0.85857024007524119</v>
      </c>
      <c r="DM221" s="173">
        <f t="shared" si="678"/>
        <v>2.2222222222222223</v>
      </c>
      <c r="DN221" s="173">
        <f t="shared" si="679"/>
        <v>1.0285814285714285</v>
      </c>
      <c r="DP221" s="545">
        <f t="shared" si="680"/>
        <v>50</v>
      </c>
      <c r="DQ221" s="460">
        <f t="shared" si="681"/>
        <v>50.017499999999984</v>
      </c>
      <c r="DS221">
        <f t="shared" si="682"/>
        <v>50</v>
      </c>
      <c r="DT221">
        <f t="shared" si="683"/>
        <v>50.017499999999984</v>
      </c>
      <c r="DV221" s="5">
        <f t="shared" si="684"/>
        <v>19.993002449142807</v>
      </c>
      <c r="DW221" s="5">
        <f t="shared" si="685"/>
        <v>0.61728395061728403</v>
      </c>
      <c r="DX221" s="5">
        <f t="shared" si="686"/>
        <v>19.375718498525522</v>
      </c>
      <c r="DY221" s="173">
        <f t="shared" si="687"/>
        <v>3.0874999999999993E-2</v>
      </c>
      <c r="EA221" s="5">
        <f t="shared" si="713"/>
        <v>0.12860082304526749</v>
      </c>
      <c r="EB221" s="5">
        <f t="shared" si="714"/>
        <v>1.7146776406035673E-2</v>
      </c>
      <c r="EC221" s="5">
        <f t="shared" si="715"/>
        <v>0.53821440273682009</v>
      </c>
      <c r="ED221" s="5"/>
      <c r="EE221" s="173">
        <f t="shared" si="716"/>
        <v>0.22543967101530668</v>
      </c>
      <c r="EF221" s="173">
        <f t="shared" si="717"/>
        <v>0.8424470061852275</v>
      </c>
      <c r="EG221" s="173">
        <f t="shared" si="718"/>
        <v>8.4358544808547778E-2</v>
      </c>
      <c r="EH221" s="173"/>
      <c r="EI221" s="528">
        <f t="shared" si="719"/>
        <v>2.0329218106995882E-3</v>
      </c>
      <c r="EJ221" s="528">
        <f t="shared" si="720"/>
        <v>0.16039609121250001</v>
      </c>
      <c r="EK221" s="528">
        <f t="shared" si="721"/>
        <v>1.0003499999999997E-2</v>
      </c>
      <c r="EL221" s="528">
        <f t="shared" si="722"/>
        <v>2.4102565333923149E-2</v>
      </c>
      <c r="EM221">
        <f t="shared" si="723"/>
        <v>1.6199999999999999E-2</v>
      </c>
      <c r="EN221" s="460">
        <f t="shared" si="724"/>
        <v>26.203499999999998</v>
      </c>
      <c r="EP221" s="460">
        <f t="shared" si="725"/>
        <v>212.73507835712275</v>
      </c>
      <c r="EQ221" s="173">
        <f t="shared" si="726"/>
        <v>3.4999999999999996E-2</v>
      </c>
      <c r="ER221" s="173">
        <f t="shared" si="688"/>
        <v>3.1000000000000008E-3</v>
      </c>
      <c r="ES221" s="528"/>
      <c r="EU221" s="460">
        <f t="shared" si="727"/>
        <v>38.099999999999994</v>
      </c>
      <c r="EV221" s="528">
        <f t="shared" si="728"/>
        <v>1.5246913580246912E-3</v>
      </c>
      <c r="EW221" s="528">
        <f t="shared" si="729"/>
        <v>2.1291508746913584E-2</v>
      </c>
      <c r="EX221" s="528">
        <f t="shared" si="730"/>
        <v>3.5581820411078818E-5</v>
      </c>
      <c r="EY221" s="528">
        <f t="shared" si="731"/>
        <v>6.5124390524671583E-3</v>
      </c>
      <c r="EZ221" s="528"/>
      <c r="FA221" s="625">
        <f t="shared" si="732"/>
        <v>4.9399999999999993E-2</v>
      </c>
      <c r="FB221" s="460">
        <f t="shared" si="733"/>
        <v>78.764220977816507</v>
      </c>
      <c r="FC221" s="173">
        <f t="shared" si="734"/>
        <v>0.32959929933493931</v>
      </c>
      <c r="FD221" s="5">
        <f t="shared" si="735"/>
        <v>1.2900000000000003</v>
      </c>
      <c r="FE221" s="173">
        <f t="shared" si="736"/>
        <v>0.79649330580083388</v>
      </c>
      <c r="FF221" s="5">
        <f t="shared" si="737"/>
        <v>79.649330580083387</v>
      </c>
      <c r="FG221">
        <f t="shared" si="738"/>
        <v>5</v>
      </c>
      <c r="FI221" s="562">
        <f t="shared" si="689"/>
        <v>-50</v>
      </c>
    </row>
    <row r="222" spans="1:169">
      <c r="E222" s="170">
        <v>6</v>
      </c>
      <c r="F222" s="217">
        <f t="shared" si="690"/>
        <v>0.06</v>
      </c>
      <c r="G222" s="217">
        <f t="shared" si="617"/>
        <v>6.0000000000000001E-3</v>
      </c>
      <c r="H222" s="217">
        <f t="shared" si="618"/>
        <v>1.44</v>
      </c>
      <c r="I222" s="217">
        <f t="shared" si="619"/>
        <v>0.108</v>
      </c>
      <c r="J222" s="541">
        <f t="shared" si="620"/>
        <v>35.902335931666016</v>
      </c>
      <c r="K222" s="443">
        <f t="shared" si="621"/>
        <v>16.489517986529311</v>
      </c>
      <c r="L222" s="172">
        <f t="shared" si="622"/>
        <v>52.391853918195324</v>
      </c>
      <c r="M222" s="443"/>
      <c r="N222" s="217">
        <f t="shared" si="623"/>
        <v>0.31473438623256311</v>
      </c>
      <c r="O222" s="172">
        <f t="shared" si="624"/>
        <v>58.396380691308515</v>
      </c>
      <c r="P222" s="172">
        <f t="shared" si="625"/>
        <v>4.7082081932367492</v>
      </c>
      <c r="Q222" s="217">
        <f t="shared" si="626"/>
        <v>2.4331825288045215</v>
      </c>
      <c r="R222" s="217">
        <f t="shared" si="627"/>
        <v>3.2442433717393619</v>
      </c>
      <c r="S222" s="217">
        <f t="shared" si="628"/>
        <v>24</v>
      </c>
      <c r="T222" s="217">
        <f t="shared" si="629"/>
        <v>0.27398958309725135</v>
      </c>
      <c r="U222" s="217">
        <f t="shared" si="630"/>
        <v>7.6315252472358319E-2</v>
      </c>
      <c r="V222" s="217">
        <f t="shared" si="631"/>
        <v>0.16615984974277606</v>
      </c>
      <c r="W222" s="197">
        <f t="shared" si="632"/>
        <v>350</v>
      </c>
      <c r="X222" s="443">
        <f t="shared" si="691"/>
        <v>350</v>
      </c>
      <c r="Z222" s="217">
        <f t="shared" si="633"/>
        <v>3.228485618219485</v>
      </c>
      <c r="AA222" s="173">
        <f t="shared" si="634"/>
        <v>1.9579017536212484</v>
      </c>
      <c r="AB222" s="173">
        <f t="shared" si="635"/>
        <v>0.68634926009236363</v>
      </c>
      <c r="AC222" s="173"/>
      <c r="AD222" s="173">
        <f t="shared" si="636"/>
        <v>1.3476574779430244</v>
      </c>
      <c r="AE222" s="545">
        <f t="shared" si="637"/>
        <v>60.074255932932857</v>
      </c>
      <c r="AF222" s="528">
        <f t="shared" si="638"/>
        <v>0.34956737580644337</v>
      </c>
      <c r="AH222" s="173">
        <f t="shared" si="639"/>
        <v>0.94051657538367095</v>
      </c>
      <c r="AI222" s="173">
        <f t="shared" si="640"/>
        <v>2.2222222222222223</v>
      </c>
      <c r="AJ222" s="173">
        <f t="shared" si="641"/>
        <v>1.0343281462473901</v>
      </c>
      <c r="AL222" s="545">
        <f t="shared" si="642"/>
        <v>60</v>
      </c>
      <c r="AM222" s="460">
        <f t="shared" si="643"/>
        <v>60.074255932932857</v>
      </c>
      <c r="AO222">
        <f t="shared" si="644"/>
        <v>60</v>
      </c>
      <c r="AP222">
        <f t="shared" si="645"/>
        <v>60.074255932932857</v>
      </c>
      <c r="AR222" s="5">
        <f t="shared" si="616"/>
        <v>16.646065514592539</v>
      </c>
      <c r="AS222" s="5">
        <f t="shared" si="604"/>
        <v>0.61896312999016123</v>
      </c>
      <c r="AT222" s="5">
        <f t="shared" si="605"/>
        <v>16.027102384602379</v>
      </c>
      <c r="AU222" s="173">
        <f t="shared" si="606"/>
        <v>3.7183749484078141E-2</v>
      </c>
      <c r="BA222" s="173">
        <f t="shared" si="692"/>
        <v>0.24740213839170239</v>
      </c>
      <c r="BB222" s="173">
        <f t="shared" si="693"/>
        <v>0.83970047459693498</v>
      </c>
      <c r="BC222" s="173">
        <f t="shared" si="694"/>
        <v>8.4083520496801178E-2</v>
      </c>
      <c r="BD222" s="173"/>
      <c r="BE222" s="528">
        <f t="shared" si="695"/>
        <v>2.4483127232314823E-3</v>
      </c>
      <c r="BF222" s="528">
        <f t="shared" si="646"/>
        <v>0.15737008205412484</v>
      </c>
      <c r="BG222" s="528">
        <f t="shared" si="647"/>
        <v>8.6272244693961428E-2</v>
      </c>
      <c r="BH222" s="528">
        <f t="shared" si="696"/>
        <v>2.8857186225259422E-2</v>
      </c>
      <c r="BI222">
        <f t="shared" si="697"/>
        <v>1.6156051169249706E-2</v>
      </c>
      <c r="BJ222" s="460">
        <f t="shared" si="698"/>
        <v>102.42829586321113</v>
      </c>
      <c r="BK222">
        <f t="shared" si="648"/>
        <v>0.18944683027807135</v>
      </c>
      <c r="BL222" s="460">
        <f t="shared" si="699"/>
        <v>291.10387686582692</v>
      </c>
      <c r="BM222" s="173">
        <f t="shared" si="649"/>
        <v>5.2079999999999994E-2</v>
      </c>
      <c r="BN222" s="173">
        <f t="shared" si="650"/>
        <v>3.7200000000000002E-3</v>
      </c>
      <c r="BQ222" s="460">
        <f t="shared" si="700"/>
        <v>55.8</v>
      </c>
      <c r="BR222" s="528">
        <f t="shared" si="701"/>
        <v>1.8362345424236118E-3</v>
      </c>
      <c r="BS222" s="528">
        <f t="shared" si="702"/>
        <v>2.1152906611149536E-2</v>
      </c>
      <c r="BT222" s="528">
        <f t="shared" si="703"/>
        <v>3.5350192095679917E-5</v>
      </c>
      <c r="BU222" s="528">
        <f t="shared" si="704"/>
        <v>1.0295791070433781E-2</v>
      </c>
      <c r="BV222" s="528"/>
      <c r="BW222" s="625">
        <f t="shared" si="705"/>
        <v>5.9332598452279381E-2</v>
      </c>
      <c r="BX222" s="460">
        <f t="shared" si="706"/>
        <v>92.652880868381999</v>
      </c>
      <c r="BY222" s="173">
        <f t="shared" si="707"/>
        <v>0.43955675773420888</v>
      </c>
      <c r="BZ222" s="5">
        <f t="shared" si="708"/>
        <v>1.548</v>
      </c>
      <c r="CA222" s="173">
        <f t="shared" si="709"/>
        <v>0.7788456827591187</v>
      </c>
      <c r="CB222" s="5">
        <f t="shared" si="710"/>
        <v>77.884568275911874</v>
      </c>
      <c r="CC222">
        <f t="shared" si="711"/>
        <v>6</v>
      </c>
      <c r="CE222" s="562">
        <f t="shared" si="651"/>
        <v>-50</v>
      </c>
      <c r="CG222" s="173">
        <f t="shared" si="652"/>
        <v>8.2131694237960282E-2</v>
      </c>
      <c r="CH222" s="173">
        <f t="shared" si="653"/>
        <v>2.2462336301608279E-2</v>
      </c>
      <c r="CI222" s="170">
        <v>6</v>
      </c>
      <c r="CJ222" s="217">
        <f t="shared" si="712"/>
        <v>0.06</v>
      </c>
      <c r="CK222" s="217">
        <f t="shared" si="654"/>
        <v>6.0000000000000001E-3</v>
      </c>
      <c r="CL222" s="217">
        <f t="shared" si="655"/>
        <v>1.44</v>
      </c>
      <c r="CM222" s="217">
        <f t="shared" si="656"/>
        <v>0.108</v>
      </c>
      <c r="CN222" s="541">
        <f t="shared" si="657"/>
        <v>36</v>
      </c>
      <c r="CO222" s="443">
        <f t="shared" si="658"/>
        <v>16.474900000000002</v>
      </c>
      <c r="CP222" s="443">
        <f t="shared" si="659"/>
        <v>52.474900000000005</v>
      </c>
      <c r="CQ222" s="443"/>
      <c r="CR222" s="217">
        <f t="shared" si="660"/>
        <v>0.31220924123305599</v>
      </c>
      <c r="CS222" s="172">
        <f t="shared" si="661"/>
        <v>58.085440229405762</v>
      </c>
      <c r="CT222" s="172">
        <f t="shared" si="662"/>
        <v>4.683138618495839</v>
      </c>
      <c r="CU222" s="217">
        <f t="shared" si="663"/>
        <v>2.4202266762252402</v>
      </c>
      <c r="CV222" s="217">
        <f t="shared" si="664"/>
        <v>3.2269689016336534</v>
      </c>
      <c r="CW222" s="217">
        <f t="shared" si="665"/>
        <v>24</v>
      </c>
      <c r="CX222" s="217">
        <f t="shared" si="666"/>
        <v>0.27545629226203228</v>
      </c>
      <c r="CY222" s="217">
        <f t="shared" si="667"/>
        <v>7.6515636739453427E-2</v>
      </c>
      <c r="CZ222" s="217">
        <f t="shared" si="668"/>
        <v>0.16719755037179726</v>
      </c>
      <c r="DA222" s="197">
        <f t="shared" si="669"/>
        <v>350</v>
      </c>
      <c r="DB222" s="443">
        <f t="shared" si="670"/>
        <v>350</v>
      </c>
      <c r="DD222" s="217">
        <f t="shared" si="671"/>
        <v>3.2292794133140656</v>
      </c>
      <c r="DE222" s="173">
        <f t="shared" si="672"/>
        <v>1.9601207978889497</v>
      </c>
      <c r="DF222" s="173">
        <f t="shared" si="673"/>
        <v>0.6872960992823488</v>
      </c>
      <c r="DG222" s="173"/>
      <c r="DH222" s="173">
        <f t="shared" si="674"/>
        <v>1.3488532386977903</v>
      </c>
      <c r="DI222" s="545">
        <f t="shared" si="675"/>
        <v>60.020999999999979</v>
      </c>
      <c r="DJ222" s="528">
        <f t="shared" si="676"/>
        <v>0.34987754285999911</v>
      </c>
      <c r="DL222" s="173">
        <f t="shared" si="677"/>
        <v>0.94051657538367095</v>
      </c>
      <c r="DM222" s="173">
        <f t="shared" si="678"/>
        <v>2.2222222222222223</v>
      </c>
      <c r="DN222" s="173">
        <f t="shared" si="679"/>
        <v>1.0342977142857144</v>
      </c>
      <c r="DP222" s="545">
        <f t="shared" si="680"/>
        <v>60</v>
      </c>
      <c r="DQ222" s="460">
        <f t="shared" si="681"/>
        <v>60.020999999999979</v>
      </c>
      <c r="DS222">
        <f t="shared" si="682"/>
        <v>60</v>
      </c>
      <c r="DT222">
        <f t="shared" si="683"/>
        <v>60.020999999999979</v>
      </c>
      <c r="DV222" s="5">
        <f t="shared" si="684"/>
        <v>16.660835374285671</v>
      </c>
      <c r="DW222" s="5">
        <f t="shared" si="685"/>
        <v>0.61728395061728403</v>
      </c>
      <c r="DX222" s="5">
        <f t="shared" si="686"/>
        <v>16.043551423668386</v>
      </c>
      <c r="DY222" s="173">
        <f t="shared" si="687"/>
        <v>3.7049999999999993E-2</v>
      </c>
      <c r="EA222" s="5">
        <f t="shared" si="713"/>
        <v>0.15432098765432101</v>
      </c>
      <c r="EB222" s="5">
        <f t="shared" si="714"/>
        <v>2.0576131687242798E-2</v>
      </c>
      <c r="EC222" s="5">
        <f t="shared" si="715"/>
        <v>0.53478504745561284</v>
      </c>
      <c r="ED222" s="5"/>
      <c r="EE222" s="173">
        <f t="shared" si="716"/>
        <v>0.2469567863432541</v>
      </c>
      <c r="EF222" s="173">
        <f t="shared" si="717"/>
        <v>0.83975879600826531</v>
      </c>
      <c r="EG222" s="173">
        <f t="shared" si="718"/>
        <v>8.4089360519206013E-2</v>
      </c>
      <c r="EH222" s="173"/>
      <c r="EI222" s="528">
        <f t="shared" si="719"/>
        <v>2.4395061728395063E-3</v>
      </c>
      <c r="EJ222" s="528">
        <f t="shared" si="720"/>
        <v>0.19247530945499999</v>
      </c>
      <c r="EK222" s="528">
        <f t="shared" si="721"/>
        <v>1.2004199999999996E-2</v>
      </c>
      <c r="EL222" s="528">
        <f t="shared" si="722"/>
        <v>2.8923078400707777E-2</v>
      </c>
      <c r="EM222">
        <f t="shared" si="723"/>
        <v>1.6199999999999999E-2</v>
      </c>
      <c r="EN222" s="460">
        <f t="shared" si="724"/>
        <v>28.204199999999997</v>
      </c>
      <c r="EP222" s="460">
        <f t="shared" si="725"/>
        <v>252.04209402854727</v>
      </c>
      <c r="EQ222" s="173">
        <f t="shared" si="726"/>
        <v>4.1999999999999996E-2</v>
      </c>
      <c r="ER222" s="173">
        <f t="shared" si="688"/>
        <v>3.7200000000000002E-3</v>
      </c>
      <c r="ES222" s="528"/>
      <c r="EU222" s="460">
        <f t="shared" si="727"/>
        <v>45.72</v>
      </c>
      <c r="EV222" s="528">
        <f t="shared" si="728"/>
        <v>1.8296296296296296E-3</v>
      </c>
      <c r="EW222" s="528">
        <f t="shared" si="729"/>
        <v>2.1155845064197539E-2</v>
      </c>
      <c r="EX222" s="528">
        <f t="shared" si="730"/>
        <v>3.5355102762645015E-5</v>
      </c>
      <c r="EY222" s="528">
        <f t="shared" si="731"/>
        <v>1.0272988147431845E-2</v>
      </c>
      <c r="EZ222" s="528"/>
      <c r="FA222" s="625">
        <f t="shared" si="732"/>
        <v>5.9279999999999992E-2</v>
      </c>
      <c r="FB222" s="460">
        <f t="shared" si="733"/>
        <v>92.573817944021641</v>
      </c>
      <c r="FC222" s="173">
        <f t="shared" si="734"/>
        <v>0.39033591197256889</v>
      </c>
      <c r="FD222" s="5">
        <f t="shared" si="735"/>
        <v>1.548</v>
      </c>
      <c r="FE222" s="173">
        <f t="shared" si="736"/>
        <v>0.79862318519634745</v>
      </c>
      <c r="FF222" s="5">
        <f t="shared" si="737"/>
        <v>79.862318519634741</v>
      </c>
      <c r="FG222">
        <f t="shared" si="738"/>
        <v>6</v>
      </c>
      <c r="FI222" s="562">
        <f t="shared" si="689"/>
        <v>-50</v>
      </c>
    </row>
    <row r="223" spans="1:169">
      <c r="E223" s="170">
        <v>7</v>
      </c>
      <c r="F223" s="217">
        <f t="shared" si="690"/>
        <v>7.0000000000000007E-2</v>
      </c>
      <c r="G223" s="217">
        <f t="shared" si="617"/>
        <v>7.000000000000001E-3</v>
      </c>
      <c r="H223" s="217">
        <f t="shared" si="618"/>
        <v>1.6800000000000002</v>
      </c>
      <c r="I223" s="217">
        <f t="shared" si="619"/>
        <v>0.12600000000000003</v>
      </c>
      <c r="J223" s="541">
        <f t="shared" si="620"/>
        <v>35.902335931666016</v>
      </c>
      <c r="K223" s="443">
        <f t="shared" si="621"/>
        <v>16.489517986529311</v>
      </c>
      <c r="L223" s="172">
        <f t="shared" si="622"/>
        <v>52.391853918195324</v>
      </c>
      <c r="M223" s="443"/>
      <c r="N223" s="217">
        <f t="shared" si="623"/>
        <v>0.31473438623256311</v>
      </c>
      <c r="O223" s="172">
        <f t="shared" si="624"/>
        <v>58.396380691308515</v>
      </c>
      <c r="P223" s="172">
        <f t="shared" si="625"/>
        <v>4.7082081932367492</v>
      </c>
      <c r="Q223" s="217">
        <f t="shared" si="626"/>
        <v>2.4331825288045215</v>
      </c>
      <c r="R223" s="217">
        <f t="shared" si="627"/>
        <v>3.2442433717393619</v>
      </c>
      <c r="S223" s="217">
        <f t="shared" si="628"/>
        <v>24</v>
      </c>
      <c r="T223" s="217">
        <f t="shared" si="629"/>
        <v>0.31965451361345992</v>
      </c>
      <c r="U223" s="217">
        <f t="shared" si="630"/>
        <v>8.9034461217751368E-2</v>
      </c>
      <c r="V223" s="217">
        <f t="shared" si="631"/>
        <v>0.19385315803323877</v>
      </c>
      <c r="W223" s="197">
        <f t="shared" si="632"/>
        <v>350</v>
      </c>
      <c r="X223" s="443">
        <f t="shared" si="691"/>
        <v>350</v>
      </c>
      <c r="Z223" s="217">
        <f t="shared" si="633"/>
        <v>3.228485618219485</v>
      </c>
      <c r="AA223" s="173">
        <f t="shared" si="634"/>
        <v>1.9579017536212484</v>
      </c>
      <c r="AB223" s="173">
        <f t="shared" si="635"/>
        <v>0.68634926009236363</v>
      </c>
      <c r="AC223" s="173"/>
      <c r="AD223" s="173">
        <f t="shared" si="636"/>
        <v>1.3476574779430244</v>
      </c>
      <c r="AE223" s="545">
        <f t="shared" si="637"/>
        <v>70.086631921755</v>
      </c>
      <c r="AF223" s="528">
        <f t="shared" si="638"/>
        <v>0.34956737580644337</v>
      </c>
      <c r="AH223" s="173">
        <f t="shared" si="639"/>
        <v>1.0158740079360236</v>
      </c>
      <c r="AI223" s="173">
        <f t="shared" si="640"/>
        <v>2.2222222222222223</v>
      </c>
      <c r="AJ223" s="173">
        <f t="shared" si="641"/>
        <v>1.0400495039552886</v>
      </c>
      <c r="AL223" s="545">
        <f t="shared" si="642"/>
        <v>70</v>
      </c>
      <c r="AM223" s="460">
        <f t="shared" si="643"/>
        <v>70.086631921755</v>
      </c>
      <c r="AO223">
        <f t="shared" si="644"/>
        <v>70</v>
      </c>
      <c r="AP223">
        <f t="shared" si="645"/>
        <v>70.086631921755</v>
      </c>
      <c r="AR223" s="5">
        <f t="shared" si="616"/>
        <v>14.268056155365034</v>
      </c>
      <c r="AS223" s="5">
        <f t="shared" si="604"/>
        <v>0.61896312999016123</v>
      </c>
      <c r="AT223" s="5">
        <f t="shared" si="605"/>
        <v>13.649093025374873</v>
      </c>
      <c r="AU223" s="173">
        <f t="shared" si="606"/>
        <v>4.3381041064757826E-2</v>
      </c>
      <c r="BA223" s="173">
        <f t="shared" si="692"/>
        <v>0.26722485119137324</v>
      </c>
      <c r="BB223" s="173">
        <f t="shared" si="693"/>
        <v>0.83699369145887859</v>
      </c>
      <c r="BC223" s="173">
        <f t="shared" si="694"/>
        <v>8.3812476401490393E-2</v>
      </c>
      <c r="BD223" s="173"/>
      <c r="BE223" s="528">
        <f t="shared" si="695"/>
        <v>2.8563648437700631E-3</v>
      </c>
      <c r="BF223" s="528">
        <f t="shared" si="646"/>
        <v>0.18359842906314566</v>
      </c>
      <c r="BG223" s="528">
        <f t="shared" si="647"/>
        <v>0.100650952142955</v>
      </c>
      <c r="BH223" s="528">
        <f t="shared" si="696"/>
        <v>3.366671726280266E-2</v>
      </c>
      <c r="BI223">
        <f t="shared" si="697"/>
        <v>1.6156051169249706E-2</v>
      </c>
      <c r="BJ223" s="460">
        <f t="shared" si="698"/>
        <v>116.8070033122047</v>
      </c>
      <c r="BK223">
        <f t="shared" si="648"/>
        <v>0.22104274526296208</v>
      </c>
      <c r="BL223" s="460">
        <f t="shared" si="699"/>
        <v>336.92851448192312</v>
      </c>
      <c r="BM223" s="173">
        <f t="shared" si="649"/>
        <v>6.0760000000000002E-2</v>
      </c>
      <c r="BN223" s="173">
        <f t="shared" si="650"/>
        <v>4.340000000000001E-3</v>
      </c>
      <c r="BQ223" s="460">
        <f t="shared" si="700"/>
        <v>65.100000000000009</v>
      </c>
      <c r="BR223" s="528">
        <f t="shared" si="701"/>
        <v>2.142273632827547E-3</v>
      </c>
      <c r="BS223" s="528">
        <f t="shared" si="702"/>
        <v>2.101675318625881E-2</v>
      </c>
      <c r="BT223" s="528">
        <f t="shared" si="703"/>
        <v>3.5122656002751923E-5</v>
      </c>
      <c r="BU223" s="528">
        <f t="shared" si="704"/>
        <v>1.5136542863012777E-2</v>
      </c>
      <c r="BV223" s="528"/>
      <c r="BW223" s="625">
        <f t="shared" si="705"/>
        <v>6.9221364860992604E-2</v>
      </c>
      <c r="BX223" s="460">
        <f t="shared" si="706"/>
        <v>107.55205719909449</v>
      </c>
      <c r="BY223" s="173">
        <f t="shared" si="707"/>
        <v>0.50958057168101756</v>
      </c>
      <c r="BZ223" s="5">
        <f t="shared" si="708"/>
        <v>1.8060000000000003</v>
      </c>
      <c r="CA223" s="173">
        <f t="shared" si="709"/>
        <v>0.77993399240213757</v>
      </c>
      <c r="CB223" s="5">
        <f t="shared" si="710"/>
        <v>77.993399240213762</v>
      </c>
      <c r="CC223">
        <f t="shared" si="711"/>
        <v>7.0000000000000009</v>
      </c>
      <c r="CE223" s="562">
        <f t="shared" si="651"/>
        <v>-50</v>
      </c>
      <c r="CG223" s="173">
        <f t="shared" si="652"/>
        <v>9.5820309944287016E-2</v>
      </c>
      <c r="CH223" s="173">
        <f t="shared" si="653"/>
        <v>2.6206059018542997E-2</v>
      </c>
      <c r="CI223" s="170">
        <v>7</v>
      </c>
      <c r="CJ223" s="217">
        <f t="shared" si="712"/>
        <v>7.0000000000000007E-2</v>
      </c>
      <c r="CK223" s="217">
        <f t="shared" si="654"/>
        <v>7.000000000000001E-3</v>
      </c>
      <c r="CL223" s="217">
        <f t="shared" si="655"/>
        <v>1.6800000000000002</v>
      </c>
      <c r="CM223" s="217">
        <f t="shared" si="656"/>
        <v>0.12600000000000003</v>
      </c>
      <c r="CN223" s="541">
        <f t="shared" si="657"/>
        <v>36</v>
      </c>
      <c r="CO223" s="443">
        <f t="shared" si="658"/>
        <v>16.474900000000002</v>
      </c>
      <c r="CP223" s="443">
        <f t="shared" si="659"/>
        <v>52.474900000000005</v>
      </c>
      <c r="CQ223" s="443"/>
      <c r="CR223" s="217">
        <f t="shared" si="660"/>
        <v>0.31220924123305599</v>
      </c>
      <c r="CS223" s="172">
        <f t="shared" si="661"/>
        <v>58.085440229405762</v>
      </c>
      <c r="CT223" s="172">
        <f t="shared" si="662"/>
        <v>4.683138618495839</v>
      </c>
      <c r="CU223" s="217">
        <f t="shared" si="663"/>
        <v>2.4202266762252402</v>
      </c>
      <c r="CV223" s="217">
        <f t="shared" si="664"/>
        <v>3.2269689016336534</v>
      </c>
      <c r="CW223" s="217">
        <f t="shared" si="665"/>
        <v>24</v>
      </c>
      <c r="CX223" s="217">
        <f t="shared" si="666"/>
        <v>0.32136567430570434</v>
      </c>
      <c r="CY223" s="217">
        <f t="shared" si="667"/>
        <v>8.9268242862695649E-2</v>
      </c>
      <c r="CZ223" s="217">
        <f t="shared" si="668"/>
        <v>0.19506380876709681</v>
      </c>
      <c r="DA223" s="197">
        <f t="shared" si="669"/>
        <v>350</v>
      </c>
      <c r="DB223" s="443">
        <f t="shared" si="670"/>
        <v>350</v>
      </c>
      <c r="DD223" s="217">
        <f t="shared" si="671"/>
        <v>3.2292794133140656</v>
      </c>
      <c r="DE223" s="173">
        <f t="shared" si="672"/>
        <v>1.9601207978889497</v>
      </c>
      <c r="DF223" s="173">
        <f t="shared" si="673"/>
        <v>0.6872960992823488</v>
      </c>
      <c r="DG223" s="173"/>
      <c r="DH223" s="173">
        <f t="shared" si="674"/>
        <v>1.3488532386977903</v>
      </c>
      <c r="DI223" s="545">
        <f t="shared" si="675"/>
        <v>70.024499999999989</v>
      </c>
      <c r="DJ223" s="528">
        <f t="shared" si="676"/>
        <v>0.34987754285999911</v>
      </c>
      <c r="DL223" s="173">
        <f t="shared" si="677"/>
        <v>1.0158740079360236</v>
      </c>
      <c r="DM223" s="173">
        <f t="shared" si="678"/>
        <v>2.2222222222222223</v>
      </c>
      <c r="DN223" s="173">
        <f t="shared" si="679"/>
        <v>1.040014</v>
      </c>
      <c r="DP223" s="545">
        <f t="shared" si="680"/>
        <v>70</v>
      </c>
      <c r="DQ223" s="460">
        <f t="shared" si="681"/>
        <v>70.024499999999989</v>
      </c>
      <c r="DS223">
        <f t="shared" si="682"/>
        <v>70</v>
      </c>
      <c r="DT223">
        <f t="shared" si="683"/>
        <v>70.024499999999989</v>
      </c>
      <c r="DV223" s="5">
        <f t="shared" si="684"/>
        <v>14.280716035102001</v>
      </c>
      <c r="DW223" s="5">
        <f t="shared" si="685"/>
        <v>0.61728395061728403</v>
      </c>
      <c r="DX223" s="5">
        <f t="shared" si="686"/>
        <v>13.663432084484718</v>
      </c>
      <c r="DY223" s="173">
        <f t="shared" si="687"/>
        <v>4.3225E-2</v>
      </c>
      <c r="EA223" s="5">
        <f t="shared" si="713"/>
        <v>0.18004115226337453</v>
      </c>
      <c r="EB223" s="5">
        <f t="shared" si="714"/>
        <v>2.4005486968449938E-2</v>
      </c>
      <c r="EC223" s="5">
        <f t="shared" si="715"/>
        <v>0.53135569217440559</v>
      </c>
      <c r="ED223" s="5"/>
      <c r="EE223" s="173">
        <f t="shared" si="716"/>
        <v>0.26674381600045688</v>
      </c>
      <c r="EF223" s="173">
        <f t="shared" si="717"/>
        <v>0.83706195273471218</v>
      </c>
      <c r="EG223" s="173">
        <f t="shared" si="718"/>
        <v>8.3819311753570491E-2</v>
      </c>
      <c r="EH223" s="173"/>
      <c r="EI223" s="528">
        <f t="shared" si="719"/>
        <v>2.8460905349794235E-3</v>
      </c>
      <c r="EJ223" s="528">
        <f t="shared" si="720"/>
        <v>0.22455452769750001</v>
      </c>
      <c r="EK223" s="528">
        <f t="shared" si="721"/>
        <v>1.4004899999999997E-2</v>
      </c>
      <c r="EL223" s="528">
        <f t="shared" si="722"/>
        <v>3.3743591467492416E-2</v>
      </c>
      <c r="EM223">
        <f t="shared" si="723"/>
        <v>1.6199999999999999E-2</v>
      </c>
      <c r="EN223" s="460">
        <f t="shared" si="724"/>
        <v>30.204899999999995</v>
      </c>
      <c r="EP223" s="460">
        <f t="shared" si="725"/>
        <v>291.34910969997179</v>
      </c>
      <c r="EQ223" s="173">
        <f t="shared" si="726"/>
        <v>4.9000000000000002E-2</v>
      </c>
      <c r="ER223" s="173">
        <f t="shared" si="688"/>
        <v>4.340000000000001E-3</v>
      </c>
      <c r="ES223" s="528"/>
      <c r="EU223" s="460">
        <f t="shared" si="727"/>
        <v>53.34</v>
      </c>
      <c r="EV223" s="528">
        <f t="shared" si="728"/>
        <v>2.1345679012345674E-3</v>
      </c>
      <c r="EW223" s="528">
        <f t="shared" si="729"/>
        <v>2.1020181381481484E-2</v>
      </c>
      <c r="EX223" s="528">
        <f t="shared" si="730"/>
        <v>3.5128385114211205E-5</v>
      </c>
      <c r="EY223" s="528">
        <f t="shared" si="731"/>
        <v>1.5103018734652016E-2</v>
      </c>
      <c r="EZ223" s="528"/>
      <c r="FA223" s="625">
        <f t="shared" si="732"/>
        <v>6.9160000000000013E-2</v>
      </c>
      <c r="FB223" s="460">
        <f t="shared" si="733"/>
        <v>107.4528964024823</v>
      </c>
      <c r="FC223" s="173">
        <f t="shared" si="734"/>
        <v>0.45214200610245409</v>
      </c>
      <c r="FD223" s="5">
        <f t="shared" si="735"/>
        <v>1.8060000000000003</v>
      </c>
      <c r="FE223" s="173">
        <f t="shared" si="736"/>
        <v>0.79977255421467064</v>
      </c>
      <c r="FF223" s="5">
        <f t="shared" si="737"/>
        <v>79.977255421467063</v>
      </c>
      <c r="FG223">
        <f t="shared" si="738"/>
        <v>7.0000000000000009</v>
      </c>
      <c r="FI223" s="562">
        <f t="shared" si="689"/>
        <v>-50</v>
      </c>
    </row>
    <row r="224" spans="1:169">
      <c r="E224" s="170">
        <v>8</v>
      </c>
      <c r="F224" s="217">
        <f t="shared" si="690"/>
        <v>0.08</v>
      </c>
      <c r="G224" s="217">
        <f t="shared" si="617"/>
        <v>8.0000000000000002E-3</v>
      </c>
      <c r="H224" s="217">
        <f t="shared" si="618"/>
        <v>1.92</v>
      </c>
      <c r="I224" s="217">
        <f t="shared" si="619"/>
        <v>0.14400000000000002</v>
      </c>
      <c r="J224" s="541">
        <f t="shared" si="620"/>
        <v>35.902335931666016</v>
      </c>
      <c r="K224" s="443">
        <f t="shared" si="621"/>
        <v>16.489517986529311</v>
      </c>
      <c r="L224" s="172">
        <f t="shared" si="622"/>
        <v>52.391853918195324</v>
      </c>
      <c r="M224" s="443"/>
      <c r="N224" s="217">
        <f t="shared" si="623"/>
        <v>0.31473438623256311</v>
      </c>
      <c r="O224" s="172">
        <f t="shared" si="624"/>
        <v>58.396380691308515</v>
      </c>
      <c r="P224" s="172">
        <f t="shared" si="625"/>
        <v>4.7082081932367492</v>
      </c>
      <c r="Q224" s="217">
        <f t="shared" si="626"/>
        <v>2.4331825288045215</v>
      </c>
      <c r="R224" s="217">
        <f t="shared" si="627"/>
        <v>3.2442433717393619</v>
      </c>
      <c r="S224" s="217">
        <f t="shared" si="628"/>
        <v>24</v>
      </c>
      <c r="T224" s="217">
        <f t="shared" si="629"/>
        <v>0.36531944412966844</v>
      </c>
      <c r="U224" s="217">
        <f t="shared" si="630"/>
        <v>0.10175366996314442</v>
      </c>
      <c r="V224" s="217">
        <f t="shared" si="631"/>
        <v>0.2215464663237014</v>
      </c>
      <c r="W224" s="197">
        <f t="shared" si="632"/>
        <v>350</v>
      </c>
      <c r="X224" s="443">
        <f t="shared" si="691"/>
        <v>350</v>
      </c>
      <c r="Z224" s="217">
        <f t="shared" si="633"/>
        <v>3.228485618219485</v>
      </c>
      <c r="AA224" s="173">
        <f t="shared" si="634"/>
        <v>1.9579017536212484</v>
      </c>
      <c r="AB224" s="173">
        <f t="shared" si="635"/>
        <v>0.68634926009236363</v>
      </c>
      <c r="AC224" s="173"/>
      <c r="AD224" s="173">
        <f t="shared" si="636"/>
        <v>1.3476574779430244</v>
      </c>
      <c r="AE224" s="545">
        <f t="shared" si="637"/>
        <v>80.099007910577143</v>
      </c>
      <c r="AF224" s="528">
        <f t="shared" si="638"/>
        <v>0.34956737580644337</v>
      </c>
      <c r="AH224" s="173">
        <f t="shared" si="639"/>
        <v>1.0860149959501348</v>
      </c>
      <c r="AI224" s="173">
        <f t="shared" si="640"/>
        <v>2.2222222222222223</v>
      </c>
      <c r="AJ224" s="173">
        <f t="shared" si="641"/>
        <v>1.0457708616631869</v>
      </c>
      <c r="AL224" s="545">
        <f t="shared" si="642"/>
        <v>80</v>
      </c>
      <c r="AM224" s="460">
        <f t="shared" si="643"/>
        <v>80.099007910577143</v>
      </c>
      <c r="AO224">
        <f t="shared" si="644"/>
        <v>80</v>
      </c>
      <c r="AP224">
        <f t="shared" si="645"/>
        <v>80.099007910577143</v>
      </c>
      <c r="AR224" s="5">
        <f t="shared" si="616"/>
        <v>12.484549135944405</v>
      </c>
      <c r="AS224" s="5">
        <f t="shared" si="604"/>
        <v>0.61896312999016123</v>
      </c>
      <c r="AT224" s="5">
        <f t="shared" si="605"/>
        <v>11.865586005954244</v>
      </c>
      <c r="AU224" s="173">
        <f t="shared" si="606"/>
        <v>4.9578332645437512E-2</v>
      </c>
      <c r="BA224" s="173">
        <f t="shared" si="692"/>
        <v>0.28567538239707685</v>
      </c>
      <c r="BB224" s="173">
        <f t="shared" si="693"/>
        <v>0.83427812631376319</v>
      </c>
      <c r="BC224" s="173">
        <f t="shared" si="694"/>
        <v>8.3540552918715996E-2</v>
      </c>
      <c r="BD224" s="173"/>
      <c r="BE224" s="528">
        <f t="shared" si="695"/>
        <v>3.2644169643086434E-3</v>
      </c>
      <c r="BF224" s="528">
        <f t="shared" si="646"/>
        <v>0.20982677607216649</v>
      </c>
      <c r="BG224" s="528">
        <f t="shared" si="647"/>
        <v>0.11502965959194857</v>
      </c>
      <c r="BH224" s="528">
        <f t="shared" si="696"/>
        <v>3.8476248300345899E-2</v>
      </c>
      <c r="BI224">
        <f t="shared" si="697"/>
        <v>1.6156051169249706E-2</v>
      </c>
      <c r="BJ224" s="460">
        <f t="shared" si="698"/>
        <v>131.18571076119829</v>
      </c>
      <c r="BK224">
        <f t="shared" si="648"/>
        <v>0.25264479165263481</v>
      </c>
      <c r="BL224" s="460">
        <f t="shared" si="699"/>
        <v>382.75315209801937</v>
      </c>
      <c r="BM224" s="173">
        <f t="shared" si="649"/>
        <v>6.9439999999999988E-2</v>
      </c>
      <c r="BN224" s="173">
        <f t="shared" si="650"/>
        <v>4.96E-3</v>
      </c>
      <c r="BQ224" s="460">
        <f t="shared" si="700"/>
        <v>74.399999999999991</v>
      </c>
      <c r="BR224" s="528">
        <f t="shared" si="701"/>
        <v>2.4483127232314823E-3</v>
      </c>
      <c r="BS224" s="528">
        <f t="shared" si="702"/>
        <v>2.08805997613681E-2</v>
      </c>
      <c r="BT224" s="528">
        <f t="shared" si="703"/>
        <v>3.4895119909823943E-5</v>
      </c>
      <c r="BU224" s="528">
        <f t="shared" si="704"/>
        <v>2.1135209763680298E-2</v>
      </c>
      <c r="BV224" s="528"/>
      <c r="BW224" s="625">
        <f t="shared" si="705"/>
        <v>7.9110131269705841E-2</v>
      </c>
      <c r="BX224" s="460">
        <f t="shared" si="706"/>
        <v>123.60914863789554</v>
      </c>
      <c r="BY224" s="173">
        <f t="shared" si="707"/>
        <v>0.58076230073591484</v>
      </c>
      <c r="BZ224" s="5">
        <f t="shared" si="708"/>
        <v>2.0640000000000001</v>
      </c>
      <c r="CA224" s="173">
        <f t="shared" si="709"/>
        <v>0.7804103981010635</v>
      </c>
      <c r="CB224" s="5">
        <f t="shared" si="710"/>
        <v>78.041039810106355</v>
      </c>
      <c r="CC224">
        <f t="shared" si="711"/>
        <v>8</v>
      </c>
      <c r="CE224" s="562">
        <f t="shared" si="651"/>
        <v>-50</v>
      </c>
      <c r="CG224" s="173">
        <f t="shared" si="652"/>
        <v>0.10950892565061372</v>
      </c>
      <c r="CH224" s="173">
        <f t="shared" si="653"/>
        <v>2.9949781735477705E-2</v>
      </c>
      <c r="CI224" s="170">
        <v>8</v>
      </c>
      <c r="CJ224" s="217">
        <f t="shared" si="712"/>
        <v>0.08</v>
      </c>
      <c r="CK224" s="217">
        <f t="shared" si="654"/>
        <v>8.0000000000000002E-3</v>
      </c>
      <c r="CL224" s="217">
        <f t="shared" si="655"/>
        <v>1.92</v>
      </c>
      <c r="CM224" s="217">
        <f t="shared" si="656"/>
        <v>0.14400000000000002</v>
      </c>
      <c r="CN224" s="541">
        <f t="shared" si="657"/>
        <v>36</v>
      </c>
      <c r="CO224" s="443">
        <f t="shared" si="658"/>
        <v>16.474900000000002</v>
      </c>
      <c r="CP224" s="443">
        <f t="shared" si="659"/>
        <v>52.474900000000005</v>
      </c>
      <c r="CQ224" s="443"/>
      <c r="CR224" s="217">
        <f t="shared" si="660"/>
        <v>0.31220924123305599</v>
      </c>
      <c r="CS224" s="172">
        <f t="shared" si="661"/>
        <v>58.085440229405762</v>
      </c>
      <c r="CT224" s="172">
        <f t="shared" si="662"/>
        <v>4.683138618495839</v>
      </c>
      <c r="CU224" s="217">
        <f t="shared" si="663"/>
        <v>2.4202266762252402</v>
      </c>
      <c r="CV224" s="217">
        <f t="shared" si="664"/>
        <v>3.2269689016336534</v>
      </c>
      <c r="CW224" s="217">
        <f t="shared" si="665"/>
        <v>24</v>
      </c>
      <c r="CX224" s="217">
        <f t="shared" si="666"/>
        <v>0.36727505634937635</v>
      </c>
      <c r="CY224" s="217">
        <f t="shared" si="667"/>
        <v>0.10202084898593788</v>
      </c>
      <c r="CZ224" s="217">
        <f t="shared" si="668"/>
        <v>0.22293006716239633</v>
      </c>
      <c r="DA224" s="197">
        <f t="shared" si="669"/>
        <v>350</v>
      </c>
      <c r="DB224" s="443">
        <f t="shared" si="670"/>
        <v>350</v>
      </c>
      <c r="DD224" s="217">
        <f t="shared" si="671"/>
        <v>3.2292794133140656</v>
      </c>
      <c r="DE224" s="173">
        <f t="shared" si="672"/>
        <v>1.9601207978889497</v>
      </c>
      <c r="DF224" s="173">
        <f t="shared" si="673"/>
        <v>0.6872960992823488</v>
      </c>
      <c r="DG224" s="173"/>
      <c r="DH224" s="173">
        <f t="shared" si="674"/>
        <v>1.3488532386977903</v>
      </c>
      <c r="DI224" s="545">
        <f t="shared" si="675"/>
        <v>80.027999999999977</v>
      </c>
      <c r="DJ224" s="528">
        <f t="shared" si="676"/>
        <v>0.34987754285999911</v>
      </c>
      <c r="DL224" s="173">
        <f t="shared" si="677"/>
        <v>1.0860149959501348</v>
      </c>
      <c r="DM224" s="173">
        <f t="shared" si="678"/>
        <v>2.2222222222222223</v>
      </c>
      <c r="DN224" s="173">
        <f t="shared" si="679"/>
        <v>1.0457302857142856</v>
      </c>
      <c r="DP224" s="545">
        <f t="shared" si="680"/>
        <v>80</v>
      </c>
      <c r="DQ224" s="460">
        <f t="shared" si="681"/>
        <v>80.027999999999977</v>
      </c>
      <c r="DS224">
        <f t="shared" si="682"/>
        <v>80</v>
      </c>
      <c r="DT224">
        <f t="shared" si="683"/>
        <v>80.027999999999977</v>
      </c>
      <c r="DV224" s="5">
        <f t="shared" si="684"/>
        <v>12.495626530714253</v>
      </c>
      <c r="DW224" s="5">
        <f t="shared" si="685"/>
        <v>0.61728395061728403</v>
      </c>
      <c r="DX224" s="5">
        <f t="shared" si="686"/>
        <v>11.87834258009697</v>
      </c>
      <c r="DY224" s="173">
        <f t="shared" si="687"/>
        <v>4.9399999999999993E-2</v>
      </c>
      <c r="EA224" s="5">
        <f t="shared" si="713"/>
        <v>0.20576131687242802</v>
      </c>
      <c r="EB224" s="5">
        <f t="shared" si="714"/>
        <v>2.7434842249657067E-2</v>
      </c>
      <c r="EC224" s="5">
        <f t="shared" si="715"/>
        <v>0.52792633689319846</v>
      </c>
      <c r="ED224" s="5"/>
      <c r="EE224" s="173">
        <f t="shared" si="716"/>
        <v>0.28516113414696531</v>
      </c>
      <c r="EF224" s="173">
        <f t="shared" si="717"/>
        <v>0.8343563926517541</v>
      </c>
      <c r="EG224" s="173">
        <f t="shared" si="718"/>
        <v>8.3548390129047259E-2</v>
      </c>
      <c r="EH224" s="173"/>
      <c r="EI224" s="528">
        <f t="shared" si="719"/>
        <v>3.252674897119342E-3</v>
      </c>
      <c r="EJ224" s="528">
        <f t="shared" si="720"/>
        <v>0.25663374593999994</v>
      </c>
      <c r="EK224" s="528">
        <f t="shared" si="721"/>
        <v>1.6005599999999995E-2</v>
      </c>
      <c r="EL224" s="528">
        <f t="shared" si="722"/>
        <v>3.8564104534277041E-2</v>
      </c>
      <c r="EM224">
        <f t="shared" si="723"/>
        <v>1.6199999999999999E-2</v>
      </c>
      <c r="EN224" s="460">
        <f t="shared" si="724"/>
        <v>32.205599999999997</v>
      </c>
      <c r="EP224" s="460">
        <f t="shared" si="725"/>
        <v>330.65612537139634</v>
      </c>
      <c r="EQ224" s="173">
        <f t="shared" si="726"/>
        <v>5.5999999999999994E-2</v>
      </c>
      <c r="ER224" s="173">
        <f t="shared" si="688"/>
        <v>4.96E-3</v>
      </c>
      <c r="ES224" s="528"/>
      <c r="EU224" s="460">
        <f t="shared" si="727"/>
        <v>60.959999999999994</v>
      </c>
      <c r="EV224" s="528">
        <f t="shared" si="728"/>
        <v>2.4395061728395063E-3</v>
      </c>
      <c r="EW224" s="528">
        <f t="shared" si="729"/>
        <v>2.088451769876544E-2</v>
      </c>
      <c r="EX224" s="528">
        <f t="shared" si="730"/>
        <v>3.4901667465777408E-5</v>
      </c>
      <c r="EY224" s="528">
        <f t="shared" si="731"/>
        <v>2.1088399901516858E-2</v>
      </c>
      <c r="EZ224" s="528"/>
      <c r="FA224" s="625">
        <f t="shared" si="732"/>
        <v>7.9039999999999999E-2</v>
      </c>
      <c r="FB224" s="460">
        <f t="shared" si="733"/>
        <v>123.48732544058757</v>
      </c>
      <c r="FC224" s="173">
        <f t="shared" si="734"/>
        <v>0.51510345081198383</v>
      </c>
      <c r="FD224" s="5">
        <f t="shared" si="735"/>
        <v>2.0640000000000001</v>
      </c>
      <c r="FE224" s="173">
        <f t="shared" si="736"/>
        <v>0.80027809638662883</v>
      </c>
      <c r="FF224" s="5">
        <f t="shared" si="737"/>
        <v>80.027809638662887</v>
      </c>
      <c r="FG224">
        <f t="shared" si="738"/>
        <v>8</v>
      </c>
      <c r="FI224" s="562">
        <f t="shared" si="689"/>
        <v>-50</v>
      </c>
    </row>
    <row r="225" spans="5:165">
      <c r="E225" s="170">
        <v>9</v>
      </c>
      <c r="F225" s="217">
        <f t="shared" si="690"/>
        <v>0.09</v>
      </c>
      <c r="G225" s="217">
        <f t="shared" si="617"/>
        <v>8.9999999999999993E-3</v>
      </c>
      <c r="H225" s="217">
        <f t="shared" si="618"/>
        <v>2.16</v>
      </c>
      <c r="I225" s="217">
        <f t="shared" si="619"/>
        <v>0.16199999999999998</v>
      </c>
      <c r="J225" s="541">
        <f t="shared" si="620"/>
        <v>35.902335931666016</v>
      </c>
      <c r="K225" s="443">
        <f t="shared" si="621"/>
        <v>16.489517986529311</v>
      </c>
      <c r="L225" s="172">
        <f t="shared" si="622"/>
        <v>52.391853918195324</v>
      </c>
      <c r="M225" s="443"/>
      <c r="N225" s="217">
        <f t="shared" si="623"/>
        <v>0.31473438623256311</v>
      </c>
      <c r="O225" s="172">
        <f t="shared" si="624"/>
        <v>58.396380691308515</v>
      </c>
      <c r="P225" s="172">
        <f t="shared" si="625"/>
        <v>4.7082081932367492</v>
      </c>
      <c r="Q225" s="217">
        <f t="shared" si="626"/>
        <v>2.4331825288045215</v>
      </c>
      <c r="R225" s="217">
        <f t="shared" si="627"/>
        <v>3.2442433717393619</v>
      </c>
      <c r="S225" s="217">
        <f t="shared" si="628"/>
        <v>24</v>
      </c>
      <c r="T225" s="217">
        <f t="shared" si="629"/>
        <v>0.410984374645877</v>
      </c>
      <c r="U225" s="217">
        <f t="shared" si="630"/>
        <v>0.11447287870853746</v>
      </c>
      <c r="V225" s="217">
        <f t="shared" si="631"/>
        <v>0.24923977461416405</v>
      </c>
      <c r="W225" s="197">
        <f t="shared" si="632"/>
        <v>350</v>
      </c>
      <c r="X225" s="443">
        <f t="shared" si="691"/>
        <v>350</v>
      </c>
      <c r="Z225" s="217">
        <f t="shared" si="633"/>
        <v>3.228485618219485</v>
      </c>
      <c r="AA225" s="173">
        <f t="shared" si="634"/>
        <v>1.9579017536212484</v>
      </c>
      <c r="AB225" s="173">
        <f t="shared" si="635"/>
        <v>0.68634926009236363</v>
      </c>
      <c r="AC225" s="173"/>
      <c r="AD225" s="173">
        <f t="shared" si="636"/>
        <v>1.3476574779430244</v>
      </c>
      <c r="AE225" s="545">
        <f t="shared" si="637"/>
        <v>90.111383899399286</v>
      </c>
      <c r="AF225" s="528">
        <f t="shared" si="638"/>
        <v>0.34956737580644337</v>
      </c>
      <c r="AH225" s="173">
        <f t="shared" si="639"/>
        <v>1.1518928521599319</v>
      </c>
      <c r="AI225" s="173">
        <f t="shared" si="640"/>
        <v>2.2222222222222223</v>
      </c>
      <c r="AJ225" s="173">
        <f t="shared" si="641"/>
        <v>1.0514922193710854</v>
      </c>
      <c r="AL225" s="545">
        <f t="shared" si="642"/>
        <v>90</v>
      </c>
      <c r="AM225" s="460">
        <f t="shared" si="643"/>
        <v>90.111383899399286</v>
      </c>
      <c r="AO225">
        <f t="shared" si="644"/>
        <v>90</v>
      </c>
      <c r="AP225">
        <f t="shared" si="645"/>
        <v>90.111383899399286</v>
      </c>
      <c r="AR225" s="5">
        <f t="shared" si="616"/>
        <v>11.09737700972836</v>
      </c>
      <c r="AS225" s="5">
        <f t="shared" si="604"/>
        <v>0.61896312999016123</v>
      </c>
      <c r="AT225" s="5">
        <f t="shared" si="605"/>
        <v>10.478413879738198</v>
      </c>
      <c r="AU225" s="173">
        <f t="shared" si="606"/>
        <v>5.5775624226117204E-2</v>
      </c>
      <c r="BA225" s="173">
        <f t="shared" si="692"/>
        <v>0.30300450016654967</v>
      </c>
      <c r="BB225" s="173">
        <f t="shared" si="693"/>
        <v>0.83155369312465099</v>
      </c>
      <c r="BC225" s="173">
        <f t="shared" si="694"/>
        <v>8.3267741433157599E-2</v>
      </c>
      <c r="BD225" s="173"/>
      <c r="BE225" s="528">
        <f t="shared" si="695"/>
        <v>3.6724690848472241E-3</v>
      </c>
      <c r="BF225" s="528">
        <f t="shared" si="646"/>
        <v>0.23605512308118726</v>
      </c>
      <c r="BG225" s="528">
        <f t="shared" si="647"/>
        <v>0.12940836704094213</v>
      </c>
      <c r="BH225" s="528">
        <f t="shared" si="696"/>
        <v>4.3285779337889137E-2</v>
      </c>
      <c r="BI225">
        <f t="shared" si="697"/>
        <v>1.6156051169249706E-2</v>
      </c>
      <c r="BJ225" s="460">
        <f t="shared" si="698"/>
        <v>145.56441821019183</v>
      </c>
      <c r="BK225">
        <f t="shared" si="648"/>
        <v>0.28425297123202459</v>
      </c>
      <c r="BL225" s="460">
        <f t="shared" si="699"/>
        <v>428.57778971411545</v>
      </c>
      <c r="BM225" s="173">
        <f t="shared" si="649"/>
        <v>7.8119999999999995E-2</v>
      </c>
      <c r="BN225" s="173">
        <f t="shared" si="650"/>
        <v>5.5799999999999999E-3</v>
      </c>
      <c r="BQ225" s="460">
        <f t="shared" si="700"/>
        <v>83.7</v>
      </c>
      <c r="BR225" s="528">
        <f t="shared" si="701"/>
        <v>2.7543518136354181E-3</v>
      </c>
      <c r="BS225" s="528">
        <f t="shared" si="702"/>
        <v>2.0744446336477387E-2</v>
      </c>
      <c r="BT225" s="528">
        <f t="shared" si="703"/>
        <v>3.4667583816895956E-5</v>
      </c>
      <c r="BU225" s="528">
        <f t="shared" si="704"/>
        <v>2.8371863948474508E-2</v>
      </c>
      <c r="BV225" s="528"/>
      <c r="BW225" s="625">
        <f t="shared" si="705"/>
        <v>8.8998897678419064E-2</v>
      </c>
      <c r="BX225" s="460">
        <f t="shared" si="706"/>
        <v>140.90422736082328</v>
      </c>
      <c r="BY225" s="173">
        <f t="shared" si="707"/>
        <v>0.65318201707493873</v>
      </c>
      <c r="BZ225" s="5">
        <f t="shared" si="708"/>
        <v>2.3220000000000001</v>
      </c>
      <c r="CA225" s="173">
        <f t="shared" si="709"/>
        <v>0.78045645163010324</v>
      </c>
      <c r="CB225" s="5">
        <f t="shared" si="710"/>
        <v>78.04564516301032</v>
      </c>
      <c r="CC225">
        <f t="shared" si="711"/>
        <v>9</v>
      </c>
      <c r="CE225" s="562">
        <f t="shared" si="651"/>
        <v>-50</v>
      </c>
      <c r="CG225" s="173">
        <f t="shared" si="652"/>
        <v>0.12319754135694044</v>
      </c>
      <c r="CH225" s="173">
        <f t="shared" si="653"/>
        <v>3.3693504452412426E-2</v>
      </c>
      <c r="CI225" s="170">
        <v>9</v>
      </c>
      <c r="CJ225" s="217">
        <f t="shared" si="712"/>
        <v>0.09</v>
      </c>
      <c r="CK225" s="217">
        <f t="shared" si="654"/>
        <v>8.9999999999999993E-3</v>
      </c>
      <c r="CL225" s="217">
        <f t="shared" si="655"/>
        <v>2.16</v>
      </c>
      <c r="CM225" s="217">
        <f t="shared" si="656"/>
        <v>0.16199999999999998</v>
      </c>
      <c r="CN225" s="541">
        <f t="shared" si="657"/>
        <v>36</v>
      </c>
      <c r="CO225" s="443">
        <f t="shared" si="658"/>
        <v>16.474900000000002</v>
      </c>
      <c r="CP225" s="443">
        <f t="shared" si="659"/>
        <v>52.474900000000005</v>
      </c>
      <c r="CQ225" s="443"/>
      <c r="CR225" s="217">
        <f t="shared" si="660"/>
        <v>0.31220924123305599</v>
      </c>
      <c r="CS225" s="172">
        <f t="shared" si="661"/>
        <v>58.085440229405762</v>
      </c>
      <c r="CT225" s="172">
        <f t="shared" si="662"/>
        <v>4.683138618495839</v>
      </c>
      <c r="CU225" s="217">
        <f t="shared" si="663"/>
        <v>2.4202266762252402</v>
      </c>
      <c r="CV225" s="217">
        <f t="shared" si="664"/>
        <v>3.2269689016336534</v>
      </c>
      <c r="CW225" s="217">
        <f t="shared" si="665"/>
        <v>24</v>
      </c>
      <c r="CX225" s="217">
        <f t="shared" si="666"/>
        <v>0.41318443839304841</v>
      </c>
      <c r="CY225" s="217">
        <f t="shared" si="667"/>
        <v>0.11477345510918013</v>
      </c>
      <c r="CZ225" s="217">
        <f t="shared" si="668"/>
        <v>0.25079632555769593</v>
      </c>
      <c r="DA225" s="197">
        <f t="shared" si="669"/>
        <v>350</v>
      </c>
      <c r="DB225" s="443">
        <f t="shared" si="670"/>
        <v>350</v>
      </c>
      <c r="DD225" s="217">
        <f t="shared" si="671"/>
        <v>3.2292794133140656</v>
      </c>
      <c r="DE225" s="173">
        <f t="shared" si="672"/>
        <v>1.9601207978889497</v>
      </c>
      <c r="DF225" s="173">
        <f t="shared" si="673"/>
        <v>0.6872960992823488</v>
      </c>
      <c r="DG225" s="173"/>
      <c r="DH225" s="173">
        <f t="shared" si="674"/>
        <v>1.3488532386977903</v>
      </c>
      <c r="DI225" s="545">
        <f t="shared" si="675"/>
        <v>90.03149999999998</v>
      </c>
      <c r="DJ225" s="528">
        <f t="shared" si="676"/>
        <v>0.34987754285999911</v>
      </c>
      <c r="DL225" s="173">
        <f t="shared" si="677"/>
        <v>1.1518928521599319</v>
      </c>
      <c r="DM225" s="173">
        <f t="shared" si="678"/>
        <v>2.2222222222222223</v>
      </c>
      <c r="DN225" s="173">
        <f t="shared" si="679"/>
        <v>1.0514465714285715</v>
      </c>
      <c r="DP225" s="545">
        <f t="shared" si="680"/>
        <v>90</v>
      </c>
      <c r="DQ225" s="460">
        <f t="shared" si="681"/>
        <v>90.03149999999998</v>
      </c>
      <c r="DS225">
        <f t="shared" si="682"/>
        <v>90</v>
      </c>
      <c r="DT225">
        <f t="shared" si="683"/>
        <v>90.03149999999998</v>
      </c>
      <c r="DV225" s="5">
        <f t="shared" si="684"/>
        <v>11.107223582857115</v>
      </c>
      <c r="DW225" s="5">
        <f t="shared" si="685"/>
        <v>0.61728395061728403</v>
      </c>
      <c r="DX225" s="5">
        <f t="shared" si="686"/>
        <v>10.489939632239832</v>
      </c>
      <c r="DY225" s="173">
        <f t="shared" si="687"/>
        <v>5.5574999999999986E-2</v>
      </c>
      <c r="EA225" s="5">
        <f t="shared" si="713"/>
        <v>0.23148148148148148</v>
      </c>
      <c r="EB225" s="5">
        <f t="shared" si="714"/>
        <v>3.0864197530864199E-2</v>
      </c>
      <c r="EC225" s="5">
        <f t="shared" si="715"/>
        <v>0.52449698161199154</v>
      </c>
      <c r="ED225" s="5"/>
      <c r="EE225" s="173">
        <f t="shared" si="716"/>
        <v>0.30245905752924884</v>
      </c>
      <c r="EF225" s="173">
        <f t="shared" si="717"/>
        <v>0.83164203068486531</v>
      </c>
      <c r="EG225" s="173">
        <f t="shared" si="718"/>
        <v>8.3276587126687174E-2</v>
      </c>
      <c r="EH225" s="173"/>
      <c r="EI225" s="528">
        <f t="shared" si="719"/>
        <v>3.6592592592592584E-3</v>
      </c>
      <c r="EJ225" s="528">
        <f t="shared" si="720"/>
        <v>0.28871296418249998</v>
      </c>
      <c r="EK225" s="528">
        <f t="shared" si="721"/>
        <v>1.8006299999999992E-2</v>
      </c>
      <c r="EL225" s="528">
        <f t="shared" si="722"/>
        <v>4.3384617601061673E-2</v>
      </c>
      <c r="EM225">
        <f t="shared" si="723"/>
        <v>1.6199999999999999E-2</v>
      </c>
      <c r="EN225" s="460">
        <f t="shared" si="724"/>
        <v>34.206299999999992</v>
      </c>
      <c r="EP225" s="460">
        <f t="shared" si="725"/>
        <v>369.96314104282084</v>
      </c>
      <c r="EQ225" s="173">
        <f t="shared" si="726"/>
        <v>6.3E-2</v>
      </c>
      <c r="ER225" s="173">
        <f t="shared" si="688"/>
        <v>5.5799999999999999E-3</v>
      </c>
      <c r="ES225" s="528"/>
      <c r="EU225" s="460">
        <f t="shared" si="727"/>
        <v>68.58</v>
      </c>
      <c r="EV225" s="528">
        <f t="shared" si="728"/>
        <v>2.7444444444444435E-3</v>
      </c>
      <c r="EW225" s="528">
        <f t="shared" si="729"/>
        <v>2.0748854016049395E-2</v>
      </c>
      <c r="EX225" s="528">
        <f t="shared" si="730"/>
        <v>3.4674949817343599E-5</v>
      </c>
      <c r="EY225" s="528">
        <f t="shared" si="731"/>
        <v>2.8309026481725903E-2</v>
      </c>
      <c r="EZ225" s="528"/>
      <c r="FA225" s="625">
        <f t="shared" si="732"/>
        <v>8.8920000000000013E-2</v>
      </c>
      <c r="FB225" s="460">
        <f t="shared" si="733"/>
        <v>140.7569998920371</v>
      </c>
      <c r="FC225" s="173">
        <f t="shared" si="734"/>
        <v>0.57930014093485793</v>
      </c>
      <c r="FD225" s="5">
        <f t="shared" si="735"/>
        <v>2.3220000000000001</v>
      </c>
      <c r="FE225" s="173">
        <f t="shared" si="736"/>
        <v>0.80033084727725012</v>
      </c>
      <c r="FF225" s="5">
        <f t="shared" si="737"/>
        <v>80.033084727725011</v>
      </c>
      <c r="FG225">
        <f t="shared" si="738"/>
        <v>9</v>
      </c>
      <c r="FI225" s="562">
        <f t="shared" si="689"/>
        <v>-50</v>
      </c>
    </row>
    <row r="226" spans="5:165">
      <c r="E226" s="170">
        <v>10</v>
      </c>
      <c r="F226" s="217">
        <f t="shared" si="690"/>
        <v>0.1</v>
      </c>
      <c r="G226" s="217">
        <f t="shared" si="617"/>
        <v>1.0000000000000002E-2</v>
      </c>
      <c r="H226" s="217">
        <f t="shared" si="618"/>
        <v>2.4000000000000004</v>
      </c>
      <c r="I226" s="217">
        <f t="shared" si="619"/>
        <v>0.18000000000000005</v>
      </c>
      <c r="J226" s="541">
        <f t="shared" si="620"/>
        <v>35.902335931666016</v>
      </c>
      <c r="K226" s="443">
        <f t="shared" si="621"/>
        <v>16.489517986529311</v>
      </c>
      <c r="L226" s="172">
        <f t="shared" si="622"/>
        <v>52.391853918195324</v>
      </c>
      <c r="M226" s="443"/>
      <c r="N226" s="217">
        <f t="shared" si="623"/>
        <v>0.31473438623256311</v>
      </c>
      <c r="O226" s="172">
        <f t="shared" si="624"/>
        <v>58.396380691308515</v>
      </c>
      <c r="P226" s="172">
        <f t="shared" si="625"/>
        <v>4.7082081932367492</v>
      </c>
      <c r="Q226" s="217">
        <f t="shared" si="626"/>
        <v>2.4331825288045215</v>
      </c>
      <c r="R226" s="217">
        <f t="shared" si="627"/>
        <v>3.2442433717393619</v>
      </c>
      <c r="S226" s="217">
        <f t="shared" si="628"/>
        <v>24</v>
      </c>
      <c r="T226" s="217">
        <f t="shared" si="629"/>
        <v>0.45664930516208563</v>
      </c>
      <c r="U226" s="217">
        <f t="shared" si="630"/>
        <v>0.12719208745393057</v>
      </c>
      <c r="V226" s="217">
        <f t="shared" si="631"/>
        <v>0.27693308290462681</v>
      </c>
      <c r="W226" s="197">
        <f t="shared" si="632"/>
        <v>350</v>
      </c>
      <c r="X226" s="443">
        <f t="shared" si="691"/>
        <v>350</v>
      </c>
      <c r="Z226" s="217">
        <f t="shared" si="633"/>
        <v>3.228485618219485</v>
      </c>
      <c r="AA226" s="173">
        <f t="shared" si="634"/>
        <v>1.9579017536212484</v>
      </c>
      <c r="AB226" s="173">
        <f t="shared" si="635"/>
        <v>0.68634926009236363</v>
      </c>
      <c r="AC226" s="173"/>
      <c r="AD226" s="173">
        <f t="shared" si="636"/>
        <v>1.3476574779430244</v>
      </c>
      <c r="AE226" s="545">
        <f t="shared" si="637"/>
        <v>100.12375988822144</v>
      </c>
      <c r="AF226" s="528">
        <f t="shared" si="638"/>
        <v>0.34956737580644337</v>
      </c>
      <c r="AH226" s="173">
        <f t="shared" si="639"/>
        <v>1.2142016777643303</v>
      </c>
      <c r="AI226" s="173">
        <f t="shared" si="640"/>
        <v>2.2222222222222223</v>
      </c>
      <c r="AJ226" s="173">
        <f t="shared" si="641"/>
        <v>1.0572135770789837</v>
      </c>
      <c r="AL226" s="545">
        <f t="shared" si="642"/>
        <v>100</v>
      </c>
      <c r="AM226" s="460">
        <f t="shared" si="643"/>
        <v>100.12375988822144</v>
      </c>
      <c r="AO226">
        <f t="shared" si="644"/>
        <v>100</v>
      </c>
      <c r="AP226">
        <f t="shared" si="645"/>
        <v>100.12375988822144</v>
      </c>
      <c r="AR226" s="5">
        <f t="shared" si="616"/>
        <v>9.9876393087555222</v>
      </c>
      <c r="AS226" s="5">
        <f t="shared" si="604"/>
        <v>0.61896312999016123</v>
      </c>
      <c r="AT226" s="5">
        <f t="shared" si="605"/>
        <v>9.3686761787653605</v>
      </c>
      <c r="AU226" s="173">
        <f t="shared" si="606"/>
        <v>6.1972915806796904E-2</v>
      </c>
      <c r="BA226" s="173">
        <f t="shared" si="692"/>
        <v>0.31939478726905535</v>
      </c>
      <c r="BB226" s="173">
        <f t="shared" si="693"/>
        <v>0.82882030444052757</v>
      </c>
      <c r="BC226" s="173">
        <f t="shared" si="694"/>
        <v>8.2994033187896055E-2</v>
      </c>
      <c r="BD226" s="173"/>
      <c r="BE226" s="528">
        <f t="shared" si="695"/>
        <v>4.0805212053858049E-3</v>
      </c>
      <c r="BF226" s="528">
        <f t="shared" si="646"/>
        <v>0.26228347009020814</v>
      </c>
      <c r="BG226" s="528">
        <f t="shared" si="647"/>
        <v>0.14378707448993572</v>
      </c>
      <c r="BH226" s="528">
        <f t="shared" si="696"/>
        <v>4.8095310375432375E-2</v>
      </c>
      <c r="BI226">
        <f t="shared" si="697"/>
        <v>1.6156051169249706E-2</v>
      </c>
      <c r="BJ226" s="460">
        <f t="shared" si="698"/>
        <v>159.94312565918543</v>
      </c>
      <c r="BK226">
        <f t="shared" si="648"/>
        <v>0.3158672857867596</v>
      </c>
      <c r="BL226" s="460">
        <f t="shared" si="699"/>
        <v>474.40242733021176</v>
      </c>
      <c r="BM226" s="173">
        <f t="shared" si="649"/>
        <v>8.6799999999999988E-2</v>
      </c>
      <c r="BN226" s="173">
        <f t="shared" si="650"/>
        <v>6.2000000000000015E-3</v>
      </c>
      <c r="BQ226" s="460">
        <f t="shared" si="700"/>
        <v>92.999999999999986</v>
      </c>
      <c r="BR226" s="528">
        <f t="shared" si="701"/>
        <v>3.0603909040393534E-3</v>
      </c>
      <c r="BS226" s="528">
        <f t="shared" si="702"/>
        <v>2.0608292911586664E-2</v>
      </c>
      <c r="BT226" s="528">
        <f t="shared" si="703"/>
        <v>3.4440047723967961E-5</v>
      </c>
      <c r="BU226" s="528">
        <f t="shared" si="704"/>
        <v>3.6921691992426932E-2</v>
      </c>
      <c r="BV226" s="528"/>
      <c r="BW226" s="625">
        <f t="shared" si="705"/>
        <v>9.8887664087132315E-2</v>
      </c>
      <c r="BX226" s="460">
        <f t="shared" si="706"/>
        <v>159.51247994290924</v>
      </c>
      <c r="BY226" s="173">
        <f t="shared" si="707"/>
        <v>0.72691490727312091</v>
      </c>
      <c r="BZ226" s="5">
        <f t="shared" si="708"/>
        <v>2.5800000000000005</v>
      </c>
      <c r="CA226" s="173">
        <f t="shared" si="709"/>
        <v>0.78018336496219853</v>
      </c>
      <c r="CB226" s="5">
        <f t="shared" si="710"/>
        <v>78.01833649621986</v>
      </c>
      <c r="CC226">
        <f t="shared" si="711"/>
        <v>10</v>
      </c>
      <c r="CE226" s="562">
        <f t="shared" si="651"/>
        <v>-50</v>
      </c>
      <c r="CG226" s="173">
        <f t="shared" si="652"/>
        <v>0.13688615706326718</v>
      </c>
      <c r="CH226" s="173">
        <f t="shared" si="653"/>
        <v>3.7437227169347137E-2</v>
      </c>
      <c r="CI226" s="170">
        <v>10</v>
      </c>
      <c r="CJ226" s="217">
        <f t="shared" si="712"/>
        <v>0.1</v>
      </c>
      <c r="CK226" s="217">
        <f t="shared" si="654"/>
        <v>1.0000000000000002E-2</v>
      </c>
      <c r="CL226" s="217">
        <f t="shared" si="655"/>
        <v>2.4000000000000004</v>
      </c>
      <c r="CM226" s="217">
        <f t="shared" si="656"/>
        <v>0.18000000000000005</v>
      </c>
      <c r="CN226" s="541">
        <f t="shared" si="657"/>
        <v>36</v>
      </c>
      <c r="CO226" s="443">
        <f t="shared" si="658"/>
        <v>16.474900000000002</v>
      </c>
      <c r="CP226" s="443">
        <f t="shared" si="659"/>
        <v>52.474900000000005</v>
      </c>
      <c r="CQ226" s="443"/>
      <c r="CR226" s="217">
        <f t="shared" si="660"/>
        <v>0.31220924123305599</v>
      </c>
      <c r="CS226" s="172">
        <f t="shared" si="661"/>
        <v>58.085440229405762</v>
      </c>
      <c r="CT226" s="172">
        <f t="shared" si="662"/>
        <v>4.683138618495839</v>
      </c>
      <c r="CU226" s="217">
        <f t="shared" si="663"/>
        <v>2.4202266762252402</v>
      </c>
      <c r="CV226" s="217">
        <f t="shared" si="664"/>
        <v>3.2269689016336534</v>
      </c>
      <c r="CW226" s="217">
        <f t="shared" si="665"/>
        <v>24</v>
      </c>
      <c r="CX226" s="217">
        <f t="shared" si="666"/>
        <v>0.45909382043672053</v>
      </c>
      <c r="CY226" s="217">
        <f t="shared" si="667"/>
        <v>0.12752606123242238</v>
      </c>
      <c r="CZ226" s="217">
        <f t="shared" si="668"/>
        <v>0.27866258395299548</v>
      </c>
      <c r="DA226" s="197">
        <f t="shared" si="669"/>
        <v>350</v>
      </c>
      <c r="DB226" s="443">
        <f t="shared" si="670"/>
        <v>350</v>
      </c>
      <c r="DD226" s="217">
        <f t="shared" si="671"/>
        <v>3.2292794133140656</v>
      </c>
      <c r="DE226" s="173">
        <f t="shared" si="672"/>
        <v>1.9601207978889497</v>
      </c>
      <c r="DF226" s="173">
        <f t="shared" si="673"/>
        <v>0.6872960992823488</v>
      </c>
      <c r="DG226" s="173"/>
      <c r="DH226" s="173">
        <f t="shared" si="674"/>
        <v>1.3488532386977903</v>
      </c>
      <c r="DI226" s="545">
        <f t="shared" si="675"/>
        <v>100.03499999999997</v>
      </c>
      <c r="DJ226" s="528">
        <f t="shared" si="676"/>
        <v>0.34987754285999911</v>
      </c>
      <c r="DL226" s="173">
        <f t="shared" si="677"/>
        <v>1.2142016777643303</v>
      </c>
      <c r="DM226" s="173">
        <f t="shared" si="678"/>
        <v>2.2222222222222223</v>
      </c>
      <c r="DN226" s="173">
        <f t="shared" si="679"/>
        <v>1.0571628571428571</v>
      </c>
      <c r="DP226" s="545">
        <f t="shared" si="680"/>
        <v>100</v>
      </c>
      <c r="DQ226" s="460">
        <f t="shared" si="681"/>
        <v>100.03499999999997</v>
      </c>
      <c r="DS226">
        <f t="shared" si="682"/>
        <v>100</v>
      </c>
      <c r="DT226">
        <f t="shared" si="683"/>
        <v>100.03499999999997</v>
      </c>
      <c r="DV226" s="5">
        <f t="shared" si="684"/>
        <v>9.9965012245714036</v>
      </c>
      <c r="DW226" s="5">
        <f t="shared" si="685"/>
        <v>0.61728395061728403</v>
      </c>
      <c r="DX226" s="5">
        <f t="shared" si="686"/>
        <v>9.3792172739541186</v>
      </c>
      <c r="DY226" s="173">
        <f t="shared" si="687"/>
        <v>6.1749999999999985E-2</v>
      </c>
      <c r="EA226" s="5">
        <f t="shared" si="713"/>
        <v>0.25720164609053497</v>
      </c>
      <c r="EB226" s="5">
        <f t="shared" si="714"/>
        <v>3.4293552812071346E-2</v>
      </c>
      <c r="EC226" s="5">
        <f t="shared" si="715"/>
        <v>0.52106762633078429</v>
      </c>
      <c r="ED226" s="5"/>
      <c r="EE226" s="173">
        <f t="shared" si="716"/>
        <v>0.31881984024677545</v>
      </c>
      <c r="EF226" s="173">
        <f t="shared" si="717"/>
        <v>0.82891878036659572</v>
      </c>
      <c r="EG226" s="173">
        <f t="shared" si="718"/>
        <v>8.3003894088060456E-2</v>
      </c>
      <c r="EH226" s="173"/>
      <c r="EI226" s="528">
        <f t="shared" si="719"/>
        <v>4.0658436213991764E-3</v>
      </c>
      <c r="EJ226" s="528">
        <f t="shared" si="720"/>
        <v>0.32079218242500002</v>
      </c>
      <c r="EK226" s="528">
        <f t="shared" si="721"/>
        <v>2.0006999999999994E-2</v>
      </c>
      <c r="EL226" s="528">
        <f t="shared" si="722"/>
        <v>4.8205130667846298E-2</v>
      </c>
      <c r="EM226">
        <f t="shared" si="723"/>
        <v>1.6199999999999999E-2</v>
      </c>
      <c r="EN226" s="460">
        <f t="shared" si="724"/>
        <v>36.206999999999987</v>
      </c>
      <c r="EP226" s="460">
        <f t="shared" si="725"/>
        <v>409.2701567142455</v>
      </c>
      <c r="EQ226" s="173">
        <f t="shared" si="726"/>
        <v>6.9999999999999993E-2</v>
      </c>
      <c r="ER226" s="173">
        <f t="shared" si="688"/>
        <v>6.2000000000000015E-3</v>
      </c>
      <c r="ES226" s="528"/>
      <c r="EU226" s="460">
        <f t="shared" si="727"/>
        <v>76.199999999999989</v>
      </c>
      <c r="EV226" s="528">
        <f t="shared" si="728"/>
        <v>3.0493827160493823E-3</v>
      </c>
      <c r="EW226" s="528">
        <f t="shared" si="729"/>
        <v>2.0613190333333333E-2</v>
      </c>
      <c r="EX226" s="528">
        <f t="shared" si="730"/>
        <v>3.4448232168909789E-5</v>
      </c>
      <c r="EY226" s="528">
        <f t="shared" si="731"/>
        <v>3.6839918528509083E-2</v>
      </c>
      <c r="EZ226" s="528"/>
      <c r="FA226" s="625">
        <f t="shared" si="732"/>
        <v>9.8799999999999985E-2</v>
      </c>
      <c r="FB226" s="460">
        <f t="shared" si="733"/>
        <v>159.3369398100607</v>
      </c>
      <c r="FC226" s="173">
        <f t="shared" si="734"/>
        <v>0.64480709652430623</v>
      </c>
      <c r="FD226" s="5">
        <f t="shared" si="735"/>
        <v>2.5800000000000005</v>
      </c>
      <c r="FE226" s="173">
        <f t="shared" si="736"/>
        <v>0.80004785488741981</v>
      </c>
      <c r="FF226" s="5">
        <f t="shared" si="737"/>
        <v>80.004785488741987</v>
      </c>
      <c r="FG226">
        <f t="shared" si="738"/>
        <v>10</v>
      </c>
      <c r="FI226" s="562">
        <f t="shared" si="689"/>
        <v>-50</v>
      </c>
    </row>
    <row r="227" spans="5:165">
      <c r="E227" s="170">
        <v>11</v>
      </c>
      <c r="F227" s="217">
        <f t="shared" si="690"/>
        <v>0.11</v>
      </c>
      <c r="G227" s="217">
        <f t="shared" si="617"/>
        <v>1.1000000000000001E-2</v>
      </c>
      <c r="H227" s="217">
        <f t="shared" si="618"/>
        <v>2.64</v>
      </c>
      <c r="I227" s="217">
        <f t="shared" si="619"/>
        <v>0.19800000000000001</v>
      </c>
      <c r="J227" s="541">
        <f t="shared" si="620"/>
        <v>35.902335931666016</v>
      </c>
      <c r="K227" s="443">
        <f t="shared" si="621"/>
        <v>16.489517986529311</v>
      </c>
      <c r="L227" s="172">
        <f t="shared" si="622"/>
        <v>52.391853918195324</v>
      </c>
      <c r="M227" s="443"/>
      <c r="N227" s="217">
        <f t="shared" si="623"/>
        <v>0.31473438623256311</v>
      </c>
      <c r="O227" s="172">
        <f t="shared" si="624"/>
        <v>58.396380691308515</v>
      </c>
      <c r="P227" s="172">
        <f t="shared" si="625"/>
        <v>4.7082081932367492</v>
      </c>
      <c r="Q227" s="217">
        <f t="shared" si="626"/>
        <v>2.4331825288045215</v>
      </c>
      <c r="R227" s="217">
        <f t="shared" si="627"/>
        <v>3.2442433717393619</v>
      </c>
      <c r="S227" s="217">
        <f t="shared" si="628"/>
        <v>24</v>
      </c>
      <c r="T227" s="217">
        <f t="shared" si="629"/>
        <v>0.50231423567829414</v>
      </c>
      <c r="U227" s="217">
        <f t="shared" si="630"/>
        <v>0.13991129619932355</v>
      </c>
      <c r="V227" s="217">
        <f t="shared" si="631"/>
        <v>0.30462639119508944</v>
      </c>
      <c r="W227" s="197">
        <f t="shared" si="632"/>
        <v>350</v>
      </c>
      <c r="X227" s="443">
        <f t="shared" si="691"/>
        <v>350</v>
      </c>
      <c r="Z227" s="217">
        <f t="shared" si="633"/>
        <v>3.228485618219485</v>
      </c>
      <c r="AA227" s="173">
        <f t="shared" si="634"/>
        <v>1.9579017536212484</v>
      </c>
      <c r="AB227" s="173">
        <f t="shared" si="635"/>
        <v>0.68634926009236363</v>
      </c>
      <c r="AC227" s="173"/>
      <c r="AD227" s="173">
        <f t="shared" si="636"/>
        <v>1.3476574779430244</v>
      </c>
      <c r="AE227" s="545">
        <f t="shared" si="637"/>
        <v>110.13613587704357</v>
      </c>
      <c r="AF227" s="528">
        <f t="shared" si="638"/>
        <v>0.34956737580644337</v>
      </c>
      <c r="AH227" s="173">
        <f t="shared" si="639"/>
        <v>1.2734654631022726</v>
      </c>
      <c r="AI227" s="173">
        <f t="shared" si="640"/>
        <v>2.2222222222222223</v>
      </c>
      <c r="AJ227" s="173">
        <f t="shared" si="641"/>
        <v>1.0629349347868819</v>
      </c>
      <c r="AL227" s="545">
        <f t="shared" si="642"/>
        <v>110</v>
      </c>
      <c r="AM227" s="460">
        <f t="shared" si="643"/>
        <v>110.13613587704357</v>
      </c>
      <c r="AO227">
        <f t="shared" si="644"/>
        <v>110</v>
      </c>
      <c r="AP227">
        <f t="shared" si="645"/>
        <v>110.13613587704357</v>
      </c>
      <c r="AR227" s="5">
        <f t="shared" si="616"/>
        <v>9.0796720988686577</v>
      </c>
      <c r="AS227" s="5">
        <f t="shared" si="604"/>
        <v>0.61896312999016123</v>
      </c>
      <c r="AT227" s="5">
        <f t="shared" si="605"/>
        <v>8.460708968878496</v>
      </c>
      <c r="AU227" s="173">
        <f t="shared" si="606"/>
        <v>6.8170207387476589E-2</v>
      </c>
      <c r="BA227" s="173">
        <f t="shared" si="692"/>
        <v>0.3349840789472085</v>
      </c>
      <c r="BB227" s="173">
        <f t="shared" si="693"/>
        <v>0.82607787136354871</v>
      </c>
      <c r="BC227" s="173">
        <f t="shared" si="694"/>
        <v>8.2719419281133716E-2</v>
      </c>
      <c r="BD227" s="173"/>
      <c r="BE227" s="528">
        <f t="shared" si="695"/>
        <v>4.4885733259243847E-3</v>
      </c>
      <c r="BF227" s="528">
        <f t="shared" si="646"/>
        <v>0.28851181709922891</v>
      </c>
      <c r="BG227" s="528">
        <f t="shared" si="647"/>
        <v>0.15816578193892927</v>
      </c>
      <c r="BH227" s="528">
        <f t="shared" si="696"/>
        <v>5.2904841412975606E-2</v>
      </c>
      <c r="BI227">
        <f t="shared" si="697"/>
        <v>1.6156051169249706E-2</v>
      </c>
      <c r="BJ227" s="460">
        <f t="shared" si="698"/>
        <v>174.32183310817896</v>
      </c>
      <c r="BK227">
        <f t="shared" si="648"/>
        <v>0.34748773710316094</v>
      </c>
      <c r="BL227" s="460">
        <f t="shared" si="699"/>
        <v>520.22706494630791</v>
      </c>
      <c r="BM227" s="173">
        <f t="shared" si="649"/>
        <v>9.5479999999999995E-2</v>
      </c>
      <c r="BN227" s="173">
        <f t="shared" si="650"/>
        <v>6.8200000000000005E-3</v>
      </c>
      <c r="BQ227" s="460">
        <f t="shared" si="700"/>
        <v>102.3</v>
      </c>
      <c r="BR227" s="528">
        <f t="shared" si="701"/>
        <v>3.3664299944432883E-3</v>
      </c>
      <c r="BS227" s="528">
        <f t="shared" si="702"/>
        <v>2.0472139486695951E-2</v>
      </c>
      <c r="BT227" s="528">
        <f t="shared" si="703"/>
        <v>3.4212511631039981E-5</v>
      </c>
      <c r="BU227" s="528">
        <f t="shared" si="704"/>
        <v>4.6855794673795192E-2</v>
      </c>
      <c r="BV227" s="528"/>
      <c r="BW227" s="625">
        <f t="shared" si="705"/>
        <v>0.10877643049584552</v>
      </c>
      <c r="BX227" s="460">
        <f t="shared" si="706"/>
        <v>179.505007162411</v>
      </c>
      <c r="BY227" s="173">
        <f t="shared" si="707"/>
        <v>0.80203207210871885</v>
      </c>
      <c r="BZ227" s="5">
        <f t="shared" si="708"/>
        <v>2.8380000000000001</v>
      </c>
      <c r="CA227" s="173">
        <f t="shared" si="709"/>
        <v>0.77966346004086418</v>
      </c>
      <c r="CB227" s="5">
        <f t="shared" si="710"/>
        <v>77.966346004086418</v>
      </c>
      <c r="CC227">
        <f t="shared" si="711"/>
        <v>11</v>
      </c>
      <c r="CE227" s="562">
        <f t="shared" si="651"/>
        <v>-50</v>
      </c>
      <c r="CG227" s="173">
        <f t="shared" si="652"/>
        <v>0.15057477276959388</v>
      </c>
      <c r="CH227" s="173">
        <f t="shared" si="653"/>
        <v>4.1180949886281848E-2</v>
      </c>
      <c r="CI227" s="170">
        <v>11</v>
      </c>
      <c r="CJ227" s="217">
        <f t="shared" si="712"/>
        <v>0.11</v>
      </c>
      <c r="CK227" s="217">
        <f t="shared" si="654"/>
        <v>1.1000000000000001E-2</v>
      </c>
      <c r="CL227" s="217">
        <f t="shared" si="655"/>
        <v>2.64</v>
      </c>
      <c r="CM227" s="217">
        <f t="shared" si="656"/>
        <v>0.19800000000000001</v>
      </c>
      <c r="CN227" s="541">
        <f t="shared" si="657"/>
        <v>36</v>
      </c>
      <c r="CO227" s="443">
        <f t="shared" si="658"/>
        <v>16.474900000000002</v>
      </c>
      <c r="CP227" s="443">
        <f t="shared" si="659"/>
        <v>52.474900000000005</v>
      </c>
      <c r="CQ227" s="443"/>
      <c r="CR227" s="217">
        <f t="shared" si="660"/>
        <v>0.31220924123305599</v>
      </c>
      <c r="CS227" s="172">
        <f t="shared" si="661"/>
        <v>58.085440229405762</v>
      </c>
      <c r="CT227" s="172">
        <f t="shared" si="662"/>
        <v>4.683138618495839</v>
      </c>
      <c r="CU227" s="217">
        <f t="shared" si="663"/>
        <v>2.4202266762252402</v>
      </c>
      <c r="CV227" s="217">
        <f t="shared" si="664"/>
        <v>3.2269689016336534</v>
      </c>
      <c r="CW227" s="217">
        <f t="shared" si="665"/>
        <v>24</v>
      </c>
      <c r="CX227" s="217">
        <f t="shared" si="666"/>
        <v>0.50500320248039243</v>
      </c>
      <c r="CY227" s="217">
        <f t="shared" si="667"/>
        <v>0.14027866735566458</v>
      </c>
      <c r="CZ227" s="217">
        <f t="shared" si="668"/>
        <v>0.30652884234829492</v>
      </c>
      <c r="DA227" s="197">
        <f t="shared" si="669"/>
        <v>350</v>
      </c>
      <c r="DB227" s="443">
        <f t="shared" si="670"/>
        <v>350</v>
      </c>
      <c r="DD227" s="217">
        <f t="shared" si="671"/>
        <v>3.2292794133140656</v>
      </c>
      <c r="DE227" s="173">
        <f t="shared" si="672"/>
        <v>1.9601207978889497</v>
      </c>
      <c r="DF227" s="173">
        <f t="shared" si="673"/>
        <v>0.6872960992823488</v>
      </c>
      <c r="DG227" s="173"/>
      <c r="DH227" s="173">
        <f t="shared" si="674"/>
        <v>1.3488532386977903</v>
      </c>
      <c r="DI227" s="545">
        <f t="shared" si="675"/>
        <v>110.03849999999996</v>
      </c>
      <c r="DJ227" s="528">
        <f t="shared" si="676"/>
        <v>0.34987754285999911</v>
      </c>
      <c r="DL227" s="173">
        <f t="shared" si="677"/>
        <v>1.2734654631022726</v>
      </c>
      <c r="DM227" s="173">
        <f t="shared" si="678"/>
        <v>2.2222222222222223</v>
      </c>
      <c r="DN227" s="173">
        <f t="shared" si="679"/>
        <v>1.0628791428571429</v>
      </c>
      <c r="DP227" s="545">
        <f t="shared" si="680"/>
        <v>110</v>
      </c>
      <c r="DQ227" s="460">
        <f t="shared" si="681"/>
        <v>110.03849999999996</v>
      </c>
      <c r="DS227">
        <f t="shared" si="682"/>
        <v>110</v>
      </c>
      <c r="DT227">
        <f t="shared" si="683"/>
        <v>110.03849999999996</v>
      </c>
      <c r="DV227" s="5">
        <f t="shared" si="684"/>
        <v>9.087728385974005</v>
      </c>
      <c r="DW227" s="5">
        <f t="shared" si="685"/>
        <v>0.61728395061728403</v>
      </c>
      <c r="DX227" s="5">
        <f t="shared" si="686"/>
        <v>8.4704444353567219</v>
      </c>
      <c r="DY227" s="173">
        <f t="shared" si="687"/>
        <v>6.7924999999999972E-2</v>
      </c>
      <c r="EA227" s="5">
        <f t="shared" si="713"/>
        <v>0.28292181069958849</v>
      </c>
      <c r="EB227" s="5">
        <f t="shared" si="714"/>
        <v>3.7722908093278475E-2</v>
      </c>
      <c r="EC227" s="5">
        <f t="shared" si="715"/>
        <v>0.51763827104957738</v>
      </c>
      <c r="ED227" s="5"/>
      <c r="EE227" s="173">
        <f t="shared" si="716"/>
        <v>0.33438106942301227</v>
      </c>
      <c r="EF227" s="173">
        <f t="shared" si="717"/>
        <v>0.82618655380443162</v>
      </c>
      <c r="EG227" s="173">
        <f t="shared" si="718"/>
        <v>8.2730302212038337E-2</v>
      </c>
      <c r="EH227" s="173"/>
      <c r="EI227" s="528">
        <f t="shared" si="719"/>
        <v>4.4724279835390941E-3</v>
      </c>
      <c r="EJ227" s="528">
        <f t="shared" si="720"/>
        <v>0.35287140066749995</v>
      </c>
      <c r="EK227" s="528">
        <f t="shared" si="721"/>
        <v>2.2007699999999988E-2</v>
      </c>
      <c r="EL227" s="528">
        <f t="shared" si="722"/>
        <v>5.3025643734630923E-2</v>
      </c>
      <c r="EM227">
        <f t="shared" si="723"/>
        <v>1.6199999999999999E-2</v>
      </c>
      <c r="EN227" s="460">
        <f t="shared" si="724"/>
        <v>38.207699999999981</v>
      </c>
      <c r="EP227" s="460">
        <f t="shared" si="725"/>
        <v>448.57717238566988</v>
      </c>
      <c r="EQ227" s="173">
        <f t="shared" si="726"/>
        <v>7.6999999999999999E-2</v>
      </c>
      <c r="ER227" s="173">
        <f t="shared" si="688"/>
        <v>6.8200000000000005E-3</v>
      </c>
      <c r="ES227" s="528"/>
      <c r="EU227" s="460">
        <f t="shared" si="727"/>
        <v>83.820000000000007</v>
      </c>
      <c r="EV227" s="528">
        <f t="shared" si="728"/>
        <v>3.3543209876543204E-3</v>
      </c>
      <c r="EW227" s="528">
        <f t="shared" si="729"/>
        <v>2.0477526650617289E-2</v>
      </c>
      <c r="EX227" s="528">
        <f t="shared" si="730"/>
        <v>3.4221514520475979E-5</v>
      </c>
      <c r="EY227" s="528">
        <f t="shared" si="731"/>
        <v>4.6752019347467005E-2</v>
      </c>
      <c r="EZ227" s="528"/>
      <c r="FA227" s="625">
        <f t="shared" si="732"/>
        <v>0.10867999999999998</v>
      </c>
      <c r="FB227" s="460">
        <f t="shared" si="733"/>
        <v>179.29808850025907</v>
      </c>
      <c r="FC227" s="173">
        <f t="shared" si="734"/>
        <v>0.71169526088592905</v>
      </c>
      <c r="FD227" s="5">
        <f t="shared" si="735"/>
        <v>2.8380000000000001</v>
      </c>
      <c r="FE227" s="173">
        <f t="shared" si="736"/>
        <v>0.79950525085122237</v>
      </c>
      <c r="FF227" s="5">
        <f t="shared" si="737"/>
        <v>79.950525085122237</v>
      </c>
      <c r="FG227">
        <f t="shared" si="738"/>
        <v>11</v>
      </c>
      <c r="FI227" s="562">
        <f t="shared" si="689"/>
        <v>-50</v>
      </c>
    </row>
    <row r="228" spans="5:165">
      <c r="E228" s="170">
        <v>12</v>
      </c>
      <c r="F228" s="217">
        <f t="shared" si="690"/>
        <v>0.12</v>
      </c>
      <c r="G228" s="217">
        <f t="shared" si="617"/>
        <v>1.2E-2</v>
      </c>
      <c r="H228" s="217">
        <f t="shared" si="618"/>
        <v>2.88</v>
      </c>
      <c r="I228" s="217">
        <f t="shared" si="619"/>
        <v>0.216</v>
      </c>
      <c r="J228" s="541">
        <f t="shared" si="620"/>
        <v>35.902335931666016</v>
      </c>
      <c r="K228" s="443">
        <f t="shared" si="621"/>
        <v>16.489517986529311</v>
      </c>
      <c r="L228" s="172">
        <f t="shared" si="622"/>
        <v>52.391853918195324</v>
      </c>
      <c r="M228" s="443"/>
      <c r="N228" s="217">
        <f t="shared" si="623"/>
        <v>0.31473438623256311</v>
      </c>
      <c r="O228" s="172">
        <f t="shared" si="624"/>
        <v>58.396380691308515</v>
      </c>
      <c r="P228" s="172">
        <f t="shared" si="625"/>
        <v>4.7082081932367492</v>
      </c>
      <c r="Q228" s="217">
        <f t="shared" si="626"/>
        <v>2.4331825288045215</v>
      </c>
      <c r="R228" s="217">
        <f t="shared" si="627"/>
        <v>3.2442433717393619</v>
      </c>
      <c r="S228" s="217">
        <f t="shared" si="628"/>
        <v>24</v>
      </c>
      <c r="T228" s="217">
        <f t="shared" si="629"/>
        <v>0.54797916619450271</v>
      </c>
      <c r="U228" s="217">
        <f t="shared" si="630"/>
        <v>0.15263050494471664</v>
      </c>
      <c r="V228" s="217">
        <f t="shared" si="631"/>
        <v>0.33231969948555212</v>
      </c>
      <c r="W228" s="197">
        <f t="shared" si="632"/>
        <v>350</v>
      </c>
      <c r="X228" s="443">
        <f t="shared" si="691"/>
        <v>350</v>
      </c>
      <c r="Z228" s="217">
        <f t="shared" si="633"/>
        <v>3.228485618219485</v>
      </c>
      <c r="AA228" s="173">
        <f t="shared" si="634"/>
        <v>1.9579017536212484</v>
      </c>
      <c r="AB228" s="173">
        <f t="shared" si="635"/>
        <v>0.68634926009236363</v>
      </c>
      <c r="AC228" s="173"/>
      <c r="AD228" s="173">
        <f t="shared" si="636"/>
        <v>1.3476574779430244</v>
      </c>
      <c r="AE228" s="545">
        <f t="shared" si="637"/>
        <v>120.14851186586571</v>
      </c>
      <c r="AF228" s="528">
        <f t="shared" si="638"/>
        <v>0.34956737580644337</v>
      </c>
      <c r="AH228" s="173">
        <f t="shared" si="639"/>
        <v>1.3300912965442848</v>
      </c>
      <c r="AI228" s="173">
        <f t="shared" si="640"/>
        <v>2.2222222222222223</v>
      </c>
      <c r="AJ228" s="173">
        <f t="shared" si="641"/>
        <v>1.0686562924947804</v>
      </c>
      <c r="AL228" s="545">
        <f t="shared" si="642"/>
        <v>120</v>
      </c>
      <c r="AM228" s="460">
        <f t="shared" si="643"/>
        <v>120.14851186586571</v>
      </c>
      <c r="AO228">
        <f t="shared" si="644"/>
        <v>120</v>
      </c>
      <c r="AP228">
        <f t="shared" si="645"/>
        <v>120.14851186586571</v>
      </c>
      <c r="AR228" s="5">
        <f t="shared" si="616"/>
        <v>8.3230327572962697</v>
      </c>
      <c r="AS228" s="5">
        <f t="shared" si="604"/>
        <v>0.61896312999016123</v>
      </c>
      <c r="AT228" s="5">
        <f t="shared" si="605"/>
        <v>7.704069627306108</v>
      </c>
      <c r="AU228" s="173">
        <f t="shared" si="606"/>
        <v>7.4367498968156281E-2</v>
      </c>
      <c r="BA228" s="173">
        <f t="shared" si="692"/>
        <v>0.3498794594736509</v>
      </c>
      <c r="BB228" s="173">
        <f t="shared" si="693"/>
        <v>0.82332630351530389</v>
      </c>
      <c r="BC228" s="173">
        <f t="shared" si="694"/>
        <v>8.2443890662816224E-2</v>
      </c>
      <c r="BD228" s="173"/>
      <c r="BE228" s="528">
        <f t="shared" si="695"/>
        <v>4.8966254464629646E-3</v>
      </c>
      <c r="BF228" s="528">
        <f t="shared" si="646"/>
        <v>0.31474016410824968</v>
      </c>
      <c r="BG228" s="528">
        <f t="shared" si="647"/>
        <v>0.17254448938792286</v>
      </c>
      <c r="BH228" s="528">
        <f t="shared" si="696"/>
        <v>5.7714372450518844E-2</v>
      </c>
      <c r="BI228">
        <f t="shared" si="697"/>
        <v>1.6156051169249706E-2</v>
      </c>
      <c r="BJ228" s="460">
        <f t="shared" si="698"/>
        <v>188.70054055717256</v>
      </c>
      <c r="BK228">
        <f t="shared" si="648"/>
        <v>0.37911432696824354</v>
      </c>
      <c r="BL228" s="460">
        <f t="shared" si="699"/>
        <v>566.05170256240399</v>
      </c>
      <c r="BM228" s="173">
        <f t="shared" si="649"/>
        <v>0.10415999999999999</v>
      </c>
      <c r="BN228" s="173">
        <f t="shared" si="650"/>
        <v>7.4400000000000004E-3</v>
      </c>
      <c r="BQ228" s="460">
        <f t="shared" si="700"/>
        <v>111.6</v>
      </c>
      <c r="BR228" s="528">
        <f t="shared" si="701"/>
        <v>3.6724690848472237E-3</v>
      </c>
      <c r="BS228" s="528">
        <f t="shared" si="702"/>
        <v>2.0335986061805228E-2</v>
      </c>
      <c r="BT228" s="528">
        <f t="shared" si="703"/>
        <v>3.398497553811198E-5</v>
      </c>
      <c r="BU228" s="528">
        <f t="shared" si="704"/>
        <v>5.8241789468669099E-2</v>
      </c>
      <c r="BV228" s="528"/>
      <c r="BW228" s="625">
        <f t="shared" si="705"/>
        <v>0.11866519690455876</v>
      </c>
      <c r="BX228" s="460">
        <f t="shared" si="706"/>
        <v>200.94942649541841</v>
      </c>
      <c r="BY228" s="173">
        <f t="shared" si="707"/>
        <v>0.87860112905782239</v>
      </c>
      <c r="BZ228" s="5">
        <f t="shared" si="708"/>
        <v>3.0960000000000001</v>
      </c>
      <c r="CA228" s="173">
        <f t="shared" si="709"/>
        <v>0.77894608778866459</v>
      </c>
      <c r="CB228" s="5">
        <f t="shared" si="710"/>
        <v>77.894608778866456</v>
      </c>
      <c r="CC228">
        <f t="shared" si="711"/>
        <v>12</v>
      </c>
      <c r="CE228" s="562">
        <f t="shared" si="651"/>
        <v>-50</v>
      </c>
      <c r="CG228" s="173">
        <f t="shared" si="652"/>
        <v>0.16426338847592056</v>
      </c>
      <c r="CH228" s="173">
        <f t="shared" si="653"/>
        <v>4.4924672603216559E-2</v>
      </c>
      <c r="CI228" s="170">
        <v>12</v>
      </c>
      <c r="CJ228" s="217">
        <f t="shared" si="712"/>
        <v>0.12</v>
      </c>
      <c r="CK228" s="217">
        <f t="shared" si="654"/>
        <v>1.2E-2</v>
      </c>
      <c r="CL228" s="217">
        <f t="shared" si="655"/>
        <v>2.88</v>
      </c>
      <c r="CM228" s="217">
        <f t="shared" si="656"/>
        <v>0.216</v>
      </c>
      <c r="CN228" s="541">
        <f t="shared" si="657"/>
        <v>36</v>
      </c>
      <c r="CO228" s="443">
        <f t="shared" si="658"/>
        <v>16.474900000000002</v>
      </c>
      <c r="CP228" s="443">
        <f t="shared" si="659"/>
        <v>52.474900000000005</v>
      </c>
      <c r="CQ228" s="443"/>
      <c r="CR228" s="217">
        <f t="shared" si="660"/>
        <v>0.31220924123305599</v>
      </c>
      <c r="CS228" s="172">
        <f t="shared" si="661"/>
        <v>58.085440229405762</v>
      </c>
      <c r="CT228" s="172">
        <f t="shared" si="662"/>
        <v>4.683138618495839</v>
      </c>
      <c r="CU228" s="217">
        <f t="shared" si="663"/>
        <v>2.4202266762252402</v>
      </c>
      <c r="CV228" s="217">
        <f t="shared" si="664"/>
        <v>3.2269689016336534</v>
      </c>
      <c r="CW228" s="217">
        <f t="shared" si="665"/>
        <v>24</v>
      </c>
      <c r="CX228" s="217">
        <f t="shared" si="666"/>
        <v>0.55091258452406455</v>
      </c>
      <c r="CY228" s="217">
        <f t="shared" si="667"/>
        <v>0.15303127347890685</v>
      </c>
      <c r="CZ228" s="217">
        <f t="shared" si="668"/>
        <v>0.33439510074359452</v>
      </c>
      <c r="DA228" s="197">
        <f t="shared" si="669"/>
        <v>350</v>
      </c>
      <c r="DB228" s="443">
        <f t="shared" si="670"/>
        <v>350</v>
      </c>
      <c r="DD228" s="217">
        <f t="shared" si="671"/>
        <v>3.2292794133140656</v>
      </c>
      <c r="DE228" s="173">
        <f t="shared" si="672"/>
        <v>1.9601207978889497</v>
      </c>
      <c r="DF228" s="173">
        <f t="shared" si="673"/>
        <v>0.6872960992823488</v>
      </c>
      <c r="DG228" s="173"/>
      <c r="DH228" s="173">
        <f t="shared" si="674"/>
        <v>1.3488532386977903</v>
      </c>
      <c r="DI228" s="545">
        <f t="shared" si="675"/>
        <v>120.04199999999996</v>
      </c>
      <c r="DJ228" s="528">
        <f t="shared" si="676"/>
        <v>0.34987754285999911</v>
      </c>
      <c r="DL228" s="173">
        <f t="shared" si="677"/>
        <v>1.3300912965442848</v>
      </c>
      <c r="DM228" s="173">
        <f t="shared" si="678"/>
        <v>2.2222222222222223</v>
      </c>
      <c r="DN228" s="173">
        <f t="shared" si="679"/>
        <v>1.0685954285714285</v>
      </c>
      <c r="DP228" s="545">
        <f t="shared" si="680"/>
        <v>120</v>
      </c>
      <c r="DQ228" s="460">
        <f t="shared" si="681"/>
        <v>120.04199999999996</v>
      </c>
      <c r="DS228">
        <f t="shared" si="682"/>
        <v>120</v>
      </c>
      <c r="DT228">
        <f t="shared" si="683"/>
        <v>120.04199999999996</v>
      </c>
      <c r="DV228" s="5">
        <f t="shared" si="684"/>
        <v>8.3304176871428357</v>
      </c>
      <c r="DW228" s="5">
        <f t="shared" si="685"/>
        <v>0.61728395061728403</v>
      </c>
      <c r="DX228" s="5">
        <f t="shared" si="686"/>
        <v>7.7131337365255517</v>
      </c>
      <c r="DY228" s="173">
        <f t="shared" si="687"/>
        <v>7.4099999999999985E-2</v>
      </c>
      <c r="EA228" s="5">
        <f t="shared" si="713"/>
        <v>0.30864197530864201</v>
      </c>
      <c r="EB228" s="5">
        <f t="shared" si="714"/>
        <v>4.1152263374485597E-2</v>
      </c>
      <c r="EC228" s="5">
        <f t="shared" si="715"/>
        <v>0.51420891576837002</v>
      </c>
      <c r="ED228" s="5"/>
      <c r="EE228" s="173">
        <f t="shared" si="716"/>
        <v>0.34924963656670466</v>
      </c>
      <c r="EF228" s="173">
        <f t="shared" si="717"/>
        <v>0.82344526164769527</v>
      </c>
      <c r="EG228" s="173">
        <f t="shared" si="718"/>
        <v>8.2455802551478663E-2</v>
      </c>
      <c r="EH228" s="173"/>
      <c r="EI228" s="528">
        <f t="shared" si="719"/>
        <v>4.8790123456790117E-3</v>
      </c>
      <c r="EJ228" s="528">
        <f t="shared" si="720"/>
        <v>0.38495061890999999</v>
      </c>
      <c r="EK228" s="528">
        <f t="shared" si="721"/>
        <v>2.4008399999999992E-2</v>
      </c>
      <c r="EL228" s="528">
        <f t="shared" si="722"/>
        <v>5.7846156801415555E-2</v>
      </c>
      <c r="EM228">
        <f t="shared" si="723"/>
        <v>1.6199999999999999E-2</v>
      </c>
      <c r="EN228" s="460">
        <f t="shared" si="724"/>
        <v>40.20839999999999</v>
      </c>
      <c r="EP228" s="460">
        <f t="shared" si="725"/>
        <v>487.88418805709455</v>
      </c>
      <c r="EQ228" s="173">
        <f t="shared" si="726"/>
        <v>8.3999999999999991E-2</v>
      </c>
      <c r="ER228" s="173">
        <f t="shared" si="688"/>
        <v>7.4400000000000004E-3</v>
      </c>
      <c r="ES228" s="528"/>
      <c r="EU228" s="460">
        <f t="shared" si="727"/>
        <v>91.44</v>
      </c>
      <c r="EV228" s="528">
        <f t="shared" si="728"/>
        <v>3.6592592592592584E-3</v>
      </c>
      <c r="EW228" s="528">
        <f t="shared" si="729"/>
        <v>2.0341862967901241E-2</v>
      </c>
      <c r="EX228" s="528">
        <f t="shared" si="730"/>
        <v>3.3994796872042175E-5</v>
      </c>
      <c r="EY228" s="528">
        <f t="shared" si="731"/>
        <v>5.8112796656784649E-2</v>
      </c>
      <c r="EZ228" s="528"/>
      <c r="FA228" s="625">
        <f t="shared" si="732"/>
        <v>0.11855999999999998</v>
      </c>
      <c r="FB228" s="460">
        <f t="shared" si="733"/>
        <v>200.7079136808172</v>
      </c>
      <c r="FC228" s="173">
        <f t="shared" si="734"/>
        <v>0.78003210173791171</v>
      </c>
      <c r="FD228" s="5">
        <f t="shared" si="735"/>
        <v>3.0960000000000001</v>
      </c>
      <c r="FE228" s="173">
        <f t="shared" si="736"/>
        <v>0.79875499447278431</v>
      </c>
      <c r="FF228" s="5">
        <f t="shared" si="737"/>
        <v>79.875499447278429</v>
      </c>
      <c r="FG228">
        <f t="shared" si="738"/>
        <v>12</v>
      </c>
      <c r="FI228" s="562">
        <f t="shared" si="689"/>
        <v>-50</v>
      </c>
    </row>
    <row r="229" spans="5:165">
      <c r="E229" s="170">
        <v>13</v>
      </c>
      <c r="F229" s="217">
        <f t="shared" si="690"/>
        <v>0.13</v>
      </c>
      <c r="G229" s="217">
        <f t="shared" si="617"/>
        <v>1.3000000000000001E-2</v>
      </c>
      <c r="H229" s="217">
        <f t="shared" si="618"/>
        <v>3.12</v>
      </c>
      <c r="I229" s="217">
        <f t="shared" si="619"/>
        <v>0.23400000000000001</v>
      </c>
      <c r="J229" s="541">
        <f t="shared" si="620"/>
        <v>35.902335931666016</v>
      </c>
      <c r="K229" s="443">
        <f t="shared" si="621"/>
        <v>16.489517986529311</v>
      </c>
      <c r="L229" s="172">
        <f t="shared" si="622"/>
        <v>52.391853918195324</v>
      </c>
      <c r="M229" s="443"/>
      <c r="N229" s="217">
        <f t="shared" si="623"/>
        <v>0.31473438623256311</v>
      </c>
      <c r="O229" s="172">
        <f t="shared" si="624"/>
        <v>58.396380691308515</v>
      </c>
      <c r="P229" s="172">
        <f t="shared" si="625"/>
        <v>4.7082081932367492</v>
      </c>
      <c r="Q229" s="217">
        <f t="shared" si="626"/>
        <v>2.4331825288045215</v>
      </c>
      <c r="R229" s="217">
        <f t="shared" si="627"/>
        <v>3.2442433717393619</v>
      </c>
      <c r="S229" s="217">
        <f t="shared" si="628"/>
        <v>24</v>
      </c>
      <c r="T229" s="217">
        <f t="shared" si="629"/>
        <v>0.59364409671071117</v>
      </c>
      <c r="U229" s="217">
        <f t="shared" si="630"/>
        <v>0.16534971369010967</v>
      </c>
      <c r="V229" s="217">
        <f t="shared" si="631"/>
        <v>0.36001300777601475</v>
      </c>
      <c r="W229" s="197">
        <f t="shared" si="632"/>
        <v>350</v>
      </c>
      <c r="X229" s="443">
        <f t="shared" si="691"/>
        <v>350</v>
      </c>
      <c r="Z229" s="217">
        <f t="shared" si="633"/>
        <v>3.228485618219485</v>
      </c>
      <c r="AA229" s="173">
        <f t="shared" si="634"/>
        <v>1.9579017536212484</v>
      </c>
      <c r="AB229" s="173">
        <f t="shared" si="635"/>
        <v>0.68634926009236363</v>
      </c>
      <c r="AC229" s="173"/>
      <c r="AD229" s="173">
        <f t="shared" si="636"/>
        <v>1.3476574779430244</v>
      </c>
      <c r="AE229" s="545">
        <f t="shared" si="637"/>
        <v>130.16088785468787</v>
      </c>
      <c r="AF229" s="528">
        <f t="shared" si="638"/>
        <v>0.34956737580644337</v>
      </c>
      <c r="AH229" s="173">
        <f t="shared" si="639"/>
        <v>1.3844029141010317</v>
      </c>
      <c r="AI229" s="173">
        <f t="shared" si="640"/>
        <v>2.2222222222222223</v>
      </c>
      <c r="AJ229" s="173">
        <f t="shared" si="641"/>
        <v>1.0743776502026787</v>
      </c>
      <c r="AL229" s="545">
        <f t="shared" si="642"/>
        <v>130</v>
      </c>
      <c r="AM229" s="460">
        <f t="shared" si="643"/>
        <v>130.16088785468787</v>
      </c>
      <c r="AO229">
        <f t="shared" si="644"/>
        <v>130</v>
      </c>
      <c r="AP229">
        <f t="shared" si="645"/>
        <v>130.16088785468787</v>
      </c>
      <c r="AR229" s="5">
        <f t="shared" si="616"/>
        <v>7.6827994682734797</v>
      </c>
      <c r="AS229" s="5">
        <f t="shared" si="604"/>
        <v>0.61896312999016123</v>
      </c>
      <c r="AT229" s="5">
        <f t="shared" si="605"/>
        <v>7.063836338283318</v>
      </c>
      <c r="AU229" s="173">
        <f t="shared" si="606"/>
        <v>8.0564790548835974E-2</v>
      </c>
      <c r="BA229" s="173">
        <f t="shared" si="692"/>
        <v>0.3641660873489439</v>
      </c>
      <c r="BB229" s="173">
        <f t="shared" si="693"/>
        <v>0.82056550900206449</v>
      </c>
      <c r="BC229" s="173">
        <f t="shared" si="694"/>
        <v>8.2167438131152667E-2</v>
      </c>
      <c r="BD229" s="173"/>
      <c r="BE229" s="528">
        <f t="shared" si="695"/>
        <v>5.3046775670015454E-3</v>
      </c>
      <c r="BF229" s="528">
        <f t="shared" si="646"/>
        <v>0.34096851111727056</v>
      </c>
      <c r="BG229" s="528">
        <f t="shared" si="647"/>
        <v>0.18692319683691644</v>
      </c>
      <c r="BH229" s="528">
        <f t="shared" si="696"/>
        <v>6.2523903488062083E-2</v>
      </c>
      <c r="BI229">
        <f t="shared" si="697"/>
        <v>1.6156051169249706E-2</v>
      </c>
      <c r="BJ229" s="460">
        <f t="shared" si="698"/>
        <v>203.07924800616615</v>
      </c>
      <c r="BK229">
        <f t="shared" si="648"/>
        <v>0.41074705716971605</v>
      </c>
      <c r="BL229" s="460">
        <f t="shared" si="699"/>
        <v>611.87634017850019</v>
      </c>
      <c r="BM229" s="173">
        <f t="shared" si="649"/>
        <v>0.11284</v>
      </c>
      <c r="BN229" s="173">
        <f t="shared" si="650"/>
        <v>8.0600000000000012E-3</v>
      </c>
      <c r="BQ229" s="460">
        <f t="shared" si="700"/>
        <v>120.89999999999999</v>
      </c>
      <c r="BR229" s="528">
        <f t="shared" si="701"/>
        <v>3.9785081752511595E-3</v>
      </c>
      <c r="BS229" s="528">
        <f t="shared" si="702"/>
        <v>2.0199832636914515E-2</v>
      </c>
      <c r="BT229" s="528">
        <f t="shared" si="703"/>
        <v>3.3757439445184006E-5</v>
      </c>
      <c r="BU229" s="528">
        <f t="shared" si="704"/>
        <v>7.1144277908207723E-2</v>
      </c>
      <c r="BV229" s="528"/>
      <c r="BW229" s="625">
        <f t="shared" si="705"/>
        <v>0.12855396331327201</v>
      </c>
      <c r="BX229" s="460">
        <f t="shared" si="706"/>
        <v>223.91033947309057</v>
      </c>
      <c r="BY229" s="173">
        <f t="shared" si="707"/>
        <v>0.95668667965159071</v>
      </c>
      <c r="BZ229" s="5">
        <f t="shared" si="708"/>
        <v>3.3540000000000001</v>
      </c>
      <c r="CA229" s="173">
        <f t="shared" si="709"/>
        <v>0.77806629181202414</v>
      </c>
      <c r="CB229" s="5">
        <f t="shared" si="710"/>
        <v>77.80662918120241</v>
      </c>
      <c r="CC229">
        <f t="shared" si="711"/>
        <v>13</v>
      </c>
      <c r="CE229" s="562">
        <f t="shared" si="651"/>
        <v>-50</v>
      </c>
      <c r="CG229" s="173">
        <f t="shared" si="652"/>
        <v>0.1779520041822473</v>
      </c>
      <c r="CH229" s="173">
        <f t="shared" si="653"/>
        <v>4.8668395320151277E-2</v>
      </c>
      <c r="CI229" s="170">
        <v>13</v>
      </c>
      <c r="CJ229" s="217">
        <f t="shared" si="712"/>
        <v>0.13</v>
      </c>
      <c r="CK229" s="217">
        <f t="shared" si="654"/>
        <v>1.3000000000000001E-2</v>
      </c>
      <c r="CL229" s="217">
        <f t="shared" si="655"/>
        <v>3.12</v>
      </c>
      <c r="CM229" s="217">
        <f t="shared" si="656"/>
        <v>0.23400000000000001</v>
      </c>
      <c r="CN229" s="541">
        <f t="shared" si="657"/>
        <v>36</v>
      </c>
      <c r="CO229" s="443">
        <f t="shared" si="658"/>
        <v>16.474900000000002</v>
      </c>
      <c r="CP229" s="443">
        <f t="shared" si="659"/>
        <v>52.474900000000005</v>
      </c>
      <c r="CQ229" s="443"/>
      <c r="CR229" s="217">
        <f t="shared" si="660"/>
        <v>0.31220924123305599</v>
      </c>
      <c r="CS229" s="172">
        <f t="shared" si="661"/>
        <v>58.085440229405762</v>
      </c>
      <c r="CT229" s="172">
        <f t="shared" si="662"/>
        <v>4.683138618495839</v>
      </c>
      <c r="CU229" s="217">
        <f t="shared" si="663"/>
        <v>2.4202266762252402</v>
      </c>
      <c r="CV229" s="217">
        <f t="shared" si="664"/>
        <v>3.2269689016336534</v>
      </c>
      <c r="CW229" s="217">
        <f t="shared" si="665"/>
        <v>24</v>
      </c>
      <c r="CX229" s="217">
        <f t="shared" si="666"/>
        <v>0.59682196656773656</v>
      </c>
      <c r="CY229" s="217">
        <f t="shared" si="667"/>
        <v>0.16578387960214905</v>
      </c>
      <c r="CZ229" s="217">
        <f t="shared" si="668"/>
        <v>0.36226135913889407</v>
      </c>
      <c r="DA229" s="197">
        <f t="shared" si="669"/>
        <v>350</v>
      </c>
      <c r="DB229" s="443">
        <f t="shared" si="670"/>
        <v>350</v>
      </c>
      <c r="DD229" s="217">
        <f t="shared" si="671"/>
        <v>3.2292794133140656</v>
      </c>
      <c r="DE229" s="173">
        <f t="shared" si="672"/>
        <v>1.9601207978889497</v>
      </c>
      <c r="DF229" s="173">
        <f t="shared" si="673"/>
        <v>0.6872960992823488</v>
      </c>
      <c r="DG229" s="173"/>
      <c r="DH229" s="173">
        <f t="shared" si="674"/>
        <v>1.3488532386977903</v>
      </c>
      <c r="DI229" s="545">
        <f t="shared" si="675"/>
        <v>130.04549999999995</v>
      </c>
      <c r="DJ229" s="528">
        <f t="shared" si="676"/>
        <v>0.34987754285999911</v>
      </c>
      <c r="DL229" s="173">
        <f t="shared" si="677"/>
        <v>1.3844029141010317</v>
      </c>
      <c r="DM229" s="173">
        <f t="shared" si="678"/>
        <v>2.2222222222222223</v>
      </c>
      <c r="DN229" s="173">
        <f t="shared" si="679"/>
        <v>1.0743117142857144</v>
      </c>
      <c r="DP229" s="545">
        <f t="shared" si="680"/>
        <v>130</v>
      </c>
      <c r="DQ229" s="460">
        <f t="shared" si="681"/>
        <v>130.04549999999995</v>
      </c>
      <c r="DS229">
        <f t="shared" si="682"/>
        <v>130</v>
      </c>
      <c r="DT229">
        <f t="shared" si="683"/>
        <v>130.04549999999995</v>
      </c>
      <c r="DV229" s="5">
        <f t="shared" si="684"/>
        <v>7.6896163265933879</v>
      </c>
      <c r="DW229" s="5">
        <f t="shared" si="685"/>
        <v>0.61728395061728403</v>
      </c>
      <c r="DX229" s="5">
        <f t="shared" si="686"/>
        <v>7.0723323759761039</v>
      </c>
      <c r="DY229" s="173">
        <f t="shared" si="687"/>
        <v>8.0274999999999971E-2</v>
      </c>
      <c r="EA229" s="5">
        <f t="shared" si="713"/>
        <v>0.33436213991769553</v>
      </c>
      <c r="EB229" s="5">
        <f t="shared" si="714"/>
        <v>4.458161865569274E-2</v>
      </c>
      <c r="EC229" s="5">
        <f t="shared" si="715"/>
        <v>0.510779560487163</v>
      </c>
      <c r="ED229" s="5"/>
      <c r="EE229" s="173">
        <f t="shared" si="716"/>
        <v>0.36351054688340645</v>
      </c>
      <c r="EF229" s="173">
        <f t="shared" si="717"/>
        <v>0.82069481305345138</v>
      </c>
      <c r="EG229" s="173">
        <f t="shared" si="718"/>
        <v>8.2180386009811798E-2</v>
      </c>
      <c r="EH229" s="173"/>
      <c r="EI229" s="528">
        <f t="shared" si="719"/>
        <v>5.2855967078189294E-3</v>
      </c>
      <c r="EJ229" s="528">
        <f t="shared" si="720"/>
        <v>0.41702983715249992</v>
      </c>
      <c r="EK229" s="528">
        <f t="shared" si="721"/>
        <v>2.6009099999999986E-2</v>
      </c>
      <c r="EL229" s="528">
        <f t="shared" si="722"/>
        <v>6.2666669868200187E-2</v>
      </c>
      <c r="EM229">
        <f t="shared" si="723"/>
        <v>1.6199999999999999E-2</v>
      </c>
      <c r="EN229" s="460">
        <f t="shared" si="724"/>
        <v>42.209099999999985</v>
      </c>
      <c r="EP229" s="460">
        <f t="shared" si="725"/>
        <v>527.19120372851899</v>
      </c>
      <c r="EQ229" s="173">
        <f t="shared" si="726"/>
        <v>9.0999999999999998E-2</v>
      </c>
      <c r="ER229" s="173">
        <f t="shared" si="688"/>
        <v>8.0600000000000012E-3</v>
      </c>
      <c r="ES229" s="528"/>
      <c r="EU229" s="460">
        <f t="shared" si="727"/>
        <v>99.06</v>
      </c>
      <c r="EV229" s="528">
        <f t="shared" si="728"/>
        <v>3.9641975308641964E-3</v>
      </c>
      <c r="EW229" s="528">
        <f t="shared" si="729"/>
        <v>2.0206199285185186E-2</v>
      </c>
      <c r="EX229" s="528">
        <f t="shared" si="730"/>
        <v>3.3768079223608352E-5</v>
      </c>
      <c r="EY229" s="528">
        <f t="shared" si="731"/>
        <v>7.0986708909374016E-2</v>
      </c>
      <c r="EZ229" s="528"/>
      <c r="FA229" s="625">
        <f t="shared" si="732"/>
        <v>0.12843999999999997</v>
      </c>
      <c r="FB229" s="460">
        <f t="shared" si="733"/>
        <v>223.63087380464697</v>
      </c>
      <c r="FC229" s="173">
        <f t="shared" si="734"/>
        <v>0.84988207753316591</v>
      </c>
      <c r="FD229" s="5">
        <f t="shared" si="735"/>
        <v>3.3540000000000001</v>
      </c>
      <c r="FE229" s="173">
        <f t="shared" si="736"/>
        <v>0.79783398728637134</v>
      </c>
      <c r="FF229" s="5">
        <f t="shared" si="737"/>
        <v>79.783398728637138</v>
      </c>
      <c r="FG229">
        <f t="shared" si="738"/>
        <v>13</v>
      </c>
      <c r="FI229" s="562">
        <f t="shared" si="689"/>
        <v>-50</v>
      </c>
    </row>
    <row r="230" spans="5:165">
      <c r="E230" s="170">
        <v>14</v>
      </c>
      <c r="F230" s="217">
        <f t="shared" si="690"/>
        <v>0.14000000000000001</v>
      </c>
      <c r="G230" s="217">
        <f t="shared" si="617"/>
        <v>1.4000000000000002E-2</v>
      </c>
      <c r="H230" s="217">
        <f t="shared" si="618"/>
        <v>3.3600000000000003</v>
      </c>
      <c r="I230" s="217">
        <f t="shared" si="619"/>
        <v>0.25200000000000006</v>
      </c>
      <c r="J230" s="541">
        <f t="shared" si="620"/>
        <v>35.902335931666016</v>
      </c>
      <c r="K230" s="443">
        <f t="shared" si="621"/>
        <v>16.489517986529311</v>
      </c>
      <c r="L230" s="172">
        <f t="shared" si="622"/>
        <v>52.391853918195324</v>
      </c>
      <c r="M230" s="443"/>
      <c r="N230" s="217">
        <f t="shared" si="623"/>
        <v>0.31473438623256311</v>
      </c>
      <c r="O230" s="172">
        <f t="shared" si="624"/>
        <v>58.396380691308515</v>
      </c>
      <c r="P230" s="172">
        <f t="shared" si="625"/>
        <v>4.7082081932367492</v>
      </c>
      <c r="Q230" s="217">
        <f t="shared" si="626"/>
        <v>2.4331825288045215</v>
      </c>
      <c r="R230" s="217">
        <f t="shared" si="627"/>
        <v>3.2442433717393619</v>
      </c>
      <c r="S230" s="217">
        <f t="shared" si="628"/>
        <v>24</v>
      </c>
      <c r="T230" s="217">
        <f t="shared" si="629"/>
        <v>0.63930902722691985</v>
      </c>
      <c r="U230" s="217">
        <f t="shared" si="630"/>
        <v>0.17806892243550274</v>
      </c>
      <c r="V230" s="217">
        <f t="shared" si="631"/>
        <v>0.38770631606647754</v>
      </c>
      <c r="W230" s="197">
        <f t="shared" si="632"/>
        <v>350</v>
      </c>
      <c r="X230" s="443">
        <f t="shared" si="691"/>
        <v>350</v>
      </c>
      <c r="Z230" s="217">
        <f t="shared" si="633"/>
        <v>3.228485618219485</v>
      </c>
      <c r="AA230" s="173">
        <f t="shared" si="634"/>
        <v>1.9579017536212484</v>
      </c>
      <c r="AB230" s="173">
        <f t="shared" si="635"/>
        <v>0.68634926009236363</v>
      </c>
      <c r="AC230" s="173"/>
      <c r="AD230" s="173">
        <f t="shared" si="636"/>
        <v>1.3476574779430244</v>
      </c>
      <c r="AE230" s="545">
        <f t="shared" si="637"/>
        <v>140.17326384351</v>
      </c>
      <c r="AF230" s="528">
        <f t="shared" si="638"/>
        <v>0.34956737580644337</v>
      </c>
      <c r="AH230" s="173">
        <f t="shared" si="639"/>
        <v>1.4366627996854378</v>
      </c>
      <c r="AI230" s="173">
        <f t="shared" si="640"/>
        <v>2.2222222222222223</v>
      </c>
      <c r="AJ230" s="173">
        <f t="shared" si="641"/>
        <v>1.0800990079105772</v>
      </c>
      <c r="AL230" s="545">
        <f t="shared" si="642"/>
        <v>140</v>
      </c>
      <c r="AM230" s="460">
        <f t="shared" si="643"/>
        <v>140.17326384351</v>
      </c>
      <c r="AO230">
        <f t="shared" si="644"/>
        <v>140</v>
      </c>
      <c r="AP230">
        <f t="shared" si="645"/>
        <v>140.17326384351</v>
      </c>
      <c r="AR230" s="5">
        <f t="shared" si="616"/>
        <v>7.1340280776825171</v>
      </c>
      <c r="AS230" s="5">
        <f t="shared" si="604"/>
        <v>0.61896312999016123</v>
      </c>
      <c r="AT230" s="5">
        <f t="shared" si="605"/>
        <v>6.5150649476923554</v>
      </c>
      <c r="AU230" s="173">
        <f t="shared" si="606"/>
        <v>8.6762082129515652E-2</v>
      </c>
      <c r="BA230" s="173">
        <f t="shared" si="692"/>
        <v>0.37791300875797218</v>
      </c>
      <c r="BB230" s="173">
        <f t="shared" si="693"/>
        <v>0.81779539437897308</v>
      </c>
      <c r="BC230" s="173">
        <f t="shared" si="694"/>
        <v>8.18900523290296E-2</v>
      </c>
      <c r="BD230" s="173"/>
      <c r="BE230" s="528">
        <f t="shared" si="695"/>
        <v>5.712729687540127E-3</v>
      </c>
      <c r="BF230" s="528">
        <f t="shared" si="646"/>
        <v>0.36719685812629133</v>
      </c>
      <c r="BG230" s="528">
        <f t="shared" si="647"/>
        <v>0.20130190428590999</v>
      </c>
      <c r="BH230" s="528">
        <f t="shared" si="696"/>
        <v>6.7333434525605321E-2</v>
      </c>
      <c r="BI230">
        <f t="shared" si="697"/>
        <v>1.6156051169249706E-2</v>
      </c>
      <c r="BJ230" s="460">
        <f t="shared" si="698"/>
        <v>217.45795545515969</v>
      </c>
      <c r="BK230">
        <f t="shared" si="648"/>
        <v>0.44238592949598154</v>
      </c>
      <c r="BL230" s="460">
        <f t="shared" si="699"/>
        <v>657.7009777945965</v>
      </c>
      <c r="BM230" s="173">
        <f t="shared" si="649"/>
        <v>0.12152</v>
      </c>
      <c r="BN230" s="173">
        <f t="shared" si="650"/>
        <v>8.680000000000002E-3</v>
      </c>
      <c r="BQ230" s="460">
        <f t="shared" si="700"/>
        <v>130.20000000000002</v>
      </c>
      <c r="BR230" s="528">
        <f t="shared" si="701"/>
        <v>4.2845472656550948E-3</v>
      </c>
      <c r="BS230" s="528">
        <f t="shared" si="702"/>
        <v>2.0063679212023802E-2</v>
      </c>
      <c r="BT230" s="528">
        <f t="shared" si="703"/>
        <v>3.3529903352256033E-5</v>
      </c>
      <c r="BU230" s="528">
        <f t="shared" si="704"/>
        <v>8.5625216817257321E-2</v>
      </c>
      <c r="BV230" s="528"/>
      <c r="BW230" s="625">
        <f t="shared" si="705"/>
        <v>0.13844272972198521</v>
      </c>
      <c r="BX230" s="460">
        <f t="shared" si="706"/>
        <v>248.44970292027369</v>
      </c>
      <c r="BY230" s="173">
        <f t="shared" si="707"/>
        <v>1.0363506807148701</v>
      </c>
      <c r="BZ230" s="5">
        <f t="shared" si="708"/>
        <v>3.6120000000000005</v>
      </c>
      <c r="CA230" s="173">
        <f t="shared" si="709"/>
        <v>0.77704980714675986</v>
      </c>
      <c r="CB230" s="5">
        <f t="shared" si="710"/>
        <v>77.704980714675983</v>
      </c>
      <c r="CC230">
        <f t="shared" si="711"/>
        <v>14.000000000000002</v>
      </c>
      <c r="CE230" s="562">
        <f t="shared" si="651"/>
        <v>-50</v>
      </c>
      <c r="CG230" s="173">
        <f t="shared" si="652"/>
        <v>0.19164061988857403</v>
      </c>
      <c r="CH230" s="173">
        <f t="shared" si="653"/>
        <v>5.2412118037085995E-2</v>
      </c>
      <c r="CI230" s="170">
        <v>14</v>
      </c>
      <c r="CJ230" s="217">
        <f t="shared" si="712"/>
        <v>0.14000000000000001</v>
      </c>
      <c r="CK230" s="217">
        <f t="shared" si="654"/>
        <v>1.4000000000000002E-2</v>
      </c>
      <c r="CL230" s="217">
        <f t="shared" si="655"/>
        <v>3.3600000000000003</v>
      </c>
      <c r="CM230" s="217">
        <f t="shared" si="656"/>
        <v>0.25200000000000006</v>
      </c>
      <c r="CN230" s="541">
        <f t="shared" si="657"/>
        <v>36</v>
      </c>
      <c r="CO230" s="443">
        <f t="shared" si="658"/>
        <v>16.474900000000002</v>
      </c>
      <c r="CP230" s="443">
        <f t="shared" si="659"/>
        <v>52.474900000000005</v>
      </c>
      <c r="CQ230" s="443"/>
      <c r="CR230" s="217">
        <f t="shared" si="660"/>
        <v>0.31220924123305599</v>
      </c>
      <c r="CS230" s="172">
        <f t="shared" si="661"/>
        <v>58.085440229405762</v>
      </c>
      <c r="CT230" s="172">
        <f t="shared" si="662"/>
        <v>4.683138618495839</v>
      </c>
      <c r="CU230" s="217">
        <f t="shared" si="663"/>
        <v>2.4202266762252402</v>
      </c>
      <c r="CV230" s="217">
        <f t="shared" si="664"/>
        <v>3.2269689016336534</v>
      </c>
      <c r="CW230" s="217">
        <f t="shared" si="665"/>
        <v>24</v>
      </c>
      <c r="CX230" s="217">
        <f t="shared" si="666"/>
        <v>0.64273134861140868</v>
      </c>
      <c r="CY230" s="217">
        <f t="shared" si="667"/>
        <v>0.1785364857253913</v>
      </c>
      <c r="CZ230" s="217">
        <f t="shared" si="668"/>
        <v>0.39012761753419362</v>
      </c>
      <c r="DA230" s="197">
        <f t="shared" si="669"/>
        <v>350</v>
      </c>
      <c r="DB230" s="443">
        <f t="shared" si="670"/>
        <v>350</v>
      </c>
      <c r="DD230" s="217">
        <f t="shared" si="671"/>
        <v>3.2292794133140656</v>
      </c>
      <c r="DE230" s="173">
        <f t="shared" si="672"/>
        <v>1.9601207978889497</v>
      </c>
      <c r="DF230" s="173">
        <f t="shared" si="673"/>
        <v>0.6872960992823488</v>
      </c>
      <c r="DG230" s="173"/>
      <c r="DH230" s="173">
        <f t="shared" si="674"/>
        <v>1.3488532386977903</v>
      </c>
      <c r="DI230" s="545">
        <f t="shared" si="675"/>
        <v>140.04899999999998</v>
      </c>
      <c r="DJ230" s="528">
        <f t="shared" si="676"/>
        <v>0.34987754285999911</v>
      </c>
      <c r="DL230" s="173">
        <f t="shared" si="677"/>
        <v>1.4366627996854378</v>
      </c>
      <c r="DM230" s="173">
        <f t="shared" si="678"/>
        <v>2.2222222222222223</v>
      </c>
      <c r="DN230" s="173">
        <f t="shared" si="679"/>
        <v>1.080028</v>
      </c>
      <c r="DP230" s="545">
        <f t="shared" si="680"/>
        <v>140</v>
      </c>
      <c r="DQ230" s="460">
        <f t="shared" si="681"/>
        <v>140.04899999999998</v>
      </c>
      <c r="DS230">
        <f t="shared" si="682"/>
        <v>140</v>
      </c>
      <c r="DT230">
        <f t="shared" si="683"/>
        <v>140.04899999999998</v>
      </c>
      <c r="DV230" s="5">
        <f t="shared" si="684"/>
        <v>7.1403580175510006</v>
      </c>
      <c r="DW230" s="5">
        <f t="shared" si="685"/>
        <v>0.61728395061728403</v>
      </c>
      <c r="DX230" s="5">
        <f t="shared" si="686"/>
        <v>6.5230740669337166</v>
      </c>
      <c r="DY230" s="173">
        <f t="shared" si="687"/>
        <v>8.6449999999999999E-2</v>
      </c>
      <c r="EA230" s="5">
        <f t="shared" si="713"/>
        <v>0.36008230452674905</v>
      </c>
      <c r="EB230" s="5">
        <f t="shared" si="714"/>
        <v>4.8010973936899876E-2</v>
      </c>
      <c r="EC230" s="5">
        <f t="shared" si="715"/>
        <v>0.50735020520595564</v>
      </c>
      <c r="ED230" s="5"/>
      <c r="EE230" s="173">
        <f t="shared" si="716"/>
        <v>0.37723272226699955</v>
      </c>
      <c r="EF230" s="173">
        <f t="shared" si="717"/>
        <v>0.817935115651381</v>
      </c>
      <c r="EG230" s="173">
        <f t="shared" si="718"/>
        <v>8.1904043337523422E-2</v>
      </c>
      <c r="EH230" s="173"/>
      <c r="EI230" s="528">
        <f t="shared" si="719"/>
        <v>5.6921810699588496E-3</v>
      </c>
      <c r="EJ230" s="528">
        <f t="shared" si="720"/>
        <v>0.44910905539500001</v>
      </c>
      <c r="EK230" s="528">
        <f t="shared" si="721"/>
        <v>2.8009799999999994E-2</v>
      </c>
      <c r="EL230" s="528">
        <f t="shared" si="722"/>
        <v>6.7487182934984832E-2</v>
      </c>
      <c r="EM230">
        <f t="shared" si="723"/>
        <v>1.6199999999999999E-2</v>
      </c>
      <c r="EN230" s="460">
        <f t="shared" si="724"/>
        <v>44.209799999999994</v>
      </c>
      <c r="EP230" s="460">
        <f t="shared" si="725"/>
        <v>566.49821939994365</v>
      </c>
      <c r="EQ230" s="173">
        <f t="shared" si="726"/>
        <v>9.8000000000000004E-2</v>
      </c>
      <c r="ER230" s="173">
        <f t="shared" si="688"/>
        <v>8.680000000000002E-3</v>
      </c>
      <c r="ES230" s="528"/>
      <c r="EU230" s="460">
        <f t="shared" si="727"/>
        <v>106.68</v>
      </c>
      <c r="EV230" s="528">
        <f t="shared" si="728"/>
        <v>4.2691358024691366E-3</v>
      </c>
      <c r="EW230" s="528">
        <f t="shared" si="729"/>
        <v>2.0070535602469141E-2</v>
      </c>
      <c r="EX230" s="528">
        <f t="shared" si="730"/>
        <v>3.3541361575174576E-5</v>
      </c>
      <c r="EY230" s="528">
        <f t="shared" si="731"/>
        <v>8.5435575709279385E-2</v>
      </c>
      <c r="EZ230" s="528"/>
      <c r="FA230" s="625">
        <f t="shared" si="732"/>
        <v>0.13832000000000003</v>
      </c>
      <c r="FB230" s="460">
        <f t="shared" si="733"/>
        <v>248.12878847579287</v>
      </c>
      <c r="FC230" s="173">
        <f t="shared" si="734"/>
        <v>0.92130700787573649</v>
      </c>
      <c r="FD230" s="5">
        <f t="shared" si="735"/>
        <v>3.6120000000000005</v>
      </c>
      <c r="FE230" s="173">
        <f t="shared" si="736"/>
        <v>0.79676933279057749</v>
      </c>
      <c r="FF230" s="5">
        <f t="shared" si="737"/>
        <v>79.676933279057749</v>
      </c>
      <c r="FG230">
        <f t="shared" si="738"/>
        <v>14.000000000000002</v>
      </c>
      <c r="FI230" s="562">
        <f t="shared" si="689"/>
        <v>-50</v>
      </c>
    </row>
    <row r="231" spans="5:165">
      <c r="E231" s="170">
        <v>15</v>
      </c>
      <c r="F231" s="217">
        <f t="shared" si="690"/>
        <v>0.15</v>
      </c>
      <c r="G231" s="217">
        <f t="shared" si="617"/>
        <v>1.4999999999999999E-2</v>
      </c>
      <c r="H231" s="217">
        <f t="shared" si="618"/>
        <v>3.5999999999999996</v>
      </c>
      <c r="I231" s="217">
        <f t="shared" si="619"/>
        <v>0.27</v>
      </c>
      <c r="J231" s="541">
        <f t="shared" si="620"/>
        <v>35.902335931666016</v>
      </c>
      <c r="K231" s="443">
        <f t="shared" si="621"/>
        <v>16.489517986529311</v>
      </c>
      <c r="L231" s="172">
        <f t="shared" si="622"/>
        <v>52.391853918195324</v>
      </c>
      <c r="M231" s="443"/>
      <c r="N231" s="217">
        <f t="shared" si="623"/>
        <v>0.31473438623256311</v>
      </c>
      <c r="O231" s="172">
        <f t="shared" si="624"/>
        <v>58.396380691308515</v>
      </c>
      <c r="P231" s="172">
        <f t="shared" si="625"/>
        <v>4.7082081932367492</v>
      </c>
      <c r="Q231" s="217">
        <f t="shared" si="626"/>
        <v>2.4331825288045215</v>
      </c>
      <c r="R231" s="217">
        <f t="shared" si="627"/>
        <v>3.2442433717393619</v>
      </c>
      <c r="S231" s="217">
        <f t="shared" si="628"/>
        <v>24</v>
      </c>
      <c r="T231" s="217">
        <f t="shared" si="629"/>
        <v>0.68497395774312819</v>
      </c>
      <c r="U231" s="217">
        <f t="shared" si="630"/>
        <v>0.19078813118089574</v>
      </c>
      <c r="V231" s="217">
        <f t="shared" si="631"/>
        <v>0.41539962435694011</v>
      </c>
      <c r="W231" s="197">
        <f t="shared" si="632"/>
        <v>350</v>
      </c>
      <c r="X231" s="443">
        <f t="shared" si="691"/>
        <v>350</v>
      </c>
      <c r="Z231" s="217">
        <f t="shared" si="633"/>
        <v>3.228485618219485</v>
      </c>
      <c r="AA231" s="173">
        <f t="shared" si="634"/>
        <v>1.9579017536212484</v>
      </c>
      <c r="AB231" s="173">
        <f t="shared" si="635"/>
        <v>0.68634926009236363</v>
      </c>
      <c r="AC231" s="173"/>
      <c r="AD231" s="173">
        <f t="shared" si="636"/>
        <v>1.3476574779430244</v>
      </c>
      <c r="AE231" s="545">
        <f t="shared" si="637"/>
        <v>150.18563983233216</v>
      </c>
      <c r="AF231" s="528">
        <f t="shared" si="638"/>
        <v>0.34956737580644337</v>
      </c>
      <c r="AH231" s="173">
        <f t="shared" si="639"/>
        <v>1.4870872776769259</v>
      </c>
      <c r="AI231" s="173">
        <f t="shared" si="640"/>
        <v>2.2222222222222223</v>
      </c>
      <c r="AJ231" s="173">
        <f t="shared" si="641"/>
        <v>1.0858203656184755</v>
      </c>
      <c r="AL231" s="545">
        <f t="shared" si="642"/>
        <v>150</v>
      </c>
      <c r="AM231" s="460">
        <f t="shared" si="643"/>
        <v>150.18563983233216</v>
      </c>
      <c r="AO231">
        <f t="shared" si="644"/>
        <v>150</v>
      </c>
      <c r="AP231">
        <f t="shared" si="645"/>
        <v>150.18563983233216</v>
      </c>
      <c r="AR231" s="5">
        <f t="shared" si="616"/>
        <v>6.6584262058370163</v>
      </c>
      <c r="AS231" s="5">
        <f t="shared" si="604"/>
        <v>0.61896312999016123</v>
      </c>
      <c r="AT231" s="5">
        <f t="shared" si="605"/>
        <v>6.0394630758468555</v>
      </c>
      <c r="AU231" s="173">
        <f t="shared" si="606"/>
        <v>9.2959373710195345E-2</v>
      </c>
      <c r="BA231" s="173">
        <f t="shared" si="692"/>
        <v>0.39117712765698309</v>
      </c>
      <c r="BB231" s="173">
        <f t="shared" si="693"/>
        <v>0.81501586461313924</v>
      </c>
      <c r="BC231" s="173">
        <f t="shared" si="694"/>
        <v>8.1611723740315681E-2</v>
      </c>
      <c r="BD231" s="173"/>
      <c r="BE231" s="528">
        <f t="shared" si="695"/>
        <v>6.120781808078706E-3</v>
      </c>
      <c r="BF231" s="528">
        <f t="shared" si="646"/>
        <v>0.39342520513531209</v>
      </c>
      <c r="BG231" s="528">
        <f t="shared" si="647"/>
        <v>0.21568061173490358</v>
      </c>
      <c r="BH231" s="528">
        <f t="shared" si="696"/>
        <v>7.2142965563148559E-2</v>
      </c>
      <c r="BI231">
        <f t="shared" si="697"/>
        <v>1.6156051169249706E-2</v>
      </c>
      <c r="BJ231" s="460">
        <f t="shared" si="698"/>
        <v>231.83666290415329</v>
      </c>
      <c r="BK231">
        <f t="shared" si="648"/>
        <v>0.47403094573613747</v>
      </c>
      <c r="BL231" s="460">
        <f t="shared" si="699"/>
        <v>703.52561541069258</v>
      </c>
      <c r="BM231" s="173">
        <f t="shared" si="649"/>
        <v>0.13019999999999998</v>
      </c>
      <c r="BN231" s="173">
        <f t="shared" si="650"/>
        <v>9.2999999999999992E-3</v>
      </c>
      <c r="BQ231" s="460">
        <f t="shared" si="700"/>
        <v>139.49999999999997</v>
      </c>
      <c r="BR231" s="528">
        <f t="shared" si="701"/>
        <v>4.5905863560590293E-3</v>
      </c>
      <c r="BS231" s="528">
        <f t="shared" si="702"/>
        <v>1.9927525787133086E-2</v>
      </c>
      <c r="BT231" s="528">
        <f t="shared" si="703"/>
        <v>3.3302367259328032E-5</v>
      </c>
      <c r="BU231" s="528">
        <f t="shared" si="704"/>
        <v>0.10174421904935578</v>
      </c>
      <c r="BV231" s="528"/>
      <c r="BW231" s="625">
        <f t="shared" si="705"/>
        <v>0.14833149613069846</v>
      </c>
      <c r="BX231" s="460">
        <f t="shared" si="706"/>
        <v>274.62712969050568</v>
      </c>
      <c r="BY231" s="173">
        <f t="shared" si="707"/>
        <v>1.1176527451011982</v>
      </c>
      <c r="BZ231" s="5">
        <f t="shared" si="708"/>
        <v>3.8699999999999997</v>
      </c>
      <c r="CA231" s="173">
        <f t="shared" si="709"/>
        <v>0.77591608674061352</v>
      </c>
      <c r="CB231" s="5">
        <f t="shared" si="710"/>
        <v>77.591608674061348</v>
      </c>
      <c r="CC231">
        <f t="shared" si="711"/>
        <v>15</v>
      </c>
      <c r="CE231" s="562">
        <f t="shared" si="651"/>
        <v>-50</v>
      </c>
      <c r="CG231" s="173">
        <f t="shared" si="652"/>
        <v>0.20532923559490071</v>
      </c>
      <c r="CH231" s="173">
        <f t="shared" si="653"/>
        <v>5.6155840754020706E-2</v>
      </c>
      <c r="CI231" s="170">
        <v>15</v>
      </c>
      <c r="CJ231" s="217">
        <f t="shared" si="712"/>
        <v>0.15</v>
      </c>
      <c r="CK231" s="217">
        <f t="shared" si="654"/>
        <v>1.4999999999999999E-2</v>
      </c>
      <c r="CL231" s="217">
        <f t="shared" si="655"/>
        <v>3.5999999999999996</v>
      </c>
      <c r="CM231" s="217">
        <f t="shared" si="656"/>
        <v>0.27</v>
      </c>
      <c r="CN231" s="541">
        <f t="shared" si="657"/>
        <v>36</v>
      </c>
      <c r="CO231" s="443">
        <f t="shared" si="658"/>
        <v>16.474900000000002</v>
      </c>
      <c r="CP231" s="443">
        <f t="shared" si="659"/>
        <v>52.474900000000005</v>
      </c>
      <c r="CQ231" s="443"/>
      <c r="CR231" s="217">
        <f t="shared" si="660"/>
        <v>0.31220924123305599</v>
      </c>
      <c r="CS231" s="172">
        <f t="shared" si="661"/>
        <v>58.085440229405762</v>
      </c>
      <c r="CT231" s="172">
        <f t="shared" si="662"/>
        <v>4.683138618495839</v>
      </c>
      <c r="CU231" s="217">
        <f t="shared" si="663"/>
        <v>2.4202266762252402</v>
      </c>
      <c r="CV231" s="217">
        <f t="shared" si="664"/>
        <v>3.2269689016336534</v>
      </c>
      <c r="CW231" s="217">
        <f t="shared" si="665"/>
        <v>24</v>
      </c>
      <c r="CX231" s="217">
        <f t="shared" si="666"/>
        <v>0.68864073065508058</v>
      </c>
      <c r="CY231" s="217">
        <f t="shared" si="667"/>
        <v>0.19128909184863352</v>
      </c>
      <c r="CZ231" s="217">
        <f t="shared" si="668"/>
        <v>0.41799387592949311</v>
      </c>
      <c r="DA231" s="197">
        <f t="shared" si="669"/>
        <v>350</v>
      </c>
      <c r="DB231" s="443">
        <f t="shared" si="670"/>
        <v>350</v>
      </c>
      <c r="DD231" s="217">
        <f t="shared" si="671"/>
        <v>3.2292794133140656</v>
      </c>
      <c r="DE231" s="173">
        <f t="shared" si="672"/>
        <v>1.9601207978889497</v>
      </c>
      <c r="DF231" s="173">
        <f t="shared" si="673"/>
        <v>0.6872960992823488</v>
      </c>
      <c r="DG231" s="173"/>
      <c r="DH231" s="173">
        <f t="shared" si="674"/>
        <v>1.3488532386977903</v>
      </c>
      <c r="DI231" s="545">
        <f t="shared" si="675"/>
        <v>150.05249999999995</v>
      </c>
      <c r="DJ231" s="528">
        <f t="shared" si="676"/>
        <v>0.34987754285999911</v>
      </c>
      <c r="DL231" s="173">
        <f t="shared" si="677"/>
        <v>1.4870872776769259</v>
      </c>
      <c r="DM231" s="173">
        <f t="shared" si="678"/>
        <v>2.2222222222222223</v>
      </c>
      <c r="DN231" s="173">
        <f t="shared" si="679"/>
        <v>1.0857442857142856</v>
      </c>
      <c r="DP231" s="545">
        <f t="shared" si="680"/>
        <v>150</v>
      </c>
      <c r="DQ231" s="460">
        <f t="shared" si="681"/>
        <v>150.05249999999995</v>
      </c>
      <c r="DS231">
        <f t="shared" si="682"/>
        <v>150</v>
      </c>
      <c r="DT231">
        <f t="shared" si="683"/>
        <v>150.05249999999995</v>
      </c>
      <c r="DV231" s="5">
        <f t="shared" si="684"/>
        <v>6.6643341497142687</v>
      </c>
      <c r="DW231" s="5">
        <f t="shared" si="685"/>
        <v>0.61728395061728403</v>
      </c>
      <c r="DX231" s="5">
        <f t="shared" si="686"/>
        <v>6.0470501990969847</v>
      </c>
      <c r="DY231" s="173">
        <f t="shared" si="687"/>
        <v>9.2624999999999985E-2</v>
      </c>
      <c r="EA231" s="5">
        <f t="shared" si="713"/>
        <v>0.38580246913580252</v>
      </c>
      <c r="EB231" s="5">
        <f t="shared" si="714"/>
        <v>5.1440329218107005E-2</v>
      </c>
      <c r="EC231" s="5">
        <f t="shared" si="715"/>
        <v>0.50392084992474862</v>
      </c>
      <c r="ED231" s="5"/>
      <c r="EE231" s="173">
        <f t="shared" si="716"/>
        <v>0.39047296424012395</v>
      </c>
      <c r="EF231" s="173">
        <f t="shared" si="717"/>
        <v>0.81516607550758413</v>
      </c>
      <c r="EG231" s="173">
        <f t="shared" si="718"/>
        <v>8.1626765128529691E-2</v>
      </c>
      <c r="EH231" s="173"/>
      <c r="EI231" s="528">
        <f t="shared" si="719"/>
        <v>6.0987654320987655E-3</v>
      </c>
      <c r="EJ231" s="528">
        <f t="shared" si="720"/>
        <v>0.48118827363749994</v>
      </c>
      <c r="EK231" s="528">
        <f t="shared" si="721"/>
        <v>3.0010499999999989E-2</v>
      </c>
      <c r="EL231" s="528">
        <f t="shared" si="722"/>
        <v>7.230769600176945E-2</v>
      </c>
      <c r="EM231">
        <f t="shared" si="723"/>
        <v>1.6199999999999999E-2</v>
      </c>
      <c r="EN231" s="460">
        <f t="shared" si="724"/>
        <v>46.210499999999989</v>
      </c>
      <c r="EP231" s="460">
        <f t="shared" si="725"/>
        <v>605.80523507136809</v>
      </c>
      <c r="EQ231" s="173">
        <f t="shared" si="726"/>
        <v>0.105</v>
      </c>
      <c r="ER231" s="173">
        <f t="shared" si="688"/>
        <v>9.2999999999999992E-3</v>
      </c>
      <c r="ES231" s="528"/>
      <c r="EU231" s="460">
        <f t="shared" si="727"/>
        <v>114.3</v>
      </c>
      <c r="EV231" s="528">
        <f t="shared" si="728"/>
        <v>4.5740740740740733E-3</v>
      </c>
      <c r="EW231" s="528">
        <f t="shared" si="729"/>
        <v>1.993487191975309E-2</v>
      </c>
      <c r="EX231" s="528">
        <f t="shared" si="730"/>
        <v>3.3314643926740752E-5</v>
      </c>
      <c r="EY231" s="528">
        <f t="shared" si="731"/>
        <v>0.10151887788061946</v>
      </c>
      <c r="EZ231" s="528"/>
      <c r="FA231" s="625">
        <f t="shared" si="732"/>
        <v>0.1482</v>
      </c>
      <c r="FB231" s="460">
        <f t="shared" si="733"/>
        <v>274.26113851837334</v>
      </c>
      <c r="FC231" s="173">
        <f t="shared" si="734"/>
        <v>0.99436637358974134</v>
      </c>
      <c r="FD231" s="5">
        <f t="shared" si="735"/>
        <v>3.8699999999999997</v>
      </c>
      <c r="FE231" s="173">
        <f t="shared" si="736"/>
        <v>0.79558152136967186</v>
      </c>
      <c r="FF231" s="5">
        <f t="shared" si="737"/>
        <v>79.55815213696718</v>
      </c>
      <c r="FG231">
        <f t="shared" si="738"/>
        <v>15</v>
      </c>
      <c r="FI231" s="562">
        <f t="shared" si="689"/>
        <v>-50</v>
      </c>
    </row>
    <row r="232" spans="5:165">
      <c r="E232" s="170">
        <v>16</v>
      </c>
      <c r="F232" s="217">
        <f t="shared" si="690"/>
        <v>0.16</v>
      </c>
      <c r="G232" s="217">
        <f t="shared" si="617"/>
        <v>1.6E-2</v>
      </c>
      <c r="H232" s="217">
        <f t="shared" si="618"/>
        <v>3.84</v>
      </c>
      <c r="I232" s="217">
        <f t="shared" si="619"/>
        <v>0.28800000000000003</v>
      </c>
      <c r="J232" s="541">
        <f t="shared" si="620"/>
        <v>35.902335931666016</v>
      </c>
      <c r="K232" s="443">
        <f t="shared" si="621"/>
        <v>16.489517986529311</v>
      </c>
      <c r="L232" s="172">
        <f t="shared" si="622"/>
        <v>52.391853918195324</v>
      </c>
      <c r="M232" s="443"/>
      <c r="N232" s="217">
        <f t="shared" si="623"/>
        <v>0.31473438623256311</v>
      </c>
      <c r="O232" s="172">
        <f t="shared" si="624"/>
        <v>58.396380691308515</v>
      </c>
      <c r="P232" s="172">
        <f t="shared" si="625"/>
        <v>4.7082081932367492</v>
      </c>
      <c r="Q232" s="217">
        <f t="shared" si="626"/>
        <v>2.4331825288045215</v>
      </c>
      <c r="R232" s="217">
        <f t="shared" si="627"/>
        <v>3.2442433717393619</v>
      </c>
      <c r="S232" s="217">
        <f t="shared" si="628"/>
        <v>24</v>
      </c>
      <c r="T232" s="217">
        <f t="shared" si="629"/>
        <v>0.73063888825933687</v>
      </c>
      <c r="U232" s="217">
        <f t="shared" si="630"/>
        <v>0.20350733992628883</v>
      </c>
      <c r="V232" s="217">
        <f t="shared" si="631"/>
        <v>0.44309293264740279</v>
      </c>
      <c r="W232" s="197">
        <f t="shared" si="632"/>
        <v>350</v>
      </c>
      <c r="X232" s="443">
        <f t="shared" si="691"/>
        <v>350</v>
      </c>
      <c r="Z232" s="217">
        <f t="shared" si="633"/>
        <v>3.228485618219485</v>
      </c>
      <c r="AA232" s="173">
        <f t="shared" si="634"/>
        <v>1.9579017536212484</v>
      </c>
      <c r="AB232" s="173">
        <f t="shared" si="635"/>
        <v>0.68634926009236363</v>
      </c>
      <c r="AC232" s="173"/>
      <c r="AD232" s="173">
        <f t="shared" si="636"/>
        <v>1.3476574779430244</v>
      </c>
      <c r="AE232" s="545">
        <f t="shared" si="637"/>
        <v>160.19801582115429</v>
      </c>
      <c r="AF232" s="528">
        <f t="shared" si="638"/>
        <v>0.34956737580644337</v>
      </c>
      <c r="AH232" s="173">
        <f t="shared" si="639"/>
        <v>1.5358571362132425</v>
      </c>
      <c r="AI232" s="173">
        <f t="shared" si="640"/>
        <v>2.2222222222222223</v>
      </c>
      <c r="AJ232" s="173">
        <f t="shared" si="641"/>
        <v>1.0915417233263738</v>
      </c>
      <c r="AL232" s="545">
        <f t="shared" si="642"/>
        <v>160</v>
      </c>
      <c r="AM232" s="460">
        <f t="shared" si="643"/>
        <v>160.19801582115429</v>
      </c>
      <c r="AO232">
        <f t="shared" si="644"/>
        <v>160</v>
      </c>
      <c r="AP232">
        <f t="shared" si="645"/>
        <v>160.19801582115429</v>
      </c>
      <c r="AR232" s="5">
        <f t="shared" si="616"/>
        <v>6.2422745679722027</v>
      </c>
      <c r="AS232" s="5">
        <f t="shared" si="604"/>
        <v>0.61896312999016123</v>
      </c>
      <c r="AT232" s="5">
        <f t="shared" si="605"/>
        <v>5.623311437982041</v>
      </c>
      <c r="AU232" s="173">
        <f t="shared" si="606"/>
        <v>9.9156665290875023E-2</v>
      </c>
      <c r="BA232" s="173">
        <f t="shared" si="692"/>
        <v>0.40400600022206623</v>
      </c>
      <c r="BB232" s="173">
        <f t="shared" si="693"/>
        <v>0.81222682304559835</v>
      </c>
      <c r="BC232" s="173">
        <f t="shared" si="694"/>
        <v>8.1332442686052484E-2</v>
      </c>
      <c r="BD232" s="173"/>
      <c r="BE232" s="528">
        <f t="shared" si="695"/>
        <v>6.5288339286172867E-3</v>
      </c>
      <c r="BF232" s="528">
        <f t="shared" si="646"/>
        <v>0.41965355214433298</v>
      </c>
      <c r="BG232" s="528">
        <f t="shared" si="647"/>
        <v>0.23005931918389713</v>
      </c>
      <c r="BH232" s="528">
        <f t="shared" si="696"/>
        <v>7.6952496600691797E-2</v>
      </c>
      <c r="BI232">
        <f t="shared" si="697"/>
        <v>1.6156051169249706E-2</v>
      </c>
      <c r="BJ232" s="460">
        <f t="shared" si="698"/>
        <v>246.21537035314682</v>
      </c>
      <c r="BK232">
        <f t="shared" si="648"/>
        <v>0.50568210767997646</v>
      </c>
      <c r="BL232" s="460">
        <f t="shared" si="699"/>
        <v>749.35025302678889</v>
      </c>
      <c r="BM232" s="173">
        <f t="shared" si="649"/>
        <v>0.13887999999999998</v>
      </c>
      <c r="BN232" s="173">
        <f t="shared" si="650"/>
        <v>9.92E-3</v>
      </c>
      <c r="BQ232" s="460">
        <f t="shared" si="700"/>
        <v>148.79999999999998</v>
      </c>
      <c r="BR232" s="528">
        <f t="shared" si="701"/>
        <v>4.8966254464629646E-3</v>
      </c>
      <c r="BS232" s="528">
        <f t="shared" si="702"/>
        <v>1.9791372362242373E-2</v>
      </c>
      <c r="BT232" s="528">
        <f t="shared" si="703"/>
        <v>3.3074831166400065E-5</v>
      </c>
      <c r="BU232" s="528">
        <f t="shared" si="704"/>
        <v>0.1195588011655879</v>
      </c>
      <c r="BV232" s="528"/>
      <c r="BW232" s="625">
        <f t="shared" si="705"/>
        <v>0.15822026253941168</v>
      </c>
      <c r="BX232" s="460">
        <f t="shared" si="706"/>
        <v>302.50013634487135</v>
      </c>
      <c r="BY232" s="173">
        <f t="shared" si="707"/>
        <v>1.2006503893716602</v>
      </c>
      <c r="BZ232" s="5">
        <f t="shared" si="708"/>
        <v>4.1280000000000001</v>
      </c>
      <c r="CA232" s="173">
        <f t="shared" si="709"/>
        <v>0.77468020950174643</v>
      </c>
      <c r="CB232" s="5">
        <f t="shared" si="710"/>
        <v>77.468020950174648</v>
      </c>
      <c r="CC232">
        <f t="shared" si="711"/>
        <v>16</v>
      </c>
      <c r="CE232" s="562">
        <f t="shared" si="651"/>
        <v>-50</v>
      </c>
      <c r="CG232" s="173">
        <f t="shared" si="652"/>
        <v>0.21901785130122745</v>
      </c>
      <c r="CH232" s="173">
        <f t="shared" si="653"/>
        <v>5.989956347095541E-2</v>
      </c>
      <c r="CI232" s="170">
        <v>16</v>
      </c>
      <c r="CJ232" s="217">
        <f t="shared" si="712"/>
        <v>0.16</v>
      </c>
      <c r="CK232" s="217">
        <f t="shared" si="654"/>
        <v>1.6E-2</v>
      </c>
      <c r="CL232" s="217">
        <f t="shared" si="655"/>
        <v>3.84</v>
      </c>
      <c r="CM232" s="217">
        <f t="shared" si="656"/>
        <v>0.28800000000000003</v>
      </c>
      <c r="CN232" s="541">
        <f t="shared" si="657"/>
        <v>36</v>
      </c>
      <c r="CO232" s="443">
        <f t="shared" si="658"/>
        <v>16.474900000000002</v>
      </c>
      <c r="CP232" s="443">
        <f t="shared" si="659"/>
        <v>52.474900000000005</v>
      </c>
      <c r="CQ232" s="443"/>
      <c r="CR232" s="217">
        <f t="shared" si="660"/>
        <v>0.31220924123305599</v>
      </c>
      <c r="CS232" s="172">
        <f t="shared" si="661"/>
        <v>58.085440229405762</v>
      </c>
      <c r="CT232" s="172">
        <f t="shared" si="662"/>
        <v>4.683138618495839</v>
      </c>
      <c r="CU232" s="217">
        <f t="shared" si="663"/>
        <v>2.4202266762252402</v>
      </c>
      <c r="CV232" s="217">
        <f t="shared" si="664"/>
        <v>3.2269689016336534</v>
      </c>
      <c r="CW232" s="217">
        <f t="shared" si="665"/>
        <v>24</v>
      </c>
      <c r="CX232" s="217">
        <f t="shared" si="666"/>
        <v>0.7345501126987527</v>
      </c>
      <c r="CY232" s="217">
        <f t="shared" si="667"/>
        <v>0.20404169797187577</v>
      </c>
      <c r="CZ232" s="217">
        <f t="shared" si="668"/>
        <v>0.44586013432479266</v>
      </c>
      <c r="DA232" s="197">
        <f t="shared" si="669"/>
        <v>350</v>
      </c>
      <c r="DB232" s="443">
        <f t="shared" si="670"/>
        <v>350</v>
      </c>
      <c r="DD232" s="217">
        <f t="shared" si="671"/>
        <v>3.2292794133140656</v>
      </c>
      <c r="DE232" s="173">
        <f t="shared" si="672"/>
        <v>1.9601207978889497</v>
      </c>
      <c r="DF232" s="173">
        <f t="shared" si="673"/>
        <v>0.6872960992823488</v>
      </c>
      <c r="DG232" s="173"/>
      <c r="DH232" s="173">
        <f t="shared" si="674"/>
        <v>1.3488532386977903</v>
      </c>
      <c r="DI232" s="545">
        <f t="shared" si="675"/>
        <v>160.05599999999995</v>
      </c>
      <c r="DJ232" s="528">
        <f t="shared" si="676"/>
        <v>0.34987754285999911</v>
      </c>
      <c r="DL232" s="173">
        <f t="shared" si="677"/>
        <v>1.5358571362132425</v>
      </c>
      <c r="DM232" s="173">
        <f t="shared" si="678"/>
        <v>2.2222222222222223</v>
      </c>
      <c r="DN232" s="173">
        <f t="shared" si="679"/>
        <v>1.0914605714285714</v>
      </c>
      <c r="DP232" s="545">
        <f t="shared" si="680"/>
        <v>160</v>
      </c>
      <c r="DQ232" s="460">
        <f t="shared" si="681"/>
        <v>160.05599999999995</v>
      </c>
      <c r="DS232">
        <f t="shared" si="682"/>
        <v>160</v>
      </c>
      <c r="DT232">
        <f t="shared" si="683"/>
        <v>160.05599999999995</v>
      </c>
      <c r="DV232" s="5">
        <f t="shared" si="684"/>
        <v>6.2478132653571263</v>
      </c>
      <c r="DW232" s="5">
        <f t="shared" si="685"/>
        <v>0.61728395061728403</v>
      </c>
      <c r="DX232" s="5">
        <f t="shared" si="686"/>
        <v>5.6305293147398423</v>
      </c>
      <c r="DY232" s="173">
        <f t="shared" si="687"/>
        <v>9.8799999999999985E-2</v>
      </c>
      <c r="EA232" s="5">
        <f t="shared" si="713"/>
        <v>0.41152263374485604</v>
      </c>
      <c r="EB232" s="5">
        <f t="shared" si="714"/>
        <v>5.4869684499314134E-2</v>
      </c>
      <c r="EC232" s="5">
        <f t="shared" si="715"/>
        <v>0.50049149464354148</v>
      </c>
      <c r="ED232" s="5"/>
      <c r="EE232" s="173">
        <f t="shared" si="716"/>
        <v>0.40327874337233177</v>
      </c>
      <c r="EF232" s="173">
        <f t="shared" si="717"/>
        <v>0.81238759708727371</v>
      </c>
      <c r="EG232" s="173">
        <f t="shared" si="718"/>
        <v>8.1348541816441869E-2</v>
      </c>
      <c r="EH232" s="173"/>
      <c r="EI232" s="528">
        <f t="shared" si="719"/>
        <v>6.5053497942386806E-3</v>
      </c>
      <c r="EJ232" s="528">
        <f t="shared" si="720"/>
        <v>0.51326749187999987</v>
      </c>
      <c r="EK232" s="528">
        <f t="shared" si="721"/>
        <v>3.201119999999999E-2</v>
      </c>
      <c r="EL232" s="528">
        <f t="shared" si="722"/>
        <v>7.7128209068554082E-2</v>
      </c>
      <c r="EM232">
        <f t="shared" si="723"/>
        <v>1.6199999999999999E-2</v>
      </c>
      <c r="EN232" s="460">
        <f t="shared" si="724"/>
        <v>48.211199999999991</v>
      </c>
      <c r="EP232" s="460">
        <f t="shared" si="725"/>
        <v>645.11225074279264</v>
      </c>
      <c r="EQ232" s="173">
        <f t="shared" si="726"/>
        <v>0.11199999999999999</v>
      </c>
      <c r="ER232" s="173">
        <f t="shared" si="688"/>
        <v>9.92E-3</v>
      </c>
      <c r="ES232" s="528"/>
      <c r="EU232" s="460">
        <f t="shared" si="727"/>
        <v>121.91999999999999</v>
      </c>
      <c r="EV232" s="528">
        <f t="shared" si="728"/>
        <v>4.87901234567901E-3</v>
      </c>
      <c r="EW232" s="528">
        <f t="shared" si="729"/>
        <v>1.9799208237037038E-2</v>
      </c>
      <c r="EX232" s="528">
        <f t="shared" si="730"/>
        <v>3.3087926278306956E-5</v>
      </c>
      <c r="EY232" s="528">
        <f t="shared" si="731"/>
        <v>0.11929400459789005</v>
      </c>
      <c r="EZ232" s="528"/>
      <c r="FA232" s="625">
        <f t="shared" si="732"/>
        <v>0.15808</v>
      </c>
      <c r="FB232" s="460">
        <f t="shared" si="733"/>
        <v>302.08531310688443</v>
      </c>
      <c r="FC232" s="173">
        <f t="shared" si="734"/>
        <v>1.069117563849677</v>
      </c>
      <c r="FD232" s="5">
        <f t="shared" si="735"/>
        <v>4.1280000000000001</v>
      </c>
      <c r="FE232" s="173">
        <f t="shared" si="736"/>
        <v>0.79428643845075042</v>
      </c>
      <c r="FF232" s="5">
        <f t="shared" si="737"/>
        <v>79.428643845075044</v>
      </c>
      <c r="FG232">
        <f t="shared" si="738"/>
        <v>16</v>
      </c>
      <c r="FI232" s="562">
        <f t="shared" si="689"/>
        <v>-50</v>
      </c>
    </row>
    <row r="233" spans="5:165">
      <c r="E233" s="170">
        <v>17</v>
      </c>
      <c r="F233" s="217">
        <f t="shared" si="690"/>
        <v>0.17</v>
      </c>
      <c r="G233" s="217">
        <f t="shared" si="617"/>
        <v>1.7000000000000001E-2</v>
      </c>
      <c r="H233" s="217">
        <f t="shared" si="618"/>
        <v>4.08</v>
      </c>
      <c r="I233" s="217">
        <f t="shared" si="619"/>
        <v>0.30600000000000005</v>
      </c>
      <c r="J233" s="541">
        <f t="shared" si="620"/>
        <v>35.902335931666016</v>
      </c>
      <c r="K233" s="443">
        <f t="shared" si="621"/>
        <v>16.489517986529311</v>
      </c>
      <c r="L233" s="172">
        <f t="shared" si="622"/>
        <v>52.391853918195324</v>
      </c>
      <c r="M233" s="443"/>
      <c r="N233" s="217">
        <f t="shared" si="623"/>
        <v>0.31473438623256311</v>
      </c>
      <c r="O233" s="172">
        <f t="shared" si="624"/>
        <v>58.396380691308515</v>
      </c>
      <c r="P233" s="172">
        <f t="shared" si="625"/>
        <v>4.7082081932367492</v>
      </c>
      <c r="Q233" s="217">
        <f t="shared" si="626"/>
        <v>2.4331825288045215</v>
      </c>
      <c r="R233" s="217">
        <f t="shared" si="627"/>
        <v>3.2442433717393619</v>
      </c>
      <c r="S233" s="217">
        <f t="shared" si="628"/>
        <v>24</v>
      </c>
      <c r="T233" s="217">
        <f t="shared" si="629"/>
        <v>0.77630381877554544</v>
      </c>
      <c r="U233" s="217">
        <f t="shared" si="630"/>
        <v>0.21622654867168187</v>
      </c>
      <c r="V233" s="217">
        <f t="shared" si="631"/>
        <v>0.47078624093786547</v>
      </c>
      <c r="W233" s="197">
        <f t="shared" si="632"/>
        <v>350</v>
      </c>
      <c r="X233" s="443">
        <f t="shared" si="691"/>
        <v>350</v>
      </c>
      <c r="Z233" s="217">
        <f t="shared" si="633"/>
        <v>3.228485618219485</v>
      </c>
      <c r="AA233" s="173">
        <f t="shared" si="634"/>
        <v>1.9579017536212484</v>
      </c>
      <c r="AB233" s="173">
        <f t="shared" si="635"/>
        <v>0.68634926009236363</v>
      </c>
      <c r="AC233" s="173"/>
      <c r="AD233" s="173">
        <f t="shared" si="636"/>
        <v>1.3476574779430244</v>
      </c>
      <c r="AE233" s="545">
        <f t="shared" si="637"/>
        <v>170.21039180997644</v>
      </c>
      <c r="AF233" s="528">
        <f t="shared" si="638"/>
        <v>0.34956737580644337</v>
      </c>
      <c r="AH233" s="173">
        <f t="shared" si="639"/>
        <v>1.5831252996164624</v>
      </c>
      <c r="AI233" s="173">
        <f t="shared" si="640"/>
        <v>2.2222222222222223</v>
      </c>
      <c r="AJ233" s="173">
        <f t="shared" si="641"/>
        <v>1.0972630810342723</v>
      </c>
      <c r="AL233" s="545">
        <f t="shared" si="642"/>
        <v>170</v>
      </c>
      <c r="AM233" s="460">
        <f t="shared" si="643"/>
        <v>170.21039180997644</v>
      </c>
      <c r="AO233">
        <f t="shared" si="644"/>
        <v>170</v>
      </c>
      <c r="AP233">
        <f t="shared" si="645"/>
        <v>170.21039180997644</v>
      </c>
      <c r="AR233" s="5">
        <f t="shared" si="616"/>
        <v>5.8750819463267794</v>
      </c>
      <c r="AS233" s="5">
        <f t="shared" si="604"/>
        <v>0.61896312999016123</v>
      </c>
      <c r="AT233" s="5">
        <f t="shared" si="605"/>
        <v>5.2561188163366186</v>
      </c>
      <c r="AU233" s="173">
        <f t="shared" si="606"/>
        <v>0.10535395687155472</v>
      </c>
      <c r="BA233" s="173">
        <f t="shared" si="692"/>
        <v>0.4164398530747227</v>
      </c>
      <c r="BB233" s="173">
        <f t="shared" si="693"/>
        <v>0.80942817135209</v>
      </c>
      <c r="BC233" s="173">
        <f t="shared" si="694"/>
        <v>8.1052199320526847E-2</v>
      </c>
      <c r="BD233" s="173"/>
      <c r="BE233" s="528">
        <f t="shared" si="695"/>
        <v>6.9368860491558649E-3</v>
      </c>
      <c r="BF233" s="528">
        <f t="shared" si="646"/>
        <v>0.44588189915335374</v>
      </c>
      <c r="BG233" s="528">
        <f t="shared" si="647"/>
        <v>0.24443802663289069</v>
      </c>
      <c r="BH233" s="528">
        <f t="shared" si="696"/>
        <v>8.1762027638235035E-2</v>
      </c>
      <c r="BI233">
        <f t="shared" si="697"/>
        <v>1.6156051169249706E-2</v>
      </c>
      <c r="BJ233" s="460">
        <f t="shared" si="698"/>
        <v>260.59407780214036</v>
      </c>
      <c r="BK233">
        <f t="shared" si="648"/>
        <v>0.53733941711798583</v>
      </c>
      <c r="BL233" s="460">
        <f t="shared" si="699"/>
        <v>795.17489064288509</v>
      </c>
      <c r="BM233" s="173">
        <f t="shared" si="649"/>
        <v>0.14756</v>
      </c>
      <c r="BN233" s="173">
        <f t="shared" si="650"/>
        <v>1.0540000000000001E-2</v>
      </c>
      <c r="BQ233" s="460">
        <f t="shared" si="700"/>
        <v>158.1</v>
      </c>
      <c r="BR233" s="528">
        <f t="shared" si="701"/>
        <v>5.2026645368668982E-3</v>
      </c>
      <c r="BS233" s="528">
        <f t="shared" si="702"/>
        <v>1.965521893735165E-2</v>
      </c>
      <c r="BT233" s="528">
        <f t="shared" si="703"/>
        <v>3.2847295073472064E-5</v>
      </c>
      <c r="BU233" s="528">
        <f t="shared" si="704"/>
        <v>0.13912459031340296</v>
      </c>
      <c r="BV233" s="528"/>
      <c r="BW233" s="625">
        <f t="shared" si="705"/>
        <v>0.16810902894812493</v>
      </c>
      <c r="BX233" s="460">
        <f t="shared" si="706"/>
        <v>332.12435003081993</v>
      </c>
      <c r="BY233" s="173">
        <f t="shared" si="707"/>
        <v>1.2853992406737049</v>
      </c>
      <c r="BZ233" s="5">
        <f t="shared" si="708"/>
        <v>4.3860000000000001</v>
      </c>
      <c r="CA233" s="173">
        <f t="shared" si="709"/>
        <v>0.77335412547662352</v>
      </c>
      <c r="CB233" s="5">
        <f t="shared" si="710"/>
        <v>77.335412547662358</v>
      </c>
      <c r="CC233">
        <f t="shared" si="711"/>
        <v>17</v>
      </c>
      <c r="CE233" s="562">
        <f t="shared" si="651"/>
        <v>-50</v>
      </c>
      <c r="CG233" s="173">
        <f t="shared" si="652"/>
        <v>0.23270646700755418</v>
      </c>
      <c r="CH233" s="173">
        <f t="shared" si="653"/>
        <v>6.3643286187890127E-2</v>
      </c>
      <c r="CI233" s="170">
        <v>17</v>
      </c>
      <c r="CJ233" s="217">
        <f t="shared" si="712"/>
        <v>0.17</v>
      </c>
      <c r="CK233" s="217">
        <f t="shared" si="654"/>
        <v>1.7000000000000001E-2</v>
      </c>
      <c r="CL233" s="217">
        <f t="shared" si="655"/>
        <v>4.08</v>
      </c>
      <c r="CM233" s="217">
        <f t="shared" si="656"/>
        <v>0.30600000000000005</v>
      </c>
      <c r="CN233" s="541">
        <f t="shared" si="657"/>
        <v>36</v>
      </c>
      <c r="CO233" s="443">
        <f t="shared" si="658"/>
        <v>16.474900000000002</v>
      </c>
      <c r="CP233" s="443">
        <f t="shared" si="659"/>
        <v>52.474900000000005</v>
      </c>
      <c r="CQ233" s="443"/>
      <c r="CR233" s="217">
        <f t="shared" si="660"/>
        <v>0.31220924123305599</v>
      </c>
      <c r="CS233" s="172">
        <f t="shared" si="661"/>
        <v>58.085440229405762</v>
      </c>
      <c r="CT233" s="172">
        <f t="shared" si="662"/>
        <v>4.683138618495839</v>
      </c>
      <c r="CU233" s="217">
        <f t="shared" si="663"/>
        <v>2.4202266762252402</v>
      </c>
      <c r="CV233" s="217">
        <f t="shared" si="664"/>
        <v>3.2269689016336534</v>
      </c>
      <c r="CW233" s="217">
        <f t="shared" si="665"/>
        <v>24</v>
      </c>
      <c r="CX233" s="217">
        <f t="shared" si="666"/>
        <v>0.78045949474242471</v>
      </c>
      <c r="CY233" s="217">
        <f t="shared" si="667"/>
        <v>0.21679430409511799</v>
      </c>
      <c r="CZ233" s="217">
        <f t="shared" si="668"/>
        <v>0.4737263927200922</v>
      </c>
      <c r="DA233" s="197">
        <f t="shared" si="669"/>
        <v>350</v>
      </c>
      <c r="DB233" s="443">
        <f t="shared" si="670"/>
        <v>350</v>
      </c>
      <c r="DD233" s="217">
        <f t="shared" si="671"/>
        <v>3.2292794133140656</v>
      </c>
      <c r="DE233" s="173">
        <f t="shared" si="672"/>
        <v>1.9601207978889497</v>
      </c>
      <c r="DF233" s="173">
        <f t="shared" si="673"/>
        <v>0.6872960992823488</v>
      </c>
      <c r="DG233" s="173"/>
      <c r="DH233" s="173">
        <f t="shared" si="674"/>
        <v>1.3488532386977903</v>
      </c>
      <c r="DI233" s="545">
        <f t="shared" si="675"/>
        <v>170.05949999999993</v>
      </c>
      <c r="DJ233" s="528">
        <f t="shared" si="676"/>
        <v>0.34987754285999911</v>
      </c>
      <c r="DL233" s="173">
        <f t="shared" si="677"/>
        <v>1.5831252996164624</v>
      </c>
      <c r="DM233" s="173">
        <f t="shared" si="678"/>
        <v>2.2222222222222223</v>
      </c>
      <c r="DN233" s="173">
        <f t="shared" si="679"/>
        <v>1.0971768571428571</v>
      </c>
      <c r="DP233" s="545">
        <f t="shared" si="680"/>
        <v>170</v>
      </c>
      <c r="DQ233" s="460">
        <f t="shared" si="681"/>
        <v>170.05949999999993</v>
      </c>
      <c r="DS233">
        <f t="shared" si="682"/>
        <v>170</v>
      </c>
      <c r="DT233">
        <f t="shared" si="683"/>
        <v>170.05949999999993</v>
      </c>
      <c r="DV233" s="5">
        <f t="shared" si="684"/>
        <v>5.880294837983179</v>
      </c>
      <c r="DW233" s="5">
        <f t="shared" si="685"/>
        <v>0.61728395061728403</v>
      </c>
      <c r="DX233" s="5">
        <f t="shared" si="686"/>
        <v>5.263010887365895</v>
      </c>
      <c r="DY233" s="173">
        <f t="shared" si="687"/>
        <v>0.10497499999999997</v>
      </c>
      <c r="EA233" s="5">
        <f t="shared" si="713"/>
        <v>0.43724279835390956</v>
      </c>
      <c r="EB233" s="5">
        <f t="shared" si="714"/>
        <v>5.829903978052127E-2</v>
      </c>
      <c r="EC233" s="5">
        <f t="shared" si="715"/>
        <v>0.49706213936233451</v>
      </c>
      <c r="ED233" s="5"/>
      <c r="EE233" s="173">
        <f t="shared" si="716"/>
        <v>0.41569021387262056</v>
      </c>
      <c r="EF233" s="173">
        <f t="shared" si="717"/>
        <v>0.80959958321631631</v>
      </c>
      <c r="EG233" s="173">
        <f t="shared" si="718"/>
        <v>8.106936367071492E-2</v>
      </c>
      <c r="EH233" s="173"/>
      <c r="EI233" s="528">
        <f t="shared" si="719"/>
        <v>6.9119341563786008E-3</v>
      </c>
      <c r="EJ233" s="528">
        <f t="shared" si="720"/>
        <v>0.54534671012249991</v>
      </c>
      <c r="EK233" s="528">
        <f t="shared" si="721"/>
        <v>3.4011899999999984E-2</v>
      </c>
      <c r="EL233" s="528">
        <f t="shared" si="722"/>
        <v>8.19487221353387E-2</v>
      </c>
      <c r="EM233">
        <f t="shared" si="723"/>
        <v>1.6199999999999999E-2</v>
      </c>
      <c r="EN233" s="460">
        <f t="shared" si="724"/>
        <v>50.211899999999986</v>
      </c>
      <c r="EP233" s="460">
        <f t="shared" si="725"/>
        <v>684.41926641421708</v>
      </c>
      <c r="EQ233" s="173">
        <f t="shared" si="726"/>
        <v>0.11899999999999999</v>
      </c>
      <c r="ER233" s="173">
        <f t="shared" si="688"/>
        <v>1.0540000000000001E-2</v>
      </c>
      <c r="ES233" s="528"/>
      <c r="EU233" s="460">
        <f t="shared" si="727"/>
        <v>129.54</v>
      </c>
      <c r="EV233" s="528">
        <f t="shared" si="728"/>
        <v>5.1839506172839502E-3</v>
      </c>
      <c r="EW233" s="528">
        <f t="shared" si="729"/>
        <v>1.966354455432099E-2</v>
      </c>
      <c r="EX233" s="528">
        <f t="shared" si="730"/>
        <v>3.2861208629873159E-5</v>
      </c>
      <c r="EY233" s="528">
        <f t="shared" si="731"/>
        <v>0.13881645980658786</v>
      </c>
      <c r="EZ233" s="528"/>
      <c r="FA233" s="625">
        <f t="shared" si="732"/>
        <v>0.16796</v>
      </c>
      <c r="FB233" s="460">
        <f t="shared" si="733"/>
        <v>331.65681618682265</v>
      </c>
      <c r="FC233" s="173">
        <f t="shared" si="734"/>
        <v>1.1456160826010398</v>
      </c>
      <c r="FD233" s="5">
        <f t="shared" si="735"/>
        <v>4.3860000000000001</v>
      </c>
      <c r="FE233" s="173">
        <f t="shared" si="736"/>
        <v>0.79289667513180773</v>
      </c>
      <c r="FF233" s="5">
        <f t="shared" si="737"/>
        <v>79.289667513180774</v>
      </c>
      <c r="FG233">
        <f t="shared" si="738"/>
        <v>17</v>
      </c>
      <c r="FI233" s="562">
        <f t="shared" si="689"/>
        <v>-50</v>
      </c>
    </row>
    <row r="234" spans="5:165">
      <c r="E234" s="170">
        <v>18</v>
      </c>
      <c r="F234" s="217">
        <f t="shared" si="690"/>
        <v>0.18</v>
      </c>
      <c r="G234" s="217">
        <f t="shared" si="617"/>
        <v>1.7999999999999999E-2</v>
      </c>
      <c r="H234" s="217">
        <f t="shared" si="618"/>
        <v>4.32</v>
      </c>
      <c r="I234" s="217">
        <f t="shared" si="619"/>
        <v>0.32399999999999995</v>
      </c>
      <c r="J234" s="541">
        <f t="shared" si="620"/>
        <v>35.902335931666016</v>
      </c>
      <c r="K234" s="443">
        <f t="shared" si="621"/>
        <v>16.489517986529311</v>
      </c>
      <c r="L234" s="172">
        <f t="shared" si="622"/>
        <v>52.391853918195324</v>
      </c>
      <c r="M234" s="443"/>
      <c r="N234" s="217">
        <f t="shared" si="623"/>
        <v>0.31473438623256311</v>
      </c>
      <c r="O234" s="172">
        <f t="shared" si="624"/>
        <v>58.396380691308515</v>
      </c>
      <c r="P234" s="172">
        <f t="shared" si="625"/>
        <v>4.7082081932367492</v>
      </c>
      <c r="Q234" s="217">
        <f t="shared" si="626"/>
        <v>2.4331825288045215</v>
      </c>
      <c r="R234" s="217">
        <f t="shared" si="627"/>
        <v>3.2442433717393619</v>
      </c>
      <c r="S234" s="217">
        <f t="shared" si="628"/>
        <v>24</v>
      </c>
      <c r="T234" s="217">
        <f t="shared" si="629"/>
        <v>0.82196874929175401</v>
      </c>
      <c r="U234" s="217">
        <f t="shared" si="630"/>
        <v>0.22894575741707493</v>
      </c>
      <c r="V234" s="217">
        <f t="shared" si="631"/>
        <v>0.4984795492283281</v>
      </c>
      <c r="W234" s="197">
        <f t="shared" si="632"/>
        <v>350</v>
      </c>
      <c r="X234" s="443">
        <f t="shared" si="691"/>
        <v>350</v>
      </c>
      <c r="Z234" s="217">
        <f t="shared" si="633"/>
        <v>3.228485618219485</v>
      </c>
      <c r="AA234" s="173">
        <f t="shared" si="634"/>
        <v>1.9579017536212484</v>
      </c>
      <c r="AB234" s="173">
        <f t="shared" si="635"/>
        <v>0.68634926009236363</v>
      </c>
      <c r="AC234" s="173"/>
      <c r="AD234" s="173">
        <f t="shared" si="636"/>
        <v>1.3476574779430244</v>
      </c>
      <c r="AE234" s="545">
        <f t="shared" si="637"/>
        <v>180.22276779879857</v>
      </c>
      <c r="AF234" s="528">
        <f t="shared" si="638"/>
        <v>0.34956737580644337</v>
      </c>
      <c r="AH234" s="173">
        <f t="shared" si="639"/>
        <v>1.6290224939252023</v>
      </c>
      <c r="AI234" s="173">
        <f t="shared" si="640"/>
        <v>2.2222222222222223</v>
      </c>
      <c r="AJ234" s="173">
        <f t="shared" si="641"/>
        <v>1.1029844387421706</v>
      </c>
      <c r="AL234" s="545">
        <f t="shared" si="642"/>
        <v>180</v>
      </c>
      <c r="AM234" s="460">
        <f t="shared" si="643"/>
        <v>180.22276779879857</v>
      </c>
      <c r="AO234">
        <f t="shared" si="644"/>
        <v>180</v>
      </c>
      <c r="AP234">
        <f t="shared" si="645"/>
        <v>180.22276779879857</v>
      </c>
      <c r="AR234" s="5">
        <f t="shared" si="616"/>
        <v>5.5486885048641801</v>
      </c>
      <c r="AS234" s="5">
        <f t="shared" si="604"/>
        <v>0.61896312999016123</v>
      </c>
      <c r="AT234" s="5">
        <f t="shared" si="605"/>
        <v>4.9297253748740193</v>
      </c>
      <c r="AU234" s="173">
        <f t="shared" si="606"/>
        <v>0.11155124845223441</v>
      </c>
      <c r="BA234" s="173">
        <f t="shared" si="692"/>
        <v>0.42851307359561525</v>
      </c>
      <c r="BB234" s="173">
        <f t="shared" si="693"/>
        <v>0.80661980950261281</v>
      </c>
      <c r="BC234" s="173">
        <f t="shared" si="694"/>
        <v>8.0770983627221085E-2</v>
      </c>
      <c r="BD234" s="173"/>
      <c r="BE234" s="528">
        <f t="shared" si="695"/>
        <v>7.3449381696944474E-3</v>
      </c>
      <c r="BF234" s="528">
        <f t="shared" si="646"/>
        <v>0.47211024616237451</v>
      </c>
      <c r="BG234" s="528">
        <f t="shared" si="647"/>
        <v>0.25881673408188427</v>
      </c>
      <c r="BH234" s="528">
        <f t="shared" si="696"/>
        <v>8.6571558675778273E-2</v>
      </c>
      <c r="BI234">
        <f t="shared" si="697"/>
        <v>1.6156051169249706E-2</v>
      </c>
      <c r="BJ234" s="460">
        <f t="shared" si="698"/>
        <v>274.97278525113398</v>
      </c>
      <c r="BK234">
        <f t="shared" si="648"/>
        <v>0.56900287584134923</v>
      </c>
      <c r="BL234" s="460">
        <f t="shared" si="699"/>
        <v>840.99952825898117</v>
      </c>
      <c r="BM234" s="173">
        <f t="shared" si="649"/>
        <v>0.15623999999999999</v>
      </c>
      <c r="BN234" s="173">
        <f t="shared" si="650"/>
        <v>1.116E-2</v>
      </c>
      <c r="BQ234" s="460">
        <f t="shared" si="700"/>
        <v>167.4</v>
      </c>
      <c r="BR234" s="528">
        <f t="shared" si="701"/>
        <v>5.5087036272708353E-3</v>
      </c>
      <c r="BS234" s="528">
        <f t="shared" si="702"/>
        <v>1.951906551246094E-2</v>
      </c>
      <c r="BT234" s="528">
        <f t="shared" si="703"/>
        <v>3.2619758980544084E-5</v>
      </c>
      <c r="BU234" s="528">
        <f t="shared" si="704"/>
        <v>0.16049549914294761</v>
      </c>
      <c r="BV234" s="528"/>
      <c r="BW234" s="625">
        <f t="shared" si="705"/>
        <v>0.17799779535683813</v>
      </c>
      <c r="BX234" s="460">
        <f t="shared" si="706"/>
        <v>363.55368339849804</v>
      </c>
      <c r="BY234" s="173">
        <f t="shared" si="707"/>
        <v>1.3719532116574793</v>
      </c>
      <c r="BZ234" s="5">
        <f t="shared" si="708"/>
        <v>4.6440000000000001</v>
      </c>
      <c r="CA234" s="173">
        <f t="shared" si="709"/>
        <v>0.77194749304250543</v>
      </c>
      <c r="CB234" s="5">
        <f t="shared" si="710"/>
        <v>77.194749304250536</v>
      </c>
      <c r="CC234">
        <f t="shared" si="711"/>
        <v>18</v>
      </c>
      <c r="CE234" s="562">
        <f t="shared" si="651"/>
        <v>-50</v>
      </c>
      <c r="CG234" s="173">
        <f t="shared" si="652"/>
        <v>0.24639508271388089</v>
      </c>
      <c r="CH234" s="173">
        <f t="shared" si="653"/>
        <v>6.7387008904824852E-2</v>
      </c>
      <c r="CI234" s="170">
        <v>18</v>
      </c>
      <c r="CJ234" s="217">
        <f t="shared" si="712"/>
        <v>0.18</v>
      </c>
      <c r="CK234" s="217">
        <f t="shared" si="654"/>
        <v>1.7999999999999999E-2</v>
      </c>
      <c r="CL234" s="217">
        <f t="shared" si="655"/>
        <v>4.32</v>
      </c>
      <c r="CM234" s="217">
        <f t="shared" si="656"/>
        <v>0.32399999999999995</v>
      </c>
      <c r="CN234" s="541">
        <f t="shared" si="657"/>
        <v>36</v>
      </c>
      <c r="CO234" s="443">
        <f t="shared" si="658"/>
        <v>16.474900000000002</v>
      </c>
      <c r="CP234" s="443">
        <f t="shared" si="659"/>
        <v>52.474900000000005</v>
      </c>
      <c r="CQ234" s="443"/>
      <c r="CR234" s="217">
        <f t="shared" si="660"/>
        <v>0.31220924123305599</v>
      </c>
      <c r="CS234" s="172">
        <f t="shared" si="661"/>
        <v>58.085440229405762</v>
      </c>
      <c r="CT234" s="172">
        <f t="shared" si="662"/>
        <v>4.683138618495839</v>
      </c>
      <c r="CU234" s="217">
        <f t="shared" si="663"/>
        <v>2.4202266762252402</v>
      </c>
      <c r="CV234" s="217">
        <f t="shared" si="664"/>
        <v>3.2269689016336534</v>
      </c>
      <c r="CW234" s="217">
        <f t="shared" si="665"/>
        <v>24</v>
      </c>
      <c r="CX234" s="217">
        <f t="shared" si="666"/>
        <v>0.82636887678609683</v>
      </c>
      <c r="CY234" s="217">
        <f t="shared" si="667"/>
        <v>0.22954691021836027</v>
      </c>
      <c r="CZ234" s="217">
        <f t="shared" si="668"/>
        <v>0.50159265111539186</v>
      </c>
      <c r="DA234" s="197">
        <f t="shared" si="669"/>
        <v>350</v>
      </c>
      <c r="DB234" s="443">
        <f t="shared" si="670"/>
        <v>350</v>
      </c>
      <c r="DD234" s="217">
        <f t="shared" si="671"/>
        <v>3.2292794133140656</v>
      </c>
      <c r="DE234" s="173">
        <f t="shared" si="672"/>
        <v>1.9601207978889497</v>
      </c>
      <c r="DF234" s="173">
        <f t="shared" si="673"/>
        <v>0.6872960992823488</v>
      </c>
      <c r="DG234" s="173"/>
      <c r="DH234" s="173">
        <f t="shared" si="674"/>
        <v>1.3488532386977903</v>
      </c>
      <c r="DI234" s="545">
        <f t="shared" si="675"/>
        <v>180.06299999999996</v>
      </c>
      <c r="DJ234" s="528">
        <f t="shared" si="676"/>
        <v>0.34987754285999911</v>
      </c>
      <c r="DL234" s="173">
        <f t="shared" si="677"/>
        <v>1.6290224939252023</v>
      </c>
      <c r="DM234" s="173">
        <f t="shared" si="678"/>
        <v>2.2222222222222223</v>
      </c>
      <c r="DN234" s="173">
        <f t="shared" si="679"/>
        <v>1.1028931428571429</v>
      </c>
      <c r="DP234" s="545">
        <f t="shared" si="680"/>
        <v>180</v>
      </c>
      <c r="DQ234" s="460">
        <f t="shared" si="681"/>
        <v>180.06299999999996</v>
      </c>
      <c r="DS234">
        <f t="shared" si="682"/>
        <v>180</v>
      </c>
      <c r="DT234">
        <f t="shared" si="683"/>
        <v>180.06299999999996</v>
      </c>
      <c r="DV234" s="5">
        <f t="shared" si="684"/>
        <v>5.5536117914285574</v>
      </c>
      <c r="DW234" s="5">
        <f t="shared" si="685"/>
        <v>0.61728395061728403</v>
      </c>
      <c r="DX234" s="5">
        <f t="shared" si="686"/>
        <v>4.9363278408112734</v>
      </c>
      <c r="DY234" s="173">
        <f t="shared" si="687"/>
        <v>0.11114999999999997</v>
      </c>
      <c r="EA234" s="5">
        <f t="shared" si="713"/>
        <v>0.46296296296296297</v>
      </c>
      <c r="EB234" s="5">
        <f t="shared" si="714"/>
        <v>6.1728395061728399E-2</v>
      </c>
      <c r="EC234" s="5">
        <f t="shared" si="715"/>
        <v>0.49363278408112732</v>
      </c>
      <c r="ED234" s="5"/>
      <c r="EE234" s="173">
        <f t="shared" si="716"/>
        <v>0.42774170122044791</v>
      </c>
      <c r="EF234" s="173">
        <f t="shared" si="717"/>
        <v>0.80680193504157605</v>
      </c>
      <c r="EG234" s="173">
        <f t="shared" si="718"/>
        <v>8.0789220792676725E-2</v>
      </c>
      <c r="EH234" s="173"/>
      <c r="EI234" s="528">
        <f t="shared" si="719"/>
        <v>7.3185185185185176E-3</v>
      </c>
      <c r="EJ234" s="528">
        <f t="shared" si="720"/>
        <v>0.57742592836499995</v>
      </c>
      <c r="EK234" s="528">
        <f t="shared" si="721"/>
        <v>3.6012599999999985E-2</v>
      </c>
      <c r="EL234" s="528">
        <f t="shared" si="722"/>
        <v>8.6769235202123346E-2</v>
      </c>
      <c r="EM234">
        <f t="shared" si="723"/>
        <v>1.6199999999999999E-2</v>
      </c>
      <c r="EN234" s="460">
        <f t="shared" si="724"/>
        <v>52.212599999999981</v>
      </c>
      <c r="EP234" s="460">
        <f t="shared" si="725"/>
        <v>723.72628208564174</v>
      </c>
      <c r="EQ234" s="173">
        <f t="shared" si="726"/>
        <v>0.126</v>
      </c>
      <c r="ER234" s="173">
        <f t="shared" si="688"/>
        <v>1.116E-2</v>
      </c>
      <c r="ES234" s="528"/>
      <c r="EU234" s="460">
        <f t="shared" si="727"/>
        <v>137.16</v>
      </c>
      <c r="EV234" s="528">
        <f t="shared" si="728"/>
        <v>5.4888888888888878E-3</v>
      </c>
      <c r="EW234" s="528">
        <f t="shared" si="729"/>
        <v>1.9527880871604945E-2</v>
      </c>
      <c r="EX234" s="528">
        <f t="shared" si="730"/>
        <v>3.2634490981439349E-5</v>
      </c>
      <c r="EY234" s="528">
        <f t="shared" si="731"/>
        <v>0.16014003675214369</v>
      </c>
      <c r="EZ234" s="528"/>
      <c r="FA234" s="625">
        <f t="shared" si="732"/>
        <v>0.17784000000000003</v>
      </c>
      <c r="FB234" s="460">
        <f t="shared" si="733"/>
        <v>363.02944100361901</v>
      </c>
      <c r="FC234" s="173">
        <f t="shared" si="734"/>
        <v>1.2239157230892606</v>
      </c>
      <c r="FD234" s="5">
        <f t="shared" si="735"/>
        <v>4.6440000000000001</v>
      </c>
      <c r="FE234" s="173">
        <f t="shared" si="736"/>
        <v>0.79142240944712994</v>
      </c>
      <c r="FF234" s="5">
        <f t="shared" si="737"/>
        <v>79.142240944712995</v>
      </c>
      <c r="FG234">
        <f t="shared" si="738"/>
        <v>18</v>
      </c>
      <c r="FI234" s="562">
        <f t="shared" si="689"/>
        <v>-50</v>
      </c>
    </row>
    <row r="235" spans="5:165">
      <c r="E235" s="170">
        <v>19</v>
      </c>
      <c r="F235" s="217">
        <f t="shared" si="690"/>
        <v>0.19</v>
      </c>
      <c r="G235" s="217">
        <f t="shared" si="617"/>
        <v>1.9000000000000003E-2</v>
      </c>
      <c r="H235" s="217">
        <f t="shared" si="618"/>
        <v>4.5600000000000005</v>
      </c>
      <c r="I235" s="217">
        <f t="shared" si="619"/>
        <v>0.34200000000000008</v>
      </c>
      <c r="J235" s="541">
        <f t="shared" si="620"/>
        <v>35.902335931666016</v>
      </c>
      <c r="K235" s="443">
        <f t="shared" si="621"/>
        <v>16.489517986529311</v>
      </c>
      <c r="L235" s="172">
        <f t="shared" si="622"/>
        <v>52.391853918195324</v>
      </c>
      <c r="M235" s="443"/>
      <c r="N235" s="217">
        <f t="shared" si="623"/>
        <v>0.31473438623256311</v>
      </c>
      <c r="O235" s="172">
        <f t="shared" si="624"/>
        <v>58.396380691308515</v>
      </c>
      <c r="P235" s="172">
        <f t="shared" si="625"/>
        <v>4.7082081932367492</v>
      </c>
      <c r="Q235" s="217">
        <f t="shared" si="626"/>
        <v>2.4331825288045215</v>
      </c>
      <c r="R235" s="217">
        <f t="shared" si="627"/>
        <v>3.2442433717393619</v>
      </c>
      <c r="S235" s="217">
        <f t="shared" si="628"/>
        <v>24</v>
      </c>
      <c r="T235" s="217">
        <f t="shared" si="629"/>
        <v>0.86763367980796269</v>
      </c>
      <c r="U235" s="217">
        <f t="shared" si="630"/>
        <v>0.24166496616246799</v>
      </c>
      <c r="V235" s="217">
        <f t="shared" si="631"/>
        <v>0.52617285751879084</v>
      </c>
      <c r="W235" s="197">
        <f t="shared" si="632"/>
        <v>350</v>
      </c>
      <c r="X235" s="443">
        <f t="shared" si="691"/>
        <v>350</v>
      </c>
      <c r="Z235" s="217">
        <f t="shared" si="633"/>
        <v>3.228485618219485</v>
      </c>
      <c r="AA235" s="173">
        <f t="shared" si="634"/>
        <v>1.9579017536212484</v>
      </c>
      <c r="AB235" s="173">
        <f t="shared" si="635"/>
        <v>0.68634926009236363</v>
      </c>
      <c r="AC235" s="173"/>
      <c r="AD235" s="173">
        <f t="shared" si="636"/>
        <v>1.3476574779430244</v>
      </c>
      <c r="AE235" s="545">
        <f t="shared" si="637"/>
        <v>190.23514378762073</v>
      </c>
      <c r="AF235" s="528">
        <f t="shared" si="638"/>
        <v>0.34956737580644337</v>
      </c>
      <c r="AH235" s="173">
        <f t="shared" si="639"/>
        <v>1.6736615121173268</v>
      </c>
      <c r="AI235" s="173">
        <f t="shared" si="640"/>
        <v>2.2222222222222223</v>
      </c>
      <c r="AJ235" s="173">
        <f t="shared" si="641"/>
        <v>1.1087057964500691</v>
      </c>
      <c r="AL235" s="545">
        <f t="shared" si="642"/>
        <v>190</v>
      </c>
      <c r="AM235" s="460">
        <f t="shared" si="643"/>
        <v>190.23514378762073</v>
      </c>
      <c r="AO235">
        <f t="shared" si="644"/>
        <v>190</v>
      </c>
      <c r="AP235">
        <f t="shared" si="645"/>
        <v>190.23514378762073</v>
      </c>
      <c r="AR235" s="5">
        <f t="shared" si="616"/>
        <v>5.2566522677660652</v>
      </c>
      <c r="AS235" s="5">
        <f t="shared" si="604"/>
        <v>0.61896312999016123</v>
      </c>
      <c r="AT235" s="5">
        <f t="shared" si="605"/>
        <v>4.6376891377759044</v>
      </c>
      <c r="AU235" s="173">
        <f t="shared" si="606"/>
        <v>0.1177485400329141</v>
      </c>
      <c r="BA235" s="173">
        <f t="shared" si="692"/>
        <v>0.44025533188801441</v>
      </c>
      <c r="BB235" s="173">
        <f t="shared" si="693"/>
        <v>0.80380163571970531</v>
      </c>
      <c r="BC235" s="173">
        <f t="shared" si="694"/>
        <v>8.0488785414635361E-2</v>
      </c>
      <c r="BD235" s="173"/>
      <c r="BE235" s="528">
        <f t="shared" si="695"/>
        <v>7.7529902902330281E-3</v>
      </c>
      <c r="BF235" s="528">
        <f t="shared" si="646"/>
        <v>0.49833859317139534</v>
      </c>
      <c r="BG235" s="528">
        <f t="shared" si="647"/>
        <v>0.27319544153087783</v>
      </c>
      <c r="BH235" s="528">
        <f t="shared" si="696"/>
        <v>9.1381089713321512E-2</v>
      </c>
      <c r="BI235">
        <f t="shared" si="697"/>
        <v>1.6156051169249706E-2</v>
      </c>
      <c r="BJ235" s="460">
        <f t="shared" si="698"/>
        <v>289.35149270012755</v>
      </c>
      <c r="BK235">
        <f t="shared" si="648"/>
        <v>0.60067248564194575</v>
      </c>
      <c r="BL235" s="460">
        <f t="shared" si="699"/>
        <v>886.82416587507737</v>
      </c>
      <c r="BM235" s="173">
        <f t="shared" si="649"/>
        <v>0.16491999999999998</v>
      </c>
      <c r="BN235" s="173">
        <f t="shared" si="650"/>
        <v>1.1780000000000002E-2</v>
      </c>
      <c r="BQ235" s="460">
        <f t="shared" si="700"/>
        <v>176.7</v>
      </c>
      <c r="BR235" s="528">
        <f t="shared" si="701"/>
        <v>5.8147427176747707E-3</v>
      </c>
      <c r="BS235" s="528">
        <f t="shared" si="702"/>
        <v>1.9382912087570214E-2</v>
      </c>
      <c r="BT235" s="528">
        <f t="shared" si="703"/>
        <v>3.239222288761609E-5</v>
      </c>
      <c r="BU235" s="528">
        <f t="shared" si="704"/>
        <v>0.18372387527841141</v>
      </c>
      <c r="BV235" s="528"/>
      <c r="BW235" s="625">
        <f t="shared" si="705"/>
        <v>0.18788656176555138</v>
      </c>
      <c r="BX235" s="460">
        <f t="shared" si="706"/>
        <v>396.84048407209536</v>
      </c>
      <c r="BY235" s="173">
        <f t="shared" si="707"/>
        <v>1.4603646499471725</v>
      </c>
      <c r="BZ235" s="5">
        <f t="shared" si="708"/>
        <v>4.902000000000001</v>
      </c>
      <c r="CA235" s="173">
        <f t="shared" si="709"/>
        <v>0.77046825664742458</v>
      </c>
      <c r="CB235" s="5">
        <f t="shared" si="710"/>
        <v>77.046825664742457</v>
      </c>
      <c r="CC235">
        <f t="shared" si="711"/>
        <v>19</v>
      </c>
      <c r="CE235" s="562">
        <f t="shared" si="651"/>
        <v>-50</v>
      </c>
      <c r="CG235" s="173">
        <f t="shared" si="652"/>
        <v>0.26008369842020762</v>
      </c>
      <c r="CH235" s="173">
        <f t="shared" si="653"/>
        <v>7.1130731621759563E-2</v>
      </c>
      <c r="CI235" s="170">
        <v>19</v>
      </c>
      <c r="CJ235" s="217">
        <f t="shared" si="712"/>
        <v>0.19</v>
      </c>
      <c r="CK235" s="217">
        <f t="shared" si="654"/>
        <v>1.9000000000000003E-2</v>
      </c>
      <c r="CL235" s="217">
        <f t="shared" si="655"/>
        <v>4.5600000000000005</v>
      </c>
      <c r="CM235" s="217">
        <f t="shared" si="656"/>
        <v>0.34200000000000008</v>
      </c>
      <c r="CN235" s="541">
        <f t="shared" si="657"/>
        <v>36</v>
      </c>
      <c r="CO235" s="443">
        <f t="shared" si="658"/>
        <v>16.474900000000002</v>
      </c>
      <c r="CP235" s="443">
        <f t="shared" si="659"/>
        <v>52.474900000000005</v>
      </c>
      <c r="CQ235" s="443"/>
      <c r="CR235" s="217">
        <f t="shared" si="660"/>
        <v>0.31220924123305599</v>
      </c>
      <c r="CS235" s="172">
        <f t="shared" si="661"/>
        <v>58.085440229405762</v>
      </c>
      <c r="CT235" s="172">
        <f t="shared" si="662"/>
        <v>4.683138618495839</v>
      </c>
      <c r="CU235" s="217">
        <f t="shared" si="663"/>
        <v>2.4202266762252402</v>
      </c>
      <c r="CV235" s="217">
        <f t="shared" si="664"/>
        <v>3.2269689016336534</v>
      </c>
      <c r="CW235" s="217">
        <f t="shared" si="665"/>
        <v>24</v>
      </c>
      <c r="CX235" s="217">
        <f t="shared" si="666"/>
        <v>0.87227825882976895</v>
      </c>
      <c r="CY235" s="217">
        <f t="shared" si="667"/>
        <v>0.24229951634160249</v>
      </c>
      <c r="CZ235" s="217">
        <f t="shared" si="668"/>
        <v>0.52945890951069141</v>
      </c>
      <c r="DA235" s="197">
        <f t="shared" si="669"/>
        <v>350</v>
      </c>
      <c r="DB235" s="443">
        <f t="shared" si="670"/>
        <v>350</v>
      </c>
      <c r="DD235" s="217">
        <f t="shared" si="671"/>
        <v>3.2292794133140656</v>
      </c>
      <c r="DE235" s="173">
        <f t="shared" si="672"/>
        <v>1.9601207978889497</v>
      </c>
      <c r="DF235" s="173">
        <f t="shared" si="673"/>
        <v>0.6872960992823488</v>
      </c>
      <c r="DG235" s="173"/>
      <c r="DH235" s="173">
        <f t="shared" si="674"/>
        <v>1.3488532386977903</v>
      </c>
      <c r="DI235" s="545">
        <f t="shared" si="675"/>
        <v>190.06649999999993</v>
      </c>
      <c r="DJ235" s="528">
        <f t="shared" si="676"/>
        <v>0.34987754285999911</v>
      </c>
      <c r="DL235" s="173">
        <f t="shared" si="677"/>
        <v>1.6736615121173268</v>
      </c>
      <c r="DM235" s="173">
        <f t="shared" si="678"/>
        <v>2.2222222222222223</v>
      </c>
      <c r="DN235" s="173">
        <f t="shared" si="679"/>
        <v>1.1086094285714285</v>
      </c>
      <c r="DP235" s="545">
        <f t="shared" si="680"/>
        <v>190</v>
      </c>
      <c r="DQ235" s="460">
        <f t="shared" si="681"/>
        <v>190.06649999999993</v>
      </c>
      <c r="DS235">
        <f t="shared" si="682"/>
        <v>190</v>
      </c>
      <c r="DT235">
        <f t="shared" si="683"/>
        <v>190.06649999999993</v>
      </c>
      <c r="DV235" s="5">
        <f t="shared" si="684"/>
        <v>5.2613164339849492</v>
      </c>
      <c r="DW235" s="5">
        <f t="shared" si="685"/>
        <v>0.61728395061728403</v>
      </c>
      <c r="DX235" s="5">
        <f t="shared" si="686"/>
        <v>4.6440324833676652</v>
      </c>
      <c r="DY235" s="173">
        <f t="shared" si="687"/>
        <v>0.11732499999999997</v>
      </c>
      <c r="EA235" s="5">
        <f t="shared" si="713"/>
        <v>0.4886831275720166</v>
      </c>
      <c r="EB235" s="5">
        <f t="shared" si="714"/>
        <v>6.5157750342935541E-2</v>
      </c>
      <c r="EC235" s="5">
        <f t="shared" si="715"/>
        <v>0.49020342879992018</v>
      </c>
      <c r="ED235" s="5"/>
      <c r="EE235" s="173">
        <f t="shared" si="716"/>
        <v>0.43946282210951687</v>
      </c>
      <c r="EF235" s="173">
        <f t="shared" si="717"/>
        <v>0.80399455199001801</v>
      </c>
      <c r="EG235" s="173">
        <f t="shared" si="718"/>
        <v>8.0508103111432874E-2</v>
      </c>
      <c r="EH235" s="173"/>
      <c r="EI235" s="528">
        <f t="shared" si="719"/>
        <v>7.7251028806584344E-3</v>
      </c>
      <c r="EJ235" s="528">
        <f t="shared" si="720"/>
        <v>0.60950514660749988</v>
      </c>
      <c r="EK235" s="528">
        <f t="shared" si="721"/>
        <v>3.8013299999999986E-2</v>
      </c>
      <c r="EL235" s="528">
        <f t="shared" si="722"/>
        <v>9.1589748268907964E-2</v>
      </c>
      <c r="EM235">
        <f t="shared" si="723"/>
        <v>1.6199999999999999E-2</v>
      </c>
      <c r="EN235" s="460">
        <f t="shared" si="724"/>
        <v>54.213299999999983</v>
      </c>
      <c r="EP235" s="460">
        <f t="shared" si="725"/>
        <v>763.03329775706629</v>
      </c>
      <c r="EQ235" s="173">
        <f t="shared" si="726"/>
        <v>0.13299999999999998</v>
      </c>
      <c r="ER235" s="173">
        <f t="shared" si="688"/>
        <v>1.1780000000000002E-2</v>
      </c>
      <c r="ES235" s="528"/>
      <c r="EU235" s="460">
        <f t="shared" si="727"/>
        <v>144.78</v>
      </c>
      <c r="EV235" s="528">
        <f t="shared" si="728"/>
        <v>5.7938271604938254E-3</v>
      </c>
      <c r="EW235" s="528">
        <f t="shared" si="729"/>
        <v>1.939221718888889E-2</v>
      </c>
      <c r="EX235" s="528">
        <f t="shared" si="730"/>
        <v>3.2407773333005539E-5</v>
      </c>
      <c r="EY235" s="528">
        <f t="shared" si="731"/>
        <v>0.18331696712021991</v>
      </c>
      <c r="EZ235" s="528"/>
      <c r="FA235" s="625">
        <f t="shared" si="732"/>
        <v>0.18771999999999997</v>
      </c>
      <c r="FB235" s="460">
        <f t="shared" si="733"/>
        <v>396.2554192429356</v>
      </c>
      <c r="FC235" s="173">
        <f t="shared" si="734"/>
        <v>1.3040687170000018</v>
      </c>
      <c r="FD235" s="5">
        <f t="shared" si="735"/>
        <v>4.902000000000001</v>
      </c>
      <c r="FE235" s="173">
        <f t="shared" si="736"/>
        <v>0.78987201456087242</v>
      </c>
      <c r="FF235" s="5">
        <f t="shared" si="737"/>
        <v>78.987201456087234</v>
      </c>
      <c r="FG235">
        <f t="shared" si="738"/>
        <v>19</v>
      </c>
      <c r="FI235" s="562">
        <f t="shared" si="689"/>
        <v>-50</v>
      </c>
    </row>
    <row r="236" spans="5:165">
      <c r="E236" s="170">
        <v>20</v>
      </c>
      <c r="F236" s="217">
        <f t="shared" si="690"/>
        <v>0.2</v>
      </c>
      <c r="G236" s="217">
        <f t="shared" si="617"/>
        <v>2.0000000000000004E-2</v>
      </c>
      <c r="H236" s="217">
        <f t="shared" si="618"/>
        <v>4.8000000000000007</v>
      </c>
      <c r="I236" s="217">
        <f t="shared" si="619"/>
        <v>0.3600000000000001</v>
      </c>
      <c r="J236" s="541">
        <f t="shared" si="620"/>
        <v>35.902335931666016</v>
      </c>
      <c r="K236" s="443">
        <f t="shared" si="621"/>
        <v>16.489517986529311</v>
      </c>
      <c r="L236" s="172">
        <f t="shared" si="622"/>
        <v>52.391853918195324</v>
      </c>
      <c r="M236" s="443"/>
      <c r="N236" s="217">
        <f t="shared" si="623"/>
        <v>0.31473438623256311</v>
      </c>
      <c r="O236" s="172">
        <f t="shared" si="624"/>
        <v>58.396380691308515</v>
      </c>
      <c r="P236" s="172">
        <f t="shared" si="625"/>
        <v>4.7082081932367492</v>
      </c>
      <c r="Q236" s="217">
        <f t="shared" si="626"/>
        <v>2.4331825288045215</v>
      </c>
      <c r="R236" s="217">
        <f t="shared" si="627"/>
        <v>3.2442433717393619</v>
      </c>
      <c r="S236" s="217">
        <f t="shared" si="628"/>
        <v>24</v>
      </c>
      <c r="T236" s="217">
        <f t="shared" si="629"/>
        <v>0.91329861032417126</v>
      </c>
      <c r="U236" s="217">
        <f t="shared" si="630"/>
        <v>0.25438417490786114</v>
      </c>
      <c r="V236" s="217">
        <f t="shared" si="631"/>
        <v>0.55386616580925363</v>
      </c>
      <c r="W236" s="197">
        <f t="shared" si="632"/>
        <v>350</v>
      </c>
      <c r="X236" s="443">
        <f t="shared" si="691"/>
        <v>350</v>
      </c>
      <c r="Z236" s="217">
        <f t="shared" si="633"/>
        <v>3.228485618219485</v>
      </c>
      <c r="AA236" s="173">
        <f t="shared" si="634"/>
        <v>1.9579017536212484</v>
      </c>
      <c r="AB236" s="173">
        <f t="shared" si="635"/>
        <v>0.68634926009236363</v>
      </c>
      <c r="AC236" s="173"/>
      <c r="AD236" s="173">
        <f t="shared" si="636"/>
        <v>1.3476574779430244</v>
      </c>
      <c r="AE236" s="545">
        <f t="shared" si="637"/>
        <v>200.24751977644289</v>
      </c>
      <c r="AF236" s="528">
        <f t="shared" si="638"/>
        <v>0.34956737580644337</v>
      </c>
      <c r="AH236" s="173">
        <f t="shared" si="639"/>
        <v>1.7171404801504824</v>
      </c>
      <c r="AI236" s="173">
        <f t="shared" si="640"/>
        <v>2.2222222222222223</v>
      </c>
      <c r="AJ236" s="173">
        <f t="shared" si="641"/>
        <v>1.1144271541579673</v>
      </c>
      <c r="AL236" s="545">
        <f t="shared" si="642"/>
        <v>200</v>
      </c>
      <c r="AM236" s="460">
        <f t="shared" si="643"/>
        <v>200.24751977644289</v>
      </c>
      <c r="AO236">
        <f t="shared" si="644"/>
        <v>200</v>
      </c>
      <c r="AP236">
        <f t="shared" si="645"/>
        <v>200.24751977644289</v>
      </c>
      <c r="AR236" s="5">
        <f t="shared" si="616"/>
        <v>4.9938196543777611</v>
      </c>
      <c r="AS236" s="5">
        <f t="shared" si="604"/>
        <v>0.61896312999016123</v>
      </c>
      <c r="AT236" s="5">
        <f t="shared" si="605"/>
        <v>4.3748565243875994</v>
      </c>
      <c r="AU236" s="173">
        <f t="shared" si="606"/>
        <v>0.12394583161359381</v>
      </c>
      <c r="BA236" s="173">
        <f t="shared" si="692"/>
        <v>0.45169243990716762</v>
      </c>
      <c r="BB236" s="173">
        <f t="shared" si="693"/>
        <v>0.8009735464354093</v>
      </c>
      <c r="BC236" s="173">
        <f t="shared" si="694"/>
        <v>8.0205594311978143E-2</v>
      </c>
      <c r="BD236" s="173"/>
      <c r="BE236" s="528">
        <f t="shared" si="695"/>
        <v>8.1610424107716097E-3</v>
      </c>
      <c r="BF236" s="528">
        <f t="shared" si="646"/>
        <v>0.52456694018041627</v>
      </c>
      <c r="BG236" s="528">
        <f t="shared" si="647"/>
        <v>0.28757414897987144</v>
      </c>
      <c r="BH236" s="528">
        <f t="shared" si="696"/>
        <v>9.619062075086475E-2</v>
      </c>
      <c r="BI236">
        <f t="shared" si="697"/>
        <v>1.6156051169249706E-2</v>
      </c>
      <c r="BJ236" s="460">
        <f t="shared" si="698"/>
        <v>303.73020014912117</v>
      </c>
      <c r="BK236">
        <f t="shared" si="648"/>
        <v>0.63234824831235115</v>
      </c>
      <c r="BL236" s="460">
        <f t="shared" si="699"/>
        <v>932.64880349117379</v>
      </c>
      <c r="BM236" s="173">
        <f t="shared" si="649"/>
        <v>0.17359999999999998</v>
      </c>
      <c r="BN236" s="173">
        <f t="shared" si="650"/>
        <v>1.2400000000000003E-2</v>
      </c>
      <c r="BQ236" s="460">
        <f t="shared" si="700"/>
        <v>185.99999999999997</v>
      </c>
      <c r="BR236" s="528">
        <f t="shared" si="701"/>
        <v>6.1207818080787069E-3</v>
      </c>
      <c r="BS236" s="528">
        <f t="shared" si="702"/>
        <v>1.9246758662679504E-2</v>
      </c>
      <c r="BT236" s="528">
        <f t="shared" si="703"/>
        <v>3.2164686794688102E-5</v>
      </c>
      <c r="BU236" s="528">
        <f t="shared" si="704"/>
        <v>0.20886063024580895</v>
      </c>
      <c r="BV236" s="528"/>
      <c r="BW236" s="625">
        <f t="shared" si="705"/>
        <v>0.19777532817426463</v>
      </c>
      <c r="BX236" s="460">
        <f t="shared" si="706"/>
        <v>432.03566357762645</v>
      </c>
      <c r="BY236" s="173">
        <f t="shared" si="707"/>
        <v>1.5506844670688</v>
      </c>
      <c r="BZ236" s="5">
        <f t="shared" si="708"/>
        <v>5.160000000000001</v>
      </c>
      <c r="CA236" s="173">
        <f t="shared" si="709"/>
        <v>0.76892305476759626</v>
      </c>
      <c r="CB236" s="5">
        <f t="shared" si="710"/>
        <v>76.892305476759631</v>
      </c>
      <c r="CC236">
        <f t="shared" si="711"/>
        <v>20</v>
      </c>
      <c r="CE236" s="562">
        <f t="shared" si="651"/>
        <v>-50</v>
      </c>
      <c r="CG236" s="173">
        <f t="shared" si="652"/>
        <v>0.27377231412653436</v>
      </c>
      <c r="CH236" s="173">
        <f t="shared" si="653"/>
        <v>7.4874454338694274E-2</v>
      </c>
      <c r="CI236" s="170">
        <v>20</v>
      </c>
      <c r="CJ236" s="217">
        <f t="shared" si="712"/>
        <v>0.2</v>
      </c>
      <c r="CK236" s="217">
        <f t="shared" si="654"/>
        <v>2.0000000000000004E-2</v>
      </c>
      <c r="CL236" s="217">
        <f t="shared" si="655"/>
        <v>4.8000000000000007</v>
      </c>
      <c r="CM236" s="217">
        <f t="shared" si="656"/>
        <v>0.3600000000000001</v>
      </c>
      <c r="CN236" s="541">
        <f t="shared" si="657"/>
        <v>36</v>
      </c>
      <c r="CO236" s="443">
        <f t="shared" si="658"/>
        <v>16.474900000000002</v>
      </c>
      <c r="CP236" s="443">
        <f t="shared" si="659"/>
        <v>52.474900000000005</v>
      </c>
      <c r="CQ236" s="443"/>
      <c r="CR236" s="217">
        <f t="shared" si="660"/>
        <v>0.31220924123305599</v>
      </c>
      <c r="CS236" s="172">
        <f t="shared" si="661"/>
        <v>58.085440229405762</v>
      </c>
      <c r="CT236" s="172">
        <f t="shared" si="662"/>
        <v>4.683138618495839</v>
      </c>
      <c r="CU236" s="217">
        <f t="shared" si="663"/>
        <v>2.4202266762252402</v>
      </c>
      <c r="CV236" s="217">
        <f t="shared" si="664"/>
        <v>3.2269689016336534</v>
      </c>
      <c r="CW236" s="217">
        <f t="shared" si="665"/>
        <v>24</v>
      </c>
      <c r="CX236" s="217">
        <f t="shared" si="666"/>
        <v>0.91818764087344107</v>
      </c>
      <c r="CY236" s="217">
        <f t="shared" si="667"/>
        <v>0.25505212246484477</v>
      </c>
      <c r="CZ236" s="217">
        <f t="shared" si="668"/>
        <v>0.55732516790599096</v>
      </c>
      <c r="DA236" s="197">
        <f t="shared" si="669"/>
        <v>350</v>
      </c>
      <c r="DB236" s="443">
        <f t="shared" si="670"/>
        <v>350</v>
      </c>
      <c r="DD236" s="217">
        <f t="shared" si="671"/>
        <v>3.2292794133140656</v>
      </c>
      <c r="DE236" s="173">
        <f t="shared" si="672"/>
        <v>1.9601207978889497</v>
      </c>
      <c r="DF236" s="173">
        <f t="shared" si="673"/>
        <v>0.6872960992823488</v>
      </c>
      <c r="DG236" s="173"/>
      <c r="DH236" s="173">
        <f t="shared" si="674"/>
        <v>1.3488532386977903</v>
      </c>
      <c r="DI236" s="545">
        <f t="shared" si="675"/>
        <v>200.06999999999994</v>
      </c>
      <c r="DJ236" s="528">
        <f t="shared" si="676"/>
        <v>0.34987754285999911</v>
      </c>
      <c r="DL236" s="173">
        <f t="shared" si="677"/>
        <v>1.7171404801504824</v>
      </c>
      <c r="DM236" s="173">
        <f t="shared" si="678"/>
        <v>2.2222222222222223</v>
      </c>
      <c r="DN236" s="173">
        <f t="shared" si="679"/>
        <v>1.1143257142857141</v>
      </c>
      <c r="DP236" s="545">
        <f t="shared" si="680"/>
        <v>200</v>
      </c>
      <c r="DQ236" s="460">
        <f t="shared" si="681"/>
        <v>200.06999999999994</v>
      </c>
      <c r="DS236">
        <f t="shared" si="682"/>
        <v>200</v>
      </c>
      <c r="DT236">
        <f t="shared" si="683"/>
        <v>200.06999999999994</v>
      </c>
      <c r="DV236" s="5">
        <f t="shared" si="684"/>
        <v>4.9982506122857018</v>
      </c>
      <c r="DW236" s="5">
        <f t="shared" si="685"/>
        <v>0.61728395061728403</v>
      </c>
      <c r="DX236" s="5">
        <f t="shared" si="686"/>
        <v>4.3809666616684177</v>
      </c>
      <c r="DY236" s="173">
        <f t="shared" si="687"/>
        <v>0.12349999999999997</v>
      </c>
      <c r="EA236" s="5">
        <f t="shared" si="713"/>
        <v>0.51440329218106995</v>
      </c>
      <c r="EB236" s="5">
        <f t="shared" si="714"/>
        <v>6.8587105624142691E-2</v>
      </c>
      <c r="EC236" s="5">
        <f t="shared" si="715"/>
        <v>0.4867740735187131</v>
      </c>
      <c r="ED236" s="5"/>
      <c r="EE236" s="173">
        <f t="shared" si="716"/>
        <v>0.45087934203061336</v>
      </c>
      <c r="EF236" s="173">
        <f t="shared" si="717"/>
        <v>0.80117733172652117</v>
      </c>
      <c r="EG236" s="173">
        <f t="shared" si="718"/>
        <v>8.0226000379642184E-2</v>
      </c>
      <c r="EH236" s="173"/>
      <c r="EI236" s="528">
        <f t="shared" si="719"/>
        <v>8.1316872427983529E-3</v>
      </c>
      <c r="EJ236" s="528">
        <f t="shared" si="720"/>
        <v>0.64158436485000003</v>
      </c>
      <c r="EK236" s="528">
        <f t="shared" si="721"/>
        <v>4.0013999999999987E-2</v>
      </c>
      <c r="EL236" s="528">
        <f t="shared" si="722"/>
        <v>9.6410261335692596E-2</v>
      </c>
      <c r="EM236">
        <f t="shared" si="723"/>
        <v>1.6199999999999999E-2</v>
      </c>
      <c r="EN236" s="460">
        <f t="shared" si="724"/>
        <v>56.213999999999984</v>
      </c>
      <c r="EP236" s="460">
        <f t="shared" si="725"/>
        <v>802.34031342849096</v>
      </c>
      <c r="EQ236" s="173">
        <f t="shared" si="726"/>
        <v>0.13999999999999999</v>
      </c>
      <c r="ER236" s="173">
        <f t="shared" si="688"/>
        <v>1.2400000000000003E-2</v>
      </c>
      <c r="ES236" s="528"/>
      <c r="EU236" s="460">
        <f t="shared" si="727"/>
        <v>152.39999999999998</v>
      </c>
      <c r="EV236" s="528">
        <f t="shared" si="728"/>
        <v>6.0987654320987647E-3</v>
      </c>
      <c r="EW236" s="528">
        <f t="shared" si="729"/>
        <v>1.9256553506172842E-2</v>
      </c>
      <c r="EX236" s="528">
        <f t="shared" si="730"/>
        <v>3.2181055684571736E-5</v>
      </c>
      <c r="EY236" s="528">
        <f t="shared" si="731"/>
        <v>0.20839804967894915</v>
      </c>
      <c r="EZ236" s="528"/>
      <c r="FA236" s="625">
        <f t="shared" si="732"/>
        <v>0.19759999999999997</v>
      </c>
      <c r="FB236" s="460">
        <f t="shared" si="733"/>
        <v>431.38554967290531</v>
      </c>
      <c r="FC236" s="173">
        <f t="shared" si="734"/>
        <v>1.3861258631013964</v>
      </c>
      <c r="FD236" s="5">
        <f t="shared" si="735"/>
        <v>5.160000000000001</v>
      </c>
      <c r="FE236" s="173">
        <f t="shared" si="736"/>
        <v>0.78825248825193173</v>
      </c>
      <c r="FF236" s="5">
        <f t="shared" si="737"/>
        <v>78.825248825193171</v>
      </c>
      <c r="FG236">
        <f t="shared" si="738"/>
        <v>20</v>
      </c>
      <c r="FI236" s="562">
        <f t="shared" si="689"/>
        <v>-50</v>
      </c>
    </row>
    <row r="237" spans="5:165">
      <c r="E237" s="170">
        <v>21</v>
      </c>
      <c r="F237" s="217">
        <f t="shared" si="690"/>
        <v>0.21</v>
      </c>
      <c r="G237" s="217">
        <f t="shared" si="617"/>
        <v>2.1000000000000001E-2</v>
      </c>
      <c r="H237" s="217">
        <f t="shared" si="618"/>
        <v>5.04</v>
      </c>
      <c r="I237" s="217">
        <f t="shared" si="619"/>
        <v>0.378</v>
      </c>
      <c r="J237" s="541">
        <f t="shared" si="620"/>
        <v>35.902335931666016</v>
      </c>
      <c r="K237" s="443">
        <f t="shared" si="621"/>
        <v>16.489517986529311</v>
      </c>
      <c r="L237" s="172">
        <f t="shared" si="622"/>
        <v>52.391853918195324</v>
      </c>
      <c r="M237" s="443"/>
      <c r="N237" s="217">
        <f t="shared" si="623"/>
        <v>0.31473438623256311</v>
      </c>
      <c r="O237" s="172">
        <f t="shared" si="624"/>
        <v>58.396380691308515</v>
      </c>
      <c r="P237" s="172">
        <f t="shared" si="625"/>
        <v>4.7082081932367492</v>
      </c>
      <c r="Q237" s="217">
        <f t="shared" si="626"/>
        <v>2.4331825288045215</v>
      </c>
      <c r="R237" s="217">
        <f t="shared" si="627"/>
        <v>3.2442433717393619</v>
      </c>
      <c r="S237" s="217">
        <f t="shared" si="628"/>
        <v>24</v>
      </c>
      <c r="T237" s="217">
        <f t="shared" si="629"/>
        <v>0.9589635408403796</v>
      </c>
      <c r="U237" s="217">
        <f t="shared" si="630"/>
        <v>0.26710338365325403</v>
      </c>
      <c r="V237" s="217">
        <f t="shared" si="631"/>
        <v>0.58155947409971609</v>
      </c>
      <c r="W237" s="197">
        <f t="shared" si="632"/>
        <v>350</v>
      </c>
      <c r="X237" s="443">
        <f t="shared" si="691"/>
        <v>350</v>
      </c>
      <c r="Z237" s="217">
        <f t="shared" si="633"/>
        <v>3.228485618219485</v>
      </c>
      <c r="AA237" s="173">
        <f t="shared" si="634"/>
        <v>1.9579017536212484</v>
      </c>
      <c r="AB237" s="173">
        <f t="shared" si="635"/>
        <v>0.68634926009236363</v>
      </c>
      <c r="AC237" s="173"/>
      <c r="AD237" s="173">
        <f t="shared" si="636"/>
        <v>1.3476574779430244</v>
      </c>
      <c r="AE237" s="545">
        <f t="shared" si="637"/>
        <v>210.25989576526501</v>
      </c>
      <c r="AF237" s="528">
        <f t="shared" si="638"/>
        <v>0.34956737580644337</v>
      </c>
      <c r="AH237" s="173">
        <f t="shared" si="639"/>
        <v>1.7595453958338214</v>
      </c>
      <c r="AI237" s="173">
        <f t="shared" si="640"/>
        <v>2.2222222222222223</v>
      </c>
      <c r="AJ237" s="173">
        <f t="shared" si="641"/>
        <v>1.1201485118658656</v>
      </c>
      <c r="AL237" s="545">
        <f t="shared" si="642"/>
        <v>210</v>
      </c>
      <c r="AM237" s="460">
        <f t="shared" si="643"/>
        <v>210.25989576526501</v>
      </c>
      <c r="AO237">
        <f t="shared" si="644"/>
        <v>210</v>
      </c>
      <c r="AP237">
        <f t="shared" si="645"/>
        <v>210.25989576526501</v>
      </c>
      <c r="AR237" s="5">
        <f t="shared" si="616"/>
        <v>4.7560187184550111</v>
      </c>
      <c r="AS237" s="5">
        <f t="shared" si="604"/>
        <v>0.61896312999016123</v>
      </c>
      <c r="AT237" s="5">
        <f t="shared" si="605"/>
        <v>4.1370555884648503</v>
      </c>
      <c r="AU237" s="173">
        <f t="shared" si="606"/>
        <v>0.13014312319427349</v>
      </c>
      <c r="BA237" s="173">
        <f t="shared" si="692"/>
        <v>0.46284701930849104</v>
      </c>
      <c r="BB237" s="173">
        <f t="shared" si="693"/>
        <v>0.79813543624685612</v>
      </c>
      <c r="BC237" s="173">
        <f t="shared" si="694"/>
        <v>7.9921399764718973E-2</v>
      </c>
      <c r="BD237" s="173"/>
      <c r="BE237" s="528">
        <f t="shared" si="695"/>
        <v>8.5690945313101879E-3</v>
      </c>
      <c r="BF237" s="528">
        <f t="shared" si="646"/>
        <v>0.55079528718943704</v>
      </c>
      <c r="BG237" s="528">
        <f t="shared" si="647"/>
        <v>0.30195285642886505</v>
      </c>
      <c r="BH237" s="528">
        <f t="shared" si="696"/>
        <v>0.10100015178840797</v>
      </c>
      <c r="BI237">
        <f t="shared" si="697"/>
        <v>1.6156051169249706E-2</v>
      </c>
      <c r="BJ237" s="460">
        <f t="shared" si="698"/>
        <v>318.1089075981148</v>
      </c>
      <c r="BK237">
        <f t="shared" si="648"/>
        <v>0.66403016564583695</v>
      </c>
      <c r="BL237" s="460">
        <f t="shared" si="699"/>
        <v>978.47344110726988</v>
      </c>
      <c r="BM237" s="173">
        <f t="shared" si="649"/>
        <v>0.18228</v>
      </c>
      <c r="BN237" s="173">
        <f t="shared" si="650"/>
        <v>1.302E-2</v>
      </c>
      <c r="BQ237" s="460">
        <f t="shared" si="700"/>
        <v>195.3</v>
      </c>
      <c r="BR237" s="528">
        <f t="shared" si="701"/>
        <v>6.4268208984826405E-3</v>
      </c>
      <c r="BS237" s="528">
        <f t="shared" si="702"/>
        <v>1.9110605237788781E-2</v>
      </c>
      <c r="BT237" s="528">
        <f t="shared" si="703"/>
        <v>3.1937150701760108E-5</v>
      </c>
      <c r="BU237" s="528">
        <f t="shared" si="704"/>
        <v>0.23595535160713973</v>
      </c>
      <c r="BV237" s="528"/>
      <c r="BW237" s="625">
        <f t="shared" si="705"/>
        <v>0.20766409458297785</v>
      </c>
      <c r="BX237" s="460">
        <f t="shared" si="706"/>
        <v>469.18880947709073</v>
      </c>
      <c r="BY237" s="173">
        <f t="shared" si="707"/>
        <v>1.6429622505843606</v>
      </c>
      <c r="BZ237" s="5">
        <f t="shared" si="708"/>
        <v>5.4180000000000001</v>
      </c>
      <c r="CA237" s="173">
        <f t="shared" si="709"/>
        <v>0.76731751391980751</v>
      </c>
      <c r="CB237" s="5">
        <f t="shared" si="710"/>
        <v>76.731751391980751</v>
      </c>
      <c r="CC237">
        <f t="shared" si="711"/>
        <v>21</v>
      </c>
      <c r="CE237" s="562">
        <f t="shared" si="651"/>
        <v>-50</v>
      </c>
      <c r="CG237" s="173">
        <f t="shared" si="652"/>
        <v>0.28746092983286098</v>
      </c>
      <c r="CH237" s="173">
        <f t="shared" si="653"/>
        <v>7.8618177055628971E-2</v>
      </c>
      <c r="CI237" s="170">
        <v>21</v>
      </c>
      <c r="CJ237" s="217">
        <f t="shared" si="712"/>
        <v>0.21</v>
      </c>
      <c r="CK237" s="217">
        <f t="shared" si="654"/>
        <v>2.1000000000000001E-2</v>
      </c>
      <c r="CL237" s="217">
        <f t="shared" si="655"/>
        <v>5.04</v>
      </c>
      <c r="CM237" s="217">
        <f t="shared" si="656"/>
        <v>0.378</v>
      </c>
      <c r="CN237" s="541">
        <f t="shared" si="657"/>
        <v>36</v>
      </c>
      <c r="CO237" s="443">
        <f t="shared" si="658"/>
        <v>16.474900000000002</v>
      </c>
      <c r="CP237" s="443">
        <f t="shared" si="659"/>
        <v>52.474900000000005</v>
      </c>
      <c r="CQ237" s="443"/>
      <c r="CR237" s="217">
        <f t="shared" si="660"/>
        <v>0.31220924123305599</v>
      </c>
      <c r="CS237" s="172">
        <f t="shared" si="661"/>
        <v>58.085440229405762</v>
      </c>
      <c r="CT237" s="172">
        <f t="shared" si="662"/>
        <v>4.683138618495839</v>
      </c>
      <c r="CU237" s="217">
        <f t="shared" si="663"/>
        <v>2.4202266762252402</v>
      </c>
      <c r="CV237" s="217">
        <f t="shared" si="664"/>
        <v>3.2269689016336534</v>
      </c>
      <c r="CW237" s="217">
        <f t="shared" si="665"/>
        <v>24</v>
      </c>
      <c r="CX237" s="217">
        <f t="shared" si="666"/>
        <v>0.96409702291711297</v>
      </c>
      <c r="CY237" s="217">
        <f t="shared" si="667"/>
        <v>0.26780472858808696</v>
      </c>
      <c r="CZ237" s="217">
        <f t="shared" si="668"/>
        <v>0.5851914263012904</v>
      </c>
      <c r="DA237" s="197">
        <f t="shared" si="669"/>
        <v>350</v>
      </c>
      <c r="DB237" s="443">
        <f t="shared" si="670"/>
        <v>350</v>
      </c>
      <c r="DD237" s="217">
        <f t="shared" si="671"/>
        <v>3.2292794133140656</v>
      </c>
      <c r="DE237" s="173">
        <f t="shared" si="672"/>
        <v>1.9601207978889497</v>
      </c>
      <c r="DF237" s="173">
        <f t="shared" si="673"/>
        <v>0.6872960992823488</v>
      </c>
      <c r="DG237" s="173"/>
      <c r="DH237" s="173">
        <f t="shared" si="674"/>
        <v>1.3488532386977903</v>
      </c>
      <c r="DI237" s="545">
        <f t="shared" si="675"/>
        <v>210.07349999999988</v>
      </c>
      <c r="DJ237" s="528">
        <f t="shared" si="676"/>
        <v>0.34987754285999911</v>
      </c>
      <c r="DL237" s="173">
        <f t="shared" si="677"/>
        <v>1.7595453958338214</v>
      </c>
      <c r="DM237" s="173">
        <f t="shared" si="678"/>
        <v>2.2222222222222223</v>
      </c>
      <c r="DN237" s="173">
        <f t="shared" si="679"/>
        <v>1.120042</v>
      </c>
      <c r="DP237" s="545">
        <f t="shared" si="680"/>
        <v>210</v>
      </c>
      <c r="DQ237" s="460">
        <f t="shared" si="681"/>
        <v>210.07349999999988</v>
      </c>
      <c r="DS237">
        <f t="shared" si="682"/>
        <v>210</v>
      </c>
      <c r="DT237">
        <f t="shared" si="683"/>
        <v>210.07349999999988</v>
      </c>
      <c r="DV237" s="5">
        <f t="shared" si="684"/>
        <v>4.7602386783673358</v>
      </c>
      <c r="DW237" s="5">
        <f t="shared" si="685"/>
        <v>0.61728395061728403</v>
      </c>
      <c r="DX237" s="5">
        <f t="shared" si="686"/>
        <v>4.1429547277500518</v>
      </c>
      <c r="DY237" s="173">
        <f t="shared" si="687"/>
        <v>0.12967499999999996</v>
      </c>
      <c r="EA237" s="5">
        <f t="shared" si="713"/>
        <v>0.54012345679012352</v>
      </c>
      <c r="EB237" s="5">
        <f t="shared" si="714"/>
        <v>7.2016460905349813E-2</v>
      </c>
      <c r="EC237" s="5">
        <f t="shared" si="715"/>
        <v>0.48334471823750608</v>
      </c>
      <c r="ED237" s="5"/>
      <c r="EE237" s="173">
        <f t="shared" si="716"/>
        <v>0.46201384191759531</v>
      </c>
      <c r="EF237" s="173">
        <f t="shared" si="717"/>
        <v>0.79835017011035103</v>
      </c>
      <c r="EG237" s="173">
        <f t="shared" si="718"/>
        <v>7.9942902169158114E-2</v>
      </c>
      <c r="EH237" s="173"/>
      <c r="EI237" s="528">
        <f t="shared" si="719"/>
        <v>8.5382716049382697E-3</v>
      </c>
      <c r="EJ237" s="528">
        <f t="shared" si="720"/>
        <v>0.67366358309249974</v>
      </c>
      <c r="EK237" s="528">
        <f t="shared" si="721"/>
        <v>4.2014699999999974E-2</v>
      </c>
      <c r="EL237" s="528">
        <f t="shared" si="722"/>
        <v>0.10123077440247721</v>
      </c>
      <c r="EM237">
        <f t="shared" si="723"/>
        <v>1.6199999999999999E-2</v>
      </c>
      <c r="EN237" s="460">
        <f t="shared" si="724"/>
        <v>58.214699999999972</v>
      </c>
      <c r="EP237" s="460">
        <f t="shared" si="725"/>
        <v>841.64732909991517</v>
      </c>
      <c r="EQ237" s="173">
        <f t="shared" si="726"/>
        <v>0.14699999999999999</v>
      </c>
      <c r="ER237" s="173">
        <f t="shared" si="688"/>
        <v>1.302E-2</v>
      </c>
      <c r="ES237" s="528"/>
      <c r="EU237" s="460">
        <f t="shared" si="727"/>
        <v>160.01999999999998</v>
      </c>
      <c r="EV237" s="528">
        <f t="shared" si="728"/>
        <v>6.4037037037037023E-3</v>
      </c>
      <c r="EW237" s="528">
        <f t="shared" si="729"/>
        <v>1.9120889823456794E-2</v>
      </c>
      <c r="EX237" s="528">
        <f t="shared" si="730"/>
        <v>3.1954338036137926E-5</v>
      </c>
      <c r="EY237" s="528">
        <f t="shared" si="731"/>
        <v>0.23543276216473705</v>
      </c>
      <c r="EZ237" s="528"/>
      <c r="FA237" s="625">
        <f t="shared" si="732"/>
        <v>0.20747999999999994</v>
      </c>
      <c r="FB237" s="460">
        <f t="shared" si="733"/>
        <v>468.46931002993364</v>
      </c>
      <c r="FC237" s="173">
        <f t="shared" si="734"/>
        <v>1.4701366391298485</v>
      </c>
      <c r="FD237" s="5">
        <f t="shared" si="735"/>
        <v>5.4180000000000001</v>
      </c>
      <c r="FE237" s="173">
        <f t="shared" si="736"/>
        <v>0.78656976245529808</v>
      </c>
      <c r="FF237" s="5">
        <f t="shared" si="737"/>
        <v>78.656976245529805</v>
      </c>
      <c r="FG237">
        <f t="shared" si="738"/>
        <v>21</v>
      </c>
      <c r="FI237" s="562">
        <f t="shared" si="689"/>
        <v>-50</v>
      </c>
    </row>
    <row r="238" spans="5:165">
      <c r="E238" s="170">
        <v>22</v>
      </c>
      <c r="F238" s="217">
        <f t="shared" si="690"/>
        <v>0.22</v>
      </c>
      <c r="G238" s="217">
        <f t="shared" si="617"/>
        <v>2.2000000000000002E-2</v>
      </c>
      <c r="H238" s="217">
        <f t="shared" si="618"/>
        <v>5.28</v>
      </c>
      <c r="I238" s="217">
        <f t="shared" si="619"/>
        <v>0.39600000000000002</v>
      </c>
      <c r="J238" s="541">
        <f t="shared" si="620"/>
        <v>35.902335931666016</v>
      </c>
      <c r="K238" s="443">
        <f t="shared" si="621"/>
        <v>16.489517986529311</v>
      </c>
      <c r="L238" s="172">
        <f t="shared" si="622"/>
        <v>52.391853918195324</v>
      </c>
      <c r="M238" s="443"/>
      <c r="N238" s="217">
        <f t="shared" si="623"/>
        <v>0.31473438623256311</v>
      </c>
      <c r="O238" s="172">
        <f t="shared" si="624"/>
        <v>58.396380691308515</v>
      </c>
      <c r="P238" s="172">
        <f t="shared" si="625"/>
        <v>4.7082081932367492</v>
      </c>
      <c r="Q238" s="217">
        <f t="shared" si="626"/>
        <v>2.4331825288045215</v>
      </c>
      <c r="R238" s="217">
        <f t="shared" si="627"/>
        <v>3.2442433717393619</v>
      </c>
      <c r="S238" s="217">
        <f t="shared" si="628"/>
        <v>24</v>
      </c>
      <c r="T238" s="217">
        <f t="shared" si="629"/>
        <v>1.0046284713565883</v>
      </c>
      <c r="U238" s="217">
        <f t="shared" si="630"/>
        <v>0.2798225923986471</v>
      </c>
      <c r="V238" s="217">
        <f t="shared" si="631"/>
        <v>0.60925278239017888</v>
      </c>
      <c r="W238" s="197">
        <f t="shared" si="632"/>
        <v>350</v>
      </c>
      <c r="X238" s="443">
        <f t="shared" si="691"/>
        <v>350</v>
      </c>
      <c r="Z238" s="217">
        <f t="shared" si="633"/>
        <v>3.228485618219485</v>
      </c>
      <c r="AA238" s="173">
        <f t="shared" si="634"/>
        <v>1.9579017536212484</v>
      </c>
      <c r="AB238" s="173">
        <f t="shared" si="635"/>
        <v>0.68634926009236363</v>
      </c>
      <c r="AC238" s="173"/>
      <c r="AD238" s="173">
        <f t="shared" si="636"/>
        <v>1.3476574779430244</v>
      </c>
      <c r="AE238" s="545">
        <f t="shared" si="637"/>
        <v>220.27227175408714</v>
      </c>
      <c r="AF238" s="528">
        <f t="shared" si="638"/>
        <v>0.34956737580644337</v>
      </c>
      <c r="AH238" s="173">
        <f t="shared" si="639"/>
        <v>1.8009521291329682</v>
      </c>
      <c r="AI238" s="173">
        <f t="shared" si="640"/>
        <v>2.2222222222222223</v>
      </c>
      <c r="AJ238" s="173">
        <f t="shared" si="641"/>
        <v>1.1258698695737641</v>
      </c>
      <c r="AL238" s="545">
        <f t="shared" si="642"/>
        <v>220</v>
      </c>
      <c r="AM238" s="460">
        <f t="shared" si="643"/>
        <v>220.27227175408714</v>
      </c>
      <c r="AO238">
        <f t="shared" si="644"/>
        <v>220</v>
      </c>
      <c r="AP238">
        <f t="shared" si="645"/>
        <v>220.27227175408714</v>
      </c>
      <c r="AR238" s="5">
        <f t="shared" si="616"/>
        <v>4.5398360494343288</v>
      </c>
      <c r="AS238" s="5">
        <f t="shared" si="604"/>
        <v>0.61896312999016123</v>
      </c>
      <c r="AT238" s="5">
        <f t="shared" si="605"/>
        <v>3.9208729194441676</v>
      </c>
      <c r="AU238" s="173">
        <f t="shared" si="606"/>
        <v>0.13634041477495318</v>
      </c>
      <c r="BA238" s="173">
        <f t="shared" si="692"/>
        <v>0.47373902762620185</v>
      </c>
      <c r="BB238" s="173">
        <f t="shared" si="693"/>
        <v>0.79528719787043112</v>
      </c>
      <c r="BC238" s="173">
        <f t="shared" si="694"/>
        <v>7.9636191029998568E-2</v>
      </c>
      <c r="BD238" s="173"/>
      <c r="BE238" s="528">
        <f t="shared" si="695"/>
        <v>8.9771466518487695E-3</v>
      </c>
      <c r="BF238" s="528">
        <f t="shared" si="646"/>
        <v>0.57702363419845781</v>
      </c>
      <c r="BG238" s="528">
        <f t="shared" si="647"/>
        <v>0.31633156387785855</v>
      </c>
      <c r="BH238" s="528">
        <f t="shared" si="696"/>
        <v>0.10580968282595121</v>
      </c>
      <c r="BI238">
        <f t="shared" si="697"/>
        <v>1.6156051169249706E-2</v>
      </c>
      <c r="BJ238" s="460">
        <f t="shared" si="698"/>
        <v>332.48761504710825</v>
      </c>
      <c r="BK238">
        <f t="shared" si="648"/>
        <v>0.69571823943637257</v>
      </c>
      <c r="BL238" s="460">
        <f t="shared" si="699"/>
        <v>1024.2980787233662</v>
      </c>
      <c r="BM238" s="173">
        <f t="shared" si="649"/>
        <v>0.19095999999999999</v>
      </c>
      <c r="BN238" s="173">
        <f t="shared" si="650"/>
        <v>1.3640000000000001E-2</v>
      </c>
      <c r="BQ238" s="460">
        <f t="shared" si="700"/>
        <v>204.6</v>
      </c>
      <c r="BR238" s="528">
        <f t="shared" si="701"/>
        <v>6.7328599888865767E-3</v>
      </c>
      <c r="BS238" s="528">
        <f t="shared" si="702"/>
        <v>1.8974451812898065E-2</v>
      </c>
      <c r="BT238" s="528">
        <f t="shared" si="703"/>
        <v>3.1709614608832121E-5</v>
      </c>
      <c r="BU238" s="528">
        <f t="shared" si="704"/>
        <v>0.26505640121380059</v>
      </c>
      <c r="BV238" s="528"/>
      <c r="BW238" s="625">
        <f t="shared" si="705"/>
        <v>0.21755286099169105</v>
      </c>
      <c r="BX238" s="460">
        <f t="shared" si="706"/>
        <v>508.34828362188512</v>
      </c>
      <c r="BY238" s="173">
        <f t="shared" si="707"/>
        <v>1.7372463623452512</v>
      </c>
      <c r="BZ238" s="5">
        <f t="shared" si="708"/>
        <v>5.6760000000000002</v>
      </c>
      <c r="CA238" s="173">
        <f t="shared" si="709"/>
        <v>0.76565646446482638</v>
      </c>
      <c r="CB238" s="5">
        <f t="shared" si="710"/>
        <v>76.565646446482631</v>
      </c>
      <c r="CC238">
        <f t="shared" si="711"/>
        <v>22</v>
      </c>
      <c r="CE238" s="562">
        <f t="shared" si="651"/>
        <v>-50</v>
      </c>
      <c r="CG238" s="173">
        <f t="shared" si="652"/>
        <v>0.30114954553918777</v>
      </c>
      <c r="CH238" s="173">
        <f t="shared" si="653"/>
        <v>8.2361899772563696E-2</v>
      </c>
      <c r="CI238" s="170">
        <v>22</v>
      </c>
      <c r="CJ238" s="217">
        <f t="shared" si="712"/>
        <v>0.22</v>
      </c>
      <c r="CK238" s="217">
        <f t="shared" si="654"/>
        <v>2.2000000000000002E-2</v>
      </c>
      <c r="CL238" s="217">
        <f t="shared" si="655"/>
        <v>5.28</v>
      </c>
      <c r="CM238" s="217">
        <f t="shared" si="656"/>
        <v>0.39600000000000002</v>
      </c>
      <c r="CN238" s="541">
        <f t="shared" si="657"/>
        <v>36</v>
      </c>
      <c r="CO238" s="443">
        <f t="shared" si="658"/>
        <v>16.474900000000002</v>
      </c>
      <c r="CP238" s="443">
        <f t="shared" si="659"/>
        <v>52.474900000000005</v>
      </c>
      <c r="CQ238" s="443"/>
      <c r="CR238" s="217">
        <f t="shared" si="660"/>
        <v>0.31220924123305599</v>
      </c>
      <c r="CS238" s="172">
        <f t="shared" si="661"/>
        <v>58.085440229405762</v>
      </c>
      <c r="CT238" s="172">
        <f t="shared" si="662"/>
        <v>4.683138618495839</v>
      </c>
      <c r="CU238" s="217">
        <f t="shared" si="663"/>
        <v>2.4202266762252402</v>
      </c>
      <c r="CV238" s="217">
        <f t="shared" si="664"/>
        <v>3.2269689016336534</v>
      </c>
      <c r="CW238" s="217">
        <f t="shared" si="665"/>
        <v>24</v>
      </c>
      <c r="CX238" s="217">
        <f t="shared" si="666"/>
        <v>1.0100064049607849</v>
      </c>
      <c r="CY238" s="217">
        <f t="shared" si="667"/>
        <v>0.28055733471132915</v>
      </c>
      <c r="CZ238" s="217">
        <f t="shared" si="668"/>
        <v>0.61305768469658983</v>
      </c>
      <c r="DA238" s="197">
        <f t="shared" si="669"/>
        <v>350</v>
      </c>
      <c r="DB238" s="443">
        <f t="shared" si="670"/>
        <v>350</v>
      </c>
      <c r="DD238" s="217">
        <f t="shared" si="671"/>
        <v>3.2292794133140656</v>
      </c>
      <c r="DE238" s="173">
        <f t="shared" si="672"/>
        <v>1.9601207978889497</v>
      </c>
      <c r="DF238" s="173">
        <f t="shared" si="673"/>
        <v>0.6872960992823488</v>
      </c>
      <c r="DG238" s="173"/>
      <c r="DH238" s="173">
        <f t="shared" si="674"/>
        <v>1.3488532386977903</v>
      </c>
      <c r="DI238" s="545">
        <f t="shared" si="675"/>
        <v>220.07699999999991</v>
      </c>
      <c r="DJ238" s="528">
        <f t="shared" si="676"/>
        <v>0.34987754285999911</v>
      </c>
      <c r="DL238" s="173">
        <f t="shared" si="677"/>
        <v>1.8009521291329682</v>
      </c>
      <c r="DM238" s="173">
        <f t="shared" si="678"/>
        <v>2.2222222222222223</v>
      </c>
      <c r="DN238" s="173">
        <f t="shared" si="679"/>
        <v>1.1257582857142856</v>
      </c>
      <c r="DP238" s="545">
        <f t="shared" si="680"/>
        <v>220</v>
      </c>
      <c r="DQ238" s="460">
        <f t="shared" si="681"/>
        <v>220.07699999999991</v>
      </c>
      <c r="DS238">
        <f t="shared" si="682"/>
        <v>220</v>
      </c>
      <c r="DT238">
        <f t="shared" si="683"/>
        <v>220.07699999999991</v>
      </c>
      <c r="DV238" s="5">
        <f t="shared" si="684"/>
        <v>4.5438641929870025</v>
      </c>
      <c r="DW238" s="5">
        <f t="shared" si="685"/>
        <v>0.61728395061728403</v>
      </c>
      <c r="DX238" s="5">
        <f t="shared" si="686"/>
        <v>3.9265802423697185</v>
      </c>
      <c r="DY238" s="173">
        <f t="shared" si="687"/>
        <v>0.13584999999999994</v>
      </c>
      <c r="EA238" s="5">
        <f t="shared" si="713"/>
        <v>0.56584362139917699</v>
      </c>
      <c r="EB238" s="5">
        <f t="shared" si="714"/>
        <v>7.5445816186556949E-2</v>
      </c>
      <c r="EC238" s="5">
        <f t="shared" si="715"/>
        <v>0.47991536295629883</v>
      </c>
      <c r="ED238" s="5"/>
      <c r="EE238" s="173">
        <f t="shared" si="716"/>
        <v>0.47288624337884333</v>
      </c>
      <c r="EF238" s="173">
        <f t="shared" si="717"/>
        <v>0.79551296115024106</v>
      </c>
      <c r="EG238" s="173">
        <f t="shared" si="718"/>
        <v>7.9658797866530878E-2</v>
      </c>
      <c r="EH238" s="173"/>
      <c r="EI238" s="528">
        <f t="shared" si="719"/>
        <v>8.9448559670781864E-3</v>
      </c>
      <c r="EJ238" s="528">
        <f t="shared" si="720"/>
        <v>0.70574280133499989</v>
      </c>
      <c r="EK238" s="528">
        <f t="shared" si="721"/>
        <v>4.4015399999999975E-2</v>
      </c>
      <c r="EL238" s="528">
        <f t="shared" si="722"/>
        <v>0.10605128746926185</v>
      </c>
      <c r="EM238">
        <f t="shared" si="723"/>
        <v>1.6199999999999999E-2</v>
      </c>
      <c r="EN238" s="460">
        <f t="shared" si="724"/>
        <v>60.215399999999974</v>
      </c>
      <c r="EP238" s="460">
        <f t="shared" si="725"/>
        <v>880.95434477133983</v>
      </c>
      <c r="EQ238" s="173">
        <f t="shared" si="726"/>
        <v>0.154</v>
      </c>
      <c r="ER238" s="173">
        <f t="shared" si="688"/>
        <v>1.3640000000000001E-2</v>
      </c>
      <c r="ES238" s="528"/>
      <c r="EU238" s="460">
        <f t="shared" si="727"/>
        <v>167.64000000000001</v>
      </c>
      <c r="EV238" s="528">
        <f t="shared" si="728"/>
        <v>6.708641975308639E-3</v>
      </c>
      <c r="EW238" s="528">
        <f t="shared" si="729"/>
        <v>1.8985226140740746E-2</v>
      </c>
      <c r="EX238" s="528">
        <f t="shared" si="730"/>
        <v>3.1727620387704123E-5</v>
      </c>
      <c r="EY238" s="528">
        <f t="shared" si="731"/>
        <v>0.26446935931806853</v>
      </c>
      <c r="EZ238" s="528"/>
      <c r="FA238" s="625">
        <f t="shared" si="732"/>
        <v>0.21735999999999997</v>
      </c>
      <c r="FB238" s="460">
        <f t="shared" si="733"/>
        <v>507.55495505450551</v>
      </c>
      <c r="FC238" s="173">
        <f t="shared" si="734"/>
        <v>1.5561492998258455</v>
      </c>
      <c r="FD238" s="5">
        <f t="shared" si="735"/>
        <v>5.6760000000000002</v>
      </c>
      <c r="FE238" s="173">
        <f t="shared" si="736"/>
        <v>0.78482893047253344</v>
      </c>
      <c r="FF238" s="5">
        <f t="shared" si="737"/>
        <v>78.482893047253341</v>
      </c>
      <c r="FG238">
        <f t="shared" si="738"/>
        <v>22</v>
      </c>
      <c r="FI238" s="562">
        <f t="shared" si="689"/>
        <v>-50</v>
      </c>
    </row>
    <row r="239" spans="5:165">
      <c r="E239" s="170">
        <v>23</v>
      </c>
      <c r="F239" s="217">
        <f t="shared" si="690"/>
        <v>0.23</v>
      </c>
      <c r="G239" s="217">
        <f t="shared" si="617"/>
        <v>2.3000000000000003E-2</v>
      </c>
      <c r="H239" s="217">
        <f t="shared" si="618"/>
        <v>5.5200000000000005</v>
      </c>
      <c r="I239" s="217">
        <f t="shared" si="619"/>
        <v>0.41400000000000003</v>
      </c>
      <c r="J239" s="541">
        <f t="shared" si="620"/>
        <v>35.902335931666016</v>
      </c>
      <c r="K239" s="443">
        <f t="shared" si="621"/>
        <v>16.489517986529311</v>
      </c>
      <c r="L239" s="172">
        <f t="shared" si="622"/>
        <v>52.391853918195324</v>
      </c>
      <c r="M239" s="443"/>
      <c r="N239" s="217">
        <f t="shared" si="623"/>
        <v>0.31473438623256311</v>
      </c>
      <c r="O239" s="172">
        <f t="shared" si="624"/>
        <v>58.396380691308515</v>
      </c>
      <c r="P239" s="172">
        <f t="shared" si="625"/>
        <v>4.7082081932367492</v>
      </c>
      <c r="Q239" s="217">
        <f t="shared" si="626"/>
        <v>2.4331825288045215</v>
      </c>
      <c r="R239" s="217">
        <f t="shared" si="627"/>
        <v>3.2442433717393619</v>
      </c>
      <c r="S239" s="217">
        <f t="shared" si="628"/>
        <v>24</v>
      </c>
      <c r="T239" s="217">
        <f t="shared" si="629"/>
        <v>1.0502934018727967</v>
      </c>
      <c r="U239" s="217">
        <f t="shared" si="630"/>
        <v>0.29254180114404021</v>
      </c>
      <c r="V239" s="217">
        <f t="shared" si="631"/>
        <v>0.63694609068064156</v>
      </c>
      <c r="W239" s="197">
        <f t="shared" si="632"/>
        <v>350</v>
      </c>
      <c r="X239" s="443">
        <f t="shared" si="691"/>
        <v>350</v>
      </c>
      <c r="Z239" s="217">
        <f t="shared" si="633"/>
        <v>3.228485618219485</v>
      </c>
      <c r="AA239" s="173">
        <f t="shared" si="634"/>
        <v>1.9579017536212484</v>
      </c>
      <c r="AB239" s="173">
        <f t="shared" si="635"/>
        <v>0.68634926009236363</v>
      </c>
      <c r="AC239" s="173"/>
      <c r="AD239" s="173">
        <f t="shared" si="636"/>
        <v>1.3476574779430244</v>
      </c>
      <c r="AE239" s="545">
        <f t="shared" si="637"/>
        <v>230.2846477429093</v>
      </c>
      <c r="AF239" s="528">
        <f t="shared" si="638"/>
        <v>0.34956737580644337</v>
      </c>
      <c r="AH239" s="173">
        <f t="shared" si="639"/>
        <v>1.8414280172890665</v>
      </c>
      <c r="AI239" s="173">
        <f t="shared" si="640"/>
        <v>2.2222222222222223</v>
      </c>
      <c r="AJ239" s="173">
        <f t="shared" si="641"/>
        <v>1.1315912272816624</v>
      </c>
      <c r="AL239" s="545">
        <f t="shared" si="642"/>
        <v>230</v>
      </c>
      <c r="AM239" s="460">
        <f t="shared" si="643"/>
        <v>230.2846477429093</v>
      </c>
      <c r="AO239">
        <f t="shared" si="644"/>
        <v>230</v>
      </c>
      <c r="AP239">
        <f t="shared" si="645"/>
        <v>230.2846477429093</v>
      </c>
      <c r="AR239" s="5">
        <f t="shared" si="616"/>
        <v>4.3424518733719673</v>
      </c>
      <c r="AS239" s="5">
        <f t="shared" si="604"/>
        <v>0.61896312999016123</v>
      </c>
      <c r="AT239" s="5">
        <f t="shared" si="605"/>
        <v>3.723488743381806</v>
      </c>
      <c r="AU239" s="173">
        <f t="shared" si="606"/>
        <v>0.14253770635563284</v>
      </c>
      <c r="BA239" s="173">
        <f t="shared" si="692"/>
        <v>0.48438617786811766</v>
      </c>
      <c r="BB239" s="173">
        <f t="shared" si="693"/>
        <v>0.79242872209445125</v>
      </c>
      <c r="BC239" s="173">
        <f t="shared" si="694"/>
        <v>7.9349957171890306E-2</v>
      </c>
      <c r="BD239" s="173"/>
      <c r="BE239" s="528">
        <f t="shared" si="695"/>
        <v>9.3851987723873494E-3</v>
      </c>
      <c r="BF239" s="528">
        <f t="shared" si="646"/>
        <v>0.60325198120747858</v>
      </c>
      <c r="BG239" s="528">
        <f t="shared" si="647"/>
        <v>0.33071027132685216</v>
      </c>
      <c r="BH239" s="528">
        <f t="shared" si="696"/>
        <v>0.11061921386349445</v>
      </c>
      <c r="BI239">
        <f t="shared" si="697"/>
        <v>1.6156051169249706E-2</v>
      </c>
      <c r="BJ239" s="460">
        <f t="shared" si="698"/>
        <v>346.86632249610187</v>
      </c>
      <c r="BK239">
        <f t="shared" si="648"/>
        <v>0.72741247147862431</v>
      </c>
      <c r="BL239" s="460">
        <f t="shared" si="699"/>
        <v>1070.1227163394622</v>
      </c>
      <c r="BM239" s="173">
        <f t="shared" si="649"/>
        <v>0.19964000000000001</v>
      </c>
      <c r="BN239" s="173">
        <f t="shared" si="650"/>
        <v>1.4260000000000002E-2</v>
      </c>
      <c r="BQ239" s="460">
        <f t="shared" si="700"/>
        <v>213.9</v>
      </c>
      <c r="BR239" s="528">
        <f t="shared" si="701"/>
        <v>7.0388990792905112E-3</v>
      </c>
      <c r="BS239" s="528">
        <f t="shared" si="702"/>
        <v>1.8838298388007352E-2</v>
      </c>
      <c r="BT239" s="528">
        <f t="shared" si="703"/>
        <v>3.1482078515904127E-5</v>
      </c>
      <c r="BU239" s="528">
        <f t="shared" si="704"/>
        <v>0.29621100187281729</v>
      </c>
      <c r="BV239" s="528"/>
      <c r="BW239" s="625">
        <f t="shared" si="705"/>
        <v>0.2274416274004043</v>
      </c>
      <c r="BX239" s="460">
        <f t="shared" si="706"/>
        <v>549.56130881903539</v>
      </c>
      <c r="BY239" s="173">
        <f t="shared" si="707"/>
        <v>1.8335840251584974</v>
      </c>
      <c r="BZ239" s="5">
        <f t="shared" si="708"/>
        <v>5.9340000000000002</v>
      </c>
      <c r="CA239" s="173">
        <f t="shared" si="709"/>
        <v>0.76394410163833626</v>
      </c>
      <c r="CB239" s="5">
        <f t="shared" si="710"/>
        <v>76.394410163833626</v>
      </c>
      <c r="CC239">
        <f t="shared" si="711"/>
        <v>23</v>
      </c>
      <c r="CE239" s="562">
        <f t="shared" si="651"/>
        <v>-50</v>
      </c>
      <c r="CG239" s="173">
        <f t="shared" si="652"/>
        <v>0.3148381612455145</v>
      </c>
      <c r="CH239" s="173">
        <f t="shared" si="653"/>
        <v>8.6105622489498421E-2</v>
      </c>
      <c r="CI239" s="170">
        <v>23</v>
      </c>
      <c r="CJ239" s="217">
        <f t="shared" si="712"/>
        <v>0.23</v>
      </c>
      <c r="CK239" s="217">
        <f t="shared" si="654"/>
        <v>2.3000000000000003E-2</v>
      </c>
      <c r="CL239" s="217">
        <f t="shared" si="655"/>
        <v>5.5200000000000005</v>
      </c>
      <c r="CM239" s="217">
        <f t="shared" si="656"/>
        <v>0.41400000000000003</v>
      </c>
      <c r="CN239" s="541">
        <f t="shared" si="657"/>
        <v>36</v>
      </c>
      <c r="CO239" s="443">
        <f t="shared" si="658"/>
        <v>16.474900000000002</v>
      </c>
      <c r="CP239" s="443">
        <f t="shared" si="659"/>
        <v>52.474900000000005</v>
      </c>
      <c r="CQ239" s="443"/>
      <c r="CR239" s="217">
        <f t="shared" si="660"/>
        <v>0.31220924123305599</v>
      </c>
      <c r="CS239" s="172">
        <f t="shared" si="661"/>
        <v>58.085440229405762</v>
      </c>
      <c r="CT239" s="172">
        <f t="shared" si="662"/>
        <v>4.683138618495839</v>
      </c>
      <c r="CU239" s="217">
        <f t="shared" si="663"/>
        <v>2.4202266762252402</v>
      </c>
      <c r="CV239" s="217">
        <f t="shared" si="664"/>
        <v>3.2269689016336534</v>
      </c>
      <c r="CW239" s="217">
        <f t="shared" si="665"/>
        <v>24</v>
      </c>
      <c r="CX239" s="217">
        <f t="shared" si="666"/>
        <v>1.0559157870044571</v>
      </c>
      <c r="CY239" s="217">
        <f t="shared" si="667"/>
        <v>0.29330994083457146</v>
      </c>
      <c r="CZ239" s="217">
        <f t="shared" si="668"/>
        <v>0.64092394309188949</v>
      </c>
      <c r="DA239" s="197">
        <f t="shared" si="669"/>
        <v>350</v>
      </c>
      <c r="DB239" s="443">
        <f t="shared" si="670"/>
        <v>350</v>
      </c>
      <c r="DD239" s="217">
        <f t="shared" si="671"/>
        <v>3.2292794133140656</v>
      </c>
      <c r="DE239" s="173">
        <f t="shared" si="672"/>
        <v>1.9601207978889497</v>
      </c>
      <c r="DF239" s="173">
        <f t="shared" si="673"/>
        <v>0.6872960992823488</v>
      </c>
      <c r="DG239" s="173"/>
      <c r="DH239" s="173">
        <f t="shared" si="674"/>
        <v>1.3488532386977903</v>
      </c>
      <c r="DI239" s="545">
        <f t="shared" si="675"/>
        <v>230.08049999999994</v>
      </c>
      <c r="DJ239" s="528">
        <f t="shared" si="676"/>
        <v>0.34987754285999911</v>
      </c>
      <c r="DL239" s="173">
        <f t="shared" si="677"/>
        <v>1.8414280172890665</v>
      </c>
      <c r="DM239" s="173">
        <f t="shared" si="678"/>
        <v>2.2222222222222223</v>
      </c>
      <c r="DN239" s="173">
        <f t="shared" si="679"/>
        <v>1.1314745714285714</v>
      </c>
      <c r="DP239" s="545">
        <f t="shared" si="680"/>
        <v>230</v>
      </c>
      <c r="DQ239" s="460">
        <f t="shared" si="681"/>
        <v>230.08049999999994</v>
      </c>
      <c r="DS239">
        <f t="shared" si="682"/>
        <v>230</v>
      </c>
      <c r="DT239">
        <f t="shared" si="683"/>
        <v>230.08049999999994</v>
      </c>
      <c r="DV239" s="5">
        <f t="shared" si="684"/>
        <v>4.3463048802484359</v>
      </c>
      <c r="DW239" s="5">
        <f t="shared" si="685"/>
        <v>0.61728395061728403</v>
      </c>
      <c r="DX239" s="5">
        <f t="shared" si="686"/>
        <v>3.7290209296311518</v>
      </c>
      <c r="DY239" s="173">
        <f t="shared" si="687"/>
        <v>0.14202499999999998</v>
      </c>
      <c r="EA239" s="5">
        <f t="shared" si="713"/>
        <v>0.59156378600823056</v>
      </c>
      <c r="EB239" s="5">
        <f t="shared" si="714"/>
        <v>7.8875171467764085E-2</v>
      </c>
      <c r="EC239" s="5">
        <f t="shared" si="715"/>
        <v>0.47648600767509164</v>
      </c>
      <c r="ED239" s="5"/>
      <c r="EE239" s="173">
        <f t="shared" si="716"/>
        <v>0.48351422753674239</v>
      </c>
      <c r="EF239" s="173">
        <f t="shared" si="717"/>
        <v>0.79266559695802574</v>
      </c>
      <c r="EG239" s="173">
        <f t="shared" si="718"/>
        <v>7.9373676668364465E-2</v>
      </c>
      <c r="EH239" s="173"/>
      <c r="EI239" s="528">
        <f t="shared" si="719"/>
        <v>9.3514403292181084E-3</v>
      </c>
      <c r="EJ239" s="528">
        <f t="shared" si="720"/>
        <v>0.73782201957750004</v>
      </c>
      <c r="EK239" s="528">
        <f t="shared" si="721"/>
        <v>4.601609999999999E-2</v>
      </c>
      <c r="EL239" s="528">
        <f t="shared" si="722"/>
        <v>0.11087180053604651</v>
      </c>
      <c r="EM239">
        <f t="shared" si="723"/>
        <v>1.6199999999999999E-2</v>
      </c>
      <c r="EN239" s="460">
        <f t="shared" si="724"/>
        <v>62.21609999999999</v>
      </c>
      <c r="EP239" s="460">
        <f t="shared" si="725"/>
        <v>920.26136044276461</v>
      </c>
      <c r="EQ239" s="173">
        <f t="shared" si="726"/>
        <v>0.161</v>
      </c>
      <c r="ER239" s="173">
        <f t="shared" si="688"/>
        <v>1.4260000000000002E-2</v>
      </c>
      <c r="ES239" s="528"/>
      <c r="EU239" s="460">
        <f t="shared" si="727"/>
        <v>175.26</v>
      </c>
      <c r="EV239" s="528">
        <f t="shared" si="728"/>
        <v>7.0135802469135809E-3</v>
      </c>
      <c r="EW239" s="528">
        <f t="shared" si="729"/>
        <v>1.8849562458024698E-2</v>
      </c>
      <c r="EX239" s="528">
        <f t="shared" si="730"/>
        <v>3.1500902739270326E-5</v>
      </c>
      <c r="EY239" s="528">
        <f t="shared" si="731"/>
        <v>0.29555495935779103</v>
      </c>
      <c r="EZ239" s="528"/>
      <c r="FA239" s="625">
        <f t="shared" si="732"/>
        <v>0.22724</v>
      </c>
      <c r="FB239" s="460">
        <f t="shared" si="733"/>
        <v>548.68960296546868</v>
      </c>
      <c r="FC239" s="173">
        <f t="shared" si="734"/>
        <v>1.6442109634082329</v>
      </c>
      <c r="FD239" s="5">
        <f t="shared" si="735"/>
        <v>5.9340000000000002</v>
      </c>
      <c r="FE239" s="173">
        <f t="shared" si="736"/>
        <v>0.78303441652028594</v>
      </c>
      <c r="FF239" s="5">
        <f t="shared" si="737"/>
        <v>78.303441652028596</v>
      </c>
      <c r="FG239">
        <f t="shared" si="738"/>
        <v>23</v>
      </c>
      <c r="FI239" s="562">
        <f t="shared" si="689"/>
        <v>-50</v>
      </c>
    </row>
    <row r="240" spans="5:165">
      <c r="E240" s="170">
        <v>24</v>
      </c>
      <c r="F240" s="217">
        <f t="shared" si="690"/>
        <v>0.24</v>
      </c>
      <c r="G240" s="217">
        <f t="shared" si="617"/>
        <v>2.4E-2</v>
      </c>
      <c r="H240" s="217">
        <f t="shared" si="618"/>
        <v>5.76</v>
      </c>
      <c r="I240" s="217">
        <f t="shared" si="619"/>
        <v>0.432</v>
      </c>
      <c r="J240" s="541">
        <f t="shared" si="620"/>
        <v>35.902335931666016</v>
      </c>
      <c r="K240" s="443">
        <f t="shared" si="621"/>
        <v>16.489517986529311</v>
      </c>
      <c r="L240" s="172">
        <f t="shared" si="622"/>
        <v>52.391853918195324</v>
      </c>
      <c r="M240" s="443"/>
      <c r="N240" s="217">
        <f t="shared" si="623"/>
        <v>0.31473438623256311</v>
      </c>
      <c r="O240" s="172">
        <f t="shared" si="624"/>
        <v>58.396380691308515</v>
      </c>
      <c r="P240" s="172">
        <f t="shared" si="625"/>
        <v>4.7082081932367492</v>
      </c>
      <c r="Q240" s="217">
        <f t="shared" si="626"/>
        <v>2.4331825288045215</v>
      </c>
      <c r="R240" s="217">
        <f t="shared" si="627"/>
        <v>3.2442433717393619</v>
      </c>
      <c r="S240" s="217">
        <f t="shared" si="628"/>
        <v>24</v>
      </c>
      <c r="T240" s="217">
        <f t="shared" si="629"/>
        <v>1.0959583323890054</v>
      </c>
      <c r="U240" s="217">
        <f t="shared" si="630"/>
        <v>0.30526100988943328</v>
      </c>
      <c r="V240" s="217">
        <f t="shared" si="631"/>
        <v>0.66463939897110424</v>
      </c>
      <c r="W240" s="197">
        <f t="shared" si="632"/>
        <v>350</v>
      </c>
      <c r="X240" s="443">
        <f t="shared" si="691"/>
        <v>350</v>
      </c>
      <c r="Z240" s="217">
        <f t="shared" si="633"/>
        <v>3.228485618219485</v>
      </c>
      <c r="AA240" s="173">
        <f t="shared" si="634"/>
        <v>1.9579017536212484</v>
      </c>
      <c r="AB240" s="173">
        <f t="shared" si="635"/>
        <v>0.68634926009236363</v>
      </c>
      <c r="AC240" s="173"/>
      <c r="AD240" s="173">
        <f t="shared" si="636"/>
        <v>1.3476574779430244</v>
      </c>
      <c r="AE240" s="545">
        <f t="shared" si="637"/>
        <v>240.29702373173143</v>
      </c>
      <c r="AF240" s="528">
        <f t="shared" si="638"/>
        <v>0.34956737580644337</v>
      </c>
      <c r="AH240" s="173">
        <f t="shared" si="639"/>
        <v>1.8810331507673419</v>
      </c>
      <c r="AI240" s="173">
        <f t="shared" si="640"/>
        <v>2.2222222222222223</v>
      </c>
      <c r="AJ240" s="173">
        <f t="shared" si="641"/>
        <v>1.1373125849895609</v>
      </c>
      <c r="AL240" s="545">
        <f t="shared" si="642"/>
        <v>240</v>
      </c>
      <c r="AM240" s="460">
        <f t="shared" si="643"/>
        <v>240.29702373173143</v>
      </c>
      <c r="AO240">
        <f t="shared" si="644"/>
        <v>240</v>
      </c>
      <c r="AP240">
        <f t="shared" si="645"/>
        <v>240.29702373173143</v>
      </c>
      <c r="AR240" s="5">
        <f t="shared" si="616"/>
        <v>4.1615163786481348</v>
      </c>
      <c r="AS240" s="5">
        <f t="shared" si="604"/>
        <v>0.61896312999016123</v>
      </c>
      <c r="AT240" s="5">
        <f t="shared" si="605"/>
        <v>3.5425532486579736</v>
      </c>
      <c r="AU240" s="173">
        <f t="shared" si="606"/>
        <v>0.14873499793631256</v>
      </c>
      <c r="BA240" s="173">
        <f t="shared" si="692"/>
        <v>0.49480427678340477</v>
      </c>
      <c r="BB240" s="173">
        <f t="shared" si="693"/>
        <v>0.78955989773030388</v>
      </c>
      <c r="BC240" s="173">
        <f t="shared" si="694"/>
        <v>7.9062687056507444E-2</v>
      </c>
      <c r="BD240" s="173"/>
      <c r="BE240" s="528">
        <f t="shared" si="695"/>
        <v>9.7932508929259292E-3</v>
      </c>
      <c r="BF240" s="528">
        <f t="shared" si="646"/>
        <v>0.62948032821649935</v>
      </c>
      <c r="BG240" s="528">
        <f t="shared" si="647"/>
        <v>0.34508897877584571</v>
      </c>
      <c r="BH240" s="528">
        <f t="shared" si="696"/>
        <v>0.11542874490103769</v>
      </c>
      <c r="BI240">
        <f t="shared" si="697"/>
        <v>1.6156051169249706E-2</v>
      </c>
      <c r="BJ240" s="460">
        <f t="shared" si="698"/>
        <v>361.24502994509544</v>
      </c>
      <c r="BK240">
        <f t="shared" si="648"/>
        <v>0.75911286356795593</v>
      </c>
      <c r="BL240" s="460">
        <f t="shared" si="699"/>
        <v>1115.9473539555584</v>
      </c>
      <c r="BM240" s="173">
        <f t="shared" si="649"/>
        <v>0.20831999999999998</v>
      </c>
      <c r="BN240" s="173">
        <f t="shared" si="650"/>
        <v>1.4880000000000001E-2</v>
      </c>
      <c r="BQ240" s="460">
        <f t="shared" si="700"/>
        <v>223.2</v>
      </c>
      <c r="BR240" s="528">
        <f t="shared" si="701"/>
        <v>7.3449381696944474E-3</v>
      </c>
      <c r="BS240" s="528">
        <f t="shared" si="702"/>
        <v>1.8702144963116639E-2</v>
      </c>
      <c r="BT240" s="528">
        <f t="shared" si="703"/>
        <v>3.1254542422976146E-5</v>
      </c>
      <c r="BU240" s="528">
        <f t="shared" si="704"/>
        <v>0.32946531425388115</v>
      </c>
      <c r="BV240" s="528"/>
      <c r="BW240" s="625">
        <f t="shared" si="705"/>
        <v>0.23733039380911752</v>
      </c>
      <c r="BX240" s="460">
        <f t="shared" si="706"/>
        <v>592.87404573823267</v>
      </c>
      <c r="BY240" s="173">
        <f t="shared" si="707"/>
        <v>1.9320213996937914</v>
      </c>
      <c r="BZ240" s="5">
        <f t="shared" si="708"/>
        <v>6.1920000000000002</v>
      </c>
      <c r="CA240" s="173">
        <f t="shared" si="709"/>
        <v>0.76218410752012389</v>
      </c>
      <c r="CB240" s="5">
        <f t="shared" si="710"/>
        <v>76.218410752012389</v>
      </c>
      <c r="CC240">
        <f t="shared" si="711"/>
        <v>24</v>
      </c>
      <c r="CE240" s="562">
        <f t="shared" si="651"/>
        <v>-50</v>
      </c>
      <c r="CG240" s="173">
        <f t="shared" si="652"/>
        <v>0.32852677695184113</v>
      </c>
      <c r="CH240" s="173">
        <f t="shared" si="653"/>
        <v>8.9849345206433118E-2</v>
      </c>
      <c r="CI240" s="170">
        <v>24</v>
      </c>
      <c r="CJ240" s="217">
        <f t="shared" si="712"/>
        <v>0.24</v>
      </c>
      <c r="CK240" s="217">
        <f t="shared" si="654"/>
        <v>2.4E-2</v>
      </c>
      <c r="CL240" s="217">
        <f t="shared" si="655"/>
        <v>5.76</v>
      </c>
      <c r="CM240" s="217">
        <f t="shared" si="656"/>
        <v>0.432</v>
      </c>
      <c r="CN240" s="541">
        <f t="shared" si="657"/>
        <v>36</v>
      </c>
      <c r="CO240" s="443">
        <f t="shared" si="658"/>
        <v>16.474900000000002</v>
      </c>
      <c r="CP240" s="443">
        <f t="shared" si="659"/>
        <v>52.474900000000005</v>
      </c>
      <c r="CQ240" s="443"/>
      <c r="CR240" s="217">
        <f t="shared" si="660"/>
        <v>0.31220924123305599</v>
      </c>
      <c r="CS240" s="172">
        <f t="shared" si="661"/>
        <v>58.085440229405762</v>
      </c>
      <c r="CT240" s="172">
        <f t="shared" si="662"/>
        <v>4.683138618495839</v>
      </c>
      <c r="CU240" s="217">
        <f t="shared" si="663"/>
        <v>2.4202266762252402</v>
      </c>
      <c r="CV240" s="217">
        <f t="shared" si="664"/>
        <v>3.2269689016336534</v>
      </c>
      <c r="CW240" s="217">
        <f t="shared" si="665"/>
        <v>24</v>
      </c>
      <c r="CX240" s="217">
        <f t="shared" si="666"/>
        <v>1.1018251690481291</v>
      </c>
      <c r="CY240" s="217">
        <f t="shared" si="667"/>
        <v>0.30606254695781371</v>
      </c>
      <c r="CZ240" s="217">
        <f t="shared" si="668"/>
        <v>0.66879020148718904</v>
      </c>
      <c r="DA240" s="197">
        <f t="shared" si="669"/>
        <v>350</v>
      </c>
      <c r="DB240" s="443">
        <f t="shared" si="670"/>
        <v>350</v>
      </c>
      <c r="DD240" s="217">
        <f t="shared" si="671"/>
        <v>3.2292794133140656</v>
      </c>
      <c r="DE240" s="173">
        <f t="shared" si="672"/>
        <v>1.9601207978889497</v>
      </c>
      <c r="DF240" s="173">
        <f t="shared" si="673"/>
        <v>0.6872960992823488</v>
      </c>
      <c r="DG240" s="173"/>
      <c r="DH240" s="173">
        <f t="shared" si="674"/>
        <v>1.3488532386977903</v>
      </c>
      <c r="DI240" s="545">
        <f t="shared" si="675"/>
        <v>240.08399999999992</v>
      </c>
      <c r="DJ240" s="528">
        <f t="shared" si="676"/>
        <v>0.34987754285999911</v>
      </c>
      <c r="DL240" s="173">
        <f t="shared" si="677"/>
        <v>1.8810331507673419</v>
      </c>
      <c r="DM240" s="173">
        <f t="shared" si="678"/>
        <v>2.2222222222222223</v>
      </c>
      <c r="DN240" s="173">
        <f t="shared" si="679"/>
        <v>1.1371908571428571</v>
      </c>
      <c r="DP240" s="545">
        <f t="shared" si="680"/>
        <v>240</v>
      </c>
      <c r="DQ240" s="460">
        <f t="shared" si="681"/>
        <v>240.08399999999992</v>
      </c>
      <c r="DS240">
        <f t="shared" si="682"/>
        <v>240</v>
      </c>
      <c r="DT240">
        <f t="shared" si="683"/>
        <v>240.08399999999992</v>
      </c>
      <c r="DV240" s="5">
        <f t="shared" si="684"/>
        <v>4.1652088435714179</v>
      </c>
      <c r="DW240" s="5">
        <f t="shared" si="685"/>
        <v>0.61728395061728403</v>
      </c>
      <c r="DX240" s="5">
        <f t="shared" si="686"/>
        <v>3.5479248929541338</v>
      </c>
      <c r="DY240" s="173">
        <f t="shared" si="687"/>
        <v>0.14819999999999997</v>
      </c>
      <c r="EA240" s="5">
        <f t="shared" si="713"/>
        <v>0.61728395061728403</v>
      </c>
      <c r="EB240" s="5">
        <f t="shared" si="714"/>
        <v>8.2304526748971193E-2</v>
      </c>
      <c r="EC240" s="5">
        <f t="shared" si="715"/>
        <v>0.47305665239388445</v>
      </c>
      <c r="ED240" s="5"/>
      <c r="EE240" s="173">
        <f t="shared" si="716"/>
        <v>0.49391357268650821</v>
      </c>
      <c r="EF240" s="173">
        <f t="shared" si="717"/>
        <v>0.78980796770077055</v>
      </c>
      <c r="EG240" s="173">
        <f t="shared" si="718"/>
        <v>7.9087527576523098E-2</v>
      </c>
      <c r="EH240" s="173"/>
      <c r="EI240" s="528">
        <f t="shared" si="719"/>
        <v>9.7580246913580252E-3</v>
      </c>
      <c r="EJ240" s="528">
        <f t="shared" si="720"/>
        <v>0.76990123781999997</v>
      </c>
      <c r="EK240" s="528">
        <f t="shared" si="721"/>
        <v>4.8016799999999984E-2</v>
      </c>
      <c r="EL240" s="528">
        <f t="shared" si="722"/>
        <v>0.11569231360283111</v>
      </c>
      <c r="EM240">
        <f t="shared" si="723"/>
        <v>1.6199999999999999E-2</v>
      </c>
      <c r="EN240" s="460">
        <f t="shared" si="724"/>
        <v>64.216799999999992</v>
      </c>
      <c r="EP240" s="460">
        <f t="shared" si="725"/>
        <v>959.56837611418905</v>
      </c>
      <c r="EQ240" s="173">
        <f t="shared" si="726"/>
        <v>0.16799999999999998</v>
      </c>
      <c r="ER240" s="173">
        <f t="shared" si="688"/>
        <v>1.4880000000000001E-2</v>
      </c>
      <c r="ES240" s="528"/>
      <c r="EU240" s="460">
        <f t="shared" si="727"/>
        <v>182.88</v>
      </c>
      <c r="EV240" s="528">
        <f t="shared" si="728"/>
        <v>7.3185185185185185E-3</v>
      </c>
      <c r="EW240" s="528">
        <f t="shared" si="729"/>
        <v>1.871389877530864E-2</v>
      </c>
      <c r="EX240" s="528">
        <f t="shared" si="730"/>
        <v>3.1274185090836503E-5</v>
      </c>
      <c r="EY240" s="528">
        <f t="shared" si="731"/>
        <v>0.32873562071781914</v>
      </c>
      <c r="EZ240" s="528"/>
      <c r="FA240" s="625">
        <f t="shared" si="732"/>
        <v>0.23711999999999997</v>
      </c>
      <c r="FB240" s="460">
        <f t="shared" si="733"/>
        <v>591.91931219673711</v>
      </c>
      <c r="FC240" s="173">
        <f t="shared" si="734"/>
        <v>1.734367688310926</v>
      </c>
      <c r="FD240" s="5">
        <f t="shared" si="735"/>
        <v>6.1920000000000002</v>
      </c>
      <c r="FE240" s="173">
        <f t="shared" si="736"/>
        <v>0.78119010415469226</v>
      </c>
      <c r="FF240" s="5">
        <f t="shared" si="737"/>
        <v>78.119010415469219</v>
      </c>
      <c r="FG240">
        <f t="shared" si="738"/>
        <v>24</v>
      </c>
      <c r="FI240" s="562">
        <f t="shared" si="689"/>
        <v>-50</v>
      </c>
    </row>
    <row r="241" spans="5:165">
      <c r="E241" s="170">
        <v>25</v>
      </c>
      <c r="F241" s="217">
        <f t="shared" si="690"/>
        <v>0.25</v>
      </c>
      <c r="G241" s="217">
        <f t="shared" si="617"/>
        <v>2.5000000000000001E-2</v>
      </c>
      <c r="H241" s="217">
        <f t="shared" si="618"/>
        <v>6</v>
      </c>
      <c r="I241" s="217">
        <f t="shared" si="619"/>
        <v>0.45</v>
      </c>
      <c r="J241" s="541">
        <f t="shared" si="620"/>
        <v>35.902335931666016</v>
      </c>
      <c r="K241" s="443">
        <f t="shared" si="621"/>
        <v>16.489517986529311</v>
      </c>
      <c r="L241" s="172">
        <f t="shared" si="622"/>
        <v>52.391853918195324</v>
      </c>
      <c r="M241" s="443"/>
      <c r="N241" s="217">
        <f t="shared" si="623"/>
        <v>0.31473438623256311</v>
      </c>
      <c r="O241" s="172">
        <f t="shared" si="624"/>
        <v>58.396380691308515</v>
      </c>
      <c r="P241" s="172">
        <f t="shared" si="625"/>
        <v>4.7082081932367492</v>
      </c>
      <c r="Q241" s="217">
        <f t="shared" si="626"/>
        <v>2.4331825288045215</v>
      </c>
      <c r="R241" s="217">
        <f t="shared" si="627"/>
        <v>3.2442433717393619</v>
      </c>
      <c r="S241" s="217">
        <f t="shared" si="628"/>
        <v>24</v>
      </c>
      <c r="T241" s="217">
        <f t="shared" si="629"/>
        <v>1.1416232629052139</v>
      </c>
      <c r="U241" s="217">
        <f t="shared" si="630"/>
        <v>0.31798021863482623</v>
      </c>
      <c r="V241" s="217">
        <f t="shared" si="631"/>
        <v>0.69233270726156682</v>
      </c>
      <c r="W241" s="197">
        <f t="shared" si="632"/>
        <v>350</v>
      </c>
      <c r="X241" s="443">
        <f t="shared" si="691"/>
        <v>350</v>
      </c>
      <c r="Z241" s="217">
        <f t="shared" si="633"/>
        <v>3.228485618219485</v>
      </c>
      <c r="AA241" s="173">
        <f t="shared" si="634"/>
        <v>1.9579017536212484</v>
      </c>
      <c r="AB241" s="173">
        <f t="shared" si="635"/>
        <v>0.68634926009236363</v>
      </c>
      <c r="AC241" s="173"/>
      <c r="AD241" s="173">
        <f t="shared" si="636"/>
        <v>1.3476574779430244</v>
      </c>
      <c r="AE241" s="545">
        <f t="shared" si="637"/>
        <v>250.30939972055356</v>
      </c>
      <c r="AF241" s="528">
        <f t="shared" si="638"/>
        <v>0.34956737580644337</v>
      </c>
      <c r="AH241" s="173">
        <f t="shared" si="639"/>
        <v>1.9198214202665531</v>
      </c>
      <c r="AI241" s="173">
        <f t="shared" si="640"/>
        <v>2.2222222222222223</v>
      </c>
      <c r="AJ241" s="173">
        <f t="shared" si="641"/>
        <v>1.1430339426974592</v>
      </c>
      <c r="AL241" s="545">
        <f t="shared" si="642"/>
        <v>250</v>
      </c>
      <c r="AM241" s="460">
        <f t="shared" si="643"/>
        <v>250.30939972055356</v>
      </c>
      <c r="AO241">
        <f t="shared" si="644"/>
        <v>250</v>
      </c>
      <c r="AP241">
        <f t="shared" si="645"/>
        <v>250.30939972055356</v>
      </c>
      <c r="AR241" s="5">
        <f t="shared" si="616"/>
        <v>3.9950557235022104</v>
      </c>
      <c r="AS241" s="5">
        <f t="shared" si="604"/>
        <v>0.61896312999016123</v>
      </c>
      <c r="AT241" s="5">
        <f t="shared" si="605"/>
        <v>3.3760925935120492</v>
      </c>
      <c r="AU241" s="173">
        <f t="shared" si="606"/>
        <v>0.1549322895169922</v>
      </c>
      <c r="BA241" s="173">
        <f t="shared" si="692"/>
        <v>0.50500750027758268</v>
      </c>
      <c r="BB241" s="173">
        <f t="shared" si="693"/>
        <v>0.78668061156197988</v>
      </c>
      <c r="BC241" s="173">
        <f t="shared" si="694"/>
        <v>7.8774369346949605E-2</v>
      </c>
      <c r="BD241" s="173"/>
      <c r="BE241" s="528">
        <f t="shared" si="695"/>
        <v>1.0201303013464507E-2</v>
      </c>
      <c r="BF241" s="528">
        <f t="shared" si="646"/>
        <v>0.65570867522552012</v>
      </c>
      <c r="BG241" s="528">
        <f t="shared" si="647"/>
        <v>0.35946768622483927</v>
      </c>
      <c r="BH241" s="528">
        <f t="shared" si="696"/>
        <v>0.12023827593858091</v>
      </c>
      <c r="BI241">
        <f t="shared" si="697"/>
        <v>1.6156051169249706E-2</v>
      </c>
      <c r="BJ241" s="460">
        <f t="shared" si="698"/>
        <v>375.62373739408901</v>
      </c>
      <c r="BK241">
        <f t="shared" si="648"/>
        <v>0.79081941750042939</v>
      </c>
      <c r="BL241" s="460">
        <f t="shared" si="699"/>
        <v>1161.7719915716548</v>
      </c>
      <c r="BM241" s="173">
        <f t="shared" si="649"/>
        <v>0.217</v>
      </c>
      <c r="BN241" s="173">
        <f t="shared" si="650"/>
        <v>1.55E-2</v>
      </c>
      <c r="BQ241" s="460">
        <f t="shared" si="700"/>
        <v>232.49999999999997</v>
      </c>
      <c r="BR241" s="528">
        <f t="shared" si="701"/>
        <v>7.6509772600983801E-3</v>
      </c>
      <c r="BS241" s="528">
        <f t="shared" si="702"/>
        <v>1.8565991538225919E-2</v>
      </c>
      <c r="BT241" s="528">
        <f t="shared" si="703"/>
        <v>3.1027006330048166E-5</v>
      </c>
      <c r="BU241" s="528">
        <f t="shared" si="704"/>
        <v>0.36486450551021649</v>
      </c>
      <c r="BV241" s="528"/>
      <c r="BW241" s="625">
        <f t="shared" si="705"/>
        <v>0.24721916021783072</v>
      </c>
      <c r="BX241" s="460">
        <f t="shared" si="706"/>
        <v>638.33166153270156</v>
      </c>
      <c r="BY241" s="173">
        <f t="shared" si="707"/>
        <v>2.0326036531043563</v>
      </c>
      <c r="BZ241" s="5">
        <f t="shared" si="708"/>
        <v>6.45</v>
      </c>
      <c r="CA241" s="173">
        <f t="shared" si="709"/>
        <v>0.76037974468363978</v>
      </c>
      <c r="CB241" s="5">
        <f t="shared" si="710"/>
        <v>76.037974468363984</v>
      </c>
      <c r="CC241">
        <f t="shared" si="711"/>
        <v>25</v>
      </c>
      <c r="CE241" s="562">
        <f t="shared" si="651"/>
        <v>-50</v>
      </c>
      <c r="CG241" s="173">
        <f t="shared" si="652"/>
        <v>0.34221539265816792</v>
      </c>
      <c r="CH241" s="173">
        <f t="shared" si="653"/>
        <v>9.3593067923367843E-2</v>
      </c>
      <c r="CI241" s="170">
        <v>25</v>
      </c>
      <c r="CJ241" s="217">
        <f t="shared" si="712"/>
        <v>0.25</v>
      </c>
      <c r="CK241" s="217">
        <f t="shared" si="654"/>
        <v>2.5000000000000001E-2</v>
      </c>
      <c r="CL241" s="217">
        <f t="shared" si="655"/>
        <v>6</v>
      </c>
      <c r="CM241" s="217">
        <f t="shared" si="656"/>
        <v>0.45</v>
      </c>
      <c r="CN241" s="541">
        <f t="shared" si="657"/>
        <v>36</v>
      </c>
      <c r="CO241" s="443">
        <f t="shared" si="658"/>
        <v>16.474900000000002</v>
      </c>
      <c r="CP241" s="443">
        <f t="shared" si="659"/>
        <v>52.474900000000005</v>
      </c>
      <c r="CQ241" s="443"/>
      <c r="CR241" s="217">
        <f t="shared" si="660"/>
        <v>0.31220924123305599</v>
      </c>
      <c r="CS241" s="172">
        <f t="shared" si="661"/>
        <v>58.085440229405762</v>
      </c>
      <c r="CT241" s="172">
        <f t="shared" si="662"/>
        <v>4.683138618495839</v>
      </c>
      <c r="CU241" s="217">
        <f t="shared" si="663"/>
        <v>2.4202266762252402</v>
      </c>
      <c r="CV241" s="217">
        <f t="shared" si="664"/>
        <v>3.2269689016336534</v>
      </c>
      <c r="CW241" s="217">
        <f t="shared" si="665"/>
        <v>24</v>
      </c>
      <c r="CX241" s="217">
        <f t="shared" si="666"/>
        <v>1.1477345510918011</v>
      </c>
      <c r="CY241" s="217">
        <f t="shared" si="667"/>
        <v>0.31881515308105585</v>
      </c>
      <c r="CZ241" s="217">
        <f t="shared" si="668"/>
        <v>0.69665645988248859</v>
      </c>
      <c r="DA241" s="197">
        <f t="shared" si="669"/>
        <v>350</v>
      </c>
      <c r="DB241" s="443">
        <f t="shared" si="670"/>
        <v>350</v>
      </c>
      <c r="DD241" s="217">
        <f t="shared" si="671"/>
        <v>3.2292794133140656</v>
      </c>
      <c r="DE241" s="173">
        <f t="shared" si="672"/>
        <v>1.9601207978889497</v>
      </c>
      <c r="DF241" s="173">
        <f t="shared" si="673"/>
        <v>0.6872960992823488</v>
      </c>
      <c r="DG241" s="173"/>
      <c r="DH241" s="173">
        <f t="shared" si="674"/>
        <v>1.3488532386977903</v>
      </c>
      <c r="DI241" s="545">
        <f t="shared" si="675"/>
        <v>250.08749999999995</v>
      </c>
      <c r="DJ241" s="528">
        <f t="shared" si="676"/>
        <v>0.34987754285999911</v>
      </c>
      <c r="DL241" s="173">
        <f t="shared" si="677"/>
        <v>1.9198214202665531</v>
      </c>
      <c r="DM241" s="173">
        <f t="shared" si="678"/>
        <v>2.2222222222222223</v>
      </c>
      <c r="DN241" s="173">
        <f t="shared" si="679"/>
        <v>1.1429071428571429</v>
      </c>
      <c r="DP241" s="545">
        <f t="shared" si="680"/>
        <v>250</v>
      </c>
      <c r="DQ241" s="460">
        <f t="shared" si="681"/>
        <v>250.08749999999995</v>
      </c>
      <c r="DS241">
        <f t="shared" si="682"/>
        <v>250</v>
      </c>
      <c r="DT241">
        <f t="shared" si="683"/>
        <v>250.08749999999995</v>
      </c>
      <c r="DV241" s="5">
        <f t="shared" si="684"/>
        <v>3.998600489828561</v>
      </c>
      <c r="DW241" s="5">
        <f t="shared" si="685"/>
        <v>0.61728395061728403</v>
      </c>
      <c r="DX241" s="5">
        <f t="shared" si="686"/>
        <v>3.381316539211277</v>
      </c>
      <c r="DY241" s="173">
        <f t="shared" si="687"/>
        <v>0.15437499999999998</v>
      </c>
      <c r="EA241" s="5">
        <f t="shared" si="713"/>
        <v>0.6430041152263376</v>
      </c>
      <c r="EB241" s="5">
        <f t="shared" si="714"/>
        <v>8.5733882030178343E-2</v>
      </c>
      <c r="EC241" s="5">
        <f t="shared" si="715"/>
        <v>0.4696272971126772</v>
      </c>
      <c r="ED241" s="5"/>
      <c r="EE241" s="173">
        <f t="shared" si="716"/>
        <v>0.50409842921541481</v>
      </c>
      <c r="EF241" s="173">
        <f t="shared" si="717"/>
        <v>0.78693996155133705</v>
      </c>
      <c r="EG241" s="173">
        <f t="shared" si="718"/>
        <v>7.8800339393181165E-2</v>
      </c>
      <c r="EH241" s="173"/>
      <c r="EI241" s="528">
        <f t="shared" si="719"/>
        <v>1.0164609053497944E-2</v>
      </c>
      <c r="EJ241" s="528">
        <f t="shared" si="720"/>
        <v>0.80198045606250001</v>
      </c>
      <c r="EK241" s="528">
        <f t="shared" si="721"/>
        <v>5.0017499999999986E-2</v>
      </c>
      <c r="EL241" s="528">
        <f t="shared" si="722"/>
        <v>0.12051282666961577</v>
      </c>
      <c r="EM241">
        <f t="shared" si="723"/>
        <v>1.6199999999999999E-2</v>
      </c>
      <c r="EN241" s="460">
        <f t="shared" si="724"/>
        <v>66.217499999999987</v>
      </c>
      <c r="EP241" s="460">
        <f t="shared" si="725"/>
        <v>998.87539178561372</v>
      </c>
      <c r="EQ241" s="173">
        <f t="shared" si="726"/>
        <v>0.17499999999999999</v>
      </c>
      <c r="ER241" s="173">
        <f t="shared" si="688"/>
        <v>1.55E-2</v>
      </c>
      <c r="ES241" s="528"/>
      <c r="EU241" s="460">
        <f t="shared" si="727"/>
        <v>190.5</v>
      </c>
      <c r="EV241" s="528">
        <f t="shared" si="728"/>
        <v>7.6234567901234578E-3</v>
      </c>
      <c r="EW241" s="528">
        <f t="shared" si="729"/>
        <v>1.8578235092592595E-2</v>
      </c>
      <c r="EX241" s="528">
        <f t="shared" si="730"/>
        <v>3.1047467442402693E-5</v>
      </c>
      <c r="EY241" s="528">
        <f t="shared" si="731"/>
        <v>0.36405641051602272</v>
      </c>
      <c r="EZ241" s="528"/>
      <c r="FA241" s="625">
        <f t="shared" si="732"/>
        <v>0.24700000000000005</v>
      </c>
      <c r="FB241" s="460">
        <f t="shared" si="733"/>
        <v>637.28914986618122</v>
      </c>
      <c r="FC241" s="173">
        <f t="shared" si="734"/>
        <v>1.8266645416517948</v>
      </c>
      <c r="FD241" s="5">
        <f t="shared" si="735"/>
        <v>6.45</v>
      </c>
      <c r="FE241" s="173">
        <f t="shared" si="736"/>
        <v>0.77929943487993014</v>
      </c>
      <c r="FF241" s="5">
        <f t="shared" si="737"/>
        <v>77.929943487993015</v>
      </c>
      <c r="FG241">
        <f t="shared" si="738"/>
        <v>25</v>
      </c>
      <c r="FI241" s="562">
        <f t="shared" si="689"/>
        <v>-50</v>
      </c>
    </row>
    <row r="242" spans="5:165">
      <c r="E242" s="170">
        <v>26</v>
      </c>
      <c r="F242" s="217">
        <f t="shared" si="690"/>
        <v>0.26</v>
      </c>
      <c r="G242" s="217">
        <f t="shared" si="617"/>
        <v>2.6000000000000002E-2</v>
      </c>
      <c r="H242" s="217">
        <f t="shared" si="618"/>
        <v>6.24</v>
      </c>
      <c r="I242" s="217">
        <f t="shared" si="619"/>
        <v>0.46800000000000003</v>
      </c>
      <c r="J242" s="541">
        <f t="shared" si="620"/>
        <v>35.902335931666016</v>
      </c>
      <c r="K242" s="443">
        <f t="shared" si="621"/>
        <v>16.489517986529311</v>
      </c>
      <c r="L242" s="172">
        <f t="shared" si="622"/>
        <v>52.391853918195324</v>
      </c>
      <c r="M242" s="443"/>
      <c r="N242" s="217">
        <f t="shared" si="623"/>
        <v>0.31473438623256311</v>
      </c>
      <c r="O242" s="172">
        <f t="shared" si="624"/>
        <v>58.396380691308515</v>
      </c>
      <c r="P242" s="172">
        <f t="shared" si="625"/>
        <v>4.7082081932367492</v>
      </c>
      <c r="Q242" s="217">
        <f t="shared" si="626"/>
        <v>2.4331825288045215</v>
      </c>
      <c r="R242" s="217">
        <f t="shared" si="627"/>
        <v>3.2442433717393619</v>
      </c>
      <c r="S242" s="217">
        <f t="shared" si="628"/>
        <v>24</v>
      </c>
      <c r="T242" s="217">
        <f t="shared" si="629"/>
        <v>1.1872881934214223</v>
      </c>
      <c r="U242" s="217">
        <f t="shared" si="630"/>
        <v>0.33069942738021935</v>
      </c>
      <c r="V242" s="217">
        <f t="shared" si="631"/>
        <v>0.7200260155520295</v>
      </c>
      <c r="W242" s="197">
        <f t="shared" si="632"/>
        <v>350</v>
      </c>
      <c r="X242" s="443">
        <f t="shared" si="691"/>
        <v>350</v>
      </c>
      <c r="Z242" s="217">
        <f t="shared" si="633"/>
        <v>3.228485618219485</v>
      </c>
      <c r="AA242" s="173">
        <f t="shared" si="634"/>
        <v>1.9579017536212484</v>
      </c>
      <c r="AB242" s="173">
        <f t="shared" si="635"/>
        <v>0.68634926009236363</v>
      </c>
      <c r="AC242" s="173"/>
      <c r="AD242" s="173">
        <f t="shared" si="636"/>
        <v>1.3476574779430244</v>
      </c>
      <c r="AE242" s="545">
        <f t="shared" si="637"/>
        <v>260.32177570937574</v>
      </c>
      <c r="AF242" s="528">
        <f t="shared" si="638"/>
        <v>0.34956737580644337</v>
      </c>
      <c r="AH242" s="173">
        <f t="shared" si="639"/>
        <v>1.9578413769105139</v>
      </c>
      <c r="AI242" s="173">
        <f t="shared" si="640"/>
        <v>2.2222222222222223</v>
      </c>
      <c r="AJ242" s="173">
        <f t="shared" si="641"/>
        <v>1.1487553004053577</v>
      </c>
      <c r="AL242" s="545">
        <f t="shared" si="642"/>
        <v>260</v>
      </c>
      <c r="AM242" s="460">
        <f t="shared" si="643"/>
        <v>260.32177570937574</v>
      </c>
      <c r="AO242">
        <f t="shared" si="644"/>
        <v>260</v>
      </c>
      <c r="AP242">
        <f t="shared" si="645"/>
        <v>260.32177570937574</v>
      </c>
      <c r="AR242" s="5">
        <f t="shared" si="616"/>
        <v>3.8413997341367399</v>
      </c>
      <c r="AS242" s="5">
        <f t="shared" si="604"/>
        <v>0.61896312999016123</v>
      </c>
      <c r="AT242" s="5">
        <f t="shared" si="605"/>
        <v>3.2224366041465786</v>
      </c>
      <c r="AU242" s="173">
        <f t="shared" si="606"/>
        <v>0.16112958109767195</v>
      </c>
      <c r="BA242" s="173">
        <f t="shared" si="692"/>
        <v>0.51500861968522171</v>
      </c>
      <c r="BB242" s="173">
        <f t="shared" si="693"/>
        <v>0.78379074829393935</v>
      </c>
      <c r="BC242" s="173">
        <f t="shared" si="694"/>
        <v>7.8484992498082287E-2</v>
      </c>
      <c r="BD242" s="173"/>
      <c r="BE242" s="528">
        <f t="shared" si="695"/>
        <v>1.0609355134003094E-2</v>
      </c>
      <c r="BF242" s="528">
        <f t="shared" si="646"/>
        <v>0.68193702223454111</v>
      </c>
      <c r="BG242" s="528">
        <f t="shared" si="647"/>
        <v>0.37384639367383288</v>
      </c>
      <c r="BH242" s="528">
        <f t="shared" si="696"/>
        <v>0.12504780697612417</v>
      </c>
      <c r="BI242">
        <f t="shared" si="697"/>
        <v>1.6156051169249706E-2</v>
      </c>
      <c r="BJ242" s="460">
        <f t="shared" si="698"/>
        <v>390.00244484308263</v>
      </c>
      <c r="BK242">
        <f t="shared" si="648"/>
        <v>0.82253213507280498</v>
      </c>
      <c r="BL242" s="460">
        <f t="shared" si="699"/>
        <v>1207.596629187751</v>
      </c>
      <c r="BM242" s="173">
        <f t="shared" si="649"/>
        <v>0.22567999999999999</v>
      </c>
      <c r="BN242" s="173">
        <f t="shared" si="650"/>
        <v>1.6120000000000002E-2</v>
      </c>
      <c r="BQ242" s="460">
        <f t="shared" si="700"/>
        <v>241.79999999999998</v>
      </c>
      <c r="BR242" s="528">
        <f t="shared" si="701"/>
        <v>7.9570163505023189E-3</v>
      </c>
      <c r="BS242" s="528">
        <f t="shared" si="702"/>
        <v>1.8429838113335203E-2</v>
      </c>
      <c r="BT242" s="528">
        <f t="shared" si="703"/>
        <v>3.0799470237120165E-5</v>
      </c>
      <c r="BU242" s="528">
        <f t="shared" si="704"/>
        <v>0.40245281081211215</v>
      </c>
      <c r="BV242" s="528"/>
      <c r="BW242" s="625">
        <f t="shared" si="705"/>
        <v>0.25710792662654403</v>
      </c>
      <c r="BX242" s="460">
        <f t="shared" si="706"/>
        <v>685.97839137273081</v>
      </c>
      <c r="BY242" s="173">
        <f t="shared" si="707"/>
        <v>2.1353750205604816</v>
      </c>
      <c r="BZ242" s="5">
        <f t="shared" si="708"/>
        <v>6.7080000000000002</v>
      </c>
      <c r="CA242" s="173">
        <f t="shared" si="709"/>
        <v>0.75853392900382233</v>
      </c>
      <c r="CB242" s="5">
        <f t="shared" si="710"/>
        <v>75.853392900382232</v>
      </c>
      <c r="CC242">
        <f t="shared" si="711"/>
        <v>26</v>
      </c>
      <c r="CE242" s="562">
        <f t="shared" si="651"/>
        <v>-50</v>
      </c>
      <c r="CG242" s="173">
        <f t="shared" si="652"/>
        <v>0.3559040083644946</v>
      </c>
      <c r="CH242" s="173">
        <f t="shared" si="653"/>
        <v>9.7336790640302553E-2</v>
      </c>
      <c r="CI242" s="170">
        <v>26</v>
      </c>
      <c r="CJ242" s="217">
        <f t="shared" si="712"/>
        <v>0.26</v>
      </c>
      <c r="CK242" s="217">
        <f t="shared" si="654"/>
        <v>2.6000000000000002E-2</v>
      </c>
      <c r="CL242" s="217">
        <f t="shared" si="655"/>
        <v>6.24</v>
      </c>
      <c r="CM242" s="217">
        <f t="shared" si="656"/>
        <v>0.46800000000000003</v>
      </c>
      <c r="CN242" s="541">
        <f t="shared" si="657"/>
        <v>36</v>
      </c>
      <c r="CO242" s="443">
        <f t="shared" si="658"/>
        <v>16.474900000000002</v>
      </c>
      <c r="CP242" s="443">
        <f t="shared" si="659"/>
        <v>52.474900000000005</v>
      </c>
      <c r="CQ242" s="443"/>
      <c r="CR242" s="217">
        <f t="shared" si="660"/>
        <v>0.31220924123305599</v>
      </c>
      <c r="CS242" s="172">
        <f t="shared" si="661"/>
        <v>58.085440229405762</v>
      </c>
      <c r="CT242" s="172">
        <f t="shared" si="662"/>
        <v>4.683138618495839</v>
      </c>
      <c r="CU242" s="217">
        <f t="shared" si="663"/>
        <v>2.4202266762252402</v>
      </c>
      <c r="CV242" s="217">
        <f t="shared" si="664"/>
        <v>3.2269689016336534</v>
      </c>
      <c r="CW242" s="217">
        <f t="shared" si="665"/>
        <v>24</v>
      </c>
      <c r="CX242" s="217">
        <f t="shared" si="666"/>
        <v>1.1936439331354731</v>
      </c>
      <c r="CY242" s="217">
        <f t="shared" si="667"/>
        <v>0.3315677592042981</v>
      </c>
      <c r="CZ242" s="217">
        <f t="shared" si="668"/>
        <v>0.72452271827778814</v>
      </c>
      <c r="DA242" s="197">
        <f t="shared" si="669"/>
        <v>350</v>
      </c>
      <c r="DB242" s="443">
        <f t="shared" si="670"/>
        <v>350</v>
      </c>
      <c r="DD242" s="217">
        <f t="shared" si="671"/>
        <v>3.2292794133140656</v>
      </c>
      <c r="DE242" s="173">
        <f t="shared" si="672"/>
        <v>1.9601207978889497</v>
      </c>
      <c r="DF242" s="173">
        <f t="shared" si="673"/>
        <v>0.6872960992823488</v>
      </c>
      <c r="DG242" s="173"/>
      <c r="DH242" s="173">
        <f t="shared" si="674"/>
        <v>1.3488532386977903</v>
      </c>
      <c r="DI242" s="545">
        <f t="shared" si="675"/>
        <v>260.09099999999989</v>
      </c>
      <c r="DJ242" s="528">
        <f t="shared" si="676"/>
        <v>0.34987754285999911</v>
      </c>
      <c r="DL242" s="173">
        <f t="shared" si="677"/>
        <v>1.9578413769105139</v>
      </c>
      <c r="DM242" s="173">
        <f t="shared" si="678"/>
        <v>2.2222222222222223</v>
      </c>
      <c r="DN242" s="173">
        <f t="shared" si="679"/>
        <v>1.1486234285714285</v>
      </c>
      <c r="DP242" s="545">
        <f t="shared" si="680"/>
        <v>260</v>
      </c>
      <c r="DQ242" s="460">
        <f t="shared" si="681"/>
        <v>260.09099999999989</v>
      </c>
      <c r="DS242">
        <f t="shared" si="682"/>
        <v>260</v>
      </c>
      <c r="DT242">
        <f t="shared" si="683"/>
        <v>260.09099999999989</v>
      </c>
      <c r="DV242" s="5">
        <f t="shared" si="684"/>
        <v>3.8448081632966939</v>
      </c>
      <c r="DW242" s="5">
        <f t="shared" si="685"/>
        <v>0.61728395061728403</v>
      </c>
      <c r="DX242" s="5">
        <f t="shared" si="686"/>
        <v>3.2275242126794099</v>
      </c>
      <c r="DY242" s="173">
        <f t="shared" si="687"/>
        <v>0.16054999999999994</v>
      </c>
      <c r="EA242" s="5">
        <f t="shared" si="713"/>
        <v>0.66872427983539107</v>
      </c>
      <c r="EB242" s="5">
        <f t="shared" si="714"/>
        <v>8.9163237311385479E-2</v>
      </c>
      <c r="EC242" s="5">
        <f t="shared" si="715"/>
        <v>0.46619794183147029</v>
      </c>
      <c r="ED242" s="5"/>
      <c r="EE242" s="173">
        <f t="shared" si="716"/>
        <v>0.51408154546817419</v>
      </c>
      <c r="EF242" s="173">
        <f t="shared" si="717"/>
        <v>0.78406146463731929</v>
      </c>
      <c r="EG242" s="173">
        <f t="shared" si="718"/>
        <v>7.8512100715709923E-2</v>
      </c>
      <c r="EH242" s="173"/>
      <c r="EI242" s="528">
        <f t="shared" si="719"/>
        <v>1.0571193415637859E-2</v>
      </c>
      <c r="EJ242" s="528">
        <f t="shared" si="720"/>
        <v>0.83405967430499983</v>
      </c>
      <c r="EK242" s="528">
        <f t="shared" si="721"/>
        <v>5.2018199999999973E-2</v>
      </c>
      <c r="EL242" s="528">
        <f t="shared" si="722"/>
        <v>0.12533333973640037</v>
      </c>
      <c r="EM242">
        <f t="shared" si="723"/>
        <v>1.6199999999999999E-2</v>
      </c>
      <c r="EN242" s="460">
        <f t="shared" si="724"/>
        <v>68.218199999999982</v>
      </c>
      <c r="EP242" s="460">
        <f t="shared" si="725"/>
        <v>1038.1824074570382</v>
      </c>
      <c r="EQ242" s="173">
        <f t="shared" si="726"/>
        <v>0.182</v>
      </c>
      <c r="ER242" s="173">
        <f t="shared" si="688"/>
        <v>1.6120000000000002E-2</v>
      </c>
      <c r="ES242" s="528"/>
      <c r="EU242" s="460">
        <f t="shared" si="727"/>
        <v>198.12</v>
      </c>
      <c r="EV242" s="528">
        <f t="shared" si="728"/>
        <v>7.9283950617283928E-3</v>
      </c>
      <c r="EW242" s="528">
        <f t="shared" si="729"/>
        <v>1.8442571409876547E-2</v>
      </c>
      <c r="EX242" s="528">
        <f t="shared" si="730"/>
        <v>3.0820749793968896E-5</v>
      </c>
      <c r="EY242" s="528">
        <f t="shared" si="731"/>
        <v>0.40156146595147074</v>
      </c>
      <c r="EZ242" s="528"/>
      <c r="FA242" s="625">
        <f t="shared" si="732"/>
        <v>0.25687999999999994</v>
      </c>
      <c r="FB242" s="460">
        <f t="shared" si="733"/>
        <v>684.84325317286959</v>
      </c>
      <c r="FC242" s="173">
        <f t="shared" si="734"/>
        <v>1.9211456606299075</v>
      </c>
      <c r="FD242" s="5">
        <f t="shared" si="735"/>
        <v>6.7080000000000002</v>
      </c>
      <c r="FE242" s="173">
        <f t="shared" si="736"/>
        <v>0.77736548481328238</v>
      </c>
      <c r="FF242" s="5">
        <f t="shared" si="737"/>
        <v>77.736548481328242</v>
      </c>
      <c r="FG242">
        <f t="shared" si="738"/>
        <v>26</v>
      </c>
      <c r="FI242" s="562">
        <f t="shared" si="689"/>
        <v>-50</v>
      </c>
    </row>
    <row r="243" spans="5:165">
      <c r="E243" s="170">
        <v>27</v>
      </c>
      <c r="F243" s="217">
        <f t="shared" si="690"/>
        <v>0.27</v>
      </c>
      <c r="G243" s="217">
        <f t="shared" si="617"/>
        <v>2.7000000000000003E-2</v>
      </c>
      <c r="H243" s="217">
        <f t="shared" si="618"/>
        <v>6.48</v>
      </c>
      <c r="I243" s="217">
        <f t="shared" si="619"/>
        <v>0.48600000000000004</v>
      </c>
      <c r="J243" s="541">
        <f t="shared" si="620"/>
        <v>35.902335931666016</v>
      </c>
      <c r="K243" s="443">
        <f t="shared" si="621"/>
        <v>16.489517986529311</v>
      </c>
      <c r="L243" s="172">
        <f t="shared" si="622"/>
        <v>52.391853918195324</v>
      </c>
      <c r="M243" s="443"/>
      <c r="N243" s="217">
        <f t="shared" si="623"/>
        <v>0.31473438623256311</v>
      </c>
      <c r="O243" s="172">
        <f t="shared" si="624"/>
        <v>58.396380691308515</v>
      </c>
      <c r="P243" s="172">
        <f t="shared" si="625"/>
        <v>4.7082081932367492</v>
      </c>
      <c r="Q243" s="217">
        <f t="shared" si="626"/>
        <v>2.4331825288045215</v>
      </c>
      <c r="R243" s="217">
        <f t="shared" si="627"/>
        <v>3.2442433717393619</v>
      </c>
      <c r="S243" s="217">
        <f t="shared" si="628"/>
        <v>24</v>
      </c>
      <c r="T243" s="217">
        <f t="shared" si="629"/>
        <v>1.232953123937631</v>
      </c>
      <c r="U243" s="217">
        <f t="shared" si="630"/>
        <v>0.34341863612561241</v>
      </c>
      <c r="V243" s="217">
        <f t="shared" si="631"/>
        <v>0.74771932384249229</v>
      </c>
      <c r="W243" s="197">
        <f t="shared" si="632"/>
        <v>350</v>
      </c>
      <c r="X243" s="443">
        <f t="shared" si="691"/>
        <v>350</v>
      </c>
      <c r="Z243" s="217">
        <f t="shared" si="633"/>
        <v>3.228485618219485</v>
      </c>
      <c r="AA243" s="173">
        <f t="shared" si="634"/>
        <v>1.9579017536212484</v>
      </c>
      <c r="AB243" s="173">
        <f t="shared" si="635"/>
        <v>0.68634926009236363</v>
      </c>
      <c r="AC243" s="173"/>
      <c r="AD243" s="173">
        <f t="shared" si="636"/>
        <v>1.3476574779430244</v>
      </c>
      <c r="AE243" s="545">
        <f t="shared" si="637"/>
        <v>270.3341516981979</v>
      </c>
      <c r="AF243" s="528">
        <f t="shared" si="638"/>
        <v>0.34956737580644337</v>
      </c>
      <c r="AH243" s="173">
        <f t="shared" si="639"/>
        <v>1.9951369448164273</v>
      </c>
      <c r="AI243" s="173">
        <f t="shared" si="640"/>
        <v>2.2222222222222223</v>
      </c>
      <c r="AJ243" s="173">
        <f t="shared" si="641"/>
        <v>1.1544766581132559</v>
      </c>
      <c r="AL243" s="545">
        <f t="shared" si="642"/>
        <v>270</v>
      </c>
      <c r="AM243" s="460">
        <f t="shared" si="643"/>
        <v>270.3341516981979</v>
      </c>
      <c r="AO243">
        <f t="shared" si="644"/>
        <v>270</v>
      </c>
      <c r="AP243">
        <f t="shared" si="645"/>
        <v>270.3341516981979</v>
      </c>
      <c r="AR243" s="5">
        <f t="shared" si="616"/>
        <v>3.6991256699094532</v>
      </c>
      <c r="AS243" s="5">
        <f t="shared" ref="AS243:AS306" si="739">L*AI243/J243*1000000</f>
        <v>0.61896312999016123</v>
      </c>
      <c r="AT243" s="5">
        <f t="shared" ref="AT243:AT306" si="740">AR243-AS243</f>
        <v>3.080162539919292</v>
      </c>
      <c r="AU243" s="173">
        <f t="shared" ref="AU243:AU306" si="741">AS243/AR243</f>
        <v>0.16732687267835161</v>
      </c>
      <c r="BA243" s="173">
        <f t="shared" si="692"/>
        <v>0.52481918921047632</v>
      </c>
      <c r="BB243" s="173">
        <f t="shared" si="693"/>
        <v>0.78089019049724029</v>
      </c>
      <c r="BC243" s="173">
        <f t="shared" si="694"/>
        <v>7.819454475114257E-2</v>
      </c>
      <c r="BD243" s="173"/>
      <c r="BE243" s="528">
        <f t="shared" si="695"/>
        <v>1.1017407254541669E-2</v>
      </c>
      <c r="BF243" s="528">
        <f t="shared" si="646"/>
        <v>0.70816536924356188</v>
      </c>
      <c r="BG243" s="528">
        <f t="shared" si="647"/>
        <v>0.38822510112282649</v>
      </c>
      <c r="BH243" s="528">
        <f t="shared" si="696"/>
        <v>0.12985733801366742</v>
      </c>
      <c r="BI243">
        <f t="shared" si="697"/>
        <v>1.6156051169249706E-2</v>
      </c>
      <c r="BJ243" s="460">
        <f t="shared" si="698"/>
        <v>404.38115229207619</v>
      </c>
      <c r="BK243">
        <f t="shared" si="648"/>
        <v>0.85425101808254134</v>
      </c>
      <c r="BL243" s="460">
        <f t="shared" si="699"/>
        <v>1253.4212668038472</v>
      </c>
      <c r="BM243" s="173">
        <f t="shared" si="649"/>
        <v>0.23436000000000001</v>
      </c>
      <c r="BN243" s="173">
        <f t="shared" si="650"/>
        <v>1.6740000000000001E-2</v>
      </c>
      <c r="BQ243" s="460">
        <f t="shared" si="700"/>
        <v>251.1</v>
      </c>
      <c r="BR243" s="528">
        <f t="shared" si="701"/>
        <v>8.2630554409062508E-3</v>
      </c>
      <c r="BS243" s="528">
        <f t="shared" si="702"/>
        <v>1.8293684688444486E-2</v>
      </c>
      <c r="BT243" s="528">
        <f t="shared" si="703"/>
        <v>3.0571934144192191E-5</v>
      </c>
      <c r="BU243" s="528">
        <f t="shared" si="704"/>
        <v>0.44227358877770612</v>
      </c>
      <c r="BV243" s="528"/>
      <c r="BW243" s="625">
        <f t="shared" si="705"/>
        <v>0.26699669303525725</v>
      </c>
      <c r="BX243" s="460">
        <f t="shared" si="706"/>
        <v>735.85759387645817</v>
      </c>
      <c r="BY243" s="173">
        <f t="shared" si="707"/>
        <v>2.2403788606803055</v>
      </c>
      <c r="BZ243" s="5">
        <f t="shared" si="708"/>
        <v>6.9660000000000002</v>
      </c>
      <c r="CA243" s="173">
        <f t="shared" si="709"/>
        <v>0.75664928691466504</v>
      </c>
      <c r="CB243" s="5">
        <f t="shared" si="710"/>
        <v>75.6649286914665</v>
      </c>
      <c r="CC243">
        <f t="shared" si="711"/>
        <v>27</v>
      </c>
      <c r="CE243" s="562">
        <f t="shared" si="651"/>
        <v>-50</v>
      </c>
      <c r="CG243" s="173">
        <f t="shared" si="652"/>
        <v>0.36959262407082139</v>
      </c>
      <c r="CH243" s="173">
        <f t="shared" si="653"/>
        <v>0.10108051335723728</v>
      </c>
      <c r="CI243" s="170">
        <v>27</v>
      </c>
      <c r="CJ243" s="217">
        <f t="shared" si="712"/>
        <v>0.27</v>
      </c>
      <c r="CK243" s="217">
        <f t="shared" si="654"/>
        <v>2.7000000000000003E-2</v>
      </c>
      <c r="CL243" s="217">
        <f t="shared" si="655"/>
        <v>6.48</v>
      </c>
      <c r="CM243" s="217">
        <f t="shared" si="656"/>
        <v>0.48600000000000004</v>
      </c>
      <c r="CN243" s="541">
        <f t="shared" si="657"/>
        <v>36</v>
      </c>
      <c r="CO243" s="443">
        <f t="shared" si="658"/>
        <v>16.474900000000002</v>
      </c>
      <c r="CP243" s="443">
        <f t="shared" si="659"/>
        <v>52.474900000000005</v>
      </c>
      <c r="CQ243" s="443"/>
      <c r="CR243" s="217">
        <f t="shared" si="660"/>
        <v>0.31220924123305599</v>
      </c>
      <c r="CS243" s="172">
        <f t="shared" si="661"/>
        <v>58.085440229405762</v>
      </c>
      <c r="CT243" s="172">
        <f t="shared" si="662"/>
        <v>4.683138618495839</v>
      </c>
      <c r="CU243" s="217">
        <f t="shared" si="663"/>
        <v>2.4202266762252402</v>
      </c>
      <c r="CV243" s="217">
        <f t="shared" si="664"/>
        <v>3.2269689016336534</v>
      </c>
      <c r="CW243" s="217">
        <f t="shared" si="665"/>
        <v>24</v>
      </c>
      <c r="CX243" s="217">
        <f t="shared" si="666"/>
        <v>1.2395533151791451</v>
      </c>
      <c r="CY243" s="217">
        <f t="shared" si="667"/>
        <v>0.34432036532754035</v>
      </c>
      <c r="CZ243" s="217">
        <f t="shared" si="668"/>
        <v>0.75238897667308757</v>
      </c>
      <c r="DA243" s="197">
        <f t="shared" si="669"/>
        <v>350</v>
      </c>
      <c r="DB243" s="443">
        <f t="shared" si="670"/>
        <v>350</v>
      </c>
      <c r="DD243" s="217">
        <f t="shared" si="671"/>
        <v>3.2292794133140656</v>
      </c>
      <c r="DE243" s="173">
        <f t="shared" si="672"/>
        <v>1.9601207978889497</v>
      </c>
      <c r="DF243" s="173">
        <f t="shared" si="673"/>
        <v>0.6872960992823488</v>
      </c>
      <c r="DG243" s="173"/>
      <c r="DH243" s="173">
        <f t="shared" si="674"/>
        <v>1.3488532386977903</v>
      </c>
      <c r="DI243" s="545">
        <f t="shared" si="675"/>
        <v>270.09449999999993</v>
      </c>
      <c r="DJ243" s="528">
        <f t="shared" si="676"/>
        <v>0.34987754285999911</v>
      </c>
      <c r="DL243" s="173">
        <f t="shared" si="677"/>
        <v>1.9951369448164273</v>
      </c>
      <c r="DM243" s="173">
        <f t="shared" si="678"/>
        <v>2.2222222222222223</v>
      </c>
      <c r="DN243" s="173">
        <f t="shared" si="679"/>
        <v>1.1543397142857144</v>
      </c>
      <c r="DP243" s="545">
        <f t="shared" si="680"/>
        <v>270</v>
      </c>
      <c r="DQ243" s="460">
        <f t="shared" si="681"/>
        <v>270.09449999999993</v>
      </c>
      <c r="DS243">
        <f t="shared" si="682"/>
        <v>270</v>
      </c>
      <c r="DT243">
        <f t="shared" si="683"/>
        <v>270.09449999999993</v>
      </c>
      <c r="DV243" s="5">
        <f t="shared" si="684"/>
        <v>3.7024078609523716</v>
      </c>
      <c r="DW243" s="5">
        <f t="shared" si="685"/>
        <v>0.61728395061728403</v>
      </c>
      <c r="DX243" s="5">
        <f t="shared" si="686"/>
        <v>3.0851239103350876</v>
      </c>
      <c r="DY243" s="173">
        <f t="shared" si="687"/>
        <v>0.16672499999999996</v>
      </c>
      <c r="EA243" s="5">
        <f t="shared" si="713"/>
        <v>0.69444444444444442</v>
      </c>
      <c r="EB243" s="5">
        <f t="shared" si="714"/>
        <v>9.2592592592592615E-2</v>
      </c>
      <c r="EC243" s="5">
        <f t="shared" si="715"/>
        <v>0.46276858655026309</v>
      </c>
      <c r="ED243" s="5"/>
      <c r="EE243" s="173">
        <f t="shared" si="716"/>
        <v>0.52387445485005701</v>
      </c>
      <c r="EF243" s="173">
        <f t="shared" si="717"/>
        <v>0.78117236098828824</v>
      </c>
      <c r="EG243" s="173">
        <f t="shared" si="718"/>
        <v>7.822279993139479E-2</v>
      </c>
      <c r="EH243" s="173"/>
      <c r="EI243" s="528">
        <f t="shared" si="719"/>
        <v>1.0977777777777777E-2</v>
      </c>
      <c r="EJ243" s="528">
        <f t="shared" si="720"/>
        <v>0.86613889254749998</v>
      </c>
      <c r="EK243" s="528">
        <f t="shared" si="721"/>
        <v>5.4018899999999988E-2</v>
      </c>
      <c r="EL243" s="528">
        <f t="shared" si="722"/>
        <v>0.13015385280318501</v>
      </c>
      <c r="EM243">
        <f t="shared" si="723"/>
        <v>1.6199999999999999E-2</v>
      </c>
      <c r="EN243" s="460">
        <f t="shared" si="724"/>
        <v>70.218899999999991</v>
      </c>
      <c r="EP243" s="460">
        <f t="shared" si="725"/>
        <v>1077.4894231284627</v>
      </c>
      <c r="EQ243" s="173">
        <f t="shared" si="726"/>
        <v>0.189</v>
      </c>
      <c r="ER243" s="173">
        <f t="shared" si="688"/>
        <v>1.6740000000000001E-2</v>
      </c>
      <c r="ES243" s="528"/>
      <c r="EU243" s="460">
        <f t="shared" si="727"/>
        <v>205.74</v>
      </c>
      <c r="EV243" s="528">
        <f t="shared" si="728"/>
        <v>8.2333333333333321E-3</v>
      </c>
      <c r="EW243" s="528">
        <f t="shared" si="729"/>
        <v>1.8306907727160496E-2</v>
      </c>
      <c r="EX243" s="528">
        <f t="shared" si="730"/>
        <v>3.059403214553508E-5</v>
      </c>
      <c r="EY243" s="528">
        <f t="shared" si="731"/>
        <v>0.44129404961245922</v>
      </c>
      <c r="EZ243" s="528"/>
      <c r="FA243" s="625">
        <f t="shared" si="732"/>
        <v>0.26676</v>
      </c>
      <c r="FB243" s="460">
        <f t="shared" si="733"/>
        <v>734.62488470509857</v>
      </c>
      <c r="FC243" s="173">
        <f t="shared" si="734"/>
        <v>2.0178543078335611</v>
      </c>
      <c r="FD243" s="5">
        <f t="shared" si="735"/>
        <v>6.9660000000000002</v>
      </c>
      <c r="FE243" s="173">
        <f t="shared" si="736"/>
        <v>0.77539102497754531</v>
      </c>
      <c r="FF243" s="5">
        <f t="shared" si="737"/>
        <v>77.539102497754527</v>
      </c>
      <c r="FG243">
        <f t="shared" si="738"/>
        <v>27</v>
      </c>
      <c r="FI243" s="562">
        <f t="shared" si="689"/>
        <v>-50</v>
      </c>
    </row>
    <row r="244" spans="5:165">
      <c r="E244" s="170">
        <v>28</v>
      </c>
      <c r="F244" s="217">
        <f t="shared" si="690"/>
        <v>0.28000000000000003</v>
      </c>
      <c r="G244" s="217">
        <f t="shared" si="617"/>
        <v>2.8000000000000004E-2</v>
      </c>
      <c r="H244" s="217">
        <f t="shared" si="618"/>
        <v>6.7200000000000006</v>
      </c>
      <c r="I244" s="217">
        <f t="shared" si="619"/>
        <v>0.50400000000000011</v>
      </c>
      <c r="J244" s="541">
        <f t="shared" si="620"/>
        <v>35.902335931666016</v>
      </c>
      <c r="K244" s="443">
        <f t="shared" si="621"/>
        <v>16.489517986529311</v>
      </c>
      <c r="L244" s="172">
        <f t="shared" si="622"/>
        <v>52.391853918195324</v>
      </c>
      <c r="M244" s="443"/>
      <c r="N244" s="217">
        <f t="shared" si="623"/>
        <v>0.31473438623256311</v>
      </c>
      <c r="O244" s="172">
        <f t="shared" si="624"/>
        <v>58.396380691308515</v>
      </c>
      <c r="P244" s="172">
        <f t="shared" si="625"/>
        <v>4.7082081932367492</v>
      </c>
      <c r="Q244" s="217">
        <f t="shared" si="626"/>
        <v>2.4331825288045215</v>
      </c>
      <c r="R244" s="217">
        <f t="shared" si="627"/>
        <v>3.2442433717393619</v>
      </c>
      <c r="S244" s="217">
        <f t="shared" si="628"/>
        <v>24</v>
      </c>
      <c r="T244" s="217">
        <f t="shared" si="629"/>
        <v>1.2786180544538397</v>
      </c>
      <c r="U244" s="217">
        <f t="shared" si="630"/>
        <v>0.35613784487100547</v>
      </c>
      <c r="V244" s="217">
        <f t="shared" si="631"/>
        <v>0.77541263213295508</v>
      </c>
      <c r="W244" s="197">
        <f t="shared" si="632"/>
        <v>350</v>
      </c>
      <c r="X244" s="443">
        <f t="shared" si="691"/>
        <v>350</v>
      </c>
      <c r="Z244" s="217">
        <f t="shared" si="633"/>
        <v>3.228485618219485</v>
      </c>
      <c r="AA244" s="173">
        <f t="shared" si="634"/>
        <v>1.9579017536212484</v>
      </c>
      <c r="AB244" s="173">
        <f t="shared" si="635"/>
        <v>0.68634926009236363</v>
      </c>
      <c r="AC244" s="173"/>
      <c r="AD244" s="173">
        <f t="shared" si="636"/>
        <v>1.3476574779430244</v>
      </c>
      <c r="AE244" s="545">
        <f t="shared" si="637"/>
        <v>280.34652768702</v>
      </c>
      <c r="AF244" s="528">
        <f t="shared" si="638"/>
        <v>0.34956737580644337</v>
      </c>
      <c r="AH244" s="173">
        <f t="shared" si="639"/>
        <v>2.0317480158720471</v>
      </c>
      <c r="AI244" s="173">
        <f t="shared" si="640"/>
        <v>2.2222222222222223</v>
      </c>
      <c r="AJ244" s="173">
        <f t="shared" si="641"/>
        <v>1.1601980158211542</v>
      </c>
      <c r="AL244" s="545">
        <f t="shared" si="642"/>
        <v>280</v>
      </c>
      <c r="AM244" s="460">
        <f t="shared" si="643"/>
        <v>280.34652768702</v>
      </c>
      <c r="AO244">
        <f t="shared" si="644"/>
        <v>280</v>
      </c>
      <c r="AP244">
        <f t="shared" si="645"/>
        <v>280.34652768702</v>
      </c>
      <c r="AR244" s="5">
        <f t="shared" si="616"/>
        <v>3.5670140388412586</v>
      </c>
      <c r="AS244" s="5">
        <f t="shared" si="739"/>
        <v>0.61896312999016123</v>
      </c>
      <c r="AT244" s="5">
        <f t="shared" si="740"/>
        <v>2.9480509088510973</v>
      </c>
      <c r="AU244" s="173">
        <f t="shared" si="741"/>
        <v>0.1735241642590313</v>
      </c>
      <c r="BA244" s="173">
        <f t="shared" si="692"/>
        <v>0.53444970238274647</v>
      </c>
      <c r="BB244" s="173">
        <f t="shared" si="693"/>
        <v>0.77797881855385953</v>
      </c>
      <c r="BC244" s="173">
        <f t="shared" si="694"/>
        <v>7.7903014128163486E-2</v>
      </c>
      <c r="BD244" s="173"/>
      <c r="BE244" s="528">
        <f t="shared" si="695"/>
        <v>1.1425459375080252E-2</v>
      </c>
      <c r="BF244" s="528">
        <f t="shared" si="646"/>
        <v>0.73439371625258265</v>
      </c>
      <c r="BG244" s="528">
        <f t="shared" si="647"/>
        <v>0.40260380857181999</v>
      </c>
      <c r="BH244" s="528">
        <f t="shared" si="696"/>
        <v>0.13466686905121064</v>
      </c>
      <c r="BI244">
        <f t="shared" si="697"/>
        <v>1.6156051169249706E-2</v>
      </c>
      <c r="BJ244" s="460">
        <f t="shared" si="698"/>
        <v>418.7598597410697</v>
      </c>
      <c r="BK244">
        <f t="shared" si="648"/>
        <v>0.88597606832779618</v>
      </c>
      <c r="BL244" s="460">
        <f t="shared" si="699"/>
        <v>1299.2459044199434</v>
      </c>
      <c r="BM244" s="173">
        <f t="shared" si="649"/>
        <v>0.24304000000000001</v>
      </c>
      <c r="BN244" s="173">
        <f t="shared" si="650"/>
        <v>1.7360000000000004E-2</v>
      </c>
      <c r="BQ244" s="460">
        <f t="shared" si="700"/>
        <v>260.40000000000003</v>
      </c>
      <c r="BR244" s="528">
        <f t="shared" si="701"/>
        <v>8.5690945313101879E-3</v>
      </c>
      <c r="BS244" s="528">
        <f t="shared" si="702"/>
        <v>1.815753126355377E-2</v>
      </c>
      <c r="BT244" s="528">
        <f t="shared" si="703"/>
        <v>3.0344398051264201E-5</v>
      </c>
      <c r="BU244" s="528">
        <f t="shared" si="704"/>
        <v>0.48436937161640814</v>
      </c>
      <c r="BV244" s="528"/>
      <c r="BW244" s="625">
        <f t="shared" si="705"/>
        <v>0.27688545944397042</v>
      </c>
      <c r="BX244" s="460">
        <f t="shared" si="706"/>
        <v>788.0118012532937</v>
      </c>
      <c r="BY244" s="173">
        <f t="shared" si="707"/>
        <v>2.3476577056732371</v>
      </c>
      <c r="BZ244" s="5">
        <f t="shared" si="708"/>
        <v>7.2240000000000011</v>
      </c>
      <c r="CA244" s="173">
        <f t="shared" si="709"/>
        <v>0.75472820091740722</v>
      </c>
      <c r="CB244" s="5">
        <f t="shared" si="710"/>
        <v>75.472820091740715</v>
      </c>
      <c r="CC244">
        <f t="shared" si="711"/>
        <v>28.000000000000004</v>
      </c>
      <c r="CE244" s="562">
        <f t="shared" si="651"/>
        <v>-50</v>
      </c>
      <c r="CG244" s="173">
        <f t="shared" si="652"/>
        <v>0.38328123977714806</v>
      </c>
      <c r="CH244" s="173">
        <f t="shared" si="653"/>
        <v>0.10482423607417199</v>
      </c>
      <c r="CI244" s="170">
        <v>28</v>
      </c>
      <c r="CJ244" s="217">
        <f t="shared" si="712"/>
        <v>0.28000000000000003</v>
      </c>
      <c r="CK244" s="217">
        <f t="shared" si="654"/>
        <v>2.8000000000000004E-2</v>
      </c>
      <c r="CL244" s="217">
        <f t="shared" si="655"/>
        <v>6.7200000000000006</v>
      </c>
      <c r="CM244" s="217">
        <f t="shared" si="656"/>
        <v>0.50400000000000011</v>
      </c>
      <c r="CN244" s="541">
        <f t="shared" si="657"/>
        <v>36</v>
      </c>
      <c r="CO244" s="443">
        <f t="shared" si="658"/>
        <v>16.474900000000002</v>
      </c>
      <c r="CP244" s="443">
        <f t="shared" si="659"/>
        <v>52.474900000000005</v>
      </c>
      <c r="CQ244" s="443"/>
      <c r="CR244" s="217">
        <f t="shared" si="660"/>
        <v>0.31220924123305599</v>
      </c>
      <c r="CS244" s="172">
        <f t="shared" si="661"/>
        <v>58.085440229405762</v>
      </c>
      <c r="CT244" s="172">
        <f t="shared" si="662"/>
        <v>4.683138618495839</v>
      </c>
      <c r="CU244" s="217">
        <f t="shared" si="663"/>
        <v>2.4202266762252402</v>
      </c>
      <c r="CV244" s="217">
        <f t="shared" si="664"/>
        <v>3.2269689016336534</v>
      </c>
      <c r="CW244" s="217">
        <f t="shared" si="665"/>
        <v>24</v>
      </c>
      <c r="CX244" s="217">
        <f t="shared" si="666"/>
        <v>1.2854626972228174</v>
      </c>
      <c r="CY244" s="217">
        <f t="shared" si="667"/>
        <v>0.35707297145078259</v>
      </c>
      <c r="CZ244" s="217">
        <f t="shared" si="668"/>
        <v>0.78025523506838723</v>
      </c>
      <c r="DA244" s="197">
        <f t="shared" si="669"/>
        <v>350</v>
      </c>
      <c r="DB244" s="443">
        <f t="shared" si="670"/>
        <v>350</v>
      </c>
      <c r="DD244" s="217">
        <f t="shared" si="671"/>
        <v>3.2292794133140656</v>
      </c>
      <c r="DE244" s="173">
        <f t="shared" si="672"/>
        <v>1.9601207978889497</v>
      </c>
      <c r="DF244" s="173">
        <f t="shared" si="673"/>
        <v>0.6872960992823488</v>
      </c>
      <c r="DG244" s="173"/>
      <c r="DH244" s="173">
        <f t="shared" si="674"/>
        <v>1.3488532386977903</v>
      </c>
      <c r="DI244" s="545">
        <f t="shared" si="675"/>
        <v>280.09799999999996</v>
      </c>
      <c r="DJ244" s="528">
        <f t="shared" si="676"/>
        <v>0.34987754285999911</v>
      </c>
      <c r="DL244" s="173">
        <f t="shared" si="677"/>
        <v>2.0317480158720471</v>
      </c>
      <c r="DM244" s="173">
        <f t="shared" si="678"/>
        <v>2.2222222222222223</v>
      </c>
      <c r="DN244" s="173">
        <f t="shared" si="679"/>
        <v>1.160056</v>
      </c>
      <c r="DP244" s="545">
        <f t="shared" si="680"/>
        <v>280</v>
      </c>
      <c r="DQ244" s="460">
        <f t="shared" si="681"/>
        <v>280.09799999999996</v>
      </c>
      <c r="DS244">
        <f t="shared" si="682"/>
        <v>280</v>
      </c>
      <c r="DT244">
        <f t="shared" si="683"/>
        <v>280.09799999999996</v>
      </c>
      <c r="DV244" s="5">
        <f t="shared" si="684"/>
        <v>3.5701790087755003</v>
      </c>
      <c r="DW244" s="5">
        <f t="shared" si="685"/>
        <v>0.61728395061728403</v>
      </c>
      <c r="DX244" s="5">
        <f t="shared" si="686"/>
        <v>2.9528950581582163</v>
      </c>
      <c r="DY244" s="173">
        <f t="shared" si="687"/>
        <v>0.1729</v>
      </c>
      <c r="EA244" s="5">
        <f t="shared" si="713"/>
        <v>0.72016460905349811</v>
      </c>
      <c r="EB244" s="5">
        <f t="shared" si="714"/>
        <v>9.6021947873799751E-2</v>
      </c>
      <c r="EC244" s="5">
        <f t="shared" si="715"/>
        <v>0.45933923126905579</v>
      </c>
      <c r="ED244" s="5"/>
      <c r="EE244" s="173">
        <f t="shared" si="716"/>
        <v>0.53348763200091376</v>
      </c>
      <c r="EF244" s="173">
        <f t="shared" si="717"/>
        <v>0.77827253248127348</v>
      </c>
      <c r="EG244" s="173">
        <f t="shared" si="718"/>
        <v>7.7932425211976172E-2</v>
      </c>
      <c r="EH244" s="173"/>
      <c r="EI244" s="528">
        <f t="shared" si="719"/>
        <v>1.1384362139917694E-2</v>
      </c>
      <c r="EJ244" s="528">
        <f t="shared" si="720"/>
        <v>0.89821811079000002</v>
      </c>
      <c r="EK244" s="528">
        <f t="shared" si="721"/>
        <v>5.6019599999999989E-2</v>
      </c>
      <c r="EL244" s="528">
        <f t="shared" si="722"/>
        <v>0.13497436586996966</v>
      </c>
      <c r="EM244">
        <f t="shared" si="723"/>
        <v>1.6199999999999999E-2</v>
      </c>
      <c r="EN244" s="460">
        <f t="shared" si="724"/>
        <v>72.2196</v>
      </c>
      <c r="EP244" s="460">
        <f t="shared" si="725"/>
        <v>1116.7964387998873</v>
      </c>
      <c r="EQ244" s="173">
        <f t="shared" si="726"/>
        <v>0.19600000000000001</v>
      </c>
      <c r="ER244" s="173">
        <f t="shared" si="688"/>
        <v>1.7360000000000004E-2</v>
      </c>
      <c r="ES244" s="528"/>
      <c r="EU244" s="460">
        <f t="shared" si="727"/>
        <v>213.36</v>
      </c>
      <c r="EV244" s="528">
        <f t="shared" si="728"/>
        <v>8.5382716049382697E-3</v>
      </c>
      <c r="EW244" s="528">
        <f t="shared" si="729"/>
        <v>1.8171244044444448E-2</v>
      </c>
      <c r="EX244" s="528">
        <f t="shared" si="730"/>
        <v>3.03673144971013E-5</v>
      </c>
      <c r="EY244" s="528">
        <f t="shared" si="731"/>
        <v>0.48329659950886478</v>
      </c>
      <c r="EZ244" s="528"/>
      <c r="FA244" s="625">
        <f t="shared" si="732"/>
        <v>0.27664000000000005</v>
      </c>
      <c r="FB244" s="460">
        <f t="shared" si="733"/>
        <v>786.67648247274462</v>
      </c>
      <c r="FC244" s="173">
        <f t="shared" si="734"/>
        <v>2.1168329212726316</v>
      </c>
      <c r="FD244" s="5">
        <f t="shared" si="735"/>
        <v>7.2240000000000011</v>
      </c>
      <c r="FE244" s="173">
        <f t="shared" si="736"/>
        <v>0.77337856922247306</v>
      </c>
      <c r="FF244" s="5">
        <f t="shared" si="737"/>
        <v>77.337856922247312</v>
      </c>
      <c r="FG244">
        <f t="shared" si="738"/>
        <v>28.000000000000004</v>
      </c>
      <c r="FI244" s="562">
        <f t="shared" si="689"/>
        <v>-50</v>
      </c>
    </row>
    <row r="245" spans="5:165">
      <c r="E245" s="170">
        <v>29</v>
      </c>
      <c r="F245" s="217">
        <f t="shared" si="690"/>
        <v>0.28999999999999998</v>
      </c>
      <c r="G245" s="217">
        <f t="shared" si="617"/>
        <v>2.8999999999999998E-2</v>
      </c>
      <c r="H245" s="217">
        <f t="shared" si="618"/>
        <v>6.9599999999999991</v>
      </c>
      <c r="I245" s="217">
        <f t="shared" si="619"/>
        <v>0.52200000000000002</v>
      </c>
      <c r="J245" s="541">
        <f t="shared" si="620"/>
        <v>35.902335931666016</v>
      </c>
      <c r="K245" s="443">
        <f t="shared" si="621"/>
        <v>16.489517986529311</v>
      </c>
      <c r="L245" s="172">
        <f t="shared" si="622"/>
        <v>52.391853918195324</v>
      </c>
      <c r="M245" s="443"/>
      <c r="N245" s="217">
        <f t="shared" si="623"/>
        <v>0.31473438623256311</v>
      </c>
      <c r="O245" s="172">
        <f t="shared" si="624"/>
        <v>58.396380691308515</v>
      </c>
      <c r="P245" s="172">
        <f t="shared" si="625"/>
        <v>4.7082081932367492</v>
      </c>
      <c r="Q245" s="217">
        <f t="shared" si="626"/>
        <v>2.4331825288045215</v>
      </c>
      <c r="R245" s="217">
        <f t="shared" si="627"/>
        <v>3.2442433717393619</v>
      </c>
      <c r="S245" s="217">
        <f t="shared" si="628"/>
        <v>24</v>
      </c>
      <c r="T245" s="217">
        <f t="shared" si="629"/>
        <v>1.3242829849700479</v>
      </c>
      <c r="U245" s="217">
        <f t="shared" si="630"/>
        <v>0.36885705361639848</v>
      </c>
      <c r="V245" s="217">
        <f t="shared" si="631"/>
        <v>0.80310594042341754</v>
      </c>
      <c r="W245" s="197">
        <f t="shared" si="632"/>
        <v>350</v>
      </c>
      <c r="X245" s="443">
        <f t="shared" si="691"/>
        <v>350</v>
      </c>
      <c r="Z245" s="217">
        <f t="shared" si="633"/>
        <v>3.228485618219485</v>
      </c>
      <c r="AA245" s="173">
        <f t="shared" si="634"/>
        <v>1.9579017536212484</v>
      </c>
      <c r="AB245" s="173">
        <f t="shared" si="635"/>
        <v>0.68634926009236363</v>
      </c>
      <c r="AC245" s="173"/>
      <c r="AD245" s="173">
        <f t="shared" si="636"/>
        <v>1.3476574779430244</v>
      </c>
      <c r="AE245" s="545">
        <f t="shared" si="637"/>
        <v>290.35890367584216</v>
      </c>
      <c r="AF245" s="528">
        <f t="shared" si="638"/>
        <v>0.34956737580644337</v>
      </c>
      <c r="AH245" s="173">
        <f t="shared" si="639"/>
        <v>2.0677109496804844</v>
      </c>
      <c r="AI245" s="173">
        <f t="shared" si="640"/>
        <v>2.2222222222222223</v>
      </c>
      <c r="AJ245" s="173">
        <f t="shared" si="641"/>
        <v>1.1659193735290527</v>
      </c>
      <c r="AL245" s="545">
        <f t="shared" si="642"/>
        <v>290</v>
      </c>
      <c r="AM245" s="460">
        <f t="shared" si="643"/>
        <v>290.35890367584216</v>
      </c>
      <c r="AO245">
        <f t="shared" si="644"/>
        <v>290</v>
      </c>
      <c r="AP245">
        <f t="shared" si="645"/>
        <v>290.35890367584216</v>
      </c>
      <c r="AR245" s="5">
        <f t="shared" si="616"/>
        <v>3.4440135547432842</v>
      </c>
      <c r="AS245" s="5">
        <f t="shared" si="739"/>
        <v>0.61896312999016123</v>
      </c>
      <c r="AT245" s="5">
        <f t="shared" si="740"/>
        <v>2.825050424753123</v>
      </c>
      <c r="AU245" s="173">
        <f t="shared" si="741"/>
        <v>0.179721455839711</v>
      </c>
      <c r="BA245" s="173">
        <f t="shared" si="692"/>
        <v>0.54390972356676137</v>
      </c>
      <c r="BB245" s="173">
        <f t="shared" si="693"/>
        <v>0.77505651059913161</v>
      </c>
      <c r="BC245" s="173">
        <f t="shared" si="694"/>
        <v>7.7610388426210333E-2</v>
      </c>
      <c r="BD245" s="173"/>
      <c r="BE245" s="528">
        <f t="shared" si="695"/>
        <v>1.1833511495618832E-2</v>
      </c>
      <c r="BF245" s="528">
        <f t="shared" si="646"/>
        <v>0.76062206326160353</v>
      </c>
      <c r="BG245" s="528">
        <f t="shared" si="647"/>
        <v>0.4169825160208136</v>
      </c>
      <c r="BH245" s="528">
        <f t="shared" si="696"/>
        <v>0.13947640008875387</v>
      </c>
      <c r="BI245">
        <f t="shared" si="697"/>
        <v>1.6156051169249706E-2</v>
      </c>
      <c r="BJ245" s="460">
        <f t="shared" si="698"/>
        <v>433.13856719006333</v>
      </c>
      <c r="BK245">
        <f t="shared" si="648"/>
        <v>0.91770728760742704</v>
      </c>
      <c r="BL245" s="460">
        <f t="shared" si="699"/>
        <v>1345.0705420360396</v>
      </c>
      <c r="BM245" s="173">
        <f t="shared" si="649"/>
        <v>0.25172</v>
      </c>
      <c r="BN245" s="173">
        <f t="shared" si="650"/>
        <v>1.7979999999999999E-2</v>
      </c>
      <c r="BQ245" s="460">
        <f t="shared" si="700"/>
        <v>269.7</v>
      </c>
      <c r="BR245" s="528">
        <f t="shared" si="701"/>
        <v>8.8751336217141232E-3</v>
      </c>
      <c r="BS245" s="528">
        <f t="shared" si="702"/>
        <v>1.8021377838663054E-2</v>
      </c>
      <c r="BT245" s="528">
        <f t="shared" si="703"/>
        <v>3.0116861958336214E-5</v>
      </c>
      <c r="BU245" s="528">
        <f t="shared" si="704"/>
        <v>0.52878191066534908</v>
      </c>
      <c r="BV245" s="528"/>
      <c r="BW245" s="625">
        <f t="shared" si="705"/>
        <v>0.2867742258526837</v>
      </c>
      <c r="BX245" s="460">
        <f t="shared" si="706"/>
        <v>842.4827648403683</v>
      </c>
      <c r="BY245" s="173">
        <f t="shared" si="707"/>
        <v>2.4572533068764075</v>
      </c>
      <c r="BZ245" s="5">
        <f t="shared" si="708"/>
        <v>7.4819999999999993</v>
      </c>
      <c r="CA245" s="173">
        <f t="shared" si="709"/>
        <v>0.75277284610742612</v>
      </c>
      <c r="CB245" s="5">
        <f t="shared" si="710"/>
        <v>75.277284610742612</v>
      </c>
      <c r="CC245">
        <f t="shared" si="711"/>
        <v>28.999999999999996</v>
      </c>
      <c r="CE245" s="562">
        <f t="shared" si="651"/>
        <v>-50</v>
      </c>
      <c r="CG245" s="173">
        <f t="shared" si="652"/>
        <v>0.39696985548347469</v>
      </c>
      <c r="CH245" s="173">
        <f t="shared" si="653"/>
        <v>0.10856795879110669</v>
      </c>
      <c r="CI245" s="170">
        <v>29</v>
      </c>
      <c r="CJ245" s="217">
        <f t="shared" si="712"/>
        <v>0.28999999999999998</v>
      </c>
      <c r="CK245" s="217">
        <f t="shared" si="654"/>
        <v>2.8999999999999998E-2</v>
      </c>
      <c r="CL245" s="217">
        <f t="shared" si="655"/>
        <v>6.9599999999999991</v>
      </c>
      <c r="CM245" s="217">
        <f t="shared" si="656"/>
        <v>0.52200000000000002</v>
      </c>
      <c r="CN245" s="541">
        <f t="shared" si="657"/>
        <v>36</v>
      </c>
      <c r="CO245" s="443">
        <f t="shared" si="658"/>
        <v>16.474900000000002</v>
      </c>
      <c r="CP245" s="443">
        <f t="shared" si="659"/>
        <v>52.474900000000005</v>
      </c>
      <c r="CQ245" s="443"/>
      <c r="CR245" s="217">
        <f t="shared" si="660"/>
        <v>0.31220924123305599</v>
      </c>
      <c r="CS245" s="172">
        <f t="shared" si="661"/>
        <v>58.085440229405762</v>
      </c>
      <c r="CT245" s="172">
        <f t="shared" si="662"/>
        <v>4.683138618495839</v>
      </c>
      <c r="CU245" s="217">
        <f t="shared" si="663"/>
        <v>2.4202266762252402</v>
      </c>
      <c r="CV245" s="217">
        <f t="shared" si="664"/>
        <v>3.2269689016336534</v>
      </c>
      <c r="CW245" s="217">
        <f t="shared" si="665"/>
        <v>24</v>
      </c>
      <c r="CX245" s="217">
        <f t="shared" si="666"/>
        <v>1.3313720792664892</v>
      </c>
      <c r="CY245" s="217">
        <f t="shared" si="667"/>
        <v>0.36982557757402484</v>
      </c>
      <c r="CZ245" s="217">
        <f t="shared" si="668"/>
        <v>0.80812149346368667</v>
      </c>
      <c r="DA245" s="197">
        <f t="shared" si="669"/>
        <v>350</v>
      </c>
      <c r="DB245" s="443">
        <f t="shared" si="670"/>
        <v>350</v>
      </c>
      <c r="DD245" s="217">
        <f t="shared" si="671"/>
        <v>3.2292794133140656</v>
      </c>
      <c r="DE245" s="173">
        <f t="shared" si="672"/>
        <v>1.9601207978889497</v>
      </c>
      <c r="DF245" s="173">
        <f t="shared" si="673"/>
        <v>0.6872960992823488</v>
      </c>
      <c r="DG245" s="173"/>
      <c r="DH245" s="173">
        <f t="shared" si="674"/>
        <v>1.3488532386977903</v>
      </c>
      <c r="DI245" s="545">
        <f t="shared" si="675"/>
        <v>290.10149999999987</v>
      </c>
      <c r="DJ245" s="528">
        <f t="shared" si="676"/>
        <v>0.34987754285999911</v>
      </c>
      <c r="DL245" s="173">
        <f t="shared" si="677"/>
        <v>2.0677109496804844</v>
      </c>
      <c r="DM245" s="173">
        <f t="shared" si="678"/>
        <v>2.2222222222222223</v>
      </c>
      <c r="DN245" s="173">
        <f t="shared" si="679"/>
        <v>1.1657722857142856</v>
      </c>
      <c r="DP245" s="545">
        <f t="shared" si="680"/>
        <v>290</v>
      </c>
      <c r="DQ245" s="460">
        <f t="shared" si="681"/>
        <v>290.10149999999987</v>
      </c>
      <c r="DS245">
        <f t="shared" si="682"/>
        <v>290</v>
      </c>
      <c r="DT245">
        <f t="shared" si="683"/>
        <v>290.10149999999987</v>
      </c>
      <c r="DV245" s="5">
        <f t="shared" si="684"/>
        <v>3.4470693877832428</v>
      </c>
      <c r="DW245" s="5">
        <f t="shared" si="685"/>
        <v>0.61728395061728403</v>
      </c>
      <c r="DX245" s="5">
        <f t="shared" si="686"/>
        <v>2.8297854371659588</v>
      </c>
      <c r="DY245" s="173">
        <f t="shared" si="687"/>
        <v>0.17907499999999996</v>
      </c>
      <c r="EA245" s="5">
        <f t="shared" si="713"/>
        <v>0.74588477366255146</v>
      </c>
      <c r="EB245" s="5">
        <f t="shared" si="714"/>
        <v>9.9451303155006859E-2</v>
      </c>
      <c r="EC245" s="5">
        <f t="shared" si="715"/>
        <v>0.45590987598784877</v>
      </c>
      <c r="ED245" s="5"/>
      <c r="EE245" s="173">
        <f t="shared" si="716"/>
        <v>0.5429306240685271</v>
      </c>
      <c r="EF245" s="173">
        <f t="shared" si="717"/>
        <v>0.77536185878440855</v>
      </c>
      <c r="EG245" s="173">
        <f t="shared" si="718"/>
        <v>7.7640964508006297E-2</v>
      </c>
      <c r="EH245" s="173"/>
      <c r="EI245" s="528">
        <f t="shared" si="719"/>
        <v>1.1790946502057611E-2</v>
      </c>
      <c r="EJ245" s="528">
        <f t="shared" si="720"/>
        <v>0.93029732903249984</v>
      </c>
      <c r="EK245" s="528">
        <f t="shared" si="721"/>
        <v>5.8020299999999969E-2</v>
      </c>
      <c r="EL245" s="528">
        <f t="shared" si="722"/>
        <v>0.13979487893675427</v>
      </c>
      <c r="EM245">
        <f t="shared" si="723"/>
        <v>1.6199999999999999E-2</v>
      </c>
      <c r="EN245" s="460">
        <f t="shared" si="724"/>
        <v>74.220299999999966</v>
      </c>
      <c r="EP245" s="460">
        <f t="shared" si="725"/>
        <v>1156.1034544713116</v>
      </c>
      <c r="EQ245" s="173">
        <f t="shared" si="726"/>
        <v>0.20299999999999999</v>
      </c>
      <c r="ER245" s="173">
        <f t="shared" si="688"/>
        <v>1.7979999999999999E-2</v>
      </c>
      <c r="ES245" s="528"/>
      <c r="EU245" s="460">
        <f t="shared" si="727"/>
        <v>220.98</v>
      </c>
      <c r="EV245" s="528">
        <f t="shared" si="728"/>
        <v>8.8432098765432073E-3</v>
      </c>
      <c r="EW245" s="528">
        <f t="shared" si="729"/>
        <v>1.8035580361728393E-2</v>
      </c>
      <c r="EX245" s="528">
        <f t="shared" si="730"/>
        <v>3.0140596848667467E-5</v>
      </c>
      <c r="EY245" s="528">
        <f t="shared" si="731"/>
        <v>0.52761077450774441</v>
      </c>
      <c r="EZ245" s="528"/>
      <c r="FA245" s="625">
        <f t="shared" si="732"/>
        <v>0.28651999999999994</v>
      </c>
      <c r="FB245" s="460">
        <f t="shared" si="733"/>
        <v>841.03970534286464</v>
      </c>
      <c r="FC245" s="173">
        <f t="shared" si="734"/>
        <v>2.2181231598141764</v>
      </c>
      <c r="FD245" s="5">
        <f t="shared" si="735"/>
        <v>7.4819999999999993</v>
      </c>
      <c r="FE245" s="173">
        <f t="shared" si="736"/>
        <v>0.77133041268966029</v>
      </c>
      <c r="FF245" s="5">
        <f t="shared" si="737"/>
        <v>77.133041268966025</v>
      </c>
      <c r="FG245">
        <f t="shared" si="738"/>
        <v>28.999999999999996</v>
      </c>
      <c r="FI245" s="562">
        <f t="shared" si="689"/>
        <v>-50</v>
      </c>
    </row>
    <row r="246" spans="5:165">
      <c r="E246" s="170">
        <v>30</v>
      </c>
      <c r="F246" s="217">
        <f t="shared" si="690"/>
        <v>0.3</v>
      </c>
      <c r="G246" s="217">
        <f t="shared" si="617"/>
        <v>0.03</v>
      </c>
      <c r="H246" s="217">
        <f t="shared" si="618"/>
        <v>7.1999999999999993</v>
      </c>
      <c r="I246" s="217">
        <f t="shared" si="619"/>
        <v>0.54</v>
      </c>
      <c r="J246" s="541">
        <f t="shared" si="620"/>
        <v>35.902335931666016</v>
      </c>
      <c r="K246" s="443">
        <f t="shared" si="621"/>
        <v>16.489517986529311</v>
      </c>
      <c r="L246" s="172">
        <f t="shared" si="622"/>
        <v>52.391853918195324</v>
      </c>
      <c r="M246" s="443"/>
      <c r="N246" s="217">
        <f t="shared" si="623"/>
        <v>0.31473438623256311</v>
      </c>
      <c r="O246" s="172">
        <f t="shared" si="624"/>
        <v>58.396380691308515</v>
      </c>
      <c r="P246" s="172">
        <f t="shared" si="625"/>
        <v>4.7082081932367492</v>
      </c>
      <c r="Q246" s="217">
        <f t="shared" si="626"/>
        <v>2.4331825288045215</v>
      </c>
      <c r="R246" s="217">
        <f t="shared" si="627"/>
        <v>3.2442433717393619</v>
      </c>
      <c r="S246" s="217">
        <f t="shared" si="628"/>
        <v>24</v>
      </c>
      <c r="T246" s="217">
        <f t="shared" si="629"/>
        <v>1.3699479154862564</v>
      </c>
      <c r="U246" s="217">
        <f t="shared" si="630"/>
        <v>0.38157626236179149</v>
      </c>
      <c r="V246" s="217">
        <f t="shared" si="631"/>
        <v>0.83079924871388022</v>
      </c>
      <c r="W246" s="197">
        <f t="shared" si="632"/>
        <v>350</v>
      </c>
      <c r="X246" s="443">
        <f t="shared" si="691"/>
        <v>350</v>
      </c>
      <c r="Z246" s="217">
        <f t="shared" si="633"/>
        <v>3.228485618219485</v>
      </c>
      <c r="AA246" s="173">
        <f t="shared" si="634"/>
        <v>1.9579017536212484</v>
      </c>
      <c r="AB246" s="173">
        <f t="shared" si="635"/>
        <v>0.68634926009236363</v>
      </c>
      <c r="AC246" s="173"/>
      <c r="AD246" s="173">
        <f t="shared" si="636"/>
        <v>1.3476574779430244</v>
      </c>
      <c r="AE246" s="545">
        <f t="shared" si="637"/>
        <v>300.37127966466431</v>
      </c>
      <c r="AF246" s="528">
        <f t="shared" si="638"/>
        <v>0.34956737580644337</v>
      </c>
      <c r="AH246" s="173">
        <f t="shared" si="639"/>
        <v>2.1030589965231936</v>
      </c>
      <c r="AI246" s="173">
        <f t="shared" si="640"/>
        <v>2.2222222222222223</v>
      </c>
      <c r="AJ246" s="173">
        <f t="shared" si="641"/>
        <v>1.171640731236951</v>
      </c>
      <c r="AL246" s="545">
        <f t="shared" si="642"/>
        <v>300</v>
      </c>
      <c r="AM246" s="460">
        <f t="shared" si="643"/>
        <v>300.37127966466431</v>
      </c>
      <c r="AO246">
        <f t="shared" si="644"/>
        <v>300</v>
      </c>
      <c r="AP246">
        <f t="shared" si="645"/>
        <v>300.37127966466431</v>
      </c>
      <c r="AR246" s="5">
        <f t="shared" si="616"/>
        <v>3.3292131029185081</v>
      </c>
      <c r="AS246" s="5">
        <f t="shared" si="739"/>
        <v>0.61896312999016123</v>
      </c>
      <c r="AT246" s="5">
        <f t="shared" si="740"/>
        <v>2.7102499729283469</v>
      </c>
      <c r="AU246" s="173">
        <f t="shared" si="741"/>
        <v>0.18591874742039069</v>
      </c>
      <c r="BA246" s="173">
        <f t="shared" si="692"/>
        <v>0.55320799922265707</v>
      </c>
      <c r="BB246" s="173">
        <f t="shared" si="693"/>
        <v>0.77212314246222702</v>
      </c>
      <c r="BC246" s="173">
        <f t="shared" si="694"/>
        <v>7.7316655211420296E-2</v>
      </c>
      <c r="BD246" s="173"/>
      <c r="BE246" s="528">
        <f t="shared" si="695"/>
        <v>1.2241563616157414E-2</v>
      </c>
      <c r="BF246" s="528">
        <f t="shared" si="646"/>
        <v>0.78685041027062419</v>
      </c>
      <c r="BG246" s="528">
        <f t="shared" si="647"/>
        <v>0.43136122346980715</v>
      </c>
      <c r="BH246" s="528">
        <f t="shared" si="696"/>
        <v>0.14428593112629712</v>
      </c>
      <c r="BI246">
        <f t="shared" si="697"/>
        <v>1.6156051169249706E-2</v>
      </c>
      <c r="BJ246" s="460">
        <f t="shared" si="698"/>
        <v>447.51727463905689</v>
      </c>
      <c r="BK246">
        <f t="shared" si="648"/>
        <v>0.94944467772099006</v>
      </c>
      <c r="BL246" s="460">
        <f t="shared" si="699"/>
        <v>1390.8951796521358</v>
      </c>
      <c r="BM246" s="173">
        <f t="shared" si="649"/>
        <v>0.26039999999999996</v>
      </c>
      <c r="BN246" s="173">
        <f t="shared" si="650"/>
        <v>1.8599999999999998E-2</v>
      </c>
      <c r="BQ246" s="460">
        <f t="shared" si="700"/>
        <v>278.99999999999994</v>
      </c>
      <c r="BR246" s="528">
        <f t="shared" si="701"/>
        <v>9.1811727121180603E-3</v>
      </c>
      <c r="BS246" s="528">
        <f t="shared" si="702"/>
        <v>1.7885224413772337E-2</v>
      </c>
      <c r="BT246" s="528">
        <f t="shared" si="703"/>
        <v>2.9889325865408226E-5</v>
      </c>
      <c r="BU246" s="528">
        <f t="shared" si="704"/>
        <v>0.57555221789063238</v>
      </c>
      <c r="BV246" s="528"/>
      <c r="BW246" s="625">
        <f t="shared" si="705"/>
        <v>0.29666299226139692</v>
      </c>
      <c r="BX246" s="460">
        <f t="shared" si="706"/>
        <v>899.31149660378503</v>
      </c>
      <c r="BY246" s="173">
        <f t="shared" si="707"/>
        <v>2.5692066762559209</v>
      </c>
      <c r="BZ246" s="5">
        <f t="shared" si="708"/>
        <v>7.7399999999999993</v>
      </c>
      <c r="CA246" s="173">
        <f t="shared" si="709"/>
        <v>0.75078521976154611</v>
      </c>
      <c r="CB246" s="5">
        <f t="shared" si="710"/>
        <v>75.078521976154605</v>
      </c>
      <c r="CC246">
        <f t="shared" si="711"/>
        <v>30</v>
      </c>
      <c r="CE246" s="562">
        <f t="shared" si="651"/>
        <v>-50</v>
      </c>
      <c r="CG246" s="173">
        <f t="shared" si="652"/>
        <v>0.41065847118980142</v>
      </c>
      <c r="CH246" s="173">
        <f t="shared" si="653"/>
        <v>0.11231168150804141</v>
      </c>
      <c r="CI246" s="170">
        <v>30</v>
      </c>
      <c r="CJ246" s="217">
        <f t="shared" si="712"/>
        <v>0.3</v>
      </c>
      <c r="CK246" s="217">
        <f t="shared" si="654"/>
        <v>0.03</v>
      </c>
      <c r="CL246" s="217">
        <f t="shared" si="655"/>
        <v>7.1999999999999993</v>
      </c>
      <c r="CM246" s="217">
        <f t="shared" si="656"/>
        <v>0.54</v>
      </c>
      <c r="CN246" s="541">
        <f t="shared" si="657"/>
        <v>36</v>
      </c>
      <c r="CO246" s="443">
        <f t="shared" si="658"/>
        <v>16.474900000000002</v>
      </c>
      <c r="CP246" s="443">
        <f t="shared" si="659"/>
        <v>52.474900000000005</v>
      </c>
      <c r="CQ246" s="443"/>
      <c r="CR246" s="217">
        <f t="shared" si="660"/>
        <v>0.31220924123305599</v>
      </c>
      <c r="CS246" s="172">
        <f t="shared" si="661"/>
        <v>58.085440229405762</v>
      </c>
      <c r="CT246" s="172">
        <f t="shared" si="662"/>
        <v>4.683138618495839</v>
      </c>
      <c r="CU246" s="217">
        <f t="shared" si="663"/>
        <v>2.4202266762252402</v>
      </c>
      <c r="CV246" s="217">
        <f t="shared" si="664"/>
        <v>3.2269689016336534</v>
      </c>
      <c r="CW246" s="217">
        <f t="shared" si="665"/>
        <v>24</v>
      </c>
      <c r="CX246" s="217">
        <f t="shared" si="666"/>
        <v>1.3772814613101612</v>
      </c>
      <c r="CY246" s="217">
        <f t="shared" si="667"/>
        <v>0.38257818369726704</v>
      </c>
      <c r="CZ246" s="217">
        <f t="shared" si="668"/>
        <v>0.83598775185898622</v>
      </c>
      <c r="DA246" s="197">
        <f t="shared" si="669"/>
        <v>350</v>
      </c>
      <c r="DB246" s="443">
        <f t="shared" si="670"/>
        <v>350</v>
      </c>
      <c r="DD246" s="217">
        <f t="shared" si="671"/>
        <v>3.2292794133140656</v>
      </c>
      <c r="DE246" s="173">
        <f t="shared" si="672"/>
        <v>1.9601207978889497</v>
      </c>
      <c r="DF246" s="173">
        <f t="shared" si="673"/>
        <v>0.6872960992823488</v>
      </c>
      <c r="DG246" s="173"/>
      <c r="DH246" s="173">
        <f t="shared" si="674"/>
        <v>1.3488532386977903</v>
      </c>
      <c r="DI246" s="545">
        <f t="shared" si="675"/>
        <v>300.1049999999999</v>
      </c>
      <c r="DJ246" s="528">
        <f t="shared" si="676"/>
        <v>0.34987754285999911</v>
      </c>
      <c r="DL246" s="173">
        <f t="shared" si="677"/>
        <v>2.1030589965231936</v>
      </c>
      <c r="DM246" s="173">
        <f t="shared" si="678"/>
        <v>2.2222222222222223</v>
      </c>
      <c r="DN246" s="173">
        <f t="shared" si="679"/>
        <v>1.1714885714285714</v>
      </c>
      <c r="DP246" s="545">
        <f t="shared" si="680"/>
        <v>300</v>
      </c>
      <c r="DQ246" s="460">
        <f t="shared" si="681"/>
        <v>300.1049999999999</v>
      </c>
      <c r="DS246">
        <f t="shared" si="682"/>
        <v>300</v>
      </c>
      <c r="DT246">
        <f t="shared" si="683"/>
        <v>300.1049999999999</v>
      </c>
      <c r="DV246" s="5">
        <f t="shared" si="684"/>
        <v>3.3321670748571344</v>
      </c>
      <c r="DW246" s="5">
        <f t="shared" si="685"/>
        <v>0.61728395061728403</v>
      </c>
      <c r="DX246" s="5">
        <f t="shared" si="686"/>
        <v>2.7148831242398503</v>
      </c>
      <c r="DY246" s="173">
        <f t="shared" si="687"/>
        <v>0.18524999999999997</v>
      </c>
      <c r="EA246" s="5">
        <f t="shared" si="713"/>
        <v>0.77160493827160503</v>
      </c>
      <c r="EB246" s="5">
        <f t="shared" si="714"/>
        <v>0.10288065843621401</v>
      </c>
      <c r="EC246" s="5">
        <f t="shared" si="715"/>
        <v>0.45248052070664163</v>
      </c>
      <c r="ED246" s="5"/>
      <c r="EE246" s="173">
        <f t="shared" si="716"/>
        <v>0.55221216176840782</v>
      </c>
      <c r="EF246" s="173">
        <f t="shared" si="717"/>
        <v>0.77244021729866674</v>
      </c>
      <c r="EG246" s="173">
        <f t="shared" si="718"/>
        <v>7.7348405543015142E-2</v>
      </c>
      <c r="EH246" s="173"/>
      <c r="EI246" s="528">
        <f t="shared" si="719"/>
        <v>1.2197530864197528E-2</v>
      </c>
      <c r="EJ246" s="528">
        <f t="shared" si="720"/>
        <v>0.96237654727499988</v>
      </c>
      <c r="EK246" s="528">
        <f t="shared" si="721"/>
        <v>6.0020999999999977E-2</v>
      </c>
      <c r="EL246" s="528">
        <f t="shared" si="722"/>
        <v>0.1446153920035389</v>
      </c>
      <c r="EM246">
        <f t="shared" si="723"/>
        <v>1.6199999999999999E-2</v>
      </c>
      <c r="EN246" s="460">
        <f t="shared" si="724"/>
        <v>76.220999999999989</v>
      </c>
      <c r="EP246" s="460">
        <f t="shared" si="725"/>
        <v>1195.4104701427361</v>
      </c>
      <c r="EQ246" s="173">
        <f t="shared" si="726"/>
        <v>0.21</v>
      </c>
      <c r="ER246" s="173">
        <f t="shared" si="688"/>
        <v>1.8599999999999998E-2</v>
      </c>
      <c r="ES246" s="528"/>
      <c r="EU246" s="460">
        <f t="shared" si="727"/>
        <v>228.6</v>
      </c>
      <c r="EV246" s="528">
        <f t="shared" si="728"/>
        <v>9.1481481481481448E-3</v>
      </c>
      <c r="EW246" s="528">
        <f t="shared" si="729"/>
        <v>1.7899916679012345E-2</v>
      </c>
      <c r="EX246" s="528">
        <f t="shared" si="730"/>
        <v>2.9913879200233677E-5</v>
      </c>
      <c r="EY246" s="528">
        <f t="shared" si="731"/>
        <v>0.57427749574268083</v>
      </c>
      <c r="EZ246" s="528"/>
      <c r="FA246" s="625">
        <f t="shared" si="732"/>
        <v>0.2964</v>
      </c>
      <c r="FB246" s="460">
        <f t="shared" si="733"/>
        <v>897.75547444904157</v>
      </c>
      <c r="FC246" s="173">
        <f t="shared" si="734"/>
        <v>2.3217659445917773</v>
      </c>
      <c r="FD246" s="5">
        <f t="shared" si="735"/>
        <v>7.7399999999999993</v>
      </c>
      <c r="FE246" s="173">
        <f t="shared" si="736"/>
        <v>0.76924866297056615</v>
      </c>
      <c r="FF246" s="5">
        <f t="shared" si="737"/>
        <v>76.92486629705661</v>
      </c>
      <c r="FG246">
        <f t="shared" si="738"/>
        <v>30</v>
      </c>
      <c r="FI246" s="562">
        <f t="shared" si="689"/>
        <v>-50</v>
      </c>
    </row>
    <row r="247" spans="5:165">
      <c r="E247" s="170">
        <v>31</v>
      </c>
      <c r="F247" s="217">
        <f t="shared" si="690"/>
        <v>0.31</v>
      </c>
      <c r="G247" s="217">
        <f t="shared" si="617"/>
        <v>3.1E-2</v>
      </c>
      <c r="H247" s="217">
        <f t="shared" si="618"/>
        <v>7.4399999999999995</v>
      </c>
      <c r="I247" s="217">
        <f t="shared" si="619"/>
        <v>0.55800000000000005</v>
      </c>
      <c r="J247" s="541">
        <f t="shared" si="620"/>
        <v>35.902335931666016</v>
      </c>
      <c r="K247" s="443">
        <f t="shared" si="621"/>
        <v>16.489517986529311</v>
      </c>
      <c r="L247" s="172">
        <f t="shared" si="622"/>
        <v>52.391853918195324</v>
      </c>
      <c r="M247" s="443"/>
      <c r="N247" s="217">
        <f t="shared" si="623"/>
        <v>0.31473438623256311</v>
      </c>
      <c r="O247" s="172">
        <f t="shared" si="624"/>
        <v>58.396380691308515</v>
      </c>
      <c r="P247" s="172">
        <f t="shared" si="625"/>
        <v>4.7082081932367492</v>
      </c>
      <c r="Q247" s="217">
        <f t="shared" si="626"/>
        <v>2.4331825288045215</v>
      </c>
      <c r="R247" s="217">
        <f t="shared" si="627"/>
        <v>3.2442433717393619</v>
      </c>
      <c r="S247" s="217">
        <f t="shared" si="628"/>
        <v>24</v>
      </c>
      <c r="T247" s="217">
        <f t="shared" si="629"/>
        <v>1.4156128460024651</v>
      </c>
      <c r="U247" s="217">
        <f t="shared" si="630"/>
        <v>0.39429547110718455</v>
      </c>
      <c r="V247" s="217">
        <f t="shared" si="631"/>
        <v>0.85849255700434302</v>
      </c>
      <c r="W247" s="197">
        <f t="shared" si="632"/>
        <v>350</v>
      </c>
      <c r="X247" s="443">
        <f t="shared" si="691"/>
        <v>350</v>
      </c>
      <c r="Z247" s="217">
        <f t="shared" si="633"/>
        <v>3.228485618219485</v>
      </c>
      <c r="AA247" s="173">
        <f t="shared" si="634"/>
        <v>1.9579017536212484</v>
      </c>
      <c r="AB247" s="173">
        <f t="shared" si="635"/>
        <v>0.68634926009236363</v>
      </c>
      <c r="AC247" s="173"/>
      <c r="AD247" s="173">
        <f t="shared" si="636"/>
        <v>1.3476574779430244</v>
      </c>
      <c r="AE247" s="545">
        <f t="shared" si="637"/>
        <v>310.38365565348641</v>
      </c>
      <c r="AF247" s="528">
        <f t="shared" si="638"/>
        <v>0.34956737580644337</v>
      </c>
      <c r="AH247" s="173">
        <f t="shared" si="639"/>
        <v>2.1378226573515664</v>
      </c>
      <c r="AI247" s="173">
        <f t="shared" si="640"/>
        <v>2.2222222222222223</v>
      </c>
      <c r="AJ247" s="173">
        <f t="shared" si="641"/>
        <v>1.1773620889448493</v>
      </c>
      <c r="AL247" s="545">
        <f t="shared" si="642"/>
        <v>310</v>
      </c>
      <c r="AM247" s="460">
        <f t="shared" si="643"/>
        <v>310.38365565348641</v>
      </c>
      <c r="AO247">
        <f t="shared" si="644"/>
        <v>310</v>
      </c>
      <c r="AP247">
        <f t="shared" si="645"/>
        <v>310.38365565348641</v>
      </c>
      <c r="AR247" s="5">
        <f t="shared" si="616"/>
        <v>3.2218191318566212</v>
      </c>
      <c r="AS247" s="5">
        <f t="shared" si="739"/>
        <v>0.61896312999016123</v>
      </c>
      <c r="AT247" s="5">
        <f t="shared" si="740"/>
        <v>2.6028560018664599</v>
      </c>
      <c r="AU247" s="173">
        <f t="shared" si="741"/>
        <v>0.19211603900107035</v>
      </c>
      <c r="BA247" s="173">
        <f t="shared" si="692"/>
        <v>0.56235255260147954</v>
      </c>
      <c r="BB247" s="173">
        <f t="shared" si="693"/>
        <v>0.76917858760458702</v>
      </c>
      <c r="BC247" s="173">
        <f t="shared" si="694"/>
        <v>7.7021801812837687E-2</v>
      </c>
      <c r="BD247" s="173"/>
      <c r="BE247" s="528">
        <f t="shared" si="695"/>
        <v>1.2649615736695992E-2</v>
      </c>
      <c r="BF247" s="528">
        <f t="shared" si="646"/>
        <v>0.81307875727964485</v>
      </c>
      <c r="BG247" s="528">
        <f t="shared" si="647"/>
        <v>0.44573993091880065</v>
      </c>
      <c r="BH247" s="528">
        <f t="shared" si="696"/>
        <v>0.14909546216384034</v>
      </c>
      <c r="BI247">
        <f t="shared" si="697"/>
        <v>1.6156051169249706E-2</v>
      </c>
      <c r="BJ247" s="460">
        <f t="shared" si="698"/>
        <v>461.8959820880504</v>
      </c>
      <c r="BK247">
        <f t="shared" si="648"/>
        <v>0.98118824046874242</v>
      </c>
      <c r="BL247" s="460">
        <f t="shared" si="699"/>
        <v>1436.7198172682315</v>
      </c>
      <c r="BM247" s="173">
        <f t="shared" si="649"/>
        <v>0.26907999999999999</v>
      </c>
      <c r="BN247" s="173">
        <f t="shared" si="650"/>
        <v>1.9220000000000001E-2</v>
      </c>
      <c r="BQ247" s="460">
        <f t="shared" si="700"/>
        <v>288.3</v>
      </c>
      <c r="BR247" s="528">
        <f t="shared" si="701"/>
        <v>9.4872118025219939E-3</v>
      </c>
      <c r="BS247" s="528">
        <f t="shared" si="702"/>
        <v>1.7749070988881618E-2</v>
      </c>
      <c r="BT247" s="528">
        <f t="shared" si="703"/>
        <v>2.9661789772480232E-5</v>
      </c>
      <c r="BU247" s="528">
        <f t="shared" si="704"/>
        <v>0.62472060383704564</v>
      </c>
      <c r="BV247" s="528"/>
      <c r="BW247" s="625">
        <f t="shared" si="705"/>
        <v>0.30655175867011014</v>
      </c>
      <c r="BX247" s="460">
        <f t="shared" si="706"/>
        <v>958.53830708833175</v>
      </c>
      <c r="BY247" s="173">
        <f t="shared" si="707"/>
        <v>2.6835581243565634</v>
      </c>
      <c r="BZ247" s="5">
        <f t="shared" si="708"/>
        <v>7.9979999999999993</v>
      </c>
      <c r="CA247" s="173">
        <f t="shared" si="709"/>
        <v>0.7487671655095528</v>
      </c>
      <c r="CB247" s="5">
        <f t="shared" si="710"/>
        <v>74.87671655095528</v>
      </c>
      <c r="CC247">
        <f t="shared" si="711"/>
        <v>31</v>
      </c>
      <c r="CE247" s="562">
        <f t="shared" si="651"/>
        <v>-50</v>
      </c>
      <c r="CG247" s="173">
        <f t="shared" si="652"/>
        <v>0.42434708689612816</v>
      </c>
      <c r="CH247" s="173">
        <f t="shared" si="653"/>
        <v>0.11605540422497612</v>
      </c>
      <c r="CI247" s="170">
        <v>31</v>
      </c>
      <c r="CJ247" s="217">
        <f t="shared" si="712"/>
        <v>0.31</v>
      </c>
      <c r="CK247" s="217">
        <f t="shared" si="654"/>
        <v>3.1E-2</v>
      </c>
      <c r="CL247" s="217">
        <f t="shared" si="655"/>
        <v>7.4399999999999995</v>
      </c>
      <c r="CM247" s="217">
        <f t="shared" si="656"/>
        <v>0.55800000000000005</v>
      </c>
      <c r="CN247" s="541">
        <f t="shared" si="657"/>
        <v>36</v>
      </c>
      <c r="CO247" s="443">
        <f t="shared" si="658"/>
        <v>16.474900000000002</v>
      </c>
      <c r="CP247" s="443">
        <f t="shared" si="659"/>
        <v>52.474900000000005</v>
      </c>
      <c r="CQ247" s="443"/>
      <c r="CR247" s="217">
        <f t="shared" si="660"/>
        <v>0.31220924123305599</v>
      </c>
      <c r="CS247" s="172">
        <f t="shared" si="661"/>
        <v>58.085440229405762</v>
      </c>
      <c r="CT247" s="172">
        <f t="shared" si="662"/>
        <v>4.683138618495839</v>
      </c>
      <c r="CU247" s="217">
        <f t="shared" si="663"/>
        <v>2.4202266762252402</v>
      </c>
      <c r="CV247" s="217">
        <f t="shared" si="664"/>
        <v>3.2269689016336534</v>
      </c>
      <c r="CW247" s="217">
        <f t="shared" si="665"/>
        <v>24</v>
      </c>
      <c r="CX247" s="217">
        <f t="shared" si="666"/>
        <v>1.4231908433538332</v>
      </c>
      <c r="CY247" s="217">
        <f t="shared" si="667"/>
        <v>0.39533078982050923</v>
      </c>
      <c r="CZ247" s="217">
        <f t="shared" si="668"/>
        <v>0.86385401025428565</v>
      </c>
      <c r="DA247" s="197">
        <f t="shared" si="669"/>
        <v>350</v>
      </c>
      <c r="DB247" s="443">
        <f t="shared" si="670"/>
        <v>350</v>
      </c>
      <c r="DD247" s="217">
        <f t="shared" si="671"/>
        <v>3.2292794133140656</v>
      </c>
      <c r="DE247" s="173">
        <f t="shared" si="672"/>
        <v>1.9601207978889497</v>
      </c>
      <c r="DF247" s="173">
        <f t="shared" si="673"/>
        <v>0.6872960992823488</v>
      </c>
      <c r="DG247" s="173"/>
      <c r="DH247" s="173">
        <f t="shared" si="674"/>
        <v>1.3488532386977903</v>
      </c>
      <c r="DI247" s="545">
        <f t="shared" si="675"/>
        <v>310.10849999999988</v>
      </c>
      <c r="DJ247" s="528">
        <f t="shared" si="676"/>
        <v>0.34987754285999911</v>
      </c>
      <c r="DL247" s="173">
        <f t="shared" si="677"/>
        <v>2.1378226573515664</v>
      </c>
      <c r="DM247" s="173">
        <f t="shared" si="678"/>
        <v>2.2222222222222223</v>
      </c>
      <c r="DN247" s="173">
        <f t="shared" si="679"/>
        <v>1.1772048571428571</v>
      </c>
      <c r="DP247" s="545">
        <f t="shared" si="680"/>
        <v>310</v>
      </c>
      <c r="DQ247" s="460">
        <f t="shared" si="681"/>
        <v>310.10849999999988</v>
      </c>
      <c r="DS247">
        <f t="shared" si="682"/>
        <v>310</v>
      </c>
      <c r="DT247">
        <f t="shared" si="683"/>
        <v>310.10849999999988</v>
      </c>
      <c r="DV247" s="5">
        <f t="shared" si="684"/>
        <v>3.2246778143778725</v>
      </c>
      <c r="DW247" s="5">
        <f t="shared" si="685"/>
        <v>0.61728395061728403</v>
      </c>
      <c r="DX247" s="5">
        <f t="shared" si="686"/>
        <v>2.6073938637605885</v>
      </c>
      <c r="DY247" s="173">
        <f t="shared" si="687"/>
        <v>0.19142499999999993</v>
      </c>
      <c r="EA247" s="5">
        <f t="shared" si="713"/>
        <v>0.7973251028806585</v>
      </c>
      <c r="EB247" s="5">
        <f t="shared" si="714"/>
        <v>0.10631001371742113</v>
      </c>
      <c r="EC247" s="5">
        <f t="shared" si="715"/>
        <v>0.44905116542543461</v>
      </c>
      <c r="ED247" s="5"/>
      <c r="EE247" s="173">
        <f t="shared" si="716"/>
        <v>0.5613402539088358</v>
      </c>
      <c r="EF247" s="173">
        <f t="shared" si="717"/>
        <v>0.76950748309760442</v>
      </c>
      <c r="EG247" s="173">
        <f t="shared" si="718"/>
        <v>7.7054735807476307E-2</v>
      </c>
      <c r="EH247" s="173"/>
      <c r="EI247" s="528">
        <f t="shared" si="719"/>
        <v>1.260411522633745E-2</v>
      </c>
      <c r="EJ247" s="528">
        <f t="shared" si="720"/>
        <v>0.99445576551750003</v>
      </c>
      <c r="EK247" s="528">
        <f t="shared" si="721"/>
        <v>6.2021699999999978E-2</v>
      </c>
      <c r="EL247" s="528">
        <f t="shared" si="722"/>
        <v>0.1494359050703235</v>
      </c>
      <c r="EM247">
        <f t="shared" si="723"/>
        <v>1.6199999999999999E-2</v>
      </c>
      <c r="EN247" s="460">
        <f t="shared" si="724"/>
        <v>78.221699999999984</v>
      </c>
      <c r="EP247" s="460">
        <f t="shared" si="725"/>
        <v>1234.7174858141611</v>
      </c>
      <c r="EQ247" s="173">
        <f t="shared" si="726"/>
        <v>0.217</v>
      </c>
      <c r="ER247" s="173">
        <f t="shared" si="688"/>
        <v>1.9220000000000001E-2</v>
      </c>
      <c r="ES247" s="528"/>
      <c r="EU247" s="460">
        <f t="shared" si="727"/>
        <v>236.22</v>
      </c>
      <c r="EV247" s="528">
        <f t="shared" si="728"/>
        <v>9.4530864197530859E-3</v>
      </c>
      <c r="EW247" s="528">
        <f t="shared" si="729"/>
        <v>1.7764252996296297E-2</v>
      </c>
      <c r="EX247" s="528">
        <f t="shared" si="730"/>
        <v>2.9687161551799857E-5</v>
      </c>
      <c r="EY247" s="528">
        <f t="shared" si="731"/>
        <v>0.62333698447943098</v>
      </c>
      <c r="EZ247" s="528"/>
      <c r="FA247" s="625">
        <f t="shared" si="732"/>
        <v>0.30628</v>
      </c>
      <c r="FB247" s="460">
        <f t="shared" si="733"/>
        <v>956.86401105703214</v>
      </c>
      <c r="FC247" s="173">
        <f t="shared" si="734"/>
        <v>2.4278014968711936</v>
      </c>
      <c r="FD247" s="5">
        <f t="shared" si="735"/>
        <v>7.9979999999999993</v>
      </c>
      <c r="FE247" s="173">
        <f t="shared" si="736"/>
        <v>0.76713526556209777</v>
      </c>
      <c r="FF247" s="5">
        <f t="shared" si="737"/>
        <v>76.713526556209771</v>
      </c>
      <c r="FG247">
        <f t="shared" si="738"/>
        <v>31</v>
      </c>
      <c r="FI247" s="562">
        <f t="shared" si="689"/>
        <v>-50</v>
      </c>
    </row>
    <row r="248" spans="5:165">
      <c r="E248" s="170">
        <v>32</v>
      </c>
      <c r="F248" s="217">
        <f t="shared" si="690"/>
        <v>0.32</v>
      </c>
      <c r="G248" s="217">
        <f t="shared" ref="G248:G279" si="742">IF(PLOT_TYPE=1, E248/100*Iout2, min_I*EXP(Q248*rr/100))</f>
        <v>3.2000000000000001E-2</v>
      </c>
      <c r="H248" s="217">
        <f t="shared" ref="H248:H279" si="743">F248*Vout</f>
        <v>7.68</v>
      </c>
      <c r="I248" s="217">
        <f t="shared" ref="I248:I279" si="744">Vout2*G248</f>
        <v>0.57600000000000007</v>
      </c>
      <c r="J248" s="541">
        <f t="shared" ref="J248:J279" si="745">VIN_max-(F248/CG248/Nps+G248/CH248/(Nps/Nsec1sec2))*(Rdcr_pri+RON/1000)</f>
        <v>35.902335931666016</v>
      </c>
      <c r="K248" s="443">
        <f t="shared" ref="K248:K279" si="746">MAX((S248+Vfwd2+Rdcr_sec*F248/CG248)*Nps,(Vout2+Vfwd22+Rdcr_sec2*G248/CH248)*Nps/Nsec1sec2)</f>
        <v>16.489517986529311</v>
      </c>
      <c r="L248" s="172">
        <f t="shared" ref="L248:L279" si="747">MAX((Vout+Vfwd2+F248/CG248*Rdcr_sec)*Nps+J248, (Vout2+Vfwd22+G248/CH248*Rdcr_sec2)*Nps/Nsec1sec2+J248)</f>
        <v>52.391853918195324</v>
      </c>
      <c r="M248" s="443"/>
      <c r="N248" s="217">
        <f t="shared" ref="N248:N279" si="748">MAX((Vout+Vfwd2+F248/CG248*Rdcr_sec)*Nps/((Vout+Vfwd2+F248/CG248*Rdcr_sec)*Nps+J248), (Vout2+Vfwd22+G248/CH248*Rdcr_sec2)*Nps/Nsec1sec2/((Vout2+Vfwd22+G248/CH248*Rdcr_sec2)*Nps/Nsec1sec2+J248))</f>
        <v>0.31473438623256311</v>
      </c>
      <c r="O248" s="172">
        <f t="shared" ref="O248:O279" si="749">N248*J248*Isw_max*0.5*Efficiency*Pout/(Pout+Pout2)</f>
        <v>58.396380691308515</v>
      </c>
      <c r="P248" s="172">
        <f t="shared" ref="P248:P279" si="750">N248*J248*Isw_max*0.5*Efficiency*(Pout2/Pout_total)</f>
        <v>4.7082081932367492</v>
      </c>
      <c r="Q248" s="217">
        <f t="shared" si="626"/>
        <v>2.4331825288045215</v>
      </c>
      <c r="R248" s="217">
        <f t="shared" ref="R248:R279" si="751">O248/Vout2</f>
        <v>3.2442433717393619</v>
      </c>
      <c r="S248" s="217">
        <f t="shared" ref="S248:S279" si="752">MIN(Vout,O248/F248)</f>
        <v>24</v>
      </c>
      <c r="T248" s="217">
        <f t="shared" ref="T248:T279" si="753">MIN(2*(Vout*F248+Vout2*G248)/(Efficiency*J248*N248), Isw_max)</f>
        <v>1.4612777765186737</v>
      </c>
      <c r="U248" s="217">
        <f t="shared" si="630"/>
        <v>0.40701467985257767</v>
      </c>
      <c r="V248" s="217">
        <f t="shared" si="631"/>
        <v>0.88618586529480559</v>
      </c>
      <c r="W248" s="197">
        <f t="shared" si="632"/>
        <v>350</v>
      </c>
      <c r="X248" s="443">
        <f t="shared" si="691"/>
        <v>350</v>
      </c>
      <c r="Z248" s="217">
        <f t="shared" si="633"/>
        <v>3.228485618219485</v>
      </c>
      <c r="AA248" s="173">
        <f t="shared" si="634"/>
        <v>1.9579017536212484</v>
      </c>
      <c r="AB248" s="173">
        <f t="shared" ref="AB248:AB279" si="754">0.5*AA248*Z248*Nps*W248/1000*(Pout/(Pout+Pout2))</f>
        <v>0.68634926009236363</v>
      </c>
      <c r="AC248" s="173"/>
      <c r="AD248" s="173">
        <f t="shared" si="636"/>
        <v>1.3476574779430244</v>
      </c>
      <c r="AE248" s="545">
        <f t="shared" ref="AE248:AE279" si="755">MAX(10, F248/(0.5*AD248/1000000*Isw_min*Nps)/1000*Pout_total/Pout)</f>
        <v>320.39603164230857</v>
      </c>
      <c r="AF248" s="528">
        <f t="shared" ref="AF248:AF279" si="756">0.5*AD248/1000000*Isw_min*Nps*W248*1000*(Pout/Pout_total)</f>
        <v>0.34956737580644337</v>
      </c>
      <c r="AH248" s="173">
        <f t="shared" ref="AH248:AH279" si="757">SQRT((H248+I248)/(0.5*L*Fsw_DCM))</f>
        <v>2.1720299919002697</v>
      </c>
      <c r="AI248" s="173">
        <f t="shared" ref="AI248:AI279" si="758">MAX(IF(F248&gt;AB248,T248,AH248),Isw_min)</f>
        <v>2.2222222222222223</v>
      </c>
      <c r="AJ248" s="173">
        <f t="shared" ref="AJ248:AJ279" si="759">IF(F248&gt;AF248, (AI248-Isw_min)/1.08*0.8+1.2, AE248*0.2/350+1)</f>
        <v>1.1830834466527478</v>
      </c>
      <c r="AL248" s="545">
        <f t="shared" ref="AL248:AL279" si="760">F248*1000</f>
        <v>320</v>
      </c>
      <c r="AM248" s="460">
        <f t="shared" ref="AM248:AM279" si="761">IF(F248&gt;AF248, X248, AE248)</f>
        <v>320.39603164230857</v>
      </c>
      <c r="AO248">
        <f t="shared" si="644"/>
        <v>320</v>
      </c>
      <c r="AP248">
        <f t="shared" si="645"/>
        <v>320.39603164230857</v>
      </c>
      <c r="AR248" s="5">
        <f t="shared" si="616"/>
        <v>3.1211372839861014</v>
      </c>
      <c r="AS248" s="5">
        <f t="shared" si="739"/>
        <v>0.61896312999016123</v>
      </c>
      <c r="AT248" s="5">
        <f t="shared" si="740"/>
        <v>2.5021741539959401</v>
      </c>
      <c r="AU248" s="173">
        <f t="shared" si="741"/>
        <v>0.19831333058175005</v>
      </c>
      <c r="BA248" s="173">
        <f t="shared" si="692"/>
        <v>0.5713507647941537</v>
      </c>
      <c r="BB248" s="173">
        <f t="shared" si="693"/>
        <v>0.76622271705622924</v>
      </c>
      <c r="BC248" s="173">
        <f t="shared" si="694"/>
        <v>7.6725815316035922E-2</v>
      </c>
      <c r="BD248" s="173"/>
      <c r="BE248" s="528">
        <f t="shared" si="695"/>
        <v>1.3057667857234573E-2</v>
      </c>
      <c r="BF248" s="528">
        <f t="shared" ref="BF248:BF279" si="762">0.5*L248*AI248*AM248*1000*Tfall</f>
        <v>0.83930710428866595</v>
      </c>
      <c r="BG248" s="528">
        <f t="shared" ref="BG248:BG279" si="763">Qg*Vdd*AM248*1000*0+Qg*J248*AM248*1000</f>
        <v>0.46011863836779426</v>
      </c>
      <c r="BH248" s="528">
        <f t="shared" si="696"/>
        <v>0.15390499320138359</v>
      </c>
      <c r="BI248">
        <f t="shared" si="697"/>
        <v>1.6156051169249706E-2</v>
      </c>
      <c r="BJ248" s="460">
        <f t="shared" si="698"/>
        <v>476.27468953704397</v>
      </c>
      <c r="BK248">
        <f t="shared" ref="BK248:BK279" si="764">(BF248+BG248*0+BH248+BI248*0+BE248*(1+RdsonTC*(Ta-25)))/(1-BE248*RdsonTC*ThetaJA)</f>
        <v>1.0129379776516414</v>
      </c>
      <c r="BL248" s="460">
        <f t="shared" si="699"/>
        <v>1482.5444548843284</v>
      </c>
      <c r="BM248" s="173">
        <f t="shared" ref="BM248:BM279" si="765">Vfwd2*F248*(1+Diode_TC/1000*(Ta-25))</f>
        <v>0.27775999999999995</v>
      </c>
      <c r="BN248" s="173">
        <f t="shared" ref="BN248:BN279" si="766">Vfwd22*G248*(1+Diode_TC/1000*(Ta-25))</f>
        <v>1.984E-2</v>
      </c>
      <c r="BQ248" s="460">
        <f t="shared" si="700"/>
        <v>297.59999999999997</v>
      </c>
      <c r="BR248" s="528">
        <f t="shared" si="701"/>
        <v>9.7932508929259292E-3</v>
      </c>
      <c r="BS248" s="528">
        <f t="shared" si="702"/>
        <v>1.7612917563990908E-2</v>
      </c>
      <c r="BT248" s="528">
        <f t="shared" si="703"/>
        <v>2.9434253679552262E-5</v>
      </c>
      <c r="BU248" s="528">
        <f t="shared" si="704"/>
        <v>0.67632671243777109</v>
      </c>
      <c r="BV248" s="528"/>
      <c r="BW248" s="625">
        <f t="shared" si="705"/>
        <v>0.31644052507882336</v>
      </c>
      <c r="BX248" s="460">
        <f t="shared" si="706"/>
        <v>1020.2028402271908</v>
      </c>
      <c r="BY248" s="173">
        <f t="shared" si="707"/>
        <v>2.8003472951115196</v>
      </c>
      <c r="BZ248" s="5">
        <f t="shared" si="708"/>
        <v>8.2560000000000002</v>
      </c>
      <c r="CA248" s="173">
        <f t="shared" si="709"/>
        <v>0.74672039323966677</v>
      </c>
      <c r="CB248" s="5">
        <f t="shared" si="710"/>
        <v>74.672039323966672</v>
      </c>
      <c r="CC248">
        <f t="shared" si="711"/>
        <v>32</v>
      </c>
      <c r="CE248" s="562">
        <f t="shared" ref="CE248:CE279" si="767">IF(ABS(F248-Ioutmax_Vinmax)&lt;Iout/200, AM248, -50)</f>
        <v>-50</v>
      </c>
      <c r="CG248" s="173">
        <f t="shared" ref="CG248:CG279" si="768">MIN(SQRT(2*DT248*1000*Ls1_*CL248)/CW248, 1-DY248)</f>
        <v>0.43803570260245489</v>
      </c>
      <c r="CH248" s="173">
        <f t="shared" ref="CH248:CH279" si="769">MIN(SQRT(2*DT248*1000*Ls2_*CM248)/Vout2, 1-DY248)</f>
        <v>0.11979912694191082</v>
      </c>
      <c r="CI248" s="170">
        <v>32</v>
      </c>
      <c r="CJ248" s="217">
        <f t="shared" si="712"/>
        <v>0.32</v>
      </c>
      <c r="CK248" s="217">
        <f t="shared" si="654"/>
        <v>3.2000000000000001E-2</v>
      </c>
      <c r="CL248" s="217">
        <f t="shared" si="655"/>
        <v>7.68</v>
      </c>
      <c r="CM248" s="217">
        <f t="shared" si="656"/>
        <v>0.57600000000000007</v>
      </c>
      <c r="CN248" s="541">
        <f t="shared" si="657"/>
        <v>36</v>
      </c>
      <c r="CO248" s="443">
        <f t="shared" ref="CO248:CO279" si="770">(CW248+Vfwd2)*Nps</f>
        <v>16.474900000000002</v>
      </c>
      <c r="CP248" s="443">
        <f t="shared" ref="CP248:CP279" si="771">(Vout+Vfwd2)*Nps+CN248</f>
        <v>52.474900000000005</v>
      </c>
      <c r="CQ248" s="443"/>
      <c r="CR248" s="217">
        <f t="shared" si="660"/>
        <v>0.31220924123305599</v>
      </c>
      <c r="CS248" s="172">
        <f t="shared" si="661"/>
        <v>58.085440229405762</v>
      </c>
      <c r="CT248" s="172">
        <f t="shared" si="662"/>
        <v>4.683138618495839</v>
      </c>
      <c r="CU248" s="217">
        <f t="shared" si="663"/>
        <v>2.4202266762252402</v>
      </c>
      <c r="CV248" s="217">
        <f t="shared" si="664"/>
        <v>3.2269689016336534</v>
      </c>
      <c r="CW248" s="217">
        <f t="shared" si="665"/>
        <v>24</v>
      </c>
      <c r="CX248" s="217">
        <f t="shared" si="666"/>
        <v>1.4691002253975054</v>
      </c>
      <c r="CY248" s="217">
        <f t="shared" si="667"/>
        <v>0.40808339594375154</v>
      </c>
      <c r="CZ248" s="217">
        <f t="shared" si="668"/>
        <v>0.89172026864958531</v>
      </c>
      <c r="DA248" s="197">
        <f t="shared" si="669"/>
        <v>350</v>
      </c>
      <c r="DB248" s="443">
        <f t="shared" si="670"/>
        <v>350</v>
      </c>
      <c r="DD248" s="217">
        <f t="shared" si="671"/>
        <v>3.2292794133140656</v>
      </c>
      <c r="DE248" s="173">
        <f t="shared" si="672"/>
        <v>1.9601207978889497</v>
      </c>
      <c r="DF248" s="173">
        <f t="shared" si="673"/>
        <v>0.6872960992823488</v>
      </c>
      <c r="DG248" s="173"/>
      <c r="DH248" s="173">
        <f t="shared" si="674"/>
        <v>1.3488532386977903</v>
      </c>
      <c r="DI248" s="545">
        <f t="shared" si="675"/>
        <v>320.11199999999991</v>
      </c>
      <c r="DJ248" s="528">
        <f t="shared" si="676"/>
        <v>0.34987754285999911</v>
      </c>
      <c r="DL248" s="173">
        <f t="shared" si="677"/>
        <v>2.1720299919002697</v>
      </c>
      <c r="DM248" s="173">
        <f t="shared" si="678"/>
        <v>2.2222222222222223</v>
      </c>
      <c r="DN248" s="173">
        <f t="shared" si="679"/>
        <v>1.1829211428571429</v>
      </c>
      <c r="DP248" s="545">
        <f t="shared" si="680"/>
        <v>320</v>
      </c>
      <c r="DQ248" s="460">
        <f t="shared" si="681"/>
        <v>320.11199999999991</v>
      </c>
      <c r="DS248">
        <f t="shared" si="682"/>
        <v>320</v>
      </c>
      <c r="DT248">
        <f t="shared" si="683"/>
        <v>320.11199999999991</v>
      </c>
      <c r="DV248" s="5">
        <f t="shared" si="684"/>
        <v>3.1239066326785632</v>
      </c>
      <c r="DW248" s="5">
        <f t="shared" si="685"/>
        <v>0.61728395061728403</v>
      </c>
      <c r="DX248" s="5">
        <f t="shared" si="686"/>
        <v>2.5066226820612791</v>
      </c>
      <c r="DY248" s="173">
        <f t="shared" si="687"/>
        <v>0.19759999999999997</v>
      </c>
      <c r="EA248" s="5">
        <f t="shared" si="713"/>
        <v>0.82304526748971207</v>
      </c>
      <c r="EB248" s="5">
        <f t="shared" si="714"/>
        <v>0.10973936899862827</v>
      </c>
      <c r="EC248" s="5">
        <f t="shared" si="715"/>
        <v>0.4456218101442273</v>
      </c>
      <c r="ED248" s="5"/>
      <c r="EE248" s="173">
        <f t="shared" si="716"/>
        <v>0.57032226829393062</v>
      </c>
      <c r="EF248" s="173">
        <f t="shared" si="717"/>
        <v>0.76656352886503054</v>
      </c>
      <c r="EG248" s="173">
        <f t="shared" si="718"/>
        <v>7.675994255256588E-2</v>
      </c>
      <c r="EH248" s="173"/>
      <c r="EI248" s="528">
        <f t="shared" si="719"/>
        <v>1.3010699588477368E-2</v>
      </c>
      <c r="EJ248" s="528">
        <f t="shared" si="720"/>
        <v>1.0265349837599997</v>
      </c>
      <c r="EK248" s="528">
        <f t="shared" si="721"/>
        <v>6.4022399999999979E-2</v>
      </c>
      <c r="EL248" s="528">
        <f t="shared" si="722"/>
        <v>0.15425641813710816</v>
      </c>
      <c r="EM248">
        <f t="shared" si="723"/>
        <v>1.6199999999999999E-2</v>
      </c>
      <c r="EN248" s="460">
        <f t="shared" si="724"/>
        <v>80.222399999999965</v>
      </c>
      <c r="EP248" s="460">
        <f t="shared" si="725"/>
        <v>1274.0245014855852</v>
      </c>
      <c r="EQ248" s="173">
        <f t="shared" si="726"/>
        <v>0.22399999999999998</v>
      </c>
      <c r="ER248" s="173">
        <f t="shared" ref="ER248:ER279" si="772">Vfwd22*CK248*(1+Diode_TC/1000*(Ta-25))</f>
        <v>1.984E-2</v>
      </c>
      <c r="ES248" s="528"/>
      <c r="EU248" s="460">
        <f t="shared" si="727"/>
        <v>243.83999999999997</v>
      </c>
      <c r="EV248" s="528">
        <f t="shared" si="728"/>
        <v>9.7580246913580252E-3</v>
      </c>
      <c r="EW248" s="528">
        <f t="shared" si="729"/>
        <v>1.7628589313580256E-2</v>
      </c>
      <c r="EX248" s="528">
        <f t="shared" si="730"/>
        <v>2.946044390336607E-5</v>
      </c>
      <c r="EY248" s="528">
        <f t="shared" si="731"/>
        <v>0.67482879684853858</v>
      </c>
      <c r="EZ248" s="528"/>
      <c r="FA248" s="625">
        <f t="shared" si="732"/>
        <v>0.31616</v>
      </c>
      <c r="FB248" s="460">
        <f t="shared" si="733"/>
        <v>1018.4048712973803</v>
      </c>
      <c r="FC248" s="173">
        <f t="shared" si="734"/>
        <v>2.5362693727829657</v>
      </c>
      <c r="FD248" s="5">
        <f t="shared" si="735"/>
        <v>8.2560000000000002</v>
      </c>
      <c r="FE248" s="173">
        <f t="shared" si="736"/>
        <v>0.76499202483036732</v>
      </c>
      <c r="FF248" s="5">
        <f t="shared" si="737"/>
        <v>76.499202483036726</v>
      </c>
      <c r="FG248">
        <f t="shared" si="738"/>
        <v>32</v>
      </c>
      <c r="FI248" s="562">
        <f t="shared" si="689"/>
        <v>-50</v>
      </c>
    </row>
    <row r="249" spans="5:165">
      <c r="E249" s="170">
        <v>33</v>
      </c>
      <c r="F249" s="217">
        <f t="shared" ref="F249:F280" si="773">IF(PLOT_TYPE=1, E249/100*Iout_max, min_I*EXP(O249*rr/100))</f>
        <v>0.33</v>
      </c>
      <c r="G249" s="217">
        <f t="shared" si="742"/>
        <v>3.3000000000000002E-2</v>
      </c>
      <c r="H249" s="217">
        <f t="shared" si="743"/>
        <v>7.92</v>
      </c>
      <c r="I249" s="217">
        <f t="shared" si="744"/>
        <v>0.59400000000000008</v>
      </c>
      <c r="J249" s="541">
        <f t="shared" si="745"/>
        <v>35.902335931666016</v>
      </c>
      <c r="K249" s="443">
        <f t="shared" si="746"/>
        <v>16.489517986529311</v>
      </c>
      <c r="L249" s="172">
        <f t="shared" si="747"/>
        <v>52.391853918195324</v>
      </c>
      <c r="M249" s="443"/>
      <c r="N249" s="217">
        <f t="shared" si="748"/>
        <v>0.31473438623256311</v>
      </c>
      <c r="O249" s="172">
        <f t="shared" si="749"/>
        <v>58.396380691308515</v>
      </c>
      <c r="P249" s="172">
        <f t="shared" si="750"/>
        <v>4.7082081932367492</v>
      </c>
      <c r="Q249" s="217">
        <f t="shared" si="626"/>
        <v>2.4331825288045215</v>
      </c>
      <c r="R249" s="217">
        <f t="shared" si="751"/>
        <v>3.2442433717393619</v>
      </c>
      <c r="S249" s="217">
        <f t="shared" si="752"/>
        <v>24</v>
      </c>
      <c r="T249" s="217">
        <f t="shared" si="753"/>
        <v>1.5069427070348822</v>
      </c>
      <c r="U249" s="217">
        <f t="shared" si="630"/>
        <v>0.41973388859797067</v>
      </c>
      <c r="V249" s="217">
        <f t="shared" si="631"/>
        <v>0.91387917358526816</v>
      </c>
      <c r="W249" s="197">
        <f t="shared" si="632"/>
        <v>350</v>
      </c>
      <c r="X249" s="443">
        <f t="shared" si="691"/>
        <v>350</v>
      </c>
      <c r="Z249" s="217">
        <f t="shared" si="633"/>
        <v>3.228485618219485</v>
      </c>
      <c r="AA249" s="173">
        <f t="shared" si="634"/>
        <v>1.9579017536212484</v>
      </c>
      <c r="AB249" s="173">
        <f t="shared" si="754"/>
        <v>0.68634926009236363</v>
      </c>
      <c r="AC249" s="173"/>
      <c r="AD249" s="173">
        <f t="shared" si="636"/>
        <v>1.3476574779430244</v>
      </c>
      <c r="AE249" s="545">
        <f t="shared" si="755"/>
        <v>330.40840763113073</v>
      </c>
      <c r="AF249" s="528">
        <f t="shared" si="756"/>
        <v>0.34956737580644337</v>
      </c>
      <c r="AH249" s="173">
        <f t="shared" si="757"/>
        <v>2.2057068837773652</v>
      </c>
      <c r="AI249" s="173">
        <f t="shared" si="758"/>
        <v>2.2222222222222223</v>
      </c>
      <c r="AJ249" s="173">
        <f t="shared" si="759"/>
        <v>1.1888048043606461</v>
      </c>
      <c r="AL249" s="545">
        <f t="shared" si="760"/>
        <v>330</v>
      </c>
      <c r="AM249" s="460">
        <f t="shared" si="761"/>
        <v>330.40840763113073</v>
      </c>
      <c r="AO249">
        <f t="shared" si="644"/>
        <v>330</v>
      </c>
      <c r="AP249">
        <f t="shared" si="645"/>
        <v>330.40840763113073</v>
      </c>
      <c r="AR249" s="5">
        <f t="shared" si="616"/>
        <v>3.0265573662895529</v>
      </c>
      <c r="AS249" s="5">
        <f t="shared" si="739"/>
        <v>0.61896312999016123</v>
      </c>
      <c r="AT249" s="5">
        <f t="shared" si="740"/>
        <v>2.4075942362993916</v>
      </c>
      <c r="AU249" s="173">
        <f t="shared" si="741"/>
        <v>0.20451062216242974</v>
      </c>
      <c r="BA249" s="173">
        <f t="shared" si="692"/>
        <v>0.58020944446322897</v>
      </c>
      <c r="BB249" s="173">
        <f t="shared" si="693"/>
        <v>0.76325539934983289</v>
      </c>
      <c r="BC249" s="173">
        <f t="shared" si="694"/>
        <v>7.6428682556517052E-2</v>
      </c>
      <c r="BD249" s="173"/>
      <c r="BE249" s="528">
        <f t="shared" si="695"/>
        <v>1.3465719977773152E-2</v>
      </c>
      <c r="BF249" s="528">
        <f t="shared" si="762"/>
        <v>0.86553545129768683</v>
      </c>
      <c r="BG249" s="528">
        <f t="shared" si="763"/>
        <v>0.47449734581678787</v>
      </c>
      <c r="BH249" s="528">
        <f t="shared" si="696"/>
        <v>0.15871452423892682</v>
      </c>
      <c r="BI249">
        <f t="shared" si="697"/>
        <v>1.6156051169249706E-2</v>
      </c>
      <c r="BJ249" s="460">
        <f t="shared" si="698"/>
        <v>490.65339698603759</v>
      </c>
      <c r="BK249">
        <f t="shared" si="764"/>
        <v>1.0446938910713441</v>
      </c>
      <c r="BL249" s="460">
        <f t="shared" si="699"/>
        <v>1528.3690925004244</v>
      </c>
      <c r="BM249" s="173">
        <f t="shared" si="765"/>
        <v>0.28643999999999997</v>
      </c>
      <c r="BN249" s="173">
        <f t="shared" si="766"/>
        <v>2.0460000000000002E-2</v>
      </c>
      <c r="BQ249" s="460">
        <f t="shared" si="700"/>
        <v>306.89999999999998</v>
      </c>
      <c r="BR249" s="528">
        <f t="shared" si="701"/>
        <v>1.0099289983329863E-2</v>
      </c>
      <c r="BS249" s="528">
        <f t="shared" si="702"/>
        <v>1.7476764139100185E-2</v>
      </c>
      <c r="BT249" s="528">
        <f t="shared" si="703"/>
        <v>2.9206717586624268E-5</v>
      </c>
      <c r="BU249" s="528">
        <f t="shared" si="704"/>
        <v>0.73040955303625577</v>
      </c>
      <c r="BV249" s="528"/>
      <c r="BW249" s="625">
        <f t="shared" si="705"/>
        <v>0.32632929148753664</v>
      </c>
      <c r="BX249" s="460">
        <f t="shared" si="706"/>
        <v>1084.3441053638089</v>
      </c>
      <c r="BY249" s="173">
        <f t="shared" si="707"/>
        <v>2.9196131978642335</v>
      </c>
      <c r="BZ249" s="5">
        <f t="shared" si="708"/>
        <v>8.5139999999999993</v>
      </c>
      <c r="CA249" s="173">
        <f t="shared" si="709"/>
        <v>0.74464649561438645</v>
      </c>
      <c r="CB249" s="5">
        <f t="shared" si="710"/>
        <v>74.464649561438648</v>
      </c>
      <c r="CC249">
        <f t="shared" si="711"/>
        <v>33</v>
      </c>
      <c r="CE249" s="562">
        <f t="shared" si="767"/>
        <v>-50</v>
      </c>
      <c r="CG249" s="173">
        <f t="shared" si="768"/>
        <v>0.45172431830878162</v>
      </c>
      <c r="CH249" s="173">
        <f t="shared" si="769"/>
        <v>0.12354284965884557</v>
      </c>
      <c r="CI249" s="170">
        <v>33</v>
      </c>
      <c r="CJ249" s="217">
        <f t="shared" si="712"/>
        <v>0.33</v>
      </c>
      <c r="CK249" s="217">
        <f t="shared" si="654"/>
        <v>3.3000000000000002E-2</v>
      </c>
      <c r="CL249" s="217">
        <f t="shared" si="655"/>
        <v>7.92</v>
      </c>
      <c r="CM249" s="217">
        <f t="shared" si="656"/>
        <v>0.59400000000000008</v>
      </c>
      <c r="CN249" s="541">
        <f t="shared" si="657"/>
        <v>36</v>
      </c>
      <c r="CO249" s="443">
        <f t="shared" si="770"/>
        <v>16.474900000000002</v>
      </c>
      <c r="CP249" s="443">
        <f t="shared" si="771"/>
        <v>52.474900000000005</v>
      </c>
      <c r="CQ249" s="443"/>
      <c r="CR249" s="217">
        <f t="shared" si="660"/>
        <v>0.31220924123305599</v>
      </c>
      <c r="CS249" s="172">
        <f t="shared" si="661"/>
        <v>58.085440229405762</v>
      </c>
      <c r="CT249" s="172">
        <f t="shared" si="662"/>
        <v>4.683138618495839</v>
      </c>
      <c r="CU249" s="217">
        <f t="shared" si="663"/>
        <v>2.4202266762252402</v>
      </c>
      <c r="CV249" s="217">
        <f t="shared" si="664"/>
        <v>3.2269689016336534</v>
      </c>
      <c r="CW249" s="217">
        <f t="shared" si="665"/>
        <v>24</v>
      </c>
      <c r="CX249" s="217">
        <f t="shared" si="666"/>
        <v>1.5150096074411772</v>
      </c>
      <c r="CY249" s="217">
        <f t="shared" si="667"/>
        <v>0.42083600206699368</v>
      </c>
      <c r="CZ249" s="217">
        <f t="shared" si="668"/>
        <v>0.91958652704488464</v>
      </c>
      <c r="DA249" s="197">
        <f t="shared" si="669"/>
        <v>350</v>
      </c>
      <c r="DB249" s="443">
        <f t="shared" si="670"/>
        <v>350</v>
      </c>
      <c r="DD249" s="217">
        <f t="shared" si="671"/>
        <v>3.2292794133140656</v>
      </c>
      <c r="DE249" s="173">
        <f t="shared" si="672"/>
        <v>1.9601207978889497</v>
      </c>
      <c r="DF249" s="173">
        <f t="shared" si="673"/>
        <v>0.6872960992823488</v>
      </c>
      <c r="DG249" s="173"/>
      <c r="DH249" s="173">
        <f t="shared" si="674"/>
        <v>1.3488532386977903</v>
      </c>
      <c r="DI249" s="545">
        <f t="shared" si="675"/>
        <v>330.11549999999988</v>
      </c>
      <c r="DJ249" s="528">
        <f t="shared" si="676"/>
        <v>0.34987754285999911</v>
      </c>
      <c r="DL249" s="173">
        <f t="shared" si="677"/>
        <v>2.2057068837773652</v>
      </c>
      <c r="DM249" s="173">
        <f t="shared" si="678"/>
        <v>2.2222222222222223</v>
      </c>
      <c r="DN249" s="173">
        <f t="shared" si="679"/>
        <v>1.1886374285714285</v>
      </c>
      <c r="DP249" s="545">
        <f t="shared" si="680"/>
        <v>330</v>
      </c>
      <c r="DQ249" s="460">
        <f t="shared" si="681"/>
        <v>330.11549999999988</v>
      </c>
      <c r="DS249">
        <f t="shared" si="682"/>
        <v>330</v>
      </c>
      <c r="DT249">
        <f t="shared" si="683"/>
        <v>330.11549999999988</v>
      </c>
      <c r="DV249" s="5">
        <f t="shared" si="684"/>
        <v>3.0292427953246679</v>
      </c>
      <c r="DW249" s="5">
        <f t="shared" si="685"/>
        <v>0.61728395061728403</v>
      </c>
      <c r="DX249" s="5">
        <f t="shared" si="686"/>
        <v>2.4119588447073839</v>
      </c>
      <c r="DY249" s="173">
        <f t="shared" si="687"/>
        <v>0.20377499999999996</v>
      </c>
      <c r="EA249" s="5">
        <f t="shared" si="713"/>
        <v>0.84876543209876565</v>
      </c>
      <c r="EB249" s="5">
        <f t="shared" si="714"/>
        <v>0.11316872427983542</v>
      </c>
      <c r="EC249" s="5">
        <f t="shared" si="715"/>
        <v>0.44219245486302028</v>
      </c>
      <c r="ED249" s="5"/>
      <c r="EE249" s="173">
        <f t="shared" si="716"/>
        <v>0.57916500132987325</v>
      </c>
      <c r="EF249" s="173">
        <f t="shared" si="717"/>
        <v>0.76360822483051261</v>
      </c>
      <c r="EG249" s="173">
        <f t="shared" si="718"/>
        <v>7.646401278370403E-2</v>
      </c>
      <c r="EH249" s="173"/>
      <c r="EI249" s="528">
        <f t="shared" si="719"/>
        <v>1.3417283950617283E-2</v>
      </c>
      <c r="EJ249" s="528">
        <f t="shared" si="720"/>
        <v>1.0586142020024998</v>
      </c>
      <c r="EK249" s="528">
        <f t="shared" si="721"/>
        <v>6.6023099999999973E-2</v>
      </c>
      <c r="EL249" s="528">
        <f t="shared" si="722"/>
        <v>0.1590769312038928</v>
      </c>
      <c r="EM249">
        <f t="shared" si="723"/>
        <v>1.6199999999999999E-2</v>
      </c>
      <c r="EN249" s="460">
        <f t="shared" si="724"/>
        <v>82.22309999999996</v>
      </c>
      <c r="EP249" s="460">
        <f t="shared" si="725"/>
        <v>1313.33151715701</v>
      </c>
      <c r="EQ249" s="173">
        <f t="shared" si="726"/>
        <v>0.23099999999999998</v>
      </c>
      <c r="ER249" s="173">
        <f t="shared" si="772"/>
        <v>2.0460000000000002E-2</v>
      </c>
      <c r="ES249" s="528"/>
      <c r="EU249" s="460">
        <f t="shared" si="727"/>
        <v>251.45999999999995</v>
      </c>
      <c r="EV249" s="528">
        <f t="shared" si="728"/>
        <v>1.0062962962962961E-2</v>
      </c>
      <c r="EW249" s="528">
        <f t="shared" si="729"/>
        <v>1.7492925630864201E-2</v>
      </c>
      <c r="EX249" s="528">
        <f t="shared" si="730"/>
        <v>2.9233726254932267E-5</v>
      </c>
      <c r="EY249" s="528">
        <f t="shared" si="731"/>
        <v>0.72879185579630357</v>
      </c>
      <c r="EZ249" s="528"/>
      <c r="FA249" s="625">
        <f t="shared" si="732"/>
        <v>0.32604</v>
      </c>
      <c r="FB249" s="460">
        <f t="shared" si="733"/>
        <v>1082.4169781163857</v>
      </c>
      <c r="FC249" s="173">
        <f t="shared" si="734"/>
        <v>2.6472084952733952</v>
      </c>
      <c r="FD249" s="5">
        <f t="shared" si="735"/>
        <v>8.5139999999999993</v>
      </c>
      <c r="FE249" s="173">
        <f t="shared" si="736"/>
        <v>0.76282062140542861</v>
      </c>
      <c r="FF249" s="5">
        <f t="shared" si="737"/>
        <v>76.282062140542862</v>
      </c>
      <c r="FG249">
        <f t="shared" si="738"/>
        <v>33</v>
      </c>
      <c r="FI249" s="562">
        <f t="shared" si="689"/>
        <v>-50</v>
      </c>
    </row>
    <row r="250" spans="5:165">
      <c r="E250" s="170">
        <v>34</v>
      </c>
      <c r="F250" s="217">
        <f t="shared" si="773"/>
        <v>0.34</v>
      </c>
      <c r="G250" s="217">
        <f t="shared" si="742"/>
        <v>3.4000000000000002E-2</v>
      </c>
      <c r="H250" s="217">
        <f t="shared" si="743"/>
        <v>8.16</v>
      </c>
      <c r="I250" s="217">
        <f t="shared" si="744"/>
        <v>0.6120000000000001</v>
      </c>
      <c r="J250" s="541">
        <f t="shared" si="745"/>
        <v>35.902335931666016</v>
      </c>
      <c r="K250" s="443">
        <f t="shared" si="746"/>
        <v>16.489517986529311</v>
      </c>
      <c r="L250" s="172">
        <f t="shared" si="747"/>
        <v>52.391853918195324</v>
      </c>
      <c r="M250" s="443"/>
      <c r="N250" s="217">
        <f t="shared" si="748"/>
        <v>0.31473438623256311</v>
      </c>
      <c r="O250" s="172">
        <f t="shared" si="749"/>
        <v>58.396380691308515</v>
      </c>
      <c r="P250" s="172">
        <f t="shared" si="750"/>
        <v>4.7082081932367492</v>
      </c>
      <c r="Q250" s="217">
        <f t="shared" si="626"/>
        <v>2.4331825288045215</v>
      </c>
      <c r="R250" s="217">
        <f t="shared" si="751"/>
        <v>3.2442433717393619</v>
      </c>
      <c r="S250" s="217">
        <f t="shared" si="752"/>
        <v>24</v>
      </c>
      <c r="T250" s="217">
        <f t="shared" si="753"/>
        <v>1.5526076375510909</v>
      </c>
      <c r="U250" s="217">
        <f t="shared" si="630"/>
        <v>0.43245309734336373</v>
      </c>
      <c r="V250" s="217">
        <f t="shared" si="631"/>
        <v>0.94157248187573095</v>
      </c>
      <c r="W250" s="197">
        <f t="shared" si="632"/>
        <v>350</v>
      </c>
      <c r="X250" s="443">
        <f t="shared" si="691"/>
        <v>350</v>
      </c>
      <c r="Z250" s="217">
        <f t="shared" si="633"/>
        <v>3.228485618219485</v>
      </c>
      <c r="AA250" s="173">
        <f t="shared" si="634"/>
        <v>1.9579017536212484</v>
      </c>
      <c r="AB250" s="173">
        <f t="shared" si="754"/>
        <v>0.68634926009236363</v>
      </c>
      <c r="AC250" s="173"/>
      <c r="AD250" s="173">
        <f t="shared" si="636"/>
        <v>1.3476574779430244</v>
      </c>
      <c r="AE250" s="545">
        <f t="shared" si="755"/>
        <v>340.42078361995289</v>
      </c>
      <c r="AF250" s="528">
        <f t="shared" si="756"/>
        <v>0.34956737580644337</v>
      </c>
      <c r="AH250" s="173">
        <f t="shared" si="757"/>
        <v>2.238877269653571</v>
      </c>
      <c r="AI250" s="173">
        <f t="shared" si="758"/>
        <v>2.238877269653571</v>
      </c>
      <c r="AJ250" s="173">
        <f t="shared" si="759"/>
        <v>1.1945261620685446</v>
      </c>
      <c r="AL250" s="545">
        <f t="shared" si="760"/>
        <v>340</v>
      </c>
      <c r="AM250" s="460">
        <f t="shared" si="761"/>
        <v>340.42078361995289</v>
      </c>
      <c r="AO250">
        <f t="shared" si="644"/>
        <v>340</v>
      </c>
      <c r="AP250">
        <f t="shared" si="645"/>
        <v>340.42078361995289</v>
      </c>
      <c r="AR250" s="5">
        <f t="shared" si="616"/>
        <v>2.9375409731633897</v>
      </c>
      <c r="AS250" s="5">
        <f t="shared" si="739"/>
        <v>0.62360211711987013</v>
      </c>
      <c r="AT250" s="5">
        <f t="shared" si="740"/>
        <v>2.3139388560435195</v>
      </c>
      <c r="AU250" s="173">
        <f t="shared" si="741"/>
        <v>0.21228712137700781</v>
      </c>
      <c r="BA250" s="173">
        <f t="shared" si="692"/>
        <v>0.59556817669294149</v>
      </c>
      <c r="BB250" s="173">
        <f t="shared" si="693"/>
        <v>0.76520793818745869</v>
      </c>
      <c r="BC250" s="173">
        <f t="shared" si="694"/>
        <v>7.6624200296879288E-2</v>
      </c>
      <c r="BD250" s="173"/>
      <c r="BE250" s="528">
        <f t="shared" si="695"/>
        <v>1.4188058123574191E-2</v>
      </c>
      <c r="BF250" s="528">
        <f t="shared" si="762"/>
        <v>0.89844736406796877</v>
      </c>
      <c r="BG250" s="528">
        <f t="shared" si="763"/>
        <v>0.48887605326578137</v>
      </c>
      <c r="BH250" s="528">
        <f t="shared" si="696"/>
        <v>0.16352405527647007</v>
      </c>
      <c r="BI250">
        <f t="shared" si="697"/>
        <v>1.6156051169249706E-2</v>
      </c>
      <c r="BJ250" s="460">
        <f t="shared" si="698"/>
        <v>505.0321044350311</v>
      </c>
      <c r="BK250">
        <f t="shared" si="764"/>
        <v>1.0836433042599867</v>
      </c>
      <c r="BL250" s="460">
        <f t="shared" si="699"/>
        <v>1581.1915819030442</v>
      </c>
      <c r="BM250" s="173">
        <f t="shared" si="765"/>
        <v>0.29511999999999999</v>
      </c>
      <c r="BN250" s="173">
        <f t="shared" si="766"/>
        <v>2.1080000000000002E-2</v>
      </c>
      <c r="BQ250" s="460">
        <f t="shared" si="700"/>
        <v>316.2</v>
      </c>
      <c r="BR250" s="528">
        <f t="shared" si="701"/>
        <v>1.0641043592680642E-2</v>
      </c>
      <c r="BS250" s="528">
        <f t="shared" si="702"/>
        <v>1.7566295659953046E-2</v>
      </c>
      <c r="BT250" s="528">
        <f t="shared" si="703"/>
        <v>2.9356340355681381E-5</v>
      </c>
      <c r="BU250" s="528">
        <f t="shared" si="704"/>
        <v>0.80183662607928985</v>
      </c>
      <c r="BV250" s="528"/>
      <c r="BW250" s="625">
        <f t="shared" si="705"/>
        <v>0.34127669873305455</v>
      </c>
      <c r="BX250" s="460">
        <f t="shared" si="706"/>
        <v>1171.3500204053337</v>
      </c>
      <c r="BY250" s="173">
        <f t="shared" si="707"/>
        <v>3.068741602308378</v>
      </c>
      <c r="BZ250" s="5">
        <f t="shared" si="708"/>
        <v>8.7720000000000002</v>
      </c>
      <c r="CA250" s="173">
        <f t="shared" si="709"/>
        <v>0.74083197612300566</v>
      </c>
      <c r="CB250" s="5">
        <f t="shared" si="710"/>
        <v>74.083197612300566</v>
      </c>
      <c r="CC250">
        <f t="shared" si="711"/>
        <v>34</v>
      </c>
      <c r="CE250" s="562">
        <f t="shared" si="767"/>
        <v>-50</v>
      </c>
      <c r="CG250" s="173">
        <f t="shared" si="768"/>
        <v>0.46541293401510836</v>
      </c>
      <c r="CH250" s="173">
        <f t="shared" si="769"/>
        <v>0.12728657237578025</v>
      </c>
      <c r="CI250" s="170">
        <v>34</v>
      </c>
      <c r="CJ250" s="217">
        <f t="shared" si="712"/>
        <v>0.34</v>
      </c>
      <c r="CK250" s="217">
        <f t="shared" si="654"/>
        <v>3.4000000000000002E-2</v>
      </c>
      <c r="CL250" s="217">
        <f t="shared" si="655"/>
        <v>8.16</v>
      </c>
      <c r="CM250" s="217">
        <f t="shared" si="656"/>
        <v>0.6120000000000001</v>
      </c>
      <c r="CN250" s="541">
        <f t="shared" si="657"/>
        <v>36</v>
      </c>
      <c r="CO250" s="443">
        <f t="shared" si="770"/>
        <v>16.474900000000002</v>
      </c>
      <c r="CP250" s="443">
        <f t="shared" si="771"/>
        <v>52.474900000000005</v>
      </c>
      <c r="CQ250" s="443"/>
      <c r="CR250" s="217">
        <f t="shared" si="660"/>
        <v>0.31220924123305599</v>
      </c>
      <c r="CS250" s="172">
        <f t="shared" si="661"/>
        <v>58.085440229405762</v>
      </c>
      <c r="CT250" s="172">
        <f t="shared" si="662"/>
        <v>4.683138618495839</v>
      </c>
      <c r="CU250" s="217">
        <f t="shared" si="663"/>
        <v>2.4202266762252402</v>
      </c>
      <c r="CV250" s="217">
        <f t="shared" si="664"/>
        <v>3.2269689016336534</v>
      </c>
      <c r="CW250" s="217">
        <f t="shared" si="665"/>
        <v>24</v>
      </c>
      <c r="CX250" s="217">
        <f t="shared" si="666"/>
        <v>1.5609189894848494</v>
      </c>
      <c r="CY250" s="217">
        <f t="shared" si="667"/>
        <v>0.43358860819023598</v>
      </c>
      <c r="CZ250" s="217">
        <f t="shared" si="668"/>
        <v>0.94745278544018441</v>
      </c>
      <c r="DA250" s="197">
        <f t="shared" si="669"/>
        <v>350</v>
      </c>
      <c r="DB250" s="443">
        <f t="shared" si="670"/>
        <v>350</v>
      </c>
      <c r="DD250" s="217">
        <f t="shared" si="671"/>
        <v>3.2292794133140656</v>
      </c>
      <c r="DE250" s="173">
        <f t="shared" si="672"/>
        <v>1.9601207978889497</v>
      </c>
      <c r="DF250" s="173">
        <f t="shared" si="673"/>
        <v>0.6872960992823488</v>
      </c>
      <c r="DG250" s="173"/>
      <c r="DH250" s="173">
        <f t="shared" si="674"/>
        <v>1.3488532386977903</v>
      </c>
      <c r="DI250" s="545">
        <f t="shared" si="675"/>
        <v>340.11899999999986</v>
      </c>
      <c r="DJ250" s="528">
        <f t="shared" si="676"/>
        <v>0.34987754285999911</v>
      </c>
      <c r="DL250" s="173">
        <f t="shared" si="677"/>
        <v>2.238877269653571</v>
      </c>
      <c r="DM250" s="173">
        <f t="shared" si="678"/>
        <v>2.238877269653571</v>
      </c>
      <c r="DN250" s="173">
        <f t="shared" si="679"/>
        <v>1.1943537142857141</v>
      </c>
      <c r="DP250" s="545">
        <f t="shared" si="680"/>
        <v>340</v>
      </c>
      <c r="DQ250" s="460">
        <f t="shared" si="681"/>
        <v>340.11899999999986</v>
      </c>
      <c r="DS250">
        <f t="shared" si="682"/>
        <v>340</v>
      </c>
      <c r="DT250">
        <f t="shared" si="683"/>
        <v>340.11899999999986</v>
      </c>
      <c r="DV250" s="5">
        <f t="shared" si="684"/>
        <v>2.9401474189915895</v>
      </c>
      <c r="DW250" s="5">
        <f t="shared" si="685"/>
        <v>0.6219103526815476</v>
      </c>
      <c r="DX250" s="5">
        <f t="shared" si="686"/>
        <v>2.3182370663100418</v>
      </c>
      <c r="DY250" s="173">
        <f t="shared" si="687"/>
        <v>0.21152352724369519</v>
      </c>
      <c r="EA250" s="5">
        <f t="shared" si="713"/>
        <v>0.88103966629885921</v>
      </c>
      <c r="EB250" s="5">
        <f t="shared" si="714"/>
        <v>0.11747195550651454</v>
      </c>
      <c r="EC250" s="5">
        <f t="shared" si="715"/>
        <v>0.43788922363634114</v>
      </c>
      <c r="ED250" s="5"/>
      <c r="EE250" s="173">
        <f t="shared" si="716"/>
        <v>0.59449608609095617</v>
      </c>
      <c r="EF250" s="173">
        <f t="shared" si="717"/>
        <v>0.76557873748021332</v>
      </c>
      <c r="EG250" s="173">
        <f t="shared" si="718"/>
        <v>7.6661330334167291E-2</v>
      </c>
      <c r="EH250" s="173"/>
      <c r="EI250" s="528">
        <f t="shared" si="719"/>
        <v>1.4137023855098622E-2</v>
      </c>
      <c r="EJ250" s="528">
        <f t="shared" si="720"/>
        <v>1.0988679180362577</v>
      </c>
      <c r="EK250" s="528">
        <f t="shared" si="721"/>
        <v>6.8023799999999968E-2</v>
      </c>
      <c r="EL250" s="528">
        <f t="shared" si="722"/>
        <v>0.1638974442706774</v>
      </c>
      <c r="EM250">
        <f t="shared" si="723"/>
        <v>1.6199999999999999E-2</v>
      </c>
      <c r="EN250" s="460">
        <f t="shared" si="724"/>
        <v>84.223799999999954</v>
      </c>
      <c r="EP250" s="460">
        <f t="shared" si="725"/>
        <v>1361.1261861620337</v>
      </c>
      <c r="EQ250" s="173">
        <f t="shared" si="726"/>
        <v>0.23799999999999999</v>
      </c>
      <c r="ER250" s="173">
        <f t="shared" si="772"/>
        <v>2.1080000000000002E-2</v>
      </c>
      <c r="ES250" s="528"/>
      <c r="EU250" s="460">
        <f t="shared" si="727"/>
        <v>259.08</v>
      </c>
      <c r="EV250" s="528">
        <f t="shared" si="728"/>
        <v>1.0602767891323967E-2</v>
      </c>
      <c r="EW250" s="528">
        <f t="shared" si="729"/>
        <v>1.7583324098453923E-2</v>
      </c>
      <c r="EX250" s="528">
        <f t="shared" si="730"/>
        <v>2.9384797843021591E-5</v>
      </c>
      <c r="EY250" s="528">
        <f t="shared" si="731"/>
        <v>0.80006073351119567</v>
      </c>
      <c r="EZ250" s="528"/>
      <c r="FA250" s="625">
        <f t="shared" si="732"/>
        <v>0.3409741563428571</v>
      </c>
      <c r="FB250" s="460">
        <f t="shared" si="733"/>
        <v>1169.2503666416737</v>
      </c>
      <c r="FC250" s="173">
        <f t="shared" si="734"/>
        <v>2.7894565528037072</v>
      </c>
      <c r="FD250" s="5">
        <f t="shared" si="735"/>
        <v>8.7720000000000002</v>
      </c>
      <c r="FE250" s="173">
        <f t="shared" si="736"/>
        <v>0.75872793016488471</v>
      </c>
      <c r="FF250" s="5">
        <f t="shared" si="737"/>
        <v>75.872793016488473</v>
      </c>
      <c r="FG250">
        <f t="shared" si="738"/>
        <v>34</v>
      </c>
      <c r="FI250" s="562">
        <f t="shared" si="689"/>
        <v>-50</v>
      </c>
    </row>
    <row r="251" spans="5:165">
      <c r="E251" s="170">
        <v>35</v>
      </c>
      <c r="F251" s="217">
        <f t="shared" si="773"/>
        <v>0.35</v>
      </c>
      <c r="G251" s="217">
        <f t="shared" si="742"/>
        <v>3.4999999999999996E-2</v>
      </c>
      <c r="H251" s="217">
        <f t="shared" si="743"/>
        <v>8.3999999999999986</v>
      </c>
      <c r="I251" s="217">
        <f t="shared" si="744"/>
        <v>0.62999999999999989</v>
      </c>
      <c r="J251" s="541">
        <f t="shared" si="745"/>
        <v>35.902318841949274</v>
      </c>
      <c r="K251" s="443">
        <f t="shared" si="746"/>
        <v>16.489520544453157</v>
      </c>
      <c r="L251" s="172">
        <f t="shared" si="747"/>
        <v>52.391839386402431</v>
      </c>
      <c r="M251" s="443"/>
      <c r="N251" s="217">
        <f t="shared" si="748"/>
        <v>0.31473452235259336</v>
      </c>
      <c r="O251" s="172">
        <f t="shared" si="749"/>
        <v>58.396378150239876</v>
      </c>
      <c r="P251" s="172">
        <f t="shared" si="750"/>
        <v>4.7082079883630898</v>
      </c>
      <c r="Q251" s="217">
        <f t="shared" si="626"/>
        <v>2.4331824229266616</v>
      </c>
      <c r="R251" s="217">
        <f t="shared" si="751"/>
        <v>3.2442432305688822</v>
      </c>
      <c r="S251" s="217">
        <f t="shared" si="752"/>
        <v>24</v>
      </c>
      <c r="T251" s="217">
        <f t="shared" si="753"/>
        <v>1.598272637614768</v>
      </c>
      <c r="U251" s="217">
        <f t="shared" si="630"/>
        <v>0.44517253736471796</v>
      </c>
      <c r="V251" s="217">
        <f t="shared" si="631"/>
        <v>0.96926568198637186</v>
      </c>
      <c r="W251" s="197">
        <f t="shared" si="632"/>
        <v>350</v>
      </c>
      <c r="X251" s="443">
        <f t="shared" si="691"/>
        <v>350</v>
      </c>
      <c r="Z251" s="217">
        <f t="shared" si="633"/>
        <v>3.2284854777346905</v>
      </c>
      <c r="AA251" s="173">
        <f t="shared" si="634"/>
        <v>1.9579013647068764</v>
      </c>
      <c r="AB251" s="173">
        <f t="shared" si="754"/>
        <v>0.68634909389118381</v>
      </c>
      <c r="AC251" s="173"/>
      <c r="AD251" s="173">
        <f t="shared" si="636"/>
        <v>1.3476572688887229</v>
      </c>
      <c r="AE251" s="545">
        <f t="shared" si="755"/>
        <v>350.43321396945038</v>
      </c>
      <c r="AF251" s="528">
        <f t="shared" si="756"/>
        <v>0.34956732158008047</v>
      </c>
      <c r="AH251" s="173">
        <f t="shared" si="757"/>
        <v>2.2715633383201093</v>
      </c>
      <c r="AI251" s="173">
        <f t="shared" si="758"/>
        <v>2.2715633383201093</v>
      </c>
      <c r="AJ251" s="173">
        <f t="shared" si="759"/>
        <v>1.2365489748873235</v>
      </c>
      <c r="AL251" s="545">
        <f t="shared" si="760"/>
        <v>350</v>
      </c>
      <c r="AM251" s="460">
        <f t="shared" si="761"/>
        <v>350</v>
      </c>
      <c r="AO251">
        <f t="shared" si="644"/>
        <v>350</v>
      </c>
      <c r="AP251">
        <f t="shared" si="645"/>
        <v>350</v>
      </c>
      <c r="AR251" s="5">
        <f t="shared" si="616"/>
        <v>2.8571428571428572</v>
      </c>
      <c r="AS251" s="5">
        <f t="shared" si="739"/>
        <v>0.63270658040782346</v>
      </c>
      <c r="AT251" s="5">
        <f t="shared" si="740"/>
        <v>2.2244362767350339</v>
      </c>
      <c r="AU251" s="173">
        <f t="shared" si="741"/>
        <v>0.22144730314273819</v>
      </c>
      <c r="BA251" s="173">
        <f t="shared" si="692"/>
        <v>0.61716234606909526</v>
      </c>
      <c r="BB251" s="173">
        <f t="shared" si="693"/>
        <v>0.77185205376008703</v>
      </c>
      <c r="BC251" s="173">
        <f t="shared" si="694"/>
        <v>7.7289509707597889E-2</v>
      </c>
      <c r="BD251" s="173"/>
      <c r="BE251" s="528">
        <f t="shared" si="695"/>
        <v>1.523557445622039E-2</v>
      </c>
      <c r="BF251" s="528">
        <f t="shared" si="762"/>
        <v>0.93721462992129489</v>
      </c>
      <c r="BG251" s="528">
        <f t="shared" si="763"/>
        <v>0.50263246378728987</v>
      </c>
      <c r="BH251" s="528">
        <f t="shared" si="696"/>
        <v>0.16812542110029857</v>
      </c>
      <c r="BI251">
        <f t="shared" si="697"/>
        <v>1.6156043478877172E-2</v>
      </c>
      <c r="BJ251" s="460">
        <f t="shared" si="698"/>
        <v>518.78850726616713</v>
      </c>
      <c r="BK251">
        <f t="shared" si="764"/>
        <v>1.1287753663554905</v>
      </c>
      <c r="BL251" s="460">
        <f t="shared" si="699"/>
        <v>1639.3641327439809</v>
      </c>
      <c r="BM251" s="173">
        <f t="shared" si="765"/>
        <v>0.30379999999999996</v>
      </c>
      <c r="BN251" s="173">
        <f t="shared" si="766"/>
        <v>2.1699999999999997E-2</v>
      </c>
      <c r="BQ251" s="460">
        <f t="shared" si="700"/>
        <v>325.49999999999994</v>
      </c>
      <c r="BR251" s="528">
        <f t="shared" si="701"/>
        <v>1.142668084216529E-2</v>
      </c>
      <c r="BS251" s="528">
        <f t="shared" si="702"/>
        <v>1.7872667786809928E-2</v>
      </c>
      <c r="BT251" s="528">
        <f t="shared" si="703"/>
        <v>2.9868341554204342E-5</v>
      </c>
      <c r="BU251" s="528">
        <f t="shared" si="704"/>
        <v>0.8911529359604442</v>
      </c>
      <c r="BV251" s="528"/>
      <c r="BW251" s="625">
        <f t="shared" si="705"/>
        <v>0.36120000000000002</v>
      </c>
      <c r="BX251" s="460">
        <f t="shared" si="706"/>
        <v>1281.6821529309736</v>
      </c>
      <c r="BY251" s="173">
        <f t="shared" si="707"/>
        <v>3.2465462856749552</v>
      </c>
      <c r="BZ251" s="5">
        <f t="shared" si="708"/>
        <v>9.0299999999999976</v>
      </c>
      <c r="CA251" s="173">
        <f t="shared" si="709"/>
        <v>0.73554889053257344</v>
      </c>
      <c r="CB251" s="5">
        <f t="shared" si="710"/>
        <v>73.554889053257341</v>
      </c>
      <c r="CC251">
        <f t="shared" si="711"/>
        <v>35</v>
      </c>
      <c r="CE251" s="562">
        <f t="shared" si="767"/>
        <v>-50</v>
      </c>
      <c r="CG251" s="173">
        <f t="shared" si="768"/>
        <v>0.47901772895254396</v>
      </c>
      <c r="CH251" s="173">
        <f t="shared" si="769"/>
        <v>0.13100737080852287</v>
      </c>
      <c r="CI251" s="170">
        <v>35</v>
      </c>
      <c r="CJ251" s="217">
        <f t="shared" si="712"/>
        <v>0.35</v>
      </c>
      <c r="CK251" s="217">
        <f t="shared" si="654"/>
        <v>3.4999999999999996E-2</v>
      </c>
      <c r="CL251" s="217">
        <f t="shared" si="655"/>
        <v>8.3999999999999986</v>
      </c>
      <c r="CM251" s="217">
        <f t="shared" si="656"/>
        <v>0.62999999999999989</v>
      </c>
      <c r="CN251" s="541">
        <f t="shared" si="657"/>
        <v>36</v>
      </c>
      <c r="CO251" s="443">
        <f t="shared" si="770"/>
        <v>16.474900000000002</v>
      </c>
      <c r="CP251" s="443">
        <f t="shared" si="771"/>
        <v>52.474900000000005</v>
      </c>
      <c r="CQ251" s="443"/>
      <c r="CR251" s="217">
        <f t="shared" si="660"/>
        <v>0.31220924123305599</v>
      </c>
      <c r="CS251" s="172">
        <f t="shared" si="661"/>
        <v>58.085440229405762</v>
      </c>
      <c r="CT251" s="172">
        <f t="shared" si="662"/>
        <v>4.683138618495839</v>
      </c>
      <c r="CU251" s="217">
        <f t="shared" si="663"/>
        <v>2.4202266762252402</v>
      </c>
      <c r="CV251" s="217">
        <f t="shared" si="664"/>
        <v>3.2269689016336534</v>
      </c>
      <c r="CW251" s="217">
        <f t="shared" si="665"/>
        <v>24</v>
      </c>
      <c r="CX251" s="217">
        <f t="shared" si="666"/>
        <v>1.606828371528521</v>
      </c>
      <c r="CY251" s="217">
        <f t="shared" si="667"/>
        <v>0.44634121431347812</v>
      </c>
      <c r="CZ251" s="217">
        <f t="shared" si="668"/>
        <v>0.97531904383548385</v>
      </c>
      <c r="DA251" s="197">
        <f t="shared" si="669"/>
        <v>350</v>
      </c>
      <c r="DB251" s="443">
        <f t="shared" si="670"/>
        <v>350</v>
      </c>
      <c r="DD251" s="217">
        <f t="shared" si="671"/>
        <v>3.2292794133140656</v>
      </c>
      <c r="DE251" s="173">
        <f t="shared" si="672"/>
        <v>1.9601207978889497</v>
      </c>
      <c r="DF251" s="173">
        <f t="shared" si="673"/>
        <v>0.6872960992823488</v>
      </c>
      <c r="DG251" s="173"/>
      <c r="DH251" s="173">
        <f t="shared" si="674"/>
        <v>1.3488532386977903</v>
      </c>
      <c r="DI251" s="545">
        <f t="shared" si="675"/>
        <v>350.12249999999989</v>
      </c>
      <c r="DJ251" s="528">
        <f t="shared" si="676"/>
        <v>0.34987754285999911</v>
      </c>
      <c r="DL251" s="173">
        <f t="shared" si="677"/>
        <v>2.2715633383201093</v>
      </c>
      <c r="DM251" s="173">
        <f t="shared" si="678"/>
        <v>2.2715633383201093</v>
      </c>
      <c r="DN251" s="173">
        <f t="shared" si="679"/>
        <v>1.2365489748873235</v>
      </c>
      <c r="DP251" s="545">
        <f t="shared" si="680"/>
        <v>350</v>
      </c>
      <c r="DQ251" s="460">
        <f t="shared" si="681"/>
        <v>350</v>
      </c>
      <c r="DS251">
        <f t="shared" si="682"/>
        <v>350</v>
      </c>
      <c r="DT251">
        <f t="shared" si="683"/>
        <v>350</v>
      </c>
      <c r="DV251" s="5">
        <f t="shared" si="684"/>
        <v>2.8571428571428572</v>
      </c>
      <c r="DW251" s="5">
        <f t="shared" si="685"/>
        <v>0.63098981620003036</v>
      </c>
      <c r="DX251" s="5">
        <f t="shared" si="686"/>
        <v>2.226153040942827</v>
      </c>
      <c r="DY251" s="173">
        <f t="shared" si="687"/>
        <v>0.22084643567001061</v>
      </c>
      <c r="EA251" s="5">
        <f t="shared" si="713"/>
        <v>0.92019348195837758</v>
      </c>
      <c r="EB251" s="5">
        <f t="shared" si="714"/>
        <v>0.122692464261117</v>
      </c>
      <c r="EC251" s="5">
        <f t="shared" si="715"/>
        <v>0.43286309129443845</v>
      </c>
      <c r="ED251" s="5"/>
      <c r="EE251" s="173">
        <f t="shared" si="716"/>
        <v>0.61632448381710281</v>
      </c>
      <c r="EF251" s="173">
        <f t="shared" si="717"/>
        <v>0.7721498443564383</v>
      </c>
      <c r="EG251" s="173">
        <f t="shared" si="718"/>
        <v>7.7319329009205504E-2</v>
      </c>
      <c r="EH251" s="173"/>
      <c r="EI251" s="528">
        <f t="shared" si="719"/>
        <v>1.5194234774096729E-2</v>
      </c>
      <c r="EJ251" s="528">
        <f t="shared" si="720"/>
        <v>1.1473005680868842</v>
      </c>
      <c r="EK251" s="528">
        <f t="shared" si="721"/>
        <v>6.9999999999999993E-2</v>
      </c>
      <c r="EL251" s="528">
        <f t="shared" si="722"/>
        <v>0.16865892671311253</v>
      </c>
      <c r="EM251">
        <f t="shared" si="723"/>
        <v>1.6199999999999999E-2</v>
      </c>
      <c r="EN251" s="460">
        <f t="shared" si="724"/>
        <v>86.2</v>
      </c>
      <c r="EP251" s="460">
        <f t="shared" si="725"/>
        <v>1417.3537295740934</v>
      </c>
      <c r="EQ251" s="173">
        <f t="shared" si="726"/>
        <v>0.24499999999999997</v>
      </c>
      <c r="ER251" s="173">
        <f t="shared" si="772"/>
        <v>2.1699999999999997E-2</v>
      </c>
      <c r="ES251" s="528"/>
      <c r="EU251" s="460">
        <f t="shared" si="727"/>
        <v>266.69999999999993</v>
      </c>
      <c r="EV251" s="528">
        <f t="shared" si="728"/>
        <v>1.1395676080572546E-2</v>
      </c>
      <c r="EW251" s="528">
        <f t="shared" si="729"/>
        <v>1.7886461464190154E-2</v>
      </c>
      <c r="EX251" s="528">
        <f t="shared" si="730"/>
        <v>2.9891393192168839E-5</v>
      </c>
      <c r="EY251" s="528">
        <f t="shared" si="731"/>
        <v>0.8911529359604442</v>
      </c>
      <c r="EZ251" s="528"/>
      <c r="FA251" s="625">
        <f t="shared" si="732"/>
        <v>0.36120000000000002</v>
      </c>
      <c r="FB251" s="460">
        <f t="shared" si="733"/>
        <v>1281.6649648983991</v>
      </c>
      <c r="FC251" s="173">
        <f t="shared" si="734"/>
        <v>2.9657186944724927</v>
      </c>
      <c r="FD251" s="5">
        <f t="shared" si="735"/>
        <v>9.0299999999999976</v>
      </c>
      <c r="FE251" s="173">
        <f t="shared" si="736"/>
        <v>0.75276856935307535</v>
      </c>
      <c r="FF251" s="5">
        <f t="shared" si="737"/>
        <v>75.276856935307535</v>
      </c>
      <c r="FG251">
        <f t="shared" si="738"/>
        <v>35</v>
      </c>
      <c r="FI251" s="562">
        <f t="shared" si="689"/>
        <v>-50</v>
      </c>
    </row>
    <row r="252" spans="5:165">
      <c r="E252" s="170">
        <v>36</v>
      </c>
      <c r="F252" s="217">
        <f t="shared" si="773"/>
        <v>0.36</v>
      </c>
      <c r="G252" s="217">
        <f t="shared" si="742"/>
        <v>3.5999999999999997E-2</v>
      </c>
      <c r="H252" s="217">
        <f t="shared" si="743"/>
        <v>8.64</v>
      </c>
      <c r="I252" s="217">
        <f t="shared" si="744"/>
        <v>0.64799999999999991</v>
      </c>
      <c r="J252" s="541">
        <f t="shared" si="745"/>
        <v>35.900933224399949</v>
      </c>
      <c r="K252" s="443">
        <f t="shared" si="746"/>
        <v>16.48972793842124</v>
      </c>
      <c r="L252" s="172">
        <f t="shared" si="747"/>
        <v>52.390661162821189</v>
      </c>
      <c r="M252" s="443"/>
      <c r="N252" s="217">
        <f t="shared" si="748"/>
        <v>0.31474555908302043</v>
      </c>
      <c r="O252" s="172">
        <f t="shared" si="749"/>
        <v>58.396172089488097</v>
      </c>
      <c r="P252" s="172">
        <f t="shared" si="750"/>
        <v>4.7081913747149775</v>
      </c>
      <c r="Q252" s="217">
        <f t="shared" si="626"/>
        <v>2.4331738370620042</v>
      </c>
      <c r="R252" s="217">
        <f t="shared" si="751"/>
        <v>3.2442317827493388</v>
      </c>
      <c r="S252" s="217">
        <f t="shared" si="752"/>
        <v>24</v>
      </c>
      <c r="T252" s="217">
        <f t="shared" si="753"/>
        <v>1.643943371029297</v>
      </c>
      <c r="U252" s="217">
        <f t="shared" si="630"/>
        <v>0.45791104112914716</v>
      </c>
      <c r="V252" s="217">
        <f t="shared" si="631"/>
        <v>0.99694996616584053</v>
      </c>
      <c r="W252" s="197">
        <f t="shared" si="632"/>
        <v>350</v>
      </c>
      <c r="X252" s="443">
        <f t="shared" si="691"/>
        <v>350</v>
      </c>
      <c r="Z252" s="217">
        <f t="shared" si="633"/>
        <v>3.2284740855188407</v>
      </c>
      <c r="AA252" s="173">
        <f t="shared" si="634"/>
        <v>1.95786983119137</v>
      </c>
      <c r="AB252" s="173">
        <f t="shared" si="754"/>
        <v>0.68633561785718245</v>
      </c>
      <c r="AC252" s="173"/>
      <c r="AD252" s="173">
        <f t="shared" si="636"/>
        <v>1.3476403191858743</v>
      </c>
      <c r="AE252" s="545">
        <f t="shared" si="755"/>
        <v>360.45012495079692</v>
      </c>
      <c r="AF252" s="528">
        <f t="shared" si="756"/>
        <v>0.34956292501549152</v>
      </c>
      <c r="AH252" s="173">
        <f t="shared" si="757"/>
        <v>2.3037857043198637</v>
      </c>
      <c r="AI252" s="173">
        <f t="shared" si="758"/>
        <v>2.3037857043198637</v>
      </c>
      <c r="AJ252" s="173">
        <f t="shared" si="759"/>
        <v>1.260417394146401</v>
      </c>
      <c r="AL252" s="545">
        <f t="shared" si="760"/>
        <v>360</v>
      </c>
      <c r="AM252" s="460">
        <f t="shared" si="761"/>
        <v>350</v>
      </c>
      <c r="AO252">
        <f t="shared" si="644"/>
        <v>360</v>
      </c>
      <c r="AP252">
        <f t="shared" si="645"/>
        <v>350</v>
      </c>
      <c r="AR252" s="5">
        <f t="shared" si="616"/>
        <v>2.8571428571428572</v>
      </c>
      <c r="AS252" s="5">
        <f t="shared" si="739"/>
        <v>0.64170635618856386</v>
      </c>
      <c r="AT252" s="5">
        <f t="shared" si="740"/>
        <v>2.2154365009542936</v>
      </c>
      <c r="AU252" s="173">
        <f t="shared" si="741"/>
        <v>0.22459722466599735</v>
      </c>
      <c r="BA252" s="173">
        <f t="shared" si="692"/>
        <v>0.6303527391484538</v>
      </c>
      <c r="BB252" s="173">
        <f t="shared" si="693"/>
        <v>0.78121569723714301</v>
      </c>
      <c r="BC252" s="173">
        <f t="shared" si="694"/>
        <v>7.8227139412530108E-2</v>
      </c>
      <c r="BD252" s="173"/>
      <c r="BE252" s="528">
        <f t="shared" si="695"/>
        <v>1.5893783030078344E-2</v>
      </c>
      <c r="BF252" s="528">
        <f t="shared" si="762"/>
        <v>0.95048774278584025</v>
      </c>
      <c r="BG252" s="528">
        <f t="shared" si="763"/>
        <v>0.50261306514159931</v>
      </c>
      <c r="BH252" s="528">
        <f t="shared" si="696"/>
        <v>0.16811785934599935</v>
      </c>
      <c r="BI252">
        <f t="shared" si="697"/>
        <v>1.6155419950979976E-2</v>
      </c>
      <c r="BJ252" s="460">
        <f t="shared" si="698"/>
        <v>518.76848509257934</v>
      </c>
      <c r="BK252">
        <f t="shared" si="764"/>
        <v>1.1431074952563345</v>
      </c>
      <c r="BL252" s="460">
        <f t="shared" si="699"/>
        <v>1653.2678702544972</v>
      </c>
      <c r="BM252" s="173">
        <f t="shared" si="765"/>
        <v>0.31247999999999998</v>
      </c>
      <c r="BN252" s="173">
        <f t="shared" si="766"/>
        <v>2.232E-2</v>
      </c>
      <c r="BQ252" s="460">
        <f t="shared" si="700"/>
        <v>334.8</v>
      </c>
      <c r="BR252" s="528">
        <f t="shared" si="701"/>
        <v>1.1920337272558758E-2</v>
      </c>
      <c r="BS252" s="528">
        <f t="shared" si="702"/>
        <v>1.8308938968291465E-2</v>
      </c>
      <c r="BT252" s="528">
        <f t="shared" si="703"/>
        <v>3.0597426703337105E-5</v>
      </c>
      <c r="BU252" s="528">
        <f t="shared" si="704"/>
        <v>0.92309269207849998</v>
      </c>
      <c r="BV252" s="528"/>
      <c r="BW252" s="625">
        <f t="shared" si="705"/>
        <v>0.37152000000000002</v>
      </c>
      <c r="BX252" s="460">
        <f t="shared" si="706"/>
        <v>1324.8725657460536</v>
      </c>
      <c r="BY252" s="173">
        <f t="shared" si="707"/>
        <v>3.3129404360005505</v>
      </c>
      <c r="BZ252" s="5">
        <f t="shared" si="708"/>
        <v>9.2880000000000003</v>
      </c>
      <c r="CA252" s="173">
        <f t="shared" si="709"/>
        <v>0.73708784254423043</v>
      </c>
      <c r="CB252" s="5">
        <f t="shared" si="710"/>
        <v>73.708784254423037</v>
      </c>
      <c r="CC252">
        <f t="shared" si="711"/>
        <v>36</v>
      </c>
      <c r="CE252" s="562">
        <f t="shared" si="767"/>
        <v>-50</v>
      </c>
      <c r="CG252" s="173">
        <f t="shared" si="768"/>
        <v>0.48581264605756069</v>
      </c>
      <c r="CH252" s="173">
        <f t="shared" si="769"/>
        <v>0.13286572420754347</v>
      </c>
      <c r="CI252" s="170">
        <v>36</v>
      </c>
      <c r="CJ252" s="217">
        <f t="shared" si="712"/>
        <v>0.36</v>
      </c>
      <c r="CK252" s="217">
        <f t="shared" si="654"/>
        <v>3.5999999999999997E-2</v>
      </c>
      <c r="CL252" s="217">
        <f t="shared" si="655"/>
        <v>8.64</v>
      </c>
      <c r="CM252" s="217">
        <f t="shared" si="656"/>
        <v>0.64799999999999991</v>
      </c>
      <c r="CN252" s="541">
        <f t="shared" si="657"/>
        <v>36</v>
      </c>
      <c r="CO252" s="443">
        <f t="shared" si="770"/>
        <v>16.474900000000002</v>
      </c>
      <c r="CP252" s="443">
        <f t="shared" si="771"/>
        <v>52.474900000000005</v>
      </c>
      <c r="CQ252" s="443"/>
      <c r="CR252" s="217">
        <f t="shared" si="660"/>
        <v>0.31220924123305599</v>
      </c>
      <c r="CS252" s="172">
        <f t="shared" si="661"/>
        <v>58.085440229405762</v>
      </c>
      <c r="CT252" s="172">
        <f t="shared" si="662"/>
        <v>4.683138618495839</v>
      </c>
      <c r="CU252" s="217">
        <f t="shared" si="663"/>
        <v>2.4202266762252402</v>
      </c>
      <c r="CV252" s="217">
        <f t="shared" si="664"/>
        <v>3.2269689016336534</v>
      </c>
      <c r="CW252" s="217">
        <f t="shared" si="665"/>
        <v>24</v>
      </c>
      <c r="CX252" s="217">
        <f t="shared" si="666"/>
        <v>1.6527377535721937</v>
      </c>
      <c r="CY252" s="217">
        <f t="shared" si="667"/>
        <v>0.45909382043672053</v>
      </c>
      <c r="CZ252" s="217">
        <f t="shared" si="668"/>
        <v>1.0031853022307837</v>
      </c>
      <c r="DA252" s="197">
        <f t="shared" si="669"/>
        <v>350</v>
      </c>
      <c r="DB252" s="443">
        <f t="shared" si="670"/>
        <v>350</v>
      </c>
      <c r="DD252" s="217">
        <f t="shared" si="671"/>
        <v>3.2292794133140656</v>
      </c>
      <c r="DE252" s="173">
        <f t="shared" si="672"/>
        <v>1.9601207978889497</v>
      </c>
      <c r="DF252" s="173">
        <f t="shared" si="673"/>
        <v>0.6872960992823488</v>
      </c>
      <c r="DG252" s="173"/>
      <c r="DH252" s="173">
        <f t="shared" si="674"/>
        <v>1.3488532386977903</v>
      </c>
      <c r="DI252" s="545">
        <f t="shared" si="675"/>
        <v>360.12599999999992</v>
      </c>
      <c r="DJ252" s="528">
        <f t="shared" si="676"/>
        <v>0.34987754285999911</v>
      </c>
      <c r="DL252" s="173">
        <f t="shared" si="677"/>
        <v>2.3037857043198637</v>
      </c>
      <c r="DM252" s="173">
        <f t="shared" si="678"/>
        <v>2.3037857043198637</v>
      </c>
      <c r="DN252" s="173">
        <f t="shared" si="679"/>
        <v>1.260417394146401</v>
      </c>
      <c r="DP252" s="545">
        <f t="shared" si="680"/>
        <v>360</v>
      </c>
      <c r="DQ252" s="460">
        <f t="shared" si="681"/>
        <v>350</v>
      </c>
      <c r="DS252">
        <f t="shared" si="682"/>
        <v>360</v>
      </c>
      <c r="DT252">
        <f t="shared" si="683"/>
        <v>350</v>
      </c>
      <c r="DV252" s="5">
        <f t="shared" si="684"/>
        <v>2.8571428571428572</v>
      </c>
      <c r="DW252" s="5">
        <f t="shared" si="685"/>
        <v>0.63994047342218452</v>
      </c>
      <c r="DX252" s="5">
        <f t="shared" si="686"/>
        <v>2.2172023837206725</v>
      </c>
      <c r="DY252" s="173">
        <f t="shared" si="687"/>
        <v>0.22397916569776458</v>
      </c>
      <c r="EA252" s="5">
        <f t="shared" si="713"/>
        <v>0.95991071013327678</v>
      </c>
      <c r="EB252" s="5">
        <f t="shared" si="714"/>
        <v>0.12798809468443689</v>
      </c>
      <c r="EC252" s="5">
        <f t="shared" si="715"/>
        <v>0.44344047674413439</v>
      </c>
      <c r="ED252" s="5"/>
      <c r="EE252" s="173">
        <f t="shared" si="716"/>
        <v>0.62948482201163247</v>
      </c>
      <c r="EF252" s="173">
        <f t="shared" si="717"/>
        <v>0.78152698138928833</v>
      </c>
      <c r="EG252" s="173">
        <f t="shared" si="718"/>
        <v>7.8258309893170619E-2</v>
      </c>
      <c r="EH252" s="173"/>
      <c r="EI252" s="528">
        <f t="shared" si="719"/>
        <v>1.5850045645720665E-2</v>
      </c>
      <c r="EJ252" s="528">
        <f t="shared" si="720"/>
        <v>1.1635751478852887</v>
      </c>
      <c r="EK252" s="528">
        <f t="shared" si="721"/>
        <v>6.9999999999999993E-2</v>
      </c>
      <c r="EL252" s="528">
        <f t="shared" si="722"/>
        <v>0.16865892671311253</v>
      </c>
      <c r="EM252">
        <f t="shared" si="723"/>
        <v>1.6199999999999999E-2</v>
      </c>
      <c r="EN252" s="460">
        <f t="shared" si="724"/>
        <v>86.2</v>
      </c>
      <c r="EP252" s="460">
        <f t="shared" si="725"/>
        <v>1434.2841202441218</v>
      </c>
      <c r="EQ252" s="173">
        <f t="shared" si="726"/>
        <v>0.252</v>
      </c>
      <c r="ER252" s="173">
        <f t="shared" si="772"/>
        <v>2.232E-2</v>
      </c>
      <c r="ES252" s="528"/>
      <c r="EU252" s="460">
        <f t="shared" si="727"/>
        <v>274.32</v>
      </c>
      <c r="EV252" s="528">
        <f t="shared" si="728"/>
        <v>1.1887534234290498E-2</v>
      </c>
      <c r="EW252" s="528">
        <f t="shared" si="729"/>
        <v>1.8323532679183588E-2</v>
      </c>
      <c r="EX252" s="528">
        <f t="shared" si="730"/>
        <v>3.0621815336677632E-5</v>
      </c>
      <c r="EY252" s="528">
        <f t="shared" si="731"/>
        <v>0.92309269207849998</v>
      </c>
      <c r="EZ252" s="528"/>
      <c r="FA252" s="625">
        <f t="shared" si="732"/>
        <v>0.37152000000000002</v>
      </c>
      <c r="FB252" s="460">
        <f t="shared" si="733"/>
        <v>1324.8543808073107</v>
      </c>
      <c r="FC252" s="173">
        <f t="shared" si="734"/>
        <v>3.0334585010514323</v>
      </c>
      <c r="FD252" s="5">
        <f t="shared" si="735"/>
        <v>9.2880000000000003</v>
      </c>
      <c r="FE252" s="173">
        <f t="shared" si="736"/>
        <v>0.75380686460189938</v>
      </c>
      <c r="FF252" s="5">
        <f t="shared" si="737"/>
        <v>75.380686460189935</v>
      </c>
      <c r="FG252">
        <f t="shared" si="738"/>
        <v>36</v>
      </c>
      <c r="FI252" s="562">
        <f t="shared" si="689"/>
        <v>-50</v>
      </c>
    </row>
    <row r="253" spans="5:165">
      <c r="E253" s="170">
        <v>37</v>
      </c>
      <c r="F253" s="217">
        <f t="shared" si="773"/>
        <v>0.37</v>
      </c>
      <c r="G253" s="217">
        <f t="shared" si="742"/>
        <v>3.6999999999999998E-2</v>
      </c>
      <c r="H253" s="217">
        <f t="shared" si="743"/>
        <v>8.879999999999999</v>
      </c>
      <c r="I253" s="217">
        <f t="shared" si="744"/>
        <v>0.66599999999999993</v>
      </c>
      <c r="J253" s="541">
        <f t="shared" si="745"/>
        <v>35.899566721563758</v>
      </c>
      <c r="K253" s="443">
        <f t="shared" si="746"/>
        <v>16.489932471371713</v>
      </c>
      <c r="L253" s="172">
        <f t="shared" si="747"/>
        <v>52.389499192935475</v>
      </c>
      <c r="M253" s="443"/>
      <c r="N253" s="217">
        <f t="shared" si="748"/>
        <v>0.3147564440470032</v>
      </c>
      <c r="O253" s="172">
        <f t="shared" si="749"/>
        <v>58.395968806757324</v>
      </c>
      <c r="P253" s="172">
        <f t="shared" si="750"/>
        <v>4.7081749850448089</v>
      </c>
      <c r="Q253" s="217">
        <f t="shared" si="626"/>
        <v>2.4331653669482218</v>
      </c>
      <c r="R253" s="217">
        <f t="shared" si="751"/>
        <v>3.2442204892642956</v>
      </c>
      <c r="S253" s="217">
        <f t="shared" si="752"/>
        <v>24</v>
      </c>
      <c r="T253" s="217">
        <f t="shared" si="753"/>
        <v>1.68961434638018</v>
      </c>
      <c r="U253" s="217">
        <f t="shared" si="630"/>
        <v>0.47065034502638747</v>
      </c>
      <c r="V253" s="217">
        <f t="shared" si="631"/>
        <v>1.0246338784670777</v>
      </c>
      <c r="W253" s="197">
        <f t="shared" si="632"/>
        <v>350</v>
      </c>
      <c r="X253" s="443">
        <f t="shared" si="691"/>
        <v>350</v>
      </c>
      <c r="Z253" s="217">
        <f t="shared" si="633"/>
        <v>3.2284628468878687</v>
      </c>
      <c r="AA253" s="173">
        <f t="shared" si="634"/>
        <v>1.9578387312942767</v>
      </c>
      <c r="AB253" s="173">
        <f t="shared" si="754"/>
        <v>0.68632232655637537</v>
      </c>
      <c r="AC253" s="173"/>
      <c r="AD253" s="173">
        <f t="shared" si="636"/>
        <v>1.3476236037232039</v>
      </c>
      <c r="AE253" s="545">
        <f t="shared" si="755"/>
        <v>370.46722351350081</v>
      </c>
      <c r="AF253" s="528">
        <f t="shared" si="756"/>
        <v>0.34955858921020222</v>
      </c>
      <c r="AH253" s="173">
        <f t="shared" si="757"/>
        <v>2.3355635600122602</v>
      </c>
      <c r="AI253" s="173">
        <f t="shared" si="758"/>
        <v>2.3355635600122602</v>
      </c>
      <c r="AJ253" s="173">
        <f t="shared" si="759"/>
        <v>1.2839565465111391</v>
      </c>
      <c r="AL253" s="545">
        <f t="shared" si="760"/>
        <v>370</v>
      </c>
      <c r="AM253" s="460">
        <f t="shared" si="761"/>
        <v>350</v>
      </c>
      <c r="AO253">
        <f t="shared" si="644"/>
        <v>370</v>
      </c>
      <c r="AP253">
        <f t="shared" si="645"/>
        <v>350</v>
      </c>
      <c r="AR253" s="5">
        <f t="shared" si="616"/>
        <v>2.8571428571428572</v>
      </c>
      <c r="AS253" s="5">
        <f t="shared" si="739"/>
        <v>0.65058265970919349</v>
      </c>
      <c r="AT253" s="5">
        <f t="shared" si="740"/>
        <v>2.2065601974336637</v>
      </c>
      <c r="AU253" s="173">
        <f t="shared" si="741"/>
        <v>0.22770393089821772</v>
      </c>
      <c r="BA253" s="173">
        <f t="shared" si="692"/>
        <v>0.64345225513547677</v>
      </c>
      <c r="BB253" s="173">
        <f t="shared" si="693"/>
        <v>0.79040341756463062</v>
      </c>
      <c r="BC253" s="173">
        <f t="shared" si="694"/>
        <v>7.9147153029106923E-2</v>
      </c>
      <c r="BD253" s="173"/>
      <c r="BE253" s="528">
        <f t="shared" si="695"/>
        <v>1.6561232185557228E-2</v>
      </c>
      <c r="BF253" s="528">
        <f t="shared" si="762"/>
        <v>0.96357716628320544</v>
      </c>
      <c r="BG253" s="528">
        <f t="shared" si="763"/>
        <v>0.50259393410189257</v>
      </c>
      <c r="BH253" s="528">
        <f t="shared" si="696"/>
        <v>0.16811040207330344</v>
      </c>
      <c r="BI253">
        <f t="shared" si="697"/>
        <v>1.6154805024703692E-2</v>
      </c>
      <c r="BJ253" s="460">
        <f t="shared" si="698"/>
        <v>518.74873912659621</v>
      </c>
      <c r="BK253">
        <f t="shared" si="764"/>
        <v>1.157274147713125</v>
      </c>
      <c r="BL253" s="460">
        <f t="shared" si="699"/>
        <v>1666.9975396686627</v>
      </c>
      <c r="BM253" s="173">
        <f t="shared" si="765"/>
        <v>0.32116</v>
      </c>
      <c r="BN253" s="173">
        <f t="shared" si="766"/>
        <v>2.2939999999999999E-2</v>
      </c>
      <c r="BQ253" s="460">
        <f t="shared" si="700"/>
        <v>344.1</v>
      </c>
      <c r="BR253" s="528">
        <f t="shared" si="701"/>
        <v>1.2420924139167922E-2</v>
      </c>
      <c r="BS253" s="528">
        <f t="shared" si="702"/>
        <v>1.8742126874935434E-2</v>
      </c>
      <c r="BT253" s="528">
        <f t="shared" si="703"/>
        <v>3.1321359163064348E-5</v>
      </c>
      <c r="BU253" s="528">
        <f t="shared" si="704"/>
        <v>0.95525504913610604</v>
      </c>
      <c r="BV253" s="528"/>
      <c r="BW253" s="625">
        <f t="shared" si="705"/>
        <v>0.38184000000000007</v>
      </c>
      <c r="BX253" s="460">
        <f t="shared" si="706"/>
        <v>1368.2894215093727</v>
      </c>
      <c r="BY253" s="173">
        <f t="shared" si="707"/>
        <v>3.3793869611780356</v>
      </c>
      <c r="BZ253" s="5">
        <f t="shared" si="708"/>
        <v>9.5459999999999994</v>
      </c>
      <c r="CA253" s="173">
        <f t="shared" si="709"/>
        <v>0.73854655405457714</v>
      </c>
      <c r="CB253" s="5">
        <f t="shared" si="710"/>
        <v>73.85465540545772</v>
      </c>
      <c r="CC253">
        <f t="shared" si="711"/>
        <v>37</v>
      </c>
      <c r="CE253" s="562">
        <f t="shared" si="767"/>
        <v>-50</v>
      </c>
      <c r="CG253" s="173">
        <f t="shared" si="768"/>
        <v>0.49251382669732685</v>
      </c>
      <c r="CH253" s="173">
        <f t="shared" si="769"/>
        <v>0.13469844146176377</v>
      </c>
      <c r="CI253" s="170">
        <v>37</v>
      </c>
      <c r="CJ253" s="217">
        <f t="shared" si="712"/>
        <v>0.37</v>
      </c>
      <c r="CK253" s="217">
        <f t="shared" si="654"/>
        <v>3.6999999999999998E-2</v>
      </c>
      <c r="CL253" s="217">
        <f t="shared" si="655"/>
        <v>8.879999999999999</v>
      </c>
      <c r="CM253" s="217">
        <f t="shared" si="656"/>
        <v>0.66599999999999993</v>
      </c>
      <c r="CN253" s="541">
        <f t="shared" si="657"/>
        <v>36</v>
      </c>
      <c r="CO253" s="443">
        <f t="shared" si="770"/>
        <v>16.474900000000002</v>
      </c>
      <c r="CP253" s="443">
        <f t="shared" si="771"/>
        <v>52.474900000000005</v>
      </c>
      <c r="CQ253" s="443"/>
      <c r="CR253" s="217">
        <f t="shared" si="660"/>
        <v>0.31220924123305599</v>
      </c>
      <c r="CS253" s="172">
        <f t="shared" si="661"/>
        <v>58.085440229405762</v>
      </c>
      <c r="CT253" s="172">
        <f t="shared" si="662"/>
        <v>4.683138618495839</v>
      </c>
      <c r="CU253" s="217">
        <f t="shared" si="663"/>
        <v>2.4202266762252402</v>
      </c>
      <c r="CV253" s="217">
        <f t="shared" si="664"/>
        <v>3.2269689016336534</v>
      </c>
      <c r="CW253" s="217">
        <f t="shared" si="665"/>
        <v>24</v>
      </c>
      <c r="CX253" s="217">
        <f t="shared" si="666"/>
        <v>1.6986471356158654</v>
      </c>
      <c r="CY253" s="217">
        <f t="shared" si="667"/>
        <v>0.47184642655996267</v>
      </c>
      <c r="CZ253" s="217">
        <f t="shared" si="668"/>
        <v>1.0310515606260828</v>
      </c>
      <c r="DA253" s="197">
        <f t="shared" si="669"/>
        <v>350</v>
      </c>
      <c r="DB253" s="443">
        <f t="shared" si="670"/>
        <v>350</v>
      </c>
      <c r="DD253" s="217">
        <f t="shared" si="671"/>
        <v>3.2292794133140656</v>
      </c>
      <c r="DE253" s="173">
        <f t="shared" si="672"/>
        <v>1.9601207978889497</v>
      </c>
      <c r="DF253" s="173">
        <f t="shared" si="673"/>
        <v>0.6872960992823488</v>
      </c>
      <c r="DG253" s="173"/>
      <c r="DH253" s="173">
        <f t="shared" si="674"/>
        <v>1.3488532386977903</v>
      </c>
      <c r="DI253" s="545">
        <f t="shared" si="675"/>
        <v>370.12949999999984</v>
      </c>
      <c r="DJ253" s="528">
        <f t="shared" si="676"/>
        <v>0.34987754285999911</v>
      </c>
      <c r="DL253" s="173">
        <f t="shared" si="677"/>
        <v>2.3355635600122602</v>
      </c>
      <c r="DM253" s="173">
        <f t="shared" si="678"/>
        <v>2.3355635600122602</v>
      </c>
      <c r="DN253" s="173">
        <f t="shared" si="679"/>
        <v>1.2839565465111391</v>
      </c>
      <c r="DP253" s="545">
        <f t="shared" si="680"/>
        <v>370</v>
      </c>
      <c r="DQ253" s="460">
        <f t="shared" si="681"/>
        <v>350</v>
      </c>
      <c r="DS253">
        <f t="shared" si="682"/>
        <v>370</v>
      </c>
      <c r="DT253">
        <f t="shared" si="683"/>
        <v>350</v>
      </c>
      <c r="DV253" s="5">
        <f t="shared" si="684"/>
        <v>2.8571428571428572</v>
      </c>
      <c r="DW253" s="5">
        <f t="shared" si="685"/>
        <v>0.64876765555896121</v>
      </c>
      <c r="DX253" s="5">
        <f t="shared" si="686"/>
        <v>2.208375201583896</v>
      </c>
      <c r="DY253" s="173">
        <f t="shared" si="687"/>
        <v>0.22706867944563641</v>
      </c>
      <c r="EA253" s="5">
        <f t="shared" si="713"/>
        <v>1.0001834689867317</v>
      </c>
      <c r="EB253" s="5">
        <f t="shared" si="714"/>
        <v>0.13335779586489757</v>
      </c>
      <c r="EC253" s="5">
        <f t="shared" si="715"/>
        <v>0.45394379143668961</v>
      </c>
      <c r="ED253" s="5"/>
      <c r="EE253" s="173">
        <f t="shared" si="716"/>
        <v>0.64255407243104667</v>
      </c>
      <c r="EF253" s="173">
        <f t="shared" si="717"/>
        <v>0.79072842356308803</v>
      </c>
      <c r="EG253" s="173">
        <f t="shared" si="718"/>
        <v>7.9179697548682176E-2</v>
      </c>
      <c r="EH253" s="173"/>
      <c r="EI253" s="528">
        <f t="shared" si="719"/>
        <v>1.6515029439908912E-2</v>
      </c>
      <c r="EJ253" s="528">
        <f t="shared" si="720"/>
        <v>1.1796252184571407</v>
      </c>
      <c r="EK253" s="528">
        <f t="shared" si="721"/>
        <v>6.9999999999999993E-2</v>
      </c>
      <c r="EL253" s="528">
        <f t="shared" si="722"/>
        <v>0.16865892671311253</v>
      </c>
      <c r="EM253">
        <f t="shared" si="723"/>
        <v>1.6199999999999999E-2</v>
      </c>
      <c r="EN253" s="460">
        <f t="shared" si="724"/>
        <v>86.2</v>
      </c>
      <c r="EP253" s="460">
        <f t="shared" si="725"/>
        <v>1450.9991746101623</v>
      </c>
      <c r="EQ253" s="173">
        <f t="shared" si="726"/>
        <v>0.25900000000000001</v>
      </c>
      <c r="ER253" s="173">
        <f t="shared" si="772"/>
        <v>2.2939999999999999E-2</v>
      </c>
      <c r="ES253" s="528"/>
      <c r="EU253" s="460">
        <f t="shared" si="727"/>
        <v>281.94</v>
      </c>
      <c r="EV253" s="528">
        <f t="shared" si="728"/>
        <v>1.2386272079931683E-2</v>
      </c>
      <c r="EW253" s="528">
        <f t="shared" si="729"/>
        <v>1.8757543194916987E-2</v>
      </c>
      <c r="EX253" s="528">
        <f t="shared" si="730"/>
        <v>3.1347122519503931E-5</v>
      </c>
      <c r="EY253" s="528">
        <f t="shared" si="731"/>
        <v>0.95525504913610604</v>
      </c>
      <c r="EZ253" s="528"/>
      <c r="FA253" s="625">
        <f t="shared" si="732"/>
        <v>0.38184000000000007</v>
      </c>
      <c r="FB253" s="460">
        <f t="shared" si="733"/>
        <v>1368.2702115334741</v>
      </c>
      <c r="FC253" s="173">
        <f t="shared" si="734"/>
        <v>3.1012093861436365</v>
      </c>
      <c r="FD253" s="5">
        <f t="shared" si="735"/>
        <v>9.5459999999999994</v>
      </c>
      <c r="FE253" s="173">
        <f t="shared" si="736"/>
        <v>0.75479101425004147</v>
      </c>
      <c r="FF253" s="5">
        <f t="shared" si="737"/>
        <v>75.479101425004146</v>
      </c>
      <c r="FG253">
        <f t="shared" si="738"/>
        <v>37</v>
      </c>
      <c r="FI253" s="562">
        <f t="shared" si="689"/>
        <v>-50</v>
      </c>
    </row>
    <row r="254" spans="5:165">
      <c r="E254" s="170">
        <v>38</v>
      </c>
      <c r="F254" s="217">
        <f t="shared" si="773"/>
        <v>0.38</v>
      </c>
      <c r="G254" s="217">
        <f t="shared" si="742"/>
        <v>3.8000000000000006E-2</v>
      </c>
      <c r="H254" s="217">
        <f t="shared" si="743"/>
        <v>9.120000000000001</v>
      </c>
      <c r="I254" s="217">
        <f t="shared" si="744"/>
        <v>0.68400000000000016</v>
      </c>
      <c r="J254" s="541">
        <f t="shared" si="745"/>
        <v>35.898218563543672</v>
      </c>
      <c r="K254" s="443">
        <f t="shared" si="746"/>
        <v>16.49013425853984</v>
      </c>
      <c r="L254" s="172">
        <f t="shared" si="747"/>
        <v>52.388352822083512</v>
      </c>
      <c r="M254" s="443"/>
      <c r="N254" s="217">
        <f t="shared" si="748"/>
        <v>0.3147671833573793</v>
      </c>
      <c r="O254" s="172">
        <f t="shared" si="749"/>
        <v>58.395768190151045</v>
      </c>
      <c r="P254" s="172">
        <f t="shared" si="750"/>
        <v>4.7081588103309278</v>
      </c>
      <c r="Q254" s="217">
        <f t="shared" si="626"/>
        <v>2.4331570079229601</v>
      </c>
      <c r="R254" s="217">
        <f t="shared" si="751"/>
        <v>3.2442093438972801</v>
      </c>
      <c r="S254" s="217">
        <f t="shared" si="752"/>
        <v>24</v>
      </c>
      <c r="T254" s="217">
        <f t="shared" si="753"/>
        <v>1.7352855604770363</v>
      </c>
      <c r="U254" s="217">
        <f t="shared" si="630"/>
        <v>0.48339043827631617</v>
      </c>
      <c r="V254" s="217">
        <f t="shared" si="631"/>
        <v>1.0523174240248372</v>
      </c>
      <c r="W254" s="197">
        <f t="shared" si="632"/>
        <v>350</v>
      </c>
      <c r="X254" s="443">
        <f t="shared" si="691"/>
        <v>350</v>
      </c>
      <c r="Z254" s="217">
        <f t="shared" si="633"/>
        <v>3.2284517556554935</v>
      </c>
      <c r="AA254" s="173">
        <f t="shared" si="634"/>
        <v>1.957808047550345</v>
      </c>
      <c r="AB254" s="173">
        <f t="shared" si="754"/>
        <v>0.68630921254808974</v>
      </c>
      <c r="AC254" s="173"/>
      <c r="AD254" s="173">
        <f t="shared" si="636"/>
        <v>1.347607113066037</v>
      </c>
      <c r="AE254" s="545">
        <f t="shared" si="755"/>
        <v>380.48450710483962</v>
      </c>
      <c r="AF254" s="528">
        <f t="shared" si="756"/>
        <v>0.34955431171696266</v>
      </c>
      <c r="AH254" s="173">
        <f t="shared" si="757"/>
        <v>2.3669148092581858</v>
      </c>
      <c r="AI254" s="173">
        <f t="shared" si="758"/>
        <v>2.3669148092581858</v>
      </c>
      <c r="AJ254" s="173">
        <f t="shared" si="759"/>
        <v>1.3071796941007137</v>
      </c>
      <c r="AL254" s="545">
        <f t="shared" si="760"/>
        <v>380</v>
      </c>
      <c r="AM254" s="460">
        <f t="shared" si="761"/>
        <v>350</v>
      </c>
      <c r="AO254">
        <f t="shared" si="644"/>
        <v>380</v>
      </c>
      <c r="AP254">
        <f t="shared" si="645"/>
        <v>350</v>
      </c>
      <c r="AR254" s="5">
        <f t="shared" si="616"/>
        <v>2.8571428571428572</v>
      </c>
      <c r="AS254" s="5">
        <f t="shared" si="739"/>
        <v>0.65934046422623849</v>
      </c>
      <c r="AT254" s="5">
        <f t="shared" si="740"/>
        <v>2.1978023929166186</v>
      </c>
      <c r="AU254" s="173">
        <f t="shared" si="741"/>
        <v>0.23076916247918347</v>
      </c>
      <c r="BA254" s="173">
        <f t="shared" si="692"/>
        <v>0.65646395744036812</v>
      </c>
      <c r="BB254" s="173">
        <f t="shared" si="693"/>
        <v>0.79942214874251472</v>
      </c>
      <c r="BC254" s="173">
        <f t="shared" si="694"/>
        <v>8.0050244894351807E-2</v>
      </c>
      <c r="BD254" s="173"/>
      <c r="BE254" s="528">
        <f t="shared" si="695"/>
        <v>1.7237797096730779E-2</v>
      </c>
      <c r="BF254" s="528">
        <f t="shared" si="762"/>
        <v>0.97649029900195472</v>
      </c>
      <c r="BG254" s="528">
        <f t="shared" si="763"/>
        <v>0.50257505988961138</v>
      </c>
      <c r="BH254" s="528">
        <f t="shared" si="696"/>
        <v>0.16810304507393023</v>
      </c>
      <c r="BI254">
        <f t="shared" si="697"/>
        <v>1.6154198353594652E-2</v>
      </c>
      <c r="BJ254" s="460">
        <f t="shared" si="698"/>
        <v>518.729258243206</v>
      </c>
      <c r="BK254">
        <f t="shared" si="764"/>
        <v>1.1712825690982602</v>
      </c>
      <c r="BL254" s="460">
        <f t="shared" si="699"/>
        <v>1680.5603994158218</v>
      </c>
      <c r="BM254" s="173">
        <f t="shared" si="765"/>
        <v>0.32983999999999997</v>
      </c>
      <c r="BN254" s="173">
        <f t="shared" si="766"/>
        <v>2.3560000000000005E-2</v>
      </c>
      <c r="BQ254" s="460">
        <f t="shared" si="700"/>
        <v>353.4</v>
      </c>
      <c r="BR254" s="528">
        <f t="shared" si="701"/>
        <v>1.2928347822548083E-2</v>
      </c>
      <c r="BS254" s="528">
        <f t="shared" si="702"/>
        <v>1.917227315700298E-2</v>
      </c>
      <c r="BT254" s="528">
        <f t="shared" si="703"/>
        <v>3.2040208538228493E-5</v>
      </c>
      <c r="BU254" s="528">
        <f t="shared" si="704"/>
        <v>0.98763547855207878</v>
      </c>
      <c r="BV254" s="528"/>
      <c r="BW254" s="625">
        <f t="shared" si="705"/>
        <v>0.39216000000000006</v>
      </c>
      <c r="BX254" s="460">
        <f t="shared" si="706"/>
        <v>1411.9281397401683</v>
      </c>
      <c r="BY254" s="173">
        <f t="shared" si="707"/>
        <v>3.4458885391559901</v>
      </c>
      <c r="BZ254" s="5">
        <f t="shared" si="708"/>
        <v>9.804000000000002</v>
      </c>
      <c r="CA254" s="173">
        <f t="shared" si="709"/>
        <v>0.73993075270235509</v>
      </c>
      <c r="CB254" s="5">
        <f t="shared" si="710"/>
        <v>73.993075270235508</v>
      </c>
      <c r="CC254">
        <f t="shared" si="711"/>
        <v>38</v>
      </c>
      <c r="CE254" s="562">
        <f t="shared" si="767"/>
        <v>-50</v>
      </c>
      <c r="CG254" s="173">
        <f t="shared" si="768"/>
        <v>0.49912504636277316</v>
      </c>
      <c r="CH254" s="173">
        <f t="shared" si="769"/>
        <v>0.13650655513659923</v>
      </c>
      <c r="CI254" s="170">
        <v>38</v>
      </c>
      <c r="CJ254" s="217">
        <f t="shared" si="712"/>
        <v>0.38</v>
      </c>
      <c r="CK254" s="217">
        <f t="shared" si="654"/>
        <v>3.8000000000000006E-2</v>
      </c>
      <c r="CL254" s="217">
        <f t="shared" si="655"/>
        <v>9.120000000000001</v>
      </c>
      <c r="CM254" s="217">
        <f t="shared" si="656"/>
        <v>0.68400000000000016</v>
      </c>
      <c r="CN254" s="541">
        <f t="shared" si="657"/>
        <v>36</v>
      </c>
      <c r="CO254" s="443">
        <f t="shared" si="770"/>
        <v>16.474900000000002</v>
      </c>
      <c r="CP254" s="443">
        <f t="shared" si="771"/>
        <v>52.474900000000005</v>
      </c>
      <c r="CQ254" s="443"/>
      <c r="CR254" s="217">
        <f t="shared" si="660"/>
        <v>0.31220924123305599</v>
      </c>
      <c r="CS254" s="172">
        <f t="shared" si="661"/>
        <v>58.085440229405762</v>
      </c>
      <c r="CT254" s="172">
        <f t="shared" si="662"/>
        <v>4.683138618495839</v>
      </c>
      <c r="CU254" s="217">
        <f t="shared" si="663"/>
        <v>2.4202266762252402</v>
      </c>
      <c r="CV254" s="217">
        <f t="shared" si="664"/>
        <v>3.2269689016336534</v>
      </c>
      <c r="CW254" s="217">
        <f t="shared" si="665"/>
        <v>24</v>
      </c>
      <c r="CX254" s="217">
        <f t="shared" si="666"/>
        <v>1.7445565176595379</v>
      </c>
      <c r="CY254" s="217">
        <f t="shared" si="667"/>
        <v>0.48459903268320498</v>
      </c>
      <c r="CZ254" s="217">
        <f t="shared" si="668"/>
        <v>1.0589178190213828</v>
      </c>
      <c r="DA254" s="197">
        <f t="shared" si="669"/>
        <v>350</v>
      </c>
      <c r="DB254" s="443">
        <f t="shared" si="670"/>
        <v>350</v>
      </c>
      <c r="DD254" s="217">
        <f t="shared" si="671"/>
        <v>3.2292794133140656</v>
      </c>
      <c r="DE254" s="173">
        <f t="shared" si="672"/>
        <v>1.9601207978889497</v>
      </c>
      <c r="DF254" s="173">
        <f t="shared" si="673"/>
        <v>0.6872960992823488</v>
      </c>
      <c r="DG254" s="173"/>
      <c r="DH254" s="173">
        <f t="shared" si="674"/>
        <v>1.3488532386977903</v>
      </c>
      <c r="DI254" s="545">
        <f t="shared" si="675"/>
        <v>380.13299999999987</v>
      </c>
      <c r="DJ254" s="528">
        <f t="shared" si="676"/>
        <v>0.34987754285999911</v>
      </c>
      <c r="DL254" s="173">
        <f t="shared" si="677"/>
        <v>2.3669148092581858</v>
      </c>
      <c r="DM254" s="173">
        <f t="shared" si="678"/>
        <v>2.3669148092581858</v>
      </c>
      <c r="DN254" s="173">
        <f t="shared" si="679"/>
        <v>1.3071796941007137</v>
      </c>
      <c r="DP254" s="545">
        <f t="shared" si="680"/>
        <v>380</v>
      </c>
      <c r="DQ254" s="460">
        <f t="shared" si="681"/>
        <v>350</v>
      </c>
      <c r="DS254">
        <f t="shared" si="682"/>
        <v>380</v>
      </c>
      <c r="DT254">
        <f t="shared" si="683"/>
        <v>350</v>
      </c>
      <c r="DV254" s="5">
        <f t="shared" si="684"/>
        <v>2.8571428571428572</v>
      </c>
      <c r="DW254" s="5">
        <f t="shared" si="685"/>
        <v>0.65747633590505161</v>
      </c>
      <c r="DX254" s="5">
        <f t="shared" si="686"/>
        <v>2.1996665212378055</v>
      </c>
      <c r="DY254" s="173">
        <f t="shared" si="687"/>
        <v>0.23011671756676805</v>
      </c>
      <c r="EA254" s="5">
        <f t="shared" si="713"/>
        <v>1.0410041985163316</v>
      </c>
      <c r="EB254" s="5">
        <f t="shared" si="714"/>
        <v>0.13880055980217759</v>
      </c>
      <c r="EC254" s="5">
        <f t="shared" si="715"/>
        <v>0.46437404337242555</v>
      </c>
      <c r="ED254" s="5"/>
      <c r="EE254" s="173">
        <f t="shared" si="716"/>
        <v>0.65553530274695482</v>
      </c>
      <c r="EF254" s="173">
        <f t="shared" si="717"/>
        <v>0.79976110314818949</v>
      </c>
      <c r="EG254" s="173">
        <f t="shared" si="718"/>
        <v>8.0084186139568705E-2</v>
      </c>
      <c r="EH254" s="173"/>
      <c r="EI254" s="528">
        <f t="shared" si="719"/>
        <v>1.7189061325901669E-2</v>
      </c>
      <c r="EJ254" s="528">
        <f t="shared" si="720"/>
        <v>1.1954598225217954</v>
      </c>
      <c r="EK254" s="528">
        <f t="shared" si="721"/>
        <v>6.9999999999999993E-2</v>
      </c>
      <c r="EL254" s="528">
        <f t="shared" si="722"/>
        <v>0.16865892671311253</v>
      </c>
      <c r="EM254">
        <f t="shared" si="723"/>
        <v>1.6199999999999999E-2</v>
      </c>
      <c r="EN254" s="460">
        <f t="shared" si="724"/>
        <v>86.2</v>
      </c>
      <c r="EP254" s="460">
        <f t="shared" si="725"/>
        <v>1467.5078105608095</v>
      </c>
      <c r="EQ254" s="173">
        <f t="shared" si="726"/>
        <v>0.26599999999999996</v>
      </c>
      <c r="ER254" s="173">
        <f t="shared" si="772"/>
        <v>2.3560000000000005E-2</v>
      </c>
      <c r="ES254" s="528"/>
      <c r="EU254" s="460">
        <f t="shared" si="727"/>
        <v>289.56</v>
      </c>
      <c r="EV254" s="528">
        <f t="shared" si="728"/>
        <v>1.2891795994426251E-2</v>
      </c>
      <c r="EW254" s="528">
        <f t="shared" si="729"/>
        <v>1.918853466326427E-2</v>
      </c>
      <c r="EX254" s="528">
        <f t="shared" si="730"/>
        <v>3.2067384348185443E-5</v>
      </c>
      <c r="EY254" s="528">
        <f t="shared" si="731"/>
        <v>0.98763547855207878</v>
      </c>
      <c r="EZ254" s="528"/>
      <c r="FA254" s="625">
        <f t="shared" si="732"/>
        <v>0.39216000000000006</v>
      </c>
      <c r="FB254" s="460">
        <f t="shared" si="733"/>
        <v>1411.9078765941176</v>
      </c>
      <c r="FC254" s="173">
        <f t="shared" si="734"/>
        <v>3.1689756871549273</v>
      </c>
      <c r="FD254" s="5">
        <f t="shared" si="735"/>
        <v>9.804000000000002</v>
      </c>
      <c r="FE254" s="173">
        <f t="shared" si="736"/>
        <v>0.75572484188861477</v>
      </c>
      <c r="FF254" s="5">
        <f t="shared" si="737"/>
        <v>75.57248418886148</v>
      </c>
      <c r="FG254">
        <f t="shared" si="738"/>
        <v>38</v>
      </c>
      <c r="FI254" s="562">
        <f t="shared" si="689"/>
        <v>-50</v>
      </c>
    </row>
    <row r="255" spans="5:165">
      <c r="E255" s="170">
        <v>39</v>
      </c>
      <c r="F255" s="217">
        <f t="shared" si="773"/>
        <v>0.39</v>
      </c>
      <c r="G255" s="217">
        <f t="shared" si="742"/>
        <v>3.9000000000000007E-2</v>
      </c>
      <c r="H255" s="217">
        <f t="shared" si="743"/>
        <v>9.36</v>
      </c>
      <c r="I255" s="217">
        <f t="shared" si="744"/>
        <v>0.70200000000000018</v>
      </c>
      <c r="J255" s="541">
        <f t="shared" si="745"/>
        <v>35.896888030778314</v>
      </c>
      <c r="K255" s="443">
        <f t="shared" si="746"/>
        <v>16.490333407626835</v>
      </c>
      <c r="L255" s="172">
        <f t="shared" si="747"/>
        <v>52.387221438405149</v>
      </c>
      <c r="M255" s="443"/>
      <c r="N255" s="217">
        <f t="shared" si="748"/>
        <v>0.31477778272733026</v>
      </c>
      <c r="O255" s="172">
        <f t="shared" si="749"/>
        <v>58.395570135088569</v>
      </c>
      <c r="P255" s="172">
        <f t="shared" si="750"/>
        <v>4.7081428421415161</v>
      </c>
      <c r="Q255" s="217">
        <f t="shared" si="626"/>
        <v>2.4331487556286904</v>
      </c>
      <c r="R255" s="217">
        <f t="shared" si="751"/>
        <v>3.244198340838254</v>
      </c>
      <c r="S255" s="217">
        <f t="shared" si="752"/>
        <v>24</v>
      </c>
      <c r="T255" s="217">
        <f t="shared" si="753"/>
        <v>1.7809570102563097</v>
      </c>
      <c r="U255" s="217">
        <f t="shared" si="630"/>
        <v>0.49613131052733633</v>
      </c>
      <c r="V255" s="217">
        <f t="shared" si="631"/>
        <v>1.0800006077697684</v>
      </c>
      <c r="W255" s="197">
        <f t="shared" si="632"/>
        <v>350</v>
      </c>
      <c r="X255" s="443">
        <f t="shared" si="691"/>
        <v>350</v>
      </c>
      <c r="Z255" s="217">
        <f t="shared" si="633"/>
        <v>3.228440806039897</v>
      </c>
      <c r="AA255" s="173">
        <f t="shared" si="634"/>
        <v>1.9577777636361993</v>
      </c>
      <c r="AB255" s="173">
        <f t="shared" si="754"/>
        <v>0.68629626887812323</v>
      </c>
      <c r="AC255" s="173"/>
      <c r="AD255" s="173">
        <f t="shared" si="636"/>
        <v>1.3475908383965345</v>
      </c>
      <c r="AE255" s="545">
        <f t="shared" si="755"/>
        <v>390.50197327356199</v>
      </c>
      <c r="AF255" s="528">
        <f t="shared" si="756"/>
        <v>0.34955009024852329</v>
      </c>
      <c r="AH255" s="173">
        <f t="shared" si="757"/>
        <v>2.3978561853693989</v>
      </c>
      <c r="AI255" s="173">
        <f t="shared" si="758"/>
        <v>2.3978561853693989</v>
      </c>
      <c r="AJ255" s="173">
        <f t="shared" si="759"/>
        <v>1.3300992319608715</v>
      </c>
      <c r="AL255" s="545">
        <f t="shared" si="760"/>
        <v>390</v>
      </c>
      <c r="AM255" s="460">
        <f t="shared" si="761"/>
        <v>350</v>
      </c>
      <c r="AO255">
        <f t="shared" si="644"/>
        <v>390</v>
      </c>
      <c r="AP255">
        <f t="shared" si="645"/>
        <v>350</v>
      </c>
      <c r="AR255" s="5">
        <f t="shared" si="616"/>
        <v>2.8571428571428572</v>
      </c>
      <c r="AS255" s="5">
        <f t="shared" si="739"/>
        <v>0.6679844178452059</v>
      </c>
      <c r="AT255" s="5">
        <f t="shared" si="740"/>
        <v>2.1891584392976515</v>
      </c>
      <c r="AU255" s="173">
        <f t="shared" si="741"/>
        <v>0.23379454624582205</v>
      </c>
      <c r="BA255" s="173">
        <f t="shared" si="692"/>
        <v>0.66939072856633153</v>
      </c>
      <c r="BB255" s="173">
        <f t="shared" si="693"/>
        <v>0.80827837220266174</v>
      </c>
      <c r="BC255" s="173">
        <f t="shared" si="694"/>
        <v>8.0937064027320579E-2</v>
      </c>
      <c r="BD255" s="173"/>
      <c r="BE255" s="528">
        <f t="shared" si="695"/>
        <v>1.7923357899622565E-2</v>
      </c>
      <c r="BF255" s="528">
        <f t="shared" si="762"/>
        <v>0.98923405581311985</v>
      </c>
      <c r="BG255" s="528">
        <f t="shared" si="763"/>
        <v>0.50255643243089632</v>
      </c>
      <c r="BH255" s="528">
        <f t="shared" si="696"/>
        <v>0.16809578441473536</v>
      </c>
      <c r="BI255">
        <f t="shared" si="697"/>
        <v>1.6153599613850239E-2</v>
      </c>
      <c r="BJ255" s="460">
        <f t="shared" si="698"/>
        <v>518.71003204474653</v>
      </c>
      <c r="BK255">
        <f t="shared" si="764"/>
        <v>1.1851395279092984</v>
      </c>
      <c r="BL255" s="460">
        <f t="shared" si="699"/>
        <v>1693.9632301722243</v>
      </c>
      <c r="BM255" s="173">
        <f t="shared" si="765"/>
        <v>0.33851999999999993</v>
      </c>
      <c r="BN255" s="173">
        <f t="shared" si="766"/>
        <v>2.4180000000000004E-2</v>
      </c>
      <c r="BQ255" s="460">
        <f t="shared" si="700"/>
        <v>362.69999999999993</v>
      </c>
      <c r="BR255" s="528">
        <f t="shared" si="701"/>
        <v>1.3442518424716924E-2</v>
      </c>
      <c r="BS255" s="528">
        <f t="shared" si="702"/>
        <v>1.9599417809117534E-2</v>
      </c>
      <c r="BT255" s="528">
        <f t="shared" si="703"/>
        <v>3.2754041666812956E-5</v>
      </c>
      <c r="BU255" s="528">
        <f t="shared" si="704"/>
        <v>1.0202296610636801</v>
      </c>
      <c r="BV255" s="528"/>
      <c r="BW255" s="625">
        <f t="shared" si="705"/>
        <v>0.40248</v>
      </c>
      <c r="BX255" s="460">
        <f t="shared" si="706"/>
        <v>1455.7843513391813</v>
      </c>
      <c r="BY255" s="173">
        <f t="shared" si="707"/>
        <v>3.5124475815114056</v>
      </c>
      <c r="BZ255" s="5">
        <f t="shared" si="708"/>
        <v>10.061999999999999</v>
      </c>
      <c r="CA255" s="173">
        <f t="shared" si="709"/>
        <v>0.74124563372321606</v>
      </c>
      <c r="CB255" s="5">
        <f t="shared" si="710"/>
        <v>74.124563372321603</v>
      </c>
      <c r="CC255">
        <f t="shared" si="711"/>
        <v>39</v>
      </c>
      <c r="CE255" s="562">
        <f t="shared" si="767"/>
        <v>-50</v>
      </c>
      <c r="CG255" s="173">
        <f t="shared" si="768"/>
        <v>0.50564983370434935</v>
      </c>
      <c r="CH255" s="173">
        <f t="shared" si="769"/>
        <v>0.13829103028864381</v>
      </c>
      <c r="CI255" s="170">
        <v>39</v>
      </c>
      <c r="CJ255" s="217">
        <f t="shared" si="712"/>
        <v>0.39</v>
      </c>
      <c r="CK255" s="217">
        <f t="shared" si="654"/>
        <v>3.9000000000000007E-2</v>
      </c>
      <c r="CL255" s="217">
        <f t="shared" si="655"/>
        <v>9.36</v>
      </c>
      <c r="CM255" s="217">
        <f t="shared" si="656"/>
        <v>0.70200000000000018</v>
      </c>
      <c r="CN255" s="541">
        <f t="shared" si="657"/>
        <v>36</v>
      </c>
      <c r="CO255" s="443">
        <f t="shared" si="770"/>
        <v>16.474900000000002</v>
      </c>
      <c r="CP255" s="443">
        <f t="shared" si="771"/>
        <v>52.474900000000005</v>
      </c>
      <c r="CQ255" s="443"/>
      <c r="CR255" s="217">
        <f t="shared" si="660"/>
        <v>0.31220924123305599</v>
      </c>
      <c r="CS255" s="172">
        <f t="shared" si="661"/>
        <v>58.085440229405762</v>
      </c>
      <c r="CT255" s="172">
        <f t="shared" si="662"/>
        <v>4.683138618495839</v>
      </c>
      <c r="CU255" s="217">
        <f t="shared" si="663"/>
        <v>2.4202266762252402</v>
      </c>
      <c r="CV255" s="217">
        <f t="shared" si="664"/>
        <v>3.2269689016336534</v>
      </c>
      <c r="CW255" s="217">
        <f t="shared" si="665"/>
        <v>24</v>
      </c>
      <c r="CX255" s="217">
        <f t="shared" si="666"/>
        <v>1.7904658997032095</v>
      </c>
      <c r="CY255" s="217">
        <f t="shared" si="667"/>
        <v>0.49735163880644717</v>
      </c>
      <c r="CZ255" s="217">
        <f t="shared" si="668"/>
        <v>1.0867840774166821</v>
      </c>
      <c r="DA255" s="197">
        <f t="shared" si="669"/>
        <v>350</v>
      </c>
      <c r="DB255" s="443">
        <f t="shared" si="670"/>
        <v>350</v>
      </c>
      <c r="DD255" s="217">
        <f t="shared" si="671"/>
        <v>3.2292794133140656</v>
      </c>
      <c r="DE255" s="173">
        <f t="shared" si="672"/>
        <v>1.9601207978889497</v>
      </c>
      <c r="DF255" s="173">
        <f t="shared" si="673"/>
        <v>0.6872960992823488</v>
      </c>
      <c r="DG255" s="173"/>
      <c r="DH255" s="173">
        <f t="shared" si="674"/>
        <v>1.3488532386977903</v>
      </c>
      <c r="DI255" s="545">
        <f t="shared" si="675"/>
        <v>390.1364999999999</v>
      </c>
      <c r="DJ255" s="528">
        <f t="shared" si="676"/>
        <v>0.34987754285999911</v>
      </c>
      <c r="DL255" s="173">
        <f t="shared" si="677"/>
        <v>2.3978561853693989</v>
      </c>
      <c r="DM255" s="173">
        <f t="shared" si="678"/>
        <v>2.3978561853693989</v>
      </c>
      <c r="DN255" s="173">
        <f t="shared" si="679"/>
        <v>1.3300992319608715</v>
      </c>
      <c r="DP255" s="545">
        <f t="shared" si="680"/>
        <v>390</v>
      </c>
      <c r="DQ255" s="460">
        <f t="shared" si="681"/>
        <v>350</v>
      </c>
      <c r="DS255">
        <f t="shared" si="682"/>
        <v>390</v>
      </c>
      <c r="DT255">
        <f t="shared" si="683"/>
        <v>350</v>
      </c>
      <c r="DV255" s="5">
        <f t="shared" si="684"/>
        <v>2.8571428571428572</v>
      </c>
      <c r="DW255" s="5">
        <f t="shared" si="685"/>
        <v>0.6660711626026109</v>
      </c>
      <c r="DX255" s="5">
        <f t="shared" si="686"/>
        <v>2.1910716945402462</v>
      </c>
      <c r="DY255" s="173">
        <f t="shared" si="687"/>
        <v>0.23312490691091381</v>
      </c>
      <c r="EA255" s="5">
        <f t="shared" si="713"/>
        <v>1.0823656392292427</v>
      </c>
      <c r="EB255" s="5">
        <f t="shared" si="714"/>
        <v>0.14431541856389907</v>
      </c>
      <c r="EC255" s="5">
        <f t="shared" si="715"/>
        <v>0.47473220048371995</v>
      </c>
      <c r="ED255" s="5"/>
      <c r="EE255" s="173">
        <f t="shared" si="716"/>
        <v>0.66843139952715525</v>
      </c>
      <c r="EF255" s="173">
        <f t="shared" si="717"/>
        <v>0.80863149993142192</v>
      </c>
      <c r="EG255" s="173">
        <f t="shared" si="718"/>
        <v>8.0972424520159944E-2</v>
      </c>
      <c r="EH255" s="173"/>
      <c r="EI255" s="528">
        <f t="shared" si="719"/>
        <v>1.7872021434953259E-2</v>
      </c>
      <c r="EJ255" s="528">
        <f t="shared" si="720"/>
        <v>1.2110874115882919</v>
      </c>
      <c r="EK255" s="528">
        <f t="shared" si="721"/>
        <v>6.9999999999999993E-2</v>
      </c>
      <c r="EL255" s="528">
        <f t="shared" si="722"/>
        <v>0.16865892671311253</v>
      </c>
      <c r="EM255">
        <f t="shared" si="723"/>
        <v>1.6199999999999999E-2</v>
      </c>
      <c r="EN255" s="460">
        <f t="shared" si="724"/>
        <v>86.2</v>
      </c>
      <c r="EP255" s="460">
        <f t="shared" si="725"/>
        <v>1483.8183597363577</v>
      </c>
      <c r="EQ255" s="173">
        <f t="shared" si="726"/>
        <v>0.27299999999999996</v>
      </c>
      <c r="ER255" s="173">
        <f t="shared" si="772"/>
        <v>2.4180000000000004E-2</v>
      </c>
      <c r="ES255" s="528"/>
      <c r="EU255" s="460">
        <f t="shared" si="727"/>
        <v>297.17999999999995</v>
      </c>
      <c r="EV255" s="528">
        <f t="shared" si="728"/>
        <v>1.3404016076214944E-2</v>
      </c>
      <c r="EW255" s="528">
        <f t="shared" si="729"/>
        <v>1.9616547080440236E-2</v>
      </c>
      <c r="EX255" s="528">
        <f t="shared" si="730"/>
        <v>3.2782667663364996E-5</v>
      </c>
      <c r="EY255" s="528">
        <f t="shared" si="731"/>
        <v>1.0202296610636801</v>
      </c>
      <c r="EZ255" s="528"/>
      <c r="FA255" s="625">
        <f t="shared" si="732"/>
        <v>0.40248</v>
      </c>
      <c r="FB255" s="460">
        <f t="shared" si="733"/>
        <v>1455.7630068879985</v>
      </c>
      <c r="FC255" s="173">
        <f t="shared" si="734"/>
        <v>3.2367613666243567</v>
      </c>
      <c r="FD255" s="5">
        <f t="shared" si="735"/>
        <v>10.061999999999999</v>
      </c>
      <c r="FE255" s="173">
        <f t="shared" si="736"/>
        <v>0.75661181689088775</v>
      </c>
      <c r="FF255" s="5">
        <f t="shared" si="737"/>
        <v>75.661181689088778</v>
      </c>
      <c r="FG255">
        <f t="shared" si="738"/>
        <v>39</v>
      </c>
      <c r="FI255" s="562">
        <f t="shared" si="689"/>
        <v>-50</v>
      </c>
    </row>
    <row r="256" spans="5:165">
      <c r="E256" s="170">
        <v>40</v>
      </c>
      <c r="F256" s="217">
        <f t="shared" si="773"/>
        <v>0.4</v>
      </c>
      <c r="G256" s="217">
        <f t="shared" si="742"/>
        <v>4.0000000000000008E-2</v>
      </c>
      <c r="H256" s="217">
        <f t="shared" si="743"/>
        <v>9.6000000000000014</v>
      </c>
      <c r="I256" s="217">
        <f t="shared" si="744"/>
        <v>0.7200000000000002</v>
      </c>
      <c r="J256" s="541">
        <f t="shared" si="745"/>
        <v>35.895574449551681</v>
      </c>
      <c r="K256" s="443">
        <f t="shared" si="746"/>
        <v>16.490530019471944</v>
      </c>
      <c r="L256" s="172">
        <f t="shared" si="747"/>
        <v>52.386104469023621</v>
      </c>
      <c r="M256" s="443"/>
      <c r="N256" s="217">
        <f t="shared" si="748"/>
        <v>0.31478824750603368</v>
      </c>
      <c r="O256" s="172">
        <f t="shared" si="749"/>
        <v>58.395374543652366</v>
      </c>
      <c r="P256" s="172">
        <f t="shared" si="750"/>
        <v>4.7081270725819717</v>
      </c>
      <c r="Q256" s="217">
        <f t="shared" si="626"/>
        <v>2.4331406059855154</v>
      </c>
      <c r="R256" s="217">
        <f t="shared" si="751"/>
        <v>3.2441874746473536</v>
      </c>
      <c r="S256" s="217">
        <f t="shared" si="752"/>
        <v>24</v>
      </c>
      <c r="T256" s="217">
        <f t="shared" si="753"/>
        <v>1.8266286927730899</v>
      </c>
      <c r="U256" s="217">
        <f t="shared" si="630"/>
        <v>0.50887295182871872</v>
      </c>
      <c r="V256" s="217">
        <f t="shared" si="631"/>
        <v>1.1076834344415947</v>
      </c>
      <c r="W256" s="197">
        <f t="shared" si="632"/>
        <v>350</v>
      </c>
      <c r="X256" s="443">
        <f t="shared" si="691"/>
        <v>350</v>
      </c>
      <c r="Z256" s="217">
        <f t="shared" si="633"/>
        <v>3.2284299926276372</v>
      </c>
      <c r="AA256" s="173">
        <f t="shared" si="634"/>
        <v>1.9577478642684751</v>
      </c>
      <c r="AB256" s="173">
        <f t="shared" si="754"/>
        <v>0.68628348903534642</v>
      </c>
      <c r="AC256" s="173"/>
      <c r="AD256" s="173">
        <f t="shared" si="636"/>
        <v>1.347574771458669</v>
      </c>
      <c r="AE256" s="545">
        <f t="shared" si="755"/>
        <v>400.51961966333641</v>
      </c>
      <c r="AF256" s="528">
        <f t="shared" si="756"/>
        <v>0.3495459226633626</v>
      </c>
      <c r="AH256" s="173">
        <f t="shared" si="757"/>
        <v>2.4284033555286606</v>
      </c>
      <c r="AI256" s="173">
        <f t="shared" si="758"/>
        <v>2.4284033555286606</v>
      </c>
      <c r="AJ256" s="173">
        <f t="shared" si="759"/>
        <v>1.3527267654121764</v>
      </c>
      <c r="AL256" s="545">
        <f t="shared" si="760"/>
        <v>400</v>
      </c>
      <c r="AM256" s="460">
        <f t="shared" si="761"/>
        <v>350</v>
      </c>
      <c r="AO256">
        <f t="shared" si="644"/>
        <v>400</v>
      </c>
      <c r="AP256">
        <f t="shared" si="645"/>
        <v>350</v>
      </c>
      <c r="AR256" s="5">
        <f t="shared" si="616"/>
        <v>2.8571428571428572</v>
      </c>
      <c r="AS256" s="5">
        <f t="shared" si="739"/>
        <v>0.67651887252607834</v>
      </c>
      <c r="AT256" s="5">
        <f t="shared" si="740"/>
        <v>2.180623984616779</v>
      </c>
      <c r="AU256" s="173">
        <f t="shared" si="741"/>
        <v>0.2367816053841274</v>
      </c>
      <c r="BA256" s="173">
        <f t="shared" si="692"/>
        <v>0.68223528514577869</v>
      </c>
      <c r="BB256" s="173">
        <f t="shared" si="693"/>
        <v>0.81697815713629451</v>
      </c>
      <c r="BC256" s="173">
        <f t="shared" si="694"/>
        <v>8.1808218167296498E-2</v>
      </c>
      <c r="BD256" s="173"/>
      <c r="BE256" s="528">
        <f t="shared" si="695"/>
        <v>1.8617799371917678E-2</v>
      </c>
      <c r="BF256" s="528">
        <f t="shared" si="762"/>
        <v>1.0018149110207588</v>
      </c>
      <c r="BG256" s="528">
        <f t="shared" si="763"/>
        <v>0.50253804229372345</v>
      </c>
      <c r="BH256" s="528">
        <f t="shared" si="696"/>
        <v>0.16808861641316672</v>
      </c>
      <c r="BI256">
        <f t="shared" si="697"/>
        <v>1.6153008502298255E-2</v>
      </c>
      <c r="BJ256" s="460">
        <f t="shared" si="698"/>
        <v>518.69105079602173</v>
      </c>
      <c r="BK256">
        <f t="shared" si="764"/>
        <v>1.1988513584750171</v>
      </c>
      <c r="BL256" s="460">
        <f t="shared" si="699"/>
        <v>1707.2123776018648</v>
      </c>
      <c r="BM256" s="173">
        <f t="shared" si="765"/>
        <v>0.34719999999999995</v>
      </c>
      <c r="BN256" s="173">
        <f t="shared" si="766"/>
        <v>2.4800000000000006E-2</v>
      </c>
      <c r="BQ256" s="460">
        <f t="shared" si="700"/>
        <v>371.99999999999994</v>
      </c>
      <c r="BR256" s="528">
        <f t="shared" si="701"/>
        <v>1.3963349528938258E-2</v>
      </c>
      <c r="BS256" s="528">
        <f t="shared" si="702"/>
        <v>2.0023599277134478E-2</v>
      </c>
      <c r="BT256" s="528">
        <f t="shared" si="703"/>
        <v>3.3462922798539906E-5</v>
      </c>
      <c r="BU256" s="528">
        <f t="shared" si="704"/>
        <v>1.0530334719123737</v>
      </c>
      <c r="BV256" s="528"/>
      <c r="BW256" s="625">
        <f t="shared" si="705"/>
        <v>0.41280000000000017</v>
      </c>
      <c r="BX256" s="460">
        <f t="shared" si="706"/>
        <v>1499.8538836412454</v>
      </c>
      <c r="BY256" s="173">
        <f t="shared" si="707"/>
        <v>3.5790662612431094</v>
      </c>
      <c r="BZ256" s="5">
        <f t="shared" si="708"/>
        <v>10.320000000000002</v>
      </c>
      <c r="CA256" s="173">
        <f t="shared" si="709"/>
        <v>0.74249592066316239</v>
      </c>
      <c r="CB256" s="5">
        <f t="shared" si="710"/>
        <v>74.249592066316239</v>
      </c>
      <c r="CC256">
        <f t="shared" si="711"/>
        <v>40</v>
      </c>
      <c r="CE256" s="562">
        <f t="shared" si="767"/>
        <v>-50</v>
      </c>
      <c r="CG256" s="173">
        <f t="shared" si="768"/>
        <v>0.51209149255170405</v>
      </c>
      <c r="CH256" s="173">
        <f t="shared" si="769"/>
        <v>0.14005277048786929</v>
      </c>
      <c r="CI256" s="170">
        <v>40</v>
      </c>
      <c r="CJ256" s="217">
        <f t="shared" si="712"/>
        <v>0.4</v>
      </c>
      <c r="CK256" s="217">
        <f t="shared" si="654"/>
        <v>4.0000000000000008E-2</v>
      </c>
      <c r="CL256" s="217">
        <f t="shared" si="655"/>
        <v>9.6000000000000014</v>
      </c>
      <c r="CM256" s="217">
        <f t="shared" si="656"/>
        <v>0.7200000000000002</v>
      </c>
      <c r="CN256" s="541">
        <f t="shared" si="657"/>
        <v>36</v>
      </c>
      <c r="CO256" s="443">
        <f t="shared" si="770"/>
        <v>16.474900000000002</v>
      </c>
      <c r="CP256" s="443">
        <f t="shared" si="771"/>
        <v>52.474900000000005</v>
      </c>
      <c r="CQ256" s="443"/>
      <c r="CR256" s="217">
        <f t="shared" si="660"/>
        <v>0.31220924123305599</v>
      </c>
      <c r="CS256" s="172">
        <f t="shared" si="661"/>
        <v>58.085440229405762</v>
      </c>
      <c r="CT256" s="172">
        <f t="shared" si="662"/>
        <v>4.683138618495839</v>
      </c>
      <c r="CU256" s="217">
        <f t="shared" si="663"/>
        <v>2.4202266762252402</v>
      </c>
      <c r="CV256" s="217">
        <f t="shared" si="664"/>
        <v>3.2269689016336534</v>
      </c>
      <c r="CW256" s="217">
        <f t="shared" si="665"/>
        <v>24</v>
      </c>
      <c r="CX256" s="217">
        <f t="shared" si="666"/>
        <v>1.8363752817468821</v>
      </c>
      <c r="CY256" s="217">
        <f t="shared" si="667"/>
        <v>0.51010424492968953</v>
      </c>
      <c r="CZ256" s="217">
        <f t="shared" si="668"/>
        <v>1.1146503358119819</v>
      </c>
      <c r="DA256" s="197">
        <f t="shared" si="669"/>
        <v>350</v>
      </c>
      <c r="DB256" s="443">
        <f t="shared" si="670"/>
        <v>350</v>
      </c>
      <c r="DD256" s="217">
        <f t="shared" si="671"/>
        <v>3.2292794133140656</v>
      </c>
      <c r="DE256" s="173">
        <f t="shared" si="672"/>
        <v>1.9601207978889497</v>
      </c>
      <c r="DF256" s="173">
        <f t="shared" si="673"/>
        <v>0.6872960992823488</v>
      </c>
      <c r="DG256" s="173"/>
      <c r="DH256" s="173">
        <f t="shared" si="674"/>
        <v>1.3488532386977903</v>
      </c>
      <c r="DI256" s="545">
        <f t="shared" si="675"/>
        <v>400.13999999999987</v>
      </c>
      <c r="DJ256" s="528">
        <f t="shared" si="676"/>
        <v>0.34987754285999911</v>
      </c>
      <c r="DL256" s="173">
        <f t="shared" si="677"/>
        <v>2.4284033555286606</v>
      </c>
      <c r="DM256" s="173">
        <f t="shared" si="678"/>
        <v>2.4284033555286606</v>
      </c>
      <c r="DN256" s="173">
        <f t="shared" si="679"/>
        <v>1.3527267654121764</v>
      </c>
      <c r="DP256" s="545">
        <f t="shared" si="680"/>
        <v>400</v>
      </c>
      <c r="DQ256" s="460">
        <f t="shared" si="681"/>
        <v>350</v>
      </c>
      <c r="DS256">
        <f t="shared" si="682"/>
        <v>400</v>
      </c>
      <c r="DT256">
        <f t="shared" si="683"/>
        <v>350</v>
      </c>
      <c r="DV256" s="5">
        <f t="shared" si="684"/>
        <v>2.8571428571428572</v>
      </c>
      <c r="DW256" s="5">
        <f t="shared" si="685"/>
        <v>0.67455648764685028</v>
      </c>
      <c r="DX256" s="5">
        <f t="shared" si="686"/>
        <v>2.1825863694960068</v>
      </c>
      <c r="DY256" s="173">
        <f t="shared" si="687"/>
        <v>0.23609477067639759</v>
      </c>
      <c r="EA256" s="5">
        <f t="shared" si="713"/>
        <v>1.1242608127447506</v>
      </c>
      <c r="EB256" s="5">
        <f t="shared" si="714"/>
        <v>0.14990144169930011</v>
      </c>
      <c r="EC256" s="5">
        <f t="shared" si="715"/>
        <v>0.48501919322133485</v>
      </c>
      <c r="ED256" s="5"/>
      <c r="EE256" s="173">
        <f t="shared" si="716"/>
        <v>0.68124508328576805</v>
      </c>
      <c r="EF256" s="173">
        <f t="shared" si="717"/>
        <v>0.81734568153813103</v>
      </c>
      <c r="EG256" s="173">
        <f t="shared" si="718"/>
        <v>8.184502027293987E-2</v>
      </c>
      <c r="EH256" s="173"/>
      <c r="EI256" s="528">
        <f t="shared" si="719"/>
        <v>1.8563794540041322E-2</v>
      </c>
      <c r="EJ256" s="528">
        <f t="shared" si="720"/>
        <v>1.2265158986949227</v>
      </c>
      <c r="EK256" s="528">
        <f t="shared" si="721"/>
        <v>6.9999999999999993E-2</v>
      </c>
      <c r="EL256" s="528">
        <f t="shared" si="722"/>
        <v>0.16865892671311253</v>
      </c>
      <c r="EM256">
        <f t="shared" si="723"/>
        <v>1.6199999999999999E-2</v>
      </c>
      <c r="EN256" s="460">
        <f t="shared" si="724"/>
        <v>86.2</v>
      </c>
      <c r="EP256" s="460">
        <f t="shared" si="725"/>
        <v>1499.9386199480766</v>
      </c>
      <c r="EQ256" s="173">
        <f t="shared" si="726"/>
        <v>0.27999999999999997</v>
      </c>
      <c r="ER256" s="173">
        <f t="shared" si="772"/>
        <v>2.4800000000000006E-2</v>
      </c>
      <c r="ES256" s="528"/>
      <c r="EU256" s="460">
        <f t="shared" si="727"/>
        <v>304.79999999999995</v>
      </c>
      <c r="EV256" s="528">
        <f t="shared" si="728"/>
        <v>1.3922845905030993E-2</v>
      </c>
      <c r="EW256" s="528">
        <f t="shared" si="729"/>
        <v>2.0041618893870957E-2</v>
      </c>
      <c r="EX256" s="528">
        <f t="shared" si="730"/>
        <v>3.3493036717389694E-5</v>
      </c>
      <c r="EY256" s="528">
        <f t="shared" si="731"/>
        <v>1.0530334719123737</v>
      </c>
      <c r="EZ256" s="528"/>
      <c r="FA256" s="625">
        <f t="shared" si="732"/>
        <v>0.41280000000000017</v>
      </c>
      <c r="FB256" s="460">
        <f t="shared" si="733"/>
        <v>1499.8314297479931</v>
      </c>
      <c r="FC256" s="173">
        <f t="shared" si="734"/>
        <v>3.3045700496960699</v>
      </c>
      <c r="FD256" s="5">
        <f t="shared" si="735"/>
        <v>10.320000000000002</v>
      </c>
      <c r="FE256" s="173">
        <f t="shared" si="736"/>
        <v>0.75745509490262519</v>
      </c>
      <c r="FF256" s="5">
        <f t="shared" si="737"/>
        <v>75.745509490262521</v>
      </c>
      <c r="FG256">
        <f t="shared" si="738"/>
        <v>40</v>
      </c>
      <c r="FI256" s="562">
        <f t="shared" si="689"/>
        <v>-50</v>
      </c>
    </row>
    <row r="257" spans="5:165">
      <c r="E257" s="170">
        <v>41</v>
      </c>
      <c r="F257" s="217">
        <f t="shared" si="773"/>
        <v>0.41</v>
      </c>
      <c r="G257" s="217">
        <f t="shared" si="742"/>
        <v>4.1000000000000002E-2</v>
      </c>
      <c r="H257" s="217">
        <f t="shared" si="743"/>
        <v>9.84</v>
      </c>
      <c r="I257" s="217">
        <f t="shared" si="744"/>
        <v>0.73799999999999999</v>
      </c>
      <c r="J257" s="541">
        <f t="shared" si="745"/>
        <v>35.894277188005162</v>
      </c>
      <c r="K257" s="443">
        <f t="shared" si="746"/>
        <v>16.490724188649363</v>
      </c>
      <c r="L257" s="172">
        <f t="shared" si="747"/>
        <v>52.385001376654529</v>
      </c>
      <c r="M257" s="443"/>
      <c r="N257" s="217">
        <f t="shared" si="748"/>
        <v>0.31479858271032679</v>
      </c>
      <c r="O257" s="172">
        <f t="shared" si="749"/>
        <v>58.395181324008462</v>
      </c>
      <c r="P257" s="172">
        <f t="shared" si="750"/>
        <v>4.7081114942481825</v>
      </c>
      <c r="Q257" s="217">
        <f t="shared" si="626"/>
        <v>2.4331325551670191</v>
      </c>
      <c r="R257" s="217">
        <f t="shared" si="751"/>
        <v>3.2441767402226924</v>
      </c>
      <c r="S257" s="217">
        <f t="shared" si="752"/>
        <v>24</v>
      </c>
      <c r="T257" s="217">
        <f t="shared" si="753"/>
        <v>1.8723006051936386</v>
      </c>
      <c r="U257" s="217">
        <f t="shared" si="630"/>
        <v>0.52161535260537517</v>
      </c>
      <c r="V257" s="217">
        <f t="shared" si="631"/>
        <v>1.1353659086011221</v>
      </c>
      <c r="W257" s="197">
        <f t="shared" si="632"/>
        <v>350</v>
      </c>
      <c r="X257" s="443">
        <f t="shared" si="691"/>
        <v>350</v>
      </c>
      <c r="Z257" s="217">
        <f t="shared" si="633"/>
        <v>3.2284193103416108</v>
      </c>
      <c r="AA257" s="173">
        <f t="shared" si="634"/>
        <v>1.9577183351133516</v>
      </c>
      <c r="AB257" s="173">
        <f t="shared" si="754"/>
        <v>0.68627086691316175</v>
      </c>
      <c r="AC257" s="173"/>
      <c r="AD257" s="173">
        <f t="shared" si="636"/>
        <v>1.3475589045093532</v>
      </c>
      <c r="AE257" s="545">
        <f t="shared" si="755"/>
        <v>410.5374440067805</v>
      </c>
      <c r="AF257" s="528">
        <f t="shared" si="756"/>
        <v>0.34954180695300952</v>
      </c>
      <c r="AH257" s="173">
        <f t="shared" si="757"/>
        <v>2.4585710135303045</v>
      </c>
      <c r="AI257" s="173">
        <f t="shared" si="758"/>
        <v>2.4585710135303045</v>
      </c>
      <c r="AJ257" s="173">
        <f t="shared" si="759"/>
        <v>1.3750731787467274</v>
      </c>
      <c r="AL257" s="545">
        <f t="shared" si="760"/>
        <v>410</v>
      </c>
      <c r="AM257" s="460">
        <f t="shared" si="761"/>
        <v>350</v>
      </c>
      <c r="AO257">
        <f t="shared" si="644"/>
        <v>410</v>
      </c>
      <c r="AP257">
        <f t="shared" si="645"/>
        <v>350</v>
      </c>
      <c r="AR257" s="5">
        <f t="shared" si="616"/>
        <v>2.8571428571428572</v>
      </c>
      <c r="AS257" s="5">
        <f t="shared" si="739"/>
        <v>0.68494790984449427</v>
      </c>
      <c r="AT257" s="5">
        <f t="shared" si="740"/>
        <v>2.172194947298363</v>
      </c>
      <c r="AU257" s="173">
        <f t="shared" si="741"/>
        <v>0.23973176844557298</v>
      </c>
      <c r="BA257" s="173">
        <f t="shared" si="692"/>
        <v>0.69500019138295022</v>
      </c>
      <c r="BB257" s="173">
        <f t="shared" si="693"/>
        <v>0.82552719631345872</v>
      </c>
      <c r="BC257" s="173">
        <f t="shared" si="694"/>
        <v>8.2664277360577396E-2</v>
      </c>
      <c r="BD257" s="173"/>
      <c r="BE257" s="528">
        <f t="shared" si="695"/>
        <v>1.9321010640893498E-2</v>
      </c>
      <c r="BF257" s="528">
        <f t="shared" si="762"/>
        <v>1.0142389366860549</v>
      </c>
      <c r="BG257" s="528">
        <f t="shared" si="763"/>
        <v>0.5025198806320722</v>
      </c>
      <c r="BH257" s="528">
        <f t="shared" si="696"/>
        <v>0.16808153761546593</v>
      </c>
      <c r="BI257">
        <f t="shared" si="697"/>
        <v>1.6152424734602322E-2</v>
      </c>
      <c r="BJ257" s="460">
        <f t="shared" si="698"/>
        <v>518.67230536667455</v>
      </c>
      <c r="BK257">
        <f t="shared" si="764"/>
        <v>1.2124239988747432</v>
      </c>
      <c r="BL257" s="460">
        <f t="shared" si="699"/>
        <v>1720.3137903090885</v>
      </c>
      <c r="BM257" s="173">
        <f t="shared" si="765"/>
        <v>0.35587999999999997</v>
      </c>
      <c r="BN257" s="173">
        <f t="shared" si="766"/>
        <v>2.5420000000000002E-2</v>
      </c>
      <c r="BQ257" s="460">
        <f t="shared" si="700"/>
        <v>381.29999999999995</v>
      </c>
      <c r="BR257" s="528">
        <f t="shared" si="701"/>
        <v>1.4490757980670121E-2</v>
      </c>
      <c r="BS257" s="528">
        <f t="shared" si="702"/>
        <v>2.0444854555594794E-2</v>
      </c>
      <c r="BT257" s="528">
        <f t="shared" si="703"/>
        <v>3.4166913757732346E-5</v>
      </c>
      <c r="BU257" s="528">
        <f t="shared" si="704"/>
        <v>1.0860429674235845</v>
      </c>
      <c r="BV257" s="528"/>
      <c r="BW257" s="625">
        <f t="shared" si="705"/>
        <v>0.42312000000000005</v>
      </c>
      <c r="BX257" s="460">
        <f t="shared" si="706"/>
        <v>1544.1327468736072</v>
      </c>
      <c r="BY257" s="173">
        <f t="shared" si="707"/>
        <v>3.6457465371826956</v>
      </c>
      <c r="BZ257" s="5">
        <f t="shared" si="708"/>
        <v>10.577999999999999</v>
      </c>
      <c r="CA257" s="173">
        <f t="shared" si="709"/>
        <v>0.7436859179364419</v>
      </c>
      <c r="CB257" s="5">
        <f t="shared" si="710"/>
        <v>74.368591793644185</v>
      </c>
      <c r="CC257">
        <f t="shared" si="711"/>
        <v>41</v>
      </c>
      <c r="CE257" s="562">
        <f t="shared" si="767"/>
        <v>-50</v>
      </c>
      <c r="CG257" s="173">
        <f t="shared" si="768"/>
        <v>0.51845312147042544</v>
      </c>
      <c r="CH257" s="173">
        <f t="shared" si="769"/>
        <v>0.14179262316623167</v>
      </c>
      <c r="CI257" s="170">
        <v>41</v>
      </c>
      <c r="CJ257" s="217">
        <f t="shared" si="712"/>
        <v>0.41</v>
      </c>
      <c r="CK257" s="217">
        <f t="shared" si="654"/>
        <v>4.1000000000000002E-2</v>
      </c>
      <c r="CL257" s="217">
        <f t="shared" si="655"/>
        <v>9.84</v>
      </c>
      <c r="CM257" s="217">
        <f t="shared" si="656"/>
        <v>0.73799999999999999</v>
      </c>
      <c r="CN257" s="541">
        <f t="shared" si="657"/>
        <v>36</v>
      </c>
      <c r="CO257" s="443">
        <f t="shared" si="770"/>
        <v>16.474900000000002</v>
      </c>
      <c r="CP257" s="443">
        <f t="shared" si="771"/>
        <v>52.474900000000005</v>
      </c>
      <c r="CQ257" s="443"/>
      <c r="CR257" s="217">
        <f t="shared" si="660"/>
        <v>0.31220924123305599</v>
      </c>
      <c r="CS257" s="172">
        <f t="shared" si="661"/>
        <v>58.085440229405762</v>
      </c>
      <c r="CT257" s="172">
        <f t="shared" si="662"/>
        <v>4.683138618495839</v>
      </c>
      <c r="CU257" s="217">
        <f t="shared" si="663"/>
        <v>2.4202266762252402</v>
      </c>
      <c r="CV257" s="217">
        <f t="shared" si="664"/>
        <v>3.2269689016336534</v>
      </c>
      <c r="CW257" s="217">
        <f t="shared" si="665"/>
        <v>24</v>
      </c>
      <c r="CX257" s="217">
        <f t="shared" si="666"/>
        <v>1.8822846637905537</v>
      </c>
      <c r="CY257" s="217">
        <f t="shared" si="667"/>
        <v>0.52285685105293156</v>
      </c>
      <c r="CZ257" s="217">
        <f t="shared" si="668"/>
        <v>1.1425165942072812</v>
      </c>
      <c r="DA257" s="197">
        <f t="shared" si="669"/>
        <v>350</v>
      </c>
      <c r="DB257" s="443">
        <f t="shared" si="670"/>
        <v>350</v>
      </c>
      <c r="DD257" s="217">
        <f t="shared" si="671"/>
        <v>3.2292794133140656</v>
      </c>
      <c r="DE257" s="173">
        <f t="shared" si="672"/>
        <v>1.9601207978889497</v>
      </c>
      <c r="DF257" s="173">
        <f t="shared" si="673"/>
        <v>0.6872960992823488</v>
      </c>
      <c r="DG257" s="173"/>
      <c r="DH257" s="173">
        <f t="shared" si="674"/>
        <v>1.3488532386977903</v>
      </c>
      <c r="DI257" s="545">
        <f t="shared" si="675"/>
        <v>410.14349999999985</v>
      </c>
      <c r="DJ257" s="528">
        <f t="shared" si="676"/>
        <v>0.34987754285999911</v>
      </c>
      <c r="DL257" s="173">
        <f t="shared" si="677"/>
        <v>2.4585710135303045</v>
      </c>
      <c r="DM257" s="173">
        <f t="shared" si="678"/>
        <v>2.4585710135303045</v>
      </c>
      <c r="DN257" s="173">
        <f t="shared" si="679"/>
        <v>1.3750731787467274</v>
      </c>
      <c r="DP257" s="545">
        <f t="shared" si="680"/>
        <v>410</v>
      </c>
      <c r="DQ257" s="460">
        <f t="shared" si="681"/>
        <v>350</v>
      </c>
      <c r="DS257">
        <f t="shared" si="682"/>
        <v>410</v>
      </c>
      <c r="DT257">
        <f t="shared" si="683"/>
        <v>350</v>
      </c>
      <c r="DV257" s="5">
        <f t="shared" si="684"/>
        <v>2.8571428571428572</v>
      </c>
      <c r="DW257" s="5">
        <f t="shared" si="685"/>
        <v>0.68293639264730688</v>
      </c>
      <c r="DX257" s="5">
        <f t="shared" si="686"/>
        <v>2.1742064644955503</v>
      </c>
      <c r="DY257" s="173">
        <f t="shared" si="687"/>
        <v>0.23902773742655739</v>
      </c>
      <c r="EA257" s="5">
        <f t="shared" si="713"/>
        <v>1.1666830041058156</v>
      </c>
      <c r="EB257" s="5">
        <f t="shared" si="714"/>
        <v>0.15555773388077546</v>
      </c>
      <c r="EC257" s="5">
        <f t="shared" si="715"/>
        <v>0.49523591691287527</v>
      </c>
      <c r="ED257" s="5"/>
      <c r="EE257" s="173">
        <f t="shared" si="716"/>
        <v>0.69397892193846977</v>
      </c>
      <c r="EF257" s="173">
        <f t="shared" si="717"/>
        <v>0.82590933924671428</v>
      </c>
      <c r="EG257" s="173">
        <f t="shared" si="718"/>
        <v>8.2702543294839892E-2</v>
      </c>
      <c r="EH257" s="173"/>
      <c r="EI257" s="528">
        <f t="shared" si="719"/>
        <v>1.9264269763795229E-2</v>
      </c>
      <c r="EJ257" s="528">
        <f t="shared" si="720"/>
        <v>1.241752705249801</v>
      </c>
      <c r="EK257" s="528">
        <f t="shared" si="721"/>
        <v>6.9999999999999993E-2</v>
      </c>
      <c r="EL257" s="528">
        <f t="shared" si="722"/>
        <v>0.16865892671311253</v>
      </c>
      <c r="EM257">
        <f t="shared" si="723"/>
        <v>1.6199999999999999E-2</v>
      </c>
      <c r="EN257" s="460">
        <f t="shared" si="724"/>
        <v>86.2</v>
      </c>
      <c r="EP257" s="460">
        <f t="shared" si="725"/>
        <v>1515.8759017267087</v>
      </c>
      <c r="EQ257" s="173">
        <f t="shared" si="726"/>
        <v>0.28699999999999998</v>
      </c>
      <c r="ER257" s="173">
        <f t="shared" si="772"/>
        <v>2.5420000000000002E-2</v>
      </c>
      <c r="ES257" s="528"/>
      <c r="EU257" s="460">
        <f t="shared" si="727"/>
        <v>312.41999999999996</v>
      </c>
      <c r="EV257" s="528">
        <f t="shared" si="728"/>
        <v>1.4448202322846422E-2</v>
      </c>
      <c r="EW257" s="528">
        <f t="shared" si="729"/>
        <v>2.0463787099648325E-2</v>
      </c>
      <c r="EX257" s="528">
        <f t="shared" si="730"/>
        <v>3.4198553337174332E-5</v>
      </c>
      <c r="EY257" s="528">
        <f t="shared" si="731"/>
        <v>1.0860429674235845</v>
      </c>
      <c r="EZ257" s="528"/>
      <c r="FA257" s="625">
        <f t="shared" si="732"/>
        <v>0.42312000000000005</v>
      </c>
      <c r="FB257" s="460">
        <f t="shared" si="733"/>
        <v>1544.1091553994165</v>
      </c>
      <c r="FC257" s="173">
        <f t="shared" si="734"/>
        <v>3.3724050571261248</v>
      </c>
      <c r="FD257" s="5">
        <f t="shared" si="735"/>
        <v>10.577999999999999</v>
      </c>
      <c r="FE257" s="173">
        <f t="shared" si="736"/>
        <v>0.7582575528584069</v>
      </c>
      <c r="FF257" s="5">
        <f t="shared" si="737"/>
        <v>75.825755285840685</v>
      </c>
      <c r="FG257">
        <f t="shared" si="738"/>
        <v>41</v>
      </c>
      <c r="FI257" s="562">
        <f t="shared" si="689"/>
        <v>-50</v>
      </c>
    </row>
    <row r="258" spans="5:165">
      <c r="E258" s="170">
        <v>42</v>
      </c>
      <c r="F258" s="217">
        <f t="shared" si="773"/>
        <v>0.42</v>
      </c>
      <c r="G258" s="217">
        <f t="shared" si="742"/>
        <v>4.2000000000000003E-2</v>
      </c>
      <c r="H258" s="217">
        <f t="shared" si="743"/>
        <v>10.08</v>
      </c>
      <c r="I258" s="217">
        <f t="shared" si="744"/>
        <v>0.75600000000000001</v>
      </c>
      <c r="J258" s="541">
        <f t="shared" si="745"/>
        <v>35.89299565258478</v>
      </c>
      <c r="K258" s="443">
        <f t="shared" si="746"/>
        <v>16.490916003999999</v>
      </c>
      <c r="L258" s="172">
        <f t="shared" si="747"/>
        <v>52.383911656584779</v>
      </c>
      <c r="M258" s="443"/>
      <c r="N258" s="217">
        <f t="shared" si="748"/>
        <v>0.31480879305291537</v>
      </c>
      <c r="O258" s="172">
        <f t="shared" si="749"/>
        <v>58.394990389890189</v>
      </c>
      <c r="P258" s="172">
        <f t="shared" si="750"/>
        <v>4.7080961001848962</v>
      </c>
      <c r="Q258" s="217">
        <f t="shared" si="626"/>
        <v>2.433124599578758</v>
      </c>
      <c r="R258" s="217">
        <f t="shared" si="751"/>
        <v>3.2441661327716771</v>
      </c>
      <c r="S258" s="217">
        <f t="shared" si="752"/>
        <v>24</v>
      </c>
      <c r="T258" s="217">
        <f t="shared" si="753"/>
        <v>1.9179727447885724</v>
      </c>
      <c r="U258" s="217">
        <f t="shared" si="630"/>
        <v>0.53435850363480397</v>
      </c>
      <c r="V258" s="217">
        <f t="shared" si="631"/>
        <v>1.1630480346412253</v>
      </c>
      <c r="W258" s="197">
        <f t="shared" si="632"/>
        <v>350</v>
      </c>
      <c r="X258" s="443">
        <f t="shared" si="691"/>
        <v>350</v>
      </c>
      <c r="Z258" s="217">
        <f t="shared" si="633"/>
        <v>3.2284087544125</v>
      </c>
      <c r="AA258" s="173">
        <f t="shared" si="634"/>
        <v>1.9576891627059556</v>
      </c>
      <c r="AB258" s="173">
        <f t="shared" si="754"/>
        <v>0.68625839677516642</v>
      </c>
      <c r="AC258" s="173"/>
      <c r="AD258" s="173">
        <f t="shared" si="636"/>
        <v>1.3475432302749013</v>
      </c>
      <c r="AE258" s="545">
        <f t="shared" si="755"/>
        <v>420.55544411999995</v>
      </c>
      <c r="AF258" s="528">
        <f t="shared" si="756"/>
        <v>0.34953774123075076</v>
      </c>
      <c r="AH258" s="173">
        <f t="shared" si="757"/>
        <v>2.4883729623993265</v>
      </c>
      <c r="AI258" s="173">
        <f t="shared" si="758"/>
        <v>2.4883729623993265</v>
      </c>
      <c r="AJ258" s="173">
        <f t="shared" si="759"/>
        <v>1.3971486964274846</v>
      </c>
      <c r="AL258" s="545">
        <f t="shared" si="760"/>
        <v>420</v>
      </c>
      <c r="AM258" s="460">
        <f t="shared" si="761"/>
        <v>350</v>
      </c>
      <c r="AO258">
        <f t="shared" si="644"/>
        <v>420</v>
      </c>
      <c r="AP258">
        <f t="shared" si="645"/>
        <v>350</v>
      </c>
      <c r="AR258" s="5">
        <f t="shared" si="616"/>
        <v>2.8571428571428572</v>
      </c>
      <c r="AS258" s="5">
        <f t="shared" si="739"/>
        <v>0.69327536394141309</v>
      </c>
      <c r="AT258" s="5">
        <f t="shared" si="740"/>
        <v>2.1638674932014439</v>
      </c>
      <c r="AU258" s="173">
        <f t="shared" si="741"/>
        <v>0.24264637737949457</v>
      </c>
      <c r="BA258" s="173">
        <f t="shared" si="692"/>
        <v>0.70768787110651887</v>
      </c>
      <c r="BB258" s="173">
        <f t="shared" si="693"/>
        <v>0.83393083799564882</v>
      </c>
      <c r="BC258" s="173">
        <f t="shared" si="694"/>
        <v>8.3505777156050773E-2</v>
      </c>
      <c r="BD258" s="173"/>
      <c r="BE258" s="528">
        <f t="shared" si="695"/>
        <v>2.0032884916451079E-2</v>
      </c>
      <c r="BF258" s="528">
        <f t="shared" si="762"/>
        <v>1.0265118367688137</v>
      </c>
      <c r="BG258" s="528">
        <f t="shared" si="763"/>
        <v>0.5025019391361869</v>
      </c>
      <c r="BH258" s="528">
        <f t="shared" si="696"/>
        <v>0.16807454477724884</v>
      </c>
      <c r="BI258">
        <f t="shared" si="697"/>
        <v>1.6151848043663149E-2</v>
      </c>
      <c r="BJ258" s="460">
        <f t="shared" si="698"/>
        <v>518.65378717985004</v>
      </c>
      <c r="BK258">
        <f t="shared" si="764"/>
        <v>1.225863024710367</v>
      </c>
      <c r="BL258" s="460">
        <f t="shared" si="699"/>
        <v>1733.2730536423637</v>
      </c>
      <c r="BM258" s="173">
        <f t="shared" si="765"/>
        <v>0.36456</v>
      </c>
      <c r="BN258" s="173">
        <f t="shared" si="766"/>
        <v>2.6040000000000001E-2</v>
      </c>
      <c r="BQ258" s="460">
        <f t="shared" si="700"/>
        <v>390.6</v>
      </c>
      <c r="BR258" s="528">
        <f t="shared" si="701"/>
        <v>1.5024663687338307E-2</v>
      </c>
      <c r="BS258" s="528">
        <f t="shared" si="702"/>
        <v>2.0863219276803752E-2</v>
      </c>
      <c r="BT258" s="528">
        <f t="shared" si="703"/>
        <v>3.4866074092180058E-5</v>
      </c>
      <c r="BU258" s="528">
        <f t="shared" si="704"/>
        <v>1.1192543728183728</v>
      </c>
      <c r="BV258" s="528"/>
      <c r="BW258" s="625">
        <f t="shared" si="705"/>
        <v>0.43344000000000005</v>
      </c>
      <c r="BX258" s="460">
        <f t="shared" si="706"/>
        <v>1588.6171218566071</v>
      </c>
      <c r="BY258" s="173">
        <f t="shared" si="707"/>
        <v>3.7124901754989712</v>
      </c>
      <c r="BZ258" s="5">
        <f t="shared" si="708"/>
        <v>10.836</v>
      </c>
      <c r="CA258" s="173">
        <f t="shared" si="709"/>
        <v>0.74481955648214593</v>
      </c>
      <c r="CB258" s="5">
        <f t="shared" si="710"/>
        <v>74.481955648214594</v>
      </c>
      <c r="CC258">
        <f t="shared" si="711"/>
        <v>42</v>
      </c>
      <c r="CE258" s="562">
        <f t="shared" si="767"/>
        <v>-50</v>
      </c>
      <c r="CG258" s="173">
        <f t="shared" si="768"/>
        <v>0.52473763118440775</v>
      </c>
      <c r="CH258" s="173">
        <f t="shared" si="769"/>
        <v>0.1435113843825436</v>
      </c>
      <c r="CI258" s="170">
        <v>42</v>
      </c>
      <c r="CJ258" s="217">
        <f t="shared" si="712"/>
        <v>0.42</v>
      </c>
      <c r="CK258" s="217">
        <f t="shared" si="654"/>
        <v>4.2000000000000003E-2</v>
      </c>
      <c r="CL258" s="217">
        <f t="shared" si="655"/>
        <v>10.08</v>
      </c>
      <c r="CM258" s="217">
        <f t="shared" si="656"/>
        <v>0.75600000000000001</v>
      </c>
      <c r="CN258" s="541">
        <f t="shared" si="657"/>
        <v>36</v>
      </c>
      <c r="CO258" s="443">
        <f t="shared" si="770"/>
        <v>16.474900000000002</v>
      </c>
      <c r="CP258" s="443">
        <f t="shared" si="771"/>
        <v>52.474900000000005</v>
      </c>
      <c r="CQ258" s="443"/>
      <c r="CR258" s="217">
        <f t="shared" si="660"/>
        <v>0.31220924123305599</v>
      </c>
      <c r="CS258" s="172">
        <f t="shared" si="661"/>
        <v>58.085440229405762</v>
      </c>
      <c r="CT258" s="172">
        <f t="shared" si="662"/>
        <v>4.683138618495839</v>
      </c>
      <c r="CU258" s="217">
        <f t="shared" si="663"/>
        <v>2.4202266762252402</v>
      </c>
      <c r="CV258" s="217">
        <f t="shared" si="664"/>
        <v>3.2269689016336534</v>
      </c>
      <c r="CW258" s="217">
        <f t="shared" si="665"/>
        <v>24</v>
      </c>
      <c r="CX258" s="217">
        <f t="shared" si="666"/>
        <v>1.9281940458342259</v>
      </c>
      <c r="CY258" s="217">
        <f t="shared" si="667"/>
        <v>0.53560945717617392</v>
      </c>
      <c r="CZ258" s="217">
        <f t="shared" si="668"/>
        <v>1.1703828526025808</v>
      </c>
      <c r="DA258" s="197">
        <f t="shared" si="669"/>
        <v>350</v>
      </c>
      <c r="DB258" s="443">
        <f t="shared" si="670"/>
        <v>350</v>
      </c>
      <c r="DD258" s="217">
        <f t="shared" si="671"/>
        <v>3.2292794133140656</v>
      </c>
      <c r="DE258" s="173">
        <f t="shared" si="672"/>
        <v>1.9601207978889497</v>
      </c>
      <c r="DF258" s="173">
        <f t="shared" si="673"/>
        <v>0.6872960992823488</v>
      </c>
      <c r="DG258" s="173"/>
      <c r="DH258" s="173">
        <f t="shared" si="674"/>
        <v>1.3488532386977903</v>
      </c>
      <c r="DI258" s="545">
        <f t="shared" si="675"/>
        <v>420.14699999999976</v>
      </c>
      <c r="DJ258" s="528">
        <f t="shared" si="676"/>
        <v>0.34987754285999911</v>
      </c>
      <c r="DL258" s="173">
        <f t="shared" si="677"/>
        <v>2.4883729623993265</v>
      </c>
      <c r="DM258" s="173">
        <f t="shared" si="678"/>
        <v>2.4883729623993265</v>
      </c>
      <c r="DN258" s="173">
        <f t="shared" si="679"/>
        <v>1.3971486964274846</v>
      </c>
      <c r="DP258" s="545">
        <f t="shared" si="680"/>
        <v>420</v>
      </c>
      <c r="DQ258" s="460">
        <f t="shared" si="681"/>
        <v>350</v>
      </c>
      <c r="DS258">
        <f t="shared" si="682"/>
        <v>420</v>
      </c>
      <c r="DT258">
        <f t="shared" si="683"/>
        <v>350</v>
      </c>
      <c r="DV258" s="5">
        <f t="shared" si="684"/>
        <v>2.8571428571428572</v>
      </c>
      <c r="DW258" s="5">
        <f t="shared" si="685"/>
        <v>0.69121471177759075</v>
      </c>
      <c r="DX258" s="5">
        <f t="shared" si="686"/>
        <v>2.1659281453652666</v>
      </c>
      <c r="DY258" s="173">
        <f t="shared" si="687"/>
        <v>0.24192514912215676</v>
      </c>
      <c r="EA258" s="5">
        <f t="shared" si="713"/>
        <v>1.2096257456107837</v>
      </c>
      <c r="EB258" s="5">
        <f t="shared" si="714"/>
        <v>0.16128343274810453</v>
      </c>
      <c r="EC258" s="5">
        <f t="shared" si="715"/>
        <v>0.50538323391856221</v>
      </c>
      <c r="ED258" s="5"/>
      <c r="EE258" s="173">
        <f t="shared" si="716"/>
        <v>0.70663534286655338</v>
      </c>
      <c r="EF258" s="173">
        <f t="shared" si="717"/>
        <v>0.83432781989673932</v>
      </c>
      <c r="EG258" s="173">
        <f t="shared" si="718"/>
        <v>8.3545528992362672E-2</v>
      </c>
      <c r="EH258" s="173"/>
      <c r="EI258" s="528">
        <f t="shared" si="719"/>
        <v>1.997334031152526E-2</v>
      </c>
      <c r="EJ258" s="528">
        <f t="shared" si="720"/>
        <v>1.2568048027593564</v>
      </c>
      <c r="EK258" s="528">
        <f t="shared" si="721"/>
        <v>6.9999999999999993E-2</v>
      </c>
      <c r="EL258" s="528">
        <f t="shared" si="722"/>
        <v>0.16865892671311253</v>
      </c>
      <c r="EM258">
        <f t="shared" si="723"/>
        <v>1.6199999999999999E-2</v>
      </c>
      <c r="EN258" s="460">
        <f t="shared" si="724"/>
        <v>86.2</v>
      </c>
      <c r="EP258" s="460">
        <f t="shared" si="725"/>
        <v>1531.6370697839941</v>
      </c>
      <c r="EQ258" s="173">
        <f t="shared" si="726"/>
        <v>0.29399999999999998</v>
      </c>
      <c r="ER258" s="173">
        <f t="shared" si="772"/>
        <v>2.6040000000000001E-2</v>
      </c>
      <c r="ES258" s="528"/>
      <c r="EU258" s="460">
        <f t="shared" si="727"/>
        <v>320.03999999999996</v>
      </c>
      <c r="EV258" s="528">
        <f t="shared" si="728"/>
        <v>1.4980005233643944E-2</v>
      </c>
      <c r="EW258" s="528">
        <f t="shared" si="729"/>
        <v>2.0883087331609373E-2</v>
      </c>
      <c r="EX258" s="528">
        <f t="shared" si="730"/>
        <v>3.4899277073068555E-5</v>
      </c>
      <c r="EY258" s="528">
        <f t="shared" si="731"/>
        <v>1.1192543728183728</v>
      </c>
      <c r="EZ258" s="528"/>
      <c r="FA258" s="625">
        <f t="shared" si="732"/>
        <v>0.43344000000000005</v>
      </c>
      <c r="FB258" s="460">
        <f t="shared" si="733"/>
        <v>1588.5923646606991</v>
      </c>
      <c r="FC258" s="173">
        <f t="shared" si="734"/>
        <v>3.4402694344446934</v>
      </c>
      <c r="FD258" s="5">
        <f t="shared" si="735"/>
        <v>10.836</v>
      </c>
      <c r="FE258" s="173">
        <f t="shared" si="736"/>
        <v>0.75902181937360524</v>
      </c>
      <c r="FF258" s="5">
        <f t="shared" si="737"/>
        <v>75.902181937360524</v>
      </c>
      <c r="FG258">
        <f t="shared" si="738"/>
        <v>42</v>
      </c>
      <c r="FI258" s="562">
        <f t="shared" si="689"/>
        <v>-50</v>
      </c>
    </row>
    <row r="259" spans="5:165">
      <c r="E259" s="170">
        <v>43</v>
      </c>
      <c r="F259" s="217">
        <f t="shared" si="773"/>
        <v>0.43</v>
      </c>
      <c r="G259" s="217">
        <f t="shared" si="742"/>
        <v>4.3000000000000003E-2</v>
      </c>
      <c r="H259" s="217">
        <f t="shared" si="743"/>
        <v>10.32</v>
      </c>
      <c r="I259" s="217">
        <f t="shared" si="744"/>
        <v>0.77400000000000002</v>
      </c>
      <c r="J259" s="541">
        <f t="shared" si="745"/>
        <v>35.891729284866969</v>
      </c>
      <c r="K259" s="443">
        <f t="shared" si="746"/>
        <v>16.491105549106567</v>
      </c>
      <c r="L259" s="172">
        <f t="shared" si="747"/>
        <v>52.382834833973533</v>
      </c>
      <c r="M259" s="443"/>
      <c r="N259" s="217">
        <f t="shared" si="748"/>
        <v>0.31481888296757582</v>
      </c>
      <c r="O259" s="172">
        <f t="shared" si="749"/>
        <v>58.394801660136679</v>
      </c>
      <c r="P259" s="172">
        <f t="shared" si="750"/>
        <v>4.7080808838485195</v>
      </c>
      <c r="Q259" s="217">
        <f t="shared" si="626"/>
        <v>2.4331167358390284</v>
      </c>
      <c r="R259" s="217">
        <f t="shared" si="751"/>
        <v>3.2441556477853712</v>
      </c>
      <c r="S259" s="217">
        <f t="shared" si="752"/>
        <v>24</v>
      </c>
      <c r="T259" s="217">
        <f t="shared" si="753"/>
        <v>1.9636451089266065</v>
      </c>
      <c r="U259" s="217">
        <f t="shared" si="630"/>
        <v>0.54710239602596644</v>
      </c>
      <c r="V259" s="217">
        <f t="shared" si="631"/>
        <v>1.1907298167969036</v>
      </c>
      <c r="W259" s="197">
        <f t="shared" si="632"/>
        <v>350</v>
      </c>
      <c r="X259" s="443">
        <f t="shared" si="691"/>
        <v>350</v>
      </c>
      <c r="Z259" s="217">
        <f t="shared" si="633"/>
        <v>3.2283983203532705</v>
      </c>
      <c r="AA259" s="173">
        <f t="shared" si="634"/>
        <v>1.9576603343783545</v>
      </c>
      <c r="AB259" s="173">
        <f t="shared" si="754"/>
        <v>0.68624607322447695</v>
      </c>
      <c r="AC259" s="173"/>
      <c r="AD259" s="173">
        <f t="shared" si="636"/>
        <v>1.3475277419121334</v>
      </c>
      <c r="AE259" s="545">
        <f t="shared" si="755"/>
        <v>430.57361789758733</v>
      </c>
      <c r="AF259" s="528">
        <f t="shared" si="756"/>
        <v>0.34953372372154179</v>
      </c>
      <c r="AH259" s="173">
        <f t="shared" si="757"/>
        <v>2.5178221882072154</v>
      </c>
      <c r="AI259" s="173">
        <f t="shared" si="758"/>
        <v>2.5178221882072154</v>
      </c>
      <c r="AJ259" s="173">
        <f t="shared" si="759"/>
        <v>1.4189629377666615</v>
      </c>
      <c r="AL259" s="545">
        <f t="shared" si="760"/>
        <v>430</v>
      </c>
      <c r="AM259" s="460">
        <f t="shared" si="761"/>
        <v>350</v>
      </c>
      <c r="AO259">
        <f t="shared" si="644"/>
        <v>430</v>
      </c>
      <c r="AP259">
        <f t="shared" si="645"/>
        <v>350</v>
      </c>
      <c r="AR259" s="5">
        <f t="shared" si="616"/>
        <v>2.8571428571428572</v>
      </c>
      <c r="AS259" s="5">
        <f t="shared" si="739"/>
        <v>0.70150484202743746</v>
      </c>
      <c r="AT259" s="5">
        <f t="shared" si="740"/>
        <v>2.1556380151154197</v>
      </c>
      <c r="AU259" s="173">
        <f t="shared" si="741"/>
        <v>0.24552669470960312</v>
      </c>
      <c r="BA259" s="173">
        <f t="shared" si="692"/>
        <v>0.72030061860551853</v>
      </c>
      <c r="BB259" s="173">
        <f t="shared" si="693"/>
        <v>0.84219411445021586</v>
      </c>
      <c r="BC259" s="173">
        <f t="shared" si="694"/>
        <v>8.4333221460487801E-2</v>
      </c>
      <c r="BD259" s="173"/>
      <c r="BE259" s="528">
        <f t="shared" si="695"/>
        <v>2.0753319246539705E-2</v>
      </c>
      <c r="BF259" s="528">
        <f t="shared" si="762"/>
        <v>1.0386389776311076</v>
      </c>
      <c r="BG259" s="528">
        <f t="shared" si="763"/>
        <v>0.50248420998813759</v>
      </c>
      <c r="BH259" s="528">
        <f t="shared" si="696"/>
        <v>0.16806763484615522</v>
      </c>
      <c r="BI259">
        <f t="shared" si="697"/>
        <v>1.6151278178190134E-2</v>
      </c>
      <c r="BJ259" s="460">
        <f t="shared" si="698"/>
        <v>518.63548816632772</v>
      </c>
      <c r="BK259">
        <f t="shared" si="764"/>
        <v>1.2391736792719268</v>
      </c>
      <c r="BL259" s="460">
        <f t="shared" si="699"/>
        <v>1746.09541989013</v>
      </c>
      <c r="BM259" s="173">
        <f t="shared" si="765"/>
        <v>0.37323999999999996</v>
      </c>
      <c r="BN259" s="173">
        <f t="shared" si="766"/>
        <v>2.6660000000000003E-2</v>
      </c>
      <c r="BQ259" s="460">
        <f t="shared" si="700"/>
        <v>399.9</v>
      </c>
      <c r="BR259" s="528">
        <f t="shared" si="701"/>
        <v>1.5564989434904778E-2</v>
      </c>
      <c r="BS259" s="528">
        <f t="shared" si="702"/>
        <v>2.1278727792437495E-2</v>
      </c>
      <c r="BT259" s="528">
        <f t="shared" si="703"/>
        <v>3.5560461209518397E-5</v>
      </c>
      <c r="BU259" s="528">
        <f t="shared" si="704"/>
        <v>1.152664071117171</v>
      </c>
      <c r="BV259" s="528"/>
      <c r="BW259" s="625">
        <f t="shared" si="705"/>
        <v>0.44375999999999999</v>
      </c>
      <c r="BX259" s="460">
        <f t="shared" si="706"/>
        <v>1633.3033488057226</v>
      </c>
      <c r="BY259" s="173">
        <f t="shared" si="707"/>
        <v>3.7792987686958526</v>
      </c>
      <c r="BZ259" s="5">
        <f t="shared" si="708"/>
        <v>11.094000000000001</v>
      </c>
      <c r="CA259" s="173">
        <f t="shared" si="709"/>
        <v>0.7459004335574686</v>
      </c>
      <c r="CB259" s="5">
        <f t="shared" si="710"/>
        <v>74.590043355746857</v>
      </c>
      <c r="CC259">
        <f t="shared" si="711"/>
        <v>43</v>
      </c>
      <c r="CE259" s="562">
        <f t="shared" si="767"/>
        <v>-50</v>
      </c>
      <c r="CG259" s="173">
        <f t="shared" si="768"/>
        <v>0.53094776014182354</v>
      </c>
      <c r="CH259" s="173">
        <f t="shared" si="769"/>
        <v>0.14520980307963843</v>
      </c>
      <c r="CI259" s="170">
        <v>43</v>
      </c>
      <c r="CJ259" s="217">
        <f t="shared" si="712"/>
        <v>0.43</v>
      </c>
      <c r="CK259" s="217">
        <f t="shared" si="654"/>
        <v>4.3000000000000003E-2</v>
      </c>
      <c r="CL259" s="217">
        <f t="shared" si="655"/>
        <v>10.32</v>
      </c>
      <c r="CM259" s="217">
        <f t="shared" si="656"/>
        <v>0.77400000000000002</v>
      </c>
      <c r="CN259" s="541">
        <f t="shared" si="657"/>
        <v>36</v>
      </c>
      <c r="CO259" s="443">
        <f t="shared" si="770"/>
        <v>16.474900000000002</v>
      </c>
      <c r="CP259" s="443">
        <f t="shared" si="771"/>
        <v>52.474900000000005</v>
      </c>
      <c r="CQ259" s="443"/>
      <c r="CR259" s="217">
        <f t="shared" si="660"/>
        <v>0.31220924123305599</v>
      </c>
      <c r="CS259" s="172">
        <f t="shared" si="661"/>
        <v>58.085440229405762</v>
      </c>
      <c r="CT259" s="172">
        <f t="shared" si="662"/>
        <v>4.683138618495839</v>
      </c>
      <c r="CU259" s="217">
        <f t="shared" si="663"/>
        <v>2.4202266762252402</v>
      </c>
      <c r="CV259" s="217">
        <f t="shared" si="664"/>
        <v>3.2269689016336534</v>
      </c>
      <c r="CW259" s="217">
        <f t="shared" si="665"/>
        <v>24</v>
      </c>
      <c r="CX259" s="217">
        <f t="shared" si="666"/>
        <v>1.9741034278778979</v>
      </c>
      <c r="CY259" s="217">
        <f t="shared" si="667"/>
        <v>0.54836206329941617</v>
      </c>
      <c r="CZ259" s="217">
        <f t="shared" si="668"/>
        <v>1.1982491109978803</v>
      </c>
      <c r="DA259" s="197">
        <f t="shared" si="669"/>
        <v>350</v>
      </c>
      <c r="DB259" s="443">
        <f t="shared" si="670"/>
        <v>350</v>
      </c>
      <c r="DD259" s="217">
        <f t="shared" si="671"/>
        <v>3.2292794133140656</v>
      </c>
      <c r="DE259" s="173">
        <f t="shared" si="672"/>
        <v>1.9601207978889497</v>
      </c>
      <c r="DF259" s="173">
        <f t="shared" si="673"/>
        <v>0.6872960992823488</v>
      </c>
      <c r="DG259" s="173"/>
      <c r="DH259" s="173">
        <f t="shared" si="674"/>
        <v>1.3488532386977903</v>
      </c>
      <c r="DI259" s="545">
        <f t="shared" si="675"/>
        <v>430.15049999999991</v>
      </c>
      <c r="DJ259" s="528">
        <f t="shared" si="676"/>
        <v>0.34987754285999911</v>
      </c>
      <c r="DL259" s="173">
        <f t="shared" si="677"/>
        <v>2.5178221882072154</v>
      </c>
      <c r="DM259" s="173">
        <f t="shared" si="678"/>
        <v>2.5178221882072154</v>
      </c>
      <c r="DN259" s="173">
        <f t="shared" si="679"/>
        <v>1.4189629377666615</v>
      </c>
      <c r="DP259" s="545">
        <f t="shared" si="680"/>
        <v>430</v>
      </c>
      <c r="DQ259" s="460">
        <f t="shared" si="681"/>
        <v>350</v>
      </c>
      <c r="DS259">
        <f t="shared" si="682"/>
        <v>430</v>
      </c>
      <c r="DT259">
        <f t="shared" si="683"/>
        <v>350</v>
      </c>
      <c r="DV259" s="5">
        <f t="shared" si="684"/>
        <v>2.8571428571428572</v>
      </c>
      <c r="DW259" s="5">
        <f t="shared" si="685"/>
        <v>0.69939505227978205</v>
      </c>
      <c r="DX259" s="5">
        <f t="shared" si="686"/>
        <v>2.1577478048630754</v>
      </c>
      <c r="DY259" s="173">
        <f t="shared" si="687"/>
        <v>0.24478826829792372</v>
      </c>
      <c r="EA259" s="5">
        <f t="shared" si="713"/>
        <v>1.2530828020012761</v>
      </c>
      <c r="EB259" s="5">
        <f t="shared" si="714"/>
        <v>0.16707770693350349</v>
      </c>
      <c r="EC259" s="5">
        <f t="shared" si="715"/>
        <v>0.51546197560617901</v>
      </c>
      <c r="ED259" s="5"/>
      <c r="EE259" s="173">
        <f t="shared" si="716"/>
        <v>0.71921664376328698</v>
      </c>
      <c r="EF259" s="173">
        <f t="shared" si="717"/>
        <v>0.84260615439922837</v>
      </c>
      <c r="EG259" s="173">
        <f t="shared" si="718"/>
        <v>8.4374481136463245E-2</v>
      </c>
      <c r="EH259" s="173"/>
      <c r="EI259" s="528">
        <f t="shared" si="719"/>
        <v>2.0690903226645071E-2</v>
      </c>
      <c r="EJ259" s="528">
        <f t="shared" si="720"/>
        <v>1.2716787501105653</v>
      </c>
      <c r="EK259" s="528">
        <f t="shared" si="721"/>
        <v>6.9999999999999993E-2</v>
      </c>
      <c r="EL259" s="528">
        <f t="shared" si="722"/>
        <v>0.16865892671311253</v>
      </c>
      <c r="EM259">
        <f t="shared" si="723"/>
        <v>1.6199999999999999E-2</v>
      </c>
      <c r="EN259" s="460">
        <f t="shared" si="724"/>
        <v>86.2</v>
      </c>
      <c r="EP259" s="460">
        <f t="shared" si="725"/>
        <v>1547.228580050323</v>
      </c>
      <c r="EQ259" s="173">
        <f t="shared" si="726"/>
        <v>0.30099999999999999</v>
      </c>
      <c r="ER259" s="173">
        <f t="shared" si="772"/>
        <v>2.6660000000000003E-2</v>
      </c>
      <c r="ES259" s="528"/>
      <c r="EU259" s="460">
        <f t="shared" si="727"/>
        <v>327.66000000000003</v>
      </c>
      <c r="EV259" s="528">
        <f t="shared" si="728"/>
        <v>1.5518177419983804E-2</v>
      </c>
      <c r="EW259" s="528">
        <f t="shared" si="729"/>
        <v>2.1299553942943687E-2</v>
      </c>
      <c r="EX259" s="528">
        <f t="shared" si="730"/>
        <v>3.5595265335236964E-5</v>
      </c>
      <c r="EY259" s="528">
        <f t="shared" si="731"/>
        <v>1.152664071117171</v>
      </c>
      <c r="EZ259" s="528"/>
      <c r="FA259" s="625">
        <f t="shared" si="732"/>
        <v>0.44375999999999999</v>
      </c>
      <c r="FB259" s="460">
        <f t="shared" si="733"/>
        <v>1633.2773977454335</v>
      </c>
      <c r="FC259" s="173">
        <f t="shared" si="734"/>
        <v>3.5081659777957563</v>
      </c>
      <c r="FD259" s="5">
        <f t="shared" si="735"/>
        <v>11.094000000000001</v>
      </c>
      <c r="FE259" s="173">
        <f t="shared" si="736"/>
        <v>0.7597503012135105</v>
      </c>
      <c r="FF259" s="5">
        <f t="shared" si="737"/>
        <v>75.975030121351054</v>
      </c>
      <c r="FG259">
        <f t="shared" si="738"/>
        <v>43</v>
      </c>
      <c r="FI259" s="562">
        <f t="shared" si="689"/>
        <v>-50</v>
      </c>
    </row>
    <row r="260" spans="5:165">
      <c r="E260" s="170">
        <v>44</v>
      </c>
      <c r="F260" s="217">
        <f t="shared" si="773"/>
        <v>0.44</v>
      </c>
      <c r="G260" s="217">
        <f t="shared" si="742"/>
        <v>4.4000000000000004E-2</v>
      </c>
      <c r="H260" s="217">
        <f t="shared" si="743"/>
        <v>10.56</v>
      </c>
      <c r="I260" s="217">
        <f t="shared" si="744"/>
        <v>0.79200000000000004</v>
      </c>
      <c r="J260" s="541">
        <f t="shared" si="745"/>
        <v>35.890477558714764</v>
      </c>
      <c r="K260" s="443">
        <f t="shared" si="746"/>
        <v>16.491292902719248</v>
      </c>
      <c r="L260" s="172">
        <f t="shared" si="747"/>
        <v>52.381770461434016</v>
      </c>
      <c r="M260" s="443"/>
      <c r="N260" s="217">
        <f t="shared" si="748"/>
        <v>0.31482885663173477</v>
      </c>
      <c r="O260" s="172">
        <f t="shared" si="749"/>
        <v>58.394615058279605</v>
      </c>
      <c r="P260" s="172">
        <f t="shared" si="750"/>
        <v>4.7080658390737931</v>
      </c>
      <c r="Q260" s="217">
        <f t="shared" si="626"/>
        <v>2.4331089607616501</v>
      </c>
      <c r="R260" s="217">
        <f t="shared" si="751"/>
        <v>3.2441452810155336</v>
      </c>
      <c r="S260" s="217">
        <f t="shared" si="752"/>
        <v>24</v>
      </c>
      <c r="T260" s="217">
        <f t="shared" si="753"/>
        <v>2.0093176950688192</v>
      </c>
      <c r="U260" s="217">
        <f t="shared" si="630"/>
        <v>0.55984702119989649</v>
      </c>
      <c r="V260" s="217">
        <f t="shared" si="631"/>
        <v>1.2184112591545222</v>
      </c>
      <c r="W260" s="197">
        <f t="shared" si="632"/>
        <v>350</v>
      </c>
      <c r="X260" s="443">
        <f t="shared" si="691"/>
        <v>350</v>
      </c>
      <c r="Z260" s="217">
        <f t="shared" si="633"/>
        <v>3.228388003936316</v>
      </c>
      <c r="AA260" s="173">
        <f t="shared" si="634"/>
        <v>1.9576318381950439</v>
      </c>
      <c r="AB260" s="173">
        <f t="shared" si="754"/>
        <v>0.68623389117624323</v>
      </c>
      <c r="AC260" s="173"/>
      <c r="AD260" s="173">
        <f t="shared" si="636"/>
        <v>1.3475124329735242</v>
      </c>
      <c r="AE260" s="545">
        <f t="shared" si="755"/>
        <v>440.59196330803132</v>
      </c>
      <c r="AF260" s="528">
        <f t="shared" si="756"/>
        <v>0.34952975275296588</v>
      </c>
      <c r="AH260" s="173">
        <f t="shared" si="757"/>
        <v>2.5469309262045452</v>
      </c>
      <c r="AI260" s="173">
        <f t="shared" si="758"/>
        <v>2.5469309262045452</v>
      </c>
      <c r="AJ260" s="173">
        <f t="shared" si="759"/>
        <v>1.4405249659128316</v>
      </c>
      <c r="AL260" s="545">
        <f t="shared" si="760"/>
        <v>440</v>
      </c>
      <c r="AM260" s="460">
        <f t="shared" si="761"/>
        <v>350</v>
      </c>
      <c r="AO260">
        <f t="shared" si="644"/>
        <v>440</v>
      </c>
      <c r="AP260">
        <f t="shared" si="645"/>
        <v>350</v>
      </c>
      <c r="AR260" s="5">
        <f t="shared" si="616"/>
        <v>2.8571428571428572</v>
      </c>
      <c r="AS260" s="5">
        <f t="shared" si="739"/>
        <v>0.70963974275291053</v>
      </c>
      <c r="AT260" s="5">
        <f t="shared" si="740"/>
        <v>2.1475031143899468</v>
      </c>
      <c r="AU260" s="173">
        <f t="shared" si="741"/>
        <v>0.24837390996351869</v>
      </c>
      <c r="BA260" s="173">
        <f t="shared" si="692"/>
        <v>0.73284060839680731</v>
      </c>
      <c r="BB260" s="173">
        <f t="shared" si="693"/>
        <v>0.85032176749873045</v>
      </c>
      <c r="BC260" s="173">
        <f t="shared" si="694"/>
        <v>8.5147085096832303E-2</v>
      </c>
      <c r="BD260" s="173"/>
      <c r="BE260" s="528">
        <f t="shared" si="695"/>
        <v>2.1482214292616108E-2</v>
      </c>
      <c r="BF260" s="528">
        <f t="shared" si="762"/>
        <v>1.0506254153658956</v>
      </c>
      <c r="BG260" s="528">
        <f t="shared" si="763"/>
        <v>0.50246668582200671</v>
      </c>
      <c r="BH260" s="528">
        <f t="shared" si="696"/>
        <v>0.1680608049463046</v>
      </c>
      <c r="BI260">
        <f t="shared" si="697"/>
        <v>1.6150714901421642E-2</v>
      </c>
      <c r="BJ260" s="460">
        <f t="shared" si="698"/>
        <v>518.61740072342832</v>
      </c>
      <c r="BK260">
        <f t="shared" si="764"/>
        <v>1.2523609005562391</v>
      </c>
      <c r="BL260" s="460">
        <f t="shared" si="699"/>
        <v>1758.7858353282447</v>
      </c>
      <c r="BM260" s="173">
        <f t="shared" si="765"/>
        <v>0.38191999999999998</v>
      </c>
      <c r="BN260" s="173">
        <f t="shared" si="766"/>
        <v>2.7280000000000002E-2</v>
      </c>
      <c r="BQ260" s="460">
        <f t="shared" si="700"/>
        <v>409.2</v>
      </c>
      <c r="BR260" s="528">
        <f t="shared" si="701"/>
        <v>1.611166071946208E-2</v>
      </c>
      <c r="BS260" s="528">
        <f t="shared" si="702"/>
        <v>2.169141324846495E-2</v>
      </c>
      <c r="BT260" s="528">
        <f t="shared" si="703"/>
        <v>3.6250130502436006E-5</v>
      </c>
      <c r="BU260" s="528">
        <f t="shared" si="704"/>
        <v>1.1862685930145402</v>
      </c>
      <c r="BV260" s="528"/>
      <c r="BW260" s="625">
        <f t="shared" si="705"/>
        <v>0.45408000000000004</v>
      </c>
      <c r="BX260" s="460">
        <f t="shared" si="706"/>
        <v>1678.1879171129697</v>
      </c>
      <c r="BY260" s="173">
        <f t="shared" si="707"/>
        <v>3.8461737524412145</v>
      </c>
      <c r="BZ260" s="5">
        <f t="shared" si="708"/>
        <v>11.352</v>
      </c>
      <c r="CA260" s="173">
        <f t="shared" si="709"/>
        <v>0.74693184753046926</v>
      </c>
      <c r="CB260" s="5">
        <f t="shared" si="710"/>
        <v>74.693184753046921</v>
      </c>
      <c r="CC260">
        <f t="shared" si="711"/>
        <v>44</v>
      </c>
      <c r="CE260" s="562">
        <f t="shared" si="767"/>
        <v>-50</v>
      </c>
      <c r="CG260" s="173">
        <f t="shared" si="768"/>
        <v>0.53708608846088646</v>
      </c>
      <c r="CH260" s="173">
        <f t="shared" si="769"/>
        <v>0.14688858489842077</v>
      </c>
      <c r="CI260" s="170">
        <v>44</v>
      </c>
      <c r="CJ260" s="217">
        <f t="shared" si="712"/>
        <v>0.44</v>
      </c>
      <c r="CK260" s="217">
        <f t="shared" si="654"/>
        <v>4.4000000000000004E-2</v>
      </c>
      <c r="CL260" s="217">
        <f t="shared" si="655"/>
        <v>10.56</v>
      </c>
      <c r="CM260" s="217">
        <f t="shared" si="656"/>
        <v>0.79200000000000004</v>
      </c>
      <c r="CN260" s="541">
        <f t="shared" si="657"/>
        <v>36</v>
      </c>
      <c r="CO260" s="443">
        <f t="shared" si="770"/>
        <v>16.474900000000002</v>
      </c>
      <c r="CP260" s="443">
        <f t="shared" si="771"/>
        <v>52.474900000000005</v>
      </c>
      <c r="CQ260" s="443"/>
      <c r="CR260" s="217">
        <f t="shared" si="660"/>
        <v>0.31220924123305599</v>
      </c>
      <c r="CS260" s="172">
        <f t="shared" si="661"/>
        <v>58.085440229405762</v>
      </c>
      <c r="CT260" s="172">
        <f t="shared" si="662"/>
        <v>4.683138618495839</v>
      </c>
      <c r="CU260" s="217">
        <f t="shared" si="663"/>
        <v>2.4202266762252402</v>
      </c>
      <c r="CV260" s="217">
        <f t="shared" si="664"/>
        <v>3.2269689016336534</v>
      </c>
      <c r="CW260" s="217">
        <f t="shared" si="665"/>
        <v>24</v>
      </c>
      <c r="CX260" s="217">
        <f t="shared" si="666"/>
        <v>2.0200128099215697</v>
      </c>
      <c r="CY260" s="217">
        <f t="shared" si="667"/>
        <v>0.56111466942265831</v>
      </c>
      <c r="CZ260" s="217">
        <f t="shared" si="668"/>
        <v>1.2261153693931797</v>
      </c>
      <c r="DA260" s="197">
        <f t="shared" si="669"/>
        <v>350</v>
      </c>
      <c r="DB260" s="443">
        <f t="shared" si="670"/>
        <v>350</v>
      </c>
      <c r="DD260" s="217">
        <f t="shared" si="671"/>
        <v>3.2292794133140656</v>
      </c>
      <c r="DE260" s="173">
        <f t="shared" si="672"/>
        <v>1.9601207978889497</v>
      </c>
      <c r="DF260" s="173">
        <f t="shared" si="673"/>
        <v>0.6872960992823488</v>
      </c>
      <c r="DG260" s="173"/>
      <c r="DH260" s="173">
        <f t="shared" si="674"/>
        <v>1.3488532386977903</v>
      </c>
      <c r="DI260" s="545">
        <f t="shared" si="675"/>
        <v>440.15399999999983</v>
      </c>
      <c r="DJ260" s="528">
        <f t="shared" si="676"/>
        <v>0.34987754285999911</v>
      </c>
      <c r="DL260" s="173">
        <f t="shared" si="677"/>
        <v>2.5469309262045452</v>
      </c>
      <c r="DM260" s="173">
        <f t="shared" si="678"/>
        <v>2.5469309262045452</v>
      </c>
      <c r="DN260" s="173">
        <f t="shared" si="679"/>
        <v>1.4405249659128316</v>
      </c>
      <c r="DP260" s="545">
        <f t="shared" si="680"/>
        <v>440</v>
      </c>
      <c r="DQ260" s="460">
        <f t="shared" si="681"/>
        <v>350</v>
      </c>
      <c r="DS260">
        <f t="shared" si="682"/>
        <v>440</v>
      </c>
      <c r="DT260">
        <f t="shared" si="683"/>
        <v>350</v>
      </c>
      <c r="DV260" s="5">
        <f t="shared" si="684"/>
        <v>2.8571428571428572</v>
      </c>
      <c r="DW260" s="5">
        <f t="shared" si="685"/>
        <v>0.70748081283459596</v>
      </c>
      <c r="DX260" s="5">
        <f t="shared" si="686"/>
        <v>2.1496620443082612</v>
      </c>
      <c r="DY260" s="173">
        <f t="shared" si="687"/>
        <v>0.24761828449210857</v>
      </c>
      <c r="EA260" s="5">
        <f t="shared" si="713"/>
        <v>1.297048156863426</v>
      </c>
      <c r="EB260" s="5">
        <f t="shared" si="714"/>
        <v>0.17293975424845681</v>
      </c>
      <c r="EC260" s="5">
        <f t="shared" si="715"/>
        <v>0.52547294416424162</v>
      </c>
      <c r="ED260" s="5"/>
      <c r="EE260" s="173">
        <f t="shared" si="716"/>
        <v>0.73172500241089355</v>
      </c>
      <c r="EF260" s="173">
        <f t="shared" si="717"/>
        <v>0.85074908328123378</v>
      </c>
      <c r="EG260" s="173">
        <f t="shared" si="718"/>
        <v>8.5189874420458653E-2</v>
      </c>
      <c r="EH260" s="173"/>
      <c r="EI260" s="528">
        <f t="shared" si="719"/>
        <v>2.1416859166128885E-2</v>
      </c>
      <c r="EJ260" s="528">
        <f t="shared" si="720"/>
        <v>1.2863807269725998</v>
      </c>
      <c r="EK260" s="528">
        <f t="shared" si="721"/>
        <v>6.9999999999999993E-2</v>
      </c>
      <c r="EL260" s="528">
        <f t="shared" si="722"/>
        <v>0.16865892671311253</v>
      </c>
      <c r="EM260">
        <f t="shared" si="723"/>
        <v>1.6199999999999999E-2</v>
      </c>
      <c r="EN260" s="460">
        <f t="shared" si="724"/>
        <v>86.2</v>
      </c>
      <c r="EP260" s="460">
        <f t="shared" si="725"/>
        <v>1562.6565128518409</v>
      </c>
      <c r="EQ260" s="173">
        <f t="shared" si="726"/>
        <v>0.308</v>
      </c>
      <c r="ER260" s="173">
        <f t="shared" si="772"/>
        <v>2.7280000000000002E-2</v>
      </c>
      <c r="ES260" s="528"/>
      <c r="EU260" s="460">
        <f t="shared" si="727"/>
        <v>335.28000000000003</v>
      </c>
      <c r="EV260" s="528">
        <f t="shared" si="728"/>
        <v>1.6062644374596664E-2</v>
      </c>
      <c r="EW260" s="528">
        <f t="shared" si="729"/>
        <v>2.1713220081115786E-2</v>
      </c>
      <c r="EX260" s="528">
        <f t="shared" si="730"/>
        <v>3.6286573518867574E-5</v>
      </c>
      <c r="EY260" s="528">
        <f t="shared" si="731"/>
        <v>1.1862685930145402</v>
      </c>
      <c r="EZ260" s="528"/>
      <c r="FA260" s="625">
        <f t="shared" si="732"/>
        <v>0.45408000000000004</v>
      </c>
      <c r="FB260" s="460">
        <f t="shared" si="733"/>
        <v>1678.1607440437715</v>
      </c>
      <c r="FC260" s="173">
        <f t="shared" si="734"/>
        <v>3.5760972568956131</v>
      </c>
      <c r="FD260" s="5">
        <f t="shared" si="735"/>
        <v>11.352</v>
      </c>
      <c r="FE260" s="173">
        <f t="shared" si="736"/>
        <v>0.76044520642148583</v>
      </c>
      <c r="FF260" s="5">
        <f t="shared" si="737"/>
        <v>76.044520642148584</v>
      </c>
      <c r="FG260">
        <f t="shared" si="738"/>
        <v>44</v>
      </c>
      <c r="FI260" s="562">
        <f t="shared" si="689"/>
        <v>-50</v>
      </c>
    </row>
    <row r="261" spans="5:165">
      <c r="E261" s="170">
        <v>45</v>
      </c>
      <c r="F261" s="217">
        <f t="shared" si="773"/>
        <v>0.45</v>
      </c>
      <c r="G261" s="217">
        <f t="shared" si="742"/>
        <v>4.5000000000000005E-2</v>
      </c>
      <c r="H261" s="217">
        <f t="shared" si="743"/>
        <v>10.8</v>
      </c>
      <c r="I261" s="217">
        <f t="shared" si="744"/>
        <v>0.81</v>
      </c>
      <c r="J261" s="541">
        <f t="shared" si="745"/>
        <v>35.889239977723285</v>
      </c>
      <c r="K261" s="443">
        <f t="shared" si="746"/>
        <v>16.491478139138035</v>
      </c>
      <c r="L261" s="172">
        <f t="shared" si="747"/>
        <v>52.380718116861317</v>
      </c>
      <c r="M261" s="443"/>
      <c r="N261" s="217">
        <f t="shared" si="748"/>
        <v>0.31483871798675167</v>
      </c>
      <c r="O261" s="172">
        <f t="shared" si="749"/>
        <v>58.394430512171965</v>
      </c>
      <c r="P261" s="172">
        <f t="shared" si="750"/>
        <v>4.708050960043864</v>
      </c>
      <c r="Q261" s="217">
        <f t="shared" si="626"/>
        <v>2.4331012713404987</v>
      </c>
      <c r="R261" s="217">
        <f t="shared" si="751"/>
        <v>3.2441350284539983</v>
      </c>
      <c r="S261" s="217">
        <f t="shared" si="752"/>
        <v>24</v>
      </c>
      <c r="T261" s="217">
        <f t="shared" si="753"/>
        <v>2.0549905007633691</v>
      </c>
      <c r="U261" s="217">
        <f t="shared" si="630"/>
        <v>0.57259237087185932</v>
      </c>
      <c r="V261" s="217">
        <f t="shared" si="631"/>
        <v>1.2460923656603033</v>
      </c>
      <c r="W261" s="197">
        <f t="shared" si="632"/>
        <v>350</v>
      </c>
      <c r="X261" s="443">
        <f t="shared" si="691"/>
        <v>350</v>
      </c>
      <c r="Z261" s="217">
        <f t="shared" si="633"/>
        <v>3.2283778011729352</v>
      </c>
      <c r="AA261" s="173">
        <f t="shared" si="634"/>
        <v>1.9576036628949953</v>
      </c>
      <c r="AB261" s="173">
        <f t="shared" si="754"/>
        <v>0.68622184583296042</v>
      </c>
      <c r="AC261" s="173"/>
      <c r="AD261" s="173">
        <f t="shared" si="636"/>
        <v>1.3474972973758994</v>
      </c>
      <c r="AE261" s="545">
        <f t="shared" si="755"/>
        <v>450.61047838949122</v>
      </c>
      <c r="AF261" s="528">
        <f t="shared" si="756"/>
        <v>0.34952582674711519</v>
      </c>
      <c r="AH261" s="173">
        <f t="shared" si="757"/>
        <v>2.5757107202257234</v>
      </c>
      <c r="AI261" s="173">
        <f t="shared" si="758"/>
        <v>2.5757107202257234</v>
      </c>
      <c r="AJ261" s="173">
        <f t="shared" si="759"/>
        <v>1.4618433318544453</v>
      </c>
      <c r="AL261" s="545">
        <f t="shared" si="760"/>
        <v>450</v>
      </c>
      <c r="AM261" s="460">
        <f t="shared" si="761"/>
        <v>350</v>
      </c>
      <c r="AO261">
        <f t="shared" si="644"/>
        <v>450</v>
      </c>
      <c r="AP261">
        <f t="shared" si="645"/>
        <v>350</v>
      </c>
      <c r="AR261" s="5">
        <f t="shared" si="616"/>
        <v>2.8571428571428572</v>
      </c>
      <c r="AS261" s="5">
        <f t="shared" si="739"/>
        <v>0.71768327270917032</v>
      </c>
      <c r="AT261" s="5">
        <f t="shared" si="740"/>
        <v>2.1394595844336868</v>
      </c>
      <c r="AU261" s="173">
        <f t="shared" si="741"/>
        <v>0.25118914544820958</v>
      </c>
      <c r="BA261" s="173">
        <f t="shared" si="692"/>
        <v>0.74530990405125963</v>
      </c>
      <c r="BB261" s="173">
        <f t="shared" si="693"/>
        <v>0.85831827146796658</v>
      </c>
      <c r="BC261" s="173">
        <f t="shared" si="694"/>
        <v>8.5947816102400418E-2</v>
      </c>
      <c r="BD261" s="173"/>
      <c r="BE261" s="528">
        <f t="shared" si="695"/>
        <v>2.2219474123075914E-2</v>
      </c>
      <c r="BF261" s="528">
        <f t="shared" si="762"/>
        <v>1.0624759203454315</v>
      </c>
      <c r="BG261" s="528">
        <f t="shared" si="763"/>
        <v>0.5024493596881261</v>
      </c>
      <c r="BH261" s="528">
        <f t="shared" si="696"/>
        <v>0.1680540523643326</v>
      </c>
      <c r="BI261">
        <f t="shared" si="697"/>
        <v>1.6150157989975478E-2</v>
      </c>
      <c r="BJ261" s="460">
        <f t="shared" si="698"/>
        <v>518.59951767810151</v>
      </c>
      <c r="BK261">
        <f t="shared" si="764"/>
        <v>1.2654293455304588</v>
      </c>
      <c r="BL261" s="460">
        <f t="shared" si="699"/>
        <v>1771.3489645109414</v>
      </c>
      <c r="BM261" s="173">
        <f t="shared" si="765"/>
        <v>0.3906</v>
      </c>
      <c r="BN261" s="173">
        <f t="shared" si="766"/>
        <v>2.7900000000000005E-2</v>
      </c>
      <c r="BQ261" s="460">
        <f t="shared" si="700"/>
        <v>418.5</v>
      </c>
      <c r="BR261" s="528">
        <f t="shared" si="701"/>
        <v>1.6664605592306935E-2</v>
      </c>
      <c r="BS261" s="528">
        <f t="shared" si="702"/>
        <v>2.2101307654072738E-2</v>
      </c>
      <c r="BT261" s="528">
        <f t="shared" si="703"/>
        <v>3.6935135463860206E-5</v>
      </c>
      <c r="BU261" s="528">
        <f t="shared" si="704"/>
        <v>1.2200646076197443</v>
      </c>
      <c r="BV261" s="528"/>
      <c r="BW261" s="625">
        <f t="shared" si="705"/>
        <v>0.46440000000000015</v>
      </c>
      <c r="BX261" s="460">
        <f t="shared" si="706"/>
        <v>1723.267456001588</v>
      </c>
      <c r="BY261" s="173">
        <f t="shared" si="707"/>
        <v>3.9131164205125293</v>
      </c>
      <c r="BZ261" s="5">
        <f t="shared" si="708"/>
        <v>11.610000000000001</v>
      </c>
      <c r="CA261" s="173">
        <f t="shared" si="709"/>
        <v>0.74791682839267604</v>
      </c>
      <c r="CB261" s="5">
        <f t="shared" si="710"/>
        <v>74.791682839267608</v>
      </c>
      <c r="CC261">
        <f t="shared" si="711"/>
        <v>45</v>
      </c>
      <c r="CE261" s="562">
        <f t="shared" si="767"/>
        <v>-50</v>
      </c>
      <c r="CG261" s="173">
        <f t="shared" si="768"/>
        <v>0.54315505045687551</v>
      </c>
      <c r="CH261" s="173">
        <f t="shared" si="769"/>
        <v>0.14854839560390332</v>
      </c>
      <c r="CI261" s="170">
        <v>45</v>
      </c>
      <c r="CJ261" s="217">
        <f t="shared" si="712"/>
        <v>0.45</v>
      </c>
      <c r="CK261" s="217">
        <f t="shared" si="654"/>
        <v>4.5000000000000005E-2</v>
      </c>
      <c r="CL261" s="217">
        <f t="shared" si="655"/>
        <v>10.8</v>
      </c>
      <c r="CM261" s="217">
        <f t="shared" si="656"/>
        <v>0.81</v>
      </c>
      <c r="CN261" s="541">
        <f t="shared" si="657"/>
        <v>36</v>
      </c>
      <c r="CO261" s="443">
        <f t="shared" si="770"/>
        <v>16.474900000000002</v>
      </c>
      <c r="CP261" s="443">
        <f t="shared" si="771"/>
        <v>52.474900000000005</v>
      </c>
      <c r="CQ261" s="443"/>
      <c r="CR261" s="217">
        <f t="shared" si="660"/>
        <v>0.31220924123305599</v>
      </c>
      <c r="CS261" s="172">
        <f t="shared" si="661"/>
        <v>58.085440229405762</v>
      </c>
      <c r="CT261" s="172">
        <f t="shared" si="662"/>
        <v>4.683138618495839</v>
      </c>
      <c r="CU261" s="217">
        <f t="shared" si="663"/>
        <v>2.4202266762252402</v>
      </c>
      <c r="CV261" s="217">
        <f t="shared" si="664"/>
        <v>3.2269689016336534</v>
      </c>
      <c r="CW261" s="217">
        <f t="shared" si="665"/>
        <v>24</v>
      </c>
      <c r="CX261" s="217">
        <f t="shared" si="666"/>
        <v>2.065922191965242</v>
      </c>
      <c r="CY261" s="217">
        <f t="shared" si="667"/>
        <v>0.57386727554590056</v>
      </c>
      <c r="CZ261" s="217">
        <f t="shared" si="668"/>
        <v>1.2539816277884794</v>
      </c>
      <c r="DA261" s="197">
        <f t="shared" si="669"/>
        <v>350</v>
      </c>
      <c r="DB261" s="443">
        <f t="shared" si="670"/>
        <v>350</v>
      </c>
      <c r="DD261" s="217">
        <f t="shared" si="671"/>
        <v>3.2292794133140656</v>
      </c>
      <c r="DE261" s="173">
        <f t="shared" si="672"/>
        <v>1.9601207978889497</v>
      </c>
      <c r="DF261" s="173">
        <f t="shared" si="673"/>
        <v>0.6872960992823488</v>
      </c>
      <c r="DG261" s="173"/>
      <c r="DH261" s="173">
        <f t="shared" si="674"/>
        <v>1.3488532386977903</v>
      </c>
      <c r="DI261" s="545">
        <f t="shared" si="675"/>
        <v>450.15749999999986</v>
      </c>
      <c r="DJ261" s="528">
        <f t="shared" si="676"/>
        <v>0.34987754285999911</v>
      </c>
      <c r="DL261" s="173">
        <f t="shared" si="677"/>
        <v>2.5757107202257234</v>
      </c>
      <c r="DM261" s="173">
        <f t="shared" si="678"/>
        <v>2.5757107202257234</v>
      </c>
      <c r="DN261" s="173">
        <f t="shared" si="679"/>
        <v>1.4618433318544453</v>
      </c>
      <c r="DP261" s="545">
        <f t="shared" si="680"/>
        <v>450</v>
      </c>
      <c r="DQ261" s="460">
        <f t="shared" si="681"/>
        <v>350</v>
      </c>
      <c r="DS261">
        <f t="shared" si="682"/>
        <v>450</v>
      </c>
      <c r="DT261">
        <f t="shared" si="683"/>
        <v>350</v>
      </c>
      <c r="DV261" s="5">
        <f t="shared" si="684"/>
        <v>2.8571428571428572</v>
      </c>
      <c r="DW261" s="5">
        <f t="shared" si="685"/>
        <v>0.71547520006270104</v>
      </c>
      <c r="DX261" s="5">
        <f t="shared" si="686"/>
        <v>2.1416676570801561</v>
      </c>
      <c r="DY261" s="173">
        <f t="shared" si="687"/>
        <v>0.25041632002194536</v>
      </c>
      <c r="EA261" s="5">
        <f t="shared" si="713"/>
        <v>1.3415160001175643</v>
      </c>
      <c r="EB261" s="5">
        <f t="shared" si="714"/>
        <v>0.17886880001567529</v>
      </c>
      <c r="EC261" s="5">
        <f t="shared" si="715"/>
        <v>0.53541691427003901</v>
      </c>
      <c r="ED261" s="5"/>
      <c r="EE261" s="173">
        <f t="shared" si="716"/>
        <v>0.74416248551544895</v>
      </c>
      <c r="EF261" s="173">
        <f t="shared" si="717"/>
        <v>0.8587610796333448</v>
      </c>
      <c r="EG261" s="173">
        <f t="shared" si="718"/>
        <v>8.5992156757879509E-2</v>
      </c>
      <c r="EH261" s="173"/>
      <c r="EI261" s="528">
        <f t="shared" si="719"/>
        <v>2.2151112193941232E-2</v>
      </c>
      <c r="EJ261" s="528">
        <f t="shared" si="720"/>
        <v>1.3009165638004385</v>
      </c>
      <c r="EK261" s="528">
        <f t="shared" si="721"/>
        <v>6.9999999999999993E-2</v>
      </c>
      <c r="EL261" s="528">
        <f t="shared" si="722"/>
        <v>0.16865892671311253</v>
      </c>
      <c r="EM261">
        <f t="shared" si="723"/>
        <v>1.6199999999999999E-2</v>
      </c>
      <c r="EN261" s="460">
        <f t="shared" si="724"/>
        <v>86.2</v>
      </c>
      <c r="EP261" s="460">
        <f t="shared" si="725"/>
        <v>1577.9266027074923</v>
      </c>
      <c r="EQ261" s="173">
        <f t="shared" si="726"/>
        <v>0.315</v>
      </c>
      <c r="ER261" s="173">
        <f t="shared" si="772"/>
        <v>2.7900000000000005E-2</v>
      </c>
      <c r="ES261" s="528"/>
      <c r="EU261" s="460">
        <f t="shared" si="727"/>
        <v>342.9</v>
      </c>
      <c r="EV261" s="528">
        <f t="shared" si="728"/>
        <v>1.6613334145455922E-2</v>
      </c>
      <c r="EW261" s="528">
        <f t="shared" si="729"/>
        <v>2.212411775679084E-2</v>
      </c>
      <c r="EX261" s="528">
        <f t="shared" si="730"/>
        <v>3.6973255119358615E-5</v>
      </c>
      <c r="EY261" s="528">
        <f t="shared" si="731"/>
        <v>1.2200646076197443</v>
      </c>
      <c r="EZ261" s="528"/>
      <c r="FA261" s="625">
        <f t="shared" si="732"/>
        <v>0.46440000000000015</v>
      </c>
      <c r="FB261" s="460">
        <f t="shared" si="733"/>
        <v>1723.2390327771107</v>
      </c>
      <c r="FC261" s="173">
        <f t="shared" si="734"/>
        <v>3.644065635484603</v>
      </c>
      <c r="FD261" s="5">
        <f t="shared" si="735"/>
        <v>11.610000000000001</v>
      </c>
      <c r="FE261" s="173">
        <f t="shared" si="736"/>
        <v>0.76110856459096154</v>
      </c>
      <c r="FF261" s="5">
        <f t="shared" si="737"/>
        <v>76.110856459096155</v>
      </c>
      <c r="FG261">
        <f t="shared" si="738"/>
        <v>45</v>
      </c>
      <c r="FI261" s="562">
        <f t="shared" si="689"/>
        <v>-50</v>
      </c>
    </row>
    <row r="262" spans="5:165">
      <c r="E262" s="170">
        <v>46</v>
      </c>
      <c r="F262" s="217">
        <f t="shared" si="773"/>
        <v>0.46</v>
      </c>
      <c r="G262" s="217">
        <f t="shared" si="742"/>
        <v>4.6000000000000006E-2</v>
      </c>
      <c r="H262" s="217">
        <f t="shared" si="743"/>
        <v>11.040000000000001</v>
      </c>
      <c r="I262" s="217">
        <f t="shared" si="744"/>
        <v>0.82800000000000007</v>
      </c>
      <c r="J262" s="541">
        <f t="shared" si="745"/>
        <v>35.88801607291937</v>
      </c>
      <c r="K262" s="443">
        <f t="shared" si="746"/>
        <v>16.491661328557051</v>
      </c>
      <c r="L262" s="172">
        <f t="shared" si="747"/>
        <v>52.379677401476421</v>
      </c>
      <c r="M262" s="443"/>
      <c r="N262" s="217">
        <f t="shared" si="748"/>
        <v>0.31484847075618305</v>
      </c>
      <c r="O262" s="172">
        <f t="shared" si="749"/>
        <v>58.39424795365364</v>
      </c>
      <c r="P262" s="172">
        <f t="shared" si="750"/>
        <v>4.7080362412633248</v>
      </c>
      <c r="Q262" s="217">
        <f t="shared" si="626"/>
        <v>2.4330936647355683</v>
      </c>
      <c r="R262" s="217">
        <f t="shared" si="751"/>
        <v>3.2441248863140912</v>
      </c>
      <c r="S262" s="217">
        <f t="shared" si="752"/>
        <v>24</v>
      </c>
      <c r="T262" s="217">
        <f t="shared" si="753"/>
        <v>2.100663523640629</v>
      </c>
      <c r="U262" s="217">
        <f t="shared" si="630"/>
        <v>0.58533843703490829</v>
      </c>
      <c r="V262" s="217">
        <f t="shared" si="631"/>
        <v>1.273773140128162</v>
      </c>
      <c r="W262" s="197">
        <f t="shared" si="632"/>
        <v>350</v>
      </c>
      <c r="X262" s="443">
        <f t="shared" si="691"/>
        <v>350</v>
      </c>
      <c r="Z262" s="217">
        <f t="shared" si="633"/>
        <v>3.2283677082948516</v>
      </c>
      <c r="AA262" s="173">
        <f t="shared" si="634"/>
        <v>1.9575757978394772</v>
      </c>
      <c r="AB262" s="173">
        <f t="shared" si="754"/>
        <v>0.68620993266224017</v>
      </c>
      <c r="AC262" s="173"/>
      <c r="AD262" s="173">
        <f t="shared" si="636"/>
        <v>1.3474823293722449</v>
      </c>
      <c r="AE262" s="545">
        <f t="shared" si="755"/>
        <v>460.62916124590373</v>
      </c>
      <c r="AF262" s="528">
        <f t="shared" si="756"/>
        <v>0.34952194421327848</v>
      </c>
      <c r="AH262" s="173">
        <f t="shared" si="757"/>
        <v>2.6041724761839959</v>
      </c>
      <c r="AI262" s="173">
        <f t="shared" si="758"/>
        <v>2.6041724761839959</v>
      </c>
      <c r="AJ262" s="173">
        <f t="shared" si="759"/>
        <v>1.4829261140457581</v>
      </c>
      <c r="AL262" s="545">
        <f t="shared" si="760"/>
        <v>460</v>
      </c>
      <c r="AM262" s="460">
        <f t="shared" si="761"/>
        <v>350</v>
      </c>
      <c r="AO262">
        <f t="shared" si="644"/>
        <v>460</v>
      </c>
      <c r="AP262">
        <f t="shared" si="645"/>
        <v>350</v>
      </c>
      <c r="AR262" s="5">
        <f t="shared" si="616"/>
        <v>2.8571428571428572</v>
      </c>
      <c r="AS262" s="5">
        <f t="shared" si="739"/>
        <v>0.72563846128821563</v>
      </c>
      <c r="AT262" s="5">
        <f t="shared" si="740"/>
        <v>2.1315043958546416</v>
      </c>
      <c r="AU262" s="173">
        <f t="shared" si="741"/>
        <v>0.25397346145087546</v>
      </c>
      <c r="BA262" s="173">
        <f t="shared" si="692"/>
        <v>0.75771046618826376</v>
      </c>
      <c r="BB262" s="173">
        <f t="shared" si="693"/>
        <v>0.86618785385921193</v>
      </c>
      <c r="BC262" s="173">
        <f t="shared" si="694"/>
        <v>8.6735837798604845E-2</v>
      </c>
      <c r="BD262" s="173"/>
      <c r="BE262" s="528">
        <f t="shared" si="695"/>
        <v>2.2965006022849441E-2</v>
      </c>
      <c r="BF262" s="528">
        <f t="shared" si="762"/>
        <v>1.0741949993275337</v>
      </c>
      <c r="BG262" s="528">
        <f t="shared" si="763"/>
        <v>0.50243222502087126</v>
      </c>
      <c r="BH262" s="528">
        <f t="shared" si="696"/>
        <v>0.16804737453681781</v>
      </c>
      <c r="BI262">
        <f t="shared" si="697"/>
        <v>1.6149607232813716E-2</v>
      </c>
      <c r="BJ262" s="460">
        <f t="shared" si="698"/>
        <v>518.58183225368498</v>
      </c>
      <c r="BK262">
        <f t="shared" si="764"/>
        <v>1.2783834119760871</v>
      </c>
      <c r="BL262" s="460">
        <f t="shared" si="699"/>
        <v>1783.7892121408861</v>
      </c>
      <c r="BM262" s="173">
        <f t="shared" si="765"/>
        <v>0.39928000000000002</v>
      </c>
      <c r="BN262" s="173">
        <f t="shared" si="766"/>
        <v>2.8520000000000004E-2</v>
      </c>
      <c r="BQ262" s="460">
        <f t="shared" si="700"/>
        <v>427.8</v>
      </c>
      <c r="BR262" s="528">
        <f t="shared" si="701"/>
        <v>1.7223754517137081E-2</v>
      </c>
      <c r="BS262" s="528">
        <f t="shared" si="702"/>
        <v>2.2508441945196824E-2</v>
      </c>
      <c r="BT262" s="528">
        <f t="shared" si="703"/>
        <v>3.7615527793129444E-5</v>
      </c>
      <c r="BU262" s="528">
        <f t="shared" si="704"/>
        <v>1.2540489139714541</v>
      </c>
      <c r="BV262" s="528"/>
      <c r="BW262" s="625">
        <f t="shared" si="705"/>
        <v>0.47471999999999998</v>
      </c>
      <c r="BX262" s="460">
        <f t="shared" si="706"/>
        <v>1768.5387259615813</v>
      </c>
      <c r="BY262" s="173">
        <f t="shared" si="707"/>
        <v>3.9801279381024668</v>
      </c>
      <c r="BZ262" s="5">
        <f t="shared" si="708"/>
        <v>11.868</v>
      </c>
      <c r="CA262" s="173">
        <f t="shared" si="709"/>
        <v>0.7488581645953688</v>
      </c>
      <c r="CB262" s="5">
        <f t="shared" si="710"/>
        <v>74.885816459536883</v>
      </c>
      <c r="CC262">
        <f t="shared" si="711"/>
        <v>46</v>
      </c>
      <c r="CE262" s="562">
        <f t="shared" si="767"/>
        <v>-50</v>
      </c>
      <c r="CG262" s="173">
        <f t="shared" si="768"/>
        <v>0.54915694592293629</v>
      </c>
      <c r="CH262" s="173">
        <f t="shared" si="769"/>
        <v>0.1501898641704125</v>
      </c>
      <c r="CI262" s="170">
        <v>46</v>
      </c>
      <c r="CJ262" s="217">
        <f t="shared" si="712"/>
        <v>0.46</v>
      </c>
      <c r="CK262" s="217">
        <f t="shared" si="654"/>
        <v>4.6000000000000006E-2</v>
      </c>
      <c r="CL262" s="217">
        <f t="shared" si="655"/>
        <v>11.040000000000001</v>
      </c>
      <c r="CM262" s="217">
        <f t="shared" si="656"/>
        <v>0.82800000000000007</v>
      </c>
      <c r="CN262" s="541">
        <f t="shared" si="657"/>
        <v>36</v>
      </c>
      <c r="CO262" s="443">
        <f t="shared" si="770"/>
        <v>16.474900000000002</v>
      </c>
      <c r="CP262" s="443">
        <f t="shared" si="771"/>
        <v>52.474900000000005</v>
      </c>
      <c r="CQ262" s="443"/>
      <c r="CR262" s="217">
        <f t="shared" si="660"/>
        <v>0.31220924123305599</v>
      </c>
      <c r="CS262" s="172">
        <f t="shared" si="661"/>
        <v>58.085440229405762</v>
      </c>
      <c r="CT262" s="172">
        <f t="shared" si="662"/>
        <v>4.683138618495839</v>
      </c>
      <c r="CU262" s="217">
        <f t="shared" si="663"/>
        <v>2.4202266762252402</v>
      </c>
      <c r="CV262" s="217">
        <f t="shared" si="664"/>
        <v>3.2269689016336534</v>
      </c>
      <c r="CW262" s="217">
        <f t="shared" si="665"/>
        <v>24</v>
      </c>
      <c r="CX262" s="217">
        <f t="shared" si="666"/>
        <v>2.1118315740089142</v>
      </c>
      <c r="CY262" s="217">
        <f t="shared" si="667"/>
        <v>0.58661988166914292</v>
      </c>
      <c r="CZ262" s="217">
        <f t="shared" si="668"/>
        <v>1.281847886183779</v>
      </c>
      <c r="DA262" s="197">
        <f t="shared" si="669"/>
        <v>350</v>
      </c>
      <c r="DB262" s="443">
        <f t="shared" si="670"/>
        <v>350</v>
      </c>
      <c r="DD262" s="217">
        <f t="shared" si="671"/>
        <v>3.2292794133140656</v>
      </c>
      <c r="DE262" s="173">
        <f t="shared" si="672"/>
        <v>1.9601207978889497</v>
      </c>
      <c r="DF262" s="173">
        <f t="shared" si="673"/>
        <v>0.6872960992823488</v>
      </c>
      <c r="DG262" s="173"/>
      <c r="DH262" s="173">
        <f t="shared" si="674"/>
        <v>1.3488532386977903</v>
      </c>
      <c r="DI262" s="545">
        <f t="shared" si="675"/>
        <v>460.16099999999989</v>
      </c>
      <c r="DJ262" s="528">
        <f t="shared" si="676"/>
        <v>0.34987754285999911</v>
      </c>
      <c r="DL262" s="173">
        <f t="shared" si="677"/>
        <v>2.6041724761839959</v>
      </c>
      <c r="DM262" s="173">
        <f t="shared" si="678"/>
        <v>2.6041724761839959</v>
      </c>
      <c r="DN262" s="173">
        <f t="shared" si="679"/>
        <v>1.4829261140457581</v>
      </c>
      <c r="DP262" s="545">
        <f t="shared" si="680"/>
        <v>460</v>
      </c>
      <c r="DQ262" s="460">
        <f t="shared" si="681"/>
        <v>350</v>
      </c>
      <c r="DS262">
        <f t="shared" si="682"/>
        <v>460</v>
      </c>
      <c r="DT262">
        <f t="shared" si="683"/>
        <v>350</v>
      </c>
      <c r="DV262" s="5">
        <f t="shared" si="684"/>
        <v>2.8571428571428572</v>
      </c>
      <c r="DW262" s="5">
        <f t="shared" si="685"/>
        <v>0.72338124338444343</v>
      </c>
      <c r="DX262" s="5">
        <f t="shared" si="686"/>
        <v>2.1337616137584137</v>
      </c>
      <c r="DY262" s="173">
        <f t="shared" si="687"/>
        <v>0.25318343518455522</v>
      </c>
      <c r="EA262" s="5">
        <f t="shared" si="713"/>
        <v>1.3864807164868502</v>
      </c>
      <c r="EB262" s="5">
        <f t="shared" si="714"/>
        <v>0.18486409553158001</v>
      </c>
      <c r="EC262" s="5">
        <f t="shared" si="715"/>
        <v>0.54529463462715011</v>
      </c>
      <c r="ED262" s="5"/>
      <c r="EE262" s="173">
        <f t="shared" si="716"/>
        <v>0.75653105670935383</v>
      </c>
      <c r="EF262" s="173">
        <f t="shared" si="717"/>
        <v>0.86664636977579268</v>
      </c>
      <c r="EG262" s="173">
        <f t="shared" si="718"/>
        <v>8.6781751351873271E-2</v>
      </c>
      <c r="EH262" s="173"/>
      <c r="EI262" s="528">
        <f t="shared" si="719"/>
        <v>2.2893569590630859E-2</v>
      </c>
      <c r="EJ262" s="528">
        <f t="shared" si="720"/>
        <v>1.3152917688536356</v>
      </c>
      <c r="EK262" s="528">
        <f t="shared" si="721"/>
        <v>6.9999999999999993E-2</v>
      </c>
      <c r="EL262" s="528">
        <f t="shared" si="722"/>
        <v>0.16865892671311253</v>
      </c>
      <c r="EM262">
        <f t="shared" si="723"/>
        <v>1.6199999999999999E-2</v>
      </c>
      <c r="EN262" s="460">
        <f t="shared" si="724"/>
        <v>86.2</v>
      </c>
      <c r="EP262" s="460">
        <f t="shared" si="725"/>
        <v>1593.044265157379</v>
      </c>
      <c r="EQ262" s="173">
        <f t="shared" si="726"/>
        <v>0.32200000000000001</v>
      </c>
      <c r="ER262" s="173">
        <f t="shared" si="772"/>
        <v>2.8520000000000004E-2</v>
      </c>
      <c r="ES262" s="528"/>
      <c r="EU262" s="460">
        <f t="shared" si="727"/>
        <v>350.52</v>
      </c>
      <c r="EV262" s="528">
        <f t="shared" si="728"/>
        <v>1.7170177192973143E-2</v>
      </c>
      <c r="EW262" s="528">
        <f t="shared" si="729"/>
        <v>2.25322779073668E-2</v>
      </c>
      <c r="EX262" s="528">
        <f t="shared" si="730"/>
        <v>3.7655361838491791E-5</v>
      </c>
      <c r="EY262" s="528">
        <f t="shared" si="731"/>
        <v>1.2540489139714541</v>
      </c>
      <c r="EZ262" s="528"/>
      <c r="FA262" s="625">
        <f t="shared" si="732"/>
        <v>0.47471999999999998</v>
      </c>
      <c r="FB262" s="460">
        <f t="shared" si="733"/>
        <v>1768.5090244336325</v>
      </c>
      <c r="FC262" s="173">
        <f t="shared" si="734"/>
        <v>3.7120732895910118</v>
      </c>
      <c r="FD262" s="5">
        <f t="shared" si="735"/>
        <v>11.868</v>
      </c>
      <c r="FE262" s="173">
        <f t="shared" si="736"/>
        <v>0.76174224468693386</v>
      </c>
      <c r="FF262" s="5">
        <f t="shared" si="737"/>
        <v>76.174224468693382</v>
      </c>
      <c r="FG262">
        <f t="shared" si="738"/>
        <v>46</v>
      </c>
      <c r="FI262" s="562">
        <f t="shared" si="689"/>
        <v>-50</v>
      </c>
    </row>
    <row r="263" spans="5:165">
      <c r="E263" s="170">
        <v>47</v>
      </c>
      <c r="F263" s="217">
        <f t="shared" si="773"/>
        <v>0.47</v>
      </c>
      <c r="G263" s="217">
        <f t="shared" si="742"/>
        <v>4.7E-2</v>
      </c>
      <c r="H263" s="217">
        <f t="shared" si="743"/>
        <v>11.28</v>
      </c>
      <c r="I263" s="217">
        <f t="shared" si="744"/>
        <v>0.84599999999999997</v>
      </c>
      <c r="J263" s="541">
        <f t="shared" si="745"/>
        <v>35.886805400685098</v>
      </c>
      <c r="K263" s="443">
        <f t="shared" si="746"/>
        <v>16.491842537375337</v>
      </c>
      <c r="L263" s="172">
        <f t="shared" si="747"/>
        <v>52.378647938060439</v>
      </c>
      <c r="M263" s="443"/>
      <c r="N263" s="217">
        <f t="shared" si="748"/>
        <v>0.31485811846226941</v>
      </c>
      <c r="O263" s="172">
        <f t="shared" si="749"/>
        <v>58.394067318249697</v>
      </c>
      <c r="P263" s="172">
        <f t="shared" si="750"/>
        <v>4.7080216775338819</v>
      </c>
      <c r="Q263" s="217">
        <f t="shared" si="626"/>
        <v>2.4330861382604039</v>
      </c>
      <c r="R263" s="217">
        <f t="shared" si="751"/>
        <v>3.244114851013872</v>
      </c>
      <c r="S263" s="217">
        <f t="shared" si="752"/>
        <v>24</v>
      </c>
      <c r="T263" s="217">
        <f t="shared" si="753"/>
        <v>2.1463367614086941</v>
      </c>
      <c r="U263" s="217">
        <f t="shared" si="630"/>
        <v>0.59808521194469977</v>
      </c>
      <c r="V263" s="217">
        <f t="shared" si="631"/>
        <v>1.3014535862469383</v>
      </c>
      <c r="W263" s="197">
        <f t="shared" si="632"/>
        <v>350</v>
      </c>
      <c r="X263" s="443">
        <f t="shared" si="691"/>
        <v>350</v>
      </c>
      <c r="Z263" s="217">
        <f t="shared" si="633"/>
        <v>3.2283577217375194</v>
      </c>
      <c r="AA263" s="173">
        <f t="shared" si="634"/>
        <v>1.9575482329649445</v>
      </c>
      <c r="AB263" s="173">
        <f t="shared" si="754"/>
        <v>0.6861981473767379</v>
      </c>
      <c r="AC263" s="173"/>
      <c r="AD263" s="173">
        <f t="shared" si="636"/>
        <v>1.347467523526263</v>
      </c>
      <c r="AE263" s="545">
        <f t="shared" si="755"/>
        <v>470.64801004338756</v>
      </c>
      <c r="AF263" s="528">
        <f t="shared" si="756"/>
        <v>0.34951810374134007</v>
      </c>
      <c r="AH263" s="173">
        <f t="shared" si="757"/>
        <v>2.6323265103597722</v>
      </c>
      <c r="AI263" s="173">
        <f t="shared" si="758"/>
        <v>2.6323265103597722</v>
      </c>
      <c r="AJ263" s="173">
        <f t="shared" si="759"/>
        <v>1.5037809541759628</v>
      </c>
      <c r="AL263" s="545">
        <f t="shared" si="760"/>
        <v>470</v>
      </c>
      <c r="AM263" s="460">
        <f t="shared" si="761"/>
        <v>350</v>
      </c>
      <c r="AO263">
        <f t="shared" si="644"/>
        <v>470</v>
      </c>
      <c r="AP263">
        <f t="shared" si="645"/>
        <v>350</v>
      </c>
      <c r="AR263" s="5">
        <f t="shared" ref="AR263:AR316" si="774">1/AM263*1000</f>
        <v>2.8571428571428572</v>
      </c>
      <c r="AS263" s="5">
        <f t="shared" si="739"/>
        <v>0.73350817409607594</v>
      </c>
      <c r="AT263" s="5">
        <f t="shared" si="740"/>
        <v>2.1236346830467814</v>
      </c>
      <c r="AU263" s="173">
        <f t="shared" si="741"/>
        <v>0.25672786093362659</v>
      </c>
      <c r="BA263" s="173">
        <f t="shared" si="692"/>
        <v>0.77004415973323748</v>
      </c>
      <c r="BB263" s="173">
        <f t="shared" si="693"/>
        <v>0.8739345140072281</v>
      </c>
      <c r="BC263" s="173">
        <f t="shared" si="694"/>
        <v>8.7511550659372425E-2</v>
      </c>
      <c r="BD263" s="173"/>
      <c r="BE263" s="528">
        <f t="shared" si="695"/>
        <v>2.3718720317570711E-2</v>
      </c>
      <c r="BF263" s="528">
        <f t="shared" si="762"/>
        <v>1.085786915410242</v>
      </c>
      <c r="BG263" s="528">
        <f t="shared" si="763"/>
        <v>0.50241527560959132</v>
      </c>
      <c r="BH263" s="528">
        <f t="shared" si="696"/>
        <v>0.16804076903893111</v>
      </c>
      <c r="BI263">
        <f t="shared" si="697"/>
        <v>1.6149062430308295E-2</v>
      </c>
      <c r="BJ263" s="460">
        <f t="shared" si="698"/>
        <v>518.56433803989967</v>
      </c>
      <c r="BK263">
        <f t="shared" si="764"/>
        <v>1.2912272582016893</v>
      </c>
      <c r="BL263" s="460">
        <f t="shared" si="699"/>
        <v>1796.1107428066432</v>
      </c>
      <c r="BM263" s="173">
        <f t="shared" si="765"/>
        <v>0.40795999999999993</v>
      </c>
      <c r="BN263" s="173">
        <f t="shared" si="766"/>
        <v>2.9139999999999999E-2</v>
      </c>
      <c r="BQ263" s="460">
        <f t="shared" si="700"/>
        <v>437.09999999999991</v>
      </c>
      <c r="BR263" s="528">
        <f t="shared" si="701"/>
        <v>1.7789040238178032E-2</v>
      </c>
      <c r="BS263" s="528">
        <f t="shared" si="702"/>
        <v>2.29128460431915E-2</v>
      </c>
      <c r="BT263" s="528">
        <f t="shared" si="703"/>
        <v>3.8291357494039529E-5</v>
      </c>
      <c r="BU263" s="528">
        <f t="shared" si="704"/>
        <v>1.2882184332463797</v>
      </c>
      <c r="BV263" s="528"/>
      <c r="BW263" s="625">
        <f t="shared" si="705"/>
        <v>0.48503999999999997</v>
      </c>
      <c r="BX263" s="460">
        <f t="shared" si="706"/>
        <v>1813.9986108852434</v>
      </c>
      <c r="BY263" s="173">
        <f t="shared" si="707"/>
        <v>4.0472093536918861</v>
      </c>
      <c r="BZ263" s="5">
        <f t="shared" si="708"/>
        <v>12.125999999999999</v>
      </c>
      <c r="CA263" s="173">
        <f t="shared" si="709"/>
        <v>0.74975842671769888</v>
      </c>
      <c r="CB263" s="5">
        <f t="shared" si="710"/>
        <v>74.975842671769882</v>
      </c>
      <c r="CC263">
        <f t="shared" si="711"/>
        <v>47</v>
      </c>
      <c r="CE263" s="562">
        <f t="shared" si="767"/>
        <v>-50</v>
      </c>
      <c r="CG263" s="173">
        <f t="shared" si="768"/>
        <v>0.55509395031292008</v>
      </c>
      <c r="CH263" s="173">
        <f t="shared" si="769"/>
        <v>0.15181358556651031</v>
      </c>
      <c r="CI263" s="170">
        <v>47</v>
      </c>
      <c r="CJ263" s="217">
        <f t="shared" si="712"/>
        <v>0.47</v>
      </c>
      <c r="CK263" s="217">
        <f t="shared" si="654"/>
        <v>4.7E-2</v>
      </c>
      <c r="CL263" s="217">
        <f t="shared" si="655"/>
        <v>11.28</v>
      </c>
      <c r="CM263" s="217">
        <f t="shared" si="656"/>
        <v>0.84599999999999997</v>
      </c>
      <c r="CN263" s="541">
        <f t="shared" si="657"/>
        <v>36</v>
      </c>
      <c r="CO263" s="443">
        <f t="shared" si="770"/>
        <v>16.474900000000002</v>
      </c>
      <c r="CP263" s="443">
        <f t="shared" si="771"/>
        <v>52.474900000000005</v>
      </c>
      <c r="CQ263" s="443"/>
      <c r="CR263" s="217">
        <f t="shared" si="660"/>
        <v>0.31220924123305599</v>
      </c>
      <c r="CS263" s="172">
        <f t="shared" si="661"/>
        <v>58.085440229405762</v>
      </c>
      <c r="CT263" s="172">
        <f t="shared" si="662"/>
        <v>4.683138618495839</v>
      </c>
      <c r="CU263" s="217">
        <f t="shared" si="663"/>
        <v>2.4202266762252402</v>
      </c>
      <c r="CV263" s="217">
        <f t="shared" si="664"/>
        <v>3.2269689016336534</v>
      </c>
      <c r="CW263" s="217">
        <f t="shared" si="665"/>
        <v>24</v>
      </c>
      <c r="CX263" s="217">
        <f t="shared" si="666"/>
        <v>2.157740956052586</v>
      </c>
      <c r="CY263" s="217">
        <f t="shared" si="667"/>
        <v>0.59937248779238494</v>
      </c>
      <c r="CZ263" s="217">
        <f t="shared" si="668"/>
        <v>1.3097141445790785</v>
      </c>
      <c r="DA263" s="197">
        <f t="shared" si="669"/>
        <v>350</v>
      </c>
      <c r="DB263" s="443">
        <f t="shared" si="670"/>
        <v>350</v>
      </c>
      <c r="DD263" s="217">
        <f t="shared" si="671"/>
        <v>3.2292794133140656</v>
      </c>
      <c r="DE263" s="173">
        <f t="shared" si="672"/>
        <v>1.9601207978889497</v>
      </c>
      <c r="DF263" s="173">
        <f t="shared" si="673"/>
        <v>0.6872960992823488</v>
      </c>
      <c r="DG263" s="173"/>
      <c r="DH263" s="173">
        <f t="shared" si="674"/>
        <v>1.3488532386977903</v>
      </c>
      <c r="DI263" s="545">
        <f t="shared" si="675"/>
        <v>470.1644999999998</v>
      </c>
      <c r="DJ263" s="528">
        <f t="shared" si="676"/>
        <v>0.34987754285999911</v>
      </c>
      <c r="DL263" s="173">
        <f t="shared" si="677"/>
        <v>2.6323265103597722</v>
      </c>
      <c r="DM263" s="173">
        <f t="shared" si="678"/>
        <v>2.6323265103597722</v>
      </c>
      <c r="DN263" s="173">
        <f t="shared" si="679"/>
        <v>1.5037809541759628</v>
      </c>
      <c r="DP263" s="545">
        <f t="shared" si="680"/>
        <v>470</v>
      </c>
      <c r="DQ263" s="460">
        <f t="shared" si="681"/>
        <v>350</v>
      </c>
      <c r="DS263">
        <f t="shared" si="682"/>
        <v>470</v>
      </c>
      <c r="DT263">
        <f t="shared" si="683"/>
        <v>350</v>
      </c>
      <c r="DV263" s="5">
        <f t="shared" si="684"/>
        <v>2.8571428571428572</v>
      </c>
      <c r="DW263" s="5">
        <f t="shared" si="685"/>
        <v>0.7312018084332701</v>
      </c>
      <c r="DX263" s="5">
        <f t="shared" si="686"/>
        <v>2.1259410487095871</v>
      </c>
      <c r="DY263" s="173">
        <f t="shared" si="687"/>
        <v>0.25592063295164452</v>
      </c>
      <c r="EA263" s="5">
        <f t="shared" si="713"/>
        <v>1.4319368748484873</v>
      </c>
      <c r="EB263" s="5">
        <f t="shared" si="714"/>
        <v>0.19092491664646499</v>
      </c>
      <c r="EC263" s="5">
        <f t="shared" si="715"/>
        <v>0.555106829385281</v>
      </c>
      <c r="ED263" s="5"/>
      <c r="EE263" s="173">
        <f t="shared" si="716"/>
        <v>0.76883258381617481</v>
      </c>
      <c r="EF263" s="173">
        <f t="shared" si="717"/>
        <v>0.87440895191445178</v>
      </c>
      <c r="EG263" s="173">
        <f t="shared" si="718"/>
        <v>8.7559058563325493E-2</v>
      </c>
      <c r="EH263" s="173"/>
      <c r="EI263" s="528">
        <f t="shared" si="719"/>
        <v>2.3644141677498221E-2</v>
      </c>
      <c r="EJ263" s="528">
        <f t="shared" si="720"/>
        <v>1.3295115525853509</v>
      </c>
      <c r="EK263" s="528">
        <f t="shared" si="721"/>
        <v>6.9999999999999993E-2</v>
      </c>
      <c r="EL263" s="528">
        <f t="shared" si="722"/>
        <v>0.16865892671311253</v>
      </c>
      <c r="EM263">
        <f t="shared" si="723"/>
        <v>1.6199999999999999E-2</v>
      </c>
      <c r="EN263" s="460">
        <f t="shared" si="724"/>
        <v>86.2</v>
      </c>
      <c r="EP263" s="460">
        <f t="shared" si="725"/>
        <v>1608.0146209759616</v>
      </c>
      <c r="EQ263" s="173">
        <f t="shared" si="726"/>
        <v>0.32899999999999996</v>
      </c>
      <c r="ER263" s="173">
        <f t="shared" si="772"/>
        <v>2.9139999999999999E-2</v>
      </c>
      <c r="ES263" s="528"/>
      <c r="EU263" s="460">
        <f t="shared" si="727"/>
        <v>358.14</v>
      </c>
      <c r="EV263" s="528">
        <f t="shared" si="728"/>
        <v>1.7733106258123663E-2</v>
      </c>
      <c r="EW263" s="528">
        <f t="shared" si="729"/>
        <v>2.2937730455643898E-2</v>
      </c>
      <c r="EX263" s="528">
        <f t="shared" si="730"/>
        <v>3.8332943682479319E-5</v>
      </c>
      <c r="EY263" s="528">
        <f t="shared" si="731"/>
        <v>1.2882184332463797</v>
      </c>
      <c r="EZ263" s="528"/>
      <c r="FA263" s="625">
        <f t="shared" si="732"/>
        <v>0.48503999999999997</v>
      </c>
      <c r="FB263" s="460">
        <f t="shared" si="733"/>
        <v>1813.9676029038296</v>
      </c>
      <c r="FC263" s="173">
        <f t="shared" si="734"/>
        <v>3.7801222238797911</v>
      </c>
      <c r="FD263" s="5">
        <f t="shared" si="735"/>
        <v>12.125999999999999</v>
      </c>
      <c r="FE263" s="173">
        <f t="shared" si="736"/>
        <v>0.76234797075778082</v>
      </c>
      <c r="FF263" s="5">
        <f t="shared" si="737"/>
        <v>76.234797075778076</v>
      </c>
      <c r="FG263">
        <f t="shared" si="738"/>
        <v>47</v>
      </c>
      <c r="FI263" s="562">
        <f t="shared" si="689"/>
        <v>-50</v>
      </c>
    </row>
    <row r="264" spans="5:165">
      <c r="E264" s="170">
        <v>48</v>
      </c>
      <c r="F264" s="217">
        <f t="shared" si="773"/>
        <v>0.48</v>
      </c>
      <c r="G264" s="217">
        <f t="shared" si="742"/>
        <v>4.8000000000000001E-2</v>
      </c>
      <c r="H264" s="217">
        <f t="shared" si="743"/>
        <v>11.52</v>
      </c>
      <c r="I264" s="217">
        <f t="shared" si="744"/>
        <v>0.86399999999999999</v>
      </c>
      <c r="J264" s="541">
        <f t="shared" si="745"/>
        <v>35.885607540879121</v>
      </c>
      <c r="K264" s="443">
        <f t="shared" si="746"/>
        <v>16.492021828478059</v>
      </c>
      <c r="L264" s="172">
        <f t="shared" si="747"/>
        <v>52.37762936935718</v>
      </c>
      <c r="M264" s="443"/>
      <c r="N264" s="217">
        <f t="shared" si="748"/>
        <v>0.31486766444085179</v>
      </c>
      <c r="O264" s="172">
        <f t="shared" si="749"/>
        <v>58.393888544897294</v>
      </c>
      <c r="P264" s="172">
        <f t="shared" si="750"/>
        <v>4.7080072639323447</v>
      </c>
      <c r="Q264" s="217">
        <f t="shared" si="626"/>
        <v>2.4330786893707206</v>
      </c>
      <c r="R264" s="217">
        <f t="shared" si="751"/>
        <v>3.2441049191609608</v>
      </c>
      <c r="S264" s="217">
        <f t="shared" si="752"/>
        <v>24</v>
      </c>
      <c r="T264" s="217">
        <f t="shared" si="753"/>
        <v>2.1920102118492188</v>
      </c>
      <c r="U264" s="217">
        <f t="shared" si="630"/>
        <v>0.61083268810544411</v>
      </c>
      <c r="V264" s="217">
        <f t="shared" si="631"/>
        <v>1.3291337075870857</v>
      </c>
      <c r="W264" s="197">
        <f t="shared" si="632"/>
        <v>350</v>
      </c>
      <c r="X264" s="443">
        <f t="shared" si="691"/>
        <v>350</v>
      </c>
      <c r="Z264" s="217">
        <f t="shared" si="633"/>
        <v>3.2283478381250355</v>
      </c>
      <c r="AA264" s="173">
        <f t="shared" si="634"/>
        <v>1.9575209587404232</v>
      </c>
      <c r="AB264" s="173">
        <f t="shared" si="754"/>
        <v>0.68618648591599951</v>
      </c>
      <c r="AC264" s="173"/>
      <c r="AD264" s="173">
        <f t="shared" si="636"/>
        <v>1.3474528746893473</v>
      </c>
      <c r="AE264" s="545">
        <f t="shared" si="755"/>
        <v>480.66702300691662</v>
      </c>
      <c r="AF264" s="528">
        <f t="shared" si="756"/>
        <v>0.34951430399580902</v>
      </c>
      <c r="AH264" s="173">
        <f t="shared" si="757"/>
        <v>2.6601825930885696</v>
      </c>
      <c r="AI264" s="173">
        <f t="shared" si="758"/>
        <v>2.6601825930885696</v>
      </c>
      <c r="AJ264" s="173">
        <f t="shared" si="759"/>
        <v>1.5244150895306277</v>
      </c>
      <c r="AL264" s="545">
        <f t="shared" si="760"/>
        <v>480</v>
      </c>
      <c r="AM264" s="460">
        <f t="shared" si="761"/>
        <v>350</v>
      </c>
      <c r="AO264">
        <f t="shared" si="644"/>
        <v>480</v>
      </c>
      <c r="AP264">
        <f t="shared" si="645"/>
        <v>350</v>
      </c>
      <c r="AR264" s="5">
        <f t="shared" si="774"/>
        <v>2.8571428571428572</v>
      </c>
      <c r="AS264" s="5">
        <f t="shared" si="739"/>
        <v>0.74129512508830187</v>
      </c>
      <c r="AT264" s="5">
        <f t="shared" si="740"/>
        <v>2.1158477320545552</v>
      </c>
      <c r="AU264" s="173">
        <f t="shared" si="741"/>
        <v>0.25945329378090565</v>
      </c>
      <c r="BA264" s="173">
        <f t="shared" si="692"/>
        <v>0.78231276052030618</v>
      </c>
      <c r="BB264" s="173">
        <f t="shared" si="693"/>
        <v>0.8815620399628521</v>
      </c>
      <c r="BC264" s="173">
        <f t="shared" si="694"/>
        <v>8.8275334001685579E-2</v>
      </c>
      <c r="BD264" s="173"/>
      <c r="BE264" s="528">
        <f t="shared" si="695"/>
        <v>2.448053021091608E-2</v>
      </c>
      <c r="BF264" s="528">
        <f t="shared" si="762"/>
        <v>1.0972557060854178</v>
      </c>
      <c r="BG264" s="528">
        <f t="shared" si="763"/>
        <v>0.5023985055723077</v>
      </c>
      <c r="BH264" s="528">
        <f t="shared" si="696"/>
        <v>0.16803423357416702</v>
      </c>
      <c r="BI264">
        <f t="shared" si="697"/>
        <v>1.6148523393395606E-2</v>
      </c>
      <c r="BJ264" s="460">
        <f t="shared" si="698"/>
        <v>518.54702896570325</v>
      </c>
      <c r="BK264">
        <f t="shared" si="764"/>
        <v>1.3039648208729135</v>
      </c>
      <c r="BL264" s="460">
        <f t="shared" si="699"/>
        <v>1808.3174988362041</v>
      </c>
      <c r="BM264" s="173">
        <f t="shared" si="765"/>
        <v>0.41663999999999995</v>
      </c>
      <c r="BN264" s="173">
        <f t="shared" si="766"/>
        <v>2.9760000000000002E-2</v>
      </c>
      <c r="BQ264" s="460">
        <f t="shared" si="700"/>
        <v>446.4</v>
      </c>
      <c r="BR264" s="528">
        <f t="shared" si="701"/>
        <v>1.8360397658187057E-2</v>
      </c>
      <c r="BS264" s="528">
        <f t="shared" si="702"/>
        <v>2.3314548909103956E-2</v>
      </c>
      <c r="BT264" s="528">
        <f t="shared" si="703"/>
        <v>3.8962672965545734E-5</v>
      </c>
      <c r="BU264" s="528">
        <f t="shared" si="704"/>
        <v>1.3225702015914715</v>
      </c>
      <c r="BV264" s="528"/>
      <c r="BW264" s="625">
        <f t="shared" si="705"/>
        <v>0.49535999999999991</v>
      </c>
      <c r="BX264" s="460">
        <f t="shared" si="706"/>
        <v>1859.6441108317281</v>
      </c>
      <c r="BY264" s="173">
        <f t="shared" si="707"/>
        <v>4.1143616096679319</v>
      </c>
      <c r="BZ264" s="5">
        <f t="shared" si="708"/>
        <v>12.384</v>
      </c>
      <c r="CA264" s="173">
        <f t="shared" si="709"/>
        <v>0.75061998839588151</v>
      </c>
      <c r="CB264" s="5">
        <f t="shared" si="710"/>
        <v>75.061998839588156</v>
      </c>
      <c r="CC264">
        <f t="shared" si="711"/>
        <v>48</v>
      </c>
      <c r="CE264" s="562">
        <f t="shared" si="767"/>
        <v>-50</v>
      </c>
      <c r="CG264" s="173">
        <f t="shared" si="768"/>
        <v>0.56096812395411411</v>
      </c>
      <c r="CH264" s="173">
        <f t="shared" si="769"/>
        <v>0.15342012327459964</v>
      </c>
      <c r="CI264" s="170">
        <v>48</v>
      </c>
      <c r="CJ264" s="217">
        <f t="shared" si="712"/>
        <v>0.48</v>
      </c>
      <c r="CK264" s="217">
        <f t="shared" si="654"/>
        <v>4.8000000000000001E-2</v>
      </c>
      <c r="CL264" s="217">
        <f t="shared" si="655"/>
        <v>11.52</v>
      </c>
      <c r="CM264" s="217">
        <f t="shared" si="656"/>
        <v>0.86399999999999999</v>
      </c>
      <c r="CN264" s="541">
        <f t="shared" si="657"/>
        <v>36</v>
      </c>
      <c r="CO264" s="443">
        <f t="shared" si="770"/>
        <v>16.474900000000002</v>
      </c>
      <c r="CP264" s="443">
        <f t="shared" si="771"/>
        <v>52.474900000000005</v>
      </c>
      <c r="CQ264" s="443"/>
      <c r="CR264" s="217">
        <f t="shared" si="660"/>
        <v>0.31220924123305599</v>
      </c>
      <c r="CS264" s="172">
        <f t="shared" si="661"/>
        <v>58.085440229405762</v>
      </c>
      <c r="CT264" s="172">
        <f t="shared" si="662"/>
        <v>4.683138618495839</v>
      </c>
      <c r="CU264" s="217">
        <f t="shared" si="663"/>
        <v>2.4202266762252402</v>
      </c>
      <c r="CV264" s="217">
        <f t="shared" si="664"/>
        <v>3.2269689016336534</v>
      </c>
      <c r="CW264" s="217">
        <f t="shared" si="665"/>
        <v>24</v>
      </c>
      <c r="CX264" s="217">
        <f t="shared" si="666"/>
        <v>2.2036503380962582</v>
      </c>
      <c r="CY264" s="217">
        <f t="shared" si="667"/>
        <v>0.61212509391562742</v>
      </c>
      <c r="CZ264" s="217">
        <f t="shared" si="668"/>
        <v>1.3375804029743781</v>
      </c>
      <c r="DA264" s="197">
        <f t="shared" si="669"/>
        <v>350</v>
      </c>
      <c r="DB264" s="443">
        <f t="shared" si="670"/>
        <v>350</v>
      </c>
      <c r="DD264" s="217">
        <f t="shared" si="671"/>
        <v>3.2292794133140656</v>
      </c>
      <c r="DE264" s="173">
        <f t="shared" si="672"/>
        <v>1.9601207978889497</v>
      </c>
      <c r="DF264" s="173">
        <f t="shared" si="673"/>
        <v>0.6872960992823488</v>
      </c>
      <c r="DG264" s="173"/>
      <c r="DH264" s="173">
        <f t="shared" si="674"/>
        <v>1.3488532386977903</v>
      </c>
      <c r="DI264" s="545">
        <f t="shared" si="675"/>
        <v>480.16799999999984</v>
      </c>
      <c r="DJ264" s="528">
        <f t="shared" si="676"/>
        <v>0.34987754285999911</v>
      </c>
      <c r="DL264" s="173">
        <f t="shared" si="677"/>
        <v>2.6601825930885696</v>
      </c>
      <c r="DM264" s="173">
        <f t="shared" si="678"/>
        <v>2.6601825930885696</v>
      </c>
      <c r="DN264" s="173">
        <f t="shared" si="679"/>
        <v>1.5244150895306277</v>
      </c>
      <c r="DP264" s="545">
        <f t="shared" si="680"/>
        <v>480</v>
      </c>
      <c r="DQ264" s="460">
        <f t="shared" si="681"/>
        <v>350</v>
      </c>
      <c r="DS264">
        <f t="shared" si="682"/>
        <v>480</v>
      </c>
      <c r="DT264">
        <f t="shared" si="683"/>
        <v>350</v>
      </c>
      <c r="DV264" s="5">
        <f t="shared" si="684"/>
        <v>2.8571428571428572</v>
      </c>
      <c r="DW264" s="5">
        <f t="shared" si="685"/>
        <v>0.73893960919126944</v>
      </c>
      <c r="DX264" s="5">
        <f t="shared" si="686"/>
        <v>2.1182032479515875</v>
      </c>
      <c r="DY264" s="173">
        <f t="shared" si="687"/>
        <v>0.25862886321694428</v>
      </c>
      <c r="EA264" s="5">
        <f t="shared" si="713"/>
        <v>1.4778792183825389</v>
      </c>
      <c r="EB264" s="5">
        <f t="shared" si="714"/>
        <v>0.19705056245100516</v>
      </c>
      <c r="EC264" s="5">
        <f t="shared" si="715"/>
        <v>0.56485419945375659</v>
      </c>
      <c r="ED264" s="5"/>
      <c r="EE264" s="173">
        <f t="shared" si="716"/>
        <v>0.7810688454600605</v>
      </c>
      <c r="EF264" s="173">
        <f t="shared" si="717"/>
        <v>0.88205261302070992</v>
      </c>
      <c r="EG264" s="173">
        <f t="shared" si="718"/>
        <v>8.8324457601127823E-2</v>
      </c>
      <c r="EH264" s="173"/>
      <c r="EI264" s="528">
        <f t="shared" si="719"/>
        <v>2.4402741653932476E-2</v>
      </c>
      <c r="EJ264" s="528">
        <f t="shared" si="720"/>
        <v>1.3435808497078603</v>
      </c>
      <c r="EK264" s="528">
        <f t="shared" si="721"/>
        <v>6.9999999999999993E-2</v>
      </c>
      <c r="EL264" s="528">
        <f t="shared" si="722"/>
        <v>0.16865892671311253</v>
      </c>
      <c r="EM264">
        <f t="shared" si="723"/>
        <v>1.6199999999999999E-2</v>
      </c>
      <c r="EN264" s="460">
        <f t="shared" si="724"/>
        <v>86.2</v>
      </c>
      <c r="EP264" s="460">
        <f t="shared" si="725"/>
        <v>1622.8425180749052</v>
      </c>
      <c r="EQ264" s="173">
        <f t="shared" si="726"/>
        <v>0.33599999999999997</v>
      </c>
      <c r="ER264" s="173">
        <f t="shared" si="772"/>
        <v>2.9760000000000002E-2</v>
      </c>
      <c r="ES264" s="528"/>
      <c r="EU264" s="460">
        <f t="shared" si="727"/>
        <v>365.76</v>
      </c>
      <c r="EV264" s="528">
        <f t="shared" si="728"/>
        <v>1.8302056240449355E-2</v>
      </c>
      <c r="EW264" s="528">
        <f t="shared" si="729"/>
        <v>2.3340504364099866E-2</v>
      </c>
      <c r="EX264" s="528">
        <f t="shared" si="730"/>
        <v>3.9006049052667133E-5</v>
      </c>
      <c r="EY264" s="528">
        <f t="shared" si="731"/>
        <v>1.3225702015914715</v>
      </c>
      <c r="EZ264" s="528"/>
      <c r="FA264" s="625">
        <f t="shared" si="732"/>
        <v>0.49535999999999991</v>
      </c>
      <c r="FB264" s="460">
        <f t="shared" si="733"/>
        <v>1859.6117682450736</v>
      </c>
      <c r="FC264" s="173">
        <f t="shared" si="734"/>
        <v>3.8482142863199789</v>
      </c>
      <c r="FD264" s="5">
        <f t="shared" si="735"/>
        <v>12.384</v>
      </c>
      <c r="FE264" s="173">
        <f t="shared" si="736"/>
        <v>0.76292733582483951</v>
      </c>
      <c r="FF264" s="5">
        <f t="shared" si="737"/>
        <v>76.292733582483947</v>
      </c>
      <c r="FG264">
        <f t="shared" si="738"/>
        <v>48</v>
      </c>
      <c r="FI264" s="562">
        <f t="shared" si="689"/>
        <v>-50</v>
      </c>
    </row>
    <row r="265" spans="5:165">
      <c r="E265" s="170">
        <v>49</v>
      </c>
      <c r="F265" s="217">
        <f t="shared" si="773"/>
        <v>0.49</v>
      </c>
      <c r="G265" s="217">
        <f t="shared" si="742"/>
        <v>4.9000000000000002E-2</v>
      </c>
      <c r="H265" s="217">
        <f t="shared" si="743"/>
        <v>11.76</v>
      </c>
      <c r="I265" s="217">
        <f t="shared" si="744"/>
        <v>0.88200000000000001</v>
      </c>
      <c r="J265" s="541">
        <f t="shared" si="745"/>
        <v>35.884422095133274</v>
      </c>
      <c r="K265" s="443">
        <f t="shared" si="746"/>
        <v>16.492199261491443</v>
      </c>
      <c r="L265" s="172">
        <f t="shared" si="747"/>
        <v>52.376621356624717</v>
      </c>
      <c r="M265" s="443"/>
      <c r="N265" s="217">
        <f t="shared" si="748"/>
        <v>0.31487711185489575</v>
      </c>
      <c r="O265" s="172">
        <f t="shared" si="749"/>
        <v>58.393711575698049</v>
      </c>
      <c r="P265" s="172">
        <f t="shared" si="750"/>
        <v>4.7079929957906552</v>
      </c>
      <c r="Q265" s="217">
        <f t="shared" si="626"/>
        <v>2.4330713156540855</v>
      </c>
      <c r="R265" s="217">
        <f t="shared" si="751"/>
        <v>3.2440950875387804</v>
      </c>
      <c r="S265" s="217">
        <f t="shared" si="752"/>
        <v>24</v>
      </c>
      <c r="T265" s="217">
        <f t="shared" si="753"/>
        <v>2.2376838728135708</v>
      </c>
      <c r="U265" s="217">
        <f t="shared" si="630"/>
        <v>0.62358085825688991</v>
      </c>
      <c r="V265" s="217">
        <f t="shared" si="631"/>
        <v>1.3568135076068746</v>
      </c>
      <c r="W265" s="197">
        <f t="shared" si="632"/>
        <v>350</v>
      </c>
      <c r="X265" s="443">
        <f t="shared" si="691"/>
        <v>350</v>
      </c>
      <c r="Z265" s="217">
        <f t="shared" si="633"/>
        <v>3.2283380542564486</v>
      </c>
      <c r="AA265" s="173">
        <f t="shared" si="634"/>
        <v>1.9574939661288691</v>
      </c>
      <c r="AB265" s="173">
        <f t="shared" si="754"/>
        <v>0.68617494442999838</v>
      </c>
      <c r="AC265" s="173"/>
      <c r="AD265" s="173">
        <f t="shared" si="636"/>
        <v>1.3474383779797114</v>
      </c>
      <c r="AE265" s="545">
        <f t="shared" si="755"/>
        <v>490.68619841723779</v>
      </c>
      <c r="AF265" s="528">
        <f t="shared" si="756"/>
        <v>0.34951054371040408</v>
      </c>
      <c r="AH265" s="173">
        <f t="shared" si="757"/>
        <v>2.6877499883731741</v>
      </c>
      <c r="AI265" s="173">
        <f t="shared" si="758"/>
        <v>2.6877499883731741</v>
      </c>
      <c r="AJ265" s="173">
        <f t="shared" si="759"/>
        <v>1.5448353823340384</v>
      </c>
      <c r="AL265" s="545">
        <f t="shared" si="760"/>
        <v>490</v>
      </c>
      <c r="AM265" s="460">
        <f t="shared" si="761"/>
        <v>350</v>
      </c>
      <c r="AO265">
        <f t="shared" si="644"/>
        <v>490</v>
      </c>
      <c r="AP265">
        <f t="shared" si="645"/>
        <v>350</v>
      </c>
      <c r="AR265" s="5">
        <f t="shared" si="774"/>
        <v>2.8571428571428572</v>
      </c>
      <c r="AS265" s="5">
        <f t="shared" si="739"/>
        <v>0.74900188757329689</v>
      </c>
      <c r="AT265" s="5">
        <f t="shared" si="740"/>
        <v>2.1081409695695603</v>
      </c>
      <c r="AU265" s="173">
        <f t="shared" si="741"/>
        <v>0.2621506606506539</v>
      </c>
      <c r="BA265" s="173">
        <f t="shared" si="692"/>
        <v>0.794517961311621</v>
      </c>
      <c r="BB265" s="173">
        <f t="shared" si="693"/>
        <v>0.88907402380171319</v>
      </c>
      <c r="BC265" s="173">
        <f t="shared" si="694"/>
        <v>8.902754751852289E-2</v>
      </c>
      <c r="BD265" s="173"/>
      <c r="BE265" s="528">
        <f t="shared" si="695"/>
        <v>2.5250351633870981E-2</v>
      </c>
      <c r="BF265" s="528">
        <f t="shared" si="762"/>
        <v>1.108605199608067</v>
      </c>
      <c r="BG265" s="528">
        <f t="shared" si="763"/>
        <v>0.50238190933186588</v>
      </c>
      <c r="BH265" s="528">
        <f t="shared" si="696"/>
        <v>0.16802776596503324</v>
      </c>
      <c r="BI265">
        <f t="shared" si="697"/>
        <v>1.6147989942809974E-2</v>
      </c>
      <c r="BJ265" s="460">
        <f t="shared" si="698"/>
        <v>518.52989927467581</v>
      </c>
      <c r="BK265">
        <f t="shared" si="764"/>
        <v>1.316599831174823</v>
      </c>
      <c r="BL265" s="460">
        <f t="shared" si="699"/>
        <v>1820.4132164816474</v>
      </c>
      <c r="BM265" s="173">
        <f t="shared" si="765"/>
        <v>0.42531999999999998</v>
      </c>
      <c r="BN265" s="173">
        <f t="shared" si="766"/>
        <v>3.0380000000000001E-2</v>
      </c>
      <c r="BQ265" s="460">
        <f t="shared" si="700"/>
        <v>455.7</v>
      </c>
      <c r="BR265" s="528">
        <f t="shared" si="701"/>
        <v>1.8937763725403234E-2</v>
      </c>
      <c r="BS265" s="528">
        <f t="shared" si="702"/>
        <v>2.3713578593969078E-2</v>
      </c>
      <c r="BT265" s="528">
        <f t="shared" si="703"/>
        <v>3.9629521085814258E-5</v>
      </c>
      <c r="BU265" s="528">
        <f t="shared" si="704"/>
        <v>1.3571013635177982</v>
      </c>
      <c r="BV265" s="528"/>
      <c r="BW265" s="625">
        <f t="shared" si="705"/>
        <v>0.50567999999999991</v>
      </c>
      <c r="BX265" s="460">
        <f t="shared" si="706"/>
        <v>1905.4723353582563</v>
      </c>
      <c r="BY265" s="173">
        <f t="shared" si="707"/>
        <v>4.1815855518399037</v>
      </c>
      <c r="BZ265" s="5">
        <f t="shared" si="708"/>
        <v>12.641999999999999</v>
      </c>
      <c r="CA265" s="173">
        <f t="shared" si="709"/>
        <v>0.75144504487733366</v>
      </c>
      <c r="CB265" s="5">
        <f t="shared" si="710"/>
        <v>75.144504487733371</v>
      </c>
      <c r="CC265">
        <f t="shared" si="711"/>
        <v>49</v>
      </c>
      <c r="CE265" s="562">
        <f t="shared" si="767"/>
        <v>-50</v>
      </c>
      <c r="CG265" s="173">
        <f t="shared" si="768"/>
        <v>0.56678142040048751</v>
      </c>
      <c r="CH265" s="173">
        <f t="shared" si="769"/>
        <v>0.15501001157546743</v>
      </c>
      <c r="CI265" s="170">
        <v>49</v>
      </c>
      <c r="CJ265" s="217">
        <f t="shared" si="712"/>
        <v>0.49</v>
      </c>
      <c r="CK265" s="217">
        <f t="shared" si="654"/>
        <v>4.9000000000000002E-2</v>
      </c>
      <c r="CL265" s="217">
        <f t="shared" si="655"/>
        <v>11.76</v>
      </c>
      <c r="CM265" s="217">
        <f t="shared" si="656"/>
        <v>0.88200000000000001</v>
      </c>
      <c r="CN265" s="541">
        <f t="shared" si="657"/>
        <v>36</v>
      </c>
      <c r="CO265" s="443">
        <f t="shared" si="770"/>
        <v>16.474900000000002</v>
      </c>
      <c r="CP265" s="443">
        <f t="shared" si="771"/>
        <v>52.474900000000005</v>
      </c>
      <c r="CQ265" s="443"/>
      <c r="CR265" s="217">
        <f t="shared" si="660"/>
        <v>0.31220924123305599</v>
      </c>
      <c r="CS265" s="172">
        <f t="shared" si="661"/>
        <v>58.085440229405762</v>
      </c>
      <c r="CT265" s="172">
        <f t="shared" si="662"/>
        <v>4.683138618495839</v>
      </c>
      <c r="CU265" s="217">
        <f t="shared" si="663"/>
        <v>2.4202266762252402</v>
      </c>
      <c r="CV265" s="217">
        <f t="shared" si="664"/>
        <v>3.2269689016336534</v>
      </c>
      <c r="CW265" s="217">
        <f t="shared" si="665"/>
        <v>24</v>
      </c>
      <c r="CX265" s="217">
        <f t="shared" si="666"/>
        <v>2.24955972013993</v>
      </c>
      <c r="CY265" s="217">
        <f t="shared" si="667"/>
        <v>0.62487770003886955</v>
      </c>
      <c r="CZ265" s="217">
        <f t="shared" si="668"/>
        <v>1.3654466613696774</v>
      </c>
      <c r="DA265" s="197">
        <f t="shared" si="669"/>
        <v>350</v>
      </c>
      <c r="DB265" s="443">
        <f t="shared" si="670"/>
        <v>350</v>
      </c>
      <c r="DD265" s="217">
        <f t="shared" si="671"/>
        <v>3.2292794133140656</v>
      </c>
      <c r="DE265" s="173">
        <f t="shared" si="672"/>
        <v>1.9601207978889497</v>
      </c>
      <c r="DF265" s="173">
        <f t="shared" si="673"/>
        <v>0.6872960992823488</v>
      </c>
      <c r="DG265" s="173"/>
      <c r="DH265" s="173">
        <f t="shared" si="674"/>
        <v>1.3488532386977903</v>
      </c>
      <c r="DI265" s="545">
        <f t="shared" si="675"/>
        <v>490.17149999999975</v>
      </c>
      <c r="DJ265" s="528">
        <f t="shared" si="676"/>
        <v>0.34987754285999911</v>
      </c>
      <c r="DL265" s="173">
        <f t="shared" si="677"/>
        <v>2.6877499883731741</v>
      </c>
      <c r="DM265" s="173">
        <f t="shared" si="678"/>
        <v>2.6877499883731741</v>
      </c>
      <c r="DN265" s="173">
        <f t="shared" si="679"/>
        <v>1.5448353823340384</v>
      </c>
      <c r="DP265" s="545">
        <f t="shared" si="680"/>
        <v>490</v>
      </c>
      <c r="DQ265" s="460">
        <f t="shared" si="681"/>
        <v>350</v>
      </c>
      <c r="DS265">
        <f t="shared" si="682"/>
        <v>490</v>
      </c>
      <c r="DT265">
        <f t="shared" si="683"/>
        <v>350</v>
      </c>
      <c r="DV265" s="5">
        <f t="shared" si="684"/>
        <v>2.8571428571428572</v>
      </c>
      <c r="DW265" s="5">
        <f t="shared" si="685"/>
        <v>0.74659721899254838</v>
      </c>
      <c r="DX265" s="5">
        <f t="shared" si="686"/>
        <v>2.1105456381503087</v>
      </c>
      <c r="DY265" s="173">
        <f t="shared" si="687"/>
        <v>0.26130902664739192</v>
      </c>
      <c r="EA265" s="5">
        <f t="shared" si="713"/>
        <v>1.5243026554431194</v>
      </c>
      <c r="EB265" s="5">
        <f t="shared" si="714"/>
        <v>0.20324035405908261</v>
      </c>
      <c r="EC265" s="5">
        <f t="shared" si="715"/>
        <v>0.57453742371869498</v>
      </c>
      <c r="ED265" s="5"/>
      <c r="EE265" s="173">
        <f t="shared" si="716"/>
        <v>0.79324153709126921</v>
      </c>
      <c r="EF265" s="173">
        <f t="shared" si="717"/>
        <v>0.88958094413765132</v>
      </c>
      <c r="EG265" s="173">
        <f t="shared" si="718"/>
        <v>8.9078308054864802E-2</v>
      </c>
      <c r="EH265" s="173"/>
      <c r="EI265" s="528">
        <f t="shared" si="719"/>
        <v>2.5169285446676778E-2</v>
      </c>
      <c r="EJ265" s="528">
        <f t="shared" si="720"/>
        <v>1.3575043391995034</v>
      </c>
      <c r="EK265" s="528">
        <f t="shared" si="721"/>
        <v>6.9999999999999993E-2</v>
      </c>
      <c r="EL265" s="528">
        <f t="shared" si="722"/>
        <v>0.16865892671311253</v>
      </c>
      <c r="EM265">
        <f t="shared" si="723"/>
        <v>1.6199999999999999E-2</v>
      </c>
      <c r="EN265" s="460">
        <f t="shared" si="724"/>
        <v>86.2</v>
      </c>
      <c r="EP265" s="460">
        <f t="shared" si="725"/>
        <v>1637.5325513592927</v>
      </c>
      <c r="EQ265" s="173">
        <f t="shared" si="726"/>
        <v>0.34299999999999997</v>
      </c>
      <c r="ER265" s="173">
        <f t="shared" si="772"/>
        <v>3.0380000000000001E-2</v>
      </c>
      <c r="ES265" s="528"/>
      <c r="EU265" s="460">
        <f t="shared" si="727"/>
        <v>373.38</v>
      </c>
      <c r="EV265" s="528">
        <f t="shared" si="728"/>
        <v>1.887696408500758E-2</v>
      </c>
      <c r="EW265" s="528">
        <f t="shared" si="729"/>
        <v>2.3740627685185055E-2</v>
      </c>
      <c r="EX265" s="528">
        <f t="shared" si="730"/>
        <v>3.9674724829586962E-5</v>
      </c>
      <c r="EY265" s="528">
        <f t="shared" si="731"/>
        <v>1.3571013635177982</v>
      </c>
      <c r="EZ265" s="528"/>
      <c r="FA265" s="625">
        <f t="shared" si="732"/>
        <v>0.50567999999999991</v>
      </c>
      <c r="FB265" s="460">
        <f t="shared" si="733"/>
        <v>1905.4386300128203</v>
      </c>
      <c r="FC265" s="173">
        <f t="shared" si="734"/>
        <v>3.916351181372113</v>
      </c>
      <c r="FD265" s="5">
        <f t="shared" si="735"/>
        <v>12.641999999999999</v>
      </c>
      <c r="FE265" s="173">
        <f t="shared" si="736"/>
        <v>0.76348181419307326</v>
      </c>
      <c r="FF265" s="5">
        <f t="shared" si="737"/>
        <v>76.348181419307323</v>
      </c>
      <c r="FG265">
        <f t="shared" si="738"/>
        <v>49</v>
      </c>
      <c r="FI265" s="562">
        <f t="shared" si="689"/>
        <v>-50</v>
      </c>
    </row>
    <row r="266" spans="5:165">
      <c r="E266" s="170">
        <v>50</v>
      </c>
      <c r="F266" s="217">
        <f t="shared" si="773"/>
        <v>0.5</v>
      </c>
      <c r="G266" s="217">
        <f t="shared" si="742"/>
        <v>0.05</v>
      </c>
      <c r="H266" s="217">
        <f t="shared" si="743"/>
        <v>12</v>
      </c>
      <c r="I266" s="217">
        <f t="shared" si="744"/>
        <v>0.9</v>
      </c>
      <c r="J266" s="541">
        <f t="shared" si="745"/>
        <v>35.883248685304864</v>
      </c>
      <c r="K266" s="443">
        <f t="shared" si="746"/>
        <v>16.492374893014457</v>
      </c>
      <c r="L266" s="172">
        <f t="shared" si="747"/>
        <v>52.37562357831932</v>
      </c>
      <c r="M266" s="443"/>
      <c r="N266" s="217">
        <f t="shared" si="748"/>
        <v>0.31488646370678075</v>
      </c>
      <c r="O266" s="172">
        <f t="shared" si="749"/>
        <v>58.393536355693222</v>
      </c>
      <c r="P266" s="172">
        <f t="shared" si="750"/>
        <v>4.7079788686777659</v>
      </c>
      <c r="Q266" s="217">
        <f t="shared" si="626"/>
        <v>2.4330640148205509</v>
      </c>
      <c r="R266" s="217">
        <f t="shared" si="751"/>
        <v>3.2440853530940679</v>
      </c>
      <c r="S266" s="217">
        <f t="shared" si="752"/>
        <v>24</v>
      </c>
      <c r="T266" s="217">
        <f t="shared" si="753"/>
        <v>2.2833577422192493</v>
      </c>
      <c r="U266" s="217">
        <f t="shared" si="630"/>
        <v>0.63632971536223937</v>
      </c>
      <c r="V266" s="217">
        <f t="shared" si="631"/>
        <v>1.3844929896581439</v>
      </c>
      <c r="W266" s="197">
        <f t="shared" si="632"/>
        <v>350</v>
      </c>
      <c r="X266" s="443">
        <f t="shared" si="691"/>
        <v>350</v>
      </c>
      <c r="Z266" s="217">
        <f t="shared" si="633"/>
        <v>3.2283283670933249</v>
      </c>
      <c r="AA266" s="173">
        <f t="shared" si="634"/>
        <v>1.9574672465520548</v>
      </c>
      <c r="AB266" s="173">
        <f t="shared" si="754"/>
        <v>0.68616351926417662</v>
      </c>
      <c r="AC266" s="173"/>
      <c r="AD266" s="173">
        <f t="shared" si="636"/>
        <v>1.3474240287634205</v>
      </c>
      <c r="AE266" s="545">
        <f t="shared" si="755"/>
        <v>500.70553460800994</v>
      </c>
      <c r="AF266" s="528">
        <f t="shared" si="756"/>
        <v>0.34950682168313396</v>
      </c>
      <c r="AH266" s="173">
        <f t="shared" si="757"/>
        <v>2.7150374898753369</v>
      </c>
      <c r="AI266" s="173">
        <f t="shared" si="758"/>
        <v>2.7150374898753369</v>
      </c>
      <c r="AJ266" s="173">
        <f t="shared" si="759"/>
        <v>1.5650483464097145</v>
      </c>
      <c r="AL266" s="545">
        <f t="shared" si="760"/>
        <v>500</v>
      </c>
      <c r="AM266" s="460">
        <f t="shared" si="761"/>
        <v>350</v>
      </c>
      <c r="AO266">
        <f t="shared" si="644"/>
        <v>500</v>
      </c>
      <c r="AP266">
        <f t="shared" si="645"/>
        <v>350</v>
      </c>
      <c r="AR266" s="5">
        <f t="shared" si="774"/>
        <v>2.8571428571428572</v>
      </c>
      <c r="AS266" s="5">
        <f t="shared" si="739"/>
        <v>0.75663090420996826</v>
      </c>
      <c r="AT266" s="5">
        <f t="shared" si="740"/>
        <v>2.1005119529328891</v>
      </c>
      <c r="AU266" s="173">
        <f t="shared" si="741"/>
        <v>0.26482081647348887</v>
      </c>
      <c r="BA266" s="173">
        <f t="shared" si="692"/>
        <v>0.80666137729568566</v>
      </c>
      <c r="BB266" s="173">
        <f t="shared" si="693"/>
        <v>0.89647387553480307</v>
      </c>
      <c r="BC266" s="173">
        <f t="shared" si="694"/>
        <v>8.9768532671795812E-2</v>
      </c>
      <c r="BD266" s="173"/>
      <c r="BE266" s="528">
        <f t="shared" si="695"/>
        <v>2.6028103104822901E-2</v>
      </c>
      <c r="BF266" s="528">
        <f t="shared" si="762"/>
        <v>1.1198390298695429</v>
      </c>
      <c r="BG266" s="528">
        <f t="shared" si="763"/>
        <v>0.50236548159426808</v>
      </c>
      <c r="BH266" s="528">
        <f t="shared" si="696"/>
        <v>0.16802136414459018</v>
      </c>
      <c r="BI266">
        <f t="shared" si="697"/>
        <v>1.6147461908387187E-2</v>
      </c>
      <c r="BJ266" s="460">
        <f t="shared" si="698"/>
        <v>518.51294350265528</v>
      </c>
      <c r="BK266">
        <f t="shared" si="764"/>
        <v>1.3291358294931601</v>
      </c>
      <c r="BL266" s="460">
        <f t="shared" si="699"/>
        <v>1832.4014406216113</v>
      </c>
      <c r="BM266" s="173">
        <f t="shared" si="765"/>
        <v>0.434</v>
      </c>
      <c r="BN266" s="173">
        <f t="shared" si="766"/>
        <v>3.1E-2</v>
      </c>
      <c r="BQ266" s="460">
        <f t="shared" si="700"/>
        <v>464.99999999999994</v>
      </c>
      <c r="BR266" s="528">
        <f t="shared" si="701"/>
        <v>1.9521077328617173E-2</v>
      </c>
      <c r="BS266" s="528">
        <f t="shared" si="702"/>
        <v>2.4109962285491685E-2</v>
      </c>
      <c r="BT266" s="528">
        <f t="shared" si="703"/>
        <v>4.0291947290236363E-5</v>
      </c>
      <c r="BU266" s="528">
        <f t="shared" si="704"/>
        <v>1.3918091658014877</v>
      </c>
      <c r="BV266" s="528"/>
      <c r="BW266" s="625">
        <f t="shared" si="705"/>
        <v>0.51600000000000001</v>
      </c>
      <c r="BX266" s="460">
        <f t="shared" si="706"/>
        <v>1951.4804973628868</v>
      </c>
      <c r="BY266" s="173">
        <f t="shared" si="707"/>
        <v>4.248881937984498</v>
      </c>
      <c r="BZ266" s="5">
        <f t="shared" si="708"/>
        <v>12.9</v>
      </c>
      <c r="CA266" s="173">
        <f t="shared" si="709"/>
        <v>0.75223562950927469</v>
      </c>
      <c r="CB266" s="5">
        <f t="shared" si="710"/>
        <v>75.223562950927473</v>
      </c>
      <c r="CC266">
        <f t="shared" si="711"/>
        <v>50</v>
      </c>
      <c r="CE266" s="562">
        <f t="shared" si="767"/>
        <v>-50</v>
      </c>
      <c r="CG266" s="173">
        <f t="shared" si="768"/>
        <v>0.57253569402246873</v>
      </c>
      <c r="CH266" s="173">
        <f t="shared" si="769"/>
        <v>0.15658375762402604</v>
      </c>
      <c r="CI266" s="170">
        <v>50</v>
      </c>
      <c r="CJ266" s="217">
        <f t="shared" si="712"/>
        <v>0.5</v>
      </c>
      <c r="CK266" s="217">
        <f t="shared" si="654"/>
        <v>0.05</v>
      </c>
      <c r="CL266" s="217">
        <f t="shared" si="655"/>
        <v>12</v>
      </c>
      <c r="CM266" s="217">
        <f t="shared" si="656"/>
        <v>0.9</v>
      </c>
      <c r="CN266" s="541">
        <f t="shared" si="657"/>
        <v>36</v>
      </c>
      <c r="CO266" s="443">
        <f t="shared" si="770"/>
        <v>16.474900000000002</v>
      </c>
      <c r="CP266" s="443">
        <f t="shared" si="771"/>
        <v>52.474900000000005</v>
      </c>
      <c r="CQ266" s="443"/>
      <c r="CR266" s="217">
        <f t="shared" si="660"/>
        <v>0.31220924123305599</v>
      </c>
      <c r="CS266" s="172">
        <f t="shared" si="661"/>
        <v>58.085440229405762</v>
      </c>
      <c r="CT266" s="172">
        <f t="shared" si="662"/>
        <v>4.683138618495839</v>
      </c>
      <c r="CU266" s="217">
        <f t="shared" si="663"/>
        <v>2.4202266762252402</v>
      </c>
      <c r="CV266" s="217">
        <f t="shared" si="664"/>
        <v>3.2269689016336534</v>
      </c>
      <c r="CW266" s="217">
        <f t="shared" si="665"/>
        <v>24</v>
      </c>
      <c r="CX266" s="217">
        <f t="shared" si="666"/>
        <v>2.2954691021836022</v>
      </c>
      <c r="CY266" s="217">
        <f t="shared" si="667"/>
        <v>0.63763030616211169</v>
      </c>
      <c r="CZ266" s="217">
        <f t="shared" si="668"/>
        <v>1.3933129197649772</v>
      </c>
      <c r="DA266" s="197">
        <f t="shared" si="669"/>
        <v>350</v>
      </c>
      <c r="DB266" s="443">
        <f t="shared" si="670"/>
        <v>350</v>
      </c>
      <c r="DD266" s="217">
        <f t="shared" si="671"/>
        <v>3.2292794133140656</v>
      </c>
      <c r="DE266" s="173">
        <f t="shared" si="672"/>
        <v>1.9601207978889497</v>
      </c>
      <c r="DF266" s="173">
        <f t="shared" si="673"/>
        <v>0.6872960992823488</v>
      </c>
      <c r="DG266" s="173"/>
      <c r="DH266" s="173">
        <f t="shared" si="674"/>
        <v>1.3488532386977903</v>
      </c>
      <c r="DI266" s="545">
        <f t="shared" si="675"/>
        <v>500.1749999999999</v>
      </c>
      <c r="DJ266" s="528">
        <f t="shared" si="676"/>
        <v>0.34987754285999911</v>
      </c>
      <c r="DL266" s="173">
        <f t="shared" si="677"/>
        <v>2.7150374898753369</v>
      </c>
      <c r="DM266" s="173">
        <f t="shared" si="678"/>
        <v>2.7150374898753369</v>
      </c>
      <c r="DN266" s="173">
        <f t="shared" si="679"/>
        <v>1.5650483464097145</v>
      </c>
      <c r="DP266" s="545">
        <f t="shared" si="680"/>
        <v>500</v>
      </c>
      <c r="DQ266" s="460">
        <f t="shared" si="681"/>
        <v>350</v>
      </c>
      <c r="DS266">
        <f t="shared" si="682"/>
        <v>500</v>
      </c>
      <c r="DT266">
        <f t="shared" si="683"/>
        <v>350</v>
      </c>
      <c r="DV266" s="5">
        <f t="shared" si="684"/>
        <v>2.8571428571428572</v>
      </c>
      <c r="DW266" s="5">
        <f t="shared" si="685"/>
        <v>0.75417708052092691</v>
      </c>
      <c r="DX266" s="5">
        <f t="shared" si="686"/>
        <v>2.1029657766219305</v>
      </c>
      <c r="DY266" s="173">
        <f t="shared" si="687"/>
        <v>0.26396197818232442</v>
      </c>
      <c r="EA266" s="5">
        <f t="shared" si="713"/>
        <v>1.5712022510852643</v>
      </c>
      <c r="EB266" s="5">
        <f t="shared" si="714"/>
        <v>0.20949363347803523</v>
      </c>
      <c r="EC266" s="5">
        <f t="shared" si="715"/>
        <v>0.58415716017275832</v>
      </c>
      <c r="ED266" s="5"/>
      <c r="EE266" s="173">
        <f t="shared" si="716"/>
        <v>0.80535227649023067</v>
      </c>
      <c r="EF266" s="173">
        <f t="shared" si="717"/>
        <v>0.8969973542882812</v>
      </c>
      <c r="EG266" s="173">
        <f t="shared" si="718"/>
        <v>8.9820951287515702E-2</v>
      </c>
      <c r="EH266" s="173"/>
      <c r="EI266" s="528">
        <f t="shared" si="719"/>
        <v>2.594369156991988E-2</v>
      </c>
      <c r="EJ266" s="528">
        <f t="shared" si="720"/>
        <v>1.3712864624830461</v>
      </c>
      <c r="EK266" s="528">
        <f t="shared" si="721"/>
        <v>6.9999999999999993E-2</v>
      </c>
      <c r="EL266" s="528">
        <f t="shared" si="722"/>
        <v>0.16865892671311253</v>
      </c>
      <c r="EM266">
        <f t="shared" si="723"/>
        <v>1.6199999999999999E-2</v>
      </c>
      <c r="EN266" s="460">
        <f t="shared" si="724"/>
        <v>86.2</v>
      </c>
      <c r="EP266" s="460">
        <f t="shared" si="725"/>
        <v>1652.0890807660785</v>
      </c>
      <c r="EQ266" s="173">
        <f t="shared" si="726"/>
        <v>0.35</v>
      </c>
      <c r="ER266" s="173">
        <f t="shared" si="772"/>
        <v>3.1E-2</v>
      </c>
      <c r="ES266" s="528"/>
      <c r="EU266" s="460">
        <f t="shared" si="727"/>
        <v>381</v>
      </c>
      <c r="EV266" s="528">
        <f t="shared" si="728"/>
        <v>1.9457768677439907E-2</v>
      </c>
      <c r="EW266" s="528">
        <f t="shared" si="729"/>
        <v>2.4138127608005287E-2</v>
      </c>
      <c r="EX266" s="528">
        <f t="shared" si="730"/>
        <v>4.0339016450971344E-5</v>
      </c>
      <c r="EY266" s="528">
        <f t="shared" si="731"/>
        <v>1.3918091658014877</v>
      </c>
      <c r="EZ266" s="528"/>
      <c r="FA266" s="625">
        <f t="shared" si="732"/>
        <v>0.51600000000000001</v>
      </c>
      <c r="FB266" s="460">
        <f t="shared" si="733"/>
        <v>1951.445401103384</v>
      </c>
      <c r="FC266" s="173">
        <f t="shared" si="734"/>
        <v>3.9845344818694626</v>
      </c>
      <c r="FD266" s="5">
        <f t="shared" si="735"/>
        <v>12.9</v>
      </c>
      <c r="FE266" s="173">
        <f t="shared" si="736"/>
        <v>0.76401277238954757</v>
      </c>
      <c r="FF266" s="5">
        <f t="shared" si="737"/>
        <v>76.401277238954762</v>
      </c>
      <c r="FG266">
        <f t="shared" si="738"/>
        <v>50</v>
      </c>
      <c r="FI266" s="562">
        <f t="shared" si="689"/>
        <v>-50</v>
      </c>
    </row>
    <row r="267" spans="5:165">
      <c r="E267" s="170">
        <v>51</v>
      </c>
      <c r="F267" s="217">
        <f t="shared" si="773"/>
        <v>0.51</v>
      </c>
      <c r="G267" s="217">
        <f t="shared" si="742"/>
        <v>5.1000000000000004E-2</v>
      </c>
      <c r="H267" s="217">
        <f t="shared" si="743"/>
        <v>12.24</v>
      </c>
      <c r="I267" s="217">
        <f t="shared" si="744"/>
        <v>0.91800000000000004</v>
      </c>
      <c r="J267" s="541">
        <f t="shared" si="745"/>
        <v>35.882086952067617</v>
      </c>
      <c r="K267" s="443">
        <f t="shared" si="746"/>
        <v>16.492548776829686</v>
      </c>
      <c r="L267" s="172">
        <f t="shared" si="747"/>
        <v>52.374635728897303</v>
      </c>
      <c r="M267" s="443"/>
      <c r="N267" s="217">
        <f t="shared" si="748"/>
        <v>0.31489572284948703</v>
      </c>
      <c r="O267" s="172">
        <f t="shared" si="749"/>
        <v>58.393362832658802</v>
      </c>
      <c r="P267" s="172">
        <f t="shared" si="750"/>
        <v>4.7079648783831161</v>
      </c>
      <c r="Q267" s="217">
        <f t="shared" si="626"/>
        <v>2.4330567846941169</v>
      </c>
      <c r="R267" s="217">
        <f t="shared" si="751"/>
        <v>3.2440757129254889</v>
      </c>
      <c r="S267" s="217">
        <f t="shared" si="752"/>
        <v>24</v>
      </c>
      <c r="T267" s="217">
        <f t="shared" si="753"/>
        <v>2.3290318180465639</v>
      </c>
      <c r="U267" s="217">
        <f t="shared" si="630"/>
        <v>0.64907925259691712</v>
      </c>
      <c r="V267" s="217">
        <f t="shared" si="631"/>
        <v>1.4121721569916539</v>
      </c>
      <c r="W267" s="197">
        <f t="shared" si="632"/>
        <v>350</v>
      </c>
      <c r="X267" s="443">
        <f t="shared" si="691"/>
        <v>350</v>
      </c>
      <c r="Z267" s="217">
        <f t="shared" si="633"/>
        <v>3.2283187737484225</v>
      </c>
      <c r="AA267" s="173">
        <f t="shared" si="634"/>
        <v>1.9574407918586085</v>
      </c>
      <c r="AB267" s="173">
        <f t="shared" si="754"/>
        <v>0.68615220694582746</v>
      </c>
      <c r="AC267" s="173"/>
      <c r="AD267" s="173">
        <f t="shared" si="636"/>
        <v>1.3474098226371254</v>
      </c>
      <c r="AE267" s="545">
        <f t="shared" si="755"/>
        <v>510.7250299631441</v>
      </c>
      <c r="AF267" s="528">
        <f t="shared" si="756"/>
        <v>0.34950313677181877</v>
      </c>
      <c r="AH267" s="173">
        <f t="shared" si="757"/>
        <v>2.7420534536834147</v>
      </c>
      <c r="AI267" s="173">
        <f t="shared" si="758"/>
        <v>2.7420534536834147</v>
      </c>
      <c r="AJ267" s="173">
        <f t="shared" si="759"/>
        <v>1.585060171452735</v>
      </c>
      <c r="AL267" s="545">
        <f t="shared" si="760"/>
        <v>510</v>
      </c>
      <c r="AM267" s="460">
        <f t="shared" si="761"/>
        <v>350</v>
      </c>
      <c r="AO267">
        <f t="shared" si="644"/>
        <v>510</v>
      </c>
      <c r="AP267">
        <f t="shared" si="645"/>
        <v>350</v>
      </c>
      <c r="AR267" s="5">
        <f t="shared" si="774"/>
        <v>2.8571428571428572</v>
      </c>
      <c r="AS267" s="5">
        <f t="shared" si="739"/>
        <v>0.7641844961098091</v>
      </c>
      <c r="AT267" s="5">
        <f t="shared" si="740"/>
        <v>2.0929583610330482</v>
      </c>
      <c r="AU267" s="173">
        <f t="shared" si="741"/>
        <v>0.26746457363843318</v>
      </c>
      <c r="BA267" s="173">
        <f t="shared" si="692"/>
        <v>0.81874455111928801</v>
      </c>
      <c r="BB267" s="173">
        <f t="shared" si="693"/>
        <v>0.90376483577391276</v>
      </c>
      <c r="BC267" s="173">
        <f t="shared" si="694"/>
        <v>9.0498613960603949E-2</v>
      </c>
      <c r="BD267" s="173"/>
      <c r="BE267" s="528">
        <f t="shared" si="695"/>
        <v>2.6813705599500977E-2</v>
      </c>
      <c r="BF267" s="528">
        <f t="shared" si="762"/>
        <v>1.1309606499384397</v>
      </c>
      <c r="BG267" s="528">
        <f t="shared" si="763"/>
        <v>0.50234921732894666</v>
      </c>
      <c r="BH267" s="528">
        <f t="shared" si="696"/>
        <v>0.1680150261487495</v>
      </c>
      <c r="BI267">
        <f t="shared" si="697"/>
        <v>1.6146939128430429E-2</v>
      </c>
      <c r="BJ267" s="460">
        <f t="shared" si="698"/>
        <v>518.49615645737708</v>
      </c>
      <c r="BK267">
        <f t="shared" si="764"/>
        <v>1.3415761787769693</v>
      </c>
      <c r="BL267" s="460">
        <f t="shared" si="699"/>
        <v>1844.285538144067</v>
      </c>
      <c r="BM267" s="173">
        <f t="shared" si="765"/>
        <v>0.44267999999999996</v>
      </c>
      <c r="BN267" s="173">
        <f t="shared" si="766"/>
        <v>3.1620000000000002E-2</v>
      </c>
      <c r="BQ267" s="460">
        <f t="shared" si="700"/>
        <v>474.29999999999995</v>
      </c>
      <c r="BR267" s="528">
        <f t="shared" si="701"/>
        <v>2.0110279199625731E-2</v>
      </c>
      <c r="BS267" s="528">
        <f t="shared" si="702"/>
        <v>2.4503726351443423E-2</v>
      </c>
      <c r="BT267" s="528">
        <f t="shared" si="703"/>
        <v>4.0949995643952094E-5</v>
      </c>
      <c r="BU267" s="528">
        <f t="shared" si="704"/>
        <v>1.4266909518434046</v>
      </c>
      <c r="BV267" s="528"/>
      <c r="BW267" s="625">
        <f t="shared" si="705"/>
        <v>0.52632000000000001</v>
      </c>
      <c r="BX267" s="460">
        <f t="shared" si="706"/>
        <v>1997.6659073901178</v>
      </c>
      <c r="BY267" s="173">
        <f t="shared" si="707"/>
        <v>4.3162514455341849</v>
      </c>
      <c r="BZ267" s="5">
        <f t="shared" si="708"/>
        <v>13.157999999999999</v>
      </c>
      <c r="CA267" s="173">
        <f t="shared" si="709"/>
        <v>0.7529936284259392</v>
      </c>
      <c r="CB267" s="5">
        <f t="shared" si="710"/>
        <v>75.299362842593922</v>
      </c>
      <c r="CC267">
        <f t="shared" si="711"/>
        <v>51</v>
      </c>
      <c r="CE267" s="562">
        <f t="shared" si="767"/>
        <v>-50</v>
      </c>
      <c r="CG267" s="173">
        <f t="shared" si="768"/>
        <v>0.57823270691684836</v>
      </c>
      <c r="CH267" s="173">
        <f t="shared" si="769"/>
        <v>0.15814184333911419</v>
      </c>
      <c r="CI267" s="170">
        <v>51</v>
      </c>
      <c r="CJ267" s="217">
        <f t="shared" si="712"/>
        <v>0.51</v>
      </c>
      <c r="CK267" s="217">
        <f t="shared" si="654"/>
        <v>5.1000000000000004E-2</v>
      </c>
      <c r="CL267" s="217">
        <f t="shared" si="655"/>
        <v>12.24</v>
      </c>
      <c r="CM267" s="217">
        <f t="shared" si="656"/>
        <v>0.91800000000000004</v>
      </c>
      <c r="CN267" s="541">
        <f t="shared" si="657"/>
        <v>36</v>
      </c>
      <c r="CO267" s="443">
        <f t="shared" si="770"/>
        <v>16.474900000000002</v>
      </c>
      <c r="CP267" s="443">
        <f t="shared" si="771"/>
        <v>52.474900000000005</v>
      </c>
      <c r="CQ267" s="443"/>
      <c r="CR267" s="217">
        <f t="shared" si="660"/>
        <v>0.31220924123305599</v>
      </c>
      <c r="CS267" s="172">
        <f t="shared" si="661"/>
        <v>58.085440229405762</v>
      </c>
      <c r="CT267" s="172">
        <f t="shared" si="662"/>
        <v>4.683138618495839</v>
      </c>
      <c r="CU267" s="217">
        <f t="shared" si="663"/>
        <v>2.4202266762252402</v>
      </c>
      <c r="CV267" s="217">
        <f t="shared" si="664"/>
        <v>3.2269689016336534</v>
      </c>
      <c r="CW267" s="217">
        <f t="shared" si="665"/>
        <v>24</v>
      </c>
      <c r="CX267" s="217">
        <f t="shared" si="666"/>
        <v>2.341378484227274</v>
      </c>
      <c r="CY267" s="217">
        <f t="shared" si="667"/>
        <v>0.65038291228535394</v>
      </c>
      <c r="CZ267" s="217">
        <f t="shared" si="668"/>
        <v>1.4211791781602765</v>
      </c>
      <c r="DA267" s="197">
        <f t="shared" si="669"/>
        <v>350</v>
      </c>
      <c r="DB267" s="443">
        <f t="shared" si="670"/>
        <v>350</v>
      </c>
      <c r="DD267" s="217">
        <f t="shared" si="671"/>
        <v>3.2292794133140656</v>
      </c>
      <c r="DE267" s="173">
        <f t="shared" si="672"/>
        <v>1.9601207978889497</v>
      </c>
      <c r="DF267" s="173">
        <f t="shared" si="673"/>
        <v>0.6872960992823488</v>
      </c>
      <c r="DG267" s="173"/>
      <c r="DH267" s="173">
        <f t="shared" si="674"/>
        <v>1.3488532386977903</v>
      </c>
      <c r="DI267" s="545">
        <f t="shared" si="675"/>
        <v>510.17849999999981</v>
      </c>
      <c r="DJ267" s="528">
        <f t="shared" si="676"/>
        <v>0.34987754285999911</v>
      </c>
      <c r="DL267" s="173">
        <f t="shared" si="677"/>
        <v>2.7420534536834147</v>
      </c>
      <c r="DM267" s="173">
        <f t="shared" si="678"/>
        <v>2.7420534536834147</v>
      </c>
      <c r="DN267" s="173">
        <f t="shared" si="679"/>
        <v>1.585060171452735</v>
      </c>
      <c r="DP267" s="545">
        <f t="shared" si="680"/>
        <v>510</v>
      </c>
      <c r="DQ267" s="460">
        <f t="shared" si="681"/>
        <v>350</v>
      </c>
      <c r="DS267">
        <f t="shared" si="682"/>
        <v>510</v>
      </c>
      <c r="DT267">
        <f t="shared" si="683"/>
        <v>350</v>
      </c>
      <c r="DV267" s="5">
        <f t="shared" si="684"/>
        <v>2.8571428571428572</v>
      </c>
      <c r="DW267" s="5">
        <f t="shared" si="685"/>
        <v>0.76168151491205971</v>
      </c>
      <c r="DX267" s="5">
        <f t="shared" si="686"/>
        <v>2.0954613422307977</v>
      </c>
      <c r="DY267" s="173">
        <f t="shared" si="687"/>
        <v>0.26658853021922091</v>
      </c>
      <c r="EA267" s="5">
        <f t="shared" si="713"/>
        <v>1.618573219188127</v>
      </c>
      <c r="EB267" s="5">
        <f t="shared" si="714"/>
        <v>0.21580976255841694</v>
      </c>
      <c r="EC267" s="5">
        <f t="shared" si="715"/>
        <v>0.59371404696539265</v>
      </c>
      <c r="ED267" s="5"/>
      <c r="EE267" s="173">
        <f t="shared" si="716"/>
        <v>0.81740260880477922</v>
      </c>
      <c r="EF267" s="173">
        <f t="shared" si="717"/>
        <v>0.90430508313878055</v>
      </c>
      <c r="EG267" s="173">
        <f t="shared" si="718"/>
        <v>9.0552711703491384E-2</v>
      </c>
      <c r="EH267" s="173"/>
      <c r="EI267" s="528">
        <f t="shared" si="719"/>
        <v>2.6725880995234361E-2</v>
      </c>
      <c r="EJ267" s="528">
        <f t="shared" si="720"/>
        <v>1.3849314399756592</v>
      </c>
      <c r="EK267" s="528">
        <f t="shared" si="721"/>
        <v>6.9999999999999993E-2</v>
      </c>
      <c r="EL267" s="528">
        <f t="shared" si="722"/>
        <v>0.16865892671311253</v>
      </c>
      <c r="EM267">
        <f t="shared" si="723"/>
        <v>1.6199999999999999E-2</v>
      </c>
      <c r="EN267" s="460">
        <f t="shared" si="724"/>
        <v>86.2</v>
      </c>
      <c r="EP267" s="460">
        <f t="shared" si="725"/>
        <v>1666.516247684006</v>
      </c>
      <c r="EQ267" s="173">
        <f t="shared" si="726"/>
        <v>0.35699999999999998</v>
      </c>
      <c r="ER267" s="173">
        <f t="shared" si="772"/>
        <v>3.1620000000000002E-2</v>
      </c>
      <c r="ES267" s="528"/>
      <c r="EU267" s="460">
        <f t="shared" si="727"/>
        <v>388.61999999999995</v>
      </c>
      <c r="EV267" s="528">
        <f t="shared" si="728"/>
        <v>2.0044410746425767E-2</v>
      </c>
      <c r="EW267" s="528">
        <f t="shared" si="729"/>
        <v>2.4533030501719101E-2</v>
      </c>
      <c r="EX267" s="528">
        <f t="shared" si="730"/>
        <v>4.0998967984278131E-5</v>
      </c>
      <c r="EY267" s="528">
        <f t="shared" si="731"/>
        <v>1.4266909518434046</v>
      </c>
      <c r="EZ267" s="528"/>
      <c r="FA267" s="625">
        <f t="shared" si="732"/>
        <v>0.52632000000000001</v>
      </c>
      <c r="FB267" s="460">
        <f t="shared" si="733"/>
        <v>1997.6293920595335</v>
      </c>
      <c r="FC267" s="173">
        <f t="shared" si="734"/>
        <v>4.0527656397435399</v>
      </c>
      <c r="FD267" s="5">
        <f t="shared" si="735"/>
        <v>13.157999999999999</v>
      </c>
      <c r="FE267" s="173">
        <f t="shared" si="736"/>
        <v>0.76452147890592448</v>
      </c>
      <c r="FF267" s="5">
        <f t="shared" si="737"/>
        <v>76.452147890592443</v>
      </c>
      <c r="FG267">
        <f t="shared" si="738"/>
        <v>51</v>
      </c>
      <c r="FI267" s="562">
        <f t="shared" si="689"/>
        <v>-50</v>
      </c>
    </row>
    <row r="268" spans="5:165">
      <c r="E268" s="170">
        <v>52</v>
      </c>
      <c r="F268" s="217">
        <f t="shared" si="773"/>
        <v>0.52</v>
      </c>
      <c r="G268" s="217">
        <f t="shared" si="742"/>
        <v>5.2000000000000005E-2</v>
      </c>
      <c r="H268" s="217">
        <f t="shared" si="743"/>
        <v>12.48</v>
      </c>
      <c r="I268" s="217">
        <f t="shared" si="744"/>
        <v>0.93600000000000005</v>
      </c>
      <c r="J268" s="541">
        <f t="shared" si="745"/>
        <v>35.880936553626377</v>
      </c>
      <c r="K268" s="443">
        <f t="shared" si="746"/>
        <v>16.492720964095732</v>
      </c>
      <c r="L268" s="172">
        <f t="shared" si="747"/>
        <v>52.373657517722108</v>
      </c>
      <c r="M268" s="443"/>
      <c r="N268" s="217">
        <f t="shared" si="748"/>
        <v>0.31490489199680111</v>
      </c>
      <c r="O268" s="172">
        <f t="shared" si="749"/>
        <v>58.393190956918794</v>
      </c>
      <c r="P268" s="172">
        <f t="shared" si="750"/>
        <v>4.7079510209015778</v>
      </c>
      <c r="Q268" s="217">
        <f t="shared" si="626"/>
        <v>2.4330496232049499</v>
      </c>
      <c r="R268" s="217">
        <f t="shared" si="751"/>
        <v>3.2440661642732662</v>
      </c>
      <c r="S268" s="217">
        <f t="shared" si="752"/>
        <v>24</v>
      </c>
      <c r="T268" s="217">
        <f t="shared" si="753"/>
        <v>2.3747060983355381</v>
      </c>
      <c r="U268" s="217">
        <f t="shared" si="630"/>
        <v>0.66182946333811188</v>
      </c>
      <c r="V268" s="217">
        <f t="shared" si="631"/>
        <v>1.4398510127620654</v>
      </c>
      <c r="W268" s="197">
        <f t="shared" si="632"/>
        <v>350</v>
      </c>
      <c r="X268" s="443">
        <f t="shared" si="691"/>
        <v>350</v>
      </c>
      <c r="Z268" s="217">
        <f t="shared" si="633"/>
        <v>3.2283092714753674</v>
      </c>
      <c r="AA268" s="173">
        <f t="shared" si="634"/>
        <v>1.9574145942948538</v>
      </c>
      <c r="AB268" s="173">
        <f t="shared" si="754"/>
        <v>0.68614100417167445</v>
      </c>
      <c r="AC268" s="173"/>
      <c r="AD268" s="173">
        <f t="shared" si="636"/>
        <v>1.347395755412311</v>
      </c>
      <c r="AE268" s="545">
        <f t="shared" si="755"/>
        <v>520.74468291432686</v>
      </c>
      <c r="AF268" s="528">
        <f t="shared" si="756"/>
        <v>0.34949948789000451</v>
      </c>
      <c r="AH268" s="173">
        <f t="shared" si="757"/>
        <v>2.7688058282020633</v>
      </c>
      <c r="AI268" s="173">
        <f t="shared" si="758"/>
        <v>2.7688058282020633</v>
      </c>
      <c r="AJ268" s="173">
        <f t="shared" si="759"/>
        <v>1.6048767451702526</v>
      </c>
      <c r="AL268" s="545">
        <f t="shared" si="760"/>
        <v>520</v>
      </c>
      <c r="AM268" s="460">
        <f t="shared" si="761"/>
        <v>350</v>
      </c>
      <c r="AO268">
        <f t="shared" si="644"/>
        <v>520</v>
      </c>
      <c r="AP268">
        <f t="shared" si="645"/>
        <v>350</v>
      </c>
      <c r="AR268" s="5">
        <f t="shared" si="774"/>
        <v>2.8571428571428572</v>
      </c>
      <c r="AS268" s="5">
        <f t="shared" si="739"/>
        <v>0.77166487113955462</v>
      </c>
      <c r="AT268" s="5">
        <f t="shared" si="740"/>
        <v>2.0854779860033026</v>
      </c>
      <c r="AU268" s="173">
        <f t="shared" si="741"/>
        <v>0.27008270489884412</v>
      </c>
      <c r="BA268" s="173">
        <f t="shared" si="692"/>
        <v>0.83076895750095148</v>
      </c>
      <c r="BB268" s="173">
        <f t="shared" si="693"/>
        <v>0.91094998728553522</v>
      </c>
      <c r="BC268" s="173">
        <f t="shared" si="694"/>
        <v>9.121810007818669E-2</v>
      </c>
      <c r="BD268" s="173"/>
      <c r="BE268" s="528">
        <f t="shared" si="695"/>
        <v>2.760708242988871E-2</v>
      </c>
      <c r="BF268" s="528">
        <f t="shared" si="762"/>
        <v>1.1419733444122064</v>
      </c>
      <c r="BG268" s="528">
        <f t="shared" si="763"/>
        <v>0.50233311175076922</v>
      </c>
      <c r="BH268" s="528">
        <f t="shared" si="696"/>
        <v>0.16800875010924851</v>
      </c>
      <c r="BI268">
        <f t="shared" si="697"/>
        <v>1.6146421449131868E-2</v>
      </c>
      <c r="BJ268" s="460">
        <f t="shared" si="698"/>
        <v>518.4795331999012</v>
      </c>
      <c r="BK268">
        <f t="shared" si="764"/>
        <v>1.3539240767243834</v>
      </c>
      <c r="BL268" s="460">
        <f t="shared" si="699"/>
        <v>1856.0687101512444</v>
      </c>
      <c r="BM268" s="173">
        <f t="shared" si="765"/>
        <v>0.45135999999999998</v>
      </c>
      <c r="BN268" s="173">
        <f t="shared" si="766"/>
        <v>3.2240000000000005E-2</v>
      </c>
      <c r="BQ268" s="460">
        <f t="shared" si="700"/>
        <v>483.59999999999997</v>
      </c>
      <c r="BR268" s="528">
        <f t="shared" si="701"/>
        <v>2.0705311822416531E-2</v>
      </c>
      <c r="BS268" s="528">
        <f t="shared" si="702"/>
        <v>2.4894896380065503E-2</v>
      </c>
      <c r="BT268" s="528">
        <f t="shared" si="703"/>
        <v>4.160370890937041E-5</v>
      </c>
      <c r="BU268" s="528">
        <f t="shared" si="704"/>
        <v>1.4617441564447395</v>
      </c>
      <c r="BV268" s="528"/>
      <c r="BW268" s="625">
        <f t="shared" si="705"/>
        <v>0.53664000000000001</v>
      </c>
      <c r="BX268" s="460">
        <f t="shared" si="706"/>
        <v>2044.0259683561308</v>
      </c>
      <c r="BY268" s="173">
        <f t="shared" si="707"/>
        <v>4.3836946785073758</v>
      </c>
      <c r="BZ268" s="5">
        <f t="shared" si="708"/>
        <v>13.416</v>
      </c>
      <c r="CA268" s="173">
        <f t="shared" si="709"/>
        <v>0.75372079366054734</v>
      </c>
      <c r="CB268" s="5">
        <f t="shared" si="710"/>
        <v>75.372079366054734</v>
      </c>
      <c r="CC268">
        <f t="shared" si="711"/>
        <v>52</v>
      </c>
      <c r="CE268" s="562">
        <f t="shared" si="767"/>
        <v>-50</v>
      </c>
      <c r="CG268" s="173">
        <f t="shared" si="768"/>
        <v>0.58387413520979126</v>
      </c>
      <c r="CH268" s="173">
        <f t="shared" si="769"/>
        <v>0.15968472712731838</v>
      </c>
      <c r="CI268" s="170">
        <v>52</v>
      </c>
      <c r="CJ268" s="217">
        <f t="shared" si="712"/>
        <v>0.52</v>
      </c>
      <c r="CK268" s="217">
        <f t="shared" si="654"/>
        <v>5.2000000000000005E-2</v>
      </c>
      <c r="CL268" s="217">
        <f t="shared" si="655"/>
        <v>12.48</v>
      </c>
      <c r="CM268" s="217">
        <f t="shared" si="656"/>
        <v>0.93600000000000005</v>
      </c>
      <c r="CN268" s="541">
        <f t="shared" si="657"/>
        <v>36</v>
      </c>
      <c r="CO268" s="443">
        <f t="shared" si="770"/>
        <v>16.474900000000002</v>
      </c>
      <c r="CP268" s="443">
        <f t="shared" si="771"/>
        <v>52.474900000000005</v>
      </c>
      <c r="CQ268" s="443"/>
      <c r="CR268" s="217">
        <f t="shared" si="660"/>
        <v>0.31220924123305599</v>
      </c>
      <c r="CS268" s="172">
        <f t="shared" si="661"/>
        <v>58.085440229405762</v>
      </c>
      <c r="CT268" s="172">
        <f t="shared" si="662"/>
        <v>4.683138618495839</v>
      </c>
      <c r="CU268" s="217">
        <f t="shared" si="663"/>
        <v>2.4202266762252402</v>
      </c>
      <c r="CV268" s="217">
        <f t="shared" si="664"/>
        <v>3.2269689016336534</v>
      </c>
      <c r="CW268" s="217">
        <f t="shared" si="665"/>
        <v>24</v>
      </c>
      <c r="CX268" s="217">
        <f t="shared" si="666"/>
        <v>2.3872878662709462</v>
      </c>
      <c r="CY268" s="217">
        <f t="shared" si="667"/>
        <v>0.66313551840859619</v>
      </c>
      <c r="CZ268" s="217">
        <f t="shared" si="668"/>
        <v>1.4490454365555763</v>
      </c>
      <c r="DA268" s="197">
        <f t="shared" si="669"/>
        <v>350</v>
      </c>
      <c r="DB268" s="443">
        <f t="shared" si="670"/>
        <v>350</v>
      </c>
      <c r="DD268" s="217">
        <f t="shared" si="671"/>
        <v>3.2292794133140656</v>
      </c>
      <c r="DE268" s="173">
        <f t="shared" si="672"/>
        <v>1.9601207978889497</v>
      </c>
      <c r="DF268" s="173">
        <f t="shared" si="673"/>
        <v>0.6872960992823488</v>
      </c>
      <c r="DG268" s="173"/>
      <c r="DH268" s="173">
        <f t="shared" si="674"/>
        <v>1.3488532386977903</v>
      </c>
      <c r="DI268" s="545">
        <f t="shared" si="675"/>
        <v>520.18199999999979</v>
      </c>
      <c r="DJ268" s="528">
        <f t="shared" si="676"/>
        <v>0.34987754285999911</v>
      </c>
      <c r="DL268" s="173">
        <f t="shared" si="677"/>
        <v>2.7688058282020633</v>
      </c>
      <c r="DM268" s="173">
        <f t="shared" si="678"/>
        <v>2.7688058282020633</v>
      </c>
      <c r="DN268" s="173">
        <f t="shared" si="679"/>
        <v>1.6048767451702526</v>
      </c>
      <c r="DP268" s="545">
        <f t="shared" si="680"/>
        <v>520</v>
      </c>
      <c r="DQ268" s="460">
        <f t="shared" si="681"/>
        <v>350</v>
      </c>
      <c r="DS268">
        <f t="shared" si="682"/>
        <v>520</v>
      </c>
      <c r="DT268">
        <f t="shared" si="683"/>
        <v>350</v>
      </c>
      <c r="DV268" s="5">
        <f t="shared" si="684"/>
        <v>2.8571428571428572</v>
      </c>
      <c r="DW268" s="5">
        <f t="shared" si="685"/>
        <v>0.76911273005612868</v>
      </c>
      <c r="DX268" s="5">
        <f t="shared" si="686"/>
        <v>2.0880301270867285</v>
      </c>
      <c r="DY268" s="173">
        <f t="shared" si="687"/>
        <v>0.26918945551964502</v>
      </c>
      <c r="EA268" s="5">
        <f t="shared" si="713"/>
        <v>1.666410915121612</v>
      </c>
      <c r="EB268" s="5">
        <f t="shared" si="714"/>
        <v>0.22218812201621499</v>
      </c>
      <c r="EC268" s="5">
        <f t="shared" si="715"/>
        <v>0.60320870338061039</v>
      </c>
      <c r="ED268" s="5"/>
      <c r="EE268" s="173">
        <f t="shared" si="716"/>
        <v>0.82939401116851663</v>
      </c>
      <c r="EF268" s="173">
        <f t="shared" si="717"/>
        <v>0.91150721255038114</v>
      </c>
      <c r="EG268" s="173">
        <f t="shared" si="718"/>
        <v>9.1273897905382748E-2</v>
      </c>
      <c r="EH268" s="173"/>
      <c r="EI268" s="528">
        <f t="shared" si="719"/>
        <v>2.7515777030488062E-2</v>
      </c>
      <c r="EJ268" s="528">
        <f t="shared" si="720"/>
        <v>1.3984432861853346</v>
      </c>
      <c r="EK268" s="528">
        <f t="shared" si="721"/>
        <v>6.9999999999999993E-2</v>
      </c>
      <c r="EL268" s="528">
        <f t="shared" si="722"/>
        <v>0.16865892671311253</v>
      </c>
      <c r="EM268">
        <f t="shared" si="723"/>
        <v>1.6199999999999999E-2</v>
      </c>
      <c r="EN268" s="460">
        <f t="shared" si="724"/>
        <v>86.2</v>
      </c>
      <c r="EP268" s="460">
        <f t="shared" si="725"/>
        <v>1680.8179899289353</v>
      </c>
      <c r="EQ268" s="173">
        <f t="shared" si="726"/>
        <v>0.36399999999999999</v>
      </c>
      <c r="ER268" s="173">
        <f t="shared" si="772"/>
        <v>3.2240000000000005E-2</v>
      </c>
      <c r="ES268" s="528"/>
      <c r="EU268" s="460">
        <f t="shared" si="727"/>
        <v>396.24</v>
      </c>
      <c r="EV268" s="528">
        <f t="shared" si="728"/>
        <v>2.0636832772866043E-2</v>
      </c>
      <c r="EW268" s="528">
        <f t="shared" si="729"/>
        <v>2.4925361955940972E-2</v>
      </c>
      <c r="EX268" s="528">
        <f t="shared" si="730"/>
        <v>4.1654622194211169E-5</v>
      </c>
      <c r="EY268" s="528">
        <f t="shared" si="731"/>
        <v>1.4617441564447395</v>
      </c>
      <c r="EZ268" s="528"/>
      <c r="FA268" s="625">
        <f t="shared" si="732"/>
        <v>0.53664000000000001</v>
      </c>
      <c r="FB268" s="460">
        <f t="shared" si="733"/>
        <v>2043.9880057957405</v>
      </c>
      <c r="FC268" s="173">
        <f t="shared" si="734"/>
        <v>4.1210459957246757</v>
      </c>
      <c r="FD268" s="5">
        <f t="shared" si="735"/>
        <v>13.416</v>
      </c>
      <c r="FE268" s="173">
        <f t="shared" si="736"/>
        <v>0.76500911289567597</v>
      </c>
      <c r="FF268" s="5">
        <f t="shared" si="737"/>
        <v>76.500911289567597</v>
      </c>
      <c r="FG268">
        <f t="shared" si="738"/>
        <v>52</v>
      </c>
      <c r="FI268" s="562">
        <f t="shared" si="689"/>
        <v>-50</v>
      </c>
    </row>
    <row r="269" spans="5:165">
      <c r="E269" s="170">
        <v>53</v>
      </c>
      <c r="F269" s="217">
        <f t="shared" si="773"/>
        <v>0.53</v>
      </c>
      <c r="G269" s="217">
        <f t="shared" si="742"/>
        <v>5.3000000000000005E-2</v>
      </c>
      <c r="H269" s="217">
        <f t="shared" si="743"/>
        <v>12.72</v>
      </c>
      <c r="I269" s="217">
        <f t="shared" si="744"/>
        <v>0.95400000000000007</v>
      </c>
      <c r="J269" s="541">
        <f t="shared" si="745"/>
        <v>35.879797164542488</v>
      </c>
      <c r="K269" s="443">
        <f t="shared" si="746"/>
        <v>16.492891503523015</v>
      </c>
      <c r="L269" s="172">
        <f t="shared" si="747"/>
        <v>52.372688668065507</v>
      </c>
      <c r="M269" s="443"/>
      <c r="N269" s="217">
        <f t="shared" si="748"/>
        <v>0.31491397373264196</v>
      </c>
      <c r="O269" s="172">
        <f t="shared" si="749"/>
        <v>58.393020681174441</v>
      </c>
      <c r="P269" s="172">
        <f t="shared" si="750"/>
        <v>4.7079372924196896</v>
      </c>
      <c r="Q269" s="217">
        <f t="shared" si="626"/>
        <v>2.4330425283822685</v>
      </c>
      <c r="R269" s="217">
        <f t="shared" si="751"/>
        <v>3.2440567045096911</v>
      </c>
      <c r="S269" s="217">
        <f t="shared" si="752"/>
        <v>24</v>
      </c>
      <c r="T269" s="217">
        <f t="shared" si="753"/>
        <v>2.4203805811830241</v>
      </c>
      <c r="U269" s="217">
        <f t="shared" si="630"/>
        <v>0.67458034115502696</v>
      </c>
      <c r="V269" s="217">
        <f t="shared" si="631"/>
        <v>1.4675295600325819</v>
      </c>
      <c r="W269" s="197">
        <f t="shared" si="632"/>
        <v>350</v>
      </c>
      <c r="X269" s="443">
        <f t="shared" si="691"/>
        <v>350</v>
      </c>
      <c r="Z269" s="217">
        <f t="shared" si="633"/>
        <v>3.228299857659215</v>
      </c>
      <c r="AA269" s="173">
        <f t="shared" si="634"/>
        <v>1.9573886464781656</v>
      </c>
      <c r="AB269" s="173">
        <f t="shared" si="754"/>
        <v>0.68612990779651806</v>
      </c>
      <c r="AC269" s="173"/>
      <c r="AD269" s="173">
        <f t="shared" si="636"/>
        <v>1.3473818231009027</v>
      </c>
      <c r="AE269" s="545">
        <f t="shared" si="755"/>
        <v>530.76449193871281</v>
      </c>
      <c r="AF269" s="528">
        <f t="shared" si="756"/>
        <v>0.34949587400322857</v>
      </c>
      <c r="AH269" s="173">
        <f t="shared" si="757"/>
        <v>2.7953021814670209</v>
      </c>
      <c r="AI269" s="173">
        <f t="shared" si="758"/>
        <v>2.7953021814670209</v>
      </c>
      <c r="AJ269" s="173">
        <f t="shared" si="759"/>
        <v>1.6245036735146656</v>
      </c>
      <c r="AL269" s="545">
        <f t="shared" si="760"/>
        <v>530</v>
      </c>
      <c r="AM269" s="460">
        <f t="shared" si="761"/>
        <v>350</v>
      </c>
      <c r="AO269">
        <f t="shared" si="644"/>
        <v>530</v>
      </c>
      <c r="AP269">
        <f t="shared" si="645"/>
        <v>350</v>
      </c>
      <c r="AR269" s="5">
        <f t="shared" si="774"/>
        <v>2.8571428571428572</v>
      </c>
      <c r="AS269" s="5">
        <f t="shared" si="739"/>
        <v>0.77907413150858729</v>
      </c>
      <c r="AT269" s="5">
        <f t="shared" si="740"/>
        <v>2.07806872563427</v>
      </c>
      <c r="AU269" s="173">
        <f t="shared" si="741"/>
        <v>0.27267594602800554</v>
      </c>
      <c r="BA269" s="173">
        <f t="shared" si="692"/>
        <v>0.8427360074680732</v>
      </c>
      <c r="BB269" s="173">
        <f t="shared" si="693"/>
        <v>0.91803226555021877</v>
      </c>
      <c r="BC269" s="173">
        <f t="shared" si="694"/>
        <v>9.19272849692854E-2</v>
      </c>
      <c r="BD269" s="173"/>
      <c r="BE269" s="528">
        <f t="shared" si="695"/>
        <v>2.8408159131329134E-2</v>
      </c>
      <c r="BF269" s="528">
        <f t="shared" si="762"/>
        <v>1.152880240704701</v>
      </c>
      <c r="BG269" s="528">
        <f t="shared" si="763"/>
        <v>0.50231716030359475</v>
      </c>
      <c r="BH269" s="528">
        <f t="shared" si="696"/>
        <v>0.16800253424722966</v>
      </c>
      <c r="BI269">
        <f t="shared" si="697"/>
        <v>1.614590872404412E-2</v>
      </c>
      <c r="BJ269" s="460">
        <f t="shared" si="698"/>
        <v>518.46306902763888</v>
      </c>
      <c r="BK269">
        <f t="shared" si="764"/>
        <v>1.3661825669156999</v>
      </c>
      <c r="BL269" s="460">
        <f t="shared" si="699"/>
        <v>1867.7540031108986</v>
      </c>
      <c r="BM269" s="173">
        <f t="shared" si="765"/>
        <v>0.46004</v>
      </c>
      <c r="BN269" s="173">
        <f t="shared" si="766"/>
        <v>3.286E-2</v>
      </c>
      <c r="BQ269" s="460">
        <f t="shared" si="700"/>
        <v>492.9</v>
      </c>
      <c r="BR269" s="528">
        <f t="shared" si="701"/>
        <v>2.1306119348496848E-2</v>
      </c>
      <c r="BS269" s="528">
        <f t="shared" si="702"/>
        <v>2.5283497217738021E-2</v>
      </c>
      <c r="BT269" s="528">
        <f t="shared" si="703"/>
        <v>4.225312860912103E-5</v>
      </c>
      <c r="BU269" s="528">
        <f t="shared" si="704"/>
        <v>1.4969663009603837</v>
      </c>
      <c r="BV269" s="528"/>
      <c r="BW269" s="625">
        <f t="shared" si="705"/>
        <v>0.54696000000000011</v>
      </c>
      <c r="BX269" s="460">
        <f t="shared" si="706"/>
        <v>2090.558170655228</v>
      </c>
      <c r="BY269" s="173">
        <f t="shared" si="707"/>
        <v>4.4512121737661268</v>
      </c>
      <c r="BZ269" s="5">
        <f t="shared" si="708"/>
        <v>13.674000000000001</v>
      </c>
      <c r="CA269" s="173">
        <f t="shared" si="709"/>
        <v>0.7544187548762229</v>
      </c>
      <c r="CB269" s="5">
        <f t="shared" si="710"/>
        <v>75.441875487622283</v>
      </c>
      <c r="CC269">
        <f t="shared" si="711"/>
        <v>53</v>
      </c>
      <c r="CE269" s="562">
        <f t="shared" si="767"/>
        <v>-50</v>
      </c>
      <c r="CG269" s="173">
        <f t="shared" si="768"/>
        <v>0.58946157481686401</v>
      </c>
      <c r="CH269" s="173">
        <f t="shared" si="769"/>
        <v>0.16121284545829254</v>
      </c>
      <c r="CI269" s="170">
        <v>53</v>
      </c>
      <c r="CJ269" s="217">
        <f t="shared" si="712"/>
        <v>0.53</v>
      </c>
      <c r="CK269" s="217">
        <f t="shared" si="654"/>
        <v>5.3000000000000005E-2</v>
      </c>
      <c r="CL269" s="217">
        <f t="shared" si="655"/>
        <v>12.72</v>
      </c>
      <c r="CM269" s="217">
        <f t="shared" si="656"/>
        <v>0.95400000000000007</v>
      </c>
      <c r="CN269" s="541">
        <f t="shared" si="657"/>
        <v>36</v>
      </c>
      <c r="CO269" s="443">
        <f t="shared" si="770"/>
        <v>16.474900000000002</v>
      </c>
      <c r="CP269" s="443">
        <f t="shared" si="771"/>
        <v>52.474900000000005</v>
      </c>
      <c r="CQ269" s="443"/>
      <c r="CR269" s="217">
        <f t="shared" si="660"/>
        <v>0.31220924123305599</v>
      </c>
      <c r="CS269" s="172">
        <f t="shared" si="661"/>
        <v>58.085440229405762</v>
      </c>
      <c r="CT269" s="172">
        <f t="shared" si="662"/>
        <v>4.683138618495839</v>
      </c>
      <c r="CU269" s="217">
        <f t="shared" si="663"/>
        <v>2.4202266762252402</v>
      </c>
      <c r="CV269" s="217">
        <f t="shared" si="664"/>
        <v>3.2269689016336534</v>
      </c>
      <c r="CW269" s="217">
        <f t="shared" si="665"/>
        <v>24</v>
      </c>
      <c r="CX269" s="217">
        <f t="shared" si="666"/>
        <v>2.4331972483146185</v>
      </c>
      <c r="CY269" s="217">
        <f t="shared" si="667"/>
        <v>0.67588812453183855</v>
      </c>
      <c r="CZ269" s="217">
        <f t="shared" si="668"/>
        <v>1.4769116949508758</v>
      </c>
      <c r="DA269" s="197">
        <f t="shared" si="669"/>
        <v>350</v>
      </c>
      <c r="DB269" s="443">
        <f t="shared" si="670"/>
        <v>350</v>
      </c>
      <c r="DD269" s="217">
        <f t="shared" si="671"/>
        <v>3.2292794133140656</v>
      </c>
      <c r="DE269" s="173">
        <f t="shared" si="672"/>
        <v>1.9601207978889497</v>
      </c>
      <c r="DF269" s="173">
        <f t="shared" si="673"/>
        <v>0.6872960992823488</v>
      </c>
      <c r="DG269" s="173"/>
      <c r="DH269" s="173">
        <f t="shared" si="674"/>
        <v>1.3488532386977903</v>
      </c>
      <c r="DI269" s="545">
        <f t="shared" si="675"/>
        <v>530.18549999999993</v>
      </c>
      <c r="DJ269" s="528">
        <f t="shared" si="676"/>
        <v>0.34987754285999911</v>
      </c>
      <c r="DL269" s="173">
        <f t="shared" si="677"/>
        <v>2.7953021814670209</v>
      </c>
      <c r="DM269" s="173">
        <f t="shared" si="678"/>
        <v>2.7953021814670209</v>
      </c>
      <c r="DN269" s="173">
        <f t="shared" si="679"/>
        <v>1.6245036735146656</v>
      </c>
      <c r="DP269" s="545">
        <f t="shared" si="680"/>
        <v>530</v>
      </c>
      <c r="DQ269" s="460">
        <f t="shared" si="681"/>
        <v>350</v>
      </c>
      <c r="DS269">
        <f t="shared" si="682"/>
        <v>530</v>
      </c>
      <c r="DT269">
        <f t="shared" si="683"/>
        <v>350</v>
      </c>
      <c r="DV269" s="5">
        <f t="shared" si="684"/>
        <v>2.8571428571428572</v>
      </c>
      <c r="DW269" s="5">
        <f t="shared" si="685"/>
        <v>0.77647282818528374</v>
      </c>
      <c r="DX269" s="5">
        <f t="shared" si="686"/>
        <v>2.0806700289575737</v>
      </c>
      <c r="DY269" s="173">
        <f t="shared" si="687"/>
        <v>0.27176548986484927</v>
      </c>
      <c r="EA269" s="5">
        <f t="shared" si="713"/>
        <v>1.7147108289091681</v>
      </c>
      <c r="EB269" s="5">
        <f t="shared" si="714"/>
        <v>0.22862811052122248</v>
      </c>
      <c r="EC269" s="5">
        <f t="shared" si="715"/>
        <v>0.61264173074861883</v>
      </c>
      <c r="ED269" s="5"/>
      <c r="EE269" s="173">
        <f t="shared" si="716"/>
        <v>0.84132789694250887</v>
      </c>
      <c r="EF269" s="173">
        <f t="shared" si="717"/>
        <v>0.91860667713682831</v>
      </c>
      <c r="EG269" s="173">
        <f t="shared" si="718"/>
        <v>9.1984803751133729E-2</v>
      </c>
      <c r="EH269" s="173"/>
      <c r="EI269" s="528">
        <f t="shared" si="719"/>
        <v>2.8313305206948192E-2</v>
      </c>
      <c r="EJ269" s="528">
        <f t="shared" si="720"/>
        <v>1.4118258235067893</v>
      </c>
      <c r="EK269" s="528">
        <f t="shared" si="721"/>
        <v>6.9999999999999993E-2</v>
      </c>
      <c r="EL269" s="528">
        <f t="shared" si="722"/>
        <v>0.16865892671311253</v>
      </c>
      <c r="EM269">
        <f t="shared" si="723"/>
        <v>1.6199999999999999E-2</v>
      </c>
      <c r="EN269" s="460">
        <f t="shared" si="724"/>
        <v>86.2</v>
      </c>
      <c r="EP269" s="460">
        <f t="shared" si="725"/>
        <v>1694.99805542685</v>
      </c>
      <c r="EQ269" s="173">
        <f t="shared" si="726"/>
        <v>0.371</v>
      </c>
      <c r="ER269" s="173">
        <f t="shared" si="772"/>
        <v>3.286E-2</v>
      </c>
      <c r="ES269" s="528"/>
      <c r="EU269" s="460">
        <f t="shared" si="727"/>
        <v>403.86</v>
      </c>
      <c r="EV269" s="528">
        <f t="shared" si="728"/>
        <v>2.1234978905211144E-2</v>
      </c>
      <c r="EW269" s="528">
        <f t="shared" si="729"/>
        <v>2.5315146818410954E-2</v>
      </c>
      <c r="EX269" s="528">
        <f t="shared" si="730"/>
        <v>4.2306020605672927E-5</v>
      </c>
      <c r="EY269" s="528">
        <f t="shared" si="731"/>
        <v>1.4969663009603837</v>
      </c>
      <c r="EZ269" s="528"/>
      <c r="FA269" s="625">
        <f t="shared" si="732"/>
        <v>0.54696000000000011</v>
      </c>
      <c r="FB269" s="460">
        <f t="shared" si="733"/>
        <v>2090.5187327046115</v>
      </c>
      <c r="FC269" s="173">
        <f t="shared" si="734"/>
        <v>4.1893767881314616</v>
      </c>
      <c r="FD269" s="5">
        <f t="shared" si="735"/>
        <v>13.674000000000001</v>
      </c>
      <c r="FE269" s="173">
        <f t="shared" si="736"/>
        <v>0.76547677195529418</v>
      </c>
      <c r="FF269" s="5">
        <f t="shared" si="737"/>
        <v>76.547677195529417</v>
      </c>
      <c r="FG269">
        <f t="shared" si="738"/>
        <v>53</v>
      </c>
      <c r="FI269" s="562">
        <f t="shared" si="689"/>
        <v>-50</v>
      </c>
    </row>
    <row r="270" spans="5:165">
      <c r="E270" s="170">
        <v>54</v>
      </c>
      <c r="F270" s="217">
        <f t="shared" si="773"/>
        <v>0.54</v>
      </c>
      <c r="G270" s="217">
        <f t="shared" si="742"/>
        <v>5.4000000000000006E-2</v>
      </c>
      <c r="H270" s="217">
        <f t="shared" si="743"/>
        <v>12.96</v>
      </c>
      <c r="I270" s="217">
        <f t="shared" si="744"/>
        <v>0.97200000000000009</v>
      </c>
      <c r="J270" s="541">
        <f t="shared" si="745"/>
        <v>35.878668474658532</v>
      </c>
      <c r="K270" s="443">
        <f t="shared" si="746"/>
        <v>16.493060441534723</v>
      </c>
      <c r="L270" s="172">
        <f t="shared" si="747"/>
        <v>52.371728916193256</v>
      </c>
      <c r="M270" s="443"/>
      <c r="N270" s="217">
        <f t="shared" si="748"/>
        <v>0.31492297051959833</v>
      </c>
      <c r="O270" s="172">
        <f t="shared" si="749"/>
        <v>58.392851960347954</v>
      </c>
      <c r="P270" s="172">
        <f t="shared" si="750"/>
        <v>4.7079236893030538</v>
      </c>
      <c r="Q270" s="217">
        <f t="shared" si="626"/>
        <v>2.4330354983478313</v>
      </c>
      <c r="R270" s="217">
        <f t="shared" si="751"/>
        <v>3.2440473311304419</v>
      </c>
      <c r="S270" s="217">
        <f t="shared" si="752"/>
        <v>24</v>
      </c>
      <c r="T270" s="217">
        <f t="shared" si="753"/>
        <v>2.4660552647400085</v>
      </c>
      <c r="U270" s="217">
        <f t="shared" si="630"/>
        <v>0.68733187979977817</v>
      </c>
      <c r="V270" s="217">
        <f t="shared" si="631"/>
        <v>1.4952078017792894</v>
      </c>
      <c r="W270" s="197">
        <f t="shared" si="632"/>
        <v>350</v>
      </c>
      <c r="X270" s="443">
        <f t="shared" si="691"/>
        <v>350</v>
      </c>
      <c r="Z270" s="217">
        <f t="shared" si="633"/>
        <v>3.2282905298078086</v>
      </c>
      <c r="AA270" s="173">
        <f t="shared" si="634"/>
        <v>1.9573629413725762</v>
      </c>
      <c r="AB270" s="173">
        <f t="shared" si="754"/>
        <v>0.68611891482284526</v>
      </c>
      <c r="AC270" s="173"/>
      <c r="AD270" s="173">
        <f t="shared" si="636"/>
        <v>1.3473680219020885</v>
      </c>
      <c r="AE270" s="545">
        <f t="shared" si="755"/>
        <v>540.78445555676808</v>
      </c>
      <c r="AF270" s="528">
        <f t="shared" si="756"/>
        <v>0.3494922941256029</v>
      </c>
      <c r="AH270" s="173">
        <f t="shared" si="757"/>
        <v>2.8215497261510127</v>
      </c>
      <c r="AI270" s="173">
        <f t="shared" si="758"/>
        <v>2.8215497261510127</v>
      </c>
      <c r="AJ270" s="173">
        <f t="shared" si="759"/>
        <v>1.6439462992065115</v>
      </c>
      <c r="AL270" s="545">
        <f t="shared" si="760"/>
        <v>540</v>
      </c>
      <c r="AM270" s="460">
        <f t="shared" si="761"/>
        <v>350</v>
      </c>
      <c r="AO270">
        <f t="shared" si="644"/>
        <v>540</v>
      </c>
      <c r="AP270">
        <f t="shared" si="645"/>
        <v>350</v>
      </c>
      <c r="AR270" s="5">
        <f t="shared" si="774"/>
        <v>2.8571428571428572</v>
      </c>
      <c r="AS270" s="5">
        <f t="shared" si="739"/>
        <v>0.78641428071498864</v>
      </c>
      <c r="AT270" s="5">
        <f t="shared" si="740"/>
        <v>2.0707285764278685</v>
      </c>
      <c r="AU270" s="173">
        <f t="shared" si="741"/>
        <v>0.27524499825024601</v>
      </c>
      <c r="BA270" s="173">
        <f t="shared" si="692"/>
        <v>0.85464705225495341</v>
      </c>
      <c r="BB270" s="173">
        <f t="shared" si="693"/>
        <v>0.92501446843006863</v>
      </c>
      <c r="BC270" s="173">
        <f t="shared" si="694"/>
        <v>9.2626448798200103E-2</v>
      </c>
      <c r="BD270" s="173"/>
      <c r="BE270" s="528">
        <f t="shared" si="695"/>
        <v>2.9216863357123243E-2</v>
      </c>
      <c r="BF270" s="528">
        <f t="shared" si="762"/>
        <v>1.1636843193796287</v>
      </c>
      <c r="BG270" s="528">
        <f t="shared" si="763"/>
        <v>0.50230135864521941</v>
      </c>
      <c r="BH270" s="528">
        <f t="shared" si="696"/>
        <v>0.16799637686736299</v>
      </c>
      <c r="BI270">
        <f t="shared" si="697"/>
        <v>1.614540081359634E-2</v>
      </c>
      <c r="BJ270" s="460">
        <f t="shared" si="698"/>
        <v>518.44675945881579</v>
      </c>
      <c r="BK270">
        <f t="shared" si="764"/>
        <v>1.3783545490027114</v>
      </c>
      <c r="BL270" s="460">
        <f t="shared" si="699"/>
        <v>1879.3443190629307</v>
      </c>
      <c r="BM270" s="173">
        <f t="shared" si="765"/>
        <v>0.46872000000000003</v>
      </c>
      <c r="BN270" s="173">
        <f t="shared" si="766"/>
        <v>3.3480000000000003E-2</v>
      </c>
      <c r="BQ270" s="460">
        <f t="shared" si="700"/>
        <v>502.2</v>
      </c>
      <c r="BR270" s="528">
        <f t="shared" si="701"/>
        <v>2.1912647517842433E-2</v>
      </c>
      <c r="BS270" s="528">
        <f t="shared" si="702"/>
        <v>2.5669553004148873E-2</v>
      </c>
      <c r="BT270" s="528">
        <f t="shared" si="703"/>
        <v>4.2898295084827926E-5</v>
      </c>
      <c r="BU270" s="528">
        <f t="shared" si="704"/>
        <v>1.5323549887961585</v>
      </c>
      <c r="BV270" s="528"/>
      <c r="BW270" s="625">
        <f t="shared" si="705"/>
        <v>0.55727999999999989</v>
      </c>
      <c r="BX270" s="460">
        <f t="shared" si="706"/>
        <v>2137.2600876132342</v>
      </c>
      <c r="BY270" s="173">
        <f t="shared" si="707"/>
        <v>4.518804406676165</v>
      </c>
      <c r="BZ270" s="5">
        <f t="shared" si="708"/>
        <v>13.932</v>
      </c>
      <c r="CA270" s="173">
        <f t="shared" si="709"/>
        <v>0.75508902988310367</v>
      </c>
      <c r="CB270" s="5">
        <f t="shared" si="710"/>
        <v>75.508902988310368</v>
      </c>
      <c r="CC270">
        <f t="shared" si="711"/>
        <v>54</v>
      </c>
      <c r="CE270" s="562">
        <f t="shared" si="767"/>
        <v>-50</v>
      </c>
      <c r="CG270" s="173">
        <f t="shared" si="768"/>
        <v>0.59499654671617475</v>
      </c>
      <c r="CH270" s="173">
        <f t="shared" si="769"/>
        <v>0.1627266143069182</v>
      </c>
      <c r="CI270" s="170">
        <v>54</v>
      </c>
      <c r="CJ270" s="217">
        <f t="shared" si="712"/>
        <v>0.54</v>
      </c>
      <c r="CK270" s="217">
        <f t="shared" si="654"/>
        <v>5.4000000000000006E-2</v>
      </c>
      <c r="CL270" s="217">
        <f t="shared" si="655"/>
        <v>12.96</v>
      </c>
      <c r="CM270" s="217">
        <f t="shared" si="656"/>
        <v>0.97200000000000009</v>
      </c>
      <c r="CN270" s="541">
        <f t="shared" si="657"/>
        <v>36</v>
      </c>
      <c r="CO270" s="443">
        <f t="shared" si="770"/>
        <v>16.474900000000002</v>
      </c>
      <c r="CP270" s="443">
        <f t="shared" si="771"/>
        <v>52.474900000000005</v>
      </c>
      <c r="CQ270" s="443"/>
      <c r="CR270" s="217">
        <f t="shared" si="660"/>
        <v>0.31220924123305599</v>
      </c>
      <c r="CS270" s="172">
        <f t="shared" si="661"/>
        <v>58.085440229405762</v>
      </c>
      <c r="CT270" s="172">
        <f t="shared" si="662"/>
        <v>4.683138618495839</v>
      </c>
      <c r="CU270" s="217">
        <f t="shared" si="663"/>
        <v>2.4202266762252402</v>
      </c>
      <c r="CV270" s="217">
        <f t="shared" si="664"/>
        <v>3.2269689016336534</v>
      </c>
      <c r="CW270" s="217">
        <f t="shared" si="665"/>
        <v>24</v>
      </c>
      <c r="CX270" s="217">
        <f t="shared" si="666"/>
        <v>2.4791066303582903</v>
      </c>
      <c r="CY270" s="217">
        <f t="shared" si="667"/>
        <v>0.68864073065508069</v>
      </c>
      <c r="CZ270" s="217">
        <f t="shared" si="668"/>
        <v>1.5047779533461751</v>
      </c>
      <c r="DA270" s="197">
        <f t="shared" si="669"/>
        <v>350</v>
      </c>
      <c r="DB270" s="443">
        <f t="shared" si="670"/>
        <v>350</v>
      </c>
      <c r="DD270" s="217">
        <f t="shared" si="671"/>
        <v>3.2292794133140656</v>
      </c>
      <c r="DE270" s="173">
        <f t="shared" si="672"/>
        <v>1.9601207978889497</v>
      </c>
      <c r="DF270" s="173">
        <f t="shared" si="673"/>
        <v>0.6872960992823488</v>
      </c>
      <c r="DG270" s="173"/>
      <c r="DH270" s="173">
        <f t="shared" si="674"/>
        <v>1.3488532386977903</v>
      </c>
      <c r="DI270" s="545">
        <f t="shared" si="675"/>
        <v>540.18899999999985</v>
      </c>
      <c r="DJ270" s="528">
        <f t="shared" si="676"/>
        <v>0.34987754285999911</v>
      </c>
      <c r="DL270" s="173">
        <f t="shared" si="677"/>
        <v>2.8215497261510127</v>
      </c>
      <c r="DM270" s="173">
        <f t="shared" si="678"/>
        <v>2.8215497261510127</v>
      </c>
      <c r="DN270" s="173">
        <f t="shared" si="679"/>
        <v>1.6439462992065115</v>
      </c>
      <c r="DP270" s="545">
        <f t="shared" si="680"/>
        <v>540</v>
      </c>
      <c r="DQ270" s="460">
        <f t="shared" si="681"/>
        <v>350</v>
      </c>
      <c r="DS270">
        <f t="shared" si="682"/>
        <v>540</v>
      </c>
      <c r="DT270">
        <f t="shared" si="683"/>
        <v>350</v>
      </c>
      <c r="DV270" s="5">
        <f t="shared" si="684"/>
        <v>2.8571428571428572</v>
      </c>
      <c r="DW270" s="5">
        <f t="shared" si="685"/>
        <v>0.78376381281972585</v>
      </c>
      <c r="DX270" s="5">
        <f t="shared" si="686"/>
        <v>2.0733790443231315</v>
      </c>
      <c r="DY270" s="173">
        <f t="shared" si="687"/>
        <v>0.27431733448690404</v>
      </c>
      <c r="EA270" s="5">
        <f t="shared" si="713"/>
        <v>1.7634685788443833</v>
      </c>
      <c r="EB270" s="5">
        <f t="shared" si="714"/>
        <v>0.23512914384591779</v>
      </c>
      <c r="EC270" s="5">
        <f t="shared" si="715"/>
        <v>0.62201371329693944</v>
      </c>
      <c r="ED270" s="5"/>
      <c r="EE270" s="173">
        <f t="shared" si="716"/>
        <v>0.85320561961754626</v>
      </c>
      <c r="EF270" s="173">
        <f t="shared" si="717"/>
        <v>0.92560627393012118</v>
      </c>
      <c r="EG270" s="173">
        <f t="shared" si="718"/>
        <v>9.2685709321921578E-2</v>
      </c>
      <c r="EH270" s="173"/>
      <c r="EI270" s="528">
        <f t="shared" si="719"/>
        <v>2.9118393173878442E-2</v>
      </c>
      <c r="EJ270" s="528">
        <f t="shared" si="720"/>
        <v>1.4250826948512174</v>
      </c>
      <c r="EK270" s="528">
        <f t="shared" si="721"/>
        <v>6.9999999999999993E-2</v>
      </c>
      <c r="EL270" s="528">
        <f t="shared" si="722"/>
        <v>0.16865892671311253</v>
      </c>
      <c r="EM270">
        <f t="shared" si="723"/>
        <v>1.6199999999999999E-2</v>
      </c>
      <c r="EN270" s="460">
        <f t="shared" si="724"/>
        <v>86.2</v>
      </c>
      <c r="EP270" s="460">
        <f t="shared" si="725"/>
        <v>1709.0600147382086</v>
      </c>
      <c r="EQ270" s="173">
        <f t="shared" si="726"/>
        <v>0.378</v>
      </c>
      <c r="ER270" s="173">
        <f t="shared" si="772"/>
        <v>3.3480000000000003E-2</v>
      </c>
      <c r="ES270" s="528"/>
      <c r="EU270" s="460">
        <f t="shared" si="727"/>
        <v>411.48</v>
      </c>
      <c r="EV270" s="528">
        <f t="shared" si="728"/>
        <v>2.1838794880408831E-2</v>
      </c>
      <c r="EW270" s="528">
        <f t="shared" si="729"/>
        <v>2.5702409230164074E-2</v>
      </c>
      <c r="EX270" s="528">
        <f t="shared" si="730"/>
        <v>4.2953203562538706E-5</v>
      </c>
      <c r="EY270" s="528">
        <f t="shared" si="731"/>
        <v>1.5323549887961585</v>
      </c>
      <c r="EZ270" s="528"/>
      <c r="FA270" s="625">
        <f t="shared" si="732"/>
        <v>0.55727999999999989</v>
      </c>
      <c r="FB270" s="460">
        <f t="shared" si="733"/>
        <v>2137.2191461102934</v>
      </c>
      <c r="FC270" s="173">
        <f t="shared" si="734"/>
        <v>4.2577591608485017</v>
      </c>
      <c r="FD270" s="5">
        <f t="shared" si="735"/>
        <v>13.932</v>
      </c>
      <c r="FE270" s="173">
        <f t="shared" si="736"/>
        <v>0.76592547910074205</v>
      </c>
      <c r="FF270" s="5">
        <f t="shared" si="737"/>
        <v>76.592547910074202</v>
      </c>
      <c r="FG270">
        <f t="shared" si="738"/>
        <v>54</v>
      </c>
      <c r="FI270" s="562">
        <f t="shared" si="689"/>
        <v>-50</v>
      </c>
    </row>
    <row r="271" spans="5:165">
      <c r="E271" s="170">
        <v>55</v>
      </c>
      <c r="F271" s="217">
        <f t="shared" si="773"/>
        <v>0.55000000000000004</v>
      </c>
      <c r="G271" s="217">
        <f t="shared" si="742"/>
        <v>5.5000000000000007E-2</v>
      </c>
      <c r="H271" s="217">
        <f t="shared" si="743"/>
        <v>13.200000000000001</v>
      </c>
      <c r="I271" s="217">
        <f t="shared" si="744"/>
        <v>0.9900000000000001</v>
      </c>
      <c r="J271" s="541">
        <f t="shared" si="745"/>
        <v>35.877550188112238</v>
      </c>
      <c r="K271" s="443">
        <f t="shared" si="746"/>
        <v>16.49322782241439</v>
      </c>
      <c r="L271" s="172">
        <f t="shared" si="747"/>
        <v>52.370778010526628</v>
      </c>
      <c r="M271" s="443"/>
      <c r="N271" s="217">
        <f t="shared" si="748"/>
        <v>0.31493188470675804</v>
      </c>
      <c r="O271" s="172">
        <f t="shared" si="749"/>
        <v>58.392684751439205</v>
      </c>
      <c r="P271" s="172">
        <f t="shared" si="750"/>
        <v>4.7079102080847859</v>
      </c>
      <c r="Q271" s="217">
        <f t="shared" si="626"/>
        <v>2.4330285313099669</v>
      </c>
      <c r="R271" s="217">
        <f t="shared" si="751"/>
        <v>3.2440380417466224</v>
      </c>
      <c r="S271" s="217">
        <f t="shared" si="752"/>
        <v>24</v>
      </c>
      <c r="T271" s="217">
        <f t="shared" si="753"/>
        <v>2.5117301472090947</v>
      </c>
      <c r="U271" s="217">
        <f t="shared" si="630"/>
        <v>0.70008407319888255</v>
      </c>
      <c r="V271" s="217">
        <f t="shared" si="631"/>
        <v>1.5228857408952052</v>
      </c>
      <c r="W271" s="197">
        <f t="shared" si="632"/>
        <v>350</v>
      </c>
      <c r="X271" s="443">
        <f t="shared" si="691"/>
        <v>350</v>
      </c>
      <c r="Z271" s="217">
        <f t="shared" si="633"/>
        <v>3.228281285543853</v>
      </c>
      <c r="AA271" s="173">
        <f t="shared" si="634"/>
        <v>1.9573374722664052</v>
      </c>
      <c r="AB271" s="173">
        <f t="shared" si="754"/>
        <v>0.6861080223912972</v>
      </c>
      <c r="AC271" s="173"/>
      <c r="AD271" s="173">
        <f t="shared" si="636"/>
        <v>1.3473543481902372</v>
      </c>
      <c r="AE271" s="545">
        <f t="shared" si="755"/>
        <v>550.8045723302555</v>
      </c>
      <c r="AF271" s="528">
        <f t="shared" si="756"/>
        <v>0.34948874731667878</v>
      </c>
      <c r="AH271" s="173">
        <f t="shared" si="757"/>
        <v>2.8475553424949318</v>
      </c>
      <c r="AI271" s="173">
        <f t="shared" si="758"/>
        <v>2.8475553424949318</v>
      </c>
      <c r="AJ271" s="173">
        <f t="shared" si="759"/>
        <v>1.6632097187205255</v>
      </c>
      <c r="AL271" s="545">
        <f t="shared" si="760"/>
        <v>550</v>
      </c>
      <c r="AM271" s="460">
        <f t="shared" si="761"/>
        <v>350</v>
      </c>
      <c r="AO271">
        <f t="shared" si="644"/>
        <v>550</v>
      </c>
      <c r="AP271">
        <f t="shared" si="645"/>
        <v>350</v>
      </c>
      <c r="AR271" s="5">
        <f t="shared" si="774"/>
        <v>2.8571428571428572</v>
      </c>
      <c r="AS271" s="5">
        <f t="shared" si="739"/>
        <v>0.7936872299152824</v>
      </c>
      <c r="AT271" s="5">
        <f t="shared" si="740"/>
        <v>2.063455627227575</v>
      </c>
      <c r="AU271" s="173">
        <f t="shared" si="741"/>
        <v>0.27779053047034885</v>
      </c>
      <c r="BA271" s="173">
        <f t="shared" si="692"/>
        <v>0.86650338689462558</v>
      </c>
      <c r="BB271" s="173">
        <f t="shared" si="693"/>
        <v>0.93189926503479947</v>
      </c>
      <c r="BC271" s="173">
        <f t="shared" si="694"/>
        <v>9.3315858836592755E-2</v>
      </c>
      <c r="BD271" s="173"/>
      <c r="BE271" s="528">
        <f t="shared" si="695"/>
        <v>3.0033124779994286E-2</v>
      </c>
      <c r="BF271" s="528">
        <f t="shared" si="762"/>
        <v>1.1743884236266182</v>
      </c>
      <c r="BG271" s="528">
        <f t="shared" si="763"/>
        <v>0.50228570263357131</v>
      </c>
      <c r="BH271" s="528">
        <f t="shared" si="696"/>
        <v>0.16799027635245636</v>
      </c>
      <c r="BI271">
        <f t="shared" si="697"/>
        <v>1.6144897584650507E-2</v>
      </c>
      <c r="BJ271" s="460">
        <f t="shared" si="698"/>
        <v>518.4306002182218</v>
      </c>
      <c r="BK271">
        <f t="shared" si="764"/>
        <v>1.3904427880501691</v>
      </c>
      <c r="BL271" s="460">
        <f t="shared" si="699"/>
        <v>1890.8424249772909</v>
      </c>
      <c r="BM271" s="173">
        <f t="shared" si="765"/>
        <v>0.47739999999999999</v>
      </c>
      <c r="BN271" s="173">
        <f t="shared" si="766"/>
        <v>3.4100000000000005E-2</v>
      </c>
      <c r="BQ271" s="460">
        <f t="shared" si="700"/>
        <v>511.49999999999994</v>
      </c>
      <c r="BR271" s="528">
        <f t="shared" si="701"/>
        <v>2.2524843584995714E-2</v>
      </c>
      <c r="BS271" s="528">
        <f t="shared" si="702"/>
        <v>2.6053087205171983E-2</v>
      </c>
      <c r="BT271" s="528">
        <f t="shared" si="703"/>
        <v>4.353924755205453E-5</v>
      </c>
      <c r="BU271" s="528">
        <f t="shared" si="704"/>
        <v>1.5679079012195563</v>
      </c>
      <c r="BV271" s="528"/>
      <c r="BW271" s="625">
        <f t="shared" si="705"/>
        <v>0.56759999999999999</v>
      </c>
      <c r="BX271" s="460">
        <f t="shared" si="706"/>
        <v>2184.129371257276</v>
      </c>
      <c r="BY271" s="173">
        <f t="shared" si="707"/>
        <v>4.5864717962345667</v>
      </c>
      <c r="BZ271" s="5">
        <f t="shared" si="708"/>
        <v>14.190000000000001</v>
      </c>
      <c r="CA271" s="173">
        <f t="shared" si="709"/>
        <v>0.75573303408607695</v>
      </c>
      <c r="CB271" s="5">
        <f t="shared" si="710"/>
        <v>75.5733034086077</v>
      </c>
      <c r="CC271">
        <f t="shared" si="711"/>
        <v>55.000000000000007</v>
      </c>
      <c r="CE271" s="562">
        <f t="shared" si="767"/>
        <v>-50</v>
      </c>
      <c r="CG271" s="173">
        <f t="shared" si="768"/>
        <v>0.60048050178400381</v>
      </c>
      <c r="CH271" s="173">
        <f t="shared" si="769"/>
        <v>0.16422643047580895</v>
      </c>
      <c r="CI271" s="170">
        <v>55</v>
      </c>
      <c r="CJ271" s="217">
        <f t="shared" si="712"/>
        <v>0.55000000000000004</v>
      </c>
      <c r="CK271" s="217">
        <f t="shared" si="654"/>
        <v>5.5000000000000007E-2</v>
      </c>
      <c r="CL271" s="217">
        <f t="shared" si="655"/>
        <v>13.200000000000001</v>
      </c>
      <c r="CM271" s="217">
        <f t="shared" si="656"/>
        <v>0.9900000000000001</v>
      </c>
      <c r="CN271" s="541">
        <f t="shared" si="657"/>
        <v>36</v>
      </c>
      <c r="CO271" s="443">
        <f t="shared" si="770"/>
        <v>16.474900000000002</v>
      </c>
      <c r="CP271" s="443">
        <f t="shared" si="771"/>
        <v>52.474900000000005</v>
      </c>
      <c r="CQ271" s="443"/>
      <c r="CR271" s="217">
        <f t="shared" si="660"/>
        <v>0.31220924123305599</v>
      </c>
      <c r="CS271" s="172">
        <f t="shared" si="661"/>
        <v>58.085440229405762</v>
      </c>
      <c r="CT271" s="172">
        <f t="shared" si="662"/>
        <v>4.683138618495839</v>
      </c>
      <c r="CU271" s="217">
        <f t="shared" si="663"/>
        <v>2.4202266762252402</v>
      </c>
      <c r="CV271" s="217">
        <f t="shared" si="664"/>
        <v>3.2269689016336534</v>
      </c>
      <c r="CW271" s="217">
        <f t="shared" si="665"/>
        <v>24</v>
      </c>
      <c r="CX271" s="217">
        <f t="shared" si="666"/>
        <v>2.5250160124019625</v>
      </c>
      <c r="CY271" s="217">
        <f t="shared" si="667"/>
        <v>0.70139333677832305</v>
      </c>
      <c r="CZ271" s="217">
        <f t="shared" si="668"/>
        <v>1.5326442117414749</v>
      </c>
      <c r="DA271" s="197">
        <f t="shared" si="669"/>
        <v>350</v>
      </c>
      <c r="DB271" s="443">
        <f t="shared" si="670"/>
        <v>350</v>
      </c>
      <c r="DD271" s="217">
        <f t="shared" si="671"/>
        <v>3.2292794133140656</v>
      </c>
      <c r="DE271" s="173">
        <f t="shared" si="672"/>
        <v>1.9601207978889497</v>
      </c>
      <c r="DF271" s="173">
        <f t="shared" si="673"/>
        <v>0.6872960992823488</v>
      </c>
      <c r="DG271" s="173"/>
      <c r="DH271" s="173">
        <f t="shared" si="674"/>
        <v>1.3488532386977903</v>
      </c>
      <c r="DI271" s="545">
        <f t="shared" si="675"/>
        <v>550.19249999999988</v>
      </c>
      <c r="DJ271" s="528">
        <f t="shared" si="676"/>
        <v>0.34987754285999911</v>
      </c>
      <c r="DL271" s="173">
        <f t="shared" si="677"/>
        <v>2.8475553424949318</v>
      </c>
      <c r="DM271" s="173">
        <f t="shared" si="678"/>
        <v>2.8475553424949318</v>
      </c>
      <c r="DN271" s="173">
        <f t="shared" si="679"/>
        <v>1.6632097187205255</v>
      </c>
      <c r="DP271" s="545">
        <f t="shared" si="680"/>
        <v>550</v>
      </c>
      <c r="DQ271" s="460">
        <f t="shared" si="681"/>
        <v>350</v>
      </c>
      <c r="DS271">
        <f t="shared" si="682"/>
        <v>550</v>
      </c>
      <c r="DT271">
        <f t="shared" si="683"/>
        <v>350</v>
      </c>
      <c r="DV271" s="5">
        <f t="shared" si="684"/>
        <v>2.8571428571428572</v>
      </c>
      <c r="DW271" s="5">
        <f t="shared" si="685"/>
        <v>0.79098759513748118</v>
      </c>
      <c r="DX271" s="5">
        <f t="shared" si="686"/>
        <v>2.0661552620053758</v>
      </c>
      <c r="DY271" s="173">
        <f t="shared" si="687"/>
        <v>0.27684565829811841</v>
      </c>
      <c r="EA271" s="5">
        <f t="shared" si="713"/>
        <v>1.8126799055233946</v>
      </c>
      <c r="EB271" s="5">
        <f t="shared" si="714"/>
        <v>0.24169065406978593</v>
      </c>
      <c r="EC271" s="5">
        <f t="shared" si="715"/>
        <v>0.63132521894608695</v>
      </c>
      <c r="ED271" s="5"/>
      <c r="EE271" s="173">
        <f t="shared" si="716"/>
        <v>0.86502847640991409</v>
      </c>
      <c r="EF271" s="173">
        <f t="shared" si="717"/>
        <v>0.93250867124491721</v>
      </c>
      <c r="EG271" s="173">
        <f t="shared" si="718"/>
        <v>9.3376881809795073E-2</v>
      </c>
      <c r="EH271" s="173"/>
      <c r="EI271" s="528">
        <f t="shared" si="719"/>
        <v>2.9930970600002296E-2</v>
      </c>
      <c r="EJ271" s="528">
        <f t="shared" si="720"/>
        <v>1.4382173752281653</v>
      </c>
      <c r="EK271" s="528">
        <f t="shared" si="721"/>
        <v>6.9999999999999993E-2</v>
      </c>
      <c r="EL271" s="528">
        <f t="shared" si="722"/>
        <v>0.16865892671311253</v>
      </c>
      <c r="EM271">
        <f t="shared" si="723"/>
        <v>1.6199999999999999E-2</v>
      </c>
      <c r="EN271" s="460">
        <f t="shared" si="724"/>
        <v>86.2</v>
      </c>
      <c r="EP271" s="460">
        <f t="shared" si="725"/>
        <v>1723.0072725412801</v>
      </c>
      <c r="EQ271" s="173">
        <f t="shared" si="726"/>
        <v>0.38500000000000001</v>
      </c>
      <c r="ER271" s="173">
        <f t="shared" si="772"/>
        <v>3.4100000000000005E-2</v>
      </c>
      <c r="ES271" s="528"/>
      <c r="EU271" s="460">
        <f t="shared" si="727"/>
        <v>419.1</v>
      </c>
      <c r="EV271" s="528">
        <f t="shared" si="728"/>
        <v>2.2448227950001721E-2</v>
      </c>
      <c r="EW271" s="528">
        <f t="shared" si="729"/>
        <v>2.608717265840883E-2</v>
      </c>
      <c r="EX271" s="528">
        <f t="shared" si="730"/>
        <v>4.3596210282602191E-5</v>
      </c>
      <c r="EY271" s="528">
        <f t="shared" si="731"/>
        <v>1.5679079012195563</v>
      </c>
      <c r="EZ271" s="528"/>
      <c r="FA271" s="625">
        <f t="shared" si="732"/>
        <v>0.56759999999999999</v>
      </c>
      <c r="FB271" s="460">
        <f t="shared" si="733"/>
        <v>2184.0868980382493</v>
      </c>
      <c r="FC271" s="173">
        <f t="shared" si="734"/>
        <v>4.3261941705795293</v>
      </c>
      <c r="FD271" s="5">
        <f t="shared" si="735"/>
        <v>14.190000000000001</v>
      </c>
      <c r="FE271" s="173">
        <f t="shared" si="736"/>
        <v>0.7663561890351398</v>
      </c>
      <c r="FF271" s="5">
        <f t="shared" si="737"/>
        <v>76.635618903513986</v>
      </c>
      <c r="FG271">
        <f t="shared" si="738"/>
        <v>55.000000000000007</v>
      </c>
      <c r="FI271" s="562">
        <f t="shared" si="689"/>
        <v>-50</v>
      </c>
    </row>
    <row r="272" spans="5:165">
      <c r="E272" s="170">
        <v>56</v>
      </c>
      <c r="F272" s="217">
        <f t="shared" si="773"/>
        <v>0.56000000000000005</v>
      </c>
      <c r="G272" s="217">
        <f t="shared" si="742"/>
        <v>5.6000000000000008E-2</v>
      </c>
      <c r="H272" s="217">
        <f t="shared" si="743"/>
        <v>13.440000000000001</v>
      </c>
      <c r="I272" s="217">
        <f t="shared" si="744"/>
        <v>1.0080000000000002</v>
      </c>
      <c r="J272" s="541">
        <f t="shared" si="745"/>
        <v>35.87644202243073</v>
      </c>
      <c r="K272" s="443">
        <f t="shared" si="746"/>
        <v>16.493393688441486</v>
      </c>
      <c r="L272" s="172">
        <f t="shared" si="747"/>
        <v>52.369835710872216</v>
      </c>
      <c r="M272" s="443"/>
      <c r="N272" s="217">
        <f t="shared" si="748"/>
        <v>0.3149407185368997</v>
      </c>
      <c r="O272" s="172">
        <f t="shared" si="749"/>
        <v>58.3925190133941</v>
      </c>
      <c r="P272" s="172">
        <f t="shared" si="750"/>
        <v>4.7078968454548988</v>
      </c>
      <c r="Q272" s="217">
        <f t="shared" si="626"/>
        <v>2.4330216255580877</v>
      </c>
      <c r="R272" s="217">
        <f t="shared" si="751"/>
        <v>3.2440288340774499</v>
      </c>
      <c r="S272" s="217">
        <f t="shared" si="752"/>
        <v>24</v>
      </c>
      <c r="T272" s="217">
        <f t="shared" si="753"/>
        <v>2.5574052268421443</v>
      </c>
      <c r="U272" s="217">
        <f t="shared" si="630"/>
        <v>0.71283691544529393</v>
      </c>
      <c r="V272" s="217">
        <f t="shared" si="631"/>
        <v>1.5505633801940746</v>
      </c>
      <c r="W272" s="197">
        <f t="shared" si="632"/>
        <v>350</v>
      </c>
      <c r="X272" s="443">
        <f t="shared" si="691"/>
        <v>350</v>
      </c>
      <c r="Z272" s="217">
        <f t="shared" si="633"/>
        <v>3.228272122597645</v>
      </c>
      <c r="AA272" s="173">
        <f t="shared" si="634"/>
        <v>1.9573122327517147</v>
      </c>
      <c r="AB272" s="173">
        <f t="shared" si="754"/>
        <v>0.68609722777191851</v>
      </c>
      <c r="AC272" s="173"/>
      <c r="AD272" s="173">
        <f t="shared" si="636"/>
        <v>1.3473407985037964</v>
      </c>
      <c r="AE272" s="545">
        <f t="shared" si="755"/>
        <v>560.82484086034913</v>
      </c>
      <c r="AF272" s="528">
        <f t="shared" si="756"/>
        <v>0.34948523267856813</v>
      </c>
      <c r="AH272" s="173">
        <f t="shared" si="757"/>
        <v>2.8733255993708755</v>
      </c>
      <c r="AI272" s="173">
        <f t="shared" si="758"/>
        <v>2.8733255993708755</v>
      </c>
      <c r="AJ272" s="173">
        <f t="shared" si="759"/>
        <v>1.6822987978878912</v>
      </c>
      <c r="AL272" s="545">
        <f t="shared" si="760"/>
        <v>560</v>
      </c>
      <c r="AM272" s="460">
        <f t="shared" si="761"/>
        <v>350</v>
      </c>
      <c r="AO272">
        <f t="shared" si="644"/>
        <v>560</v>
      </c>
      <c r="AP272">
        <f t="shared" si="645"/>
        <v>350</v>
      </c>
      <c r="AR272" s="5">
        <f t="shared" si="774"/>
        <v>2.8571428571428572</v>
      </c>
      <c r="AS272" s="5">
        <f t="shared" si="739"/>
        <v>0.80089480377524902</v>
      </c>
      <c r="AT272" s="5">
        <f t="shared" si="740"/>
        <v>2.0562480533676082</v>
      </c>
      <c r="AU272" s="173">
        <f t="shared" si="741"/>
        <v>0.28031318132133715</v>
      </c>
      <c r="BA272" s="173">
        <f t="shared" si="692"/>
        <v>0.87830625353365221</v>
      </c>
      <c r="BB272" s="173">
        <f t="shared" si="693"/>
        <v>0.93868920386609467</v>
      </c>
      <c r="BC272" s="173">
        <f t="shared" si="694"/>
        <v>9.3995770279023783E-2</v>
      </c>
      <c r="BD272" s="173"/>
      <c r="BE272" s="528">
        <f t="shared" si="695"/>
        <v>3.0856874999852808E-2</v>
      </c>
      <c r="BF272" s="528">
        <f t="shared" si="762"/>
        <v>1.1849952679653075</v>
      </c>
      <c r="BG272" s="528">
        <f t="shared" si="763"/>
        <v>0.50227018831403025</v>
      </c>
      <c r="BH272" s="528">
        <f t="shared" si="696"/>
        <v>0.16798423115850447</v>
      </c>
      <c r="BI272">
        <f t="shared" si="697"/>
        <v>1.6144398910093827E-2</v>
      </c>
      <c r="BJ272" s="460">
        <f t="shared" si="698"/>
        <v>518.41458722412403</v>
      </c>
      <c r="BK272">
        <f t="shared" si="764"/>
        <v>1.4024499231139538</v>
      </c>
      <c r="BL272" s="460">
        <f t="shared" si="699"/>
        <v>1902.2509613477887</v>
      </c>
      <c r="BM272" s="173">
        <f t="shared" si="765"/>
        <v>0.48608000000000001</v>
      </c>
      <c r="BN272" s="173">
        <f t="shared" si="766"/>
        <v>3.4720000000000008E-2</v>
      </c>
      <c r="BQ272" s="460">
        <f t="shared" si="700"/>
        <v>520.80000000000007</v>
      </c>
      <c r="BR272" s="528">
        <f t="shared" si="701"/>
        <v>2.3142656249889607E-2</v>
      </c>
      <c r="BS272" s="528">
        <f t="shared" si="702"/>
        <v>2.6434122643642876E-2</v>
      </c>
      <c r="BT272" s="528">
        <f t="shared" si="703"/>
        <v>4.4176024151735054E-5</v>
      </c>
      <c r="BU272" s="528">
        <f t="shared" si="704"/>
        <v>1.6036227934568532</v>
      </c>
      <c r="BV272" s="528"/>
      <c r="BW272" s="625">
        <f t="shared" si="705"/>
        <v>0.5779200000000001</v>
      </c>
      <c r="BX272" s="460">
        <f t="shared" si="706"/>
        <v>2231.1637483745376</v>
      </c>
      <c r="BY272" s="173">
        <f t="shared" si="707"/>
        <v>4.6542147097223259</v>
      </c>
      <c r="BZ272" s="5">
        <f t="shared" si="708"/>
        <v>14.448000000000002</v>
      </c>
      <c r="CA272" s="173">
        <f t="shared" si="709"/>
        <v>0.75635208898822071</v>
      </c>
      <c r="CB272" s="5">
        <f t="shared" si="710"/>
        <v>75.635208898822071</v>
      </c>
      <c r="CC272">
        <f t="shared" si="711"/>
        <v>56.000000000000007</v>
      </c>
      <c r="CE272" s="562">
        <f t="shared" si="767"/>
        <v>-50</v>
      </c>
      <c r="CG272" s="173">
        <f t="shared" si="768"/>
        <v>0.60591482523648887</v>
      </c>
      <c r="CH272" s="173">
        <f t="shared" si="769"/>
        <v>0.16571267281007482</v>
      </c>
      <c r="CI272" s="170">
        <v>56</v>
      </c>
      <c r="CJ272" s="217">
        <f t="shared" si="712"/>
        <v>0.56000000000000005</v>
      </c>
      <c r="CK272" s="217">
        <f t="shared" si="654"/>
        <v>5.6000000000000008E-2</v>
      </c>
      <c r="CL272" s="217">
        <f t="shared" si="655"/>
        <v>13.440000000000001</v>
      </c>
      <c r="CM272" s="217">
        <f t="shared" si="656"/>
        <v>1.0080000000000002</v>
      </c>
      <c r="CN272" s="541">
        <f t="shared" si="657"/>
        <v>36</v>
      </c>
      <c r="CO272" s="443">
        <f t="shared" si="770"/>
        <v>16.474900000000002</v>
      </c>
      <c r="CP272" s="443">
        <f t="shared" si="771"/>
        <v>52.474900000000005</v>
      </c>
      <c r="CQ272" s="443"/>
      <c r="CR272" s="217">
        <f t="shared" si="660"/>
        <v>0.31220924123305599</v>
      </c>
      <c r="CS272" s="172">
        <f t="shared" si="661"/>
        <v>58.085440229405762</v>
      </c>
      <c r="CT272" s="172">
        <f t="shared" si="662"/>
        <v>4.683138618495839</v>
      </c>
      <c r="CU272" s="217">
        <f t="shared" si="663"/>
        <v>2.4202266762252402</v>
      </c>
      <c r="CV272" s="217">
        <f t="shared" si="664"/>
        <v>3.2269689016336534</v>
      </c>
      <c r="CW272" s="217">
        <f t="shared" si="665"/>
        <v>24</v>
      </c>
      <c r="CX272" s="217">
        <f t="shared" si="666"/>
        <v>2.5709253944456347</v>
      </c>
      <c r="CY272" s="217">
        <f t="shared" si="667"/>
        <v>0.71414594290156519</v>
      </c>
      <c r="CZ272" s="217">
        <f t="shared" si="668"/>
        <v>1.5605104701367745</v>
      </c>
      <c r="DA272" s="197">
        <f t="shared" si="669"/>
        <v>350</v>
      </c>
      <c r="DB272" s="443">
        <f t="shared" si="670"/>
        <v>350</v>
      </c>
      <c r="DD272" s="217">
        <f t="shared" si="671"/>
        <v>3.2292794133140656</v>
      </c>
      <c r="DE272" s="173">
        <f t="shared" si="672"/>
        <v>1.9601207978889497</v>
      </c>
      <c r="DF272" s="173">
        <f t="shared" si="673"/>
        <v>0.6872960992823488</v>
      </c>
      <c r="DG272" s="173"/>
      <c r="DH272" s="173">
        <f t="shared" si="674"/>
        <v>1.3488532386977903</v>
      </c>
      <c r="DI272" s="545">
        <f t="shared" si="675"/>
        <v>560.19599999999991</v>
      </c>
      <c r="DJ272" s="528">
        <f t="shared" si="676"/>
        <v>0.34987754285999911</v>
      </c>
      <c r="DL272" s="173">
        <f t="shared" si="677"/>
        <v>2.8733255993708755</v>
      </c>
      <c r="DM272" s="173">
        <f t="shared" si="678"/>
        <v>2.8733255993708755</v>
      </c>
      <c r="DN272" s="173">
        <f t="shared" si="679"/>
        <v>1.6822987978878912</v>
      </c>
      <c r="DP272" s="545">
        <f t="shared" si="680"/>
        <v>560</v>
      </c>
      <c r="DQ272" s="460">
        <f t="shared" si="681"/>
        <v>350</v>
      </c>
      <c r="DS272">
        <f t="shared" si="682"/>
        <v>560</v>
      </c>
      <c r="DT272">
        <f t="shared" si="683"/>
        <v>350</v>
      </c>
      <c r="DV272" s="5">
        <f t="shared" si="684"/>
        <v>2.8571428571428572</v>
      </c>
      <c r="DW272" s="5">
        <f t="shared" si="685"/>
        <v>0.79814599982524326</v>
      </c>
      <c r="DX272" s="5">
        <f t="shared" si="686"/>
        <v>2.0589968573176138</v>
      </c>
      <c r="DY272" s="173">
        <f t="shared" si="687"/>
        <v>0.27935109993883511</v>
      </c>
      <c r="EA272" s="5">
        <f t="shared" si="713"/>
        <v>1.8623406662589013</v>
      </c>
      <c r="EB272" s="5">
        <f t="shared" si="714"/>
        <v>0.24831208883452019</v>
      </c>
      <c r="EC272" s="5">
        <f t="shared" si="715"/>
        <v>0.64057680005436868</v>
      </c>
      <c r="ED272" s="5"/>
      <c r="EE272" s="173">
        <f t="shared" si="716"/>
        <v>0.87679771157985709</v>
      </c>
      <c r="EF272" s="173">
        <f t="shared" si="717"/>
        <v>0.93931641682135292</v>
      </c>
      <c r="EG272" s="173">
        <f t="shared" si="718"/>
        <v>9.4058576333057101E-2</v>
      </c>
      <c r="EH272" s="173"/>
      <c r="EI272" s="528">
        <f t="shared" si="719"/>
        <v>3.0750969081266972E-2</v>
      </c>
      <c r="EJ272" s="528">
        <f t="shared" si="720"/>
        <v>1.4512331823838578</v>
      </c>
      <c r="EK272" s="528">
        <f t="shared" si="721"/>
        <v>6.9999999999999993E-2</v>
      </c>
      <c r="EL272" s="528">
        <f t="shared" si="722"/>
        <v>0.16865892671311253</v>
      </c>
      <c r="EM272">
        <f t="shared" si="723"/>
        <v>1.6199999999999999E-2</v>
      </c>
      <c r="EN272" s="460">
        <f t="shared" si="724"/>
        <v>86.2</v>
      </c>
      <c r="EP272" s="460">
        <f t="shared" si="725"/>
        <v>1736.8430781782374</v>
      </c>
      <c r="EQ272" s="173">
        <f t="shared" si="726"/>
        <v>0.39200000000000002</v>
      </c>
      <c r="ER272" s="173">
        <f t="shared" si="772"/>
        <v>3.4720000000000008E-2</v>
      </c>
      <c r="ES272" s="528"/>
      <c r="EU272" s="460">
        <f t="shared" si="727"/>
        <v>426.72</v>
      </c>
      <c r="EV272" s="528">
        <f t="shared" si="728"/>
        <v>2.306322681095023E-2</v>
      </c>
      <c r="EW272" s="528">
        <f t="shared" si="729"/>
        <v>2.6469459927303169E-2</v>
      </c>
      <c r="EX272" s="528">
        <f t="shared" si="730"/>
        <v>4.423507890900765E-5</v>
      </c>
      <c r="EY272" s="528">
        <f t="shared" si="731"/>
        <v>1.6036227934568532</v>
      </c>
      <c r="EZ272" s="528"/>
      <c r="FA272" s="625">
        <f t="shared" si="732"/>
        <v>0.5779200000000001</v>
      </c>
      <c r="FB272" s="460">
        <f t="shared" si="733"/>
        <v>2231.1197152740156</v>
      </c>
      <c r="FC272" s="173">
        <f t="shared" si="734"/>
        <v>4.3946827934522528</v>
      </c>
      <c r="FD272" s="5">
        <f t="shared" si="735"/>
        <v>14.448000000000002</v>
      </c>
      <c r="FE272" s="173">
        <f t="shared" si="736"/>
        <v>0.76676979379075549</v>
      </c>
      <c r="FF272" s="5">
        <f t="shared" si="737"/>
        <v>76.676979379075547</v>
      </c>
      <c r="FG272">
        <f t="shared" si="738"/>
        <v>56.000000000000007</v>
      </c>
      <c r="FI272" s="562">
        <f t="shared" si="689"/>
        <v>-50</v>
      </c>
    </row>
    <row r="273" spans="5:165">
      <c r="E273" s="170">
        <v>57</v>
      </c>
      <c r="F273" s="217">
        <f t="shared" si="773"/>
        <v>0.56999999999999995</v>
      </c>
      <c r="G273" s="217">
        <f t="shared" si="742"/>
        <v>5.6999999999999995E-2</v>
      </c>
      <c r="H273" s="217">
        <f t="shared" si="743"/>
        <v>13.68</v>
      </c>
      <c r="I273" s="217">
        <f t="shared" si="744"/>
        <v>1.0259999999999998</v>
      </c>
      <c r="J273" s="541">
        <f t="shared" si="745"/>
        <v>35.875343707697247</v>
      </c>
      <c r="K273" s="443">
        <f t="shared" si="746"/>
        <v>16.493558080016122</v>
      </c>
      <c r="L273" s="172">
        <f t="shared" si="747"/>
        <v>52.368901787713369</v>
      </c>
      <c r="M273" s="443"/>
      <c r="N273" s="217">
        <f t="shared" si="748"/>
        <v>0.31494947415310875</v>
      </c>
      <c r="O273" s="172">
        <f t="shared" si="749"/>
        <v>58.39235470698339</v>
      </c>
      <c r="P273" s="172">
        <f t="shared" si="750"/>
        <v>4.707883598250536</v>
      </c>
      <c r="Q273" s="217">
        <f t="shared" si="626"/>
        <v>2.4330147794576411</v>
      </c>
      <c r="R273" s="217">
        <f t="shared" si="751"/>
        <v>3.2440197059435216</v>
      </c>
      <c r="S273" s="217">
        <f t="shared" si="752"/>
        <v>24</v>
      </c>
      <c r="T273" s="217">
        <f t="shared" si="753"/>
        <v>2.6030805019380669</v>
      </c>
      <c r="U273" s="217">
        <f t="shared" si="630"/>
        <v>0.72559040079093717</v>
      </c>
      <c r="V273" s="217">
        <f t="shared" si="631"/>
        <v>1.5782407224139248</v>
      </c>
      <c r="W273" s="197">
        <f t="shared" si="632"/>
        <v>350</v>
      </c>
      <c r="X273" s="443">
        <f t="shared" si="691"/>
        <v>350</v>
      </c>
      <c r="Z273" s="217">
        <f t="shared" si="633"/>
        <v>3.2282630388003675</v>
      </c>
      <c r="AA273" s="173">
        <f t="shared" si="634"/>
        <v>1.9572872167054036</v>
      </c>
      <c r="AB273" s="173">
        <f t="shared" si="754"/>
        <v>0.68608652835610118</v>
      </c>
      <c r="AC273" s="173"/>
      <c r="AD273" s="173">
        <f t="shared" si="636"/>
        <v>1.3473273695350825</v>
      </c>
      <c r="AE273" s="545">
        <f t="shared" si="755"/>
        <v>570.84525978586521</v>
      </c>
      <c r="AF273" s="528">
        <f t="shared" si="756"/>
        <v>0.34948174935329446</v>
      </c>
      <c r="AH273" s="173">
        <f t="shared" si="757"/>
        <v>2.8988667736597642</v>
      </c>
      <c r="AI273" s="173">
        <f t="shared" si="758"/>
        <v>2.8988667736597642</v>
      </c>
      <c r="AJ273" s="173">
        <f t="shared" si="759"/>
        <v>1.7012181862500309</v>
      </c>
      <c r="AL273" s="545">
        <f t="shared" si="760"/>
        <v>570</v>
      </c>
      <c r="AM273" s="460">
        <f t="shared" si="761"/>
        <v>350</v>
      </c>
      <c r="AO273">
        <f t="shared" si="644"/>
        <v>570</v>
      </c>
      <c r="AP273">
        <f t="shared" si="645"/>
        <v>350</v>
      </c>
      <c r="AR273" s="5">
        <f t="shared" si="774"/>
        <v>2.8571428571428572</v>
      </c>
      <c r="AS273" s="5">
        <f t="shared" si="739"/>
        <v>0.80803874585257196</v>
      </c>
      <c r="AT273" s="5">
        <f t="shared" si="740"/>
        <v>2.0491041112902852</v>
      </c>
      <c r="AU273" s="173">
        <f t="shared" si="741"/>
        <v>0.28281356104840016</v>
      </c>
      <c r="BA273" s="173">
        <f t="shared" si="692"/>
        <v>0.8900568444958229</v>
      </c>
      <c r="BB273" s="173">
        <f t="shared" si="693"/>
        <v>0.94538672031082294</v>
      </c>
      <c r="BC273" s="173">
        <f t="shared" si="694"/>
        <v>9.4666426993286451E-2</v>
      </c>
      <c r="BD273" s="173"/>
      <c r="BE273" s="528">
        <f t="shared" si="695"/>
        <v>3.1688047457354464E-2</v>
      </c>
      <c r="BF273" s="528">
        <f t="shared" si="762"/>
        <v>1.195507446252948</v>
      </c>
      <c r="BG273" s="528">
        <f t="shared" si="763"/>
        <v>0.50225481190776144</v>
      </c>
      <c r="BH273" s="528">
        <f t="shared" si="696"/>
        <v>0.16797823981013407</v>
      </c>
      <c r="BI273">
        <f t="shared" si="697"/>
        <v>1.6143904668463761E-2</v>
      </c>
      <c r="BJ273" s="460">
        <f t="shared" si="698"/>
        <v>518.39871657622518</v>
      </c>
      <c r="BK273">
        <f t="shared" si="764"/>
        <v>1.4143784751307651</v>
      </c>
      <c r="BL273" s="460">
        <f t="shared" si="699"/>
        <v>1913.5724500966617</v>
      </c>
      <c r="BM273" s="173">
        <f t="shared" si="765"/>
        <v>0.49475999999999998</v>
      </c>
      <c r="BN273" s="173">
        <f t="shared" si="766"/>
        <v>3.5339999999999996E-2</v>
      </c>
      <c r="BQ273" s="460">
        <f t="shared" si="700"/>
        <v>530.1</v>
      </c>
      <c r="BR273" s="528">
        <f t="shared" si="701"/>
        <v>2.3766035593015843E-2</v>
      </c>
      <c r="BS273" s="528">
        <f t="shared" si="702"/>
        <v>2.6812681528201623E-2</v>
      </c>
      <c r="BT273" s="528">
        <f t="shared" si="703"/>
        <v>4.480866199837617E-5</v>
      </c>
      <c r="BU273" s="528">
        <f t="shared" si="704"/>
        <v>1.6394974910522406</v>
      </c>
      <c r="BV273" s="528"/>
      <c r="BW273" s="625">
        <f t="shared" si="705"/>
        <v>0.58823999999999999</v>
      </c>
      <c r="BX273" s="460">
        <f t="shared" si="706"/>
        <v>2278.3610168354567</v>
      </c>
      <c r="BY273" s="173">
        <f t="shared" si="707"/>
        <v>4.7220334669321185</v>
      </c>
      <c r="BZ273" s="5">
        <f t="shared" si="708"/>
        <v>14.706</v>
      </c>
      <c r="CA273" s="173">
        <f t="shared" si="709"/>
        <v>0.75694742985854169</v>
      </c>
      <c r="CB273" s="5">
        <f t="shared" si="710"/>
        <v>75.694742985854162</v>
      </c>
      <c r="CC273">
        <f t="shared" si="711"/>
        <v>56.999999999999993</v>
      </c>
      <c r="CE273" s="562">
        <f t="shared" si="767"/>
        <v>-50</v>
      </c>
      <c r="CG273" s="173">
        <f t="shared" si="768"/>
        <v>0.61130084071589541</v>
      </c>
      <c r="CH273" s="173">
        <f t="shared" si="769"/>
        <v>0.16718570331488303</v>
      </c>
      <c r="CI273" s="170">
        <v>57</v>
      </c>
      <c r="CJ273" s="217">
        <f t="shared" si="712"/>
        <v>0.56999999999999995</v>
      </c>
      <c r="CK273" s="217">
        <f t="shared" si="654"/>
        <v>5.6999999999999995E-2</v>
      </c>
      <c r="CL273" s="217">
        <f t="shared" si="655"/>
        <v>13.68</v>
      </c>
      <c r="CM273" s="217">
        <f t="shared" si="656"/>
        <v>1.0259999999999998</v>
      </c>
      <c r="CN273" s="541">
        <f t="shared" si="657"/>
        <v>36</v>
      </c>
      <c r="CO273" s="443">
        <f t="shared" si="770"/>
        <v>16.474900000000002</v>
      </c>
      <c r="CP273" s="443">
        <f t="shared" si="771"/>
        <v>52.474900000000005</v>
      </c>
      <c r="CQ273" s="443"/>
      <c r="CR273" s="217">
        <f t="shared" si="660"/>
        <v>0.31220924123305599</v>
      </c>
      <c r="CS273" s="172">
        <f t="shared" si="661"/>
        <v>58.085440229405762</v>
      </c>
      <c r="CT273" s="172">
        <f t="shared" si="662"/>
        <v>4.683138618495839</v>
      </c>
      <c r="CU273" s="217">
        <f t="shared" si="663"/>
        <v>2.4202266762252402</v>
      </c>
      <c r="CV273" s="217">
        <f t="shared" si="664"/>
        <v>3.2269689016336534</v>
      </c>
      <c r="CW273" s="217">
        <f t="shared" si="665"/>
        <v>24</v>
      </c>
      <c r="CX273" s="217">
        <f t="shared" si="666"/>
        <v>2.6168347764893065</v>
      </c>
      <c r="CY273" s="217">
        <f t="shared" si="667"/>
        <v>0.72689854902480733</v>
      </c>
      <c r="CZ273" s="217">
        <f t="shared" si="668"/>
        <v>1.5883767285320738</v>
      </c>
      <c r="DA273" s="197">
        <f t="shared" si="669"/>
        <v>350</v>
      </c>
      <c r="DB273" s="443">
        <f t="shared" si="670"/>
        <v>350</v>
      </c>
      <c r="DD273" s="217">
        <f t="shared" si="671"/>
        <v>3.2292794133140656</v>
      </c>
      <c r="DE273" s="173">
        <f t="shared" si="672"/>
        <v>1.9601207978889497</v>
      </c>
      <c r="DF273" s="173">
        <f t="shared" si="673"/>
        <v>0.6872960992823488</v>
      </c>
      <c r="DG273" s="173"/>
      <c r="DH273" s="173">
        <f t="shared" si="674"/>
        <v>1.3488532386977903</v>
      </c>
      <c r="DI273" s="545">
        <f t="shared" si="675"/>
        <v>570.19949999999972</v>
      </c>
      <c r="DJ273" s="528">
        <f t="shared" si="676"/>
        <v>0.34987754285999911</v>
      </c>
      <c r="DL273" s="173">
        <f t="shared" si="677"/>
        <v>2.8988667736597642</v>
      </c>
      <c r="DM273" s="173">
        <f t="shared" si="678"/>
        <v>2.8988667736597642</v>
      </c>
      <c r="DN273" s="173">
        <f t="shared" si="679"/>
        <v>1.7012181862500309</v>
      </c>
      <c r="DP273" s="545">
        <f t="shared" si="680"/>
        <v>570</v>
      </c>
      <c r="DQ273" s="460">
        <f t="shared" si="681"/>
        <v>350</v>
      </c>
      <c r="DS273">
        <f t="shared" si="682"/>
        <v>570</v>
      </c>
      <c r="DT273">
        <f t="shared" si="683"/>
        <v>350</v>
      </c>
      <c r="DV273" s="5">
        <f t="shared" si="684"/>
        <v>2.8571428571428572</v>
      </c>
      <c r="DW273" s="5">
        <f t="shared" si="685"/>
        <v>0.8052407704610457</v>
      </c>
      <c r="DX273" s="5">
        <f t="shared" si="686"/>
        <v>2.0519020866818116</v>
      </c>
      <c r="DY273" s="173">
        <f t="shared" si="687"/>
        <v>0.28183426966136599</v>
      </c>
      <c r="EA273" s="5">
        <f t="shared" si="713"/>
        <v>1.9124468298449833</v>
      </c>
      <c r="EB273" s="5">
        <f t="shared" si="714"/>
        <v>0.25499291064599777</v>
      </c>
      <c r="EC273" s="5">
        <f t="shared" si="715"/>
        <v>0.64976899411590694</v>
      </c>
      <c r="ED273" s="5"/>
      <c r="EE273" s="173">
        <f t="shared" si="716"/>
        <v>0.88851451949870186</v>
      </c>
      <c r="EF273" s="173">
        <f t="shared" si="717"/>
        <v>0.94603194531681922</v>
      </c>
      <c r="EG273" s="173">
        <f t="shared" si="718"/>
        <v>9.4731036686454453E-2</v>
      </c>
      <c r="EH273" s="173"/>
      <c r="EI273" s="528">
        <f t="shared" si="719"/>
        <v>3.1578322054400358E-2</v>
      </c>
      <c r="EJ273" s="528">
        <f t="shared" si="720"/>
        <v>1.4641332865882681</v>
      </c>
      <c r="EK273" s="528">
        <f t="shared" si="721"/>
        <v>6.9999999999999993E-2</v>
      </c>
      <c r="EL273" s="528">
        <f t="shared" si="722"/>
        <v>0.16865892671311253</v>
      </c>
      <c r="EM273">
        <f t="shared" si="723"/>
        <v>1.6199999999999999E-2</v>
      </c>
      <c r="EN273" s="460">
        <f t="shared" si="724"/>
        <v>86.2</v>
      </c>
      <c r="EP273" s="460">
        <f t="shared" si="725"/>
        <v>1750.570535355781</v>
      </c>
      <c r="EQ273" s="173">
        <f t="shared" si="726"/>
        <v>0.39899999999999997</v>
      </c>
      <c r="ER273" s="173">
        <f t="shared" si="772"/>
        <v>3.5339999999999996E-2</v>
      </c>
      <c r="ES273" s="528"/>
      <c r="EU273" s="460">
        <f t="shared" si="727"/>
        <v>434.34</v>
      </c>
      <c r="EV273" s="528">
        <f t="shared" si="728"/>
        <v>2.368374154080027E-2</v>
      </c>
      <c r="EW273" s="528">
        <f t="shared" si="729"/>
        <v>2.6849293246797759E-2</v>
      </c>
      <c r="EX273" s="528">
        <f t="shared" si="730"/>
        <v>4.48698465584519E-5</v>
      </c>
      <c r="EY273" s="528">
        <f t="shared" si="731"/>
        <v>1.6394974910522406</v>
      </c>
      <c r="EZ273" s="528"/>
      <c r="FA273" s="625">
        <f t="shared" si="732"/>
        <v>0.58823999999999999</v>
      </c>
      <c r="FB273" s="460">
        <f t="shared" si="733"/>
        <v>2278.3153956863971</v>
      </c>
      <c r="FC273" s="173">
        <f t="shared" si="734"/>
        <v>4.463225931042178</v>
      </c>
      <c r="FD273" s="5">
        <f t="shared" si="735"/>
        <v>14.706</v>
      </c>
      <c r="FE273" s="173">
        <f t="shared" si="736"/>
        <v>0.76716712781737639</v>
      </c>
      <c r="FF273" s="5">
        <f t="shared" si="737"/>
        <v>76.716712781737641</v>
      </c>
      <c r="FG273">
        <f t="shared" si="738"/>
        <v>56.999999999999993</v>
      </c>
      <c r="FI273" s="562">
        <f t="shared" si="689"/>
        <v>-50</v>
      </c>
    </row>
    <row r="274" spans="5:165">
      <c r="E274" s="170">
        <v>58</v>
      </c>
      <c r="F274" s="217">
        <f t="shared" si="773"/>
        <v>0.57999999999999996</v>
      </c>
      <c r="G274" s="217">
        <f t="shared" si="742"/>
        <v>5.7999999999999996E-2</v>
      </c>
      <c r="H274" s="217">
        <f t="shared" si="743"/>
        <v>13.919999999999998</v>
      </c>
      <c r="I274" s="217">
        <f t="shared" si="744"/>
        <v>1.044</v>
      </c>
      <c r="J274" s="541">
        <f t="shared" si="745"/>
        <v>35.874254985783409</v>
      </c>
      <c r="K274" s="443">
        <f t="shared" si="746"/>
        <v>16.49372103577398</v>
      </c>
      <c r="L274" s="172">
        <f t="shared" si="747"/>
        <v>52.367976021557389</v>
      </c>
      <c r="M274" s="443"/>
      <c r="N274" s="217">
        <f t="shared" si="748"/>
        <v>0.31495815360487306</v>
      </c>
      <c r="O274" s="172">
        <f t="shared" si="749"/>
        <v>58.392191794691222</v>
      </c>
      <c r="P274" s="172">
        <f t="shared" si="750"/>
        <v>4.7078704634469801</v>
      </c>
      <c r="Q274" s="217">
        <f t="shared" si="626"/>
        <v>2.4330079914454674</v>
      </c>
      <c r="R274" s="217">
        <f t="shared" si="751"/>
        <v>3.2440106552606234</v>
      </c>
      <c r="S274" s="217">
        <f t="shared" si="752"/>
        <v>24</v>
      </c>
      <c r="T274" s="217">
        <f t="shared" si="753"/>
        <v>2.64875597084075</v>
      </c>
      <c r="U274" s="217">
        <f t="shared" si="630"/>
        <v>0.73834452363970338</v>
      </c>
      <c r="V274" s="217">
        <f t="shared" si="631"/>
        <v>1.6059177702204028</v>
      </c>
      <c r="W274" s="197">
        <f t="shared" si="632"/>
        <v>350</v>
      </c>
      <c r="X274" s="443">
        <f t="shared" si="691"/>
        <v>350</v>
      </c>
      <c r="Z274" s="217">
        <f t="shared" si="633"/>
        <v>3.2282540320779289</v>
      </c>
      <c r="AA274" s="173">
        <f t="shared" si="634"/>
        <v>1.957262418271791</v>
      </c>
      <c r="AB274" s="173">
        <f t="shared" si="754"/>
        <v>0.68607592164916631</v>
      </c>
      <c r="AC274" s="173"/>
      <c r="AD274" s="173">
        <f t="shared" si="636"/>
        <v>1.3473140581208716</v>
      </c>
      <c r="AE274" s="545">
        <f t="shared" si="755"/>
        <v>580.86582778160516</v>
      </c>
      <c r="AF274" s="528">
        <f t="shared" si="756"/>
        <v>0.34947829652035278</v>
      </c>
      <c r="AH274" s="173">
        <f t="shared" si="757"/>
        <v>2.9241848681054936</v>
      </c>
      <c r="AI274" s="173">
        <f t="shared" si="758"/>
        <v>2.9241848681054936</v>
      </c>
      <c r="AJ274" s="173">
        <f t="shared" si="759"/>
        <v>1.7199723302839045</v>
      </c>
      <c r="AL274" s="545">
        <f t="shared" si="760"/>
        <v>580</v>
      </c>
      <c r="AM274" s="460">
        <f t="shared" si="761"/>
        <v>350</v>
      </c>
      <c r="AO274">
        <f t="shared" si="644"/>
        <v>580</v>
      </c>
      <c r="AP274">
        <f t="shared" si="645"/>
        <v>350</v>
      </c>
      <c r="AR274" s="5">
        <f t="shared" si="774"/>
        <v>2.8571428571428572</v>
      </c>
      <c r="AS274" s="5">
        <f t="shared" si="739"/>
        <v>0.81512072355629883</v>
      </c>
      <c r="AT274" s="5">
        <f t="shared" si="740"/>
        <v>2.0420221335865585</v>
      </c>
      <c r="AU274" s="173">
        <f t="shared" si="741"/>
        <v>0.28529225324470459</v>
      </c>
      <c r="BA274" s="173">
        <f t="shared" si="692"/>
        <v>0.90175630511783156</v>
      </c>
      <c r="BB274" s="173">
        <f t="shared" si="693"/>
        <v>0.95199414354565037</v>
      </c>
      <c r="BC274" s="173">
        <f t="shared" si="694"/>
        <v>9.5328062211800915E-2</v>
      </c>
      <c r="BD274" s="173"/>
      <c r="BE274" s="528">
        <f t="shared" si="695"/>
        <v>3.2526577352790555E-2</v>
      </c>
      <c r="BF274" s="528">
        <f t="shared" si="762"/>
        <v>1.2059274390624517</v>
      </c>
      <c r="BG274" s="528">
        <f t="shared" si="763"/>
        <v>0.50223956980096773</v>
      </c>
      <c r="BH274" s="528">
        <f t="shared" si="696"/>
        <v>0.16797230089640761</v>
      </c>
      <c r="BI274">
        <f t="shared" si="697"/>
        <v>1.6143414743602532E-2</v>
      </c>
      <c r="BJ274" s="460">
        <f t="shared" si="698"/>
        <v>518.38298454457026</v>
      </c>
      <c r="BK274">
        <f t="shared" si="764"/>
        <v>1.4262308541856046</v>
      </c>
      <c r="BL274" s="460">
        <f t="shared" si="699"/>
        <v>1924.8093018562201</v>
      </c>
      <c r="BM274" s="173">
        <f t="shared" si="765"/>
        <v>0.50344</v>
      </c>
      <c r="BN274" s="173">
        <f t="shared" si="766"/>
        <v>3.5959999999999999E-2</v>
      </c>
      <c r="BQ274" s="460">
        <f t="shared" si="700"/>
        <v>539.4</v>
      </c>
      <c r="BR274" s="528">
        <f t="shared" si="701"/>
        <v>2.4394933014592911E-2</v>
      </c>
      <c r="BS274" s="528">
        <f t="shared" si="702"/>
        <v>2.7188785480356491E-2</v>
      </c>
      <c r="BT274" s="528">
        <f t="shared" si="703"/>
        <v>4.5437197225284931E-5</v>
      </c>
      <c r="BU274" s="528">
        <f t="shared" si="704"/>
        <v>1.6755298864670798</v>
      </c>
      <c r="BV274" s="528"/>
      <c r="BW274" s="625">
        <f t="shared" si="705"/>
        <v>0.59856000000000009</v>
      </c>
      <c r="BX274" s="460">
        <f t="shared" si="706"/>
        <v>2325.7190421592545</v>
      </c>
      <c r="BY274" s="173">
        <f t="shared" si="707"/>
        <v>4.7899283440154745</v>
      </c>
      <c r="BZ274" s="5">
        <f t="shared" si="708"/>
        <v>14.963999999999999</v>
      </c>
      <c r="CA274" s="173">
        <f t="shared" si="709"/>
        <v>0.75752021265853164</v>
      </c>
      <c r="CB274" s="5">
        <f t="shared" si="710"/>
        <v>75.752021265853159</v>
      </c>
      <c r="CC274">
        <f t="shared" si="711"/>
        <v>57.999999999999993</v>
      </c>
      <c r="CE274" s="562">
        <f t="shared" si="767"/>
        <v>-50</v>
      </c>
      <c r="CG274" s="173">
        <f t="shared" si="768"/>
        <v>0.6166398140556254</v>
      </c>
      <c r="CH274" s="173">
        <f t="shared" si="769"/>
        <v>0.16864586818515684</v>
      </c>
      <c r="CI274" s="170">
        <v>58</v>
      </c>
      <c r="CJ274" s="217">
        <f t="shared" si="712"/>
        <v>0.57999999999999996</v>
      </c>
      <c r="CK274" s="217">
        <f t="shared" si="654"/>
        <v>5.7999999999999996E-2</v>
      </c>
      <c r="CL274" s="217">
        <f t="shared" si="655"/>
        <v>13.919999999999998</v>
      </c>
      <c r="CM274" s="217">
        <f t="shared" si="656"/>
        <v>1.044</v>
      </c>
      <c r="CN274" s="541">
        <f t="shared" si="657"/>
        <v>36</v>
      </c>
      <c r="CO274" s="443">
        <f t="shared" si="770"/>
        <v>16.474900000000002</v>
      </c>
      <c r="CP274" s="443">
        <f t="shared" si="771"/>
        <v>52.474900000000005</v>
      </c>
      <c r="CQ274" s="443"/>
      <c r="CR274" s="217">
        <f t="shared" si="660"/>
        <v>0.31220924123305599</v>
      </c>
      <c r="CS274" s="172">
        <f t="shared" si="661"/>
        <v>58.085440229405762</v>
      </c>
      <c r="CT274" s="172">
        <f t="shared" si="662"/>
        <v>4.683138618495839</v>
      </c>
      <c r="CU274" s="217">
        <f t="shared" si="663"/>
        <v>2.4202266762252402</v>
      </c>
      <c r="CV274" s="217">
        <f t="shared" si="664"/>
        <v>3.2269689016336534</v>
      </c>
      <c r="CW274" s="217">
        <f t="shared" si="665"/>
        <v>24</v>
      </c>
      <c r="CX274" s="217">
        <f t="shared" si="666"/>
        <v>2.6627441585329783</v>
      </c>
      <c r="CY274" s="217">
        <f t="shared" si="667"/>
        <v>0.73965115514804969</v>
      </c>
      <c r="CZ274" s="217">
        <f t="shared" si="668"/>
        <v>1.6162429869273733</v>
      </c>
      <c r="DA274" s="197">
        <f t="shared" si="669"/>
        <v>350</v>
      </c>
      <c r="DB274" s="443">
        <f t="shared" si="670"/>
        <v>350</v>
      </c>
      <c r="DD274" s="217">
        <f t="shared" si="671"/>
        <v>3.2292794133140656</v>
      </c>
      <c r="DE274" s="173">
        <f t="shared" si="672"/>
        <v>1.9601207978889497</v>
      </c>
      <c r="DF274" s="173">
        <f t="shared" si="673"/>
        <v>0.6872960992823488</v>
      </c>
      <c r="DG274" s="173"/>
      <c r="DH274" s="173">
        <f t="shared" si="674"/>
        <v>1.3488532386977903</v>
      </c>
      <c r="DI274" s="545">
        <f t="shared" si="675"/>
        <v>580.20299999999975</v>
      </c>
      <c r="DJ274" s="528">
        <f t="shared" si="676"/>
        <v>0.34987754285999911</v>
      </c>
      <c r="DL274" s="173">
        <f t="shared" si="677"/>
        <v>2.9241848681054936</v>
      </c>
      <c r="DM274" s="173">
        <f t="shared" si="678"/>
        <v>2.9241848681054936</v>
      </c>
      <c r="DN274" s="173">
        <f t="shared" si="679"/>
        <v>1.7199723302839045</v>
      </c>
      <c r="DP274" s="545">
        <f t="shared" si="680"/>
        <v>580</v>
      </c>
      <c r="DQ274" s="460">
        <f t="shared" si="681"/>
        <v>350</v>
      </c>
      <c r="DS274">
        <f t="shared" si="682"/>
        <v>580</v>
      </c>
      <c r="DT274">
        <f t="shared" si="683"/>
        <v>350</v>
      </c>
      <c r="DV274" s="5">
        <f t="shared" si="684"/>
        <v>2.8571428571428572</v>
      </c>
      <c r="DW274" s="5">
        <f t="shared" si="685"/>
        <v>0.81227357447374826</v>
      </c>
      <c r="DX274" s="5">
        <f t="shared" si="686"/>
        <v>2.0448692826691088</v>
      </c>
      <c r="DY274" s="173">
        <f t="shared" si="687"/>
        <v>0.2842957510658119</v>
      </c>
      <c r="EA274" s="5">
        <f t="shared" si="713"/>
        <v>1.9629944716448915</v>
      </c>
      <c r="EB274" s="5">
        <f t="shared" si="714"/>
        <v>0.26173259621931882</v>
      </c>
      <c r="EC274" s="5">
        <f t="shared" si="715"/>
        <v>0.65890232441560148</v>
      </c>
      <c r="ED274" s="5"/>
      <c r="EE274" s="173">
        <f t="shared" si="716"/>
        <v>0.90018004748772973</v>
      </c>
      <c r="EF274" s="173">
        <f t="shared" si="717"/>
        <v>0.95265758520922073</v>
      </c>
      <c r="EG274" s="173">
        <f t="shared" si="718"/>
        <v>9.5394496032436812E-2</v>
      </c>
      <c r="EH274" s="173"/>
      <c r="EI274" s="528">
        <f t="shared" si="719"/>
        <v>3.2412964715800456E-2</v>
      </c>
      <c r="EJ274" s="528">
        <f t="shared" si="720"/>
        <v>1.4769207196527341</v>
      </c>
      <c r="EK274" s="528">
        <f t="shared" si="721"/>
        <v>6.9999999999999993E-2</v>
      </c>
      <c r="EL274" s="528">
        <f t="shared" si="722"/>
        <v>0.16865892671311253</v>
      </c>
      <c r="EM274">
        <f t="shared" si="723"/>
        <v>1.6199999999999999E-2</v>
      </c>
      <c r="EN274" s="460">
        <f t="shared" si="724"/>
        <v>86.2</v>
      </c>
      <c r="EP274" s="460">
        <f t="shared" si="725"/>
        <v>1764.1926110816471</v>
      </c>
      <c r="EQ274" s="173">
        <f t="shared" si="726"/>
        <v>0.40599999999999997</v>
      </c>
      <c r="ER274" s="173">
        <f t="shared" si="772"/>
        <v>3.5959999999999999E-2</v>
      </c>
      <c r="ES274" s="528"/>
      <c r="EU274" s="460">
        <f t="shared" si="727"/>
        <v>441.96</v>
      </c>
      <c r="EV274" s="528">
        <f t="shared" si="728"/>
        <v>2.430972353685034E-2</v>
      </c>
      <c r="EW274" s="528">
        <f t="shared" si="729"/>
        <v>2.7226694239699908E-2</v>
      </c>
      <c r="EX274" s="528">
        <f t="shared" si="730"/>
        <v>4.5500549366413012E-5</v>
      </c>
      <c r="EY274" s="528">
        <f t="shared" si="731"/>
        <v>1.6755298864670798</v>
      </c>
      <c r="EZ274" s="528"/>
      <c r="FA274" s="625">
        <f t="shared" si="732"/>
        <v>0.59856000000000009</v>
      </c>
      <c r="FB274" s="460">
        <f t="shared" si="733"/>
        <v>2325.6718047929967</v>
      </c>
      <c r="FC274" s="173">
        <f t="shared" si="734"/>
        <v>4.5318244158746435</v>
      </c>
      <c r="FD274" s="5">
        <f t="shared" si="735"/>
        <v>14.963999999999999</v>
      </c>
      <c r="FE274" s="173">
        <f t="shared" si="736"/>
        <v>0.76754897257976085</v>
      </c>
      <c r="FF274" s="5">
        <f t="shared" si="737"/>
        <v>76.754897257976083</v>
      </c>
      <c r="FG274">
        <f t="shared" si="738"/>
        <v>57.999999999999993</v>
      </c>
      <c r="FI274" s="562">
        <f t="shared" si="689"/>
        <v>-50</v>
      </c>
    </row>
    <row r="275" spans="5:165">
      <c r="E275" s="170">
        <v>59</v>
      </c>
      <c r="F275" s="217">
        <f t="shared" si="773"/>
        <v>0.59</v>
      </c>
      <c r="G275" s="217">
        <f t="shared" si="742"/>
        <v>5.8999999999999997E-2</v>
      </c>
      <c r="H275" s="217">
        <f t="shared" si="743"/>
        <v>14.16</v>
      </c>
      <c r="I275" s="217">
        <f t="shared" si="744"/>
        <v>1.0619999999999998</v>
      </c>
      <c r="J275" s="541">
        <f t="shared" si="745"/>
        <v>35.873175609640768</v>
      </c>
      <c r="K275" s="443">
        <f t="shared" si="746"/>
        <v>16.493882592692323</v>
      </c>
      <c r="L275" s="172">
        <f t="shared" si="747"/>
        <v>52.367058202333091</v>
      </c>
      <c r="M275" s="443"/>
      <c r="N275" s="217">
        <f t="shared" si="748"/>
        <v>0.31496675885370773</v>
      </c>
      <c r="O275" s="172">
        <f t="shared" si="749"/>
        <v>58.392030240612058</v>
      </c>
      <c r="P275" s="172">
        <f t="shared" si="750"/>
        <v>4.7078574381493477</v>
      </c>
      <c r="Q275" s="217">
        <f t="shared" si="626"/>
        <v>2.4330012600255024</v>
      </c>
      <c r="R275" s="217">
        <f t="shared" si="751"/>
        <v>3.2440016800340032</v>
      </c>
      <c r="S275" s="217">
        <f t="shared" si="752"/>
        <v>24</v>
      </c>
      <c r="T275" s="217">
        <f t="shared" si="753"/>
        <v>2.6944316319371082</v>
      </c>
      <c r="U275" s="217">
        <f t="shared" si="630"/>
        <v>0.75109927854086922</v>
      </c>
      <c r="V275" s="217">
        <f t="shared" si="631"/>
        <v>1.6335945262099094</v>
      </c>
      <c r="W275" s="197">
        <f t="shared" si="632"/>
        <v>350</v>
      </c>
      <c r="X275" s="443">
        <f t="shared" si="691"/>
        <v>350</v>
      </c>
      <c r="Z275" s="217">
        <f t="shared" si="633"/>
        <v>3.2282451004452661</v>
      </c>
      <c r="AA275" s="173">
        <f t="shared" si="634"/>
        <v>1.9572378318465495</v>
      </c>
      <c r="AB275" s="173">
        <f t="shared" si="754"/>
        <v>0.686065405263518</v>
      </c>
      <c r="AC275" s="173"/>
      <c r="AD275" s="173">
        <f t="shared" si="636"/>
        <v>1.3473008612337201</v>
      </c>
      <c r="AE275" s="545">
        <f t="shared" si="755"/>
        <v>590.88654355679591</v>
      </c>
      <c r="AF275" s="528">
        <f t="shared" si="756"/>
        <v>0.34947487339445776</v>
      </c>
      <c r="AH275" s="173">
        <f t="shared" si="757"/>
        <v>2.9492856277895014</v>
      </c>
      <c r="AI275" s="173">
        <f t="shared" si="758"/>
        <v>2.9492856277895014</v>
      </c>
      <c r="AJ275" s="173">
        <f t="shared" si="759"/>
        <v>1.7385654856053918</v>
      </c>
      <c r="AL275" s="545">
        <f t="shared" si="760"/>
        <v>590</v>
      </c>
      <c r="AM275" s="460">
        <f t="shared" si="761"/>
        <v>350</v>
      </c>
      <c r="AO275">
        <f t="shared" si="644"/>
        <v>590</v>
      </c>
      <c r="AP275">
        <f t="shared" si="645"/>
        <v>350</v>
      </c>
      <c r="AR275" s="5">
        <f t="shared" si="774"/>
        <v>2.8571428571428572</v>
      </c>
      <c r="AS275" s="5">
        <f t="shared" si="739"/>
        <v>0.82214233272308723</v>
      </c>
      <c r="AT275" s="5">
        <f t="shared" si="740"/>
        <v>2.03500052441977</v>
      </c>
      <c r="AU275" s="173">
        <f t="shared" si="741"/>
        <v>0.28774981645308051</v>
      </c>
      <c r="BA275" s="173">
        <f t="shared" si="692"/>
        <v>0.91340573637753597</v>
      </c>
      <c r="BB275" s="173">
        <f t="shared" si="693"/>
        <v>0.95851370290859894</v>
      </c>
      <c r="BC275" s="173">
        <f t="shared" si="694"/>
        <v>9.5980899169631317E-2</v>
      </c>
      <c r="BD275" s="173"/>
      <c r="BE275" s="528">
        <f t="shared" si="695"/>
        <v>3.337240156989555E-2</v>
      </c>
      <c r="BF275" s="528">
        <f t="shared" si="762"/>
        <v>1.2162576204903388</v>
      </c>
      <c r="BG275" s="528">
        <f t="shared" si="763"/>
        <v>0.50222445853497077</v>
      </c>
      <c r="BH275" s="528">
        <f t="shared" si="696"/>
        <v>0.16796641306695065</v>
      </c>
      <c r="BI275">
        <f t="shared" si="697"/>
        <v>1.6142929024338344E-2</v>
      </c>
      <c r="BJ275" s="460">
        <f t="shared" si="698"/>
        <v>518.36738755930912</v>
      </c>
      <c r="BK275">
        <f t="shared" si="764"/>
        <v>1.4380093662159343</v>
      </c>
      <c r="BL275" s="460">
        <f t="shared" si="699"/>
        <v>1935.9638226864943</v>
      </c>
      <c r="BM275" s="173">
        <f t="shared" si="765"/>
        <v>0.51212000000000002</v>
      </c>
      <c r="BN275" s="173">
        <f t="shared" si="766"/>
        <v>3.6579999999999994E-2</v>
      </c>
      <c r="BQ275" s="460">
        <f t="shared" si="700"/>
        <v>548.69999999999993</v>
      </c>
      <c r="BR275" s="528">
        <f t="shared" si="701"/>
        <v>2.5029301177421661E-2</v>
      </c>
      <c r="BS275" s="528">
        <f t="shared" si="702"/>
        <v>2.7562455559906617E-2</v>
      </c>
      <c r="BT275" s="528">
        <f t="shared" si="703"/>
        <v>4.606166502705467E-5</v>
      </c>
      <c r="BU275" s="528">
        <f t="shared" si="704"/>
        <v>1.711717935899566</v>
      </c>
      <c r="BV275" s="528"/>
      <c r="BW275" s="625">
        <f t="shared" si="705"/>
        <v>0.60887999999999998</v>
      </c>
      <c r="BX275" s="460">
        <f t="shared" si="706"/>
        <v>2373.2357543019211</v>
      </c>
      <c r="BY275" s="173">
        <f t="shared" si="707"/>
        <v>4.8578995769884159</v>
      </c>
      <c r="BZ275" s="5">
        <f t="shared" si="708"/>
        <v>15.222</v>
      </c>
      <c r="CA275" s="173">
        <f t="shared" si="709"/>
        <v>0.75807152031001312</v>
      </c>
      <c r="CB275" s="5">
        <f t="shared" si="710"/>
        <v>75.807152031001309</v>
      </c>
      <c r="CC275">
        <f t="shared" si="711"/>
        <v>59</v>
      </c>
      <c r="CE275" s="562">
        <f t="shared" si="767"/>
        <v>-50</v>
      </c>
      <c r="CG275" s="173">
        <f t="shared" si="768"/>
        <v>0.62193295675430493</v>
      </c>
      <c r="CH275" s="173">
        <f t="shared" si="769"/>
        <v>0.17009349875570931</v>
      </c>
      <c r="CI275" s="170">
        <v>59</v>
      </c>
      <c r="CJ275" s="217">
        <f t="shared" si="712"/>
        <v>0.59</v>
      </c>
      <c r="CK275" s="217">
        <f t="shared" si="654"/>
        <v>5.8999999999999997E-2</v>
      </c>
      <c r="CL275" s="217">
        <f t="shared" si="655"/>
        <v>14.16</v>
      </c>
      <c r="CM275" s="217">
        <f t="shared" si="656"/>
        <v>1.0619999999999998</v>
      </c>
      <c r="CN275" s="541">
        <f t="shared" si="657"/>
        <v>36</v>
      </c>
      <c r="CO275" s="443">
        <f t="shared" si="770"/>
        <v>16.474900000000002</v>
      </c>
      <c r="CP275" s="443">
        <f t="shared" si="771"/>
        <v>52.474900000000005</v>
      </c>
      <c r="CQ275" s="443"/>
      <c r="CR275" s="217">
        <f t="shared" si="660"/>
        <v>0.31220924123305599</v>
      </c>
      <c r="CS275" s="172">
        <f t="shared" si="661"/>
        <v>58.085440229405762</v>
      </c>
      <c r="CT275" s="172">
        <f t="shared" si="662"/>
        <v>4.683138618495839</v>
      </c>
      <c r="CU275" s="217">
        <f t="shared" si="663"/>
        <v>2.4202266762252402</v>
      </c>
      <c r="CV275" s="217">
        <f t="shared" si="664"/>
        <v>3.2269689016336534</v>
      </c>
      <c r="CW275" s="217">
        <f t="shared" si="665"/>
        <v>24</v>
      </c>
      <c r="CX275" s="217">
        <f t="shared" si="666"/>
        <v>2.7086535405766505</v>
      </c>
      <c r="CY275" s="217">
        <f t="shared" si="667"/>
        <v>0.75240376127129183</v>
      </c>
      <c r="CZ275" s="217">
        <f t="shared" si="668"/>
        <v>1.6441092453226731</v>
      </c>
      <c r="DA275" s="197">
        <f t="shared" si="669"/>
        <v>350</v>
      </c>
      <c r="DB275" s="443">
        <f t="shared" si="670"/>
        <v>350</v>
      </c>
      <c r="DD275" s="217">
        <f t="shared" si="671"/>
        <v>3.2292794133140656</v>
      </c>
      <c r="DE275" s="173">
        <f t="shared" si="672"/>
        <v>1.9601207978889497</v>
      </c>
      <c r="DF275" s="173">
        <f t="shared" si="673"/>
        <v>0.6872960992823488</v>
      </c>
      <c r="DG275" s="173"/>
      <c r="DH275" s="173">
        <f t="shared" si="674"/>
        <v>1.3488532386977903</v>
      </c>
      <c r="DI275" s="545">
        <f t="shared" si="675"/>
        <v>590.20649999999978</v>
      </c>
      <c r="DJ275" s="528">
        <f t="shared" si="676"/>
        <v>0.34987754285999911</v>
      </c>
      <c r="DL275" s="173">
        <f t="shared" si="677"/>
        <v>2.9492856277895014</v>
      </c>
      <c r="DM275" s="173">
        <f t="shared" si="678"/>
        <v>2.9492856277895014</v>
      </c>
      <c r="DN275" s="173">
        <f t="shared" si="679"/>
        <v>1.7385654856053918</v>
      </c>
      <c r="DP275" s="545">
        <f t="shared" si="680"/>
        <v>590</v>
      </c>
      <c r="DQ275" s="460">
        <f t="shared" si="681"/>
        <v>350</v>
      </c>
      <c r="DS275">
        <f t="shared" si="682"/>
        <v>590</v>
      </c>
      <c r="DT275">
        <f t="shared" si="683"/>
        <v>350</v>
      </c>
      <c r="DV275" s="5">
        <f t="shared" si="684"/>
        <v>2.8571428571428572</v>
      </c>
      <c r="DW275" s="5">
        <f t="shared" si="685"/>
        <v>0.819246007719306</v>
      </c>
      <c r="DX275" s="5">
        <f t="shared" si="686"/>
        <v>2.037896849423551</v>
      </c>
      <c r="DY275" s="173">
        <f t="shared" si="687"/>
        <v>0.28673610270175709</v>
      </c>
      <c r="EA275" s="5">
        <f t="shared" si="713"/>
        <v>2.0139797689766272</v>
      </c>
      <c r="EB275" s="5">
        <f t="shared" si="714"/>
        <v>0.2685306358635503</v>
      </c>
      <c r="EC275" s="5">
        <f t="shared" si="715"/>
        <v>0.66797730064438599</v>
      </c>
      <c r="ED275" s="5"/>
      <c r="EE275" s="173">
        <f t="shared" si="716"/>
        <v>0.91179539844942825</v>
      </c>
      <c r="EF275" s="173">
        <f t="shared" si="717"/>
        <v>0.95919556516726734</v>
      </c>
      <c r="EG275" s="173">
        <f t="shared" si="718"/>
        <v>9.6049177539046612E-2</v>
      </c>
      <c r="EH275" s="173"/>
      <c r="EI275" s="528">
        <f t="shared" si="719"/>
        <v>3.3254833945342066E-2</v>
      </c>
      <c r="EJ275" s="528">
        <f t="shared" si="720"/>
        <v>1.4895983832507791</v>
      </c>
      <c r="EK275" s="528">
        <f t="shared" si="721"/>
        <v>6.9999999999999993E-2</v>
      </c>
      <c r="EL275" s="528">
        <f t="shared" si="722"/>
        <v>0.16865892671311253</v>
      </c>
      <c r="EM275">
        <f t="shared" si="723"/>
        <v>1.6199999999999999E-2</v>
      </c>
      <c r="EN275" s="460">
        <f t="shared" si="724"/>
        <v>86.2</v>
      </c>
      <c r="EP275" s="460">
        <f t="shared" si="725"/>
        <v>1777.7121439092336</v>
      </c>
      <c r="EQ275" s="173">
        <f t="shared" si="726"/>
        <v>0.41299999999999998</v>
      </c>
      <c r="ER275" s="173">
        <f t="shared" si="772"/>
        <v>3.6579999999999994E-2</v>
      </c>
      <c r="ES275" s="528"/>
      <c r="EU275" s="460">
        <f t="shared" si="727"/>
        <v>449.58</v>
      </c>
      <c r="EV275" s="528">
        <f t="shared" si="728"/>
        <v>2.4941125459006546E-2</v>
      </c>
      <c r="EW275" s="528">
        <f t="shared" si="729"/>
        <v>2.7601683967096599E-2</v>
      </c>
      <c r="EX275" s="528">
        <f t="shared" si="730"/>
        <v>4.6127222529636483E-5</v>
      </c>
      <c r="EY275" s="528">
        <f t="shared" si="731"/>
        <v>1.711717935899566</v>
      </c>
      <c r="EZ275" s="528"/>
      <c r="FA275" s="625">
        <f t="shared" si="732"/>
        <v>0.60887999999999998</v>
      </c>
      <c r="FB275" s="460">
        <f t="shared" si="733"/>
        <v>2373.1868725481986</v>
      </c>
      <c r="FC275" s="173">
        <f t="shared" si="734"/>
        <v>4.6004790164574318</v>
      </c>
      <c r="FD275" s="5">
        <f t="shared" si="735"/>
        <v>15.222</v>
      </c>
      <c r="FE275" s="173">
        <f t="shared" si="736"/>
        <v>0.76791606071884722</v>
      </c>
      <c r="FF275" s="5">
        <f t="shared" si="737"/>
        <v>76.791606071884715</v>
      </c>
      <c r="FG275">
        <f t="shared" si="738"/>
        <v>59</v>
      </c>
      <c r="FI275" s="562">
        <f t="shared" si="689"/>
        <v>-50</v>
      </c>
    </row>
    <row r="276" spans="5:165">
      <c r="E276" s="170">
        <v>60</v>
      </c>
      <c r="F276" s="217">
        <f t="shared" si="773"/>
        <v>0.6</v>
      </c>
      <c r="G276" s="217">
        <f t="shared" si="742"/>
        <v>0.06</v>
      </c>
      <c r="H276" s="217">
        <f t="shared" si="743"/>
        <v>14.399999999999999</v>
      </c>
      <c r="I276" s="217">
        <f t="shared" si="744"/>
        <v>1.08</v>
      </c>
      <c r="J276" s="541">
        <f t="shared" si="745"/>
        <v>35.872105342646179</v>
      </c>
      <c r="K276" s="443">
        <f t="shared" si="746"/>
        <v>16.494042786188015</v>
      </c>
      <c r="L276" s="172">
        <f t="shared" si="747"/>
        <v>52.366148128834197</v>
      </c>
      <c r="M276" s="443"/>
      <c r="N276" s="217">
        <f t="shared" si="748"/>
        <v>0.31497529177835315</v>
      </c>
      <c r="O276" s="172">
        <f t="shared" si="749"/>
        <v>58.391870010355547</v>
      </c>
      <c r="P276" s="172">
        <f t="shared" si="750"/>
        <v>4.7078445195849161</v>
      </c>
      <c r="Q276" s="217">
        <f t="shared" si="626"/>
        <v>2.4329945837648146</v>
      </c>
      <c r="R276" s="217">
        <f t="shared" si="751"/>
        <v>3.243992778353086</v>
      </c>
      <c r="S276" s="217">
        <f t="shared" si="752"/>
        <v>24</v>
      </c>
      <c r="T276" s="217">
        <f t="shared" si="753"/>
        <v>2.7401074836552528</v>
      </c>
      <c r="U276" s="217">
        <f t="shared" si="630"/>
        <v>0.76385466018290948</v>
      </c>
      <c r="V276" s="217">
        <f t="shared" si="631"/>
        <v>1.6612709929125431</v>
      </c>
      <c r="W276" s="197">
        <f t="shared" si="632"/>
        <v>350</v>
      </c>
      <c r="X276" s="443">
        <f t="shared" si="691"/>
        <v>350</v>
      </c>
      <c r="Z276" s="217">
        <f t="shared" si="633"/>
        <v>3.2282362420010862</v>
      </c>
      <c r="AA276" s="173">
        <f t="shared" si="634"/>
        <v>1.957213452061848</v>
      </c>
      <c r="AB276" s="173">
        <f t="shared" si="754"/>
        <v>0.68605497691231432</v>
      </c>
      <c r="AC276" s="173"/>
      <c r="AD276" s="173">
        <f t="shared" si="636"/>
        <v>1.3472877759739379</v>
      </c>
      <c r="AE276" s="545">
        <f t="shared" si="755"/>
        <v>600.90740585362607</v>
      </c>
      <c r="AF276" s="528">
        <f t="shared" si="756"/>
        <v>0.34947147922346211</v>
      </c>
      <c r="AH276" s="173">
        <f t="shared" si="757"/>
        <v>2.9741745553538519</v>
      </c>
      <c r="AI276" s="173">
        <f t="shared" si="758"/>
        <v>2.9741745553538519</v>
      </c>
      <c r="AJ276" s="173">
        <f t="shared" si="759"/>
        <v>1.7570017282456516</v>
      </c>
      <c r="AL276" s="545">
        <f t="shared" si="760"/>
        <v>600</v>
      </c>
      <c r="AM276" s="460">
        <f t="shared" si="761"/>
        <v>350</v>
      </c>
      <c r="AO276">
        <f t="shared" si="644"/>
        <v>600</v>
      </c>
      <c r="AP276">
        <f t="shared" si="645"/>
        <v>350</v>
      </c>
      <c r="AR276" s="5">
        <f t="shared" si="774"/>
        <v>2.8571428571428572</v>
      </c>
      <c r="AS276" s="5">
        <f t="shared" si="739"/>
        <v>0.82910510184581665</v>
      </c>
      <c r="AT276" s="5">
        <f t="shared" si="740"/>
        <v>2.0280377552970403</v>
      </c>
      <c r="AU276" s="173">
        <f t="shared" si="741"/>
        <v>0.29018678564603584</v>
      </c>
      <c r="BA276" s="173">
        <f t="shared" si="692"/>
        <v>0.92500619733323008</v>
      </c>
      <c r="BB276" s="173">
        <f t="shared" si="693"/>
        <v>0.96494753378702813</v>
      </c>
      <c r="BC276" s="173">
        <f t="shared" si="694"/>
        <v>9.6625151694079411E-2</v>
      </c>
      <c r="BD276" s="173"/>
      <c r="BE276" s="528">
        <f t="shared" si="695"/>
        <v>3.4225458604195305E-2</v>
      </c>
      <c r="BF276" s="528">
        <f t="shared" si="762"/>
        <v>1.2265002644475216</v>
      </c>
      <c r="BG276" s="528">
        <f t="shared" si="763"/>
        <v>0.50220947479704647</v>
      </c>
      <c r="BH276" s="528">
        <f t="shared" si="696"/>
        <v>0.16796057502837408</v>
      </c>
      <c r="BI276">
        <f t="shared" si="697"/>
        <v>1.6142447404190779E-2</v>
      </c>
      <c r="BJ276" s="460">
        <f t="shared" si="698"/>
        <v>518.35192220123724</v>
      </c>
      <c r="BK276">
        <f t="shared" si="764"/>
        <v>1.4497162192049229</v>
      </c>
      <c r="BL276" s="460">
        <f t="shared" si="699"/>
        <v>1947.0382202813282</v>
      </c>
      <c r="BM276" s="173">
        <f t="shared" si="765"/>
        <v>0.52079999999999993</v>
      </c>
      <c r="BN276" s="173">
        <f t="shared" si="766"/>
        <v>3.7199999999999997E-2</v>
      </c>
      <c r="BQ276" s="460">
        <f t="shared" si="700"/>
        <v>557.99999999999989</v>
      </c>
      <c r="BR276" s="528">
        <f t="shared" si="701"/>
        <v>2.5669093953146475E-2</v>
      </c>
      <c r="BS276" s="528">
        <f t="shared" si="702"/>
        <v>2.7933712288850034E-2</v>
      </c>
      <c r="BT276" s="528">
        <f t="shared" si="703"/>
        <v>4.6682099699519295E-5</v>
      </c>
      <c r="BU276" s="528">
        <f t="shared" si="704"/>
        <v>1.7480596563070192</v>
      </c>
      <c r="BV276" s="528"/>
      <c r="BW276" s="625">
        <f t="shared" si="705"/>
        <v>0.61919999999999986</v>
      </c>
      <c r="BX276" s="460">
        <f t="shared" si="706"/>
        <v>2420.909144648715</v>
      </c>
      <c r="BY276" s="173">
        <f t="shared" si="707"/>
        <v>4.9259473649300434</v>
      </c>
      <c r="BZ276" s="5">
        <f t="shared" si="708"/>
        <v>15.479999999999999</v>
      </c>
      <c r="CA276" s="173">
        <f t="shared" si="709"/>
        <v>0.75860236837639561</v>
      </c>
      <c r="CB276" s="5">
        <f t="shared" si="710"/>
        <v>75.860236837639562</v>
      </c>
      <c r="CC276">
        <f t="shared" si="711"/>
        <v>60</v>
      </c>
      <c r="CE276" s="562">
        <f t="shared" si="767"/>
        <v>-50</v>
      </c>
      <c r="CG276" s="173">
        <f t="shared" si="768"/>
        <v>0.62718142918596365</v>
      </c>
      <c r="CH276" s="173">
        <f t="shared" si="769"/>
        <v>0.1715289123792012</v>
      </c>
      <c r="CI276" s="170">
        <v>60</v>
      </c>
      <c r="CJ276" s="217">
        <f t="shared" si="712"/>
        <v>0.6</v>
      </c>
      <c r="CK276" s="217">
        <f t="shared" si="654"/>
        <v>0.06</v>
      </c>
      <c r="CL276" s="217">
        <f t="shared" si="655"/>
        <v>14.399999999999999</v>
      </c>
      <c r="CM276" s="217">
        <f t="shared" si="656"/>
        <v>1.08</v>
      </c>
      <c r="CN276" s="541">
        <f t="shared" si="657"/>
        <v>36</v>
      </c>
      <c r="CO276" s="443">
        <f t="shared" si="770"/>
        <v>16.474900000000002</v>
      </c>
      <c r="CP276" s="443">
        <f t="shared" si="771"/>
        <v>52.474900000000005</v>
      </c>
      <c r="CQ276" s="443"/>
      <c r="CR276" s="217">
        <f t="shared" si="660"/>
        <v>0.31220924123305599</v>
      </c>
      <c r="CS276" s="172">
        <f t="shared" si="661"/>
        <v>58.085440229405762</v>
      </c>
      <c r="CT276" s="172">
        <f t="shared" si="662"/>
        <v>4.683138618495839</v>
      </c>
      <c r="CU276" s="217">
        <f t="shared" si="663"/>
        <v>2.4202266762252402</v>
      </c>
      <c r="CV276" s="217">
        <f t="shared" si="664"/>
        <v>3.2269689016336534</v>
      </c>
      <c r="CW276" s="217">
        <f t="shared" si="665"/>
        <v>24</v>
      </c>
      <c r="CX276" s="217">
        <f t="shared" si="666"/>
        <v>2.7545629226203223</v>
      </c>
      <c r="CY276" s="217">
        <f t="shared" si="667"/>
        <v>0.76515636739453408</v>
      </c>
      <c r="CZ276" s="217">
        <f t="shared" si="668"/>
        <v>1.6719755037179724</v>
      </c>
      <c r="DA276" s="197">
        <f t="shared" si="669"/>
        <v>350</v>
      </c>
      <c r="DB276" s="443">
        <f t="shared" si="670"/>
        <v>350</v>
      </c>
      <c r="DD276" s="217">
        <f t="shared" si="671"/>
        <v>3.2292794133140656</v>
      </c>
      <c r="DE276" s="173">
        <f t="shared" si="672"/>
        <v>1.9601207978889497</v>
      </c>
      <c r="DF276" s="173">
        <f t="shared" si="673"/>
        <v>0.6872960992823488</v>
      </c>
      <c r="DG276" s="173"/>
      <c r="DH276" s="173">
        <f t="shared" si="674"/>
        <v>1.3488532386977903</v>
      </c>
      <c r="DI276" s="545">
        <f t="shared" si="675"/>
        <v>600.20999999999981</v>
      </c>
      <c r="DJ276" s="528">
        <f t="shared" si="676"/>
        <v>0.34987754285999911</v>
      </c>
      <c r="DL276" s="173">
        <f t="shared" si="677"/>
        <v>2.9741745553538519</v>
      </c>
      <c r="DM276" s="173">
        <f t="shared" si="678"/>
        <v>2.9741745553538519</v>
      </c>
      <c r="DN276" s="173">
        <f t="shared" si="679"/>
        <v>1.7570017282456516</v>
      </c>
      <c r="DP276" s="545">
        <f t="shared" si="680"/>
        <v>600</v>
      </c>
      <c r="DQ276" s="460">
        <f t="shared" si="681"/>
        <v>350</v>
      </c>
      <c r="DS276">
        <f t="shared" si="682"/>
        <v>600</v>
      </c>
      <c r="DT276">
        <f t="shared" si="683"/>
        <v>350</v>
      </c>
      <c r="DV276" s="5">
        <f t="shared" si="684"/>
        <v>2.8571428571428572</v>
      </c>
      <c r="DW276" s="5">
        <f t="shared" si="685"/>
        <v>0.82615959870940336</v>
      </c>
      <c r="DX276" s="5">
        <f t="shared" si="686"/>
        <v>2.0309832584334537</v>
      </c>
      <c r="DY276" s="173">
        <f t="shared" si="687"/>
        <v>0.28915585954829115</v>
      </c>
      <c r="EA276" s="5">
        <f t="shared" si="713"/>
        <v>2.0653989967735082</v>
      </c>
      <c r="EB276" s="5">
        <f t="shared" si="714"/>
        <v>0.27538653290313447</v>
      </c>
      <c r="EC276" s="5">
        <f t="shared" si="715"/>
        <v>0.6769944194778178</v>
      </c>
      <c r="ED276" s="5"/>
      <c r="EE276" s="173">
        <f t="shared" si="716"/>
        <v>0.92336163330956311</v>
      </c>
      <c r="EF276" s="173">
        <f t="shared" si="717"/>
        <v>0.96564801993726412</v>
      </c>
      <c r="EG276" s="173">
        <f t="shared" si="718"/>
        <v>9.669529496939358E-2</v>
      </c>
      <c r="EH276" s="173"/>
      <c r="EI276" s="528">
        <f t="shared" si="719"/>
        <v>3.4103868234724166E-2</v>
      </c>
      <c r="EJ276" s="528">
        <f t="shared" si="720"/>
        <v>1.5021690566068517</v>
      </c>
      <c r="EK276" s="528">
        <f t="shared" si="721"/>
        <v>6.9999999999999993E-2</v>
      </c>
      <c r="EL276" s="528">
        <f t="shared" si="722"/>
        <v>0.16865892671311253</v>
      </c>
      <c r="EM276">
        <f t="shared" si="723"/>
        <v>1.6199999999999999E-2</v>
      </c>
      <c r="EN276" s="460">
        <f t="shared" si="724"/>
        <v>86.2</v>
      </c>
      <c r="EP276" s="460">
        <f t="shared" si="725"/>
        <v>1791.1318515546884</v>
      </c>
      <c r="EQ276" s="173">
        <f t="shared" si="726"/>
        <v>0.42</v>
      </c>
      <c r="ER276" s="173">
        <f t="shared" si="772"/>
        <v>3.7199999999999997E-2</v>
      </c>
      <c r="ES276" s="528"/>
      <c r="EU276" s="460">
        <f t="shared" si="727"/>
        <v>457.2</v>
      </c>
      <c r="EV276" s="528">
        <f t="shared" si="728"/>
        <v>2.5577901176043121E-2</v>
      </c>
      <c r="EW276" s="528">
        <f t="shared" si="729"/>
        <v>2.7974282952262765E-2</v>
      </c>
      <c r="EX276" s="528">
        <f t="shared" si="730"/>
        <v>4.6749900346090159E-5</v>
      </c>
      <c r="EY276" s="528">
        <f t="shared" si="731"/>
        <v>1.7480596563070192</v>
      </c>
      <c r="EZ276" s="528"/>
      <c r="FA276" s="625">
        <f t="shared" si="732"/>
        <v>0.61919999999999986</v>
      </c>
      <c r="FB276" s="460">
        <f t="shared" si="733"/>
        <v>2420.8585903356711</v>
      </c>
      <c r="FC276" s="173">
        <f t="shared" si="734"/>
        <v>4.6691904418903603</v>
      </c>
      <c r="FD276" s="5">
        <f t="shared" si="735"/>
        <v>15.479999999999999</v>
      </c>
      <c r="FE276" s="173">
        <f t="shared" si="736"/>
        <v>0.76826907982451398</v>
      </c>
      <c r="FF276" s="5">
        <f t="shared" si="737"/>
        <v>76.826907982451402</v>
      </c>
      <c r="FG276">
        <f t="shared" si="738"/>
        <v>60</v>
      </c>
      <c r="FI276" s="562">
        <f t="shared" si="689"/>
        <v>-50</v>
      </c>
    </row>
    <row r="277" spans="5:165">
      <c r="E277" s="170">
        <v>61</v>
      </c>
      <c r="F277" s="217">
        <f t="shared" si="773"/>
        <v>0.61</v>
      </c>
      <c r="G277" s="217">
        <f t="shared" si="742"/>
        <v>6.0999999999999999E-2</v>
      </c>
      <c r="H277" s="217">
        <f t="shared" si="743"/>
        <v>14.64</v>
      </c>
      <c r="I277" s="217">
        <f t="shared" si="744"/>
        <v>1.0979999999999999</v>
      </c>
      <c r="J277" s="541">
        <f t="shared" si="745"/>
        <v>35.871043957996093</v>
      </c>
      <c r="K277" s="443">
        <f t="shared" si="746"/>
        <v>16.49420165020814</v>
      </c>
      <c r="L277" s="172">
        <f t="shared" si="747"/>
        <v>52.365245608204233</v>
      </c>
      <c r="M277" s="443"/>
      <c r="N277" s="217">
        <f t="shared" si="748"/>
        <v>0.31498375417958396</v>
      </c>
      <c r="O277" s="172">
        <f t="shared" si="749"/>
        <v>58.391711070958614</v>
      </c>
      <c r="P277" s="172">
        <f t="shared" si="750"/>
        <v>4.7078317050960381</v>
      </c>
      <c r="Q277" s="217">
        <f t="shared" si="626"/>
        <v>2.4329879612899421</v>
      </c>
      <c r="R277" s="217">
        <f t="shared" si="751"/>
        <v>3.2439839483865898</v>
      </c>
      <c r="S277" s="217">
        <f t="shared" si="752"/>
        <v>24</v>
      </c>
      <c r="T277" s="217">
        <f t="shared" si="753"/>
        <v>2.7857835244627669</v>
      </c>
      <c r="U277" s="217">
        <f t="shared" si="630"/>
        <v>0.77661066338767148</v>
      </c>
      <c r="V277" s="217">
        <f t="shared" si="631"/>
        <v>1.6889471727948793</v>
      </c>
      <c r="W277" s="197">
        <f t="shared" si="632"/>
        <v>350</v>
      </c>
      <c r="X277" s="443">
        <f t="shared" si="691"/>
        <v>350</v>
      </c>
      <c r="Z277" s="217">
        <f t="shared" si="633"/>
        <v>3.2282274549229979</v>
      </c>
      <c r="AA277" s="173">
        <f t="shared" si="634"/>
        <v>1.9571892737726178</v>
      </c>
      <c r="AB277" s="173">
        <f t="shared" si="754"/>
        <v>0.68604463440361607</v>
      </c>
      <c r="AC277" s="173"/>
      <c r="AD277" s="173">
        <f t="shared" si="636"/>
        <v>1.3472747995621726</v>
      </c>
      <c r="AE277" s="545">
        <f t="shared" si="755"/>
        <v>610.92841344586498</v>
      </c>
      <c r="AF277" s="528">
        <f t="shared" si="756"/>
        <v>0.34946811328643251</v>
      </c>
      <c r="AH277" s="173">
        <f t="shared" si="757"/>
        <v>2.9988569250870998</v>
      </c>
      <c r="AI277" s="173">
        <f t="shared" si="758"/>
        <v>2.9988569250870998</v>
      </c>
      <c r="AJ277" s="173">
        <f t="shared" si="759"/>
        <v>1.7752849650850944</v>
      </c>
      <c r="AL277" s="545">
        <f t="shared" si="760"/>
        <v>610</v>
      </c>
      <c r="AM277" s="460">
        <f t="shared" si="761"/>
        <v>350</v>
      </c>
      <c r="AO277">
        <f t="shared" si="644"/>
        <v>610</v>
      </c>
      <c r="AP277">
        <f t="shared" si="645"/>
        <v>350</v>
      </c>
      <c r="AR277" s="5">
        <f t="shared" si="774"/>
        <v>2.8571428571428572</v>
      </c>
      <c r="AS277" s="5">
        <f t="shared" si="739"/>
        <v>0.83601049598630883</v>
      </c>
      <c r="AT277" s="5">
        <f t="shared" si="740"/>
        <v>2.0211323611565484</v>
      </c>
      <c r="AU277" s="173">
        <f t="shared" si="741"/>
        <v>0.29260367359520806</v>
      </c>
      <c r="BA277" s="173">
        <f t="shared" si="692"/>
        <v>0.93655870739043101</v>
      </c>
      <c r="BB277" s="173">
        <f t="shared" si="693"/>
        <v>0.97129768306615782</v>
      </c>
      <c r="BC277" s="173">
        <f t="shared" si="694"/>
        <v>9.7261024750273345E-2</v>
      </c>
      <c r="BD277" s="173"/>
      <c r="BE277" s="528">
        <f t="shared" si="695"/>
        <v>3.5085688495553401E-2</v>
      </c>
      <c r="BF277" s="528">
        <f t="shared" si="762"/>
        <v>1.2366575504801445</v>
      </c>
      <c r="BG277" s="528">
        <f t="shared" si="763"/>
        <v>0.50219461541194532</v>
      </c>
      <c r="BH277" s="528">
        <f t="shared" si="696"/>
        <v>0.1679547855409626</v>
      </c>
      <c r="BI277">
        <f t="shared" si="697"/>
        <v>1.6141969781098241E-2</v>
      </c>
      <c r="BJ277" s="460">
        <f t="shared" si="698"/>
        <v>518.33658519304356</v>
      </c>
      <c r="BK277">
        <f t="shared" si="764"/>
        <v>1.4613535289105224</v>
      </c>
      <c r="BL277" s="460">
        <f t="shared" si="699"/>
        <v>1958.0346097097042</v>
      </c>
      <c r="BM277" s="173">
        <f t="shared" si="765"/>
        <v>0.52947999999999995</v>
      </c>
      <c r="BN277" s="173">
        <f t="shared" si="766"/>
        <v>3.7819999999999999E-2</v>
      </c>
      <c r="BQ277" s="460">
        <f t="shared" si="700"/>
        <v>567.29999999999995</v>
      </c>
      <c r="BR277" s="528">
        <f t="shared" si="701"/>
        <v>2.6314266371665049E-2</v>
      </c>
      <c r="BS277" s="528">
        <f t="shared" si="702"/>
        <v>2.8302575673890589E-2</v>
      </c>
      <c r="BT277" s="528">
        <f t="shared" si="703"/>
        <v>4.7298534677366421E-5</v>
      </c>
      <c r="BU277" s="528">
        <f t="shared" si="704"/>
        <v>1.78455312261472</v>
      </c>
      <c r="BV277" s="528"/>
      <c r="BW277" s="625">
        <f t="shared" si="705"/>
        <v>0.62951999999999997</v>
      </c>
      <c r="BX277" s="460">
        <f t="shared" si="706"/>
        <v>2468.7372631949529</v>
      </c>
      <c r="BY277" s="173">
        <f t="shared" si="707"/>
        <v>4.9940718729046569</v>
      </c>
      <c r="BZ277" s="5">
        <f t="shared" si="708"/>
        <v>15.738</v>
      </c>
      <c r="CA277" s="173">
        <f t="shared" si="709"/>
        <v>0.75911371022056162</v>
      </c>
      <c r="CB277" s="5">
        <f t="shared" si="710"/>
        <v>75.911371022056159</v>
      </c>
      <c r="CC277">
        <f t="shared" si="711"/>
        <v>61</v>
      </c>
      <c r="CE277" s="562">
        <f t="shared" si="767"/>
        <v>-50</v>
      </c>
      <c r="CG277" s="173">
        <f t="shared" si="768"/>
        <v>0.63238634357040302</v>
      </c>
      <c r="CH277" s="173">
        <f t="shared" si="769"/>
        <v>0.17295241323851157</v>
      </c>
      <c r="CI277" s="170">
        <v>61</v>
      </c>
      <c r="CJ277" s="217">
        <f t="shared" si="712"/>
        <v>0.61</v>
      </c>
      <c r="CK277" s="217">
        <f t="shared" si="654"/>
        <v>6.0999999999999999E-2</v>
      </c>
      <c r="CL277" s="217">
        <f t="shared" si="655"/>
        <v>14.64</v>
      </c>
      <c r="CM277" s="217">
        <f t="shared" si="656"/>
        <v>1.0979999999999999</v>
      </c>
      <c r="CN277" s="541">
        <f t="shared" si="657"/>
        <v>36</v>
      </c>
      <c r="CO277" s="443">
        <f t="shared" si="770"/>
        <v>16.474900000000002</v>
      </c>
      <c r="CP277" s="443">
        <f t="shared" si="771"/>
        <v>52.474900000000005</v>
      </c>
      <c r="CQ277" s="443"/>
      <c r="CR277" s="217">
        <f t="shared" si="660"/>
        <v>0.31220924123305599</v>
      </c>
      <c r="CS277" s="172">
        <f t="shared" si="661"/>
        <v>58.085440229405762</v>
      </c>
      <c r="CT277" s="172">
        <f t="shared" si="662"/>
        <v>4.683138618495839</v>
      </c>
      <c r="CU277" s="217">
        <f t="shared" si="663"/>
        <v>2.4202266762252402</v>
      </c>
      <c r="CV277" s="217">
        <f t="shared" si="664"/>
        <v>3.2269689016336534</v>
      </c>
      <c r="CW277" s="217">
        <f t="shared" si="665"/>
        <v>24</v>
      </c>
      <c r="CX277" s="217">
        <f t="shared" si="666"/>
        <v>2.8004723046639945</v>
      </c>
      <c r="CY277" s="217">
        <f t="shared" si="667"/>
        <v>0.77790897351777633</v>
      </c>
      <c r="CZ277" s="217">
        <f t="shared" si="668"/>
        <v>1.699841762113272</v>
      </c>
      <c r="DA277" s="197">
        <f t="shared" si="669"/>
        <v>350</v>
      </c>
      <c r="DB277" s="443">
        <f t="shared" si="670"/>
        <v>350</v>
      </c>
      <c r="DD277" s="217">
        <f t="shared" si="671"/>
        <v>3.2292794133140656</v>
      </c>
      <c r="DE277" s="173">
        <f t="shared" si="672"/>
        <v>1.9601207978889497</v>
      </c>
      <c r="DF277" s="173">
        <f t="shared" si="673"/>
        <v>0.6872960992823488</v>
      </c>
      <c r="DG277" s="173"/>
      <c r="DH277" s="173">
        <f t="shared" si="674"/>
        <v>1.3488532386977903</v>
      </c>
      <c r="DI277" s="545">
        <f t="shared" si="675"/>
        <v>610.21349999999973</v>
      </c>
      <c r="DJ277" s="528">
        <f t="shared" si="676"/>
        <v>0.34987754285999911</v>
      </c>
      <c r="DL277" s="173">
        <f t="shared" si="677"/>
        <v>2.9988569250870998</v>
      </c>
      <c r="DM277" s="173">
        <f t="shared" si="678"/>
        <v>2.9988569250870998</v>
      </c>
      <c r="DN277" s="173">
        <f t="shared" si="679"/>
        <v>1.7752849650850944</v>
      </c>
      <c r="DP277" s="545">
        <f t="shared" si="680"/>
        <v>610</v>
      </c>
      <c r="DQ277" s="460">
        <f t="shared" si="681"/>
        <v>350</v>
      </c>
      <c r="DS277">
        <f t="shared" si="682"/>
        <v>610</v>
      </c>
      <c r="DT277">
        <f t="shared" si="683"/>
        <v>350</v>
      </c>
      <c r="DV277" s="5">
        <f t="shared" si="684"/>
        <v>2.8571428571428572</v>
      </c>
      <c r="DW277" s="5">
        <f t="shared" si="685"/>
        <v>0.83301581252419443</v>
      </c>
      <c r="DX277" s="5">
        <f t="shared" si="686"/>
        <v>2.0241270446186626</v>
      </c>
      <c r="DY277" s="173">
        <f t="shared" si="687"/>
        <v>0.29155553438346804</v>
      </c>
      <c r="EA277" s="5">
        <f t="shared" si="713"/>
        <v>2.117248523498994</v>
      </c>
      <c r="EB277" s="5">
        <f t="shared" si="714"/>
        <v>0.28229980313319925</v>
      </c>
      <c r="EC277" s="5">
        <f t="shared" si="715"/>
        <v>0.6859541651207689</v>
      </c>
      <c r="ED277" s="5"/>
      <c r="EE277" s="173">
        <f t="shared" si="716"/>
        <v>0.93487977328658933</v>
      </c>
      <c r="EF277" s="173">
        <f t="shared" si="717"/>
        <v>0.97201699579051448</v>
      </c>
      <c r="EG277" s="173">
        <f t="shared" si="718"/>
        <v>9.7333053227131219E-2</v>
      </c>
      <c r="EH277" s="173"/>
      <c r="EI277" s="528">
        <f t="shared" si="719"/>
        <v>3.4960007620015388E-2</v>
      </c>
      <c r="EJ277" s="528">
        <f t="shared" si="720"/>
        <v>1.5146354036106859</v>
      </c>
      <c r="EK277" s="528">
        <f t="shared" si="721"/>
        <v>6.9999999999999993E-2</v>
      </c>
      <c r="EL277" s="528">
        <f t="shared" si="722"/>
        <v>0.16865892671311253</v>
      </c>
      <c r="EM277">
        <f t="shared" si="723"/>
        <v>1.6199999999999999E-2</v>
      </c>
      <c r="EN277" s="460">
        <f t="shared" si="724"/>
        <v>86.2</v>
      </c>
      <c r="EP277" s="460">
        <f t="shared" si="725"/>
        <v>1804.4543379438139</v>
      </c>
      <c r="EQ277" s="173">
        <f t="shared" si="726"/>
        <v>0.42699999999999999</v>
      </c>
      <c r="ER277" s="173">
        <f t="shared" si="772"/>
        <v>3.7819999999999999E-2</v>
      </c>
      <c r="ES277" s="528"/>
      <c r="EU277" s="460">
        <f t="shared" si="727"/>
        <v>464.82</v>
      </c>
      <c r="EV277" s="528">
        <f t="shared" si="728"/>
        <v>2.6220005715011541E-2</v>
      </c>
      <c r="EW277" s="528">
        <f t="shared" si="729"/>
        <v>2.8344511203168513E-2</v>
      </c>
      <c r="EX277" s="528">
        <f t="shared" si="730"/>
        <v>4.7368616252577801E-5</v>
      </c>
      <c r="EY277" s="528">
        <f t="shared" si="731"/>
        <v>1.78455312261472</v>
      </c>
      <c r="EZ277" s="528"/>
      <c r="FA277" s="625">
        <f t="shared" si="732"/>
        <v>0.62951999999999997</v>
      </c>
      <c r="FB277" s="460">
        <f t="shared" si="733"/>
        <v>2468.6850081491525</v>
      </c>
      <c r="FC277" s="173">
        <f t="shared" si="734"/>
        <v>4.7379593460929668</v>
      </c>
      <c r="FD277" s="5">
        <f t="shared" si="735"/>
        <v>15.738</v>
      </c>
      <c r="FE277" s="173">
        <f t="shared" si="736"/>
        <v>0.76860867586177239</v>
      </c>
      <c r="FF277" s="5">
        <f t="shared" si="737"/>
        <v>76.860867586177235</v>
      </c>
      <c r="FG277">
        <f t="shared" si="738"/>
        <v>61</v>
      </c>
      <c r="FI277" s="562">
        <f t="shared" si="689"/>
        <v>-50</v>
      </c>
    </row>
    <row r="278" spans="5:165">
      <c r="E278" s="170">
        <v>62</v>
      </c>
      <c r="F278" s="217">
        <f t="shared" si="773"/>
        <v>0.62</v>
      </c>
      <c r="G278" s="217">
        <f t="shared" si="742"/>
        <v>6.2E-2</v>
      </c>
      <c r="H278" s="217">
        <f t="shared" si="743"/>
        <v>14.879999999999999</v>
      </c>
      <c r="I278" s="217">
        <f t="shared" si="744"/>
        <v>1.1160000000000001</v>
      </c>
      <c r="J278" s="541">
        <f t="shared" si="745"/>
        <v>35.869991238145367</v>
      </c>
      <c r="K278" s="443">
        <f t="shared" si="746"/>
        <v>16.494359217314031</v>
      </c>
      <c r="L278" s="172">
        <f t="shared" si="747"/>
        <v>52.364350455459402</v>
      </c>
      <c r="M278" s="443"/>
      <c r="N278" s="217">
        <f t="shared" si="748"/>
        <v>0.3149921477846645</v>
      </c>
      <c r="O278" s="172">
        <f t="shared" si="749"/>
        <v>58.391553390803644</v>
      </c>
      <c r="P278" s="172">
        <f t="shared" si="750"/>
        <v>4.7078189921335438</v>
      </c>
      <c r="Q278" s="217">
        <f t="shared" si="626"/>
        <v>2.432981391283485</v>
      </c>
      <c r="R278" s="217">
        <f t="shared" si="751"/>
        <v>3.2439751883779802</v>
      </c>
      <c r="S278" s="217">
        <f t="shared" si="752"/>
        <v>24</v>
      </c>
      <c r="T278" s="217">
        <f t="shared" si="753"/>
        <v>2.8314597528650851</v>
      </c>
      <c r="U278" s="217">
        <f t="shared" si="630"/>
        <v>0.78936728310488546</v>
      </c>
      <c r="V278" s="217">
        <f t="shared" si="631"/>
        <v>1.7166230682625845</v>
      </c>
      <c r="W278" s="197">
        <f t="shared" si="632"/>
        <v>350</v>
      </c>
      <c r="X278" s="443">
        <f t="shared" si="691"/>
        <v>350</v>
      </c>
      <c r="Z278" s="217">
        <f t="shared" si="633"/>
        <v>3.2282187374630014</v>
      </c>
      <c r="AA278" s="173">
        <f t="shared" si="634"/>
        <v>1.9571652920438152</v>
      </c>
      <c r="AB278" s="173">
        <f t="shared" si="754"/>
        <v>0.68603437563496039</v>
      </c>
      <c r="AC278" s="173"/>
      <c r="AD278" s="173">
        <f t="shared" si="636"/>
        <v>1.3472619293325254</v>
      </c>
      <c r="AE278" s="545">
        <f t="shared" si="755"/>
        <v>620.94956513756392</v>
      </c>
      <c r="AF278" s="528">
        <f t="shared" si="756"/>
        <v>0.34946477489186456</v>
      </c>
      <c r="AH278" s="173">
        <f t="shared" si="757"/>
        <v>3.0233377959750753</v>
      </c>
      <c r="AI278" s="173">
        <f t="shared" si="758"/>
        <v>3.0233377959750753</v>
      </c>
      <c r="AJ278" s="173">
        <f t="shared" si="759"/>
        <v>1.7934189435206318</v>
      </c>
      <c r="AL278" s="545">
        <f t="shared" si="760"/>
        <v>620</v>
      </c>
      <c r="AM278" s="460">
        <f t="shared" si="761"/>
        <v>350</v>
      </c>
      <c r="AO278">
        <f t="shared" si="644"/>
        <v>620</v>
      </c>
      <c r="AP278">
        <f t="shared" si="645"/>
        <v>350</v>
      </c>
      <c r="AR278" s="5">
        <f t="shared" si="774"/>
        <v>2.8571428571428572</v>
      </c>
      <c r="AS278" s="5">
        <f t="shared" si="739"/>
        <v>0.84285992040052571</v>
      </c>
      <c r="AT278" s="5">
        <f t="shared" si="740"/>
        <v>2.0142829367423314</v>
      </c>
      <c r="AU278" s="173">
        <f t="shared" si="741"/>
        <v>0.295000972140184</v>
      </c>
      <c r="BA278" s="173">
        <f t="shared" si="692"/>
        <v>0.94806424841100323</v>
      </c>
      <c r="BB278" s="173">
        <f t="shared" si="693"/>
        <v>0.97756611417758554</v>
      </c>
      <c r="BC278" s="173">
        <f t="shared" si="694"/>
        <v>9.7888714946701469E-2</v>
      </c>
      <c r="BD278" s="173"/>
      <c r="BE278" s="528">
        <f t="shared" si="695"/>
        <v>3.595303276460482E-2</v>
      </c>
      <c r="BF278" s="528">
        <f t="shared" si="762"/>
        <v>1.2467315691626912</v>
      </c>
      <c r="BG278" s="528">
        <f t="shared" si="763"/>
        <v>0.50217987733403513</v>
      </c>
      <c r="BH278" s="528">
        <f t="shared" si="696"/>
        <v>0.16794904341560798</v>
      </c>
      <c r="BI278">
        <f t="shared" si="697"/>
        <v>1.6141496057165416E-2</v>
      </c>
      <c r="BJ278" s="460">
        <f t="shared" si="698"/>
        <v>518.3213733912005</v>
      </c>
      <c r="BK278">
        <f t="shared" si="764"/>
        <v>1.4729233241721571</v>
      </c>
      <c r="BL278" s="460">
        <f t="shared" si="699"/>
        <v>1968.9550187341047</v>
      </c>
      <c r="BM278" s="173">
        <f t="shared" si="765"/>
        <v>0.53815999999999997</v>
      </c>
      <c r="BN278" s="173">
        <f t="shared" si="766"/>
        <v>3.8440000000000002E-2</v>
      </c>
      <c r="BQ278" s="460">
        <f t="shared" si="700"/>
        <v>576.6</v>
      </c>
      <c r="BR278" s="528">
        <f t="shared" si="701"/>
        <v>2.6964774573453615E-2</v>
      </c>
      <c r="BS278" s="528">
        <f t="shared" si="702"/>
        <v>2.8669065227647925E-2</v>
      </c>
      <c r="BT278" s="528">
        <f t="shared" si="703"/>
        <v>4.7911002569582875E-5</v>
      </c>
      <c r="BU278" s="528">
        <f t="shared" si="704"/>
        <v>1.8211964650967161</v>
      </c>
      <c r="BV278" s="528"/>
      <c r="BW278" s="625">
        <f t="shared" si="705"/>
        <v>0.63983999999999996</v>
      </c>
      <c r="BX278" s="460">
        <f t="shared" si="706"/>
        <v>2516.7182159003873</v>
      </c>
      <c r="BY278" s="173">
        <f t="shared" si="707"/>
        <v>5.0622732346344925</v>
      </c>
      <c r="BZ278" s="5">
        <f t="shared" si="708"/>
        <v>15.995999999999999</v>
      </c>
      <c r="CA278" s="173">
        <f t="shared" si="709"/>
        <v>0.7596064416949162</v>
      </c>
      <c r="CB278" s="5">
        <f t="shared" si="710"/>
        <v>75.960644169491616</v>
      </c>
      <c r="CC278">
        <f t="shared" si="711"/>
        <v>62</v>
      </c>
      <c r="CE278" s="562">
        <f t="shared" si="767"/>
        <v>-50</v>
      </c>
      <c r="CG278" s="173">
        <f t="shared" si="768"/>
        <v>0.63754876672529104</v>
      </c>
      <c r="CH278" s="173">
        <f t="shared" si="769"/>
        <v>0.1743642930994132</v>
      </c>
      <c r="CI278" s="170">
        <v>62</v>
      </c>
      <c r="CJ278" s="217">
        <f t="shared" si="712"/>
        <v>0.62</v>
      </c>
      <c r="CK278" s="217">
        <f t="shared" si="654"/>
        <v>6.2E-2</v>
      </c>
      <c r="CL278" s="217">
        <f t="shared" si="655"/>
        <v>14.879999999999999</v>
      </c>
      <c r="CM278" s="217">
        <f t="shared" si="656"/>
        <v>1.1160000000000001</v>
      </c>
      <c r="CN278" s="541">
        <f t="shared" si="657"/>
        <v>36</v>
      </c>
      <c r="CO278" s="443">
        <f t="shared" si="770"/>
        <v>16.474900000000002</v>
      </c>
      <c r="CP278" s="443">
        <f t="shared" si="771"/>
        <v>52.474900000000005</v>
      </c>
      <c r="CQ278" s="443"/>
      <c r="CR278" s="217">
        <f t="shared" si="660"/>
        <v>0.31220924123305599</v>
      </c>
      <c r="CS278" s="172">
        <f t="shared" si="661"/>
        <v>58.085440229405762</v>
      </c>
      <c r="CT278" s="172">
        <f t="shared" si="662"/>
        <v>4.683138618495839</v>
      </c>
      <c r="CU278" s="217">
        <f t="shared" si="663"/>
        <v>2.4202266762252402</v>
      </c>
      <c r="CV278" s="217">
        <f t="shared" si="664"/>
        <v>3.2269689016336534</v>
      </c>
      <c r="CW278" s="217">
        <f t="shared" si="665"/>
        <v>24</v>
      </c>
      <c r="CX278" s="217">
        <f t="shared" si="666"/>
        <v>2.8463816867076663</v>
      </c>
      <c r="CY278" s="217">
        <f t="shared" si="667"/>
        <v>0.79066157964101846</v>
      </c>
      <c r="CZ278" s="217">
        <f t="shared" si="668"/>
        <v>1.7277080205085713</v>
      </c>
      <c r="DA278" s="197">
        <f t="shared" si="669"/>
        <v>350</v>
      </c>
      <c r="DB278" s="443">
        <f t="shared" si="670"/>
        <v>350</v>
      </c>
      <c r="DD278" s="217">
        <f t="shared" si="671"/>
        <v>3.2292794133140656</v>
      </c>
      <c r="DE278" s="173">
        <f t="shared" si="672"/>
        <v>1.9601207978889497</v>
      </c>
      <c r="DF278" s="173">
        <f t="shared" si="673"/>
        <v>0.6872960992823488</v>
      </c>
      <c r="DG278" s="173"/>
      <c r="DH278" s="173">
        <f t="shared" si="674"/>
        <v>1.3488532386977903</v>
      </c>
      <c r="DI278" s="545">
        <f t="shared" si="675"/>
        <v>620.21699999999976</v>
      </c>
      <c r="DJ278" s="528">
        <f t="shared" si="676"/>
        <v>0.34987754285999911</v>
      </c>
      <c r="DL278" s="173">
        <f t="shared" si="677"/>
        <v>3.0233377959750753</v>
      </c>
      <c r="DM278" s="173">
        <f t="shared" si="678"/>
        <v>3.0233377959750753</v>
      </c>
      <c r="DN278" s="173">
        <f t="shared" si="679"/>
        <v>1.7934189435206318</v>
      </c>
      <c r="DP278" s="545">
        <f t="shared" si="680"/>
        <v>620</v>
      </c>
      <c r="DQ278" s="460">
        <f t="shared" si="681"/>
        <v>350</v>
      </c>
      <c r="DS278">
        <f t="shared" si="682"/>
        <v>620</v>
      </c>
      <c r="DT278">
        <f t="shared" si="683"/>
        <v>350</v>
      </c>
      <c r="DV278" s="5">
        <f t="shared" si="684"/>
        <v>2.8571428571428572</v>
      </c>
      <c r="DW278" s="5">
        <f t="shared" si="685"/>
        <v>0.83981605443752094</v>
      </c>
      <c r="DX278" s="5">
        <f t="shared" si="686"/>
        <v>2.0173268027053362</v>
      </c>
      <c r="DY278" s="173">
        <f t="shared" si="687"/>
        <v>0.29393561905313231</v>
      </c>
      <c r="EA278" s="5">
        <f t="shared" si="713"/>
        <v>2.1695248072969293</v>
      </c>
      <c r="EB278" s="5">
        <f t="shared" si="714"/>
        <v>0.28926997430625723</v>
      </c>
      <c r="EC278" s="5">
        <f t="shared" si="715"/>
        <v>0.69485700982072685</v>
      </c>
      <c r="ED278" s="5"/>
      <c r="EE278" s="173">
        <f t="shared" si="716"/>
        <v>0.94635080200323807</v>
      </c>
      <c r="EF278" s="173">
        <f t="shared" si="717"/>
        <v>0.97830445557078216</v>
      </c>
      <c r="EG278" s="173">
        <f t="shared" si="718"/>
        <v>9.7962648861885063E-2</v>
      </c>
      <c r="EH278" s="173"/>
      <c r="EI278" s="528">
        <f t="shared" si="719"/>
        <v>3.5823193618086877E-2</v>
      </c>
      <c r="EJ278" s="528">
        <f t="shared" si="720"/>
        <v>1.5269999794088704</v>
      </c>
      <c r="EK278" s="528">
        <f t="shared" si="721"/>
        <v>6.9999999999999993E-2</v>
      </c>
      <c r="EL278" s="528">
        <f t="shared" si="722"/>
        <v>0.16865892671311253</v>
      </c>
      <c r="EM278">
        <f t="shared" si="723"/>
        <v>1.6199999999999999E-2</v>
      </c>
      <c r="EN278" s="460">
        <f t="shared" si="724"/>
        <v>86.2</v>
      </c>
      <c r="EP278" s="460">
        <f t="shared" si="725"/>
        <v>1817.6820997400698</v>
      </c>
      <c r="EQ278" s="173">
        <f t="shared" si="726"/>
        <v>0.434</v>
      </c>
      <c r="ER278" s="173">
        <f t="shared" si="772"/>
        <v>3.8440000000000002E-2</v>
      </c>
      <c r="ES278" s="528"/>
      <c r="EU278" s="460">
        <f t="shared" si="727"/>
        <v>472.44</v>
      </c>
      <c r="EV278" s="528">
        <f t="shared" si="728"/>
        <v>2.6867395213565154E-2</v>
      </c>
      <c r="EW278" s="528">
        <f t="shared" si="729"/>
        <v>2.8712388233689334E-2</v>
      </c>
      <c r="EX278" s="528">
        <f t="shared" si="730"/>
        <v>4.7983402860184954E-5</v>
      </c>
      <c r="EY278" s="528">
        <f t="shared" si="731"/>
        <v>1.8211964650967161</v>
      </c>
      <c r="EZ278" s="528"/>
      <c r="FA278" s="625">
        <f t="shared" si="732"/>
        <v>0.63983999999999996</v>
      </c>
      <c r="FB278" s="460">
        <f t="shared" si="733"/>
        <v>2516.6642319468306</v>
      </c>
      <c r="FC278" s="173">
        <f t="shared" si="734"/>
        <v>4.8067863316869008</v>
      </c>
      <c r="FD278" s="5">
        <f t="shared" si="735"/>
        <v>15.995999999999999</v>
      </c>
      <c r="FE278" s="173">
        <f t="shared" si="736"/>
        <v>0.76893545628716176</v>
      </c>
      <c r="FF278" s="5">
        <f t="shared" si="737"/>
        <v>76.893545628716168</v>
      </c>
      <c r="FG278">
        <f t="shared" si="738"/>
        <v>62</v>
      </c>
      <c r="FI278" s="562">
        <f t="shared" si="689"/>
        <v>-50</v>
      </c>
    </row>
    <row r="279" spans="5:165">
      <c r="E279" s="170">
        <v>63</v>
      </c>
      <c r="F279" s="217">
        <f t="shared" si="773"/>
        <v>0.63</v>
      </c>
      <c r="G279" s="217">
        <f t="shared" si="742"/>
        <v>6.3E-2</v>
      </c>
      <c r="H279" s="217">
        <f t="shared" si="743"/>
        <v>15.120000000000001</v>
      </c>
      <c r="I279" s="217">
        <f t="shared" si="744"/>
        <v>1.1339999999999999</v>
      </c>
      <c r="J279" s="541">
        <f t="shared" si="745"/>
        <v>35.868946974286608</v>
      </c>
      <c r="K279" s="443">
        <f t="shared" si="746"/>
        <v>16.494515518759187</v>
      </c>
      <c r="L279" s="172">
        <f t="shared" si="747"/>
        <v>52.363462493045795</v>
      </c>
      <c r="M279" s="443"/>
      <c r="N279" s="217">
        <f t="shared" si="748"/>
        <v>0.31500047425148336</v>
      </c>
      <c r="O279" s="172">
        <f t="shared" si="749"/>
        <v>58.391396939543107</v>
      </c>
      <c r="P279" s="172">
        <f t="shared" si="750"/>
        <v>4.7078063782506625</v>
      </c>
      <c r="Q279" s="217">
        <f t="shared" si="626"/>
        <v>2.4329748724809628</v>
      </c>
      <c r="R279" s="217">
        <f t="shared" si="751"/>
        <v>3.2439664966412836</v>
      </c>
      <c r="S279" s="217">
        <f t="shared" si="752"/>
        <v>24</v>
      </c>
      <c r="T279" s="217">
        <f t="shared" si="753"/>
        <v>2.8771361674039539</v>
      </c>
      <c r="U279" s="217">
        <f t="shared" si="630"/>
        <v>0.80212451440698518</v>
      </c>
      <c r="V279" s="217">
        <f t="shared" si="631"/>
        <v>1.7442986816628787</v>
      </c>
      <c r="W279" s="197">
        <f t="shared" si="632"/>
        <v>350</v>
      </c>
      <c r="X279" s="443">
        <f t="shared" si="691"/>
        <v>350</v>
      </c>
      <c r="Z279" s="217">
        <f t="shared" si="633"/>
        <v>3.2282100879433111</v>
      </c>
      <c r="AA279" s="173">
        <f t="shared" si="634"/>
        <v>1.9571415021386189</v>
      </c>
      <c r="AB279" s="173">
        <f t="shared" si="754"/>
        <v>0.68602419858833319</v>
      </c>
      <c r="AC279" s="173"/>
      <c r="AD279" s="173">
        <f t="shared" si="636"/>
        <v>1.3472491627261758</v>
      </c>
      <c r="AE279" s="545">
        <f t="shared" si="755"/>
        <v>630.97085976182984</v>
      </c>
      <c r="AF279" s="528">
        <f t="shared" si="756"/>
        <v>0.34946146337602857</v>
      </c>
      <c r="AH279" s="173">
        <f t="shared" si="757"/>
        <v>3.0476220238080707</v>
      </c>
      <c r="AI279" s="173">
        <f t="shared" si="758"/>
        <v>3.0476220238080707</v>
      </c>
      <c r="AJ279" s="173">
        <f t="shared" si="759"/>
        <v>1.8114072604339617</v>
      </c>
      <c r="AL279" s="545">
        <f t="shared" si="760"/>
        <v>630</v>
      </c>
      <c r="AM279" s="460">
        <f t="shared" si="761"/>
        <v>350</v>
      </c>
      <c r="AO279">
        <f t="shared" si="644"/>
        <v>630</v>
      </c>
      <c r="AP279">
        <f t="shared" si="645"/>
        <v>350</v>
      </c>
      <c r="AR279" s="5">
        <f t="shared" si="774"/>
        <v>2.8571428571428572</v>
      </c>
      <c r="AS279" s="5">
        <f t="shared" si="739"/>
        <v>0.8496547239016583</v>
      </c>
      <c r="AT279" s="5">
        <f t="shared" si="740"/>
        <v>2.0074881332411989</v>
      </c>
      <c r="AU279" s="173">
        <f t="shared" si="741"/>
        <v>0.29737915336558041</v>
      </c>
      <c r="BA279" s="173">
        <f t="shared" si="692"/>
        <v>0.95952376667794792</v>
      </c>
      <c r="BB279" s="173">
        <f t="shared" si="693"/>
        <v>0.98375471178312623</v>
      </c>
      <c r="BC279" s="173">
        <f t="shared" si="694"/>
        <v>9.850841100422926E-2</v>
      </c>
      <c r="BD279" s="173"/>
      <c r="BE279" s="528">
        <f t="shared" si="695"/>
        <v>3.6827434352793481E-2</v>
      </c>
      <c r="BF279" s="528">
        <f t="shared" si="762"/>
        <v>1.2567243271011521</v>
      </c>
      <c r="BG279" s="528">
        <f t="shared" si="763"/>
        <v>0.50216525764001241</v>
      </c>
      <c r="BH279" s="528">
        <f t="shared" si="696"/>
        <v>0.16794334751096257</v>
      </c>
      <c r="BI279">
        <f t="shared" si="697"/>
        <v>1.6141026138428972E-2</v>
      </c>
      <c r="BJ279" s="460">
        <f t="shared" si="698"/>
        <v>518.3062837784413</v>
      </c>
      <c r="BK279">
        <f t="shared" si="764"/>
        <v>1.4844275518324233</v>
      </c>
      <c r="BL279" s="460">
        <f t="shared" si="699"/>
        <v>1979.8013927433497</v>
      </c>
      <c r="BM279" s="173">
        <f t="shared" si="765"/>
        <v>0.54683999999999988</v>
      </c>
      <c r="BN279" s="173">
        <f t="shared" si="766"/>
        <v>3.9059999999999997E-2</v>
      </c>
      <c r="BQ279" s="460">
        <f t="shared" si="700"/>
        <v>585.89999999999986</v>
      </c>
      <c r="BR279" s="528">
        <f t="shared" si="701"/>
        <v>2.7620575764595107E-2</v>
      </c>
      <c r="BS279" s="528">
        <f t="shared" si="702"/>
        <v>2.9033199988665052E-2</v>
      </c>
      <c r="BT279" s="528">
        <f t="shared" si="703"/>
        <v>4.8519535192890779E-5</v>
      </c>
      <c r="BU279" s="528">
        <f t="shared" si="704"/>
        <v>1.8579878669154244</v>
      </c>
      <c r="BV279" s="528"/>
      <c r="BW279" s="625">
        <f t="shared" si="705"/>
        <v>0.65016000000000007</v>
      </c>
      <c r="BX279" s="460">
        <f t="shared" si="706"/>
        <v>2564.8501622038775</v>
      </c>
      <c r="BY279" s="173">
        <f t="shared" si="707"/>
        <v>5.1305515549472265</v>
      </c>
      <c r="BZ279" s="5">
        <f t="shared" si="708"/>
        <v>16.254000000000001</v>
      </c>
      <c r="CA279" s="173">
        <f t="shared" si="709"/>
        <v>0.76008140541248359</v>
      </c>
      <c r="CB279" s="5">
        <f t="shared" si="710"/>
        <v>76.008140541248366</v>
      </c>
      <c r="CC279">
        <f t="shared" si="711"/>
        <v>63</v>
      </c>
      <c r="CE279" s="562">
        <f t="shared" si="767"/>
        <v>-50</v>
      </c>
      <c r="CG279" s="173">
        <f t="shared" si="768"/>
        <v>0.64266972261927469</v>
      </c>
      <c r="CH279" s="173">
        <f t="shared" si="769"/>
        <v>0.17576483200882725</v>
      </c>
      <c r="CI279" s="170">
        <v>63</v>
      </c>
      <c r="CJ279" s="217">
        <f t="shared" si="712"/>
        <v>0.63</v>
      </c>
      <c r="CK279" s="217">
        <f t="shared" si="654"/>
        <v>6.3E-2</v>
      </c>
      <c r="CL279" s="217">
        <f t="shared" si="655"/>
        <v>15.120000000000001</v>
      </c>
      <c r="CM279" s="217">
        <f t="shared" si="656"/>
        <v>1.1339999999999999</v>
      </c>
      <c r="CN279" s="541">
        <f t="shared" si="657"/>
        <v>36</v>
      </c>
      <c r="CO279" s="443">
        <f t="shared" si="770"/>
        <v>16.474900000000002</v>
      </c>
      <c r="CP279" s="443">
        <f t="shared" si="771"/>
        <v>52.474900000000005</v>
      </c>
      <c r="CQ279" s="443"/>
      <c r="CR279" s="217">
        <f t="shared" si="660"/>
        <v>0.31220924123305599</v>
      </c>
      <c r="CS279" s="172">
        <f t="shared" si="661"/>
        <v>58.085440229405762</v>
      </c>
      <c r="CT279" s="172">
        <f t="shared" si="662"/>
        <v>4.683138618495839</v>
      </c>
      <c r="CU279" s="217">
        <f t="shared" si="663"/>
        <v>2.4202266762252402</v>
      </c>
      <c r="CV279" s="217">
        <f t="shared" si="664"/>
        <v>3.2269689016336534</v>
      </c>
      <c r="CW279" s="217">
        <f t="shared" si="665"/>
        <v>24</v>
      </c>
      <c r="CX279" s="217">
        <f t="shared" si="666"/>
        <v>2.892291068751339</v>
      </c>
      <c r="CY279" s="217">
        <f t="shared" si="667"/>
        <v>0.80341418576426094</v>
      </c>
      <c r="CZ279" s="217">
        <f t="shared" si="668"/>
        <v>1.7555742789038713</v>
      </c>
      <c r="DA279" s="197">
        <f t="shared" si="669"/>
        <v>350</v>
      </c>
      <c r="DB279" s="443">
        <f t="shared" si="670"/>
        <v>350</v>
      </c>
      <c r="DD279" s="217">
        <f t="shared" si="671"/>
        <v>3.2292794133140656</v>
      </c>
      <c r="DE279" s="173">
        <f t="shared" si="672"/>
        <v>1.9601207978889497</v>
      </c>
      <c r="DF279" s="173">
        <f t="shared" si="673"/>
        <v>0.6872960992823488</v>
      </c>
      <c r="DG279" s="173"/>
      <c r="DH279" s="173">
        <f t="shared" si="674"/>
        <v>1.3488532386977903</v>
      </c>
      <c r="DI279" s="545">
        <f t="shared" si="675"/>
        <v>630.22049999999979</v>
      </c>
      <c r="DJ279" s="528">
        <f t="shared" si="676"/>
        <v>0.34987754285999911</v>
      </c>
      <c r="DL279" s="173">
        <f t="shared" si="677"/>
        <v>3.0476220238080707</v>
      </c>
      <c r="DM279" s="173">
        <f t="shared" si="678"/>
        <v>3.0476220238080707</v>
      </c>
      <c r="DN279" s="173">
        <f t="shared" si="679"/>
        <v>1.8114072604339617</v>
      </c>
      <c r="DP279" s="545">
        <f t="shared" si="680"/>
        <v>630</v>
      </c>
      <c r="DQ279" s="460">
        <f t="shared" si="681"/>
        <v>350</v>
      </c>
      <c r="DS279">
        <f t="shared" si="682"/>
        <v>630</v>
      </c>
      <c r="DT279">
        <f t="shared" si="683"/>
        <v>350</v>
      </c>
      <c r="DV279" s="5">
        <f t="shared" si="684"/>
        <v>2.8571428571428572</v>
      </c>
      <c r="DW279" s="5">
        <f t="shared" si="685"/>
        <v>0.84656167328001974</v>
      </c>
      <c r="DX279" s="5">
        <f t="shared" si="686"/>
        <v>2.0105811838628376</v>
      </c>
      <c r="DY279" s="173">
        <f t="shared" si="687"/>
        <v>0.29629658564800693</v>
      </c>
      <c r="EA279" s="5">
        <f t="shared" si="713"/>
        <v>2.2222243923600518</v>
      </c>
      <c r="EB279" s="5">
        <f t="shared" si="714"/>
        <v>0.29629658564800693</v>
      </c>
      <c r="EC279" s="5">
        <f t="shared" si="715"/>
        <v>0.70370341435199313</v>
      </c>
      <c r="ED279" s="5"/>
      <c r="EE279" s="173">
        <f t="shared" si="716"/>
        <v>0.95777566745362108</v>
      </c>
      <c r="EF279" s="173">
        <f t="shared" si="717"/>
        <v>0.9845122833771377</v>
      </c>
      <c r="EG279" s="173">
        <f t="shared" si="718"/>
        <v>9.8584270538170135E-2</v>
      </c>
      <c r="EH279" s="173"/>
      <c r="EI279" s="528">
        <f t="shared" si="719"/>
        <v>3.669336916664917E-2</v>
      </c>
      <c r="EJ279" s="528">
        <f t="shared" si="720"/>
        <v>1.5392652365198394</v>
      </c>
      <c r="EK279" s="528">
        <f t="shared" si="721"/>
        <v>6.9999999999999993E-2</v>
      </c>
      <c r="EL279" s="528">
        <f t="shared" si="722"/>
        <v>0.16865892671311253</v>
      </c>
      <c r="EM279">
        <f t="shared" si="723"/>
        <v>1.6199999999999999E-2</v>
      </c>
      <c r="EN279" s="460">
        <f t="shared" si="724"/>
        <v>86.2</v>
      </c>
      <c r="EP279" s="460">
        <f t="shared" si="725"/>
        <v>1830.8175323996011</v>
      </c>
      <c r="EQ279" s="173">
        <f t="shared" si="726"/>
        <v>0.44099999999999995</v>
      </c>
      <c r="ER279" s="173">
        <f t="shared" si="772"/>
        <v>3.9059999999999997E-2</v>
      </c>
      <c r="ES279" s="528"/>
      <c r="EU279" s="460">
        <f t="shared" si="727"/>
        <v>480.05999999999995</v>
      </c>
      <c r="EV279" s="528">
        <f t="shared" si="728"/>
        <v>2.7520026874986878E-2</v>
      </c>
      <c r="EW279" s="528">
        <f t="shared" si="729"/>
        <v>2.9077933083613963E-2</v>
      </c>
      <c r="EX279" s="528">
        <f t="shared" si="730"/>
        <v>4.8594291987715605E-5</v>
      </c>
      <c r="EY279" s="528">
        <f t="shared" si="731"/>
        <v>1.8579878669154244</v>
      </c>
      <c r="EZ279" s="528"/>
      <c r="FA279" s="625">
        <f t="shared" si="732"/>
        <v>0.65016000000000007</v>
      </c>
      <c r="FB279" s="460">
        <f t="shared" si="733"/>
        <v>2564.7944211660133</v>
      </c>
      <c r="FC279" s="173">
        <f t="shared" si="734"/>
        <v>4.8756719535656128</v>
      </c>
      <c r="FD279" s="5">
        <f t="shared" si="735"/>
        <v>16.254000000000001</v>
      </c>
      <c r="FE279" s="173">
        <f t="shared" si="736"/>
        <v>0.76924999288771045</v>
      </c>
      <c r="FF279" s="5">
        <f t="shared" si="737"/>
        <v>76.924999288771048</v>
      </c>
      <c r="FG279">
        <f t="shared" si="738"/>
        <v>63</v>
      </c>
      <c r="FI279" s="562">
        <f t="shared" si="689"/>
        <v>-50</v>
      </c>
    </row>
    <row r="280" spans="5:165">
      <c r="E280" s="170">
        <v>64</v>
      </c>
      <c r="F280" s="217">
        <f t="shared" si="773"/>
        <v>0.64</v>
      </c>
      <c r="G280" s="217">
        <f t="shared" ref="G280:G316" si="775">IF(PLOT_TYPE=1, E280/100*Iout2, min_I*EXP(Q280*rr/100))</f>
        <v>6.4000000000000001E-2</v>
      </c>
      <c r="H280" s="217">
        <f t="shared" ref="H280:H316" si="776">F280*Vout</f>
        <v>15.36</v>
      </c>
      <c r="I280" s="217">
        <f t="shared" ref="I280:I316" si="777">Vout2*G280</f>
        <v>1.1520000000000001</v>
      </c>
      <c r="J280" s="541">
        <f t="shared" ref="J280:J316" si="778">VIN_max-(F280/CG280/Nps+G280/CH280/(Nps/Nsec1sec2))*(Rdcr_pri+RON/1000)</f>
        <v>35.867910965866599</v>
      </c>
      <c r="K280" s="443">
        <f t="shared" ref="K280:K316" si="779">MAX((S280+Vfwd2+Rdcr_sec*F280/CG280)*Nps,(Vout2+Vfwd22+Rdcr_sec2*G280/CH280)*Nps/Nsec1sec2)</f>
        <v>16.49467058456165</v>
      </c>
      <c r="L280" s="172">
        <f t="shared" ref="L280:L316" si="780">MAX((Vout+Vfwd2+F280/CG280*Rdcr_sec)*Nps+J280, (Vout2+Vfwd22+G280/CH280*Rdcr_sec2)*Nps/Nsec1sec2+J280)</f>
        <v>52.362581550428246</v>
      </c>
      <c r="M280" s="443"/>
      <c r="N280" s="217">
        <f t="shared" ref="N280:N316" si="781">MAX((Vout+Vfwd2+F280/CG280*Rdcr_sec)*Nps/((Vout+Vfwd2+F280/CG280*Rdcr_sec)*Nps+J280), (Vout2+Vfwd22+G280/CH280*Rdcr_sec2)*Nps/Nsec1sec2/((Vout2+Vfwd22+G280/CH280*Rdcr_sec2)*Nps/Nsec1sec2+J280))</f>
        <v>0.31500873517239236</v>
      </c>
      <c r="O280" s="172">
        <f t="shared" ref="O280:O311" si="782">N280*J280*Isw_max*0.5*Efficiency*Pout/(Pout+Pout2)</f>
        <v>58.391241688029048</v>
      </c>
      <c r="P280" s="172">
        <f t="shared" ref="P280:P316" si="783">N280*J280*Isw_max*0.5*Efficiency*(Pout2/Pout_total)</f>
        <v>4.7077938610973415</v>
      </c>
      <c r="Q280" s="217">
        <f t="shared" ref="Q280:Q316" si="784">O280/Vout</f>
        <v>2.4329684036678771</v>
      </c>
      <c r="R280" s="217">
        <f t="shared" ref="R280:R316" si="785">O280/Vout2</f>
        <v>3.2439578715571695</v>
      </c>
      <c r="S280" s="217">
        <f t="shared" ref="S280:S316" si="786">MIN(Vout,O280/F280)</f>
        <v>24</v>
      </c>
      <c r="T280" s="217">
        <f t="shared" ref="T280:T316" si="787">MIN(2*(Vout*F280+Vout2*G280)/(Efficiency*J280*N280), Isw_max)</f>
        <v>2.9228127666559884</v>
      </c>
      <c r="U280" s="217">
        <f t="shared" ref="U280:U316" si="788">L*T280/J280*1000000</f>
        <v>0.81488235248421881</v>
      </c>
      <c r="V280" s="217">
        <f t="shared" ref="V280:V316" si="789">L*T280/K280*1000000</f>
        <v>1.7719740152868673</v>
      </c>
      <c r="W280" s="197">
        <f t="shared" ref="W280:W316" si="790">IF(1/((350000*L)*(1/J280+1/K280))&gt;Isw_min, 350, 0.001/((Isw_min*L)*(1/J280+1/K280)))</f>
        <v>350</v>
      </c>
      <c r="X280" s="443">
        <f t="shared" si="691"/>
        <v>350</v>
      </c>
      <c r="Z280" s="217">
        <f t="shared" ref="Z280:Z316" si="791">1/((W280*1000*L)*(1/J280+1/K280))</f>
        <v>3.2282015047524624</v>
      </c>
      <c r="AA280" s="173">
        <f t="shared" ref="AA280:AA316" si="792">L*Z280/K280*1000000</f>
        <v>1.9571178995074507</v>
      </c>
      <c r="AB280" s="173">
        <f t="shared" ref="AB280:AB311" si="793">0.5*AA280*Z280*Nps*W280/1000*(Pout/(Pout+Pout2))</f>
        <v>0.6860141013254899</v>
      </c>
      <c r="AC280" s="173"/>
      <c r="AD280" s="173">
        <f t="shared" ref="AD280:AD316" si="794">L*Isw_min/K280*1000000</f>
        <v>1.3472364972854525</v>
      </c>
      <c r="AE280" s="545">
        <f t="shared" ref="AE280:AE311" si="795">MAX(10, F280/(0.5*AD280/1000000*Isw_min*Nps)/1000*Pout_total/Pout)</f>
        <v>640.99229617966705</v>
      </c>
      <c r="AF280" s="528">
        <f t="shared" ref="AF280:AF316" si="796">0.5*AD280/1000000*Isw_min*Nps*W280*1000*(Pout/Pout_total)</f>
        <v>0.34945817810143215</v>
      </c>
      <c r="AH280" s="173">
        <f t="shared" ref="AH280:AH315" si="797">SQRT((H280+I280)/(0.5*L*Fsw_DCM))</f>
        <v>3.071714272426485</v>
      </c>
      <c r="AI280" s="173">
        <f t="shared" ref="AI280:AI311" si="798">MAX(IF(F280&gt;AB280,T280,AH280),Isw_min)</f>
        <v>3.071714272426485</v>
      </c>
      <c r="AJ280" s="173">
        <f t="shared" ref="AJ280:AJ311" si="799">IF(F280&gt;AF280, (AI280-Isw_min)/1.08*0.8+1.2, AE280*0.2/350+1)</f>
        <v>1.829253370521676</v>
      </c>
      <c r="AL280" s="545">
        <f t="shared" ref="AL280:AL316" si="800">F280*1000</f>
        <v>640</v>
      </c>
      <c r="AM280" s="460">
        <f t="shared" ref="AM280:AM316" si="801">IF(F280&gt;AF280, X280, AE280)</f>
        <v>350</v>
      </c>
      <c r="AO280">
        <f t="shared" ref="AO280:AO316" si="802">IF(H280&gt;O280, "",AL280)</f>
        <v>640</v>
      </c>
      <c r="AP280">
        <f t="shared" ref="AP280:AP316" si="803">IF(H280&gt;O280, "",AM280)</f>
        <v>350</v>
      </c>
      <c r="AR280" s="5">
        <f t="shared" si="774"/>
        <v>2.8571428571428572</v>
      </c>
      <c r="AS280" s="5">
        <f t="shared" si="739"/>
        <v>0.85639620198390054</v>
      </c>
      <c r="AT280" s="5">
        <f t="shared" si="740"/>
        <v>2.0007466551589568</v>
      </c>
      <c r="AU280" s="173">
        <f t="shared" si="741"/>
        <v>0.29973867069436516</v>
      </c>
      <c r="BA280" s="173">
        <f t="shared" si="692"/>
        <v>0.97093817472786481</v>
      </c>
      <c r="BB280" s="173">
        <f t="shared" si="693"/>
        <v>0.9898652861256666</v>
      </c>
      <c r="BC280" s="173">
        <f t="shared" si="694"/>
        <v>9.9120294191772818E-2</v>
      </c>
      <c r="BD280" s="173"/>
      <c r="BE280" s="528">
        <f t="shared" si="695"/>
        <v>3.7708837565755111E-2</v>
      </c>
      <c r="BF280" s="528">
        <f t="shared" ref="BF280:BF316" si="804">0.5*L280*AI280*AM280*1000*Tfall</f>
        <v>1.2666377515801761</v>
      </c>
      <c r="BG280" s="528">
        <f t="shared" ref="BG280:BG316" si="805">Qg*Vdd*AM280*1000*0+Qg*J280*AM280*1000</f>
        <v>0.50215075352213245</v>
      </c>
      <c r="BH280" s="528">
        <f t="shared" si="696"/>
        <v>0.16793769673079648</v>
      </c>
      <c r="BI280">
        <f t="shared" si="697"/>
        <v>1.6140559934639968E-2</v>
      </c>
      <c r="BJ280" s="460">
        <f t="shared" si="698"/>
        <v>518.2913134567724</v>
      </c>
      <c r="BK280">
        <f t="shared" ref="BK280:BK316" si="806">(BF280+BG280*0+BH280+BI280*0+BE280*(1+RdsonTC*(Ta-25)))/(1-BE280*RdsonTC*ThetaJA)</f>
        <v>1.4958680813073628</v>
      </c>
      <c r="BL280" s="460">
        <f t="shared" si="699"/>
        <v>1990.5755993334999</v>
      </c>
      <c r="BM280" s="173">
        <f t="shared" ref="BM280:BM316" si="807">Vfwd2*F280*(1+Diode_TC/1000*(Ta-25))</f>
        <v>0.5555199999999999</v>
      </c>
      <c r="BN280" s="173">
        <f t="shared" ref="BN280:BN316" si="808">Vfwd22*G280*(1+Diode_TC/1000*(Ta-25))</f>
        <v>3.968E-2</v>
      </c>
      <c r="BQ280" s="460">
        <f t="shared" si="700"/>
        <v>595.19999999999993</v>
      </c>
      <c r="BR280" s="528">
        <f t="shared" si="701"/>
        <v>2.8281628174316332E-2</v>
      </c>
      <c r="BS280" s="528">
        <f t="shared" si="702"/>
        <v>2.9394998540299432E-2</v>
      </c>
      <c r="BT280" s="528">
        <f t="shared" si="703"/>
        <v>4.9124163603317958E-5</v>
      </c>
      <c r="BU280" s="528">
        <f t="shared" si="704"/>
        <v>1.8949255618079941</v>
      </c>
      <c r="BV280" s="528"/>
      <c r="BW280" s="625">
        <f t="shared" si="705"/>
        <v>0.66047999999999996</v>
      </c>
      <c r="BX280" s="460">
        <f t="shared" si="706"/>
        <v>2613.1313126862128</v>
      </c>
      <c r="BY280" s="173">
        <f t="shared" si="707"/>
        <v>5.1989069120197122</v>
      </c>
      <c r="BZ280" s="5">
        <f t="shared" si="708"/>
        <v>16.512</v>
      </c>
      <c r="CA280" s="173">
        <f t="shared" si="709"/>
        <v>0.76053939464217113</v>
      </c>
      <c r="CB280" s="5">
        <f t="shared" si="710"/>
        <v>76.053939464217109</v>
      </c>
      <c r="CC280">
        <f t="shared" si="711"/>
        <v>64</v>
      </c>
      <c r="CE280" s="562">
        <f t="shared" ref="CE280:CE316" si="809">IF(ABS(F280-Ioutmax_Vinmax)&lt;Iout/200, AM280, -50)</f>
        <v>-50</v>
      </c>
      <c r="CG280" s="173">
        <f t="shared" ref="CG280:CG316" si="810">MIN(SQRT(2*DT280*1000*Ls1_*CL280)/CW280, 1-DY280)</f>
        <v>0.64775019474341422</v>
      </c>
      <c r="CH280" s="173">
        <f t="shared" ref="CH280:CH316" si="811">MIN(SQRT(2*DT280*1000*Ls2_*CM280)/Vout2, 1-DY280)</f>
        <v>0.17715429894339133</v>
      </c>
      <c r="CI280" s="170">
        <v>64</v>
      </c>
      <c r="CJ280" s="217">
        <f t="shared" si="712"/>
        <v>0.64</v>
      </c>
      <c r="CK280" s="217">
        <f t="shared" ref="CK280:CK316" si="812">IF(PLOT_TYPE=1, CI280/100*Iout2, min_I*EXP(CU280*rr/100))</f>
        <v>6.4000000000000001E-2</v>
      </c>
      <c r="CL280" s="217">
        <f t="shared" ref="CL280:CL316" si="813">CJ280*Vout</f>
        <v>15.36</v>
      </c>
      <c r="CM280" s="217">
        <f t="shared" ref="CM280:CM316" si="814">Vout2*CK280</f>
        <v>1.1520000000000001</v>
      </c>
      <c r="CN280" s="541">
        <f t="shared" ref="CN280:CN316" si="815">VIN_max</f>
        <v>36</v>
      </c>
      <c r="CO280" s="443">
        <f t="shared" ref="CO280:CO316" si="816">(CW280+Vfwd2)*Nps</f>
        <v>16.474900000000002</v>
      </c>
      <c r="CP280" s="443">
        <f t="shared" ref="CP280:CP316" si="817">(Vout+Vfwd2)*Nps+CN280</f>
        <v>52.474900000000005</v>
      </c>
      <c r="CQ280" s="443"/>
      <c r="CR280" s="217">
        <f t="shared" ref="CR280:CR316" si="818">(Vout+Vfwd1)*Nps/((Vout+Vfwd1)*Nps+CN280)</f>
        <v>0.31220924123305599</v>
      </c>
      <c r="CS280" s="172">
        <f t="shared" ref="CS280:CS316" si="819">CR280*CN280*Isw_max*0.5*Efficiency*Pout/(Pout+Pout2)</f>
        <v>58.085440229405762</v>
      </c>
      <c r="CT280" s="172">
        <f t="shared" ref="CT280:CT316" si="820">CR280*CN280*Isw_max*0.5*Efficiency*(Pout2/Pout_total)</f>
        <v>4.683138618495839</v>
      </c>
      <c r="CU280" s="217">
        <f t="shared" ref="CU280:CU316" si="821">CS280/Vout</f>
        <v>2.4202266762252402</v>
      </c>
      <c r="CV280" s="217">
        <f t="shared" ref="CV280:CV316" si="822">CS280/Vout2</f>
        <v>3.2269689016336534</v>
      </c>
      <c r="CW280" s="217">
        <f t="shared" ref="CW280:CW316" si="823">MIN(Vout,CS280/CJ280)</f>
        <v>24</v>
      </c>
      <c r="CX280" s="217">
        <f t="shared" ref="CX280:CX316" si="824">MIN(2*(Vout*CJ280+Vout2*CK280)/(Efficiency*CN280*CR280), Isw_max)</f>
        <v>2.9382004507950108</v>
      </c>
      <c r="CY280" s="217">
        <f t="shared" ref="CY280:CY316" si="825">L*CX280/CN280*1000000</f>
        <v>0.81616679188750307</v>
      </c>
      <c r="CZ280" s="217">
        <f t="shared" ref="CZ280:CZ316" si="826">L*CX280/CO280*1000000</f>
        <v>1.7834405372991706</v>
      </c>
      <c r="DA280" s="197">
        <f t="shared" ref="DA280:DA316" si="827">IF(1/((350000*L)*(1/CN280+1/CO280))&gt;Isw_min, 350, 0.001/((Isw_min*L)*(1/CN280+1/CO280)))</f>
        <v>350</v>
      </c>
      <c r="DB280" s="443">
        <f t="shared" ref="DB280:DB316" si="828">MIN(1/(CY280+CZ280)*1000, 350)</f>
        <v>350</v>
      </c>
      <c r="DD280" s="217">
        <f t="shared" ref="DD280:DD316" si="829">1/((DA280*1000*L)*(1/CN280+1/CO280))</f>
        <v>3.2292794133140656</v>
      </c>
      <c r="DE280" s="173">
        <f t="shared" ref="DE280:DE316" si="830">L*DD280/CO280*1000000</f>
        <v>1.9601207978889497</v>
      </c>
      <c r="DF280" s="173">
        <f t="shared" ref="DF280:DF316" si="831">0.5*DE280*DD280*Nps*DA280/1000*(Pout/(Pout+Pout2))</f>
        <v>0.6872960992823488</v>
      </c>
      <c r="DG280" s="173"/>
      <c r="DH280" s="173">
        <f t="shared" ref="DH280:DH316" si="832">L*Isw_min/CO280*1000000</f>
        <v>1.3488532386977903</v>
      </c>
      <c r="DI280" s="545">
        <f t="shared" ref="DI280:DI316" si="833">MAX(10, CJ280/(0.5*DH280/1000000*Isw_min*Nps)/1000*Pout_total/Pout)</f>
        <v>640.22399999999982</v>
      </c>
      <c r="DJ280" s="528">
        <f t="shared" ref="DJ280:DJ316" si="834">0.5*DH280/1000000*Isw_min*Nps*DA280*1000*(Pout/Pout_total)</f>
        <v>0.34987754285999911</v>
      </c>
      <c r="DL280" s="173">
        <f t="shared" ref="DL280:DL316" si="835">SQRT((CL280+CM280)/(0.5*L*Fsw_DCM))</f>
        <v>3.071714272426485</v>
      </c>
      <c r="DM280" s="173">
        <f t="shared" ref="DM280:DM316" si="836">MAX(IF(CJ280&gt;DF280,CX280,DL280),Isw_min)</f>
        <v>3.071714272426485</v>
      </c>
      <c r="DN280" s="173">
        <f t="shared" ref="DN280:DN316" si="837">IF(CJ280&gt;DJ280, (DM280-Isw_min)/1.08*0.8+1.2, DI280*0.2/350+1)</f>
        <v>1.829253370521676</v>
      </c>
      <c r="DP280" s="545">
        <f t="shared" ref="DP280:DP316" si="838">CJ280*1000</f>
        <v>640</v>
      </c>
      <c r="DQ280" s="460">
        <f t="shared" ref="DQ280:DQ316" si="839">IF(CJ280&gt;DJ280, DB280, DI280)</f>
        <v>350</v>
      </c>
      <c r="DS280">
        <f t="shared" ref="DS280:DS316" si="840">IF(CL280&gt;CS280, "",DP280)</f>
        <v>640</v>
      </c>
      <c r="DT280">
        <f t="shared" ref="DT280:DT316" si="841">IF(CL280&gt;CS280, "",DQ280)</f>
        <v>350</v>
      </c>
      <c r="DV280" s="5">
        <f t="shared" si="684"/>
        <v>2.8571428571428572</v>
      </c>
      <c r="DW280" s="5">
        <f t="shared" ref="DW280:DW316" si="842">L*DM280/CN280*1000000</f>
        <v>0.85325396456291247</v>
      </c>
      <c r="DX280" s="5">
        <f t="shared" ref="DX280:DX316" si="843">DV280-DW280</f>
        <v>2.003888892579945</v>
      </c>
      <c r="DY280" s="173">
        <f t="shared" ref="DY280:DY316" si="844">DW280/DV280</f>
        <v>0.29863888759701934</v>
      </c>
      <c r="EA280" s="5">
        <f t="shared" si="713"/>
        <v>2.2753439055010998</v>
      </c>
      <c r="EB280" s="5">
        <f t="shared" si="714"/>
        <v>0.30337918740014669</v>
      </c>
      <c r="EC280" s="5">
        <f t="shared" si="715"/>
        <v>0.71249382847286913</v>
      </c>
      <c r="ED280" s="5"/>
      <c r="EE280" s="173">
        <f t="shared" si="716"/>
        <v>0.96915528383786553</v>
      </c>
      <c r="EF280" s="173">
        <f t="shared" si="717"/>
        <v>0.99064228891387596</v>
      </c>
      <c r="EG280" s="173">
        <f t="shared" si="718"/>
        <v>9.9198099470970538E-2</v>
      </c>
      <c r="EH280" s="173"/>
      <c r="EI280" s="528">
        <f t="shared" si="719"/>
        <v>3.7570478567634152E-2</v>
      </c>
      <c r="EJ280" s="528">
        <f t="shared" si="720"/>
        <v>1.5514335305137186</v>
      </c>
      <c r="EK280" s="528">
        <f t="shared" si="721"/>
        <v>6.9999999999999993E-2</v>
      </c>
      <c r="EL280" s="528">
        <f t="shared" si="722"/>
        <v>0.16865892671311253</v>
      </c>
      <c r="EM280">
        <f t="shared" si="723"/>
        <v>1.6199999999999999E-2</v>
      </c>
      <c r="EN280" s="460">
        <f t="shared" si="724"/>
        <v>86.2</v>
      </c>
      <c r="EP280" s="460">
        <f t="shared" si="725"/>
        <v>1843.8629357944651</v>
      </c>
      <c r="EQ280" s="173">
        <f t="shared" si="726"/>
        <v>0.44799999999999995</v>
      </c>
      <c r="ER280" s="173">
        <f t="shared" ref="ER280:ER316" si="845">Vfwd22*CK280*(1+Diode_TC/1000*(Ta-25))</f>
        <v>3.968E-2</v>
      </c>
      <c r="ES280" s="528"/>
      <c r="EU280" s="460">
        <f t="shared" si="727"/>
        <v>487.67999999999995</v>
      </c>
      <c r="EV280" s="528">
        <f t="shared" si="728"/>
        <v>2.8177858925725611E-2</v>
      </c>
      <c r="EW280" s="528">
        <f t="shared" si="729"/>
        <v>2.9441164337535696E-2</v>
      </c>
      <c r="EX280" s="528">
        <f t="shared" si="730"/>
        <v>4.9201314693262834E-5</v>
      </c>
      <c r="EY280" s="528">
        <f t="shared" si="731"/>
        <v>1.8949255618079941</v>
      </c>
      <c r="EZ280" s="528"/>
      <c r="FA280" s="625">
        <f t="shared" si="732"/>
        <v>0.66047999999999996</v>
      </c>
      <c r="FB280" s="460">
        <f t="shared" si="733"/>
        <v>2613.0737863859486</v>
      </c>
      <c r="FC280" s="173">
        <f t="shared" si="734"/>
        <v>4.9446167221804131</v>
      </c>
      <c r="FD280" s="5">
        <f t="shared" si="735"/>
        <v>16.512</v>
      </c>
      <c r="FE280" s="173">
        <f t="shared" si="736"/>
        <v>0.76955282437100159</v>
      </c>
      <c r="FF280" s="5">
        <f t="shared" si="737"/>
        <v>76.955282437100152</v>
      </c>
      <c r="FG280">
        <f t="shared" si="738"/>
        <v>64</v>
      </c>
      <c r="FI280" s="562">
        <f t="shared" ref="FI280:FI316" si="846">IF(ABS(CJ280-Ioutmax_Vinmax)&lt;Iout/200, DQ280, -50)</f>
        <v>-50</v>
      </c>
    </row>
    <row r="281" spans="5:165">
      <c r="E281" s="170">
        <v>65</v>
      </c>
      <c r="F281" s="217">
        <f t="shared" ref="F281:F312" si="847">IF(PLOT_TYPE=1, E281/100*Iout_max, min_I*EXP(O281*rr/100))</f>
        <v>0.65</v>
      </c>
      <c r="G281" s="217">
        <f t="shared" si="775"/>
        <v>6.5000000000000002E-2</v>
      </c>
      <c r="H281" s="217">
        <f t="shared" si="776"/>
        <v>15.600000000000001</v>
      </c>
      <c r="I281" s="217">
        <f t="shared" si="777"/>
        <v>1.17</v>
      </c>
      <c r="J281" s="541">
        <f t="shared" si="778"/>
        <v>35.866883020136584</v>
      </c>
      <c r="K281" s="443">
        <f t="shared" si="779"/>
        <v>16.494824443571318</v>
      </c>
      <c r="L281" s="172">
        <f t="shared" si="780"/>
        <v>52.361707463707901</v>
      </c>
      <c r="M281" s="443"/>
      <c r="N281" s="217">
        <f t="shared" si="781"/>
        <v>0.31501693207777731</v>
      </c>
      <c r="O281" s="172">
        <f t="shared" si="782"/>
        <v>58.391087608247801</v>
      </c>
      <c r="P281" s="172">
        <f t="shared" si="783"/>
        <v>4.7077814384149788</v>
      </c>
      <c r="Q281" s="217">
        <f t="shared" si="784"/>
        <v>2.4329619836769916</v>
      </c>
      <c r="R281" s="217">
        <f t="shared" si="785"/>
        <v>3.2439493115693221</v>
      </c>
      <c r="S281" s="217">
        <f t="shared" si="786"/>
        <v>24</v>
      </c>
      <c r="T281" s="217">
        <f t="shared" si="787"/>
        <v>2.9684895492313084</v>
      </c>
      <c r="U281" s="217">
        <f t="shared" si="788"/>
        <v>0.82764079264003032</v>
      </c>
      <c r="V281" s="217">
        <f t="shared" si="789"/>
        <v>1.7996490713717452</v>
      </c>
      <c r="W281" s="197">
        <f t="shared" si="790"/>
        <v>350</v>
      </c>
      <c r="X281" s="443">
        <f t="shared" ref="X281:X316" si="848">MIN(1/(U281+V281+0.2)*1000, 350)</f>
        <v>350</v>
      </c>
      <c r="Z281" s="217">
        <f t="shared" si="791"/>
        <v>3.2281929863416994</v>
      </c>
      <c r="AA281" s="173">
        <f t="shared" si="792"/>
        <v>1.9570944797777785</v>
      </c>
      <c r="AB281" s="173">
        <f t="shared" si="793"/>
        <v>0.6860040819836134</v>
      </c>
      <c r="AC281" s="173"/>
      <c r="AD281" s="173">
        <f t="shared" si="794"/>
        <v>1.3472239306483254</v>
      </c>
      <c r="AE281" s="545">
        <f t="shared" si="795"/>
        <v>651.01387327888278</v>
      </c>
      <c r="AF281" s="528">
        <f t="shared" si="796"/>
        <v>0.34945491845539062</v>
      </c>
      <c r="AH281" s="173">
        <f t="shared" si="797"/>
        <v>3.0956190241787094</v>
      </c>
      <c r="AI281" s="173">
        <f t="shared" si="798"/>
        <v>3.0956190241787094</v>
      </c>
      <c r="AJ281" s="173">
        <f t="shared" si="799"/>
        <v>1.8469605940418421</v>
      </c>
      <c r="AL281" s="545">
        <f t="shared" si="800"/>
        <v>650</v>
      </c>
      <c r="AM281" s="460">
        <f t="shared" si="801"/>
        <v>350</v>
      </c>
      <c r="AO281">
        <f t="shared" si="802"/>
        <v>650</v>
      </c>
      <c r="AP281">
        <f t="shared" si="803"/>
        <v>350</v>
      </c>
      <c r="AR281" s="5">
        <f t="shared" si="774"/>
        <v>2.8571428571428572</v>
      </c>
      <c r="AS281" s="5">
        <f t="shared" si="739"/>
        <v>0.8630855997274004</v>
      </c>
      <c r="AT281" s="5">
        <f t="shared" si="740"/>
        <v>1.9940572574154567</v>
      </c>
      <c r="AU281" s="173">
        <f t="shared" si="741"/>
        <v>0.30207995990459013</v>
      </c>
      <c r="BA281" s="173">
        <f t="shared" ref="BA281:BA316" si="849">AI281*SQRT(AU281/3)</f>
        <v>0.98230835306192621</v>
      </c>
      <c r="BB281" s="173">
        <f t="shared" ref="BB281:BB316" si="850">AI281*Npri_sec1*SQRT((1-AU281)/3)*(Pout/Pout_total)</f>
        <v>0.99589957707553711</v>
      </c>
      <c r="BC281" s="173">
        <f t="shared" ref="BC281:BC316" si="851">AI281*Npri_sec2*SQRT((1-AU281)/3)*(Pout2/Pout_total)</f>
        <v>9.9724538731482806E-2</v>
      </c>
      <c r="BD281" s="173"/>
      <c r="BE281" s="528">
        <f t="shared" ref="BE281:BE315" si="852">Rdson*BA281^2</f>
        <v>3.8597188019809353E-2</v>
      </c>
      <c r="BF281" s="528">
        <f t="shared" si="804"/>
        <v>1.2764736948846842</v>
      </c>
      <c r="BG281" s="528">
        <f t="shared" si="805"/>
        <v>0.50213636228191216</v>
      </c>
      <c r="BH281" s="528">
        <f t="shared" ref="BH281:BH316" si="853">0.5*(Coss+Csw)*L281^2*AM281*1000</f>
        <v>0.16793209002153905</v>
      </c>
      <c r="BI281">
        <f t="shared" ref="BI281:BI316" si="854">J281*IQ</f>
        <v>1.6140097359061464E-2</v>
      </c>
      <c r="BJ281" s="460">
        <f t="shared" ref="BJ281:BJ316" si="855">(BG281+BI281)*1000</f>
        <v>518.2764596409736</v>
      </c>
      <c r="BK281">
        <f t="shared" si="806"/>
        <v>1.5072467088354684</v>
      </c>
      <c r="BL281" s="460">
        <f t="shared" ref="BL281:BL316" si="856">SUM(BE281:BI281)*1000</f>
        <v>2001.2794325670061</v>
      </c>
      <c r="BM281" s="173">
        <f t="shared" si="807"/>
        <v>0.56419999999999992</v>
      </c>
      <c r="BN281" s="173">
        <f t="shared" si="808"/>
        <v>4.0300000000000002E-2</v>
      </c>
      <c r="BQ281" s="460">
        <f t="shared" ref="BQ281:BQ316" si="857">SUM(BM281:BP281)*1000</f>
        <v>604.49999999999989</v>
      </c>
      <c r="BR281" s="528">
        <f t="shared" ref="BR281:BR316" si="858">Rdcr_pri*BA281^2</f>
        <v>2.8947891014857015E-2</v>
      </c>
      <c r="BS281" s="528">
        <f t="shared" ref="BS281:BS316" si="859">Rdcr_sec*BB281^2</f>
        <v>2.9754479028577013E-2</v>
      </c>
      <c r="BT281" s="528">
        <f t="shared" ref="BT281:BT316" si="860">Rdcr_sec2*BC281^2</f>
        <v>4.9724918126035072E-5</v>
      </c>
      <c r="BU281" s="528">
        <f t="shared" ref="BU281:BU316" si="861">AI281^2.5*AM281^2.5*k_core</f>
        <v>1.9320078319085447</v>
      </c>
      <c r="BV281" s="528"/>
      <c r="BW281" s="625">
        <f t="shared" ref="BW281:BW316" si="862">0.5*Lleak*0.000000001*AI281^2*AM281*1000</f>
        <v>0.67080000000000028</v>
      </c>
      <c r="BX281" s="460">
        <f t="shared" ref="BX281:BX316" si="863">SUM(BR281:BW281)*1000</f>
        <v>2661.5599268701053</v>
      </c>
      <c r="BY281" s="173">
        <f t="shared" ref="BY281:BY315" si="864">SUM(BE281:BI281,BM281:BP281,BR281:BW281)</f>
        <v>5.267339359437111</v>
      </c>
      <c r="BZ281" s="5">
        <f t="shared" ref="BZ281:BZ316" si="865">MIN(H281+I281,O281+P281)</f>
        <v>16.770000000000003</v>
      </c>
      <c r="CA281" s="173">
        <f t="shared" ref="CA281:CA316" si="866">BZ281/(BZ281+BY281)</f>
        <v>0.76098115686631373</v>
      </c>
      <c r="CB281" s="5">
        <f t="shared" ref="CB281:CB316" si="867">CA281*100</f>
        <v>76.098115686631374</v>
      </c>
      <c r="CC281">
        <f t="shared" ref="CC281:CC316" si="868">F281/Iout*100</f>
        <v>65</v>
      </c>
      <c r="CE281" s="562">
        <f t="shared" si="809"/>
        <v>-50</v>
      </c>
      <c r="CG281" s="173">
        <f t="shared" si="810"/>
        <v>0.65279112831649833</v>
      </c>
      <c r="CH281" s="173">
        <f t="shared" si="811"/>
        <v>0.17853295241259429</v>
      </c>
      <c r="CI281" s="170">
        <v>65</v>
      </c>
      <c r="CJ281" s="217">
        <f t="shared" ref="CJ281:CJ316" si="869">IF(PLOT_TYPE=1, CI281/100*Iout_max, min_I*EXP(CS281*rr/100))</f>
        <v>0.65</v>
      </c>
      <c r="CK281" s="217">
        <f t="shared" si="812"/>
        <v>6.5000000000000002E-2</v>
      </c>
      <c r="CL281" s="217">
        <f t="shared" si="813"/>
        <v>15.600000000000001</v>
      </c>
      <c r="CM281" s="217">
        <f t="shared" si="814"/>
        <v>1.17</v>
      </c>
      <c r="CN281" s="541">
        <f t="shared" si="815"/>
        <v>36</v>
      </c>
      <c r="CO281" s="443">
        <f t="shared" si="816"/>
        <v>16.474900000000002</v>
      </c>
      <c r="CP281" s="443">
        <f t="shared" si="817"/>
        <v>52.474900000000005</v>
      </c>
      <c r="CQ281" s="443"/>
      <c r="CR281" s="217">
        <f t="shared" si="818"/>
        <v>0.31220924123305599</v>
      </c>
      <c r="CS281" s="172">
        <f t="shared" si="819"/>
        <v>58.085440229405762</v>
      </c>
      <c r="CT281" s="172">
        <f t="shared" si="820"/>
        <v>4.683138618495839</v>
      </c>
      <c r="CU281" s="217">
        <f t="shared" si="821"/>
        <v>2.4202266762252402</v>
      </c>
      <c r="CV281" s="217">
        <f t="shared" si="822"/>
        <v>3.2269689016336534</v>
      </c>
      <c r="CW281" s="217">
        <f t="shared" si="823"/>
        <v>24</v>
      </c>
      <c r="CX281" s="217">
        <f t="shared" si="824"/>
        <v>2.9841098328386835</v>
      </c>
      <c r="CY281" s="217">
        <f t="shared" si="825"/>
        <v>0.82891939801074543</v>
      </c>
      <c r="CZ281" s="217">
        <f t="shared" si="826"/>
        <v>1.8113067956944706</v>
      </c>
      <c r="DA281" s="197">
        <f t="shared" si="827"/>
        <v>350</v>
      </c>
      <c r="DB281" s="443">
        <f t="shared" si="828"/>
        <v>350</v>
      </c>
      <c r="DD281" s="217">
        <f t="shared" si="829"/>
        <v>3.2292794133140656</v>
      </c>
      <c r="DE281" s="173">
        <f t="shared" si="830"/>
        <v>1.9601207978889497</v>
      </c>
      <c r="DF281" s="173">
        <f t="shared" si="831"/>
        <v>0.6872960992823488</v>
      </c>
      <c r="DG281" s="173"/>
      <c r="DH281" s="173">
        <f t="shared" si="832"/>
        <v>1.3488532386977903</v>
      </c>
      <c r="DI281" s="545">
        <f t="shared" si="833"/>
        <v>650.22749999999974</v>
      </c>
      <c r="DJ281" s="528">
        <f t="shared" si="834"/>
        <v>0.34987754285999911</v>
      </c>
      <c r="DL281" s="173">
        <f t="shared" si="835"/>
        <v>3.0956190241787094</v>
      </c>
      <c r="DM281" s="173">
        <f t="shared" si="836"/>
        <v>3.0956190241787094</v>
      </c>
      <c r="DN281" s="173">
        <f t="shared" si="837"/>
        <v>1.8469605940418421</v>
      </c>
      <c r="DP281" s="545">
        <f t="shared" si="838"/>
        <v>650</v>
      </c>
      <c r="DQ281" s="460">
        <f t="shared" si="839"/>
        <v>350</v>
      </c>
      <c r="DS281">
        <f t="shared" si="840"/>
        <v>650</v>
      </c>
      <c r="DT281">
        <f t="shared" si="841"/>
        <v>350</v>
      </c>
      <c r="DV281" s="5">
        <f t="shared" ref="DV281:DV316" si="870">1/DQ281*1000</f>
        <v>2.8571428571428572</v>
      </c>
      <c r="DW281" s="5">
        <f t="shared" si="842"/>
        <v>0.85989417338297502</v>
      </c>
      <c r="DX281" s="5">
        <f t="shared" si="843"/>
        <v>1.9972486837598822</v>
      </c>
      <c r="DY281" s="173">
        <f t="shared" si="844"/>
        <v>0.30096296068404127</v>
      </c>
      <c r="EA281" s="5">
        <f t="shared" ref="EA281:EA316" si="871">CJ281*DW281/Vout_ripple*1000</f>
        <v>2.3288800529122238</v>
      </c>
      <c r="EB281" s="5">
        <f t="shared" ref="EB281:EB316" si="872">CK281*DW281/Vout_ripple2*1000</f>
        <v>0.31051734038829654</v>
      </c>
      <c r="EC281" s="5">
        <f t="shared" ref="EC281:EC316" si="873">CL281/Efficiency/CN281*DX281/Vinripple1</f>
        <v>0.72122869135773515</v>
      </c>
      <c r="ED281" s="5"/>
      <c r="EE281" s="173">
        <f t="shared" ref="EE281:EE316" si="874">DM281*SQRT(DY281/3)</f>
        <v>0.98049053327513902</v>
      </c>
      <c r="EF281" s="173">
        <f t="shared" ref="EF281:EF316" si="875">DM281*Npri_sec1*SQRT((1-DY281)/3)*(Pout/Pout_total)</f>
        <v>0.99669621153600363</v>
      </c>
      <c r="EG281" s="173">
        <f t="shared" ref="EG281:EG316" si="876">DM281*Npri_sec2*SQRT((1-DY281)/3)*(Pout2/Pout_total)</f>
        <v>9.9804309830834922E-2</v>
      </c>
      <c r="EH281" s="173"/>
      <c r="EI281" s="528">
        <f t="shared" ref="EI281:EI316" si="877">Rdson*EE281^2</f>
        <v>3.8454467433686662E-2</v>
      </c>
      <c r="EJ281" s="528">
        <f t="shared" ref="EJ281:EJ316" si="878">0.5*CP281*DM281*DQ281*1000*Trise</f>
        <v>1.5635071252943007</v>
      </c>
      <c r="EK281" s="528">
        <f t="shared" ref="EK281:EK316" si="879">Qg*Vdd*DQ281*1000</f>
        <v>6.9999999999999993E-2</v>
      </c>
      <c r="EL281" s="528">
        <f t="shared" ref="EL281:EL316" si="880">0.5*(Coss+Csw)*CP281^2*DQ281*1000</f>
        <v>0.16865892671311253</v>
      </c>
      <c r="EM281">
        <f t="shared" ref="EM281:EM316" si="881">CN281*IQ</f>
        <v>1.6199999999999999E-2</v>
      </c>
      <c r="EN281" s="460">
        <f t="shared" ref="EN281:EN316" si="882">(EK281+EM281)*1000</f>
        <v>86.2</v>
      </c>
      <c r="EP281" s="460">
        <f t="shared" ref="EP281:EP316" si="883">SUM(EI281:EM281)*1000</f>
        <v>1856.8205194410998</v>
      </c>
      <c r="EQ281" s="173">
        <f t="shared" ref="EQ281:EQ316" si="884">Vfwd2*CJ281</f>
        <v>0.45499999999999996</v>
      </c>
      <c r="ER281" s="173">
        <f t="shared" si="845"/>
        <v>4.0300000000000002E-2</v>
      </c>
      <c r="ES281" s="528"/>
      <c r="EU281" s="460">
        <f t="shared" ref="EU281:EU316" si="885">SUM(EQ281:ET281)*1000</f>
        <v>495.29999999999995</v>
      </c>
      <c r="EV281" s="528">
        <f t="shared" ref="EV281:EV316" si="886">Rdcr_pri*EE281^2</f>
        <v>2.8840850575264993E-2</v>
      </c>
      <c r="EW281" s="528">
        <f t="shared" ref="EW281:EW316" si="887">Rdcr_sec*EF281^2</f>
        <v>2.980210014270666E-2</v>
      </c>
      <c r="EX281" s="528">
        <f t="shared" ref="EX281:EX316" si="888">Rdcr_sec2*EG281^2</f>
        <v>4.9804501304046464E-5</v>
      </c>
      <c r="EY281" s="528">
        <f t="shared" ref="EY281:EY316" si="889">DM281^2.5*DQ281^2.5*k_core</f>
        <v>1.9320078319085447</v>
      </c>
      <c r="EZ281" s="528"/>
      <c r="FA281" s="625">
        <f t="shared" ref="FA281:FA316" si="890">0.5*Lleak*0.000000001*DM281^2*DQ281*1000</f>
        <v>0.67080000000000028</v>
      </c>
      <c r="FB281" s="460">
        <f t="shared" ref="FB281:FB316" si="891">SUM(EV281:FA281)*1000</f>
        <v>2661.5005871278208</v>
      </c>
      <c r="FC281" s="173">
        <f t="shared" ref="FC281:FC316" si="892">SUM(EI281:EM281,EQ281:ET281,EV281:FA281)</f>
        <v>5.0136211065689213</v>
      </c>
      <c r="FD281" s="5">
        <f t="shared" ref="FD281:FD316" si="893">MIN(CL281+CM281,CS281+CT281)</f>
        <v>16.770000000000003</v>
      </c>
      <c r="FE281" s="173">
        <f t="shared" ref="FE281:FE316" si="894">FD281/(FD281+FC281)</f>
        <v>0.76984445873156293</v>
      </c>
      <c r="FF281" s="5">
        <f t="shared" ref="FF281:FF316" si="895">FE281*100</f>
        <v>76.98444587315629</v>
      </c>
      <c r="FG281">
        <f t="shared" ref="FG281:FG316" si="896">CJ281/Iout*100</f>
        <v>65</v>
      </c>
      <c r="FI281" s="562">
        <f t="shared" si="846"/>
        <v>-50</v>
      </c>
    </row>
    <row r="282" spans="5:165">
      <c r="E282" s="170">
        <v>66</v>
      </c>
      <c r="F282" s="217">
        <f t="shared" si="847"/>
        <v>0.66</v>
      </c>
      <c r="G282" s="217">
        <f t="shared" si="775"/>
        <v>6.6000000000000003E-2</v>
      </c>
      <c r="H282" s="217">
        <f t="shared" si="776"/>
        <v>15.84</v>
      </c>
      <c r="I282" s="217">
        <f t="shared" si="777"/>
        <v>1.1880000000000002</v>
      </c>
      <c r="J282" s="541">
        <f t="shared" si="778"/>
        <v>35.865862951733618</v>
      </c>
      <c r="K282" s="443">
        <f t="shared" si="779"/>
        <v>16.494977123532617</v>
      </c>
      <c r="L282" s="172">
        <f t="shared" si="780"/>
        <v>52.360840075266239</v>
      </c>
      <c r="M282" s="443"/>
      <c r="N282" s="217">
        <f t="shared" si="781"/>
        <v>0.31502506643938227</v>
      </c>
      <c r="O282" s="172">
        <f t="shared" si="782"/>
        <v>58.390934673259238</v>
      </c>
      <c r="P282" s="172">
        <f t="shared" si="783"/>
        <v>4.7077691080315258</v>
      </c>
      <c r="Q282" s="217">
        <f t="shared" si="784"/>
        <v>2.4329556113858017</v>
      </c>
      <c r="R282" s="217">
        <f t="shared" si="785"/>
        <v>3.2439408151810687</v>
      </c>
      <c r="S282" s="217">
        <f t="shared" si="786"/>
        <v>24</v>
      </c>
      <c r="T282" s="217">
        <f t="shared" si="787"/>
        <v>3.0141665137722327</v>
      </c>
      <c r="U282" s="217">
        <f t="shared" si="788"/>
        <v>0.84039983028668208</v>
      </c>
      <c r="V282" s="217">
        <f t="shared" si="789"/>
        <v>1.8273238521028694</v>
      </c>
      <c r="W282" s="197">
        <f t="shared" si="790"/>
        <v>350</v>
      </c>
      <c r="X282" s="443">
        <f t="shared" si="848"/>
        <v>348.70863121887066</v>
      </c>
      <c r="Z282" s="217">
        <f t="shared" si="791"/>
        <v>3.2281845312216175</v>
      </c>
      <c r="AA282" s="173">
        <f t="shared" si="792"/>
        <v>1.9570712387446219</v>
      </c>
      <c r="AB282" s="173">
        <f t="shared" si="793"/>
        <v>0.6859941387712678</v>
      </c>
      <c r="AC282" s="173"/>
      <c r="AD282" s="173">
        <f t="shared" si="794"/>
        <v>1.3472114605432712</v>
      </c>
      <c r="AE282" s="545">
        <f t="shared" si="795"/>
        <v>661.03558997305367</v>
      </c>
      <c r="AF282" s="528">
        <f t="shared" si="796"/>
        <v>0.34945168384869635</v>
      </c>
      <c r="AH282" s="173">
        <f t="shared" si="797"/>
        <v>3.119340589657646</v>
      </c>
      <c r="AI282" s="173">
        <f t="shared" si="798"/>
        <v>3.119340589657646</v>
      </c>
      <c r="AJ282" s="173">
        <f t="shared" si="799"/>
        <v>1.8645321240262398</v>
      </c>
      <c r="AL282" s="545">
        <f t="shared" si="800"/>
        <v>660</v>
      </c>
      <c r="AM282" s="460">
        <f t="shared" si="801"/>
        <v>348.70863121887066</v>
      </c>
      <c r="AO282">
        <f t="shared" si="802"/>
        <v>660</v>
      </c>
      <c r="AP282">
        <f t="shared" si="803"/>
        <v>348.70863121887066</v>
      </c>
      <c r="AR282" s="5">
        <f t="shared" si="774"/>
        <v>2.8677236823895518</v>
      </c>
      <c r="AS282" s="5">
        <f t="shared" si="739"/>
        <v>0.86972411450283249</v>
      </c>
      <c r="AT282" s="5">
        <f t="shared" si="740"/>
        <v>1.9979995678867193</v>
      </c>
      <c r="AU282" s="173">
        <f t="shared" si="741"/>
        <v>0.30328030550632706</v>
      </c>
      <c r="BA282" s="173">
        <f t="shared" si="849"/>
        <v>0.99180038719028873</v>
      </c>
      <c r="BB282" s="173">
        <f t="shared" si="850"/>
        <v>1.0026677501991712</v>
      </c>
      <c r="BC282" s="173">
        <f t="shared" si="851"/>
        <v>0.10040227066183591</v>
      </c>
      <c r="BD282" s="173"/>
      <c r="BE282" s="528">
        <f t="shared" si="852"/>
        <v>3.9346720321232265E-2</v>
      </c>
      <c r="BF282" s="528">
        <f t="shared" si="804"/>
        <v>1.2814882173143012</v>
      </c>
      <c r="BG282" s="528">
        <f t="shared" si="805"/>
        <v>0.50026943909530541</v>
      </c>
      <c r="BH282" s="528">
        <f t="shared" si="853"/>
        <v>0.16730694044519751</v>
      </c>
      <c r="BI282">
        <f t="shared" si="854"/>
        <v>1.6139638328280127E-2</v>
      </c>
      <c r="BJ282" s="460">
        <f t="shared" si="855"/>
        <v>516.40907742358559</v>
      </c>
      <c r="BK282">
        <f t="shared" si="806"/>
        <v>1.5129093503762214</v>
      </c>
      <c r="BL282" s="460">
        <f t="shared" si="856"/>
        <v>2004.5509555043166</v>
      </c>
      <c r="BM282" s="173">
        <f t="shared" si="807"/>
        <v>0.57287999999999994</v>
      </c>
      <c r="BN282" s="173">
        <f t="shared" si="808"/>
        <v>4.0920000000000005E-2</v>
      </c>
      <c r="BQ282" s="460">
        <f t="shared" si="857"/>
        <v>613.79999999999995</v>
      </c>
      <c r="BR282" s="528">
        <f t="shared" si="858"/>
        <v>2.9510040240924199E-2</v>
      </c>
      <c r="BS282" s="528">
        <f t="shared" si="859"/>
        <v>3.0160278518684025E-2</v>
      </c>
      <c r="BT282" s="528">
        <f t="shared" si="860"/>
        <v>5.0403079770262775E-5</v>
      </c>
      <c r="BU282" s="528">
        <f t="shared" si="861"/>
        <v>1.9511189106852613</v>
      </c>
      <c r="BV282" s="528"/>
      <c r="BW282" s="625">
        <f t="shared" si="862"/>
        <v>0.67860692255942034</v>
      </c>
      <c r="BX282" s="460">
        <f t="shared" si="863"/>
        <v>2689.44655508406</v>
      </c>
      <c r="BY282" s="173">
        <f t="shared" si="864"/>
        <v>5.3077975105883768</v>
      </c>
      <c r="BZ282" s="5">
        <f t="shared" si="865"/>
        <v>17.027999999999999</v>
      </c>
      <c r="CA282" s="173">
        <f t="shared" si="866"/>
        <v>0.76236364481401686</v>
      </c>
      <c r="CB282" s="5">
        <f t="shared" si="867"/>
        <v>76.236364481401679</v>
      </c>
      <c r="CC282">
        <f t="shared" si="868"/>
        <v>66</v>
      </c>
      <c r="CE282" s="562">
        <f t="shared" si="809"/>
        <v>-50</v>
      </c>
      <c r="CG282" s="173">
        <f t="shared" si="810"/>
        <v>0.65779343233824006</v>
      </c>
      <c r="CH282" s="173">
        <f t="shared" si="811"/>
        <v>0.17990104102030888</v>
      </c>
      <c r="CI282" s="170">
        <v>66</v>
      </c>
      <c r="CJ282" s="217">
        <f t="shared" si="869"/>
        <v>0.66</v>
      </c>
      <c r="CK282" s="217">
        <f t="shared" si="812"/>
        <v>6.6000000000000003E-2</v>
      </c>
      <c r="CL282" s="217">
        <f t="shared" si="813"/>
        <v>15.84</v>
      </c>
      <c r="CM282" s="217">
        <f t="shared" si="814"/>
        <v>1.1880000000000002</v>
      </c>
      <c r="CN282" s="541">
        <f t="shared" si="815"/>
        <v>36</v>
      </c>
      <c r="CO282" s="443">
        <f t="shared" si="816"/>
        <v>16.474900000000002</v>
      </c>
      <c r="CP282" s="443">
        <f t="shared" si="817"/>
        <v>52.474900000000005</v>
      </c>
      <c r="CQ282" s="443"/>
      <c r="CR282" s="217">
        <f t="shared" si="818"/>
        <v>0.31220924123305599</v>
      </c>
      <c r="CS282" s="172">
        <f t="shared" si="819"/>
        <v>58.085440229405762</v>
      </c>
      <c r="CT282" s="172">
        <f t="shared" si="820"/>
        <v>4.683138618495839</v>
      </c>
      <c r="CU282" s="217">
        <f t="shared" si="821"/>
        <v>2.4202266762252402</v>
      </c>
      <c r="CV282" s="217">
        <f t="shared" si="822"/>
        <v>3.2269689016336534</v>
      </c>
      <c r="CW282" s="217">
        <f t="shared" si="823"/>
        <v>24</v>
      </c>
      <c r="CX282" s="217">
        <f t="shared" si="824"/>
        <v>3.0300192148823544</v>
      </c>
      <c r="CY282" s="217">
        <f t="shared" si="825"/>
        <v>0.84167200413398735</v>
      </c>
      <c r="CZ282" s="217">
        <f t="shared" si="826"/>
        <v>1.8391730540897693</v>
      </c>
      <c r="DA282" s="197">
        <f t="shared" si="827"/>
        <v>350</v>
      </c>
      <c r="DB282" s="443">
        <f t="shared" si="828"/>
        <v>350</v>
      </c>
      <c r="DD282" s="217">
        <f t="shared" si="829"/>
        <v>3.2292794133140656</v>
      </c>
      <c r="DE282" s="173">
        <f t="shared" si="830"/>
        <v>1.9601207978889497</v>
      </c>
      <c r="DF282" s="173">
        <f t="shared" si="831"/>
        <v>0.6872960992823488</v>
      </c>
      <c r="DG282" s="173"/>
      <c r="DH282" s="173">
        <f t="shared" si="832"/>
        <v>1.3488532386977903</v>
      </c>
      <c r="DI282" s="545">
        <f t="shared" si="833"/>
        <v>660.23099999999977</v>
      </c>
      <c r="DJ282" s="528">
        <f t="shared" si="834"/>
        <v>0.34987754285999911</v>
      </c>
      <c r="DL282" s="173">
        <f t="shared" si="835"/>
        <v>3.119340589657646</v>
      </c>
      <c r="DM282" s="173">
        <f t="shared" si="836"/>
        <v>3.119340589657646</v>
      </c>
      <c r="DN282" s="173">
        <f t="shared" si="837"/>
        <v>1.8645321240262398</v>
      </c>
      <c r="DP282" s="545">
        <f t="shared" si="838"/>
        <v>660</v>
      </c>
      <c r="DQ282" s="460">
        <f t="shared" si="839"/>
        <v>350</v>
      </c>
      <c r="DS282">
        <f t="shared" si="840"/>
        <v>660</v>
      </c>
      <c r="DT282">
        <f t="shared" si="841"/>
        <v>350</v>
      </c>
      <c r="DV282" s="5">
        <f t="shared" si="870"/>
        <v>2.8571428571428572</v>
      </c>
      <c r="DW282" s="5">
        <f t="shared" si="842"/>
        <v>0.86648349712712402</v>
      </c>
      <c r="DX282" s="5">
        <f t="shared" si="843"/>
        <v>1.9906593600157332</v>
      </c>
      <c r="DY282" s="173">
        <f t="shared" si="844"/>
        <v>0.30326922399449341</v>
      </c>
      <c r="EA282" s="5">
        <f t="shared" si="871"/>
        <v>2.3828296170995911</v>
      </c>
      <c r="EB282" s="5">
        <f t="shared" si="872"/>
        <v>0.31771061561327879</v>
      </c>
      <c r="EC282" s="5">
        <f t="shared" si="873"/>
        <v>0.72990843200576883</v>
      </c>
      <c r="ED282" s="5"/>
      <c r="EE282" s="173">
        <f t="shared" si="874"/>
        <v>0.99178226740485265</v>
      </c>
      <c r="EF282" s="173">
        <f t="shared" si="875"/>
        <v>1.0026757240159343</v>
      </c>
      <c r="EG282" s="173">
        <f t="shared" si="876"/>
        <v>0.10040306912105502</v>
      </c>
      <c r="EH282" s="173"/>
      <c r="EI282" s="528">
        <f t="shared" si="877"/>
        <v>3.9345282637548426E-2</v>
      </c>
      <c r="EJ282" s="528">
        <f t="shared" si="878"/>
        <v>1.5754881980166755</v>
      </c>
      <c r="EK282" s="528">
        <f t="shared" si="879"/>
        <v>6.9999999999999993E-2</v>
      </c>
      <c r="EL282" s="528">
        <f t="shared" si="880"/>
        <v>0.16865892671311253</v>
      </c>
      <c r="EM282">
        <f t="shared" si="881"/>
        <v>1.6199999999999999E-2</v>
      </c>
      <c r="EN282" s="460">
        <f t="shared" si="882"/>
        <v>86.2</v>
      </c>
      <c r="EP282" s="460">
        <f t="shared" si="883"/>
        <v>1869.6924073673365</v>
      </c>
      <c r="EQ282" s="173">
        <f t="shared" si="884"/>
        <v>0.46199999999999997</v>
      </c>
      <c r="ER282" s="173">
        <f t="shared" si="845"/>
        <v>4.0920000000000005E-2</v>
      </c>
      <c r="ES282" s="528"/>
      <c r="EU282" s="460">
        <f t="shared" si="885"/>
        <v>502.9199999999999</v>
      </c>
      <c r="EV282" s="528">
        <f t="shared" si="886"/>
        <v>2.950896197816132E-2</v>
      </c>
      <c r="EW282" s="528">
        <f t="shared" si="887"/>
        <v>3.0160758225926339E-2</v>
      </c>
      <c r="EX282" s="528">
        <f t="shared" si="888"/>
        <v>5.0403881444636761E-5</v>
      </c>
      <c r="EY282" s="528">
        <f t="shared" si="889"/>
        <v>1.9692330056962959</v>
      </c>
      <c r="EZ282" s="528"/>
      <c r="FA282" s="625">
        <f t="shared" si="890"/>
        <v>0.68111999999999984</v>
      </c>
      <c r="FB282" s="460">
        <f t="shared" si="891"/>
        <v>2710.0731297818284</v>
      </c>
      <c r="FC282" s="173">
        <f t="shared" si="892"/>
        <v>5.0826855371491648</v>
      </c>
      <c r="FD282" s="5">
        <f t="shared" si="893"/>
        <v>17.027999999999999</v>
      </c>
      <c r="FE282" s="173">
        <f t="shared" si="894"/>
        <v>0.77012537541590409</v>
      </c>
      <c r="FF282" s="5">
        <f t="shared" si="895"/>
        <v>77.012537541590405</v>
      </c>
      <c r="FG282">
        <f t="shared" si="896"/>
        <v>66</v>
      </c>
      <c r="FI282" s="562">
        <f t="shared" si="846"/>
        <v>-50</v>
      </c>
    </row>
    <row r="283" spans="5:165">
      <c r="E283" s="170">
        <v>67</v>
      </c>
      <c r="F283" s="217">
        <f t="shared" si="847"/>
        <v>0.67</v>
      </c>
      <c r="G283" s="217">
        <f t="shared" si="775"/>
        <v>6.7000000000000004E-2</v>
      </c>
      <c r="H283" s="217">
        <f t="shared" si="776"/>
        <v>16.080000000000002</v>
      </c>
      <c r="I283" s="217">
        <f t="shared" si="777"/>
        <v>1.206</v>
      </c>
      <c r="J283" s="541">
        <f t="shared" si="778"/>
        <v>35.864850582290273</v>
      </c>
      <c r="K283" s="443">
        <f t="shared" si="779"/>
        <v>16.495128651142906</v>
      </c>
      <c r="L283" s="172">
        <f t="shared" si="780"/>
        <v>52.35997923343318</v>
      </c>
      <c r="M283" s="443"/>
      <c r="N283" s="217">
        <f t="shared" si="781"/>
        <v>0.31503313967340818</v>
      </c>
      <c r="O283" s="172">
        <f t="shared" si="782"/>
        <v>58.390782857139868</v>
      </c>
      <c r="P283" s="172">
        <f t="shared" si="783"/>
        <v>4.7077568678569026</v>
      </c>
      <c r="Q283" s="217">
        <f t="shared" si="784"/>
        <v>2.432949285714161</v>
      </c>
      <c r="R283" s="217">
        <f t="shared" si="785"/>
        <v>3.2439323809522147</v>
      </c>
      <c r="S283" s="217">
        <f t="shared" si="786"/>
        <v>24</v>
      </c>
      <c r="T283" s="217">
        <f t="shared" si="787"/>
        <v>3.0598436589520701</v>
      </c>
      <c r="U283" s="217">
        <f t="shared" si="788"/>
        <v>0.85315946094112327</v>
      </c>
      <c r="V283" s="217">
        <f t="shared" si="789"/>
        <v>1.8549983596157409</v>
      </c>
      <c r="W283" s="197">
        <f t="shared" si="790"/>
        <v>350</v>
      </c>
      <c r="X283" s="443">
        <f t="shared" si="848"/>
        <v>343.86029290821517</v>
      </c>
      <c r="Z283" s="217">
        <f t="shared" si="791"/>
        <v>3.2281761379590188</v>
      </c>
      <c r="AA283" s="173">
        <f t="shared" si="792"/>
        <v>1.957048172361691</v>
      </c>
      <c r="AB283" s="173">
        <f t="shared" si="793"/>
        <v>0.68598426996462369</v>
      </c>
      <c r="AC283" s="173"/>
      <c r="AD283" s="173">
        <f t="shared" si="794"/>
        <v>1.347199084784495</v>
      </c>
      <c r="AE283" s="545">
        <f t="shared" si="795"/>
        <v>671.05744520054373</v>
      </c>
      <c r="AF283" s="528">
        <f t="shared" si="796"/>
        <v>0.3494484737143782</v>
      </c>
      <c r="AH283" s="173">
        <f t="shared" si="797"/>
        <v>3.1428831167757871</v>
      </c>
      <c r="AI283" s="173">
        <f t="shared" si="798"/>
        <v>3.1428831167757871</v>
      </c>
      <c r="AJ283" s="173">
        <f t="shared" si="799"/>
        <v>1.8819710330026407</v>
      </c>
      <c r="AL283" s="545">
        <f t="shared" si="800"/>
        <v>670</v>
      </c>
      <c r="AM283" s="460">
        <f t="shared" si="801"/>
        <v>343.86029290821517</v>
      </c>
      <c r="AO283">
        <f t="shared" si="802"/>
        <v>670</v>
      </c>
      <c r="AP283">
        <f t="shared" si="803"/>
        <v>343.86029290821517</v>
      </c>
      <c r="AR283" s="5">
        <f t="shared" si="774"/>
        <v>2.9081578205568643</v>
      </c>
      <c r="AS283" s="5">
        <f t="shared" si="739"/>
        <v>0.87631289849223948</v>
      </c>
      <c r="AT283" s="5">
        <f t="shared" si="740"/>
        <v>2.0318449220646251</v>
      </c>
      <c r="AU283" s="173">
        <f t="shared" si="741"/>
        <v>0.30132920995478851</v>
      </c>
      <c r="BA283" s="173">
        <f t="shared" si="849"/>
        <v>0.99606623639752889</v>
      </c>
      <c r="BB283" s="173">
        <f t="shared" si="850"/>
        <v>1.0116487049185143</v>
      </c>
      <c r="BC283" s="173">
        <f t="shared" si="851"/>
        <v>0.10130157977629986</v>
      </c>
      <c r="BD283" s="173"/>
      <c r="BE283" s="528">
        <f t="shared" si="852"/>
        <v>3.9685917891645515E-2</v>
      </c>
      <c r="BF283" s="528">
        <f t="shared" si="804"/>
        <v>1.2731871376428554</v>
      </c>
      <c r="BG283" s="528">
        <f t="shared" si="805"/>
        <v>0.49329992105342818</v>
      </c>
      <c r="BH283" s="528">
        <f t="shared" si="853"/>
        <v>0.16497533113251159</v>
      </c>
      <c r="BI283">
        <f t="shared" si="854"/>
        <v>1.6139182762030621E-2</v>
      </c>
      <c r="BJ283" s="460">
        <f t="shared" si="855"/>
        <v>509.43910381545874</v>
      </c>
      <c r="BK283">
        <f t="shared" si="806"/>
        <v>1.5027334200747722</v>
      </c>
      <c r="BL283" s="460">
        <f t="shared" si="856"/>
        <v>1987.2874904824712</v>
      </c>
      <c r="BM283" s="173">
        <f t="shared" si="807"/>
        <v>0.58155999999999997</v>
      </c>
      <c r="BN283" s="173">
        <f t="shared" si="808"/>
        <v>4.1540000000000001E-2</v>
      </c>
      <c r="BQ283" s="460">
        <f t="shared" si="857"/>
        <v>623.1</v>
      </c>
      <c r="BR283" s="528">
        <f t="shared" si="858"/>
        <v>2.9764438418734135E-2</v>
      </c>
      <c r="BS283" s="528">
        <f t="shared" si="859"/>
        <v>3.0702993064899216E-2</v>
      </c>
      <c r="BT283" s="528">
        <f t="shared" si="860"/>
        <v>5.1310050325870229E-5</v>
      </c>
      <c r="BU283" s="528">
        <f t="shared" si="861"/>
        <v>1.919754309911643</v>
      </c>
      <c r="BV283" s="528"/>
      <c r="BW283" s="625">
        <f t="shared" si="862"/>
        <v>0.67931074550987514</v>
      </c>
      <c r="BX283" s="460">
        <f t="shared" si="863"/>
        <v>2659.5837969554773</v>
      </c>
      <c r="BY283" s="173">
        <f t="shared" si="864"/>
        <v>5.269971287437949</v>
      </c>
      <c r="BZ283" s="5">
        <f t="shared" si="865"/>
        <v>17.286000000000001</v>
      </c>
      <c r="CA283" s="173">
        <f t="shared" si="866"/>
        <v>0.76636025909587224</v>
      </c>
      <c r="CB283" s="5">
        <f t="shared" si="867"/>
        <v>76.636025909587218</v>
      </c>
      <c r="CC283">
        <f t="shared" si="868"/>
        <v>67</v>
      </c>
      <c r="CE283" s="562">
        <f t="shared" si="809"/>
        <v>-50</v>
      </c>
      <c r="CG283" s="173">
        <f t="shared" si="810"/>
        <v>0.66275798150299081</v>
      </c>
      <c r="CH283" s="173">
        <f t="shared" si="811"/>
        <v>0.18125880398817609</v>
      </c>
      <c r="CI283" s="170">
        <v>67</v>
      </c>
      <c r="CJ283" s="217">
        <f t="shared" si="869"/>
        <v>0.67</v>
      </c>
      <c r="CK283" s="217">
        <f t="shared" si="812"/>
        <v>6.7000000000000004E-2</v>
      </c>
      <c r="CL283" s="217">
        <f t="shared" si="813"/>
        <v>16.080000000000002</v>
      </c>
      <c r="CM283" s="217">
        <f t="shared" si="814"/>
        <v>1.206</v>
      </c>
      <c r="CN283" s="541">
        <f t="shared" si="815"/>
        <v>36</v>
      </c>
      <c r="CO283" s="443">
        <f t="shared" si="816"/>
        <v>16.474900000000002</v>
      </c>
      <c r="CP283" s="443">
        <f t="shared" si="817"/>
        <v>52.474900000000005</v>
      </c>
      <c r="CQ283" s="443"/>
      <c r="CR283" s="217">
        <f t="shared" si="818"/>
        <v>0.31220924123305599</v>
      </c>
      <c r="CS283" s="172">
        <f t="shared" si="819"/>
        <v>58.085440229405762</v>
      </c>
      <c r="CT283" s="172">
        <f t="shared" si="820"/>
        <v>4.683138618495839</v>
      </c>
      <c r="CU283" s="217">
        <f t="shared" si="821"/>
        <v>2.4202266762252402</v>
      </c>
      <c r="CV283" s="217">
        <f t="shared" si="822"/>
        <v>3.2269689016336534</v>
      </c>
      <c r="CW283" s="217">
        <f t="shared" si="823"/>
        <v>24</v>
      </c>
      <c r="CX283" s="217">
        <f t="shared" si="824"/>
        <v>3.075928596926027</v>
      </c>
      <c r="CY283" s="217">
        <f t="shared" si="825"/>
        <v>0.85442461025722971</v>
      </c>
      <c r="CZ283" s="217">
        <f t="shared" si="826"/>
        <v>1.8670393124850693</v>
      </c>
      <c r="DA283" s="197">
        <f t="shared" si="827"/>
        <v>350</v>
      </c>
      <c r="DB283" s="443">
        <f t="shared" si="828"/>
        <v>350</v>
      </c>
      <c r="DD283" s="217">
        <f t="shared" si="829"/>
        <v>3.2292794133140656</v>
      </c>
      <c r="DE283" s="173">
        <f t="shared" si="830"/>
        <v>1.9601207978889497</v>
      </c>
      <c r="DF283" s="173">
        <f t="shared" si="831"/>
        <v>0.6872960992823488</v>
      </c>
      <c r="DG283" s="173"/>
      <c r="DH283" s="173">
        <f t="shared" si="832"/>
        <v>1.3488532386977903</v>
      </c>
      <c r="DI283" s="545">
        <f t="shared" si="833"/>
        <v>670.2344999999998</v>
      </c>
      <c r="DJ283" s="528">
        <f t="shared" si="834"/>
        <v>0.34987754285999911</v>
      </c>
      <c r="DL283" s="173">
        <f t="shared" si="835"/>
        <v>3.1428831167757871</v>
      </c>
      <c r="DM283" s="173">
        <f t="shared" si="836"/>
        <v>3.1428831167757871</v>
      </c>
      <c r="DN283" s="173">
        <f t="shared" si="837"/>
        <v>1.8819710330026407</v>
      </c>
      <c r="DP283" s="545">
        <f t="shared" si="838"/>
        <v>670</v>
      </c>
      <c r="DQ283" s="460">
        <f t="shared" si="839"/>
        <v>350</v>
      </c>
      <c r="DS283">
        <f t="shared" si="840"/>
        <v>670</v>
      </c>
      <c r="DT283">
        <f t="shared" si="841"/>
        <v>350</v>
      </c>
      <c r="DV283" s="5">
        <f t="shared" si="870"/>
        <v>2.8571428571428572</v>
      </c>
      <c r="DW283" s="5">
        <f t="shared" si="842"/>
        <v>0.87302308799327433</v>
      </c>
      <c r="DX283" s="5">
        <f t="shared" si="843"/>
        <v>1.9841197691495829</v>
      </c>
      <c r="DY283" s="173">
        <f t="shared" si="844"/>
        <v>0.30555808079764601</v>
      </c>
      <c r="EA283" s="5">
        <f t="shared" si="871"/>
        <v>2.4371894539812242</v>
      </c>
      <c r="EB283" s="5">
        <f t="shared" si="872"/>
        <v>0.3249585938641632</v>
      </c>
      <c r="EC283" s="5">
        <f t="shared" si="873"/>
        <v>0.73853346962790023</v>
      </c>
      <c r="ED283" s="5"/>
      <c r="EE283" s="173">
        <f t="shared" si="874"/>
        <v>1.0030313088849467</v>
      </c>
      <c r="EF283" s="173">
        <f t="shared" si="875"/>
        <v>1.0085824360545412</v>
      </c>
      <c r="EG283" s="173">
        <f t="shared" si="876"/>
        <v>0.10099453852924525</v>
      </c>
      <c r="EH283" s="173"/>
      <c r="EI283" s="528">
        <f t="shared" si="877"/>
        <v>4.0242872264137981E-2</v>
      </c>
      <c r="EJ283" s="528">
        <f t="shared" si="878"/>
        <v>1.5873788436707912</v>
      </c>
      <c r="EK283" s="528">
        <f t="shared" si="879"/>
        <v>6.9999999999999993E-2</v>
      </c>
      <c r="EL283" s="528">
        <f t="shared" si="880"/>
        <v>0.16865892671311253</v>
      </c>
      <c r="EM283">
        <f t="shared" si="881"/>
        <v>1.6199999999999999E-2</v>
      </c>
      <c r="EN283" s="460">
        <f t="shared" si="882"/>
        <v>86.2</v>
      </c>
      <c r="EP283" s="460">
        <f t="shared" si="883"/>
        <v>1882.4806426480416</v>
      </c>
      <c r="EQ283" s="173">
        <f t="shared" si="884"/>
        <v>0.46899999999999997</v>
      </c>
      <c r="ER283" s="173">
        <f t="shared" si="845"/>
        <v>4.1540000000000001E-2</v>
      </c>
      <c r="ES283" s="528"/>
      <c r="EU283" s="460">
        <f t="shared" si="885"/>
        <v>510.54</v>
      </c>
      <c r="EV283" s="528">
        <f t="shared" si="886"/>
        <v>3.0182154198103484E-2</v>
      </c>
      <c r="EW283" s="528">
        <f t="shared" si="887"/>
        <v>3.0517155909531381E-2</v>
      </c>
      <c r="EX283" s="528">
        <f t="shared" si="888"/>
        <v>5.0999484063676022E-5</v>
      </c>
      <c r="EY283" s="528">
        <f t="shared" si="889"/>
        <v>2.0065994560605493</v>
      </c>
      <c r="EZ283" s="528"/>
      <c r="FA283" s="625">
        <f t="shared" si="890"/>
        <v>0.69143999999999994</v>
      </c>
      <c r="FB283" s="460">
        <f t="shared" si="891"/>
        <v>2758.7897656522482</v>
      </c>
      <c r="FC283" s="173">
        <f t="shared" si="892"/>
        <v>5.1518104083002889</v>
      </c>
      <c r="FD283" s="5">
        <f t="shared" si="893"/>
        <v>17.286000000000001</v>
      </c>
      <c r="FE283" s="173">
        <f t="shared" si="894"/>
        <v>0.77039602730601064</v>
      </c>
      <c r="FF283" s="5">
        <f t="shared" si="895"/>
        <v>77.039602730601061</v>
      </c>
      <c r="FG283">
        <f t="shared" si="896"/>
        <v>67</v>
      </c>
      <c r="FI283" s="562">
        <f t="shared" si="846"/>
        <v>-50</v>
      </c>
    </row>
    <row r="284" spans="5:165">
      <c r="E284" s="170">
        <v>68</v>
      </c>
      <c r="F284" s="217">
        <f t="shared" si="847"/>
        <v>0.68</v>
      </c>
      <c r="G284" s="217">
        <f t="shared" si="775"/>
        <v>6.8000000000000005E-2</v>
      </c>
      <c r="H284" s="217">
        <f t="shared" si="776"/>
        <v>16.32</v>
      </c>
      <c r="I284" s="217">
        <f t="shared" si="777"/>
        <v>1.2240000000000002</v>
      </c>
      <c r="J284" s="541">
        <f t="shared" si="778"/>
        <v>35.863845740070538</v>
      </c>
      <c r="K284" s="443">
        <f t="shared" si="779"/>
        <v>16.495279052106973</v>
      </c>
      <c r="L284" s="172">
        <f t="shared" si="780"/>
        <v>52.359124792177511</v>
      </c>
      <c r="M284" s="443"/>
      <c r="N284" s="217">
        <f t="shared" si="781"/>
        <v>0.31504115314340353</v>
      </c>
      <c r="O284" s="172">
        <f t="shared" si="782"/>
        <v>58.390632134930037</v>
      </c>
      <c r="P284" s="172">
        <f t="shared" si="783"/>
        <v>4.707744715878734</v>
      </c>
      <c r="Q284" s="217">
        <f t="shared" si="784"/>
        <v>2.4329430056220849</v>
      </c>
      <c r="R284" s="217">
        <f t="shared" si="785"/>
        <v>3.2439240074961133</v>
      </c>
      <c r="S284" s="217">
        <f t="shared" si="786"/>
        <v>24</v>
      </c>
      <c r="T284" s="217">
        <f t="shared" si="787"/>
        <v>3.1055209834739461</v>
      </c>
      <c r="U284" s="217">
        <f t="shared" si="788"/>
        <v>0.86591968022106436</v>
      </c>
      <c r="V284" s="217">
        <f t="shared" si="789"/>
        <v>1.8826725959978665</v>
      </c>
      <c r="W284" s="197">
        <f t="shared" si="790"/>
        <v>350</v>
      </c>
      <c r="X284" s="443">
        <f t="shared" si="848"/>
        <v>339.14488892385293</v>
      </c>
      <c r="Z284" s="217">
        <f t="shared" si="791"/>
        <v>3.2281678051739893</v>
      </c>
      <c r="AA284" s="173">
        <f t="shared" si="792"/>
        <v>1.9570252767331326</v>
      </c>
      <c r="AB284" s="173">
        <f t="shared" si="793"/>
        <v>0.68597447390394151</v>
      </c>
      <c r="AC284" s="173"/>
      <c r="AD284" s="173">
        <f t="shared" si="794"/>
        <v>1.3471868012674657</v>
      </c>
      <c r="AE284" s="545">
        <f t="shared" si="795"/>
        <v>681.07943792357707</v>
      </c>
      <c r="AF284" s="528">
        <f t="shared" si="796"/>
        <v>0.34944528750654436</v>
      </c>
      <c r="AH284" s="173">
        <f t="shared" si="797"/>
        <v>3.1662505992329248</v>
      </c>
      <c r="AI284" s="173">
        <f t="shared" si="798"/>
        <v>3.1662505992329248</v>
      </c>
      <c r="AJ284" s="173">
        <f t="shared" si="799"/>
        <v>1.899280279267187</v>
      </c>
      <c r="AL284" s="545">
        <f t="shared" si="800"/>
        <v>680</v>
      </c>
      <c r="AM284" s="460">
        <f t="shared" si="801"/>
        <v>339.14488892385293</v>
      </c>
      <c r="AO284">
        <f t="shared" si="802"/>
        <v>680</v>
      </c>
      <c r="AP284">
        <f t="shared" si="803"/>
        <v>339.14488892385293</v>
      </c>
      <c r="AR284" s="5">
        <f t="shared" si="774"/>
        <v>2.9485922762189309</v>
      </c>
      <c r="AS284" s="5">
        <f t="shared" si="739"/>
        <v>0.88285306104116024</v>
      </c>
      <c r="AT284" s="5">
        <f t="shared" si="740"/>
        <v>2.0657392151777705</v>
      </c>
      <c r="AU284" s="173">
        <f t="shared" si="741"/>
        <v>0.29941510332288784</v>
      </c>
      <c r="BA284" s="173">
        <f t="shared" si="849"/>
        <v>1.000279824915365</v>
      </c>
      <c r="BB284" s="173">
        <f t="shared" si="850"/>
        <v>1.0205654853893051</v>
      </c>
      <c r="BC284" s="173">
        <f t="shared" si="851"/>
        <v>0.10219446279371285</v>
      </c>
      <c r="BD284" s="173"/>
      <c r="BE284" s="528">
        <f t="shared" si="852"/>
        <v>4.002238912530854E-2</v>
      </c>
      <c r="BF284" s="528">
        <f t="shared" si="804"/>
        <v>1.2650434957305954</v>
      </c>
      <c r="BG284" s="528">
        <f t="shared" si="805"/>
        <v>0.48652159919593679</v>
      </c>
      <c r="BH284" s="528">
        <f t="shared" si="853"/>
        <v>0.16270769103780669</v>
      </c>
      <c r="BI284">
        <f t="shared" si="854"/>
        <v>1.6138730583031741E-2</v>
      </c>
      <c r="BJ284" s="460">
        <f t="shared" si="855"/>
        <v>502.66032977896856</v>
      </c>
      <c r="BK284">
        <f t="shared" si="806"/>
        <v>1.4927748946050539</v>
      </c>
      <c r="BL284" s="460">
        <f t="shared" si="856"/>
        <v>1970.4339056726794</v>
      </c>
      <c r="BM284" s="173">
        <f t="shared" si="807"/>
        <v>0.59023999999999999</v>
      </c>
      <c r="BN284" s="173">
        <f t="shared" si="808"/>
        <v>4.2160000000000003E-2</v>
      </c>
      <c r="BQ284" s="460">
        <f t="shared" si="857"/>
        <v>632.4</v>
      </c>
      <c r="BR284" s="528">
        <f t="shared" si="858"/>
        <v>3.0016791843981403E-2</v>
      </c>
      <c r="BS284" s="528">
        <f t="shared" si="859"/>
        <v>3.124661729903724E-2</v>
      </c>
      <c r="BT284" s="528">
        <f t="shared" si="860"/>
        <v>5.2218541128477795E-5</v>
      </c>
      <c r="BU284" s="528">
        <f t="shared" si="861"/>
        <v>1.8892803512400929</v>
      </c>
      <c r="BV284" s="528"/>
      <c r="BW284" s="625">
        <f t="shared" si="862"/>
        <v>0.67999519214629445</v>
      </c>
      <c r="BX284" s="460">
        <f t="shared" si="863"/>
        <v>2630.5911710705345</v>
      </c>
      <c r="BY284" s="173">
        <f t="shared" si="864"/>
        <v>5.233425076743214</v>
      </c>
      <c r="BZ284" s="5">
        <f t="shared" si="865"/>
        <v>17.544</v>
      </c>
      <c r="CA284" s="173">
        <f t="shared" si="866"/>
        <v>0.77023631691859773</v>
      </c>
      <c r="CB284" s="5">
        <f t="shared" si="867"/>
        <v>77.023631691859777</v>
      </c>
      <c r="CC284">
        <f t="shared" si="868"/>
        <v>68</v>
      </c>
      <c r="CE284" s="562">
        <f t="shared" si="809"/>
        <v>-50</v>
      </c>
      <c r="CG284" s="173">
        <f t="shared" si="810"/>
        <v>0.66768561798537673</v>
      </c>
      <c r="CH284" s="173">
        <f t="shared" si="811"/>
        <v>0.1826064716439624</v>
      </c>
      <c r="CI284" s="170">
        <v>68</v>
      </c>
      <c r="CJ284" s="217">
        <f t="shared" si="869"/>
        <v>0.68</v>
      </c>
      <c r="CK284" s="217">
        <f t="shared" si="812"/>
        <v>6.8000000000000005E-2</v>
      </c>
      <c r="CL284" s="217">
        <f t="shared" si="813"/>
        <v>16.32</v>
      </c>
      <c r="CM284" s="217">
        <f t="shared" si="814"/>
        <v>1.2240000000000002</v>
      </c>
      <c r="CN284" s="541">
        <f t="shared" si="815"/>
        <v>36</v>
      </c>
      <c r="CO284" s="443">
        <f t="shared" si="816"/>
        <v>16.474900000000002</v>
      </c>
      <c r="CP284" s="443">
        <f t="shared" si="817"/>
        <v>52.474900000000005</v>
      </c>
      <c r="CQ284" s="443"/>
      <c r="CR284" s="217">
        <f t="shared" si="818"/>
        <v>0.31220924123305599</v>
      </c>
      <c r="CS284" s="172">
        <f t="shared" si="819"/>
        <v>58.085440229405762</v>
      </c>
      <c r="CT284" s="172">
        <f t="shared" si="820"/>
        <v>4.683138618495839</v>
      </c>
      <c r="CU284" s="217">
        <f t="shared" si="821"/>
        <v>2.4202266762252402</v>
      </c>
      <c r="CV284" s="217">
        <f t="shared" si="822"/>
        <v>3.2269689016336534</v>
      </c>
      <c r="CW284" s="217">
        <f t="shared" si="823"/>
        <v>24</v>
      </c>
      <c r="CX284" s="217">
        <f t="shared" si="824"/>
        <v>3.1218379789696988</v>
      </c>
      <c r="CY284" s="217">
        <f t="shared" si="825"/>
        <v>0.86717721638047196</v>
      </c>
      <c r="CZ284" s="217">
        <f t="shared" si="826"/>
        <v>1.8949055708803688</v>
      </c>
      <c r="DA284" s="197">
        <f t="shared" si="827"/>
        <v>350</v>
      </c>
      <c r="DB284" s="443">
        <f t="shared" si="828"/>
        <v>350</v>
      </c>
      <c r="DD284" s="217">
        <f t="shared" si="829"/>
        <v>3.2292794133140656</v>
      </c>
      <c r="DE284" s="173">
        <f t="shared" si="830"/>
        <v>1.9601207978889497</v>
      </c>
      <c r="DF284" s="173">
        <f t="shared" si="831"/>
        <v>0.6872960992823488</v>
      </c>
      <c r="DG284" s="173"/>
      <c r="DH284" s="173">
        <f t="shared" si="832"/>
        <v>1.3488532386977903</v>
      </c>
      <c r="DI284" s="545">
        <f t="shared" si="833"/>
        <v>680.23799999999972</v>
      </c>
      <c r="DJ284" s="528">
        <f t="shared" si="834"/>
        <v>0.34987754285999911</v>
      </c>
      <c r="DL284" s="173">
        <f t="shared" si="835"/>
        <v>3.1662505992329248</v>
      </c>
      <c r="DM284" s="173">
        <f t="shared" si="836"/>
        <v>3.1662505992329248</v>
      </c>
      <c r="DN284" s="173">
        <f t="shared" si="837"/>
        <v>1.899280279267187</v>
      </c>
      <c r="DP284" s="545">
        <f t="shared" si="838"/>
        <v>680</v>
      </c>
      <c r="DQ284" s="460">
        <f t="shared" si="839"/>
        <v>350</v>
      </c>
      <c r="DS284">
        <f t="shared" si="840"/>
        <v>680</v>
      </c>
      <c r="DT284">
        <f t="shared" si="841"/>
        <v>350</v>
      </c>
      <c r="DV284" s="5">
        <f t="shared" si="870"/>
        <v>2.8571428571428572</v>
      </c>
      <c r="DW284" s="5">
        <f t="shared" si="842"/>
        <v>0.87951405534247917</v>
      </c>
      <c r="DX284" s="5">
        <f t="shared" si="843"/>
        <v>1.977628801800378</v>
      </c>
      <c r="DY284" s="173">
        <f t="shared" si="844"/>
        <v>0.3078299193698677</v>
      </c>
      <c r="EA284" s="5">
        <f t="shared" si="871"/>
        <v>2.4919564901370244</v>
      </c>
      <c r="EB284" s="5">
        <f t="shared" si="872"/>
        <v>0.33226086535160326</v>
      </c>
      <c r="EC284" s="5">
        <f t="shared" si="873"/>
        <v>0.74710421401347615</v>
      </c>
      <c r="ED284" s="5"/>
      <c r="EE284" s="173">
        <f t="shared" si="874"/>
        <v>1.0142384527952799</v>
      </c>
      <c r="EF284" s="173">
        <f t="shared" si="875"/>
        <v>1.0144178975574492</v>
      </c>
      <c r="EG284" s="173">
        <f t="shared" si="876"/>
        <v>0.10157887325541481</v>
      </c>
      <c r="EH284" s="173"/>
      <c r="EI284" s="528">
        <f t="shared" si="877"/>
        <v>4.1147185565142533E-2</v>
      </c>
      <c r="EJ284" s="528">
        <f t="shared" si="878"/>
        <v>1.5991810793582453</v>
      </c>
      <c r="EK284" s="528">
        <f t="shared" si="879"/>
        <v>6.9999999999999993E-2</v>
      </c>
      <c r="EL284" s="528">
        <f t="shared" si="880"/>
        <v>0.16865892671311253</v>
      </c>
      <c r="EM284">
        <f t="shared" si="881"/>
        <v>1.6199999999999999E-2</v>
      </c>
      <c r="EN284" s="460">
        <f t="shared" si="882"/>
        <v>86.2</v>
      </c>
      <c r="EP284" s="460">
        <f t="shared" si="883"/>
        <v>1895.1871916365003</v>
      </c>
      <c r="EQ284" s="173">
        <f t="shared" si="884"/>
        <v>0.47599999999999998</v>
      </c>
      <c r="ER284" s="173">
        <f t="shared" si="845"/>
        <v>4.2160000000000003E-2</v>
      </c>
      <c r="ES284" s="528"/>
      <c r="EU284" s="460">
        <f t="shared" si="885"/>
        <v>518.16</v>
      </c>
      <c r="EV284" s="528">
        <f t="shared" si="886"/>
        <v>3.08603891738569E-2</v>
      </c>
      <c r="EW284" s="528">
        <f t="shared" si="887"/>
        <v>3.0871310126546259E-2</v>
      </c>
      <c r="EX284" s="528">
        <f t="shared" si="888"/>
        <v>5.1591337459198139E-5</v>
      </c>
      <c r="EY284" s="528">
        <f t="shared" si="889"/>
        <v>2.0441055984741756</v>
      </c>
      <c r="EZ284" s="528"/>
      <c r="FA284" s="625">
        <f t="shared" si="890"/>
        <v>0.70175999999999994</v>
      </c>
      <c r="FB284" s="460">
        <f t="shared" si="891"/>
        <v>2807.6488891120375</v>
      </c>
      <c r="FC284" s="173">
        <f t="shared" si="892"/>
        <v>5.220996080748538</v>
      </c>
      <c r="FD284" s="5">
        <f t="shared" si="893"/>
        <v>17.544</v>
      </c>
      <c r="FE284" s="173">
        <f t="shared" si="894"/>
        <v>0.77065684253889555</v>
      </c>
      <c r="FF284" s="5">
        <f t="shared" si="895"/>
        <v>77.065684253889557</v>
      </c>
      <c r="FG284">
        <f t="shared" si="896"/>
        <v>68</v>
      </c>
      <c r="FI284" s="562">
        <f t="shared" si="846"/>
        <v>-50</v>
      </c>
    </row>
    <row r="285" spans="5:165">
      <c r="E285" s="170">
        <v>69</v>
      </c>
      <c r="F285" s="217">
        <f t="shared" si="847"/>
        <v>0.69</v>
      </c>
      <c r="G285" s="217">
        <f t="shared" si="775"/>
        <v>6.8999999999999992E-2</v>
      </c>
      <c r="H285" s="217">
        <f t="shared" si="776"/>
        <v>16.559999999999999</v>
      </c>
      <c r="I285" s="217">
        <f t="shared" si="777"/>
        <v>1.2419999999999998</v>
      </c>
      <c r="J285" s="541">
        <f t="shared" si="778"/>
        <v>35.862848259629708</v>
      </c>
      <c r="K285" s="443">
        <f t="shared" si="779"/>
        <v>16.495428351187957</v>
      </c>
      <c r="L285" s="172">
        <f t="shared" si="780"/>
        <v>52.358276610817668</v>
      </c>
      <c r="M285" s="443"/>
      <c r="N285" s="217">
        <f t="shared" si="781"/>
        <v>0.31504910816296539</v>
      </c>
      <c r="O285" s="172">
        <f t="shared" si="782"/>
        <v>58.390482482584467</v>
      </c>
      <c r="P285" s="172">
        <f t="shared" si="783"/>
        <v>4.7077326501583725</v>
      </c>
      <c r="Q285" s="217">
        <f t="shared" si="784"/>
        <v>2.4329367701076863</v>
      </c>
      <c r="R285" s="217">
        <f t="shared" si="785"/>
        <v>3.2439156934769149</v>
      </c>
      <c r="S285" s="217">
        <f t="shared" si="786"/>
        <v>24</v>
      </c>
      <c r="T285" s="217">
        <f t="shared" si="787"/>
        <v>3.151198486069708</v>
      </c>
      <c r="U285" s="217">
        <f t="shared" si="788"/>
        <v>0.87868048384125896</v>
      </c>
      <c r="V285" s="217">
        <f t="shared" si="789"/>
        <v>1.9103465632905294</v>
      </c>
      <c r="W285" s="197">
        <f t="shared" si="790"/>
        <v>350</v>
      </c>
      <c r="X285" s="443">
        <f t="shared" si="848"/>
        <v>334.55702615992732</v>
      </c>
      <c r="Z285" s="217">
        <f t="shared" si="791"/>
        <v>3.2281595315371701</v>
      </c>
      <c r="AA285" s="173">
        <f t="shared" si="792"/>
        <v>1.9570025481058131</v>
      </c>
      <c r="AB285" s="173">
        <f t="shared" si="793"/>
        <v>0.6859647489902847</v>
      </c>
      <c r="AC285" s="173"/>
      <c r="AD285" s="173">
        <f t="shared" si="794"/>
        <v>1.347174607964748</v>
      </c>
      <c r="AE285" s="545">
        <f t="shared" si="795"/>
        <v>691.10156712735727</v>
      </c>
      <c r="AF285" s="528">
        <f t="shared" si="796"/>
        <v>0.34944212469930053</v>
      </c>
      <c r="AH285" s="173">
        <f t="shared" si="797"/>
        <v>3.1894468844254842</v>
      </c>
      <c r="AI285" s="173">
        <f t="shared" si="798"/>
        <v>3.151198486069708</v>
      </c>
      <c r="AJ285" s="173">
        <f t="shared" si="799"/>
        <v>1.8881305658129524</v>
      </c>
      <c r="AL285" s="545">
        <f t="shared" si="800"/>
        <v>690</v>
      </c>
      <c r="AM285" s="460">
        <f t="shared" si="801"/>
        <v>334.55702615992732</v>
      </c>
      <c r="AO285">
        <f t="shared" si="802"/>
        <v>690</v>
      </c>
      <c r="AP285">
        <f t="shared" si="803"/>
        <v>334.55702615992732</v>
      </c>
      <c r="AR285" s="5">
        <f t="shared" si="774"/>
        <v>2.9890270471317884</v>
      </c>
      <c r="AS285" s="5">
        <f t="shared" si="739"/>
        <v>0.87868048384125896</v>
      </c>
      <c r="AT285" s="5">
        <f t="shared" si="740"/>
        <v>2.1103465632905296</v>
      </c>
      <c r="AU285" s="173">
        <f t="shared" si="741"/>
        <v>0.29396872961869769</v>
      </c>
      <c r="BA285" s="173">
        <f t="shared" si="849"/>
        <v>0.98642870019100326</v>
      </c>
      <c r="BB285" s="173">
        <f t="shared" si="850"/>
        <v>1.0196542505375481</v>
      </c>
      <c r="BC285" s="173">
        <f t="shared" si="851"/>
        <v>0.10210321616869229</v>
      </c>
      <c r="BD285" s="173"/>
      <c r="BE285" s="528">
        <f t="shared" si="852"/>
        <v>3.8921663222420487E-2</v>
      </c>
      <c r="BF285" s="528">
        <f t="shared" si="804"/>
        <v>1.2419776356054979</v>
      </c>
      <c r="BG285" s="528">
        <f t="shared" si="805"/>
        <v>0.47992671453465763</v>
      </c>
      <c r="BH285" s="528">
        <f t="shared" si="853"/>
        <v>0.16050142408378634</v>
      </c>
      <c r="BI285">
        <f t="shared" si="854"/>
        <v>1.6138281716833368E-2</v>
      </c>
      <c r="BJ285" s="460">
        <f t="shared" si="855"/>
        <v>496.06499625149098</v>
      </c>
      <c r="BK285">
        <f t="shared" si="806"/>
        <v>1.4654618513054536</v>
      </c>
      <c r="BL285" s="460">
        <f t="shared" si="856"/>
        <v>1937.4657191631959</v>
      </c>
      <c r="BM285" s="173">
        <f t="shared" si="807"/>
        <v>0.5989199999999999</v>
      </c>
      <c r="BN285" s="173">
        <f t="shared" si="808"/>
        <v>4.2779999999999992E-2</v>
      </c>
      <c r="BQ285" s="460">
        <f t="shared" si="857"/>
        <v>641.69999999999993</v>
      </c>
      <c r="BR285" s="528">
        <f t="shared" si="858"/>
        <v>2.9191247416815364E-2</v>
      </c>
      <c r="BS285" s="528">
        <f t="shared" si="859"/>
        <v>3.1190843719178664E-2</v>
      </c>
      <c r="BT285" s="528">
        <f t="shared" si="860"/>
        <v>5.212533375995354E-5</v>
      </c>
      <c r="BU285" s="528">
        <f t="shared" si="861"/>
        <v>1.8044081913086689</v>
      </c>
      <c r="BV285" s="528"/>
      <c r="BW285" s="625">
        <f t="shared" si="862"/>
        <v>0.66443372656240784</v>
      </c>
      <c r="BX285" s="460">
        <f t="shared" si="863"/>
        <v>2529.2761343408306</v>
      </c>
      <c r="BY285" s="173">
        <f t="shared" si="864"/>
        <v>5.1084418535040257</v>
      </c>
      <c r="BZ285" s="5">
        <f t="shared" si="865"/>
        <v>17.802</v>
      </c>
      <c r="CA285" s="173">
        <f t="shared" si="866"/>
        <v>0.77702560753001293</v>
      </c>
      <c r="CB285" s="5">
        <f t="shared" si="867"/>
        <v>77.702560753001293</v>
      </c>
      <c r="CC285">
        <f t="shared" si="868"/>
        <v>69</v>
      </c>
      <c r="CE285" s="562">
        <f t="shared" si="809"/>
        <v>-50</v>
      </c>
      <c r="CG285" s="173">
        <f t="shared" si="810"/>
        <v>0.67257715310818433</v>
      </c>
      <c r="CH285" s="173">
        <f t="shared" si="811"/>
        <v>0.18394426587771207</v>
      </c>
      <c r="CI285" s="170">
        <v>69</v>
      </c>
      <c r="CJ285" s="217">
        <f t="shared" si="869"/>
        <v>0.69</v>
      </c>
      <c r="CK285" s="217">
        <f t="shared" si="812"/>
        <v>6.8999999999999992E-2</v>
      </c>
      <c r="CL285" s="217">
        <f t="shared" si="813"/>
        <v>16.559999999999999</v>
      </c>
      <c r="CM285" s="217">
        <f t="shared" si="814"/>
        <v>1.2419999999999998</v>
      </c>
      <c r="CN285" s="541">
        <f t="shared" si="815"/>
        <v>36</v>
      </c>
      <c r="CO285" s="443">
        <f t="shared" si="816"/>
        <v>16.474900000000002</v>
      </c>
      <c r="CP285" s="443">
        <f t="shared" si="817"/>
        <v>52.474900000000005</v>
      </c>
      <c r="CQ285" s="443"/>
      <c r="CR285" s="217">
        <f t="shared" si="818"/>
        <v>0.31220924123305599</v>
      </c>
      <c r="CS285" s="172">
        <f t="shared" si="819"/>
        <v>58.085440229405762</v>
      </c>
      <c r="CT285" s="172">
        <f t="shared" si="820"/>
        <v>4.683138618495839</v>
      </c>
      <c r="CU285" s="217">
        <f t="shared" si="821"/>
        <v>2.4202266762252402</v>
      </c>
      <c r="CV285" s="217">
        <f t="shared" si="822"/>
        <v>3.2269689016336534</v>
      </c>
      <c r="CW285" s="217">
        <f t="shared" si="823"/>
        <v>24</v>
      </c>
      <c r="CX285" s="217">
        <f t="shared" si="824"/>
        <v>3.1677473610133706</v>
      </c>
      <c r="CY285" s="217">
        <f t="shared" si="825"/>
        <v>0.87992982250371421</v>
      </c>
      <c r="CZ285" s="217">
        <f t="shared" si="826"/>
        <v>1.9227718292756684</v>
      </c>
      <c r="DA285" s="197">
        <f t="shared" si="827"/>
        <v>350</v>
      </c>
      <c r="DB285" s="443">
        <f t="shared" si="828"/>
        <v>350</v>
      </c>
      <c r="DD285" s="217">
        <f t="shared" si="829"/>
        <v>3.2292794133140656</v>
      </c>
      <c r="DE285" s="173">
        <f t="shared" si="830"/>
        <v>1.9601207978889497</v>
      </c>
      <c r="DF285" s="173">
        <f t="shared" si="831"/>
        <v>0.6872960992823488</v>
      </c>
      <c r="DG285" s="173"/>
      <c r="DH285" s="173">
        <f t="shared" si="832"/>
        <v>1.3488532386977903</v>
      </c>
      <c r="DI285" s="545">
        <f t="shared" si="833"/>
        <v>690.24149999999963</v>
      </c>
      <c r="DJ285" s="528">
        <f t="shared" si="834"/>
        <v>0.34987754285999911</v>
      </c>
      <c r="DL285" s="173">
        <f t="shared" si="835"/>
        <v>3.1894468844254842</v>
      </c>
      <c r="DM285" s="173">
        <f t="shared" si="836"/>
        <v>3.1677473610133706</v>
      </c>
      <c r="DN285" s="173">
        <f t="shared" si="837"/>
        <v>1.9003889916971468</v>
      </c>
      <c r="DP285" s="545">
        <f t="shared" si="838"/>
        <v>690</v>
      </c>
      <c r="DQ285" s="460">
        <f t="shared" si="839"/>
        <v>350</v>
      </c>
      <c r="DS285">
        <f t="shared" si="840"/>
        <v>690</v>
      </c>
      <c r="DT285">
        <f t="shared" si="841"/>
        <v>350</v>
      </c>
      <c r="DV285" s="5">
        <f t="shared" si="870"/>
        <v>2.8571428571428572</v>
      </c>
      <c r="DW285" s="5">
        <f t="shared" si="842"/>
        <v>0.87992982250371421</v>
      </c>
      <c r="DX285" s="5">
        <f t="shared" si="843"/>
        <v>1.977213034639143</v>
      </c>
      <c r="DY285" s="173">
        <f t="shared" si="844"/>
        <v>0.30797543787629994</v>
      </c>
      <c r="EA285" s="5">
        <f t="shared" si="871"/>
        <v>2.5297982396981782</v>
      </c>
      <c r="EB285" s="5">
        <f t="shared" si="872"/>
        <v>0.33730643195975707</v>
      </c>
      <c r="EC285" s="5">
        <f t="shared" si="873"/>
        <v>0.75793166327833794</v>
      </c>
      <c r="ED285" s="5"/>
      <c r="EE285" s="173">
        <f t="shared" si="874"/>
        <v>1.0149577196527235</v>
      </c>
      <c r="EF285" s="173">
        <f t="shared" si="875"/>
        <v>1.0147907477815732</v>
      </c>
      <c r="EG285" s="173">
        <f t="shared" si="876"/>
        <v>0.10161620866299266</v>
      </c>
      <c r="EH285" s="173"/>
      <c r="EI285" s="528">
        <f t="shared" si="877"/>
        <v>4.1205566907306264E-2</v>
      </c>
      <c r="EJ285" s="528">
        <f t="shared" si="878"/>
        <v>1.5999370501964905</v>
      </c>
      <c r="EK285" s="528">
        <f t="shared" si="879"/>
        <v>6.9999999999999993E-2</v>
      </c>
      <c r="EL285" s="528">
        <f t="shared" si="880"/>
        <v>0.16865892671311253</v>
      </c>
      <c r="EM285">
        <f t="shared" si="881"/>
        <v>1.6199999999999999E-2</v>
      </c>
      <c r="EN285" s="460">
        <f t="shared" si="882"/>
        <v>86.2</v>
      </c>
      <c r="EP285" s="460">
        <f t="shared" si="883"/>
        <v>1896.0015438169094</v>
      </c>
      <c r="EQ285" s="173">
        <f t="shared" si="884"/>
        <v>0.48299999999999993</v>
      </c>
      <c r="ER285" s="173">
        <f t="shared" si="845"/>
        <v>4.2779999999999992E-2</v>
      </c>
      <c r="ES285" s="528"/>
      <c r="EU285" s="460">
        <f t="shared" si="885"/>
        <v>525.77999999999986</v>
      </c>
      <c r="EV285" s="528">
        <f t="shared" si="886"/>
        <v>3.0904175180479696E-2</v>
      </c>
      <c r="EW285" s="528">
        <f t="shared" si="887"/>
        <v>3.0894007853492538E-2</v>
      </c>
      <c r="EX285" s="528">
        <f t="shared" si="888"/>
        <v>5.1629269315204323E-5</v>
      </c>
      <c r="EY285" s="528">
        <f t="shared" si="889"/>
        <v>2.0465221980626169</v>
      </c>
      <c r="EZ285" s="528"/>
      <c r="FA285" s="625">
        <f t="shared" si="890"/>
        <v>0.70242363402450225</v>
      </c>
      <c r="FB285" s="460">
        <f t="shared" si="891"/>
        <v>2810.7956443904063</v>
      </c>
      <c r="FC285" s="173">
        <f t="shared" si="892"/>
        <v>5.2325771882073155</v>
      </c>
      <c r="FD285" s="5">
        <f t="shared" si="893"/>
        <v>17.802</v>
      </c>
      <c r="FE285" s="173">
        <f t="shared" si="894"/>
        <v>0.77283814912451865</v>
      </c>
      <c r="FF285" s="5">
        <f t="shared" si="895"/>
        <v>77.283814912451859</v>
      </c>
      <c r="FG285">
        <f t="shared" si="896"/>
        <v>69</v>
      </c>
      <c r="FI285" s="562">
        <f t="shared" si="846"/>
        <v>-50</v>
      </c>
    </row>
    <row r="286" spans="5:165">
      <c r="E286" s="170">
        <v>70</v>
      </c>
      <c r="F286" s="217">
        <f t="shared" si="847"/>
        <v>0.7</v>
      </c>
      <c r="G286" s="217">
        <f t="shared" si="775"/>
        <v>6.9999999999999993E-2</v>
      </c>
      <c r="H286" s="217">
        <f t="shared" si="776"/>
        <v>16.799999999999997</v>
      </c>
      <c r="I286" s="217">
        <f t="shared" si="777"/>
        <v>1.2599999999999998</v>
      </c>
      <c r="J286" s="541">
        <f t="shared" si="778"/>
        <v>35.861857981496357</v>
      </c>
      <c r="K286" s="443">
        <f t="shared" si="779"/>
        <v>16.495576572254933</v>
      </c>
      <c r="L286" s="172">
        <f t="shared" si="780"/>
        <v>52.35743455375129</v>
      </c>
      <c r="M286" s="443"/>
      <c r="N286" s="217">
        <f t="shared" si="781"/>
        <v>0.31505700599826397</v>
      </c>
      <c r="O286" s="172">
        <f t="shared" si="782"/>
        <v>58.390333876926036</v>
      </c>
      <c r="P286" s="172">
        <f t="shared" si="783"/>
        <v>4.7077206688271609</v>
      </c>
      <c r="Q286" s="217">
        <f t="shared" si="784"/>
        <v>2.4329305782052515</v>
      </c>
      <c r="R286" s="217">
        <f t="shared" si="785"/>
        <v>3.2439074376070018</v>
      </c>
      <c r="S286" s="217">
        <f t="shared" si="786"/>
        <v>24</v>
      </c>
      <c r="T286" s="217">
        <f t="shared" si="787"/>
        <v>3.1968761654988795</v>
      </c>
      <c r="U286" s="217">
        <f t="shared" si="788"/>
        <v>0.8914418676099749</v>
      </c>
      <c r="V286" s="217">
        <f t="shared" si="789"/>
        <v>1.9380202634904742</v>
      </c>
      <c r="W286" s="197">
        <f t="shared" si="790"/>
        <v>350</v>
      </c>
      <c r="X286" s="443">
        <f t="shared" si="848"/>
        <v>330.09159934167945</v>
      </c>
      <c r="Z286" s="217">
        <f t="shared" si="791"/>
        <v>3.2281513157671964</v>
      </c>
      <c r="AA286" s="173">
        <f t="shared" si="792"/>
        <v>1.9569799828621031</v>
      </c>
      <c r="AB286" s="173">
        <f t="shared" si="793"/>
        <v>0.68595509368244434</v>
      </c>
      <c r="AC286" s="173"/>
      <c r="AD286" s="173">
        <f t="shared" si="794"/>
        <v>1.347162502922107</v>
      </c>
      <c r="AE286" s="545">
        <f t="shared" si="795"/>
        <v>701.12383181923099</v>
      </c>
      <c r="AF286" s="528">
        <f t="shared" si="796"/>
        <v>0.34943898478573998</v>
      </c>
      <c r="AH286" s="173">
        <f t="shared" si="797"/>
        <v>3.2124756808418016</v>
      </c>
      <c r="AI286" s="173">
        <f t="shared" si="798"/>
        <v>3.1968761654988795</v>
      </c>
      <c r="AJ286" s="173">
        <f t="shared" si="799"/>
        <v>1.9219658839086349</v>
      </c>
      <c r="AL286" s="545">
        <f t="shared" si="800"/>
        <v>700</v>
      </c>
      <c r="AM286" s="460">
        <f t="shared" si="801"/>
        <v>330.09159934167945</v>
      </c>
      <c r="AO286">
        <f t="shared" si="802"/>
        <v>700</v>
      </c>
      <c r="AP286">
        <f t="shared" si="803"/>
        <v>330.09159934167945</v>
      </c>
      <c r="AR286" s="5">
        <f t="shared" si="774"/>
        <v>3.0294621311004497</v>
      </c>
      <c r="AS286" s="5">
        <f t="shared" si="739"/>
        <v>0.8914418676099749</v>
      </c>
      <c r="AT286" s="5">
        <f t="shared" si="740"/>
        <v>2.1380202634904748</v>
      </c>
      <c r="AU286" s="173">
        <f t="shared" si="741"/>
        <v>0.29425747179951028</v>
      </c>
      <c r="BA286" s="173">
        <f t="shared" si="849"/>
        <v>1.0012186621278527</v>
      </c>
      <c r="BB286" s="173">
        <f t="shared" si="850"/>
        <v>1.0342229355858765</v>
      </c>
      <c r="BC286" s="173">
        <f t="shared" si="851"/>
        <v>0.10356205341474789</v>
      </c>
      <c r="BD286" s="173"/>
      <c r="BE286" s="528">
        <f t="shared" si="852"/>
        <v>4.0097552375723496E-2</v>
      </c>
      <c r="BF286" s="528">
        <f t="shared" si="804"/>
        <v>1.2431432101750584</v>
      </c>
      <c r="BG286" s="528">
        <f t="shared" si="805"/>
        <v>0.47350792225905225</v>
      </c>
      <c r="BH286" s="528">
        <f t="shared" si="853"/>
        <v>0.15835407277712049</v>
      </c>
      <c r="BI286">
        <f t="shared" si="854"/>
        <v>1.6137836091673359E-2</v>
      </c>
      <c r="BJ286" s="460">
        <f t="shared" si="855"/>
        <v>489.6457583507256</v>
      </c>
      <c r="BK286">
        <f t="shared" si="806"/>
        <v>1.46639175034438</v>
      </c>
      <c r="BL286" s="460">
        <f t="shared" si="856"/>
        <v>1931.2405936786279</v>
      </c>
      <c r="BM286" s="173">
        <f t="shared" si="807"/>
        <v>0.60759999999999992</v>
      </c>
      <c r="BN286" s="173">
        <f t="shared" si="808"/>
        <v>4.3399999999999994E-2</v>
      </c>
      <c r="BQ286" s="460">
        <f t="shared" si="857"/>
        <v>650.99999999999989</v>
      </c>
      <c r="BR286" s="528">
        <f t="shared" si="858"/>
        <v>3.007316428179262E-2</v>
      </c>
      <c r="BS286" s="528">
        <f t="shared" si="859"/>
        <v>3.2088512414756042E-2</v>
      </c>
      <c r="BT286" s="528">
        <f t="shared" si="860"/>
        <v>5.362549453739548E-5</v>
      </c>
      <c r="BU286" s="528">
        <f t="shared" si="861"/>
        <v>1.8087174077319774</v>
      </c>
      <c r="BV286" s="528"/>
      <c r="BW286" s="625">
        <f t="shared" si="862"/>
        <v>0.67470836572711379</v>
      </c>
      <c r="BX286" s="460">
        <f t="shared" si="863"/>
        <v>2545.6410756501773</v>
      </c>
      <c r="BY286" s="173">
        <f t="shared" si="864"/>
        <v>5.1278816693288043</v>
      </c>
      <c r="BZ286" s="5">
        <f t="shared" si="865"/>
        <v>18.059999999999995</v>
      </c>
      <c r="CA286" s="173">
        <f t="shared" si="866"/>
        <v>0.77885510446986694</v>
      </c>
      <c r="CB286" s="5">
        <f t="shared" si="867"/>
        <v>77.8855104469867</v>
      </c>
      <c r="CC286">
        <f t="shared" si="868"/>
        <v>70</v>
      </c>
      <c r="CE286" s="562">
        <f t="shared" si="809"/>
        <v>-50</v>
      </c>
      <c r="CG286" s="173">
        <f t="shared" si="810"/>
        <v>0.67743336890184691</v>
      </c>
      <c r="CH286" s="173">
        <f t="shared" si="811"/>
        <v>0.18527240056825414</v>
      </c>
      <c r="CI286" s="170">
        <v>70</v>
      </c>
      <c r="CJ286" s="217">
        <f t="shared" si="869"/>
        <v>0.7</v>
      </c>
      <c r="CK286" s="217">
        <f t="shared" si="812"/>
        <v>6.9999999999999993E-2</v>
      </c>
      <c r="CL286" s="217">
        <f t="shared" si="813"/>
        <v>16.799999999999997</v>
      </c>
      <c r="CM286" s="217">
        <f t="shared" si="814"/>
        <v>1.2599999999999998</v>
      </c>
      <c r="CN286" s="541">
        <f t="shared" si="815"/>
        <v>36</v>
      </c>
      <c r="CO286" s="443">
        <f t="shared" si="816"/>
        <v>16.474900000000002</v>
      </c>
      <c r="CP286" s="443">
        <f t="shared" si="817"/>
        <v>52.474900000000005</v>
      </c>
      <c r="CQ286" s="443"/>
      <c r="CR286" s="217">
        <f t="shared" si="818"/>
        <v>0.31220924123305599</v>
      </c>
      <c r="CS286" s="172">
        <f t="shared" si="819"/>
        <v>58.085440229405762</v>
      </c>
      <c r="CT286" s="172">
        <f t="shared" si="820"/>
        <v>4.683138618495839</v>
      </c>
      <c r="CU286" s="217">
        <f t="shared" si="821"/>
        <v>2.4202266762252402</v>
      </c>
      <c r="CV286" s="217">
        <f t="shared" si="822"/>
        <v>3.2269689016336534</v>
      </c>
      <c r="CW286" s="217">
        <f t="shared" si="823"/>
        <v>24</v>
      </c>
      <c r="CX286" s="217">
        <f t="shared" si="824"/>
        <v>3.213656743057042</v>
      </c>
      <c r="CY286" s="217">
        <f t="shared" si="825"/>
        <v>0.89268242862695624</v>
      </c>
      <c r="CZ286" s="217">
        <f t="shared" si="826"/>
        <v>1.9506380876709677</v>
      </c>
      <c r="DA286" s="197">
        <f t="shared" si="827"/>
        <v>350</v>
      </c>
      <c r="DB286" s="443">
        <f t="shared" si="828"/>
        <v>350</v>
      </c>
      <c r="DD286" s="217">
        <f t="shared" si="829"/>
        <v>3.2292794133140656</v>
      </c>
      <c r="DE286" s="173">
        <f t="shared" si="830"/>
        <v>1.9601207978889497</v>
      </c>
      <c r="DF286" s="173">
        <f t="shared" si="831"/>
        <v>0.6872960992823488</v>
      </c>
      <c r="DG286" s="173"/>
      <c r="DH286" s="173">
        <f t="shared" si="832"/>
        <v>1.3488532386977903</v>
      </c>
      <c r="DI286" s="545">
        <f t="shared" si="833"/>
        <v>700.24499999999978</v>
      </c>
      <c r="DJ286" s="528">
        <f t="shared" si="834"/>
        <v>0.34987754285999911</v>
      </c>
      <c r="DL286" s="173">
        <f t="shared" si="835"/>
        <v>3.2124756808418016</v>
      </c>
      <c r="DM286" s="173">
        <f t="shared" si="836"/>
        <v>3.213656743057042</v>
      </c>
      <c r="DN286" s="173">
        <f t="shared" si="837"/>
        <v>1.9343959413591256</v>
      </c>
      <c r="DP286" s="545">
        <f t="shared" si="838"/>
        <v>700</v>
      </c>
      <c r="DQ286" s="460">
        <f t="shared" si="839"/>
        <v>350</v>
      </c>
      <c r="DS286">
        <f t="shared" si="840"/>
        <v>700</v>
      </c>
      <c r="DT286">
        <f t="shared" si="841"/>
        <v>350</v>
      </c>
      <c r="DV286" s="5">
        <f t="shared" si="870"/>
        <v>2.8571428571428572</v>
      </c>
      <c r="DW286" s="5">
        <f t="shared" si="842"/>
        <v>0.89268242862695624</v>
      </c>
      <c r="DX286" s="5">
        <f t="shared" si="843"/>
        <v>1.9644604285159009</v>
      </c>
      <c r="DY286" s="173">
        <f t="shared" si="844"/>
        <v>0.31243885001943467</v>
      </c>
      <c r="EA286" s="5">
        <f t="shared" si="871"/>
        <v>2.603657083495289</v>
      </c>
      <c r="EB286" s="5">
        <f t="shared" si="872"/>
        <v>0.34715427779937186</v>
      </c>
      <c r="EC286" s="5">
        <f t="shared" si="873"/>
        <v>0.76395683331173891</v>
      </c>
      <c r="ED286" s="5"/>
      <c r="EE286" s="173">
        <f t="shared" si="874"/>
        <v>1.03710176895827</v>
      </c>
      <c r="EF286" s="173">
        <f t="shared" si="875"/>
        <v>1.0261724675853507</v>
      </c>
      <c r="EG286" s="173">
        <f t="shared" si="876"/>
        <v>0.10275591871361414</v>
      </c>
      <c r="EH286" s="173"/>
      <c r="EI286" s="528">
        <f t="shared" si="877"/>
        <v>4.3023203167054914E-2</v>
      </c>
      <c r="EJ286" s="528">
        <f t="shared" si="878"/>
        <v>1.6231245436775985</v>
      </c>
      <c r="EK286" s="528">
        <f t="shared" si="879"/>
        <v>6.9999999999999993E-2</v>
      </c>
      <c r="EL286" s="528">
        <f t="shared" si="880"/>
        <v>0.16865892671311253</v>
      </c>
      <c r="EM286">
        <f t="shared" si="881"/>
        <v>1.6199999999999999E-2</v>
      </c>
      <c r="EN286" s="460">
        <f t="shared" si="882"/>
        <v>86.2</v>
      </c>
      <c r="EP286" s="460">
        <f t="shared" si="883"/>
        <v>1921.0066735577659</v>
      </c>
      <c r="EQ286" s="173">
        <f t="shared" si="884"/>
        <v>0.48999999999999994</v>
      </c>
      <c r="ER286" s="173">
        <f t="shared" si="845"/>
        <v>4.3399999999999994E-2</v>
      </c>
      <c r="ES286" s="528"/>
      <c r="EU286" s="460">
        <f t="shared" si="885"/>
        <v>533.39999999999986</v>
      </c>
      <c r="EV286" s="528">
        <f t="shared" si="886"/>
        <v>3.2267402375291181E-2</v>
      </c>
      <c r="EW286" s="528">
        <f t="shared" si="887"/>
        <v>3.1590897996906231E-2</v>
      </c>
      <c r="EX286" s="528">
        <f t="shared" si="888"/>
        <v>5.2793894153394387E-5</v>
      </c>
      <c r="EY286" s="528">
        <f t="shared" si="889"/>
        <v>2.121479467593816</v>
      </c>
      <c r="EZ286" s="528"/>
      <c r="FA286" s="625">
        <f t="shared" si="890"/>
        <v>0.72293127635371968</v>
      </c>
      <c r="FB286" s="460">
        <f t="shared" si="891"/>
        <v>2908.3218382138866</v>
      </c>
      <c r="FC286" s="173">
        <f t="shared" si="892"/>
        <v>5.3627285117716523</v>
      </c>
      <c r="FD286" s="5">
        <f t="shared" si="893"/>
        <v>18.059999999999995</v>
      </c>
      <c r="FE286" s="173">
        <f t="shared" si="894"/>
        <v>0.77104595183791302</v>
      </c>
      <c r="FF286" s="5">
        <f t="shared" si="895"/>
        <v>77.104595183791304</v>
      </c>
      <c r="FG286">
        <f t="shared" si="896"/>
        <v>70</v>
      </c>
      <c r="FI286" s="562">
        <f t="shared" si="846"/>
        <v>-50</v>
      </c>
    </row>
    <row r="287" spans="5:165">
      <c r="E287" s="170">
        <v>71</v>
      </c>
      <c r="F287" s="217">
        <f t="shared" si="847"/>
        <v>0.71</v>
      </c>
      <c r="G287" s="217">
        <f t="shared" si="775"/>
        <v>7.0999999999999994E-2</v>
      </c>
      <c r="H287" s="217">
        <f t="shared" si="776"/>
        <v>17.04</v>
      </c>
      <c r="I287" s="217">
        <f t="shared" si="777"/>
        <v>1.2779999999999998</v>
      </c>
      <c r="J287" s="541">
        <f t="shared" si="778"/>
        <v>35.860223861676722</v>
      </c>
      <c r="K287" s="443">
        <f t="shared" si="779"/>
        <v>16.495821161098281</v>
      </c>
      <c r="L287" s="172">
        <f t="shared" si="780"/>
        <v>52.356045022775007</v>
      </c>
      <c r="M287" s="443"/>
      <c r="N287" s="217">
        <f t="shared" si="781"/>
        <v>0.3150700392652378</v>
      </c>
      <c r="O287" s="172">
        <f t="shared" si="782"/>
        <v>58.390088579631531</v>
      </c>
      <c r="P287" s="172">
        <f t="shared" si="783"/>
        <v>4.7077008917327925</v>
      </c>
      <c r="Q287" s="217">
        <f t="shared" si="784"/>
        <v>2.432920357484647</v>
      </c>
      <c r="R287" s="217">
        <f t="shared" si="785"/>
        <v>3.2438938099795296</v>
      </c>
      <c r="S287" s="217">
        <f t="shared" si="786"/>
        <v>24</v>
      </c>
      <c r="T287" s="217">
        <f t="shared" si="787"/>
        <v>3.2425594469705818</v>
      </c>
      <c r="U287" s="217">
        <f t="shared" si="788"/>
        <v>0.90422175262432103</v>
      </c>
      <c r="V287" s="217">
        <f t="shared" si="789"/>
        <v>1.9656853789233826</v>
      </c>
      <c r="W287" s="197">
        <f t="shared" si="790"/>
        <v>350</v>
      </c>
      <c r="X287" s="443">
        <f t="shared" si="848"/>
        <v>325.74275284211831</v>
      </c>
      <c r="Z287" s="217">
        <f t="shared" si="791"/>
        <v>3.2281377543310583</v>
      </c>
      <c r="AA287" s="173">
        <f t="shared" si="792"/>
        <v>1.9569427449564636</v>
      </c>
      <c r="AB287" s="173">
        <f t="shared" si="793"/>
        <v>0.68593915952032114</v>
      </c>
      <c r="AC287" s="173"/>
      <c r="AD287" s="173">
        <f t="shared" si="794"/>
        <v>1.3471425281105973</v>
      </c>
      <c r="AE287" s="545">
        <f t="shared" si="795"/>
        <v>711.15043101556341</v>
      </c>
      <c r="AF287" s="528">
        <f t="shared" si="796"/>
        <v>0.34943380354157672</v>
      </c>
      <c r="AH287" s="173">
        <f t="shared" si="797"/>
        <v>3.235340564983626</v>
      </c>
      <c r="AI287" s="173">
        <f t="shared" si="798"/>
        <v>3.2425594469705818</v>
      </c>
      <c r="AJ287" s="173">
        <f t="shared" si="799"/>
        <v>1.9558053516654514</v>
      </c>
      <c r="AL287" s="545">
        <f t="shared" si="800"/>
        <v>710</v>
      </c>
      <c r="AM287" s="460">
        <f t="shared" si="801"/>
        <v>325.74275284211831</v>
      </c>
      <c r="AO287">
        <f t="shared" si="802"/>
        <v>710</v>
      </c>
      <c r="AP287">
        <f t="shared" si="803"/>
        <v>325.74275284211831</v>
      </c>
      <c r="AR287" s="5">
        <f t="shared" si="774"/>
        <v>3.0699071315477036</v>
      </c>
      <c r="AS287" s="5">
        <f t="shared" si="739"/>
        <v>0.90422175262432103</v>
      </c>
      <c r="AT287" s="5">
        <f t="shared" si="740"/>
        <v>2.1656853789233823</v>
      </c>
      <c r="AU287" s="173">
        <f t="shared" si="741"/>
        <v>0.29454368287957128</v>
      </c>
      <c r="BA287" s="173">
        <f t="shared" si="849"/>
        <v>1.0160198104359552</v>
      </c>
      <c r="BB287" s="173">
        <f t="shared" si="850"/>
        <v>1.0487892249404489</v>
      </c>
      <c r="BC287" s="173">
        <f t="shared" si="851"/>
        <v>0.10502065076768548</v>
      </c>
      <c r="BD287" s="173"/>
      <c r="BE287" s="528">
        <f t="shared" si="852"/>
        <v>4.1291850207932572E-2</v>
      </c>
      <c r="BF287" s="528">
        <f t="shared" si="804"/>
        <v>1.2442626357081736</v>
      </c>
      <c r="BG287" s="528">
        <f t="shared" si="805"/>
        <v>0.46724832152948775</v>
      </c>
      <c r="BH287" s="528">
        <f t="shared" si="853"/>
        <v>0.15625951641828792</v>
      </c>
      <c r="BI287">
        <f t="shared" si="854"/>
        <v>1.6137100737754526E-2</v>
      </c>
      <c r="BJ287" s="460">
        <f t="shared" si="855"/>
        <v>483.38542226724229</v>
      </c>
      <c r="BK287">
        <f t="shared" si="806"/>
        <v>1.4673589780792251</v>
      </c>
      <c r="BL287" s="460">
        <f t="shared" si="856"/>
        <v>1925.1994246016361</v>
      </c>
      <c r="BM287" s="173">
        <f t="shared" si="807"/>
        <v>0.61627999999999994</v>
      </c>
      <c r="BN287" s="173">
        <f t="shared" si="808"/>
        <v>4.4019999999999997E-2</v>
      </c>
      <c r="BQ287" s="460">
        <f t="shared" si="857"/>
        <v>660.29999999999984</v>
      </c>
      <c r="BR287" s="528">
        <f t="shared" si="858"/>
        <v>3.0968887655949431E-2</v>
      </c>
      <c r="BS287" s="528">
        <f t="shared" si="859"/>
        <v>3.2998765150535625E-2</v>
      </c>
      <c r="BT287" s="528">
        <f t="shared" si="860"/>
        <v>5.5146685438340781E-5</v>
      </c>
      <c r="BU287" s="528">
        <f t="shared" si="861"/>
        <v>1.8129122237303987</v>
      </c>
      <c r="BV287" s="528"/>
      <c r="BW287" s="625">
        <f t="shared" si="862"/>
        <v>0.68498435402750446</v>
      </c>
      <c r="BX287" s="460">
        <f t="shared" si="863"/>
        <v>2561.9193772498265</v>
      </c>
      <c r="BY287" s="173">
        <f t="shared" si="864"/>
        <v>5.1474188018514626</v>
      </c>
      <c r="BZ287" s="5">
        <f t="shared" si="865"/>
        <v>18.317999999999998</v>
      </c>
      <c r="CA287" s="173">
        <f t="shared" si="866"/>
        <v>0.78063810216567187</v>
      </c>
      <c r="CB287" s="5">
        <f t="shared" si="867"/>
        <v>78.063810216567191</v>
      </c>
      <c r="CC287">
        <f t="shared" si="868"/>
        <v>71</v>
      </c>
      <c r="CE287" s="562">
        <f t="shared" si="809"/>
        <v>-50</v>
      </c>
      <c r="CG287" s="173">
        <f t="shared" si="810"/>
        <v>0.67907798870528813</v>
      </c>
      <c r="CH287" s="173">
        <f t="shared" si="811"/>
        <v>0.1857221904265535</v>
      </c>
      <c r="CI287" s="170">
        <v>71</v>
      </c>
      <c r="CJ287" s="217">
        <f t="shared" si="869"/>
        <v>0.71</v>
      </c>
      <c r="CK287" s="217">
        <f t="shared" si="812"/>
        <v>7.0999999999999994E-2</v>
      </c>
      <c r="CL287" s="217">
        <f t="shared" si="813"/>
        <v>17.04</v>
      </c>
      <c r="CM287" s="217">
        <f t="shared" si="814"/>
        <v>1.2779999999999998</v>
      </c>
      <c r="CN287" s="541">
        <f t="shared" si="815"/>
        <v>36</v>
      </c>
      <c r="CO287" s="443">
        <f t="shared" si="816"/>
        <v>16.474900000000002</v>
      </c>
      <c r="CP287" s="443">
        <f t="shared" si="817"/>
        <v>52.474900000000005</v>
      </c>
      <c r="CQ287" s="443"/>
      <c r="CR287" s="217">
        <f t="shared" si="818"/>
        <v>0.31220924123305599</v>
      </c>
      <c r="CS287" s="172">
        <f t="shared" si="819"/>
        <v>58.085440229405762</v>
      </c>
      <c r="CT287" s="172">
        <f t="shared" si="820"/>
        <v>4.683138618495839</v>
      </c>
      <c r="CU287" s="217">
        <f t="shared" si="821"/>
        <v>2.4202266762252402</v>
      </c>
      <c r="CV287" s="217">
        <f t="shared" si="822"/>
        <v>3.2269689016336534</v>
      </c>
      <c r="CW287" s="217">
        <f t="shared" si="823"/>
        <v>24</v>
      </c>
      <c r="CX287" s="217">
        <f t="shared" si="824"/>
        <v>3.2595661251007146</v>
      </c>
      <c r="CY287" s="217">
        <f t="shared" si="825"/>
        <v>0.9054350347501986</v>
      </c>
      <c r="CZ287" s="217">
        <f t="shared" si="826"/>
        <v>1.9785043460662672</v>
      </c>
      <c r="DA287" s="197">
        <f t="shared" si="827"/>
        <v>350</v>
      </c>
      <c r="DB287" s="443">
        <f t="shared" si="828"/>
        <v>346.74792634403161</v>
      </c>
      <c r="DD287" s="217">
        <f t="shared" si="829"/>
        <v>3.2292794133140656</v>
      </c>
      <c r="DE287" s="173">
        <f t="shared" si="830"/>
        <v>1.9601207978889497</v>
      </c>
      <c r="DF287" s="173">
        <f t="shared" si="831"/>
        <v>0.6872960992823488</v>
      </c>
      <c r="DG287" s="173"/>
      <c r="DH287" s="173">
        <f t="shared" si="832"/>
        <v>1.3488532386977903</v>
      </c>
      <c r="DI287" s="545">
        <f t="shared" si="833"/>
        <v>710.24849999999981</v>
      </c>
      <c r="DJ287" s="528">
        <f t="shared" si="834"/>
        <v>0.34987754285999911</v>
      </c>
      <c r="DL287" s="173">
        <f t="shared" si="835"/>
        <v>3.235340564983626</v>
      </c>
      <c r="DM287" s="173">
        <f t="shared" si="836"/>
        <v>3.2595661251007146</v>
      </c>
      <c r="DN287" s="173">
        <f t="shared" si="837"/>
        <v>1.9684028910211053</v>
      </c>
      <c r="DP287" s="545">
        <f t="shared" si="838"/>
        <v>710</v>
      </c>
      <c r="DQ287" s="460">
        <f t="shared" si="839"/>
        <v>346.74792634403161</v>
      </c>
      <c r="DS287">
        <f t="shared" si="840"/>
        <v>710</v>
      </c>
      <c r="DT287">
        <f t="shared" si="841"/>
        <v>346.74792634403161</v>
      </c>
      <c r="DV287" s="5">
        <f t="shared" si="870"/>
        <v>2.8839393808164657</v>
      </c>
      <c r="DW287" s="5">
        <f t="shared" si="842"/>
        <v>0.9054350347501986</v>
      </c>
      <c r="DX287" s="5">
        <f t="shared" si="843"/>
        <v>1.9785043460662672</v>
      </c>
      <c r="DY287" s="173">
        <f t="shared" si="844"/>
        <v>0.31395772073886757</v>
      </c>
      <c r="EA287" s="5">
        <f t="shared" si="871"/>
        <v>2.6785786444693378</v>
      </c>
      <c r="EB287" s="5">
        <f t="shared" si="872"/>
        <v>0.35714381926257827</v>
      </c>
      <c r="EC287" s="5">
        <f t="shared" si="873"/>
        <v>0.78041004761502752</v>
      </c>
      <c r="ED287" s="5"/>
      <c r="EE287" s="173">
        <f t="shared" si="874"/>
        <v>1.0544712716530196</v>
      </c>
      <c r="EF287" s="173">
        <f t="shared" si="875"/>
        <v>1.0396818031939883</v>
      </c>
      <c r="EG287" s="173">
        <f t="shared" si="876"/>
        <v>0.10410867786037097</v>
      </c>
      <c r="EH287" s="173"/>
      <c r="EI287" s="528">
        <f t="shared" si="877"/>
        <v>4.4476386509661445E-2</v>
      </c>
      <c r="EJ287" s="528">
        <f t="shared" si="878"/>
        <v>1.6310151000000002</v>
      </c>
      <c r="EK287" s="528">
        <f t="shared" si="879"/>
        <v>6.9349585268806316E-2</v>
      </c>
      <c r="EL287" s="528">
        <f t="shared" si="880"/>
        <v>0.16709180884909075</v>
      </c>
      <c r="EM287">
        <f t="shared" si="881"/>
        <v>1.6199999999999999E-2</v>
      </c>
      <c r="EN287" s="460">
        <f t="shared" si="882"/>
        <v>85.549585268806325</v>
      </c>
      <c r="EP287" s="460">
        <f t="shared" si="883"/>
        <v>1928.1328806275585</v>
      </c>
      <c r="EQ287" s="173">
        <f t="shared" si="884"/>
        <v>0.49699999999999994</v>
      </c>
      <c r="ER287" s="173">
        <f t="shared" si="845"/>
        <v>4.4019999999999997E-2</v>
      </c>
      <c r="ES287" s="528"/>
      <c r="EU287" s="460">
        <f t="shared" si="885"/>
        <v>541.02</v>
      </c>
      <c r="EV287" s="528">
        <f t="shared" si="886"/>
        <v>3.335728988224608E-2</v>
      </c>
      <c r="EW287" s="528">
        <f t="shared" si="887"/>
        <v>3.2428147556781091E-2</v>
      </c>
      <c r="EX287" s="528">
        <f t="shared" si="888"/>
        <v>5.4193084029172476E-5</v>
      </c>
      <c r="EY287" s="528">
        <f t="shared" si="889"/>
        <v>2.1473566184574597</v>
      </c>
      <c r="EZ287" s="528"/>
      <c r="FA287" s="625">
        <f t="shared" si="890"/>
        <v>0.7368234848886549</v>
      </c>
      <c r="FB287" s="460">
        <f t="shared" si="891"/>
        <v>2950.019733869171</v>
      </c>
      <c r="FC287" s="173">
        <f t="shared" si="892"/>
        <v>5.4191726144967296</v>
      </c>
      <c r="FD287" s="5">
        <f t="shared" si="893"/>
        <v>18.317999999999998</v>
      </c>
      <c r="FE287" s="173">
        <f t="shared" si="894"/>
        <v>0.77170100658124963</v>
      </c>
      <c r="FF287" s="5">
        <f t="shared" si="895"/>
        <v>77.170100658124966</v>
      </c>
      <c r="FG287">
        <f t="shared" si="896"/>
        <v>71</v>
      </c>
      <c r="FI287" s="562">
        <f t="shared" si="846"/>
        <v>-50</v>
      </c>
    </row>
    <row r="288" spans="5:165">
      <c r="E288" s="170">
        <v>72</v>
      </c>
      <c r="F288" s="217">
        <f t="shared" si="847"/>
        <v>0.72</v>
      </c>
      <c r="G288" s="217">
        <f t="shared" si="775"/>
        <v>7.1999999999999995E-2</v>
      </c>
      <c r="H288" s="217">
        <f t="shared" si="776"/>
        <v>17.28</v>
      </c>
      <c r="I288" s="217">
        <f t="shared" si="777"/>
        <v>1.2959999999999998</v>
      </c>
      <c r="J288" s="541">
        <f t="shared" si="778"/>
        <v>35.858255183672171</v>
      </c>
      <c r="K288" s="443">
        <f t="shared" si="779"/>
        <v>16.4961158253391</v>
      </c>
      <c r="L288" s="172">
        <f t="shared" si="780"/>
        <v>52.354371009011274</v>
      </c>
      <c r="M288" s="443"/>
      <c r="N288" s="217">
        <f t="shared" si="781"/>
        <v>0.31508574179030391</v>
      </c>
      <c r="O288" s="172">
        <f t="shared" si="782"/>
        <v>58.389792939810626</v>
      </c>
      <c r="P288" s="172">
        <f t="shared" si="783"/>
        <v>4.7076770557722316</v>
      </c>
      <c r="Q288" s="217">
        <f t="shared" si="784"/>
        <v>2.4329080391587761</v>
      </c>
      <c r="R288" s="217">
        <f t="shared" si="785"/>
        <v>3.2438773855450349</v>
      </c>
      <c r="S288" s="217">
        <f t="shared" si="786"/>
        <v>24</v>
      </c>
      <c r="T288" s="217">
        <f t="shared" si="787"/>
        <v>3.2882459473339369</v>
      </c>
      <c r="U288" s="217">
        <f t="shared" si="788"/>
        <v>0.91701225575281742</v>
      </c>
      <c r="V288" s="217">
        <f t="shared" si="789"/>
        <v>1.99334557428542</v>
      </c>
      <c r="W288" s="197">
        <f t="shared" si="790"/>
        <v>350</v>
      </c>
      <c r="X288" s="443">
        <f t="shared" si="848"/>
        <v>321.50641651018856</v>
      </c>
      <c r="Z288" s="217">
        <f t="shared" si="791"/>
        <v>3.2281214096723878</v>
      </c>
      <c r="AA288" s="173">
        <f t="shared" si="792"/>
        <v>1.9568978805991315</v>
      </c>
      <c r="AB288" s="173">
        <f t="shared" si="793"/>
        <v>0.68591996090138296</v>
      </c>
      <c r="AC288" s="173"/>
      <c r="AD288" s="173">
        <f t="shared" si="794"/>
        <v>1.3471184645834906</v>
      </c>
      <c r="AE288" s="545">
        <f t="shared" si="795"/>
        <v>721.17951644211087</v>
      </c>
      <c r="AF288" s="528">
        <f t="shared" si="796"/>
        <v>0.34942756173001766</v>
      </c>
      <c r="AH288" s="173">
        <f t="shared" si="797"/>
        <v>3.2580449878504045</v>
      </c>
      <c r="AI288" s="173">
        <f t="shared" si="798"/>
        <v>3.2882459473339369</v>
      </c>
      <c r="AJ288" s="173">
        <f t="shared" si="799"/>
        <v>1.9896472037864552</v>
      </c>
      <c r="AL288" s="545">
        <f t="shared" si="800"/>
        <v>720</v>
      </c>
      <c r="AM288" s="460">
        <f t="shared" si="801"/>
        <v>321.50641651018856</v>
      </c>
      <c r="AO288">
        <f t="shared" si="802"/>
        <v>720</v>
      </c>
      <c r="AP288">
        <f t="shared" si="803"/>
        <v>321.50641651018856</v>
      </c>
      <c r="AR288" s="5">
        <f t="shared" si="774"/>
        <v>3.1103578300382382</v>
      </c>
      <c r="AS288" s="5">
        <f t="shared" si="739"/>
        <v>0.91701225575281742</v>
      </c>
      <c r="AT288" s="5">
        <f t="shared" si="740"/>
        <v>2.1933455742854209</v>
      </c>
      <c r="AU288" s="173">
        <f t="shared" si="741"/>
        <v>0.29482532424301283</v>
      </c>
      <c r="BA288" s="173">
        <f t="shared" si="849"/>
        <v>1.030827648647328</v>
      </c>
      <c r="BB288" s="173">
        <f t="shared" si="850"/>
        <v>1.063353962682742</v>
      </c>
      <c r="BC288" s="173">
        <f t="shared" si="851"/>
        <v>0.10647909274971777</v>
      </c>
      <c r="BD288" s="173"/>
      <c r="BE288" s="528">
        <f t="shared" si="852"/>
        <v>4.2504225648631169E-2</v>
      </c>
      <c r="BF288" s="528">
        <f t="shared" si="804"/>
        <v>1.245344200992897</v>
      </c>
      <c r="BG288" s="528">
        <f t="shared" si="805"/>
        <v>0.46114636505641332</v>
      </c>
      <c r="BH288" s="528">
        <f t="shared" si="853"/>
        <v>0.15421747428019017</v>
      </c>
      <c r="BI288">
        <f t="shared" si="854"/>
        <v>1.6136214832652478E-2</v>
      </c>
      <c r="BJ288" s="460">
        <f t="shared" si="855"/>
        <v>477.2825798890658</v>
      </c>
      <c r="BK288">
        <f t="shared" si="806"/>
        <v>1.4683711277603102</v>
      </c>
      <c r="BL288" s="460">
        <f t="shared" si="856"/>
        <v>1919.3484808107844</v>
      </c>
      <c r="BM288" s="173">
        <f t="shared" si="807"/>
        <v>0.62495999999999996</v>
      </c>
      <c r="BN288" s="173">
        <f t="shared" si="808"/>
        <v>4.4639999999999999E-2</v>
      </c>
      <c r="BQ288" s="460">
        <f t="shared" si="857"/>
        <v>669.6</v>
      </c>
      <c r="BR288" s="528">
        <f t="shared" si="858"/>
        <v>3.1878169236473373E-2</v>
      </c>
      <c r="BS288" s="528">
        <f t="shared" si="859"/>
        <v>3.39216494985927E-2</v>
      </c>
      <c r="BT288" s="528">
        <f t="shared" si="860"/>
        <v>5.6688985964014998E-5</v>
      </c>
      <c r="BU288" s="528">
        <f t="shared" si="861"/>
        <v>1.816999677680796</v>
      </c>
      <c r="BV288" s="528"/>
      <c r="BW288" s="625">
        <f t="shared" si="862"/>
        <v>0.69526157445525394</v>
      </c>
      <c r="BX288" s="460">
        <f t="shared" si="863"/>
        <v>2578.1177598570803</v>
      </c>
      <c r="BY288" s="173">
        <f t="shared" si="864"/>
        <v>5.1670662406678645</v>
      </c>
      <c r="BZ288" s="5">
        <f t="shared" si="865"/>
        <v>18.576000000000001</v>
      </c>
      <c r="CA288" s="173">
        <f t="shared" si="866"/>
        <v>0.78237578127893392</v>
      </c>
      <c r="CB288" s="5">
        <f t="shared" si="867"/>
        <v>78.237578127893386</v>
      </c>
      <c r="CC288">
        <f t="shared" si="868"/>
        <v>72</v>
      </c>
      <c r="CE288" s="562">
        <f t="shared" si="809"/>
        <v>-50</v>
      </c>
      <c r="CG288" s="173">
        <f t="shared" si="810"/>
        <v>0.67907798870528813</v>
      </c>
      <c r="CH288" s="173">
        <f t="shared" si="811"/>
        <v>0.18572219042655347</v>
      </c>
      <c r="CI288" s="170">
        <v>72</v>
      </c>
      <c r="CJ288" s="217">
        <f t="shared" si="869"/>
        <v>0.72</v>
      </c>
      <c r="CK288" s="217">
        <f t="shared" si="812"/>
        <v>7.1999999999999995E-2</v>
      </c>
      <c r="CL288" s="217">
        <f t="shared" si="813"/>
        <v>17.28</v>
      </c>
      <c r="CM288" s="217">
        <f t="shared" si="814"/>
        <v>1.2959999999999998</v>
      </c>
      <c r="CN288" s="541">
        <f t="shared" si="815"/>
        <v>36</v>
      </c>
      <c r="CO288" s="443">
        <f t="shared" si="816"/>
        <v>16.474900000000002</v>
      </c>
      <c r="CP288" s="443">
        <f t="shared" si="817"/>
        <v>52.474900000000005</v>
      </c>
      <c r="CQ288" s="443"/>
      <c r="CR288" s="217">
        <f t="shared" si="818"/>
        <v>0.31220924123305599</v>
      </c>
      <c r="CS288" s="172">
        <f t="shared" si="819"/>
        <v>58.085440229405762</v>
      </c>
      <c r="CT288" s="172">
        <f t="shared" si="820"/>
        <v>4.683138618495839</v>
      </c>
      <c r="CU288" s="217">
        <f t="shared" si="821"/>
        <v>2.4202266762252402</v>
      </c>
      <c r="CV288" s="217">
        <f t="shared" si="822"/>
        <v>3.2269689016336534</v>
      </c>
      <c r="CW288" s="217">
        <f t="shared" si="823"/>
        <v>24</v>
      </c>
      <c r="CX288" s="217">
        <f t="shared" si="824"/>
        <v>3.3054755071443873</v>
      </c>
      <c r="CY288" s="217">
        <f t="shared" si="825"/>
        <v>0.91818764087344107</v>
      </c>
      <c r="CZ288" s="217">
        <f t="shared" si="826"/>
        <v>2.0063706044615675</v>
      </c>
      <c r="DA288" s="197">
        <f t="shared" si="827"/>
        <v>350</v>
      </c>
      <c r="DB288" s="443">
        <f t="shared" si="828"/>
        <v>341.9319829225866</v>
      </c>
      <c r="DD288" s="217">
        <f t="shared" si="829"/>
        <v>3.2292794133140656</v>
      </c>
      <c r="DE288" s="173">
        <f t="shared" si="830"/>
        <v>1.9601207978889497</v>
      </c>
      <c r="DF288" s="173">
        <f t="shared" si="831"/>
        <v>0.6872960992823488</v>
      </c>
      <c r="DG288" s="173"/>
      <c r="DH288" s="173">
        <f t="shared" si="832"/>
        <v>1.3488532386977903</v>
      </c>
      <c r="DI288" s="545">
        <f t="shared" si="833"/>
        <v>720.25199999999984</v>
      </c>
      <c r="DJ288" s="528">
        <f t="shared" si="834"/>
        <v>0.34987754285999911</v>
      </c>
      <c r="DL288" s="173">
        <f t="shared" si="835"/>
        <v>3.2580449878504045</v>
      </c>
      <c r="DM288" s="173">
        <f t="shared" si="836"/>
        <v>3.3054755071443873</v>
      </c>
      <c r="DN288" s="173">
        <f t="shared" si="837"/>
        <v>2.002409840683085</v>
      </c>
      <c r="DP288" s="545">
        <f t="shared" si="838"/>
        <v>720</v>
      </c>
      <c r="DQ288" s="460">
        <f t="shared" si="839"/>
        <v>341.9319829225866</v>
      </c>
      <c r="DS288">
        <f t="shared" si="840"/>
        <v>720</v>
      </c>
      <c r="DT288">
        <f t="shared" si="841"/>
        <v>341.9319829225866</v>
      </c>
      <c r="DV288" s="5">
        <f t="shared" si="870"/>
        <v>2.9245582453350085</v>
      </c>
      <c r="DW288" s="5">
        <f t="shared" si="842"/>
        <v>0.91818764087344107</v>
      </c>
      <c r="DX288" s="5">
        <f t="shared" si="843"/>
        <v>2.0063706044615675</v>
      </c>
      <c r="DY288" s="173">
        <f t="shared" si="844"/>
        <v>0.31395772073886752</v>
      </c>
      <c r="EA288" s="5">
        <f t="shared" si="871"/>
        <v>2.7545629226203228</v>
      </c>
      <c r="EB288" s="5">
        <f t="shared" si="872"/>
        <v>0.36727505634937641</v>
      </c>
      <c r="EC288" s="5">
        <f t="shared" si="873"/>
        <v>0.80254824178462691</v>
      </c>
      <c r="ED288" s="5"/>
      <c r="EE288" s="173">
        <f t="shared" si="874"/>
        <v>1.0693229797044705</v>
      </c>
      <c r="EF288" s="173">
        <f t="shared" si="875"/>
        <v>1.054325208872777</v>
      </c>
      <c r="EG288" s="173">
        <f t="shared" si="876"/>
        <v>0.10557499726685508</v>
      </c>
      <c r="EH288" s="173"/>
      <c r="EI288" s="528">
        <f t="shared" si="877"/>
        <v>4.5738065396961902E-2</v>
      </c>
      <c r="EJ288" s="528">
        <f t="shared" si="878"/>
        <v>1.6310150999999999</v>
      </c>
      <c r="EK288" s="528">
        <f t="shared" si="879"/>
        <v>6.8386396584517326E-2</v>
      </c>
      <c r="EL288" s="528">
        <f t="shared" si="880"/>
        <v>0.16477108928174219</v>
      </c>
      <c r="EM288">
        <f t="shared" si="881"/>
        <v>1.6199999999999999E-2</v>
      </c>
      <c r="EN288" s="460">
        <f t="shared" si="882"/>
        <v>84.586396584517331</v>
      </c>
      <c r="EP288" s="460">
        <f t="shared" si="883"/>
        <v>1926.1106512632214</v>
      </c>
      <c r="EQ288" s="173">
        <f t="shared" si="884"/>
        <v>0.504</v>
      </c>
      <c r="ER288" s="173">
        <f t="shared" si="845"/>
        <v>4.4639999999999999E-2</v>
      </c>
      <c r="ES288" s="528"/>
      <c r="EU288" s="460">
        <f t="shared" si="885"/>
        <v>548.64</v>
      </c>
      <c r="EV288" s="528">
        <f t="shared" si="886"/>
        <v>3.4303549047721427E-2</v>
      </c>
      <c r="EW288" s="528">
        <f t="shared" si="887"/>
        <v>3.3348049381938749E-2</v>
      </c>
      <c r="EX288" s="528">
        <f t="shared" si="888"/>
        <v>5.5730400239482294E-5</v>
      </c>
      <c r="EY288" s="528">
        <f t="shared" si="889"/>
        <v>2.1473566184574633</v>
      </c>
      <c r="EZ288" s="528"/>
      <c r="FA288" s="625">
        <f t="shared" si="890"/>
        <v>0.74720128045046685</v>
      </c>
      <c r="FB288" s="460">
        <f t="shared" si="891"/>
        <v>2962.2652277378297</v>
      </c>
      <c r="FC288" s="173">
        <f t="shared" si="892"/>
        <v>5.4370158790010503</v>
      </c>
      <c r="FD288" s="5">
        <f t="shared" si="893"/>
        <v>18.576000000000001</v>
      </c>
      <c r="FE288" s="173">
        <f t="shared" si="894"/>
        <v>0.77358046542768399</v>
      </c>
      <c r="FF288" s="5">
        <f t="shared" si="895"/>
        <v>77.358046542768406</v>
      </c>
      <c r="FG288">
        <f t="shared" si="896"/>
        <v>72</v>
      </c>
      <c r="FI288" s="562">
        <f t="shared" si="846"/>
        <v>-50</v>
      </c>
    </row>
    <row r="289" spans="5:165">
      <c r="E289" s="170">
        <v>73</v>
      </c>
      <c r="F289" s="217">
        <f t="shared" si="847"/>
        <v>0.73</v>
      </c>
      <c r="G289" s="217">
        <f t="shared" si="775"/>
        <v>7.2999999999999995E-2</v>
      </c>
      <c r="H289" s="217">
        <f t="shared" si="776"/>
        <v>17.52</v>
      </c>
      <c r="I289" s="217">
        <f t="shared" si="777"/>
        <v>1.3139999999999998</v>
      </c>
      <c r="J289" s="541">
        <f t="shared" si="778"/>
        <v>35.856286505667612</v>
      </c>
      <c r="K289" s="443">
        <f t="shared" si="779"/>
        <v>16.496410489579922</v>
      </c>
      <c r="L289" s="172">
        <f t="shared" si="780"/>
        <v>52.352696995247534</v>
      </c>
      <c r="M289" s="443"/>
      <c r="N289" s="217">
        <f t="shared" si="781"/>
        <v>0.31510144531956835</v>
      </c>
      <c r="O289" s="172">
        <f t="shared" si="782"/>
        <v>58.389497166555032</v>
      </c>
      <c r="P289" s="172">
        <f t="shared" si="783"/>
        <v>4.7076532090534995</v>
      </c>
      <c r="Q289" s="217">
        <f t="shared" si="784"/>
        <v>2.4328957152731263</v>
      </c>
      <c r="R289" s="217">
        <f t="shared" si="785"/>
        <v>3.2438609536975016</v>
      </c>
      <c r="S289" s="217">
        <f t="shared" si="786"/>
        <v>24</v>
      </c>
      <c r="T289" s="217">
        <f t="shared" si="787"/>
        <v>3.3339329179592583</v>
      </c>
      <c r="U289" s="217">
        <f t="shared" si="788"/>
        <v>0.92980429455021274</v>
      </c>
      <c r="V289" s="217">
        <f t="shared" si="789"/>
        <v>2.0210050665659427</v>
      </c>
      <c r="W289" s="197">
        <f t="shared" si="790"/>
        <v>350</v>
      </c>
      <c r="X289" s="443">
        <f t="shared" si="848"/>
        <v>317.37877014741252</v>
      </c>
      <c r="Z289" s="217">
        <f t="shared" si="791"/>
        <v>3.2281050576366859</v>
      </c>
      <c r="AA289" s="173">
        <f t="shared" si="792"/>
        <v>1.9568530133726623</v>
      </c>
      <c r="AB289" s="173">
        <f t="shared" si="793"/>
        <v>0.68590075986856558</v>
      </c>
      <c r="AC289" s="173"/>
      <c r="AD289" s="173">
        <f t="shared" si="794"/>
        <v>1.3470944019160445</v>
      </c>
      <c r="AE289" s="545">
        <f t="shared" si="795"/>
        <v>731.20895970679192</v>
      </c>
      <c r="AF289" s="528">
        <f t="shared" si="796"/>
        <v>0.34942132014144511</v>
      </c>
      <c r="AH289" s="173">
        <f t="shared" si="797"/>
        <v>3.2805922810196506</v>
      </c>
      <c r="AI289" s="173">
        <f t="shared" si="798"/>
        <v>3.3339329179592583</v>
      </c>
      <c r="AJ289" s="173">
        <f t="shared" si="799"/>
        <v>2.0234894042496561</v>
      </c>
      <c r="AL289" s="545">
        <f t="shared" si="800"/>
        <v>730</v>
      </c>
      <c r="AM289" s="460">
        <f t="shared" si="801"/>
        <v>317.37877014741252</v>
      </c>
      <c r="AO289">
        <f t="shared" si="802"/>
        <v>730</v>
      </c>
      <c r="AP289">
        <f t="shared" si="803"/>
        <v>317.37877014741252</v>
      </c>
      <c r="AR289" s="5">
        <f t="shared" si="774"/>
        <v>3.1508093611161554</v>
      </c>
      <c r="AS289" s="5">
        <f t="shared" si="739"/>
        <v>0.92980429455021274</v>
      </c>
      <c r="AT289" s="5">
        <f t="shared" si="740"/>
        <v>2.2210050665659429</v>
      </c>
      <c r="AU289" s="173">
        <f t="shared" si="741"/>
        <v>0.29510014348212904</v>
      </c>
      <c r="BA289" s="173">
        <f t="shared" si="849"/>
        <v>1.0456369944708417</v>
      </c>
      <c r="BB289" s="173">
        <f t="shared" si="850"/>
        <v>1.0779181255325099</v>
      </c>
      <c r="BC289" s="173">
        <f t="shared" si="851"/>
        <v>0.10793747716480941</v>
      </c>
      <c r="BD289" s="173"/>
      <c r="BE289" s="528">
        <f t="shared" si="852"/>
        <v>4.3734268968240599E-2</v>
      </c>
      <c r="BF289" s="528">
        <f t="shared" si="804"/>
        <v>1.2463967497474631</v>
      </c>
      <c r="BG289" s="528">
        <f t="shared" si="805"/>
        <v>0.45520096452888203</v>
      </c>
      <c r="BH289" s="528">
        <f t="shared" si="853"/>
        <v>0.15222782450361425</v>
      </c>
      <c r="BI289">
        <f t="shared" si="854"/>
        <v>1.6135328927550426E-2</v>
      </c>
      <c r="BJ289" s="460">
        <f t="shared" si="855"/>
        <v>471.33629345643249</v>
      </c>
      <c r="BK289">
        <f t="shared" si="806"/>
        <v>1.469436394863002</v>
      </c>
      <c r="BL289" s="460">
        <f t="shared" si="856"/>
        <v>1913.6951366757501</v>
      </c>
      <c r="BM289" s="173">
        <f t="shared" si="807"/>
        <v>0.63363999999999998</v>
      </c>
      <c r="BN289" s="173">
        <f t="shared" si="808"/>
        <v>4.5259999999999995E-2</v>
      </c>
      <c r="BQ289" s="460">
        <f t="shared" si="857"/>
        <v>678.9</v>
      </c>
      <c r="BR289" s="528">
        <f t="shared" si="858"/>
        <v>3.2800701726180444E-2</v>
      </c>
      <c r="BS289" s="528">
        <f t="shared" si="859"/>
        <v>3.4857224560545588E-2</v>
      </c>
      <c r="BT289" s="528">
        <f t="shared" si="860"/>
        <v>5.8252494883518758E-5</v>
      </c>
      <c r="BU289" s="528">
        <f t="shared" si="861"/>
        <v>1.8209869332052566</v>
      </c>
      <c r="BV289" s="528"/>
      <c r="BW289" s="625">
        <f t="shared" si="862"/>
        <v>0.70553990594434912</v>
      </c>
      <c r="BX289" s="460">
        <f t="shared" si="863"/>
        <v>2594.243017931215</v>
      </c>
      <c r="BY289" s="173">
        <f t="shared" si="864"/>
        <v>5.1868381546069653</v>
      </c>
      <c r="BZ289" s="5">
        <f t="shared" si="865"/>
        <v>18.834</v>
      </c>
      <c r="CA289" s="173">
        <f t="shared" si="866"/>
        <v>0.78406922684285363</v>
      </c>
      <c r="CB289" s="5">
        <f t="shared" si="867"/>
        <v>78.406922684285362</v>
      </c>
      <c r="CC289">
        <f t="shared" si="868"/>
        <v>73</v>
      </c>
      <c r="CE289" s="562">
        <f t="shared" si="809"/>
        <v>-50</v>
      </c>
      <c r="CG289" s="173">
        <f t="shared" si="810"/>
        <v>0.67907798870528813</v>
      </c>
      <c r="CH289" s="173">
        <f t="shared" si="811"/>
        <v>0.1857221904265535</v>
      </c>
      <c r="CI289" s="170">
        <v>73</v>
      </c>
      <c r="CJ289" s="217">
        <f t="shared" si="869"/>
        <v>0.73</v>
      </c>
      <c r="CK289" s="217">
        <f t="shared" si="812"/>
        <v>7.2999999999999995E-2</v>
      </c>
      <c r="CL289" s="217">
        <f t="shared" si="813"/>
        <v>17.52</v>
      </c>
      <c r="CM289" s="217">
        <f t="shared" si="814"/>
        <v>1.3139999999999998</v>
      </c>
      <c r="CN289" s="541">
        <f t="shared" si="815"/>
        <v>36</v>
      </c>
      <c r="CO289" s="443">
        <f t="shared" si="816"/>
        <v>16.474900000000002</v>
      </c>
      <c r="CP289" s="443">
        <f t="shared" si="817"/>
        <v>52.474900000000005</v>
      </c>
      <c r="CQ289" s="443"/>
      <c r="CR289" s="217">
        <f t="shared" si="818"/>
        <v>0.31220924123305599</v>
      </c>
      <c r="CS289" s="172">
        <f t="shared" si="819"/>
        <v>58.085440229405762</v>
      </c>
      <c r="CT289" s="172">
        <f t="shared" si="820"/>
        <v>4.683138618495839</v>
      </c>
      <c r="CU289" s="217">
        <f t="shared" si="821"/>
        <v>2.4202266762252402</v>
      </c>
      <c r="CV289" s="217">
        <f t="shared" si="822"/>
        <v>3.2269689016336534</v>
      </c>
      <c r="CW289" s="217">
        <f t="shared" si="823"/>
        <v>24</v>
      </c>
      <c r="CX289" s="217">
        <f t="shared" si="824"/>
        <v>3.3513848891880591</v>
      </c>
      <c r="CY289" s="217">
        <f t="shared" si="825"/>
        <v>0.93094024699668321</v>
      </c>
      <c r="CZ289" s="217">
        <f t="shared" si="826"/>
        <v>2.0342368628568668</v>
      </c>
      <c r="DA289" s="197">
        <f t="shared" si="827"/>
        <v>350</v>
      </c>
      <c r="DB289" s="443">
        <f t="shared" si="828"/>
        <v>337.24798315652384</v>
      </c>
      <c r="DD289" s="217">
        <f t="shared" si="829"/>
        <v>3.2292794133140656</v>
      </c>
      <c r="DE289" s="173">
        <f t="shared" si="830"/>
        <v>1.9601207978889497</v>
      </c>
      <c r="DF289" s="173">
        <f t="shared" si="831"/>
        <v>0.6872960992823488</v>
      </c>
      <c r="DG289" s="173"/>
      <c r="DH289" s="173">
        <f t="shared" si="832"/>
        <v>1.3488532386977903</v>
      </c>
      <c r="DI289" s="545">
        <f t="shared" si="833"/>
        <v>730.25549999999976</v>
      </c>
      <c r="DJ289" s="528">
        <f t="shared" si="834"/>
        <v>0.34987754285999911</v>
      </c>
      <c r="DL289" s="173">
        <f t="shared" si="835"/>
        <v>3.2805922810196506</v>
      </c>
      <c r="DM289" s="173">
        <f t="shared" si="836"/>
        <v>3.3513848891880591</v>
      </c>
      <c r="DN289" s="173">
        <f t="shared" si="837"/>
        <v>2.0364167903450641</v>
      </c>
      <c r="DP289" s="545">
        <f t="shared" si="838"/>
        <v>730</v>
      </c>
      <c r="DQ289" s="460">
        <f t="shared" si="839"/>
        <v>337.24798315652384</v>
      </c>
      <c r="DS289">
        <f t="shared" si="840"/>
        <v>730</v>
      </c>
      <c r="DT289">
        <f t="shared" si="841"/>
        <v>337.24798315652384</v>
      </c>
      <c r="DV289" s="5">
        <f t="shared" si="870"/>
        <v>2.9651771098535495</v>
      </c>
      <c r="DW289" s="5">
        <f t="shared" si="842"/>
        <v>0.93094024699668321</v>
      </c>
      <c r="DX289" s="5">
        <f t="shared" si="843"/>
        <v>2.0342368628568663</v>
      </c>
      <c r="DY289" s="173">
        <f t="shared" si="844"/>
        <v>0.31395772073886757</v>
      </c>
      <c r="EA289" s="5">
        <f t="shared" si="871"/>
        <v>2.8316099179482443</v>
      </c>
      <c r="EB289" s="5">
        <f t="shared" si="872"/>
        <v>0.37754798905976594</v>
      </c>
      <c r="EC289" s="5">
        <f t="shared" si="873"/>
        <v>0.82499606104750667</v>
      </c>
      <c r="ED289" s="5"/>
      <c r="EE289" s="173">
        <f t="shared" si="874"/>
        <v>1.0841746877559215</v>
      </c>
      <c r="EF289" s="173">
        <f t="shared" si="875"/>
        <v>1.0689686145515656</v>
      </c>
      <c r="EG289" s="173">
        <f t="shared" si="876"/>
        <v>0.10704131667333917</v>
      </c>
      <c r="EH289" s="173"/>
      <c r="EI289" s="528">
        <f t="shared" si="877"/>
        <v>4.7017390142826E-2</v>
      </c>
      <c r="EJ289" s="528">
        <f t="shared" si="878"/>
        <v>1.6310151000000004</v>
      </c>
      <c r="EK289" s="528">
        <f t="shared" si="879"/>
        <v>6.7449596631304773E-2</v>
      </c>
      <c r="EL289" s="528">
        <f t="shared" si="880"/>
        <v>0.16251395107240332</v>
      </c>
      <c r="EM289">
        <f t="shared" si="881"/>
        <v>1.6199999999999999E-2</v>
      </c>
      <c r="EN289" s="460">
        <f t="shared" si="882"/>
        <v>83.649596631304775</v>
      </c>
      <c r="EP289" s="460">
        <f t="shared" si="883"/>
        <v>1924.1960378465344</v>
      </c>
      <c r="EQ289" s="173">
        <f t="shared" si="884"/>
        <v>0.51100000000000001</v>
      </c>
      <c r="ER289" s="173">
        <f t="shared" si="845"/>
        <v>4.5259999999999995E-2</v>
      </c>
      <c r="ES289" s="528"/>
      <c r="EU289" s="460">
        <f t="shared" si="885"/>
        <v>556.26</v>
      </c>
      <c r="EV289" s="528">
        <f t="shared" si="886"/>
        <v>3.5263042607119495E-2</v>
      </c>
      <c r="EW289" s="528">
        <f t="shared" si="887"/>
        <v>3.4280816966888804E-2</v>
      </c>
      <c r="EX289" s="528">
        <f t="shared" si="888"/>
        <v>5.7289217375810392E-5</v>
      </c>
      <c r="EY289" s="528">
        <f t="shared" si="889"/>
        <v>2.1473566184574633</v>
      </c>
      <c r="EZ289" s="528"/>
      <c r="FA289" s="625">
        <f t="shared" si="890"/>
        <v>0.75757907601227903</v>
      </c>
      <c r="FB289" s="460">
        <f t="shared" si="891"/>
        <v>2974.5368432611263</v>
      </c>
      <c r="FC289" s="173">
        <f t="shared" si="892"/>
        <v>5.4549928811076605</v>
      </c>
      <c r="FD289" s="5">
        <f t="shared" si="893"/>
        <v>18.834</v>
      </c>
      <c r="FE289" s="173">
        <f t="shared" si="894"/>
        <v>0.77541296554330852</v>
      </c>
      <c r="FF289" s="5">
        <f t="shared" si="895"/>
        <v>77.541296554330856</v>
      </c>
      <c r="FG289">
        <f t="shared" si="896"/>
        <v>73</v>
      </c>
      <c r="FI289" s="562">
        <f t="shared" si="846"/>
        <v>-50</v>
      </c>
    </row>
    <row r="290" spans="5:165">
      <c r="E290" s="170">
        <v>74</v>
      </c>
      <c r="F290" s="217">
        <f t="shared" si="847"/>
        <v>0.74</v>
      </c>
      <c r="G290" s="217">
        <f t="shared" si="775"/>
        <v>7.3999999999999996E-2</v>
      </c>
      <c r="H290" s="217">
        <f t="shared" si="776"/>
        <v>17.759999999999998</v>
      </c>
      <c r="I290" s="217">
        <f t="shared" si="777"/>
        <v>1.3319999999999999</v>
      </c>
      <c r="J290" s="541">
        <f t="shared" si="778"/>
        <v>35.85431782766306</v>
      </c>
      <c r="K290" s="443">
        <f t="shared" si="779"/>
        <v>16.496705153820745</v>
      </c>
      <c r="L290" s="172">
        <f t="shared" si="780"/>
        <v>52.351022981483808</v>
      </c>
      <c r="M290" s="443"/>
      <c r="N290" s="217">
        <f t="shared" si="781"/>
        <v>0.31511714985312733</v>
      </c>
      <c r="O290" s="172">
        <f t="shared" si="782"/>
        <v>58.389201259851966</v>
      </c>
      <c r="P290" s="172">
        <f t="shared" si="783"/>
        <v>4.7076293515755649</v>
      </c>
      <c r="Q290" s="217">
        <f t="shared" si="784"/>
        <v>2.4328833858271652</v>
      </c>
      <c r="R290" s="217">
        <f t="shared" si="785"/>
        <v>3.2438445144362205</v>
      </c>
      <c r="S290" s="217">
        <f t="shared" si="786"/>
        <v>24</v>
      </c>
      <c r="T290" s="217">
        <f t="shared" si="787"/>
        <v>3.3796203591676539</v>
      </c>
      <c r="U290" s="217">
        <f t="shared" si="788"/>
        <v>0.94259786935902601</v>
      </c>
      <c r="V290" s="217">
        <f t="shared" si="789"/>
        <v>2.0486638559972761</v>
      </c>
      <c r="W290" s="197">
        <f t="shared" si="790"/>
        <v>350</v>
      </c>
      <c r="X290" s="443">
        <f t="shared" si="848"/>
        <v>313.3556837580756</v>
      </c>
      <c r="Z290" s="217">
        <f t="shared" si="791"/>
        <v>3.2280886982232442</v>
      </c>
      <c r="AA290" s="173">
        <f t="shared" si="792"/>
        <v>1.956808143276779</v>
      </c>
      <c r="AB290" s="173">
        <f t="shared" si="793"/>
        <v>0.68588155642174464</v>
      </c>
      <c r="AC290" s="173"/>
      <c r="AD290" s="173">
        <f t="shared" si="794"/>
        <v>1.3470703401082134</v>
      </c>
      <c r="AE290" s="545">
        <f t="shared" si="795"/>
        <v>741.23876080960656</v>
      </c>
      <c r="AF290" s="528">
        <f t="shared" si="796"/>
        <v>0.34941507877584715</v>
      </c>
      <c r="AH290" s="173">
        <f t="shared" si="797"/>
        <v>3.3029856623537261</v>
      </c>
      <c r="AI290" s="173">
        <f t="shared" si="798"/>
        <v>3.3796203591676539</v>
      </c>
      <c r="AJ290" s="173">
        <f t="shared" si="799"/>
        <v>2.0573319532929122</v>
      </c>
      <c r="AL290" s="545">
        <f t="shared" si="800"/>
        <v>740</v>
      </c>
      <c r="AM290" s="460">
        <f t="shared" si="801"/>
        <v>313.3556837580756</v>
      </c>
      <c r="AO290">
        <f t="shared" si="802"/>
        <v>740</v>
      </c>
      <c r="AP290">
        <f t="shared" si="803"/>
        <v>313.3556837580756</v>
      </c>
      <c r="AR290" s="5">
        <f t="shared" si="774"/>
        <v>3.191261725356302</v>
      </c>
      <c r="AS290" s="5">
        <f t="shared" si="739"/>
        <v>0.94259786935902601</v>
      </c>
      <c r="AT290" s="5">
        <f t="shared" si="740"/>
        <v>2.2486638559972763</v>
      </c>
      <c r="AU290" s="173">
        <f t="shared" si="741"/>
        <v>0.29536839986190278</v>
      </c>
      <c r="BA290" s="173">
        <f t="shared" si="849"/>
        <v>1.0604478243889806</v>
      </c>
      <c r="BB290" s="173">
        <f t="shared" si="850"/>
        <v>1.0924817282580965</v>
      </c>
      <c r="BC290" s="173">
        <f t="shared" si="851"/>
        <v>0.10939580549179047</v>
      </c>
      <c r="BD290" s="173"/>
      <c r="BE290" s="528">
        <f t="shared" si="852"/>
        <v>4.4981983530052887E-2</v>
      </c>
      <c r="BF290" s="528">
        <f t="shared" si="804"/>
        <v>1.2474213844412152</v>
      </c>
      <c r="BG290" s="528">
        <f t="shared" si="805"/>
        <v>0.44940617114266873</v>
      </c>
      <c r="BH290" s="528">
        <f t="shared" si="853"/>
        <v>0.15028857628649209</v>
      </c>
      <c r="BI290">
        <f t="shared" si="854"/>
        <v>1.6134443022448375E-2</v>
      </c>
      <c r="BJ290" s="460">
        <f t="shared" si="855"/>
        <v>465.54061416511712</v>
      </c>
      <c r="BK290">
        <f t="shared" si="806"/>
        <v>1.470553947598819</v>
      </c>
      <c r="BL290" s="460">
        <f t="shared" si="856"/>
        <v>1908.2325584228772</v>
      </c>
      <c r="BM290" s="173">
        <f t="shared" si="807"/>
        <v>0.64232</v>
      </c>
      <c r="BN290" s="173">
        <f t="shared" si="808"/>
        <v>4.5879999999999997E-2</v>
      </c>
      <c r="BQ290" s="460">
        <f t="shared" si="857"/>
        <v>688.2</v>
      </c>
      <c r="BR290" s="528">
        <f t="shared" si="858"/>
        <v>3.3736487647539663E-2</v>
      </c>
      <c r="BS290" s="528">
        <f t="shared" si="859"/>
        <v>3.5805489797333924E-2</v>
      </c>
      <c r="BT290" s="528">
        <f t="shared" si="860"/>
        <v>5.9837211295988264E-5</v>
      </c>
      <c r="BU290" s="528">
        <f t="shared" si="861"/>
        <v>1.8248775976474776</v>
      </c>
      <c r="BV290" s="528"/>
      <c r="BW290" s="625">
        <f t="shared" si="862"/>
        <v>0.7158193062855267</v>
      </c>
      <c r="BX290" s="460">
        <f t="shared" si="863"/>
        <v>2610.2987185891743</v>
      </c>
      <c r="BY290" s="173">
        <f t="shared" si="864"/>
        <v>5.2067312770120511</v>
      </c>
      <c r="BZ290" s="5">
        <f t="shared" si="865"/>
        <v>19.091999999999999</v>
      </c>
      <c r="CA290" s="173">
        <f t="shared" si="866"/>
        <v>0.78572003543502256</v>
      </c>
      <c r="CB290" s="5">
        <f t="shared" si="867"/>
        <v>78.572003543502262</v>
      </c>
      <c r="CC290">
        <f t="shared" si="868"/>
        <v>74</v>
      </c>
      <c r="CE290" s="562">
        <f t="shared" si="809"/>
        <v>-50</v>
      </c>
      <c r="CG290" s="173">
        <f t="shared" si="810"/>
        <v>0.67907798870528813</v>
      </c>
      <c r="CH290" s="173">
        <f t="shared" si="811"/>
        <v>0.1857221904265535</v>
      </c>
      <c r="CI290" s="170">
        <v>74</v>
      </c>
      <c r="CJ290" s="217">
        <f t="shared" si="869"/>
        <v>0.74</v>
      </c>
      <c r="CK290" s="217">
        <f t="shared" si="812"/>
        <v>7.3999999999999996E-2</v>
      </c>
      <c r="CL290" s="217">
        <f t="shared" si="813"/>
        <v>17.759999999999998</v>
      </c>
      <c r="CM290" s="217">
        <f t="shared" si="814"/>
        <v>1.3319999999999999</v>
      </c>
      <c r="CN290" s="541">
        <f t="shared" si="815"/>
        <v>36</v>
      </c>
      <c r="CO290" s="443">
        <f t="shared" si="816"/>
        <v>16.474900000000002</v>
      </c>
      <c r="CP290" s="443">
        <f t="shared" si="817"/>
        <v>52.474900000000005</v>
      </c>
      <c r="CQ290" s="443"/>
      <c r="CR290" s="217">
        <f t="shared" si="818"/>
        <v>0.31220924123305599</v>
      </c>
      <c r="CS290" s="172">
        <f t="shared" si="819"/>
        <v>58.085440229405762</v>
      </c>
      <c r="CT290" s="172">
        <f t="shared" si="820"/>
        <v>4.683138618495839</v>
      </c>
      <c r="CU290" s="217">
        <f t="shared" si="821"/>
        <v>2.4202266762252402</v>
      </c>
      <c r="CV290" s="217">
        <f t="shared" si="822"/>
        <v>3.2269689016336534</v>
      </c>
      <c r="CW290" s="217">
        <f t="shared" si="823"/>
        <v>24</v>
      </c>
      <c r="CX290" s="217">
        <f t="shared" si="824"/>
        <v>3.3972942712317309</v>
      </c>
      <c r="CY290" s="217">
        <f t="shared" si="825"/>
        <v>0.94369285311992535</v>
      </c>
      <c r="CZ290" s="217">
        <f t="shared" si="826"/>
        <v>2.0621031212521657</v>
      </c>
      <c r="DA290" s="197">
        <f t="shared" si="827"/>
        <v>350</v>
      </c>
      <c r="DB290" s="443">
        <f t="shared" si="828"/>
        <v>332.69057797873302</v>
      </c>
      <c r="DD290" s="217">
        <f t="shared" si="829"/>
        <v>3.2292794133140656</v>
      </c>
      <c r="DE290" s="173">
        <f t="shared" si="830"/>
        <v>1.9601207978889497</v>
      </c>
      <c r="DF290" s="173">
        <f t="shared" si="831"/>
        <v>0.6872960992823488</v>
      </c>
      <c r="DG290" s="173"/>
      <c r="DH290" s="173">
        <f t="shared" si="832"/>
        <v>1.3488532386977903</v>
      </c>
      <c r="DI290" s="545">
        <f t="shared" si="833"/>
        <v>740.25899999999967</v>
      </c>
      <c r="DJ290" s="528">
        <f t="shared" si="834"/>
        <v>0.34987754285999911</v>
      </c>
      <c r="DL290" s="173">
        <f t="shared" si="835"/>
        <v>3.3029856623537261</v>
      </c>
      <c r="DM290" s="173">
        <f t="shared" si="836"/>
        <v>3.3972942712317309</v>
      </c>
      <c r="DN290" s="173">
        <f t="shared" si="837"/>
        <v>2.0704237400070431</v>
      </c>
      <c r="DP290" s="545">
        <f t="shared" si="838"/>
        <v>740</v>
      </c>
      <c r="DQ290" s="460">
        <f t="shared" si="839"/>
        <v>332.69057797873302</v>
      </c>
      <c r="DS290">
        <f t="shared" si="840"/>
        <v>740</v>
      </c>
      <c r="DT290">
        <f t="shared" si="841"/>
        <v>332.69057797873302</v>
      </c>
      <c r="DV290" s="5">
        <f t="shared" si="870"/>
        <v>3.005795974372091</v>
      </c>
      <c r="DW290" s="5">
        <f t="shared" si="842"/>
        <v>0.94369285311992535</v>
      </c>
      <c r="DX290" s="5">
        <f t="shared" si="843"/>
        <v>2.0621031212521657</v>
      </c>
      <c r="DY290" s="173">
        <f t="shared" si="844"/>
        <v>0.31395772073886757</v>
      </c>
      <c r="EA290" s="5">
        <f t="shared" si="871"/>
        <v>2.909719630453103</v>
      </c>
      <c r="EB290" s="5">
        <f t="shared" si="872"/>
        <v>0.38796261739374704</v>
      </c>
      <c r="EC290" s="5">
        <f t="shared" si="873"/>
        <v>0.8477535054036679</v>
      </c>
      <c r="ED290" s="5"/>
      <c r="EE290" s="173">
        <f t="shared" si="874"/>
        <v>1.0990263958073725</v>
      </c>
      <c r="EF290" s="173">
        <f t="shared" si="875"/>
        <v>1.0836120202303541</v>
      </c>
      <c r="EG290" s="173">
        <f t="shared" si="876"/>
        <v>0.10850763607982326</v>
      </c>
      <c r="EH290" s="173"/>
      <c r="EI290" s="528">
        <f t="shared" si="877"/>
        <v>4.8314360747253739E-2</v>
      </c>
      <c r="EJ290" s="528">
        <f t="shared" si="878"/>
        <v>1.6310151000000004</v>
      </c>
      <c r="EK290" s="528">
        <f t="shared" si="879"/>
        <v>6.65381155957466E-2</v>
      </c>
      <c r="EL290" s="528">
        <f t="shared" si="880"/>
        <v>0.16031781659845193</v>
      </c>
      <c r="EM290">
        <f t="shared" si="881"/>
        <v>1.6199999999999999E-2</v>
      </c>
      <c r="EN290" s="460">
        <f t="shared" si="882"/>
        <v>82.738115595746592</v>
      </c>
      <c r="EP290" s="460">
        <f t="shared" si="883"/>
        <v>1922.3853929414527</v>
      </c>
      <c r="EQ290" s="173">
        <f t="shared" si="884"/>
        <v>0.51800000000000002</v>
      </c>
      <c r="ER290" s="173">
        <f t="shared" si="845"/>
        <v>4.5879999999999997E-2</v>
      </c>
      <c r="ES290" s="528"/>
      <c r="EU290" s="460">
        <f t="shared" si="885"/>
        <v>563.88</v>
      </c>
      <c r="EV290" s="528">
        <f t="shared" si="886"/>
        <v>3.6235770560440299E-2</v>
      </c>
      <c r="EW290" s="528">
        <f t="shared" si="887"/>
        <v>3.5226450311631283E-2</v>
      </c>
      <c r="EX290" s="528">
        <f t="shared" si="888"/>
        <v>5.886953543815682E-5</v>
      </c>
      <c r="EY290" s="528">
        <f t="shared" si="889"/>
        <v>2.1473566184574659</v>
      </c>
      <c r="EZ290" s="528"/>
      <c r="FA290" s="625">
        <f t="shared" si="890"/>
        <v>0.76795687157409098</v>
      </c>
      <c r="FB290" s="460">
        <f t="shared" si="891"/>
        <v>2986.8345804390665</v>
      </c>
      <c r="FC290" s="173">
        <f t="shared" si="892"/>
        <v>5.4730999733805188</v>
      </c>
      <c r="FD290" s="5">
        <f t="shared" si="893"/>
        <v>19.091999999999999</v>
      </c>
      <c r="FE290" s="173">
        <f t="shared" si="894"/>
        <v>0.77720017507311856</v>
      </c>
      <c r="FF290" s="5">
        <f t="shared" si="895"/>
        <v>77.720017507311852</v>
      </c>
      <c r="FG290">
        <f t="shared" si="896"/>
        <v>74</v>
      </c>
      <c r="FI290" s="562">
        <f t="shared" si="846"/>
        <v>-50</v>
      </c>
    </row>
    <row r="291" spans="5:165">
      <c r="E291" s="170">
        <v>75</v>
      </c>
      <c r="F291" s="217">
        <f t="shared" si="847"/>
        <v>0.75</v>
      </c>
      <c r="G291" s="217">
        <f t="shared" si="775"/>
        <v>7.5000000000000011E-2</v>
      </c>
      <c r="H291" s="217">
        <f t="shared" si="776"/>
        <v>18</v>
      </c>
      <c r="I291" s="217">
        <f t="shared" si="777"/>
        <v>1.35</v>
      </c>
      <c r="J291" s="541">
        <f t="shared" si="778"/>
        <v>35.852349149658508</v>
      </c>
      <c r="K291" s="443">
        <f t="shared" si="779"/>
        <v>16.496999818061564</v>
      </c>
      <c r="L291" s="172">
        <f t="shared" si="780"/>
        <v>52.349348967720076</v>
      </c>
      <c r="M291" s="443"/>
      <c r="N291" s="217">
        <f t="shared" si="781"/>
        <v>0.31513285539107716</v>
      </c>
      <c r="O291" s="172">
        <f t="shared" si="782"/>
        <v>58.388905219688596</v>
      </c>
      <c r="P291" s="172">
        <f t="shared" si="783"/>
        <v>4.7076054833373924</v>
      </c>
      <c r="Q291" s="217">
        <f t="shared" si="784"/>
        <v>2.4328710508203581</v>
      </c>
      <c r="R291" s="217">
        <f t="shared" si="785"/>
        <v>3.2438280677604774</v>
      </c>
      <c r="S291" s="217">
        <f t="shared" si="786"/>
        <v>24</v>
      </c>
      <c r="T291" s="217">
        <f t="shared" si="787"/>
        <v>3.425308271280286</v>
      </c>
      <c r="U291" s="217">
        <f t="shared" si="788"/>
        <v>0.95539298052186694</v>
      </c>
      <c r="V291" s="217">
        <f t="shared" si="789"/>
        <v>2.0763219428117612</v>
      </c>
      <c r="W291" s="197">
        <f t="shared" si="790"/>
        <v>350</v>
      </c>
      <c r="X291" s="443">
        <f t="shared" si="848"/>
        <v>309.43323397116495</v>
      </c>
      <c r="Z291" s="217">
        <f t="shared" si="791"/>
        <v>3.2280723314313544</v>
      </c>
      <c r="AA291" s="173">
        <f t="shared" si="792"/>
        <v>1.9567632703112074</v>
      </c>
      <c r="AB291" s="173">
        <f t="shared" si="793"/>
        <v>0.68586235056079647</v>
      </c>
      <c r="AC291" s="173"/>
      <c r="AD291" s="173">
        <f t="shared" si="794"/>
        <v>1.3470462791599513</v>
      </c>
      <c r="AE291" s="545">
        <f t="shared" si="795"/>
        <v>751.26891975055457</v>
      </c>
      <c r="AF291" s="528">
        <f t="shared" si="796"/>
        <v>0.3494088376332119</v>
      </c>
      <c r="AH291" s="173">
        <f t="shared" si="797"/>
        <v>3.3252282413607124</v>
      </c>
      <c r="AI291" s="173">
        <f t="shared" si="798"/>
        <v>3.425308271280286</v>
      </c>
      <c r="AJ291" s="173">
        <f t="shared" si="799"/>
        <v>2.0911748511541211</v>
      </c>
      <c r="AL291" s="545">
        <f t="shared" si="800"/>
        <v>750</v>
      </c>
      <c r="AM291" s="460">
        <f t="shared" si="801"/>
        <v>309.43323397116495</v>
      </c>
      <c r="AO291">
        <f t="shared" si="802"/>
        <v>750</v>
      </c>
      <c r="AP291">
        <f t="shared" si="803"/>
        <v>309.43323397116495</v>
      </c>
      <c r="AR291" s="5">
        <f t="shared" si="774"/>
        <v>3.2317149233336284</v>
      </c>
      <c r="AS291" s="5">
        <f t="shared" si="739"/>
        <v>0.95539298052186694</v>
      </c>
      <c r="AT291" s="5">
        <f t="shared" si="740"/>
        <v>2.2763219428117614</v>
      </c>
      <c r="AU291" s="173">
        <f t="shared" si="741"/>
        <v>0.29563033967623148</v>
      </c>
      <c r="BA291" s="173">
        <f t="shared" si="849"/>
        <v>1.0752601160820299</v>
      </c>
      <c r="BB291" s="173">
        <f t="shared" si="850"/>
        <v>1.1070447848974589</v>
      </c>
      <c r="BC291" s="173">
        <f t="shared" si="851"/>
        <v>0.11085407913635364</v>
      </c>
      <c r="BD291" s="173"/>
      <c r="BE291" s="528">
        <f t="shared" si="852"/>
        <v>4.6247372689469615E-2</v>
      </c>
      <c r="BF291" s="528">
        <f t="shared" si="804"/>
        <v>1.2484191523866845</v>
      </c>
      <c r="BG291" s="528">
        <f t="shared" si="805"/>
        <v>0.44375633371368711</v>
      </c>
      <c r="BH291" s="528">
        <f t="shared" si="853"/>
        <v>0.14839783842707277</v>
      </c>
      <c r="BI291">
        <f t="shared" si="854"/>
        <v>1.6133557117346327E-2</v>
      </c>
      <c r="BJ291" s="460">
        <f t="shared" si="855"/>
        <v>459.88989083103343</v>
      </c>
      <c r="BK291">
        <f t="shared" si="806"/>
        <v>1.4717229994487417</v>
      </c>
      <c r="BL291" s="460">
        <f t="shared" si="856"/>
        <v>1902.9542543342607</v>
      </c>
      <c r="BM291" s="173">
        <f t="shared" si="807"/>
        <v>0.65099999999999991</v>
      </c>
      <c r="BN291" s="173">
        <f t="shared" si="808"/>
        <v>4.6500000000000007E-2</v>
      </c>
      <c r="BQ291" s="460">
        <f t="shared" si="857"/>
        <v>697.49999999999989</v>
      </c>
      <c r="BR291" s="528">
        <f t="shared" si="858"/>
        <v>3.4685529517102208E-2</v>
      </c>
      <c r="BS291" s="528">
        <f t="shared" si="859"/>
        <v>3.6766444673059832E-2</v>
      </c>
      <c r="BT291" s="528">
        <f t="shared" si="860"/>
        <v>6.1443134305844781E-5</v>
      </c>
      <c r="BU291" s="528">
        <f t="shared" si="861"/>
        <v>1.8286751076217296</v>
      </c>
      <c r="BV291" s="528"/>
      <c r="BW291" s="625">
        <f t="shared" si="862"/>
        <v>0.72609973538126382</v>
      </c>
      <c r="BX291" s="460">
        <f t="shared" si="863"/>
        <v>2626.2882603274611</v>
      </c>
      <c r="BY291" s="173">
        <f t="shared" si="864"/>
        <v>5.2267425146617219</v>
      </c>
      <c r="BZ291" s="5">
        <f t="shared" si="865"/>
        <v>19.350000000000001</v>
      </c>
      <c r="CA291" s="173">
        <f t="shared" si="866"/>
        <v>0.78732972803276879</v>
      </c>
      <c r="CB291" s="5">
        <f t="shared" si="867"/>
        <v>78.73297280327688</v>
      </c>
      <c r="CC291">
        <f t="shared" si="868"/>
        <v>75</v>
      </c>
      <c r="CE291" s="562">
        <f t="shared" si="809"/>
        <v>-50</v>
      </c>
      <c r="CG291" s="173">
        <f t="shared" si="810"/>
        <v>0.67907798870528813</v>
      </c>
      <c r="CH291" s="173">
        <f t="shared" si="811"/>
        <v>0.1857221904265535</v>
      </c>
      <c r="CI291" s="170">
        <v>75</v>
      </c>
      <c r="CJ291" s="217">
        <f t="shared" si="869"/>
        <v>0.75</v>
      </c>
      <c r="CK291" s="217">
        <f t="shared" si="812"/>
        <v>7.5000000000000011E-2</v>
      </c>
      <c r="CL291" s="217">
        <f t="shared" si="813"/>
        <v>18</v>
      </c>
      <c r="CM291" s="217">
        <f t="shared" si="814"/>
        <v>1.35</v>
      </c>
      <c r="CN291" s="541">
        <f t="shared" si="815"/>
        <v>36</v>
      </c>
      <c r="CO291" s="443">
        <f t="shared" si="816"/>
        <v>16.474900000000002</v>
      </c>
      <c r="CP291" s="443">
        <f t="shared" si="817"/>
        <v>52.474900000000005</v>
      </c>
      <c r="CQ291" s="443"/>
      <c r="CR291" s="217">
        <f t="shared" si="818"/>
        <v>0.31220924123305599</v>
      </c>
      <c r="CS291" s="172">
        <f t="shared" si="819"/>
        <v>58.085440229405762</v>
      </c>
      <c r="CT291" s="172">
        <f t="shared" si="820"/>
        <v>4.683138618495839</v>
      </c>
      <c r="CU291" s="217">
        <f t="shared" si="821"/>
        <v>2.4202266762252402</v>
      </c>
      <c r="CV291" s="217">
        <f t="shared" si="822"/>
        <v>3.2269689016336534</v>
      </c>
      <c r="CW291" s="217">
        <f t="shared" si="823"/>
        <v>24</v>
      </c>
      <c r="CX291" s="217">
        <f t="shared" si="824"/>
        <v>3.4432036532754036</v>
      </c>
      <c r="CY291" s="217">
        <f t="shared" si="825"/>
        <v>0.95644545924316782</v>
      </c>
      <c r="CZ291" s="217">
        <f t="shared" si="826"/>
        <v>2.0899693796474659</v>
      </c>
      <c r="DA291" s="197">
        <f t="shared" si="827"/>
        <v>350</v>
      </c>
      <c r="DB291" s="443">
        <f t="shared" si="828"/>
        <v>328.25470360568318</v>
      </c>
      <c r="DD291" s="217">
        <f t="shared" si="829"/>
        <v>3.2292794133140656</v>
      </c>
      <c r="DE291" s="173">
        <f t="shared" si="830"/>
        <v>1.9601207978889497</v>
      </c>
      <c r="DF291" s="173">
        <f t="shared" si="831"/>
        <v>0.6872960992823488</v>
      </c>
      <c r="DG291" s="173"/>
      <c r="DH291" s="173">
        <f t="shared" si="832"/>
        <v>1.3488532386977903</v>
      </c>
      <c r="DI291" s="545">
        <f t="shared" si="833"/>
        <v>750.26249999999982</v>
      </c>
      <c r="DJ291" s="528">
        <f t="shared" si="834"/>
        <v>0.34987754285999911</v>
      </c>
      <c r="DL291" s="173">
        <f t="shared" si="835"/>
        <v>3.3252282413607124</v>
      </c>
      <c r="DM291" s="173">
        <f t="shared" si="836"/>
        <v>3.4432036532754036</v>
      </c>
      <c r="DN291" s="173">
        <f t="shared" si="837"/>
        <v>2.104430689669023</v>
      </c>
      <c r="DP291" s="545">
        <f t="shared" si="838"/>
        <v>750</v>
      </c>
      <c r="DQ291" s="460">
        <f t="shared" si="839"/>
        <v>328.25470360568318</v>
      </c>
      <c r="DS291">
        <f t="shared" si="840"/>
        <v>750</v>
      </c>
      <c r="DT291">
        <f t="shared" si="841"/>
        <v>328.25470360568318</v>
      </c>
      <c r="DV291" s="5">
        <f t="shared" si="870"/>
        <v>3.0464148388906334</v>
      </c>
      <c r="DW291" s="5">
        <f t="shared" si="842"/>
        <v>0.95644545924316782</v>
      </c>
      <c r="DX291" s="5">
        <f t="shared" si="843"/>
        <v>2.0899693796474654</v>
      </c>
      <c r="DY291" s="173">
        <f t="shared" si="844"/>
        <v>0.31395772073886763</v>
      </c>
      <c r="EA291" s="5">
        <f t="shared" si="871"/>
        <v>2.9888920601348992</v>
      </c>
      <c r="EB291" s="5">
        <f t="shared" si="872"/>
        <v>0.39851894135131999</v>
      </c>
      <c r="EC291" s="5">
        <f t="shared" si="873"/>
        <v>0.87082057485311049</v>
      </c>
      <c r="ED291" s="5"/>
      <c r="EE291" s="173">
        <f t="shared" si="874"/>
        <v>1.1138781038588237</v>
      </c>
      <c r="EF291" s="173">
        <f t="shared" si="875"/>
        <v>1.0982554259091426</v>
      </c>
      <c r="EG291" s="173">
        <f t="shared" si="876"/>
        <v>0.10997395548630738</v>
      </c>
      <c r="EH291" s="173"/>
      <c r="EI291" s="528">
        <f t="shared" si="877"/>
        <v>4.9628977210245138E-2</v>
      </c>
      <c r="EJ291" s="528">
        <f t="shared" si="878"/>
        <v>1.6310151000000002</v>
      </c>
      <c r="EK291" s="528">
        <f t="shared" si="879"/>
        <v>6.5650940721136627E-2</v>
      </c>
      <c r="EL291" s="528">
        <f t="shared" si="880"/>
        <v>0.15818024571047254</v>
      </c>
      <c r="EM291">
        <f t="shared" si="881"/>
        <v>1.6199999999999999E-2</v>
      </c>
      <c r="EN291" s="460">
        <f t="shared" si="882"/>
        <v>81.850940721136638</v>
      </c>
      <c r="EP291" s="460">
        <f t="shared" si="883"/>
        <v>1920.6752636418544</v>
      </c>
      <c r="EQ291" s="173">
        <f t="shared" si="884"/>
        <v>0.52499999999999991</v>
      </c>
      <c r="ER291" s="173">
        <f t="shared" si="845"/>
        <v>4.6500000000000007E-2</v>
      </c>
      <c r="ES291" s="528"/>
      <c r="EU291" s="460">
        <f t="shared" si="885"/>
        <v>571.49999999999989</v>
      </c>
      <c r="EV291" s="528">
        <f t="shared" si="886"/>
        <v>3.7221732907683852E-2</v>
      </c>
      <c r="EW291" s="528">
        <f t="shared" si="887"/>
        <v>3.6184949416166165E-2</v>
      </c>
      <c r="EX291" s="528">
        <f t="shared" si="888"/>
        <v>6.0471354426521583E-5</v>
      </c>
      <c r="EY291" s="528">
        <f t="shared" si="889"/>
        <v>2.1473566184574659</v>
      </c>
      <c r="EZ291" s="528"/>
      <c r="FA291" s="625">
        <f t="shared" si="890"/>
        <v>0.77833466713590316</v>
      </c>
      <c r="FB291" s="460">
        <f t="shared" si="891"/>
        <v>2999.1584392716459</v>
      </c>
      <c r="FC291" s="173">
        <f t="shared" si="892"/>
        <v>5.4913337029135008</v>
      </c>
      <c r="FD291" s="5">
        <f t="shared" si="893"/>
        <v>19.350000000000001</v>
      </c>
      <c r="FE291" s="173">
        <f t="shared" si="894"/>
        <v>0.77894368440171746</v>
      </c>
      <c r="FF291" s="5">
        <f t="shared" si="895"/>
        <v>77.894368440171746</v>
      </c>
      <c r="FG291">
        <f t="shared" si="896"/>
        <v>75</v>
      </c>
      <c r="FI291" s="562">
        <f t="shared" si="846"/>
        <v>-50</v>
      </c>
    </row>
    <row r="292" spans="5:165">
      <c r="E292" s="170">
        <v>76</v>
      </c>
      <c r="F292" s="217">
        <f t="shared" si="847"/>
        <v>0.76</v>
      </c>
      <c r="G292" s="217">
        <f t="shared" si="775"/>
        <v>7.6000000000000012E-2</v>
      </c>
      <c r="H292" s="217">
        <f t="shared" si="776"/>
        <v>18.240000000000002</v>
      </c>
      <c r="I292" s="217">
        <f t="shared" si="777"/>
        <v>1.3680000000000003</v>
      </c>
      <c r="J292" s="541">
        <f t="shared" si="778"/>
        <v>35.850380471653956</v>
      </c>
      <c r="K292" s="443">
        <f t="shared" si="779"/>
        <v>16.497294482302387</v>
      </c>
      <c r="L292" s="172">
        <f t="shared" si="780"/>
        <v>52.347674953956343</v>
      </c>
      <c r="M292" s="443"/>
      <c r="N292" s="217">
        <f t="shared" si="781"/>
        <v>0.31514856193351432</v>
      </c>
      <c r="O292" s="172">
        <f t="shared" si="782"/>
        <v>58.388609046052132</v>
      </c>
      <c r="P292" s="172">
        <f t="shared" si="783"/>
        <v>4.7075816043379533</v>
      </c>
      <c r="Q292" s="217">
        <f t="shared" si="784"/>
        <v>2.4328587102521722</v>
      </c>
      <c r="R292" s="217">
        <f t="shared" si="785"/>
        <v>3.2438116136695627</v>
      </c>
      <c r="S292" s="217">
        <f t="shared" si="786"/>
        <v>24</v>
      </c>
      <c r="T292" s="217">
        <f t="shared" si="787"/>
        <v>3.470996654618367</v>
      </c>
      <c r="U292" s="217">
        <f t="shared" si="788"/>
        <v>0.96818962838143441</v>
      </c>
      <c r="V292" s="217">
        <f t="shared" si="789"/>
        <v>2.103979327241754</v>
      </c>
      <c r="W292" s="197">
        <f t="shared" si="790"/>
        <v>350</v>
      </c>
      <c r="X292" s="443">
        <f t="shared" si="848"/>
        <v>305.60769127813842</v>
      </c>
      <c r="Z292" s="217">
        <f t="shared" si="791"/>
        <v>3.2280559572603109</v>
      </c>
      <c r="AA292" s="173">
        <f t="shared" si="792"/>
        <v>1.9567183944756736</v>
      </c>
      <c r="AB292" s="173">
        <f t="shared" si="793"/>
        <v>0.68584314228559839</v>
      </c>
      <c r="AC292" s="173"/>
      <c r="AD292" s="173">
        <f t="shared" si="794"/>
        <v>1.3470222190712122</v>
      </c>
      <c r="AE292" s="545">
        <f t="shared" si="795"/>
        <v>761.29943652963595</v>
      </c>
      <c r="AF292" s="528">
        <f t="shared" si="796"/>
        <v>0.3494025967135273</v>
      </c>
      <c r="AH292" s="173">
        <f t="shared" si="797"/>
        <v>3.3473230242346537</v>
      </c>
      <c r="AI292" s="173">
        <f t="shared" si="798"/>
        <v>3.470996654618367</v>
      </c>
      <c r="AJ292" s="173">
        <f t="shared" si="799"/>
        <v>2.1250180980712181</v>
      </c>
      <c r="AL292" s="545">
        <f t="shared" si="800"/>
        <v>760</v>
      </c>
      <c r="AM292" s="460">
        <f t="shared" si="801"/>
        <v>305.60769127813842</v>
      </c>
      <c r="AO292">
        <f t="shared" si="802"/>
        <v>760</v>
      </c>
      <c r="AP292">
        <f t="shared" si="803"/>
        <v>305.60769127813842</v>
      </c>
      <c r="AR292" s="5">
        <f t="shared" si="774"/>
        <v>3.2721689556231883</v>
      </c>
      <c r="AS292" s="5">
        <f t="shared" si="739"/>
        <v>0.96818962838143441</v>
      </c>
      <c r="AT292" s="5">
        <f t="shared" si="740"/>
        <v>2.3039793272417537</v>
      </c>
      <c r="AU292" s="173">
        <f t="shared" si="741"/>
        <v>0.29588619704908897</v>
      </c>
      <c r="BA292" s="173">
        <f t="shared" si="849"/>
        <v>1.090073848353265</v>
      </c>
      <c r="BB292" s="173">
        <f t="shared" si="850"/>
        <v>1.1216073088029475</v>
      </c>
      <c r="BC292" s="173">
        <f t="shared" si="851"/>
        <v>0.11231229943553835</v>
      </c>
      <c r="BD292" s="173"/>
      <c r="BE292" s="528">
        <f t="shared" si="852"/>
        <v>4.7530439794547887E-2</v>
      </c>
      <c r="BF292" s="528">
        <f t="shared" si="804"/>
        <v>1.2493910491463656</v>
      </c>
      <c r="BG292" s="528">
        <f t="shared" si="805"/>
        <v>0.43824608029540096</v>
      </c>
      <c r="BH292" s="528">
        <f t="shared" si="853"/>
        <v>0.14655381317208183</v>
      </c>
      <c r="BI292">
        <f t="shared" si="854"/>
        <v>1.6132671212244279E-2</v>
      </c>
      <c r="BJ292" s="460">
        <f t="shared" si="855"/>
        <v>454.37875150764523</v>
      </c>
      <c r="BK292">
        <f t="shared" si="806"/>
        <v>1.4729428064225629</v>
      </c>
      <c r="BL292" s="460">
        <f t="shared" si="856"/>
        <v>1897.8540536206406</v>
      </c>
      <c r="BM292" s="173">
        <f t="shared" si="807"/>
        <v>0.65967999999999993</v>
      </c>
      <c r="BN292" s="173">
        <f t="shared" si="808"/>
        <v>4.7120000000000009E-2</v>
      </c>
      <c r="BQ292" s="460">
        <f t="shared" si="857"/>
        <v>706.8</v>
      </c>
      <c r="BR292" s="528">
        <f t="shared" si="858"/>
        <v>3.564782984591091E-2</v>
      </c>
      <c r="BS292" s="528">
        <f t="shared" si="859"/>
        <v>3.7740088654805708E-2</v>
      </c>
      <c r="BT292" s="528">
        <f t="shared" si="860"/>
        <v>6.3070263022490131E-5</v>
      </c>
      <c r="BU292" s="528">
        <f t="shared" si="861"/>
        <v>1.8323827389701619</v>
      </c>
      <c r="BV292" s="528"/>
      <c r="BW292" s="625">
        <f t="shared" si="862"/>
        <v>0.73638115511534608</v>
      </c>
      <c r="BX292" s="460">
        <f t="shared" si="863"/>
        <v>2642.2148828492473</v>
      </c>
      <c r="BY292" s="173">
        <f t="shared" si="864"/>
        <v>5.2468689364698875</v>
      </c>
      <c r="BZ292" s="5">
        <f t="shared" si="865"/>
        <v>19.608000000000004</v>
      </c>
      <c r="CA292" s="173">
        <f t="shared" si="866"/>
        <v>0.7888997544150762</v>
      </c>
      <c r="CB292" s="5">
        <f t="shared" si="867"/>
        <v>78.889975441507616</v>
      </c>
      <c r="CC292">
        <f t="shared" si="868"/>
        <v>76</v>
      </c>
      <c r="CE292" s="562">
        <f t="shared" si="809"/>
        <v>-50</v>
      </c>
      <c r="CG292" s="173">
        <f t="shared" si="810"/>
        <v>0.6790779887052879</v>
      </c>
      <c r="CH292" s="173">
        <f t="shared" si="811"/>
        <v>0.18572219042655352</v>
      </c>
      <c r="CI292" s="170">
        <v>76</v>
      </c>
      <c r="CJ292" s="217">
        <f t="shared" si="869"/>
        <v>0.76</v>
      </c>
      <c r="CK292" s="217">
        <f t="shared" si="812"/>
        <v>7.6000000000000012E-2</v>
      </c>
      <c r="CL292" s="217">
        <f t="shared" si="813"/>
        <v>18.240000000000002</v>
      </c>
      <c r="CM292" s="217">
        <f t="shared" si="814"/>
        <v>1.3680000000000003</v>
      </c>
      <c r="CN292" s="541">
        <f t="shared" si="815"/>
        <v>36</v>
      </c>
      <c r="CO292" s="443">
        <f t="shared" si="816"/>
        <v>16.474900000000002</v>
      </c>
      <c r="CP292" s="443">
        <f t="shared" si="817"/>
        <v>52.474900000000005</v>
      </c>
      <c r="CQ292" s="443"/>
      <c r="CR292" s="217">
        <f t="shared" si="818"/>
        <v>0.31220924123305599</v>
      </c>
      <c r="CS292" s="172">
        <f t="shared" si="819"/>
        <v>58.085440229405762</v>
      </c>
      <c r="CT292" s="172">
        <f t="shared" si="820"/>
        <v>4.683138618495839</v>
      </c>
      <c r="CU292" s="217">
        <f t="shared" si="821"/>
        <v>2.4202266762252402</v>
      </c>
      <c r="CV292" s="217">
        <f t="shared" si="822"/>
        <v>3.2269689016336534</v>
      </c>
      <c r="CW292" s="217">
        <f t="shared" si="823"/>
        <v>24</v>
      </c>
      <c r="CX292" s="217">
        <f t="shared" si="824"/>
        <v>3.4891130353190758</v>
      </c>
      <c r="CY292" s="217">
        <f t="shared" si="825"/>
        <v>0.96919806536640996</v>
      </c>
      <c r="CZ292" s="217">
        <f t="shared" si="826"/>
        <v>2.1178356380427656</v>
      </c>
      <c r="DA292" s="197">
        <f t="shared" si="827"/>
        <v>350</v>
      </c>
      <c r="DB292" s="443">
        <f t="shared" si="828"/>
        <v>323.93556276876626</v>
      </c>
      <c r="DD292" s="217">
        <f t="shared" si="829"/>
        <v>3.2292794133140656</v>
      </c>
      <c r="DE292" s="173">
        <f t="shared" si="830"/>
        <v>1.9601207978889497</v>
      </c>
      <c r="DF292" s="173">
        <f t="shared" si="831"/>
        <v>0.6872960992823488</v>
      </c>
      <c r="DG292" s="173"/>
      <c r="DH292" s="173">
        <f t="shared" si="832"/>
        <v>1.3488532386977903</v>
      </c>
      <c r="DI292" s="545">
        <f t="shared" si="833"/>
        <v>760.26599999999974</v>
      </c>
      <c r="DJ292" s="528">
        <f t="shared" si="834"/>
        <v>0.34987754285999911</v>
      </c>
      <c r="DL292" s="173">
        <f t="shared" si="835"/>
        <v>3.3473230242346537</v>
      </c>
      <c r="DM292" s="173">
        <f t="shared" si="836"/>
        <v>3.4891130353190758</v>
      </c>
      <c r="DN292" s="173">
        <f t="shared" si="837"/>
        <v>2.1384376393310025</v>
      </c>
      <c r="DP292" s="545">
        <f t="shared" si="838"/>
        <v>760</v>
      </c>
      <c r="DQ292" s="460">
        <f t="shared" si="839"/>
        <v>323.93556276876626</v>
      </c>
      <c r="DS292">
        <f t="shared" si="840"/>
        <v>760</v>
      </c>
      <c r="DT292">
        <f t="shared" si="841"/>
        <v>323.93556276876626</v>
      </c>
      <c r="DV292" s="5">
        <f t="shared" si="870"/>
        <v>3.0870337034091757</v>
      </c>
      <c r="DW292" s="5">
        <f t="shared" si="842"/>
        <v>0.96919806536640996</v>
      </c>
      <c r="DX292" s="5">
        <f t="shared" si="843"/>
        <v>2.1178356380427656</v>
      </c>
      <c r="DY292" s="173">
        <f t="shared" si="844"/>
        <v>0.31395772073886752</v>
      </c>
      <c r="EA292" s="5">
        <f t="shared" si="871"/>
        <v>3.0691272069936315</v>
      </c>
      <c r="EB292" s="5">
        <f t="shared" si="872"/>
        <v>0.40921696093248427</v>
      </c>
      <c r="EC292" s="5">
        <f t="shared" si="873"/>
        <v>0.89419726939583433</v>
      </c>
      <c r="ED292" s="5"/>
      <c r="EE292" s="173">
        <f t="shared" si="874"/>
        <v>1.1287298119102744</v>
      </c>
      <c r="EF292" s="173">
        <f t="shared" si="875"/>
        <v>1.1128988315879313</v>
      </c>
      <c r="EG292" s="173">
        <f t="shared" si="876"/>
        <v>0.11144027489279147</v>
      </c>
      <c r="EH292" s="173"/>
      <c r="EI292" s="528">
        <f t="shared" si="877"/>
        <v>5.0961239531800144E-2</v>
      </c>
      <c r="EJ292" s="528">
        <f t="shared" si="878"/>
        <v>1.6310151000000002</v>
      </c>
      <c r="EK292" s="528">
        <f t="shared" si="879"/>
        <v>6.4787112553753246E-2</v>
      </c>
      <c r="EL292" s="528">
        <f t="shared" si="880"/>
        <v>0.15609892668796632</v>
      </c>
      <c r="EM292">
        <f t="shared" si="881"/>
        <v>1.6199999999999999E-2</v>
      </c>
      <c r="EN292" s="460">
        <f t="shared" si="882"/>
        <v>80.987112553753235</v>
      </c>
      <c r="EP292" s="460">
        <f t="shared" si="883"/>
        <v>1919.0623787735199</v>
      </c>
      <c r="EQ292" s="173">
        <f t="shared" si="884"/>
        <v>0.53199999999999992</v>
      </c>
      <c r="ER292" s="173">
        <f t="shared" si="845"/>
        <v>4.7120000000000009E-2</v>
      </c>
      <c r="ES292" s="528"/>
      <c r="EU292" s="460">
        <f t="shared" si="885"/>
        <v>579.12</v>
      </c>
      <c r="EV292" s="528">
        <f t="shared" si="886"/>
        <v>3.8220929648850106E-2</v>
      </c>
      <c r="EW292" s="528">
        <f t="shared" si="887"/>
        <v>3.7156314280493478E-2</v>
      </c>
      <c r="EX292" s="528">
        <f t="shared" si="888"/>
        <v>6.2094674340904655E-5</v>
      </c>
      <c r="EY292" s="528">
        <f t="shared" si="889"/>
        <v>2.1473566184574633</v>
      </c>
      <c r="EZ292" s="528"/>
      <c r="FA292" s="625">
        <f t="shared" si="890"/>
        <v>0.78871246269771533</v>
      </c>
      <c r="FB292" s="460">
        <f t="shared" si="891"/>
        <v>3011.5084197588635</v>
      </c>
      <c r="FC292" s="173">
        <f t="shared" si="892"/>
        <v>5.5096907985323833</v>
      </c>
      <c r="FD292" s="5">
        <f t="shared" si="893"/>
        <v>19.608000000000004</v>
      </c>
      <c r="FE292" s="173">
        <f t="shared" si="894"/>
        <v>0.78064501061322444</v>
      </c>
      <c r="FF292" s="5">
        <f t="shared" si="895"/>
        <v>78.064501061322446</v>
      </c>
      <c r="FG292">
        <f t="shared" si="896"/>
        <v>76</v>
      </c>
      <c r="FI292" s="562">
        <f t="shared" si="846"/>
        <v>-50</v>
      </c>
    </row>
    <row r="293" spans="5:165">
      <c r="E293" s="170">
        <v>77</v>
      </c>
      <c r="F293" s="217">
        <f t="shared" si="847"/>
        <v>0.77</v>
      </c>
      <c r="G293" s="217">
        <f t="shared" si="775"/>
        <v>7.7000000000000013E-2</v>
      </c>
      <c r="H293" s="217">
        <f t="shared" si="776"/>
        <v>18.48</v>
      </c>
      <c r="I293" s="217">
        <f t="shared" si="777"/>
        <v>1.3860000000000001</v>
      </c>
      <c r="J293" s="541">
        <f t="shared" si="778"/>
        <v>35.848411793649404</v>
      </c>
      <c r="K293" s="443">
        <f t="shared" si="779"/>
        <v>16.497589146543209</v>
      </c>
      <c r="L293" s="172">
        <f t="shared" si="780"/>
        <v>52.34600094019261</v>
      </c>
      <c r="M293" s="443"/>
      <c r="N293" s="217">
        <f t="shared" si="781"/>
        <v>0.31516426948053511</v>
      </c>
      <c r="O293" s="172">
        <f t="shared" si="782"/>
        <v>58.388312738929784</v>
      </c>
      <c r="P293" s="172">
        <f t="shared" si="783"/>
        <v>4.7075577145762137</v>
      </c>
      <c r="Q293" s="217">
        <f t="shared" si="784"/>
        <v>2.4328463641220743</v>
      </c>
      <c r="R293" s="217">
        <f t="shared" si="785"/>
        <v>3.2437951521627659</v>
      </c>
      <c r="S293" s="217">
        <f t="shared" si="786"/>
        <v>24</v>
      </c>
      <c r="T293" s="217">
        <f t="shared" si="787"/>
        <v>3.5166855095031635</v>
      </c>
      <c r="U293" s="217">
        <f t="shared" si="788"/>
        <v>0.98098781328051732</v>
      </c>
      <c r="V293" s="217">
        <f t="shared" si="789"/>
        <v>2.131636009519625</v>
      </c>
      <c r="W293" s="197">
        <f t="shared" si="790"/>
        <v>350</v>
      </c>
      <c r="X293" s="443">
        <f t="shared" si="848"/>
        <v>301.87550820506556</v>
      </c>
      <c r="Z293" s="217">
        <f t="shared" si="791"/>
        <v>3.2280395757094036</v>
      </c>
      <c r="AA293" s="173">
        <f t="shared" si="792"/>
        <v>1.9566735157698996</v>
      </c>
      <c r="AB293" s="173">
        <f t="shared" si="793"/>
        <v>0.68582393159602517</v>
      </c>
      <c r="AC293" s="173"/>
      <c r="AD293" s="173">
        <f t="shared" si="794"/>
        <v>1.3469981598419498</v>
      </c>
      <c r="AE293" s="545">
        <f t="shared" si="795"/>
        <v>771.33031114685139</v>
      </c>
      <c r="AF293" s="528">
        <f t="shared" si="796"/>
        <v>0.34939635601678132</v>
      </c>
      <c r="AH293" s="173">
        <f t="shared" si="797"/>
        <v>3.3692729185983135</v>
      </c>
      <c r="AI293" s="173">
        <f t="shared" si="798"/>
        <v>3.5166855095031635</v>
      </c>
      <c r="AJ293" s="173">
        <f t="shared" si="799"/>
        <v>2.1588616942821783</v>
      </c>
      <c r="AL293" s="545">
        <f t="shared" si="800"/>
        <v>770</v>
      </c>
      <c r="AM293" s="460">
        <f t="shared" si="801"/>
        <v>301.87550820506556</v>
      </c>
      <c r="AO293">
        <f t="shared" si="802"/>
        <v>770</v>
      </c>
      <c r="AP293">
        <f t="shared" si="803"/>
        <v>301.87550820506556</v>
      </c>
      <c r="AR293" s="5">
        <f t="shared" si="774"/>
        <v>3.3126238228001426</v>
      </c>
      <c r="AS293" s="5">
        <f t="shared" si="739"/>
        <v>0.98098781328051732</v>
      </c>
      <c r="AT293" s="5">
        <f t="shared" si="740"/>
        <v>2.3316360095196251</v>
      </c>
      <c r="AU293" s="173">
        <f t="shared" si="741"/>
        <v>0.29613619467703212</v>
      </c>
      <c r="BA293" s="173">
        <f t="shared" si="849"/>
        <v>1.1048890010596832</v>
      </c>
      <c r="BB293" s="173">
        <f t="shared" si="850"/>
        <v>1.1361693126828352</v>
      </c>
      <c r="BC293" s="173">
        <f t="shared" si="851"/>
        <v>0.11377046766188928</v>
      </c>
      <c r="BD293" s="173"/>
      <c r="BE293" s="528">
        <f t="shared" si="852"/>
        <v>4.8831188186506592E-2</v>
      </c>
      <c r="BF293" s="528">
        <f t="shared" si="804"/>
        <v>1.2503380216900688</v>
      </c>
      <c r="BG293" s="528">
        <f t="shared" si="805"/>
        <v>0.43287030114209518</v>
      </c>
      <c r="BH293" s="528">
        <f t="shared" si="853"/>
        <v>0.1447547905152807</v>
      </c>
      <c r="BI293">
        <f t="shared" si="854"/>
        <v>1.6131785307142231E-2</v>
      </c>
      <c r="BJ293" s="460">
        <f t="shared" si="855"/>
        <v>449.00208644923737</v>
      </c>
      <c r="BK293">
        <f t="shared" si="806"/>
        <v>1.4742126645192342</v>
      </c>
      <c r="BL293" s="460">
        <f t="shared" si="856"/>
        <v>1892.9260868410936</v>
      </c>
      <c r="BM293" s="173">
        <f t="shared" si="807"/>
        <v>0.66835999999999995</v>
      </c>
      <c r="BN293" s="173">
        <f t="shared" si="808"/>
        <v>4.7740000000000005E-2</v>
      </c>
      <c r="BQ293" s="460">
        <f t="shared" si="857"/>
        <v>716.09999999999991</v>
      </c>
      <c r="BR293" s="528">
        <f t="shared" si="858"/>
        <v>3.6623391139879939E-2</v>
      </c>
      <c r="BS293" s="528">
        <f t="shared" si="859"/>
        <v>3.8726421212465584E-2</v>
      </c>
      <c r="BT293" s="528">
        <f t="shared" si="860"/>
        <v>6.4718596560024971E-5</v>
      </c>
      <c r="BU293" s="528">
        <f t="shared" si="861"/>
        <v>1.8360036160331252</v>
      </c>
      <c r="BV293" s="528"/>
      <c r="BW293" s="625">
        <f t="shared" si="862"/>
        <v>0.74666352923198542</v>
      </c>
      <c r="BX293" s="460">
        <f t="shared" si="863"/>
        <v>2658.0816762140166</v>
      </c>
      <c r="BY293" s="173">
        <f t="shared" si="864"/>
        <v>5.2671077630551091</v>
      </c>
      <c r="BZ293" s="5">
        <f t="shared" si="865"/>
        <v>19.866</v>
      </c>
      <c r="CA293" s="173">
        <f t="shared" si="866"/>
        <v>0.79043149726204598</v>
      </c>
      <c r="CB293" s="5">
        <f t="shared" si="867"/>
        <v>79.043149726204604</v>
      </c>
      <c r="CC293">
        <f t="shared" si="868"/>
        <v>77</v>
      </c>
      <c r="CE293" s="562">
        <f t="shared" si="809"/>
        <v>-50</v>
      </c>
      <c r="CG293" s="173">
        <f t="shared" si="810"/>
        <v>0.67907798870528813</v>
      </c>
      <c r="CH293" s="173">
        <f t="shared" si="811"/>
        <v>0.1857221904265535</v>
      </c>
      <c r="CI293" s="170">
        <v>77</v>
      </c>
      <c r="CJ293" s="217">
        <f t="shared" si="869"/>
        <v>0.77</v>
      </c>
      <c r="CK293" s="217">
        <f t="shared" si="812"/>
        <v>7.7000000000000013E-2</v>
      </c>
      <c r="CL293" s="217">
        <f t="shared" si="813"/>
        <v>18.48</v>
      </c>
      <c r="CM293" s="217">
        <f t="shared" si="814"/>
        <v>1.3860000000000001</v>
      </c>
      <c r="CN293" s="541">
        <f t="shared" si="815"/>
        <v>36</v>
      </c>
      <c r="CO293" s="443">
        <f t="shared" si="816"/>
        <v>16.474900000000002</v>
      </c>
      <c r="CP293" s="443">
        <f t="shared" si="817"/>
        <v>52.474900000000005</v>
      </c>
      <c r="CQ293" s="443"/>
      <c r="CR293" s="217">
        <f t="shared" si="818"/>
        <v>0.31220924123305599</v>
      </c>
      <c r="CS293" s="172">
        <f t="shared" si="819"/>
        <v>58.085440229405762</v>
      </c>
      <c r="CT293" s="172">
        <f t="shared" si="820"/>
        <v>4.683138618495839</v>
      </c>
      <c r="CU293" s="217">
        <f t="shared" si="821"/>
        <v>2.4202266762252402</v>
      </c>
      <c r="CV293" s="217">
        <f t="shared" si="822"/>
        <v>3.2269689016336534</v>
      </c>
      <c r="CW293" s="217">
        <f t="shared" si="823"/>
        <v>24</v>
      </c>
      <c r="CX293" s="217">
        <f t="shared" si="824"/>
        <v>3.5350224173627471</v>
      </c>
      <c r="CY293" s="217">
        <f t="shared" si="825"/>
        <v>0.98195067148965209</v>
      </c>
      <c r="CZ293" s="217">
        <f t="shared" si="826"/>
        <v>2.145701896438065</v>
      </c>
      <c r="DA293" s="197">
        <f t="shared" si="827"/>
        <v>350</v>
      </c>
      <c r="DB293" s="443">
        <f t="shared" si="828"/>
        <v>319.72860740813297</v>
      </c>
      <c r="DD293" s="217">
        <f t="shared" si="829"/>
        <v>3.2292794133140656</v>
      </c>
      <c r="DE293" s="173">
        <f t="shared" si="830"/>
        <v>1.9601207978889497</v>
      </c>
      <c r="DF293" s="173">
        <f t="shared" si="831"/>
        <v>0.6872960992823488</v>
      </c>
      <c r="DG293" s="173"/>
      <c r="DH293" s="173">
        <f t="shared" si="832"/>
        <v>1.3488532386977903</v>
      </c>
      <c r="DI293" s="545">
        <f t="shared" si="833"/>
        <v>770.26949999999977</v>
      </c>
      <c r="DJ293" s="528">
        <f t="shared" si="834"/>
        <v>0.34987754285999911</v>
      </c>
      <c r="DL293" s="173">
        <f t="shared" si="835"/>
        <v>3.3692729185983135</v>
      </c>
      <c r="DM293" s="173">
        <f t="shared" si="836"/>
        <v>3.5350224173627471</v>
      </c>
      <c r="DN293" s="173">
        <f t="shared" si="837"/>
        <v>2.1724445889929811</v>
      </c>
      <c r="DP293" s="545">
        <f t="shared" si="838"/>
        <v>770</v>
      </c>
      <c r="DQ293" s="460">
        <f t="shared" si="839"/>
        <v>319.72860740813297</v>
      </c>
      <c r="DS293">
        <f t="shared" si="840"/>
        <v>770</v>
      </c>
      <c r="DT293">
        <f t="shared" si="841"/>
        <v>319.72860740813297</v>
      </c>
      <c r="DV293" s="5">
        <f t="shared" si="870"/>
        <v>3.1276525679277167</v>
      </c>
      <c r="DW293" s="5">
        <f t="shared" si="842"/>
        <v>0.98195067148965209</v>
      </c>
      <c r="DX293" s="5">
        <f t="shared" si="843"/>
        <v>2.1457018964380645</v>
      </c>
      <c r="DY293" s="173">
        <f t="shared" si="844"/>
        <v>0.31395772073886757</v>
      </c>
      <c r="EA293" s="5">
        <f t="shared" si="871"/>
        <v>3.1504250710293005</v>
      </c>
      <c r="EB293" s="5">
        <f t="shared" si="872"/>
        <v>0.42005667613724013</v>
      </c>
      <c r="EC293" s="5">
        <f t="shared" si="873"/>
        <v>0.91788358903183864</v>
      </c>
      <c r="ED293" s="5"/>
      <c r="EE293" s="173">
        <f t="shared" si="874"/>
        <v>1.1435815199617254</v>
      </c>
      <c r="EF293" s="173">
        <f t="shared" si="875"/>
        <v>1.1275422372667196</v>
      </c>
      <c r="EG293" s="173">
        <f t="shared" si="876"/>
        <v>0.11290659429927556</v>
      </c>
      <c r="EH293" s="173"/>
      <c r="EI293" s="528">
        <f t="shared" si="877"/>
        <v>5.2311147711918811E-2</v>
      </c>
      <c r="EJ293" s="528">
        <f t="shared" si="878"/>
        <v>1.6310150999999999</v>
      </c>
      <c r="EK293" s="528">
        <f t="shared" si="879"/>
        <v>6.3945721481626597E-2</v>
      </c>
      <c r="EL293" s="528">
        <f t="shared" si="880"/>
        <v>0.15407166789981094</v>
      </c>
      <c r="EM293">
        <f t="shared" si="881"/>
        <v>1.6199999999999999E-2</v>
      </c>
      <c r="EN293" s="460">
        <f t="shared" si="882"/>
        <v>80.145721481626609</v>
      </c>
      <c r="EP293" s="460">
        <f t="shared" si="883"/>
        <v>1917.5436370933562</v>
      </c>
      <c r="EQ293" s="173">
        <f t="shared" si="884"/>
        <v>0.53899999999999992</v>
      </c>
      <c r="ER293" s="173">
        <f t="shared" si="845"/>
        <v>4.7740000000000005E-2</v>
      </c>
      <c r="ES293" s="528"/>
      <c r="EU293" s="460">
        <f t="shared" si="885"/>
        <v>586.7399999999999</v>
      </c>
      <c r="EV293" s="528">
        <f t="shared" si="886"/>
        <v>3.9233360783939103E-2</v>
      </c>
      <c r="EW293" s="528">
        <f t="shared" si="887"/>
        <v>3.8140544904613188E-2</v>
      </c>
      <c r="EX293" s="528">
        <f t="shared" si="888"/>
        <v>6.3739495181306028E-5</v>
      </c>
      <c r="EY293" s="528">
        <f t="shared" si="889"/>
        <v>2.1473566184574664</v>
      </c>
      <c r="EZ293" s="528"/>
      <c r="FA293" s="625">
        <f t="shared" si="890"/>
        <v>0.79909025825952706</v>
      </c>
      <c r="FB293" s="460">
        <f t="shared" si="891"/>
        <v>3023.8845219007271</v>
      </c>
      <c r="FC293" s="173">
        <f t="shared" si="892"/>
        <v>5.5281681589940836</v>
      </c>
      <c r="FD293" s="5">
        <f t="shared" si="893"/>
        <v>19.866</v>
      </c>
      <c r="FE293" s="173">
        <f t="shared" si="894"/>
        <v>0.7823056016490888</v>
      </c>
      <c r="FF293" s="5">
        <f t="shared" si="895"/>
        <v>78.23056016490888</v>
      </c>
      <c r="FG293">
        <f t="shared" si="896"/>
        <v>77</v>
      </c>
      <c r="FI293" s="562">
        <f t="shared" si="846"/>
        <v>-50</v>
      </c>
    </row>
    <row r="294" spans="5:165">
      <c r="E294" s="170">
        <v>78</v>
      </c>
      <c r="F294" s="217">
        <f t="shared" si="847"/>
        <v>0.78</v>
      </c>
      <c r="G294" s="217">
        <f t="shared" si="775"/>
        <v>7.8000000000000014E-2</v>
      </c>
      <c r="H294" s="217">
        <f t="shared" si="776"/>
        <v>18.72</v>
      </c>
      <c r="I294" s="217">
        <f t="shared" si="777"/>
        <v>1.4040000000000004</v>
      </c>
      <c r="J294" s="541">
        <f t="shared" si="778"/>
        <v>35.846443115644846</v>
      </c>
      <c r="K294" s="443">
        <f t="shared" si="779"/>
        <v>16.497883810784028</v>
      </c>
      <c r="L294" s="172">
        <f t="shared" si="780"/>
        <v>52.344326926428877</v>
      </c>
      <c r="M294" s="443"/>
      <c r="N294" s="217">
        <f t="shared" si="781"/>
        <v>0.31517997803223591</v>
      </c>
      <c r="O294" s="172">
        <f t="shared" si="782"/>
        <v>58.388016298308706</v>
      </c>
      <c r="P294" s="172">
        <f t="shared" si="783"/>
        <v>4.70753381405114</v>
      </c>
      <c r="Q294" s="217">
        <f t="shared" si="784"/>
        <v>2.4328340124295296</v>
      </c>
      <c r="R294" s="217">
        <f t="shared" si="785"/>
        <v>3.2437786832393725</v>
      </c>
      <c r="S294" s="217">
        <f t="shared" si="786"/>
        <v>24</v>
      </c>
      <c r="T294" s="217">
        <f t="shared" si="787"/>
        <v>3.562374836255997</v>
      </c>
      <c r="U294" s="217">
        <f t="shared" si="788"/>
        <v>0.99378753556199606</v>
      </c>
      <c r="V294" s="217">
        <f t="shared" si="789"/>
        <v>2.1592919898777629</v>
      </c>
      <c r="W294" s="197">
        <f t="shared" si="790"/>
        <v>350</v>
      </c>
      <c r="X294" s="443">
        <f t="shared" si="848"/>
        <v>298.23330834029326</v>
      </c>
      <c r="Z294" s="217">
        <f t="shared" si="791"/>
        <v>3.2280231867779245</v>
      </c>
      <c r="AA294" s="173">
        <f t="shared" si="792"/>
        <v>1.9566286341936114</v>
      </c>
      <c r="AB294" s="173">
        <f t="shared" si="793"/>
        <v>0.68580471849195368</v>
      </c>
      <c r="AC294" s="173"/>
      <c r="AD294" s="173">
        <f t="shared" si="794"/>
        <v>1.3469741014721186</v>
      </c>
      <c r="AE294" s="545">
        <f t="shared" si="795"/>
        <v>781.36154360219973</v>
      </c>
      <c r="AF294" s="528">
        <f t="shared" si="796"/>
        <v>0.34939011554296234</v>
      </c>
      <c r="AH294" s="173">
        <f t="shared" si="797"/>
        <v>3.391080737969618</v>
      </c>
      <c r="AI294" s="173">
        <f t="shared" si="798"/>
        <v>3.562374836255997</v>
      </c>
      <c r="AJ294" s="173">
        <f t="shared" si="799"/>
        <v>2.192705640025018</v>
      </c>
      <c r="AL294" s="545">
        <f t="shared" si="800"/>
        <v>780</v>
      </c>
      <c r="AM294" s="460">
        <f t="shared" si="801"/>
        <v>298.23330834029326</v>
      </c>
      <c r="AO294">
        <f t="shared" si="802"/>
        <v>780</v>
      </c>
      <c r="AP294">
        <f t="shared" si="803"/>
        <v>298.23330834029326</v>
      </c>
      <c r="AR294" s="5">
        <f t="shared" si="774"/>
        <v>3.3530795254397594</v>
      </c>
      <c r="AS294" s="5">
        <f t="shared" si="739"/>
        <v>0.99378753556199606</v>
      </c>
      <c r="AT294" s="5">
        <f t="shared" si="740"/>
        <v>2.3592919898777636</v>
      </c>
      <c r="AU294" s="173">
        <f t="shared" si="741"/>
        <v>0.29638054451800094</v>
      </c>
      <c r="BA294" s="173">
        <f t="shared" si="849"/>
        <v>1.1197055550478008</v>
      </c>
      <c r="BB294" s="173">
        <f t="shared" si="850"/>
        <v>1.1507308086398627</v>
      </c>
      <c r="BC294" s="173">
        <f t="shared" si="851"/>
        <v>0.11522858502731595</v>
      </c>
      <c r="BD294" s="173"/>
      <c r="BE294" s="528">
        <f t="shared" si="852"/>
        <v>5.0149621200196143E-2</v>
      </c>
      <c r="BF294" s="528">
        <f t="shared" si="804"/>
        <v>1.2512609713238947</v>
      </c>
      <c r="BG294" s="528">
        <f t="shared" si="805"/>
        <v>0.42762413290443563</v>
      </c>
      <c r="BH294" s="528">
        <f t="shared" si="853"/>
        <v>0.14299914290841836</v>
      </c>
      <c r="BI294">
        <f t="shared" si="854"/>
        <v>1.613089940204018E-2</v>
      </c>
      <c r="BJ294" s="460">
        <f t="shared" si="855"/>
        <v>443.75503230647575</v>
      </c>
      <c r="BK294">
        <f t="shared" si="806"/>
        <v>1.4755319073712589</v>
      </c>
      <c r="BL294" s="460">
        <f t="shared" si="856"/>
        <v>1888.1647677389851</v>
      </c>
      <c r="BM294" s="173">
        <f t="shared" si="807"/>
        <v>0.67703999999999986</v>
      </c>
      <c r="BN294" s="173">
        <f t="shared" si="808"/>
        <v>4.8360000000000007E-2</v>
      </c>
      <c r="BQ294" s="460">
        <f t="shared" si="857"/>
        <v>725.39999999999986</v>
      </c>
      <c r="BR294" s="528">
        <f t="shared" si="858"/>
        <v>3.7612215900147107E-2</v>
      </c>
      <c r="BS294" s="528">
        <f t="shared" si="859"/>
        <v>3.9725441818588565E-2</v>
      </c>
      <c r="BT294" s="528">
        <f t="shared" si="860"/>
        <v>6.6388134036986902E-5</v>
      </c>
      <c r="BU294" s="528">
        <f t="shared" si="861"/>
        <v>1.8395407202869851</v>
      </c>
      <c r="BV294" s="528"/>
      <c r="BW294" s="625">
        <f t="shared" si="862"/>
        <v>0.75694682322367945</v>
      </c>
      <c r="BX294" s="460">
        <f t="shared" si="863"/>
        <v>2673.8915893634376</v>
      </c>
      <c r="BY294" s="173">
        <f t="shared" si="864"/>
        <v>5.287456357102422</v>
      </c>
      <c r="BZ294" s="5">
        <f t="shared" si="865"/>
        <v>20.123999999999999</v>
      </c>
      <c r="CA294" s="173">
        <f t="shared" si="866"/>
        <v>0.79192627597573351</v>
      </c>
      <c r="CB294" s="5">
        <f t="shared" si="867"/>
        <v>79.192627597573349</v>
      </c>
      <c r="CC294">
        <f t="shared" si="868"/>
        <v>78</v>
      </c>
      <c r="CE294" s="562">
        <f t="shared" si="809"/>
        <v>-50</v>
      </c>
      <c r="CG294" s="173">
        <f t="shared" si="810"/>
        <v>0.67907798870528813</v>
      </c>
      <c r="CH294" s="173">
        <f t="shared" si="811"/>
        <v>0.18572219042655355</v>
      </c>
      <c r="CI294" s="170">
        <v>78</v>
      </c>
      <c r="CJ294" s="217">
        <f t="shared" si="869"/>
        <v>0.78</v>
      </c>
      <c r="CK294" s="217">
        <f t="shared" si="812"/>
        <v>7.8000000000000014E-2</v>
      </c>
      <c r="CL294" s="217">
        <f t="shared" si="813"/>
        <v>18.72</v>
      </c>
      <c r="CM294" s="217">
        <f t="shared" si="814"/>
        <v>1.4040000000000004</v>
      </c>
      <c r="CN294" s="541">
        <f t="shared" si="815"/>
        <v>36</v>
      </c>
      <c r="CO294" s="443">
        <f t="shared" si="816"/>
        <v>16.474900000000002</v>
      </c>
      <c r="CP294" s="443">
        <f t="shared" si="817"/>
        <v>52.474900000000005</v>
      </c>
      <c r="CQ294" s="443"/>
      <c r="CR294" s="217">
        <f t="shared" si="818"/>
        <v>0.31220924123305599</v>
      </c>
      <c r="CS294" s="172">
        <f t="shared" si="819"/>
        <v>58.085440229405762</v>
      </c>
      <c r="CT294" s="172">
        <f t="shared" si="820"/>
        <v>4.683138618495839</v>
      </c>
      <c r="CU294" s="217">
        <f t="shared" si="821"/>
        <v>2.4202266762252402</v>
      </c>
      <c r="CV294" s="217">
        <f t="shared" si="822"/>
        <v>3.2269689016336534</v>
      </c>
      <c r="CW294" s="217">
        <f t="shared" si="823"/>
        <v>24</v>
      </c>
      <c r="CX294" s="217">
        <f t="shared" si="824"/>
        <v>3.5809317994064189</v>
      </c>
      <c r="CY294" s="217">
        <f t="shared" si="825"/>
        <v>0.99470327761289434</v>
      </c>
      <c r="CZ294" s="217">
        <f t="shared" si="826"/>
        <v>2.1735681548333643</v>
      </c>
      <c r="DA294" s="197">
        <f t="shared" si="827"/>
        <v>350</v>
      </c>
      <c r="DB294" s="443">
        <f t="shared" si="828"/>
        <v>315.62952269777236</v>
      </c>
      <c r="DD294" s="217">
        <f t="shared" si="829"/>
        <v>3.2292794133140656</v>
      </c>
      <c r="DE294" s="173">
        <f t="shared" si="830"/>
        <v>1.9601207978889497</v>
      </c>
      <c r="DF294" s="173">
        <f t="shared" si="831"/>
        <v>0.6872960992823488</v>
      </c>
      <c r="DG294" s="173"/>
      <c r="DH294" s="173">
        <f t="shared" si="832"/>
        <v>1.3488532386977903</v>
      </c>
      <c r="DI294" s="545">
        <f t="shared" si="833"/>
        <v>780.2729999999998</v>
      </c>
      <c r="DJ294" s="528">
        <f t="shared" si="834"/>
        <v>0.34987754285999911</v>
      </c>
      <c r="DL294" s="173">
        <f t="shared" si="835"/>
        <v>3.391080737969618</v>
      </c>
      <c r="DM294" s="173">
        <f t="shared" si="836"/>
        <v>3.5809317994064189</v>
      </c>
      <c r="DN294" s="173">
        <f t="shared" si="837"/>
        <v>2.2064515386549601</v>
      </c>
      <c r="DP294" s="545">
        <f t="shared" si="838"/>
        <v>780</v>
      </c>
      <c r="DQ294" s="460">
        <f t="shared" si="839"/>
        <v>315.62952269777236</v>
      </c>
      <c r="DS294">
        <f t="shared" si="840"/>
        <v>780</v>
      </c>
      <c r="DT294">
        <f t="shared" si="841"/>
        <v>315.62952269777236</v>
      </c>
      <c r="DV294" s="5">
        <f t="shared" si="870"/>
        <v>3.1682714324462582</v>
      </c>
      <c r="DW294" s="5">
        <f t="shared" si="842"/>
        <v>0.99470327761289434</v>
      </c>
      <c r="DX294" s="5">
        <f t="shared" si="843"/>
        <v>2.1735681548333639</v>
      </c>
      <c r="DY294" s="173">
        <f t="shared" si="844"/>
        <v>0.31395772073886757</v>
      </c>
      <c r="EA294" s="5">
        <f t="shared" si="871"/>
        <v>3.2327856522419069</v>
      </c>
      <c r="EB294" s="5">
        <f t="shared" si="872"/>
        <v>0.43103808696558765</v>
      </c>
      <c r="EC294" s="5">
        <f t="shared" si="873"/>
        <v>0.9418795337611241</v>
      </c>
      <c r="ED294" s="5"/>
      <c r="EE294" s="173">
        <f t="shared" si="874"/>
        <v>1.1584332280131764</v>
      </c>
      <c r="EF294" s="173">
        <f t="shared" si="875"/>
        <v>1.1421856429455082</v>
      </c>
      <c r="EG294" s="173">
        <f t="shared" si="876"/>
        <v>0.11437291370575964</v>
      </c>
      <c r="EH294" s="173"/>
      <c r="EI294" s="528">
        <f t="shared" si="877"/>
        <v>5.3678701750601111E-2</v>
      </c>
      <c r="EJ294" s="528">
        <f t="shared" si="878"/>
        <v>1.6310151000000004</v>
      </c>
      <c r="EK294" s="528">
        <f t="shared" si="879"/>
        <v>6.3125904539554467E-2</v>
      </c>
      <c r="EL294" s="528">
        <f t="shared" si="880"/>
        <v>0.15209639010622364</v>
      </c>
      <c r="EM294">
        <f t="shared" si="881"/>
        <v>1.6199999999999999E-2</v>
      </c>
      <c r="EN294" s="460">
        <f t="shared" si="882"/>
        <v>79.325904539554458</v>
      </c>
      <c r="EP294" s="460">
        <f t="shared" si="883"/>
        <v>1916.1160963963794</v>
      </c>
      <c r="EQ294" s="173">
        <f t="shared" si="884"/>
        <v>0.54599999999999993</v>
      </c>
      <c r="ER294" s="173">
        <f t="shared" si="845"/>
        <v>4.8360000000000007E-2</v>
      </c>
      <c r="ES294" s="528"/>
      <c r="EU294" s="460">
        <f t="shared" si="885"/>
        <v>594.3599999999999</v>
      </c>
      <c r="EV294" s="528">
        <f t="shared" si="886"/>
        <v>4.0259026312950835E-2</v>
      </c>
      <c r="EW294" s="528">
        <f t="shared" si="887"/>
        <v>3.9137641288525316E-2</v>
      </c>
      <c r="EX294" s="528">
        <f t="shared" si="888"/>
        <v>6.540581694772571E-5</v>
      </c>
      <c r="EY294" s="528">
        <f t="shared" si="889"/>
        <v>2.1473566184574611</v>
      </c>
      <c r="EZ294" s="528"/>
      <c r="FA294" s="625">
        <f t="shared" si="890"/>
        <v>0.80946805382133913</v>
      </c>
      <c r="FB294" s="460">
        <f t="shared" si="891"/>
        <v>3036.286745697224</v>
      </c>
      <c r="FC294" s="173">
        <f t="shared" si="892"/>
        <v>5.546762842093603</v>
      </c>
      <c r="FD294" s="5">
        <f t="shared" si="893"/>
        <v>20.123999999999999</v>
      </c>
      <c r="FE294" s="173">
        <f t="shared" si="894"/>
        <v>0.7839268401873003</v>
      </c>
      <c r="FF294" s="5">
        <f t="shared" si="895"/>
        <v>78.392684018730023</v>
      </c>
      <c r="FG294">
        <f t="shared" si="896"/>
        <v>78</v>
      </c>
      <c r="FI294" s="562">
        <f t="shared" si="846"/>
        <v>-50</v>
      </c>
    </row>
    <row r="295" spans="5:165">
      <c r="E295" s="170">
        <v>79</v>
      </c>
      <c r="F295" s="217">
        <f t="shared" si="847"/>
        <v>0.79</v>
      </c>
      <c r="G295" s="217">
        <f t="shared" si="775"/>
        <v>7.9000000000000015E-2</v>
      </c>
      <c r="H295" s="217">
        <f t="shared" si="776"/>
        <v>18.96</v>
      </c>
      <c r="I295" s="217">
        <f t="shared" si="777"/>
        <v>1.4220000000000002</v>
      </c>
      <c r="J295" s="541">
        <f t="shared" si="778"/>
        <v>35.844474437640294</v>
      </c>
      <c r="K295" s="443">
        <f t="shared" si="779"/>
        <v>16.498178475024847</v>
      </c>
      <c r="L295" s="172">
        <f t="shared" si="780"/>
        <v>52.342652912665145</v>
      </c>
      <c r="M295" s="443"/>
      <c r="N295" s="217">
        <f t="shared" si="781"/>
        <v>0.31519568758871314</v>
      </c>
      <c r="O295" s="172">
        <f t="shared" si="782"/>
        <v>58.387719724176144</v>
      </c>
      <c r="P295" s="172">
        <f t="shared" si="783"/>
        <v>4.7075099027617018</v>
      </c>
      <c r="Q295" s="217">
        <f t="shared" si="784"/>
        <v>2.4328216551740058</v>
      </c>
      <c r="R295" s="217">
        <f t="shared" si="785"/>
        <v>3.2437622068986744</v>
      </c>
      <c r="S295" s="217">
        <f t="shared" si="786"/>
        <v>24</v>
      </c>
      <c r="T295" s="217">
        <f t="shared" si="787"/>
        <v>3.6080646351982399</v>
      </c>
      <c r="U295" s="217">
        <f t="shared" si="788"/>
        <v>1.0065887955688395</v>
      </c>
      <c r="V295" s="217">
        <f t="shared" si="789"/>
        <v>2.18694726854857</v>
      </c>
      <c r="W295" s="197">
        <f t="shared" si="790"/>
        <v>350</v>
      </c>
      <c r="X295" s="443">
        <f t="shared" si="848"/>
        <v>294.67787614630225</v>
      </c>
      <c r="Z295" s="217">
        <f t="shared" si="791"/>
        <v>3.2280067904651664</v>
      </c>
      <c r="AA295" s="173">
        <f t="shared" si="792"/>
        <v>1.9565837497465337</v>
      </c>
      <c r="AB295" s="173">
        <f t="shared" si="793"/>
        <v>0.68578550297326035</v>
      </c>
      <c r="AC295" s="173"/>
      <c r="AD295" s="173">
        <f t="shared" si="794"/>
        <v>1.3469500439616717</v>
      </c>
      <c r="AE295" s="545">
        <f t="shared" si="795"/>
        <v>791.39313389568213</v>
      </c>
      <c r="AF295" s="528">
        <f t="shared" si="796"/>
        <v>0.34938387529205805</v>
      </c>
      <c r="AH295" s="173">
        <f t="shared" si="797"/>
        <v>3.4127492059712128</v>
      </c>
      <c r="AI295" s="173">
        <f t="shared" si="798"/>
        <v>3.6080646351982399</v>
      </c>
      <c r="AJ295" s="173">
        <f t="shared" si="799"/>
        <v>2.2265499355377907</v>
      </c>
      <c r="AL295" s="545">
        <f t="shared" si="800"/>
        <v>790</v>
      </c>
      <c r="AM295" s="460">
        <f t="shared" si="801"/>
        <v>294.67787614630225</v>
      </c>
      <c r="AO295">
        <f t="shared" si="802"/>
        <v>790</v>
      </c>
      <c r="AP295">
        <f t="shared" si="803"/>
        <v>294.67787614630225</v>
      </c>
      <c r="AR295" s="5">
        <f t="shared" si="774"/>
        <v>3.3935360641174093</v>
      </c>
      <c r="AS295" s="5">
        <f t="shared" si="739"/>
        <v>1.0065887955688395</v>
      </c>
      <c r="AT295" s="5">
        <f t="shared" si="740"/>
        <v>2.3869472685485698</v>
      </c>
      <c r="AU295" s="173">
        <f t="shared" si="741"/>
        <v>0.29661944843089005</v>
      </c>
      <c r="BA295" s="173">
        <f t="shared" si="849"/>
        <v>1.1345234920940863</v>
      </c>
      <c r="BB295" s="173">
        <f t="shared" si="850"/>
        <v>1.1652918082070447</v>
      </c>
      <c r="BC295" s="173">
        <f t="shared" si="851"/>
        <v>0.11668665268667835</v>
      </c>
      <c r="BD295" s="173"/>
      <c r="BE295" s="528">
        <f t="shared" si="852"/>
        <v>5.1485742164534408E-2</v>
      </c>
      <c r="BF295" s="528">
        <f t="shared" si="804"/>
        <v>1.2521607564098831</v>
      </c>
      <c r="BG295" s="528">
        <f t="shared" si="805"/>
        <v>0.42250294395457055</v>
      </c>
      <c r="BH295" s="528">
        <f t="shared" si="853"/>
        <v>0.14128532035019059</v>
      </c>
      <c r="BI295">
        <f t="shared" si="854"/>
        <v>1.6130013496938132E-2</v>
      </c>
      <c r="BJ295" s="460">
        <f t="shared" si="855"/>
        <v>438.63295745150873</v>
      </c>
      <c r="BK295">
        <f t="shared" si="806"/>
        <v>1.4768999040577957</v>
      </c>
      <c r="BL295" s="460">
        <f t="shared" si="856"/>
        <v>1883.5647763761169</v>
      </c>
      <c r="BM295" s="173">
        <f t="shared" si="807"/>
        <v>0.68571999999999989</v>
      </c>
      <c r="BN295" s="173">
        <f t="shared" si="808"/>
        <v>4.898000000000001E-2</v>
      </c>
      <c r="BQ295" s="460">
        <f t="shared" si="857"/>
        <v>734.69999999999993</v>
      </c>
      <c r="BR295" s="528">
        <f t="shared" si="858"/>
        <v>3.8614306623400804E-2</v>
      </c>
      <c r="BS295" s="528">
        <f t="shared" si="859"/>
        <v>4.0737149948233312E-2</v>
      </c>
      <c r="BT295" s="528">
        <f t="shared" si="860"/>
        <v>6.8078874576107506E-5</v>
      </c>
      <c r="BU295" s="528">
        <f t="shared" si="861"/>
        <v>1.8429968983991682</v>
      </c>
      <c r="BV295" s="528"/>
      <c r="BW295" s="625">
        <f t="shared" si="862"/>
        <v>0.76723100422708856</v>
      </c>
      <c r="BX295" s="460">
        <f t="shared" si="863"/>
        <v>2689.6474380724671</v>
      </c>
      <c r="BY295" s="173">
        <f t="shared" si="864"/>
        <v>5.3079122144485833</v>
      </c>
      <c r="BZ295" s="5">
        <f t="shared" si="865"/>
        <v>20.382000000000001</v>
      </c>
      <c r="CA295" s="173">
        <f t="shared" si="866"/>
        <v>0.79338535024408174</v>
      </c>
      <c r="CB295" s="5">
        <f t="shared" si="867"/>
        <v>79.338535024408174</v>
      </c>
      <c r="CC295">
        <f t="shared" si="868"/>
        <v>79</v>
      </c>
      <c r="CE295" s="562">
        <f t="shared" si="809"/>
        <v>-50</v>
      </c>
      <c r="CG295" s="173">
        <f t="shared" si="810"/>
        <v>0.67907798870528813</v>
      </c>
      <c r="CH295" s="173">
        <f t="shared" si="811"/>
        <v>0.1857221904265535</v>
      </c>
      <c r="CI295" s="170">
        <v>79</v>
      </c>
      <c r="CJ295" s="217">
        <f t="shared" si="869"/>
        <v>0.79</v>
      </c>
      <c r="CK295" s="217">
        <f t="shared" si="812"/>
        <v>7.9000000000000015E-2</v>
      </c>
      <c r="CL295" s="217">
        <f t="shared" si="813"/>
        <v>18.96</v>
      </c>
      <c r="CM295" s="217">
        <f t="shared" si="814"/>
        <v>1.4220000000000002</v>
      </c>
      <c r="CN295" s="541">
        <f t="shared" si="815"/>
        <v>36</v>
      </c>
      <c r="CO295" s="443">
        <f t="shared" si="816"/>
        <v>16.474900000000002</v>
      </c>
      <c r="CP295" s="443">
        <f t="shared" si="817"/>
        <v>52.474900000000005</v>
      </c>
      <c r="CQ295" s="443"/>
      <c r="CR295" s="217">
        <f t="shared" si="818"/>
        <v>0.31220924123305599</v>
      </c>
      <c r="CS295" s="172">
        <f t="shared" si="819"/>
        <v>58.085440229405762</v>
      </c>
      <c r="CT295" s="172">
        <f t="shared" si="820"/>
        <v>4.683138618495839</v>
      </c>
      <c r="CU295" s="217">
        <f t="shared" si="821"/>
        <v>2.4202266762252402</v>
      </c>
      <c r="CV295" s="217">
        <f t="shared" si="822"/>
        <v>3.2269689016336534</v>
      </c>
      <c r="CW295" s="217">
        <f t="shared" si="823"/>
        <v>24</v>
      </c>
      <c r="CX295" s="217">
        <f t="shared" si="824"/>
        <v>3.6268411814500916</v>
      </c>
      <c r="CY295" s="217">
        <f t="shared" si="825"/>
        <v>1.0074558837361367</v>
      </c>
      <c r="CZ295" s="217">
        <f t="shared" si="826"/>
        <v>2.2014344132286641</v>
      </c>
      <c r="DA295" s="197">
        <f t="shared" si="827"/>
        <v>350</v>
      </c>
      <c r="DB295" s="443">
        <f t="shared" si="828"/>
        <v>311.63421228387642</v>
      </c>
      <c r="DD295" s="217">
        <f t="shared" si="829"/>
        <v>3.2292794133140656</v>
      </c>
      <c r="DE295" s="173">
        <f t="shared" si="830"/>
        <v>1.9601207978889497</v>
      </c>
      <c r="DF295" s="173">
        <f t="shared" si="831"/>
        <v>0.6872960992823488</v>
      </c>
      <c r="DG295" s="173"/>
      <c r="DH295" s="173">
        <f t="shared" si="832"/>
        <v>1.3488532386977903</v>
      </c>
      <c r="DI295" s="545">
        <f t="shared" si="833"/>
        <v>790.2764999999996</v>
      </c>
      <c r="DJ295" s="528">
        <f t="shared" si="834"/>
        <v>0.34987754285999911</v>
      </c>
      <c r="DL295" s="173">
        <f t="shared" si="835"/>
        <v>3.4127492059712128</v>
      </c>
      <c r="DM295" s="173">
        <f t="shared" si="836"/>
        <v>3.6268411814500916</v>
      </c>
      <c r="DN295" s="173">
        <f t="shared" si="837"/>
        <v>2.2404584883169401</v>
      </c>
      <c r="DP295" s="545">
        <f t="shared" si="838"/>
        <v>790</v>
      </c>
      <c r="DQ295" s="460">
        <f t="shared" si="839"/>
        <v>311.63421228387642</v>
      </c>
      <c r="DS295">
        <f t="shared" si="840"/>
        <v>790</v>
      </c>
      <c r="DT295">
        <f t="shared" si="841"/>
        <v>311.63421228387642</v>
      </c>
      <c r="DV295" s="5">
        <f t="shared" si="870"/>
        <v>3.2088902969648005</v>
      </c>
      <c r="DW295" s="5">
        <f t="shared" si="842"/>
        <v>1.0074558837361367</v>
      </c>
      <c r="DX295" s="5">
        <f t="shared" si="843"/>
        <v>2.2014344132286636</v>
      </c>
      <c r="DY295" s="173">
        <f t="shared" si="844"/>
        <v>0.31395772073886757</v>
      </c>
      <c r="EA295" s="5">
        <f t="shared" si="871"/>
        <v>3.31620895063145</v>
      </c>
      <c r="EB295" s="5">
        <f t="shared" si="872"/>
        <v>0.4421611934175268</v>
      </c>
      <c r="EC295" s="5">
        <f t="shared" si="873"/>
        <v>0.96618510358369125</v>
      </c>
      <c r="ED295" s="5"/>
      <c r="EE295" s="173">
        <f t="shared" si="874"/>
        <v>1.1732849360646276</v>
      </c>
      <c r="EF295" s="173">
        <f t="shared" si="875"/>
        <v>1.1568290486242969</v>
      </c>
      <c r="EG295" s="173">
        <f t="shared" si="876"/>
        <v>0.11583923311224378</v>
      </c>
      <c r="EH295" s="173"/>
      <c r="EI295" s="528">
        <f t="shared" si="877"/>
        <v>5.5063901647847094E-2</v>
      </c>
      <c r="EJ295" s="528">
        <f t="shared" si="878"/>
        <v>1.6310151000000002</v>
      </c>
      <c r="EK295" s="528">
        <f t="shared" si="879"/>
        <v>6.2326842456775278E-2</v>
      </c>
      <c r="EL295" s="528">
        <f t="shared" si="880"/>
        <v>0.15017111934538532</v>
      </c>
      <c r="EM295">
        <f t="shared" si="881"/>
        <v>1.6199999999999999E-2</v>
      </c>
      <c r="EN295" s="460">
        <f t="shared" si="882"/>
        <v>78.52684245677527</v>
      </c>
      <c r="EP295" s="460">
        <f t="shared" si="883"/>
        <v>1914.776963450008</v>
      </c>
      <c r="EQ295" s="173">
        <f t="shared" si="884"/>
        <v>0.55299999999999994</v>
      </c>
      <c r="ER295" s="173">
        <f t="shared" si="845"/>
        <v>4.898000000000001E-2</v>
      </c>
      <c r="ES295" s="528"/>
      <c r="EU295" s="460">
        <f t="shared" si="885"/>
        <v>601.9799999999999</v>
      </c>
      <c r="EV295" s="528">
        <f t="shared" si="886"/>
        <v>4.1297926235885317E-2</v>
      </c>
      <c r="EW295" s="528">
        <f t="shared" si="887"/>
        <v>4.0147603432229881E-2</v>
      </c>
      <c r="EX295" s="528">
        <f t="shared" si="888"/>
        <v>6.7093639640163782E-5</v>
      </c>
      <c r="EY295" s="528">
        <f t="shared" si="889"/>
        <v>2.1473566184574633</v>
      </c>
      <c r="EZ295" s="528"/>
      <c r="FA295" s="625">
        <f t="shared" si="890"/>
        <v>0.81984584938315119</v>
      </c>
      <c r="FB295" s="460">
        <f t="shared" si="891"/>
        <v>3048.71509114837</v>
      </c>
      <c r="FC295" s="173">
        <f t="shared" si="892"/>
        <v>5.5654720545983771</v>
      </c>
      <c r="FD295" s="5">
        <f t="shared" si="893"/>
        <v>20.382000000000001</v>
      </c>
      <c r="FE295" s="173">
        <f t="shared" si="894"/>
        <v>0.78551004726442819</v>
      </c>
      <c r="FF295" s="5">
        <f t="shared" si="895"/>
        <v>78.551004726442812</v>
      </c>
      <c r="FG295">
        <f t="shared" si="896"/>
        <v>79</v>
      </c>
      <c r="FI295" s="562">
        <f t="shared" si="846"/>
        <v>-50</v>
      </c>
    </row>
    <row r="296" spans="5:165">
      <c r="E296" s="170">
        <v>80</v>
      </c>
      <c r="F296" s="217">
        <f t="shared" si="847"/>
        <v>0.8</v>
      </c>
      <c r="G296" s="217">
        <f t="shared" si="775"/>
        <v>8.0000000000000016E-2</v>
      </c>
      <c r="H296" s="217">
        <f t="shared" si="776"/>
        <v>19.200000000000003</v>
      </c>
      <c r="I296" s="217">
        <f t="shared" si="777"/>
        <v>1.4400000000000004</v>
      </c>
      <c r="J296" s="541">
        <f t="shared" si="778"/>
        <v>35.842505759635742</v>
      </c>
      <c r="K296" s="443">
        <f t="shared" si="779"/>
        <v>16.49847313926567</v>
      </c>
      <c r="L296" s="172">
        <f t="shared" si="780"/>
        <v>52.340978898901412</v>
      </c>
      <c r="M296" s="443"/>
      <c r="N296" s="217">
        <f t="shared" si="781"/>
        <v>0.31521139815006322</v>
      </c>
      <c r="O296" s="172">
        <f t="shared" si="782"/>
        <v>58.38742301651925</v>
      </c>
      <c r="P296" s="172">
        <f t="shared" si="783"/>
        <v>4.7074859807068643</v>
      </c>
      <c r="Q296" s="217">
        <f t="shared" si="784"/>
        <v>2.4328092923549689</v>
      </c>
      <c r="R296" s="217">
        <f t="shared" si="785"/>
        <v>3.2437457231399582</v>
      </c>
      <c r="S296" s="217">
        <f t="shared" si="786"/>
        <v>24</v>
      </c>
      <c r="T296" s="217">
        <f t="shared" si="787"/>
        <v>3.6537549066513191</v>
      </c>
      <c r="U296" s="217">
        <f t="shared" si="788"/>
        <v>1.0193915936441078</v>
      </c>
      <c r="V296" s="217">
        <f t="shared" si="789"/>
        <v>2.2146018457644647</v>
      </c>
      <c r="W296" s="197">
        <f t="shared" si="790"/>
        <v>350</v>
      </c>
      <c r="X296" s="443">
        <f t="shared" si="848"/>
        <v>291.20614749113423</v>
      </c>
      <c r="Z296" s="217">
        <f t="shared" si="791"/>
        <v>3.2279903867704212</v>
      </c>
      <c r="AA296" s="173">
        <f t="shared" si="792"/>
        <v>1.9565388624283906</v>
      </c>
      <c r="AB296" s="173">
        <f t="shared" si="793"/>
        <v>0.6857662850398214</v>
      </c>
      <c r="AC296" s="173"/>
      <c r="AD296" s="173">
        <f t="shared" si="794"/>
        <v>1.3469259873105637</v>
      </c>
      <c r="AE296" s="545">
        <f t="shared" si="795"/>
        <v>801.42508202729766</v>
      </c>
      <c r="AF296" s="528">
        <f t="shared" si="796"/>
        <v>0.3493776352640568</v>
      </c>
      <c r="AH296" s="173">
        <f t="shared" si="797"/>
        <v>3.4342809603009647</v>
      </c>
      <c r="AI296" s="173">
        <f t="shared" si="798"/>
        <v>3.6537549066513191</v>
      </c>
      <c r="AJ296" s="173">
        <f t="shared" si="799"/>
        <v>2.2603945810585904</v>
      </c>
      <c r="AL296" s="545">
        <f t="shared" si="800"/>
        <v>800</v>
      </c>
      <c r="AM296" s="460">
        <f t="shared" si="801"/>
        <v>291.20614749113423</v>
      </c>
      <c r="AO296">
        <f t="shared" si="802"/>
        <v>800</v>
      </c>
      <c r="AP296">
        <f t="shared" si="803"/>
        <v>291.20614749113423</v>
      </c>
      <c r="AR296" s="5">
        <f t="shared" si="774"/>
        <v>3.4339934394085723</v>
      </c>
      <c r="AS296" s="5">
        <f t="shared" si="739"/>
        <v>1.0193915936441078</v>
      </c>
      <c r="AT296" s="5">
        <f t="shared" si="740"/>
        <v>2.4146018457644645</v>
      </c>
      <c r="AU296" s="173">
        <f t="shared" si="741"/>
        <v>0.29685309876994842</v>
      </c>
      <c r="BA296" s="173">
        <f t="shared" si="849"/>
        <v>1.1493427948496491</v>
      </c>
      <c r="BB296" s="173">
        <f t="shared" si="850"/>
        <v>1.1798523223809694</v>
      </c>
      <c r="BC296" s="173">
        <f t="shared" si="851"/>
        <v>0.11814467174112137</v>
      </c>
      <c r="BD296" s="173"/>
      <c r="BE296" s="528">
        <f t="shared" si="852"/>
        <v>5.2839554402912103E-2</v>
      </c>
      <c r="BF296" s="528">
        <f t="shared" si="804"/>
        <v>1.2530381948935669</v>
      </c>
      <c r="BG296" s="528">
        <f t="shared" si="805"/>
        <v>0.41750232074769261</v>
      </c>
      <c r="BH296" s="528">
        <f t="shared" si="853"/>
        <v>0.13961184582205777</v>
      </c>
      <c r="BI296">
        <f t="shared" si="854"/>
        <v>1.6129127591836084E-2</v>
      </c>
      <c r="BJ296" s="460">
        <f t="shared" si="855"/>
        <v>433.63144833952873</v>
      </c>
      <c r="BK296">
        <f t="shared" si="806"/>
        <v>1.4783160570725615</v>
      </c>
      <c r="BL296" s="460">
        <f t="shared" si="856"/>
        <v>1879.1210434580657</v>
      </c>
      <c r="BM296" s="173">
        <f t="shared" si="807"/>
        <v>0.69439999999999991</v>
      </c>
      <c r="BN296" s="173">
        <f t="shared" si="808"/>
        <v>4.9600000000000012E-2</v>
      </c>
      <c r="BQ296" s="460">
        <f t="shared" si="857"/>
        <v>743.99999999999989</v>
      </c>
      <c r="BR296" s="528">
        <f t="shared" si="858"/>
        <v>3.9629665802184078E-2</v>
      </c>
      <c r="BS296" s="528">
        <f t="shared" si="859"/>
        <v>4.1761545078833007E-2</v>
      </c>
      <c r="BT296" s="528">
        <f t="shared" si="860"/>
        <v>6.9790817304086613E-5</v>
      </c>
      <c r="BU296" s="528">
        <f t="shared" si="861"/>
        <v>1.8463748697455231</v>
      </c>
      <c r="BV296" s="528"/>
      <c r="BW296" s="625">
        <f t="shared" si="862"/>
        <v>0.77751604092626414</v>
      </c>
      <c r="BX296" s="460">
        <f t="shared" si="863"/>
        <v>2705.3519123701085</v>
      </c>
      <c r="BY296" s="173">
        <f t="shared" si="864"/>
        <v>5.3284729558281745</v>
      </c>
      <c r="BZ296" s="5">
        <f t="shared" si="865"/>
        <v>20.640000000000004</v>
      </c>
      <c r="CA296" s="173">
        <f t="shared" si="866"/>
        <v>0.79480992336777778</v>
      </c>
      <c r="CB296" s="5">
        <f t="shared" si="867"/>
        <v>79.480992336777774</v>
      </c>
      <c r="CC296">
        <f t="shared" si="868"/>
        <v>80</v>
      </c>
      <c r="CE296" s="562">
        <f t="shared" si="809"/>
        <v>-50</v>
      </c>
      <c r="CG296" s="173">
        <f t="shared" si="810"/>
        <v>0.67907798870528813</v>
      </c>
      <c r="CH296" s="173">
        <f t="shared" si="811"/>
        <v>0.1857221904265535</v>
      </c>
      <c r="CI296" s="170">
        <v>80</v>
      </c>
      <c r="CJ296" s="217">
        <f t="shared" si="869"/>
        <v>0.8</v>
      </c>
      <c r="CK296" s="217">
        <f t="shared" si="812"/>
        <v>8.0000000000000016E-2</v>
      </c>
      <c r="CL296" s="217">
        <f t="shared" si="813"/>
        <v>19.200000000000003</v>
      </c>
      <c r="CM296" s="217">
        <f t="shared" si="814"/>
        <v>1.4400000000000004</v>
      </c>
      <c r="CN296" s="541">
        <f t="shared" si="815"/>
        <v>36</v>
      </c>
      <c r="CO296" s="443">
        <f t="shared" si="816"/>
        <v>16.474900000000002</v>
      </c>
      <c r="CP296" s="443">
        <f t="shared" si="817"/>
        <v>52.474900000000005</v>
      </c>
      <c r="CQ296" s="443"/>
      <c r="CR296" s="217">
        <f t="shared" si="818"/>
        <v>0.31220924123305599</v>
      </c>
      <c r="CS296" s="172">
        <f t="shared" si="819"/>
        <v>58.085440229405762</v>
      </c>
      <c r="CT296" s="172">
        <f t="shared" si="820"/>
        <v>4.683138618495839</v>
      </c>
      <c r="CU296" s="217">
        <f t="shared" si="821"/>
        <v>2.4202266762252402</v>
      </c>
      <c r="CV296" s="217">
        <f t="shared" si="822"/>
        <v>3.2269689016336534</v>
      </c>
      <c r="CW296" s="217">
        <f t="shared" si="823"/>
        <v>24</v>
      </c>
      <c r="CX296" s="217">
        <f t="shared" si="824"/>
        <v>3.6727505634937643</v>
      </c>
      <c r="CY296" s="217">
        <f t="shared" si="825"/>
        <v>1.0202084898593791</v>
      </c>
      <c r="CZ296" s="217">
        <f t="shared" si="826"/>
        <v>2.2293006716239638</v>
      </c>
      <c r="DA296" s="197">
        <f t="shared" si="827"/>
        <v>350</v>
      </c>
      <c r="DB296" s="443">
        <f t="shared" si="828"/>
        <v>307.73878463032793</v>
      </c>
      <c r="DD296" s="217">
        <f t="shared" si="829"/>
        <v>3.2292794133140656</v>
      </c>
      <c r="DE296" s="173">
        <f t="shared" si="830"/>
        <v>1.9601207978889497</v>
      </c>
      <c r="DF296" s="173">
        <f t="shared" si="831"/>
        <v>0.6872960992823488</v>
      </c>
      <c r="DG296" s="173"/>
      <c r="DH296" s="173">
        <f t="shared" si="832"/>
        <v>1.3488532386977903</v>
      </c>
      <c r="DI296" s="545">
        <f t="shared" si="833"/>
        <v>800.27999999999975</v>
      </c>
      <c r="DJ296" s="528">
        <f t="shared" si="834"/>
        <v>0.34987754285999911</v>
      </c>
      <c r="DL296" s="173">
        <f t="shared" si="835"/>
        <v>3.4342809603009647</v>
      </c>
      <c r="DM296" s="173">
        <f t="shared" si="836"/>
        <v>3.6727505634937643</v>
      </c>
      <c r="DN296" s="173">
        <f t="shared" si="837"/>
        <v>2.27446543797892</v>
      </c>
      <c r="DP296" s="545">
        <f t="shared" si="838"/>
        <v>800</v>
      </c>
      <c r="DQ296" s="460">
        <f t="shared" si="839"/>
        <v>307.73878463032793</v>
      </c>
      <c r="DS296">
        <f t="shared" si="840"/>
        <v>800</v>
      </c>
      <c r="DT296">
        <f t="shared" si="841"/>
        <v>307.73878463032793</v>
      </c>
      <c r="DV296" s="5">
        <f t="shared" si="870"/>
        <v>3.2495091614833429</v>
      </c>
      <c r="DW296" s="5">
        <f t="shared" si="842"/>
        <v>1.0202084898593791</v>
      </c>
      <c r="DX296" s="5">
        <f t="shared" si="843"/>
        <v>2.2293006716239638</v>
      </c>
      <c r="DY296" s="173">
        <f t="shared" si="844"/>
        <v>0.31395772073886757</v>
      </c>
      <c r="EA296" s="5">
        <f t="shared" si="871"/>
        <v>3.4006949661979302</v>
      </c>
      <c r="EB296" s="5">
        <f t="shared" si="872"/>
        <v>0.45342599549305751</v>
      </c>
      <c r="EC296" s="5">
        <f t="shared" si="873"/>
        <v>0.99080029849953954</v>
      </c>
      <c r="ED296" s="5"/>
      <c r="EE296" s="173">
        <f t="shared" si="874"/>
        <v>1.1881366441160788</v>
      </c>
      <c r="EF296" s="173">
        <f t="shared" si="875"/>
        <v>1.1714724543030859</v>
      </c>
      <c r="EG296" s="173">
        <f t="shared" si="876"/>
        <v>0.11730555251872789</v>
      </c>
      <c r="EH296" s="173"/>
      <c r="EI296" s="528">
        <f t="shared" si="877"/>
        <v>5.646674740365671E-2</v>
      </c>
      <c r="EJ296" s="528">
        <f t="shared" si="878"/>
        <v>1.6310151000000002</v>
      </c>
      <c r="EK296" s="528">
        <f t="shared" si="879"/>
        <v>6.154775692606558E-2</v>
      </c>
      <c r="EL296" s="528">
        <f t="shared" si="880"/>
        <v>0.148293980353568</v>
      </c>
      <c r="EM296">
        <f t="shared" si="881"/>
        <v>1.6199999999999999E-2</v>
      </c>
      <c r="EN296" s="460">
        <f t="shared" si="882"/>
        <v>77.747756926065591</v>
      </c>
      <c r="EP296" s="460">
        <f t="shared" si="883"/>
        <v>1913.5235846832902</v>
      </c>
      <c r="EQ296" s="173">
        <f t="shared" si="884"/>
        <v>0.55999999999999994</v>
      </c>
      <c r="ER296" s="173">
        <f t="shared" si="845"/>
        <v>4.9600000000000012E-2</v>
      </c>
      <c r="ES296" s="528"/>
      <c r="EU296" s="460">
        <f t="shared" si="885"/>
        <v>609.59999999999991</v>
      </c>
      <c r="EV296" s="528">
        <f t="shared" si="886"/>
        <v>4.2350060552742527E-2</v>
      </c>
      <c r="EW296" s="528">
        <f t="shared" si="887"/>
        <v>4.117043133572687E-2</v>
      </c>
      <c r="EX296" s="528">
        <f t="shared" si="888"/>
        <v>6.8802963258620135E-5</v>
      </c>
      <c r="EY296" s="528">
        <f t="shared" si="889"/>
        <v>2.1473566184574668</v>
      </c>
      <c r="EZ296" s="528"/>
      <c r="FA296" s="625">
        <f t="shared" si="890"/>
        <v>0.83022364494496348</v>
      </c>
      <c r="FB296" s="460">
        <f t="shared" si="891"/>
        <v>3061.1695582541579</v>
      </c>
      <c r="FC296" s="173">
        <f t="shared" si="892"/>
        <v>5.5842931429374492</v>
      </c>
      <c r="FD296" s="5">
        <f t="shared" si="893"/>
        <v>20.640000000000004</v>
      </c>
      <c r="FE296" s="173">
        <f t="shared" si="894"/>
        <v>0.7870564856600768</v>
      </c>
      <c r="FF296" s="5">
        <f t="shared" si="895"/>
        <v>78.705648566007682</v>
      </c>
      <c r="FG296">
        <f t="shared" si="896"/>
        <v>80</v>
      </c>
      <c r="FI296" s="562">
        <f t="shared" si="846"/>
        <v>-50</v>
      </c>
    </row>
    <row r="297" spans="5:165">
      <c r="E297" s="170">
        <v>81</v>
      </c>
      <c r="F297" s="217">
        <f t="shared" si="847"/>
        <v>0.81</v>
      </c>
      <c r="G297" s="217">
        <f t="shared" si="775"/>
        <v>8.1000000000000016E-2</v>
      </c>
      <c r="H297" s="217">
        <f t="shared" si="776"/>
        <v>19.440000000000001</v>
      </c>
      <c r="I297" s="217">
        <f t="shared" si="777"/>
        <v>1.4580000000000002</v>
      </c>
      <c r="J297" s="541">
        <f t="shared" si="778"/>
        <v>35.84053708163119</v>
      </c>
      <c r="K297" s="443">
        <f t="shared" si="779"/>
        <v>16.498767803506489</v>
      </c>
      <c r="L297" s="172">
        <f t="shared" si="780"/>
        <v>52.339304885137679</v>
      </c>
      <c r="M297" s="443"/>
      <c r="N297" s="217">
        <f t="shared" si="781"/>
        <v>0.31522710971638246</v>
      </c>
      <c r="O297" s="172">
        <f t="shared" si="782"/>
        <v>58.387126175325207</v>
      </c>
      <c r="P297" s="172">
        <f t="shared" si="783"/>
        <v>4.7074620478855946</v>
      </c>
      <c r="Q297" s="217">
        <f t="shared" si="784"/>
        <v>2.4327969239718836</v>
      </c>
      <c r="R297" s="217">
        <f t="shared" si="785"/>
        <v>3.2437292319625115</v>
      </c>
      <c r="S297" s="217">
        <f t="shared" si="786"/>
        <v>24</v>
      </c>
      <c r="T297" s="217">
        <f t="shared" si="787"/>
        <v>3.6994456509367137</v>
      </c>
      <c r="U297" s="217">
        <f t="shared" si="788"/>
        <v>1.0321959301309507</v>
      </c>
      <c r="V297" s="217">
        <f t="shared" si="789"/>
        <v>2.2422557217578816</v>
      </c>
      <c r="W297" s="197">
        <f t="shared" si="790"/>
        <v>350</v>
      </c>
      <c r="X297" s="443">
        <f t="shared" si="848"/>
        <v>287.81520084079034</v>
      </c>
      <c r="Z297" s="217">
        <f t="shared" si="791"/>
        <v>3.2279739756929797</v>
      </c>
      <c r="AA297" s="173">
        <f t="shared" si="792"/>
        <v>1.9564939722389074</v>
      </c>
      <c r="AB297" s="173">
        <f t="shared" si="793"/>
        <v>0.68574706469151303</v>
      </c>
      <c r="AC297" s="173"/>
      <c r="AD297" s="173">
        <f t="shared" si="794"/>
        <v>1.3469019315187483</v>
      </c>
      <c r="AE297" s="545">
        <f t="shared" si="795"/>
        <v>811.45738799704679</v>
      </c>
      <c r="AF297" s="528">
        <f t="shared" si="796"/>
        <v>0.34937139545894647</v>
      </c>
      <c r="AH297" s="173">
        <f t="shared" si="797"/>
        <v>3.4556785564797958</v>
      </c>
      <c r="AI297" s="173">
        <f t="shared" si="798"/>
        <v>3.6994456509367137</v>
      </c>
      <c r="AJ297" s="173">
        <f t="shared" si="799"/>
        <v>2.2942395768255492</v>
      </c>
      <c r="AL297" s="545">
        <f t="shared" si="800"/>
        <v>810</v>
      </c>
      <c r="AM297" s="460">
        <f t="shared" si="801"/>
        <v>287.81520084079034</v>
      </c>
      <c r="AO297">
        <f t="shared" si="802"/>
        <v>810</v>
      </c>
      <c r="AP297">
        <f t="shared" si="803"/>
        <v>287.81520084079034</v>
      </c>
      <c r="AR297" s="5">
        <f t="shared" si="774"/>
        <v>3.4744516518888324</v>
      </c>
      <c r="AS297" s="5">
        <f t="shared" si="739"/>
        <v>1.0321959301309507</v>
      </c>
      <c r="AT297" s="5">
        <f t="shared" si="740"/>
        <v>2.4422557217578817</v>
      </c>
      <c r="AU297" s="173">
        <f t="shared" si="741"/>
        <v>0.29708167893768594</v>
      </c>
      <c r="BA297" s="173">
        <f t="shared" si="849"/>
        <v>1.1641634467888278</v>
      </c>
      <c r="BB297" s="173">
        <f t="shared" si="850"/>
        <v>1.194412361652788</v>
      </c>
      <c r="BC297" s="173">
        <f t="shared" si="851"/>
        <v>0.11960264324117779</v>
      </c>
      <c r="BD297" s="173"/>
      <c r="BE297" s="528">
        <f t="shared" si="852"/>
        <v>5.4211061233569752E-2</v>
      </c>
      <c r="BF297" s="528">
        <f t="shared" si="804"/>
        <v>1.2538940666550944</v>
      </c>
      <c r="BG297" s="528">
        <f t="shared" si="805"/>
        <v>0.41261805513565897</v>
      </c>
      <c r="BH297" s="528">
        <f t="shared" si="853"/>
        <v>0.137977311042673</v>
      </c>
      <c r="BI297">
        <f t="shared" si="854"/>
        <v>1.6128241686734036E-2</v>
      </c>
      <c r="BJ297" s="460">
        <f t="shared" si="855"/>
        <v>428.74629682239299</v>
      </c>
      <c r="BK297">
        <f t="shared" si="806"/>
        <v>1.4797798004339502</v>
      </c>
      <c r="BL297" s="460">
        <f t="shared" si="856"/>
        <v>1874.8287357537304</v>
      </c>
      <c r="BM297" s="173">
        <f t="shared" si="807"/>
        <v>0.70307999999999993</v>
      </c>
      <c r="BN297" s="173">
        <f t="shared" si="808"/>
        <v>5.0220000000000008E-2</v>
      </c>
      <c r="BQ297" s="460">
        <f t="shared" si="857"/>
        <v>753.3</v>
      </c>
      <c r="BR297" s="528">
        <f t="shared" si="858"/>
        <v>4.0658295925177314E-2</v>
      </c>
      <c r="BS297" s="528">
        <f t="shared" si="859"/>
        <v>4.2798626690069709E-2</v>
      </c>
      <c r="BT297" s="528">
        <f t="shared" si="860"/>
        <v>7.1523961351382262E-5</v>
      </c>
      <c r="BU297" s="528">
        <f t="shared" si="861"/>
        <v>1.8496772334314551</v>
      </c>
      <c r="BV297" s="528"/>
      <c r="BW297" s="625">
        <f t="shared" si="862"/>
        <v>0.78780190346263357</v>
      </c>
      <c r="BX297" s="460">
        <f t="shared" si="863"/>
        <v>2721.0075834706872</v>
      </c>
      <c r="BY297" s="173">
        <f t="shared" si="864"/>
        <v>5.3491363192244172</v>
      </c>
      <c r="BZ297" s="5">
        <f t="shared" si="865"/>
        <v>20.898000000000003</v>
      </c>
      <c r="CA297" s="173">
        <f t="shared" si="866"/>
        <v>0.79620114536813291</v>
      </c>
      <c r="CB297" s="5">
        <f t="shared" si="867"/>
        <v>79.62011453681329</v>
      </c>
      <c r="CC297">
        <f t="shared" si="868"/>
        <v>81</v>
      </c>
      <c r="CE297" s="562">
        <f t="shared" si="809"/>
        <v>-50</v>
      </c>
      <c r="CG297" s="173">
        <f t="shared" si="810"/>
        <v>0.67907798870528813</v>
      </c>
      <c r="CH297" s="173">
        <f t="shared" si="811"/>
        <v>0.18572219042655352</v>
      </c>
      <c r="CI297" s="170">
        <v>81</v>
      </c>
      <c r="CJ297" s="217">
        <f t="shared" si="869"/>
        <v>0.81</v>
      </c>
      <c r="CK297" s="217">
        <f t="shared" si="812"/>
        <v>8.1000000000000016E-2</v>
      </c>
      <c r="CL297" s="217">
        <f t="shared" si="813"/>
        <v>19.440000000000001</v>
      </c>
      <c r="CM297" s="217">
        <f t="shared" si="814"/>
        <v>1.4580000000000002</v>
      </c>
      <c r="CN297" s="541">
        <f t="shared" si="815"/>
        <v>36</v>
      </c>
      <c r="CO297" s="443">
        <f t="shared" si="816"/>
        <v>16.474900000000002</v>
      </c>
      <c r="CP297" s="443">
        <f t="shared" si="817"/>
        <v>52.474900000000005</v>
      </c>
      <c r="CQ297" s="443"/>
      <c r="CR297" s="217">
        <f t="shared" si="818"/>
        <v>0.31220924123305599</v>
      </c>
      <c r="CS297" s="172">
        <f t="shared" si="819"/>
        <v>58.085440229405762</v>
      </c>
      <c r="CT297" s="172">
        <f t="shared" si="820"/>
        <v>4.683138618495839</v>
      </c>
      <c r="CU297" s="217">
        <f t="shared" si="821"/>
        <v>2.4202266762252402</v>
      </c>
      <c r="CV297" s="217">
        <f t="shared" si="822"/>
        <v>3.2269689016336534</v>
      </c>
      <c r="CW297" s="217">
        <f t="shared" si="823"/>
        <v>24</v>
      </c>
      <c r="CX297" s="217">
        <f t="shared" si="824"/>
        <v>3.7186599455374361</v>
      </c>
      <c r="CY297" s="217">
        <f t="shared" si="825"/>
        <v>1.0329610959826212</v>
      </c>
      <c r="CZ297" s="217">
        <f t="shared" si="826"/>
        <v>2.2571669300192632</v>
      </c>
      <c r="DA297" s="197">
        <f t="shared" si="827"/>
        <v>350</v>
      </c>
      <c r="DB297" s="443">
        <f t="shared" si="828"/>
        <v>303.93954037563259</v>
      </c>
      <c r="DD297" s="217">
        <f t="shared" si="829"/>
        <v>3.2292794133140656</v>
      </c>
      <c r="DE297" s="173">
        <f t="shared" si="830"/>
        <v>1.9601207978889497</v>
      </c>
      <c r="DF297" s="173">
        <f t="shared" si="831"/>
        <v>0.6872960992823488</v>
      </c>
      <c r="DG297" s="173"/>
      <c r="DH297" s="173">
        <f t="shared" si="832"/>
        <v>1.3488532386977903</v>
      </c>
      <c r="DI297" s="545">
        <f t="shared" si="833"/>
        <v>810.28349999999989</v>
      </c>
      <c r="DJ297" s="528">
        <f t="shared" si="834"/>
        <v>0.34987754285999911</v>
      </c>
      <c r="DL297" s="173">
        <f t="shared" si="835"/>
        <v>3.4556785564797958</v>
      </c>
      <c r="DM297" s="173">
        <f t="shared" si="836"/>
        <v>3.7186599455374361</v>
      </c>
      <c r="DN297" s="173">
        <f t="shared" si="837"/>
        <v>2.308472387640899</v>
      </c>
      <c r="DP297" s="545">
        <f t="shared" si="838"/>
        <v>810</v>
      </c>
      <c r="DQ297" s="460">
        <f t="shared" si="839"/>
        <v>303.93954037563259</v>
      </c>
      <c r="DS297">
        <f t="shared" si="840"/>
        <v>810</v>
      </c>
      <c r="DT297">
        <f t="shared" si="841"/>
        <v>303.93954037563259</v>
      </c>
      <c r="DV297" s="5">
        <f t="shared" si="870"/>
        <v>3.2901280260018839</v>
      </c>
      <c r="DW297" s="5">
        <f t="shared" si="842"/>
        <v>1.0329610959826212</v>
      </c>
      <c r="DX297" s="5">
        <f t="shared" si="843"/>
        <v>2.2571669300192627</v>
      </c>
      <c r="DY297" s="173">
        <f t="shared" si="844"/>
        <v>0.31395772073886763</v>
      </c>
      <c r="EA297" s="5">
        <f t="shared" si="871"/>
        <v>3.486243698941347</v>
      </c>
      <c r="EB297" s="5">
        <f t="shared" si="872"/>
        <v>0.46483249319217967</v>
      </c>
      <c r="EC297" s="5">
        <f t="shared" si="873"/>
        <v>1.0157251185086682</v>
      </c>
      <c r="ED297" s="5"/>
      <c r="EE297" s="173">
        <f t="shared" si="874"/>
        <v>1.2029883521675298</v>
      </c>
      <c r="EF297" s="173">
        <f t="shared" si="875"/>
        <v>1.1861158599818742</v>
      </c>
      <c r="EG297" s="173">
        <f t="shared" si="876"/>
        <v>0.11877187192521198</v>
      </c>
      <c r="EH297" s="173"/>
      <c r="EI297" s="528">
        <f t="shared" si="877"/>
        <v>5.7887239018029946E-2</v>
      </c>
      <c r="EJ297" s="528">
        <f t="shared" si="878"/>
        <v>1.6310151000000004</v>
      </c>
      <c r="EK297" s="528">
        <f t="shared" si="879"/>
        <v>6.0787908075126511E-2</v>
      </c>
      <c r="EL297" s="528">
        <f t="shared" si="880"/>
        <v>0.14646319047265977</v>
      </c>
      <c r="EM297">
        <f t="shared" si="881"/>
        <v>1.6199999999999999E-2</v>
      </c>
      <c r="EN297" s="460">
        <f t="shared" si="882"/>
        <v>76.987908075126512</v>
      </c>
      <c r="EP297" s="460">
        <f t="shared" si="883"/>
        <v>1912.3534375658164</v>
      </c>
      <c r="EQ297" s="173">
        <f t="shared" si="884"/>
        <v>0.56699999999999995</v>
      </c>
      <c r="ER297" s="173">
        <f t="shared" si="845"/>
        <v>5.0220000000000008E-2</v>
      </c>
      <c r="ES297" s="528"/>
      <c r="EU297" s="460">
        <f t="shared" si="885"/>
        <v>617.22</v>
      </c>
      <c r="EV297" s="528">
        <f t="shared" si="886"/>
        <v>4.3415429263522452E-2</v>
      </c>
      <c r="EW297" s="528">
        <f t="shared" si="887"/>
        <v>4.2206124999016228E-2</v>
      </c>
      <c r="EX297" s="528">
        <f t="shared" si="888"/>
        <v>7.0533787803094783E-5</v>
      </c>
      <c r="EY297" s="528">
        <f t="shared" si="889"/>
        <v>2.1473566184574651</v>
      </c>
      <c r="EZ297" s="528"/>
      <c r="FA297" s="625">
        <f t="shared" si="890"/>
        <v>0.84060144050677543</v>
      </c>
      <c r="FB297" s="460">
        <f t="shared" si="891"/>
        <v>3073.6501470145822</v>
      </c>
      <c r="FC297" s="173">
        <f t="shared" si="892"/>
        <v>5.6032235845803982</v>
      </c>
      <c r="FD297" s="5">
        <f t="shared" si="893"/>
        <v>20.898000000000003</v>
      </c>
      <c r="FE297" s="173">
        <f t="shared" si="894"/>
        <v>0.78856736306165864</v>
      </c>
      <c r="FF297" s="5">
        <f t="shared" si="895"/>
        <v>78.856736306165871</v>
      </c>
      <c r="FG297">
        <f t="shared" si="896"/>
        <v>81</v>
      </c>
      <c r="FI297" s="562">
        <f t="shared" si="846"/>
        <v>-50</v>
      </c>
    </row>
    <row r="298" spans="5:165">
      <c r="E298" s="170">
        <v>82</v>
      </c>
      <c r="F298" s="217">
        <f t="shared" si="847"/>
        <v>0.82</v>
      </c>
      <c r="G298" s="217">
        <f t="shared" si="775"/>
        <v>8.2000000000000003E-2</v>
      </c>
      <c r="H298" s="217">
        <f t="shared" si="776"/>
        <v>19.68</v>
      </c>
      <c r="I298" s="217">
        <f t="shared" si="777"/>
        <v>1.476</v>
      </c>
      <c r="J298" s="541">
        <f t="shared" si="778"/>
        <v>35.838568403626638</v>
      </c>
      <c r="K298" s="443">
        <f t="shared" si="779"/>
        <v>16.499062467747311</v>
      </c>
      <c r="L298" s="172">
        <f t="shared" si="780"/>
        <v>52.337630871373946</v>
      </c>
      <c r="M298" s="443"/>
      <c r="N298" s="217">
        <f t="shared" si="781"/>
        <v>0.31524282228776751</v>
      </c>
      <c r="O298" s="172">
        <f t="shared" si="782"/>
        <v>58.386829200581239</v>
      </c>
      <c r="P298" s="172">
        <f t="shared" si="783"/>
        <v>4.7074381042968625</v>
      </c>
      <c r="Q298" s="217">
        <f t="shared" si="784"/>
        <v>2.4327845500242185</v>
      </c>
      <c r="R298" s="217">
        <f t="shared" si="785"/>
        <v>3.2437127333656246</v>
      </c>
      <c r="S298" s="217">
        <f t="shared" si="786"/>
        <v>24</v>
      </c>
      <c r="T298" s="217">
        <f t="shared" si="787"/>
        <v>3.7451368683759556</v>
      </c>
      <c r="U298" s="217">
        <f t="shared" si="788"/>
        <v>1.0450018053726084</v>
      </c>
      <c r="V298" s="217">
        <f t="shared" si="789"/>
        <v>2.2699088967612688</v>
      </c>
      <c r="W298" s="197">
        <f t="shared" si="790"/>
        <v>350</v>
      </c>
      <c r="X298" s="443">
        <f t="shared" si="848"/>
        <v>284.50224905938774</v>
      </c>
      <c r="Z298" s="217">
        <f t="shared" si="791"/>
        <v>3.2279575572321346</v>
      </c>
      <c r="AA298" s="173">
        <f t="shared" si="792"/>
        <v>1.9564490791778073</v>
      </c>
      <c r="AB298" s="173">
        <f t="shared" si="793"/>
        <v>0.68572784192821123</v>
      </c>
      <c r="AC298" s="173"/>
      <c r="AD298" s="173">
        <f t="shared" si="794"/>
        <v>1.3468778765861793</v>
      </c>
      <c r="AE298" s="545">
        <f t="shared" si="795"/>
        <v>821.49005180492952</v>
      </c>
      <c r="AF298" s="528">
        <f t="shared" si="796"/>
        <v>0.34936515587671513</v>
      </c>
      <c r="AH298" s="173">
        <f t="shared" si="797"/>
        <v>3.4769444713919224</v>
      </c>
      <c r="AI298" s="173">
        <f t="shared" si="798"/>
        <v>3.7451368683759556</v>
      </c>
      <c r="AJ298" s="173">
        <f t="shared" si="799"/>
        <v>2.3280849230768395</v>
      </c>
      <c r="AL298" s="545">
        <f t="shared" si="800"/>
        <v>820</v>
      </c>
      <c r="AM298" s="460">
        <f t="shared" si="801"/>
        <v>284.50224905938774</v>
      </c>
      <c r="AO298">
        <f t="shared" si="802"/>
        <v>820</v>
      </c>
      <c r="AP298">
        <f t="shared" si="803"/>
        <v>284.50224905938774</v>
      </c>
      <c r="AR298" s="5">
        <f t="shared" si="774"/>
        <v>3.5149107021338781</v>
      </c>
      <c r="AS298" s="5">
        <f t="shared" si="739"/>
        <v>1.0450018053726084</v>
      </c>
      <c r="AT298" s="5">
        <f t="shared" si="740"/>
        <v>2.4699088967612699</v>
      </c>
      <c r="AU298" s="173">
        <f t="shared" si="741"/>
        <v>0.29730536389962769</v>
      </c>
      <c r="BA298" s="173">
        <f t="shared" si="849"/>
        <v>1.1789854321613646</v>
      </c>
      <c r="BB298" s="173">
        <f t="shared" si="850"/>
        <v>1.2089719360370783</v>
      </c>
      <c r="BC298" s="173">
        <f t="shared" si="851"/>
        <v>0.12106056818965875</v>
      </c>
      <c r="BD298" s="173"/>
      <c r="BE298" s="528">
        <f t="shared" si="852"/>
        <v>5.5600265969948791E-2</v>
      </c>
      <c r="BF298" s="528">
        <f t="shared" si="804"/>
        <v>1.2547291156981113</v>
      </c>
      <c r="BG298" s="528">
        <f t="shared" si="805"/>
        <v>0.40784613255601959</v>
      </c>
      <c r="BH298" s="528">
        <f t="shared" si="853"/>
        <v>0.13638037251527188</v>
      </c>
      <c r="BI298">
        <f t="shared" si="854"/>
        <v>1.6127355781631988E-2</v>
      </c>
      <c r="BJ298" s="460">
        <f t="shared" si="855"/>
        <v>423.97348833765159</v>
      </c>
      <c r="BK298">
        <f t="shared" si="806"/>
        <v>1.4812905979259137</v>
      </c>
      <c r="BL298" s="460">
        <f t="shared" si="856"/>
        <v>1870.6832425209836</v>
      </c>
      <c r="BM298" s="173">
        <f t="shared" si="807"/>
        <v>0.71175999999999995</v>
      </c>
      <c r="BN298" s="173">
        <f t="shared" si="808"/>
        <v>5.0840000000000003E-2</v>
      </c>
      <c r="BQ298" s="460">
        <f t="shared" si="857"/>
        <v>762.59999999999991</v>
      </c>
      <c r="BR298" s="528">
        <f t="shared" si="858"/>
        <v>4.1700199477461591E-2</v>
      </c>
      <c r="BS298" s="528">
        <f t="shared" si="859"/>
        <v>4.3848394263757237E-2</v>
      </c>
      <c r="BT298" s="528">
        <f t="shared" si="860"/>
        <v>7.3278305852015086E-5</v>
      </c>
      <c r="BU298" s="528">
        <f t="shared" si="861"/>
        <v>1.8529064748544484</v>
      </c>
      <c r="BV298" s="528"/>
      <c r="BW298" s="625">
        <f t="shared" si="862"/>
        <v>0.7980885633511966</v>
      </c>
      <c r="BX298" s="460">
        <f t="shared" si="863"/>
        <v>2736.616910252716</v>
      </c>
      <c r="BY298" s="173">
        <f t="shared" si="864"/>
        <v>5.3699001527736998</v>
      </c>
      <c r="BZ298" s="5">
        <f t="shared" si="865"/>
        <v>21.155999999999999</v>
      </c>
      <c r="CA298" s="173">
        <f t="shared" si="866"/>
        <v>0.79756011589253484</v>
      </c>
      <c r="CB298" s="5">
        <f t="shared" si="867"/>
        <v>79.75601158925349</v>
      </c>
      <c r="CC298">
        <f t="shared" si="868"/>
        <v>82</v>
      </c>
      <c r="CE298" s="562">
        <f t="shared" si="809"/>
        <v>-50</v>
      </c>
      <c r="CG298" s="173">
        <f t="shared" si="810"/>
        <v>0.67907798870528813</v>
      </c>
      <c r="CH298" s="173">
        <f t="shared" si="811"/>
        <v>0.18572219042655352</v>
      </c>
      <c r="CI298" s="170">
        <v>82</v>
      </c>
      <c r="CJ298" s="217">
        <f t="shared" si="869"/>
        <v>0.82</v>
      </c>
      <c r="CK298" s="217">
        <f t="shared" si="812"/>
        <v>8.2000000000000003E-2</v>
      </c>
      <c r="CL298" s="217">
        <f t="shared" si="813"/>
        <v>19.68</v>
      </c>
      <c r="CM298" s="217">
        <f t="shared" si="814"/>
        <v>1.476</v>
      </c>
      <c r="CN298" s="541">
        <f t="shared" si="815"/>
        <v>36</v>
      </c>
      <c r="CO298" s="443">
        <f t="shared" si="816"/>
        <v>16.474900000000002</v>
      </c>
      <c r="CP298" s="443">
        <f t="shared" si="817"/>
        <v>52.474900000000005</v>
      </c>
      <c r="CQ298" s="443"/>
      <c r="CR298" s="217">
        <f t="shared" si="818"/>
        <v>0.31220924123305599</v>
      </c>
      <c r="CS298" s="172">
        <f t="shared" si="819"/>
        <v>58.085440229405762</v>
      </c>
      <c r="CT298" s="172">
        <f t="shared" si="820"/>
        <v>4.683138618495839</v>
      </c>
      <c r="CU298" s="217">
        <f t="shared" si="821"/>
        <v>2.4202266762252402</v>
      </c>
      <c r="CV298" s="217">
        <f t="shared" si="822"/>
        <v>3.2269689016336534</v>
      </c>
      <c r="CW298" s="217">
        <f t="shared" si="823"/>
        <v>24</v>
      </c>
      <c r="CX298" s="217">
        <f t="shared" si="824"/>
        <v>3.7645693275811074</v>
      </c>
      <c r="CY298" s="217">
        <f t="shared" si="825"/>
        <v>1.0457137021058631</v>
      </c>
      <c r="CZ298" s="217">
        <f t="shared" si="826"/>
        <v>2.2850331884145625</v>
      </c>
      <c r="DA298" s="197">
        <f t="shared" si="827"/>
        <v>350</v>
      </c>
      <c r="DB298" s="443">
        <f t="shared" si="828"/>
        <v>300.23296061495415</v>
      </c>
      <c r="DD298" s="217">
        <f t="shared" si="829"/>
        <v>3.2292794133140656</v>
      </c>
      <c r="DE298" s="173">
        <f t="shared" si="830"/>
        <v>1.9601207978889497</v>
      </c>
      <c r="DF298" s="173">
        <f t="shared" si="831"/>
        <v>0.6872960992823488</v>
      </c>
      <c r="DG298" s="173"/>
      <c r="DH298" s="173">
        <f t="shared" si="832"/>
        <v>1.3488532386977903</v>
      </c>
      <c r="DI298" s="545">
        <f t="shared" si="833"/>
        <v>820.28699999999969</v>
      </c>
      <c r="DJ298" s="528">
        <f t="shared" si="834"/>
        <v>0.34987754285999911</v>
      </c>
      <c r="DL298" s="173">
        <f t="shared" si="835"/>
        <v>3.4769444713919224</v>
      </c>
      <c r="DM298" s="173">
        <f t="shared" si="836"/>
        <v>3.7645693275811074</v>
      </c>
      <c r="DN298" s="173">
        <f t="shared" si="837"/>
        <v>2.3424793373028776</v>
      </c>
      <c r="DP298" s="545">
        <f t="shared" si="838"/>
        <v>820</v>
      </c>
      <c r="DQ298" s="460">
        <f t="shared" si="839"/>
        <v>300.23296061495415</v>
      </c>
      <c r="DS298">
        <f t="shared" si="840"/>
        <v>820</v>
      </c>
      <c r="DT298">
        <f t="shared" si="841"/>
        <v>300.23296061495415</v>
      </c>
      <c r="DV298" s="5">
        <f t="shared" si="870"/>
        <v>3.3307468905204258</v>
      </c>
      <c r="DW298" s="5">
        <f t="shared" si="842"/>
        <v>1.0457137021058631</v>
      </c>
      <c r="DX298" s="5">
        <f t="shared" si="843"/>
        <v>2.2850331884145625</v>
      </c>
      <c r="DY298" s="173">
        <f t="shared" si="844"/>
        <v>0.31395772073886752</v>
      </c>
      <c r="EA298" s="5">
        <f t="shared" si="871"/>
        <v>3.5728551488616986</v>
      </c>
      <c r="EB298" s="5">
        <f t="shared" si="872"/>
        <v>0.47638068651489324</v>
      </c>
      <c r="EC298" s="5">
        <f t="shared" si="873"/>
        <v>1.0409595636110782</v>
      </c>
      <c r="ED298" s="5"/>
      <c r="EE298" s="173">
        <f t="shared" si="874"/>
        <v>1.2178400602189803</v>
      </c>
      <c r="EF298" s="173">
        <f t="shared" si="875"/>
        <v>1.2007592656606625</v>
      </c>
      <c r="EG298" s="173">
        <f t="shared" si="876"/>
        <v>0.12023819133169605</v>
      </c>
      <c r="EH298" s="173"/>
      <c r="EI298" s="528">
        <f t="shared" si="877"/>
        <v>5.932537649096678E-2</v>
      </c>
      <c r="EJ298" s="528">
        <f t="shared" si="878"/>
        <v>1.6310151000000002</v>
      </c>
      <c r="EK298" s="528">
        <f t="shared" si="879"/>
        <v>6.0046592122990829E-2</v>
      </c>
      <c r="EL298" s="528">
        <f t="shared" si="880"/>
        <v>0.14467705400348099</v>
      </c>
      <c r="EM298">
        <f t="shared" si="881"/>
        <v>1.6199999999999999E-2</v>
      </c>
      <c r="EN298" s="460">
        <f t="shared" si="882"/>
        <v>76.246592122990833</v>
      </c>
      <c r="EP298" s="460">
        <f t="shared" si="883"/>
        <v>1911.2641226174387</v>
      </c>
      <c r="EQ298" s="173">
        <f t="shared" si="884"/>
        <v>0.57399999999999995</v>
      </c>
      <c r="ER298" s="173">
        <f t="shared" si="845"/>
        <v>5.0840000000000003E-2</v>
      </c>
      <c r="ES298" s="528"/>
      <c r="EU298" s="460">
        <f t="shared" si="885"/>
        <v>624.83999999999992</v>
      </c>
      <c r="EV298" s="528">
        <f t="shared" si="886"/>
        <v>4.4494032368225078E-2</v>
      </c>
      <c r="EW298" s="528">
        <f t="shared" si="887"/>
        <v>4.3254684422097997E-2</v>
      </c>
      <c r="EX298" s="528">
        <f t="shared" si="888"/>
        <v>7.228611327358774E-5</v>
      </c>
      <c r="EY298" s="528">
        <f t="shared" si="889"/>
        <v>2.1473566184574668</v>
      </c>
      <c r="EZ298" s="528"/>
      <c r="FA298" s="625">
        <f t="shared" si="890"/>
        <v>0.85097923606858727</v>
      </c>
      <c r="FB298" s="460">
        <f t="shared" si="891"/>
        <v>3086.1568574296507</v>
      </c>
      <c r="FC298" s="173">
        <f t="shared" si="892"/>
        <v>5.6222609800470895</v>
      </c>
      <c r="FD298" s="5">
        <f t="shared" si="893"/>
        <v>21.155999999999999</v>
      </c>
      <c r="FE298" s="173">
        <f t="shared" si="894"/>
        <v>0.7900438350258695</v>
      </c>
      <c r="FF298" s="5">
        <f t="shared" si="895"/>
        <v>79.004383502586947</v>
      </c>
      <c r="FG298">
        <f t="shared" si="896"/>
        <v>82</v>
      </c>
      <c r="FI298" s="562">
        <f t="shared" si="846"/>
        <v>-50</v>
      </c>
    </row>
    <row r="299" spans="5:165">
      <c r="E299" s="170">
        <v>83</v>
      </c>
      <c r="F299" s="217">
        <f t="shared" si="847"/>
        <v>0.83</v>
      </c>
      <c r="G299" s="217">
        <f t="shared" si="775"/>
        <v>8.3000000000000004E-2</v>
      </c>
      <c r="H299" s="217">
        <f t="shared" si="776"/>
        <v>19.919999999999998</v>
      </c>
      <c r="I299" s="217">
        <f t="shared" si="777"/>
        <v>1.494</v>
      </c>
      <c r="J299" s="541">
        <f t="shared" si="778"/>
        <v>35.836599725622079</v>
      </c>
      <c r="K299" s="443">
        <f t="shared" si="779"/>
        <v>16.49935713198813</v>
      </c>
      <c r="L299" s="172">
        <f t="shared" si="780"/>
        <v>52.335956857610213</v>
      </c>
      <c r="M299" s="443"/>
      <c r="N299" s="217">
        <f t="shared" si="781"/>
        <v>0.31525853586431457</v>
      </c>
      <c r="O299" s="172">
        <f t="shared" si="782"/>
        <v>58.386532092274486</v>
      </c>
      <c r="P299" s="172">
        <f t="shared" si="783"/>
        <v>4.7074141499396305</v>
      </c>
      <c r="Q299" s="217">
        <f t="shared" si="784"/>
        <v>2.4327721705114369</v>
      </c>
      <c r="R299" s="217">
        <f t="shared" si="785"/>
        <v>3.2436962273485825</v>
      </c>
      <c r="S299" s="217">
        <f t="shared" si="786"/>
        <v>24</v>
      </c>
      <c r="T299" s="217">
        <f t="shared" si="787"/>
        <v>3.790828559290635</v>
      </c>
      <c r="U299" s="217">
        <f t="shared" si="788"/>
        <v>1.0578092197124127</v>
      </c>
      <c r="V299" s="217">
        <f t="shared" si="789"/>
        <v>2.2975613710070961</v>
      </c>
      <c r="W299" s="197">
        <f t="shared" si="790"/>
        <v>350</v>
      </c>
      <c r="X299" s="443">
        <f t="shared" si="848"/>
        <v>281.26463176870334</v>
      </c>
      <c r="Z299" s="217">
        <f t="shared" si="791"/>
        <v>3.2279411313871753</v>
      </c>
      <c r="AA299" s="173">
        <f t="shared" si="792"/>
        <v>1.9564041832448154</v>
      </c>
      <c r="AB299" s="173">
        <f t="shared" si="793"/>
        <v>0.68570861674979233</v>
      </c>
      <c r="AC299" s="173"/>
      <c r="AD299" s="173">
        <f t="shared" si="794"/>
        <v>1.346853822512811</v>
      </c>
      <c r="AE299" s="545">
        <f t="shared" si="795"/>
        <v>831.52307345094562</v>
      </c>
      <c r="AF299" s="528">
        <f t="shared" si="796"/>
        <v>0.34935891651735085</v>
      </c>
      <c r="AH299" s="173">
        <f t="shared" si="797"/>
        <v>3.4980811066313806</v>
      </c>
      <c r="AI299" s="173">
        <f t="shared" si="798"/>
        <v>3.790828559290635</v>
      </c>
      <c r="AJ299" s="173">
        <f t="shared" si="799"/>
        <v>2.3619306200506758</v>
      </c>
      <c r="AL299" s="545">
        <f t="shared" si="800"/>
        <v>830</v>
      </c>
      <c r="AM299" s="460">
        <f t="shared" si="801"/>
        <v>281.26463176870334</v>
      </c>
      <c r="AO299">
        <f t="shared" si="802"/>
        <v>830</v>
      </c>
      <c r="AP299">
        <f t="shared" si="803"/>
        <v>281.26463176870334</v>
      </c>
      <c r="AR299" s="5">
        <f t="shared" si="774"/>
        <v>3.5553705907195092</v>
      </c>
      <c r="AS299" s="5">
        <f t="shared" si="739"/>
        <v>1.0578092197124127</v>
      </c>
      <c r="AT299" s="5">
        <f t="shared" si="740"/>
        <v>2.4975613710070963</v>
      </c>
      <c r="AU299" s="173">
        <f t="shared" si="741"/>
        <v>0.29752432066395118</v>
      </c>
      <c r="BA299" s="173">
        <f t="shared" si="849"/>
        <v>1.1938087359478773</v>
      </c>
      <c r="BB299" s="173">
        <f t="shared" si="850"/>
        <v>1.2235310550987575</v>
      </c>
      <c r="BC299" s="173">
        <f t="shared" si="851"/>
        <v>0.12251844754434853</v>
      </c>
      <c r="BD299" s="173"/>
      <c r="BE299" s="528">
        <f t="shared" si="852"/>
        <v>5.7007171921018743E-2</v>
      </c>
      <c r="BF299" s="528">
        <f t="shared" si="804"/>
        <v>1.2555440521893191</v>
      </c>
      <c r="BG299" s="528">
        <f t="shared" si="805"/>
        <v>0.40318272102678038</v>
      </c>
      <c r="BH299" s="528">
        <f t="shared" si="853"/>
        <v>0.13481974784470568</v>
      </c>
      <c r="BI299">
        <f t="shared" si="854"/>
        <v>1.6126469876529936E-2</v>
      </c>
      <c r="BJ299" s="460">
        <f t="shared" si="855"/>
        <v>419.30919090331031</v>
      </c>
      <c r="BK299">
        <f t="shared" si="806"/>
        <v>1.4828479414592013</v>
      </c>
      <c r="BL299" s="460">
        <f t="shared" si="856"/>
        <v>1866.6801628583539</v>
      </c>
      <c r="BM299" s="173">
        <f t="shared" si="807"/>
        <v>0.72043999999999997</v>
      </c>
      <c r="BN299" s="173">
        <f t="shared" si="808"/>
        <v>5.1460000000000006E-2</v>
      </c>
      <c r="BQ299" s="460">
        <f t="shared" si="857"/>
        <v>771.9</v>
      </c>
      <c r="BR299" s="528">
        <f t="shared" si="858"/>
        <v>4.2755378940764054E-2</v>
      </c>
      <c r="BS299" s="528">
        <f t="shared" si="859"/>
        <v>4.4910847283732361E-2</v>
      </c>
      <c r="BT299" s="528">
        <f t="shared" si="860"/>
        <v>7.5053849943386411E-5</v>
      </c>
      <c r="BU299" s="528">
        <f t="shared" si="861"/>
        <v>1.8560649718424502</v>
      </c>
      <c r="BV299" s="528"/>
      <c r="BW299" s="625">
        <f t="shared" si="862"/>
        <v>0.80837599340243982</v>
      </c>
      <c r="BX299" s="460">
        <f t="shared" si="863"/>
        <v>2752.1822453193295</v>
      </c>
      <c r="BY299" s="173">
        <f t="shared" si="864"/>
        <v>5.3907624081776842</v>
      </c>
      <c r="BZ299" s="5">
        <f t="shared" si="865"/>
        <v>21.413999999999998</v>
      </c>
      <c r="CA299" s="173">
        <f t="shared" si="866"/>
        <v>0.79888788693262014</v>
      </c>
      <c r="CB299" s="5">
        <f t="shared" si="867"/>
        <v>79.888788693262015</v>
      </c>
      <c r="CC299">
        <f t="shared" si="868"/>
        <v>83</v>
      </c>
      <c r="CE299" s="562">
        <f t="shared" si="809"/>
        <v>-50</v>
      </c>
      <c r="CG299" s="173">
        <f t="shared" si="810"/>
        <v>0.67907798870528813</v>
      </c>
      <c r="CH299" s="173">
        <f t="shared" si="811"/>
        <v>0.1857221904265535</v>
      </c>
      <c r="CI299" s="170">
        <v>83</v>
      </c>
      <c r="CJ299" s="217">
        <f t="shared" si="869"/>
        <v>0.83</v>
      </c>
      <c r="CK299" s="217">
        <f t="shared" si="812"/>
        <v>8.3000000000000004E-2</v>
      </c>
      <c r="CL299" s="217">
        <f t="shared" si="813"/>
        <v>19.919999999999998</v>
      </c>
      <c r="CM299" s="217">
        <f t="shared" si="814"/>
        <v>1.494</v>
      </c>
      <c r="CN299" s="541">
        <f t="shared" si="815"/>
        <v>36</v>
      </c>
      <c r="CO299" s="443">
        <f t="shared" si="816"/>
        <v>16.474900000000002</v>
      </c>
      <c r="CP299" s="443">
        <f t="shared" si="817"/>
        <v>52.474900000000005</v>
      </c>
      <c r="CQ299" s="443"/>
      <c r="CR299" s="217">
        <f t="shared" si="818"/>
        <v>0.31220924123305599</v>
      </c>
      <c r="CS299" s="172">
        <f t="shared" si="819"/>
        <v>58.085440229405762</v>
      </c>
      <c r="CT299" s="172">
        <f t="shared" si="820"/>
        <v>4.683138618495839</v>
      </c>
      <c r="CU299" s="217">
        <f t="shared" si="821"/>
        <v>2.4202266762252402</v>
      </c>
      <c r="CV299" s="217">
        <f t="shared" si="822"/>
        <v>3.2269689016336534</v>
      </c>
      <c r="CW299" s="217">
        <f t="shared" si="823"/>
        <v>24</v>
      </c>
      <c r="CX299" s="217">
        <f t="shared" si="824"/>
        <v>3.8104787096247792</v>
      </c>
      <c r="CY299" s="217">
        <f t="shared" si="825"/>
        <v>1.0584663082291055</v>
      </c>
      <c r="CZ299" s="217">
        <f t="shared" si="826"/>
        <v>2.3128994468098618</v>
      </c>
      <c r="DA299" s="197">
        <f t="shared" si="827"/>
        <v>350</v>
      </c>
      <c r="DB299" s="443">
        <f t="shared" si="828"/>
        <v>296.6156960292318</v>
      </c>
      <c r="DD299" s="217">
        <f t="shared" si="829"/>
        <v>3.2292794133140656</v>
      </c>
      <c r="DE299" s="173">
        <f t="shared" si="830"/>
        <v>1.9601207978889497</v>
      </c>
      <c r="DF299" s="173">
        <f t="shared" si="831"/>
        <v>0.6872960992823488</v>
      </c>
      <c r="DG299" s="173"/>
      <c r="DH299" s="173">
        <f t="shared" si="832"/>
        <v>1.3488532386977903</v>
      </c>
      <c r="DI299" s="545">
        <f t="shared" si="833"/>
        <v>830.29049999999961</v>
      </c>
      <c r="DJ299" s="528">
        <f t="shared" si="834"/>
        <v>0.34987754285999911</v>
      </c>
      <c r="DL299" s="173">
        <f t="shared" si="835"/>
        <v>3.4980811066313806</v>
      </c>
      <c r="DM299" s="173">
        <f t="shared" si="836"/>
        <v>3.8104787096247792</v>
      </c>
      <c r="DN299" s="173">
        <f t="shared" si="837"/>
        <v>2.3764862869648571</v>
      </c>
      <c r="DP299" s="545">
        <f t="shared" si="838"/>
        <v>830</v>
      </c>
      <c r="DQ299" s="460">
        <f t="shared" si="839"/>
        <v>296.6156960292318</v>
      </c>
      <c r="DS299">
        <f t="shared" si="840"/>
        <v>830</v>
      </c>
      <c r="DT299">
        <f t="shared" si="841"/>
        <v>296.6156960292318</v>
      </c>
      <c r="DV299" s="5">
        <f t="shared" si="870"/>
        <v>3.3713657550389677</v>
      </c>
      <c r="DW299" s="5">
        <f t="shared" si="842"/>
        <v>1.0584663082291055</v>
      </c>
      <c r="DX299" s="5">
        <f t="shared" si="843"/>
        <v>2.3128994468098623</v>
      </c>
      <c r="DY299" s="173">
        <f t="shared" si="844"/>
        <v>0.31395772073886752</v>
      </c>
      <c r="EA299" s="5">
        <f t="shared" si="871"/>
        <v>3.6605293159589896</v>
      </c>
      <c r="EB299" s="5">
        <f t="shared" si="872"/>
        <v>0.4880705754611987</v>
      </c>
      <c r="EC299" s="5">
        <f t="shared" si="873"/>
        <v>1.0665036338067695</v>
      </c>
      <c r="ED299" s="5"/>
      <c r="EE299" s="173">
        <f t="shared" si="874"/>
        <v>1.232691768270431</v>
      </c>
      <c r="EF299" s="173">
        <f t="shared" si="875"/>
        <v>1.215402671339451</v>
      </c>
      <c r="EG299" s="173">
        <f t="shared" si="876"/>
        <v>0.12170451073818014</v>
      </c>
      <c r="EH299" s="173"/>
      <c r="EI299" s="528">
        <f t="shared" si="877"/>
        <v>6.0781159822467283E-2</v>
      </c>
      <c r="EJ299" s="528">
        <f t="shared" si="878"/>
        <v>1.6310150999999999</v>
      </c>
      <c r="EK299" s="528">
        <f t="shared" si="879"/>
        <v>5.9323139205846358E-2</v>
      </c>
      <c r="EL299" s="528">
        <f t="shared" si="880"/>
        <v>0.14293395696729447</v>
      </c>
      <c r="EM299">
        <f t="shared" si="881"/>
        <v>1.6199999999999999E-2</v>
      </c>
      <c r="EN299" s="460">
        <f t="shared" si="882"/>
        <v>75.523139205846363</v>
      </c>
      <c r="EP299" s="460">
        <f t="shared" si="883"/>
        <v>1910.253355995608</v>
      </c>
      <c r="EQ299" s="173">
        <f t="shared" si="884"/>
        <v>0.58099999999999996</v>
      </c>
      <c r="ER299" s="173">
        <f t="shared" si="845"/>
        <v>5.1460000000000006E-2</v>
      </c>
      <c r="ES299" s="528"/>
      <c r="EU299" s="460">
        <f t="shared" si="885"/>
        <v>632.46</v>
      </c>
      <c r="EV299" s="528">
        <f t="shared" si="886"/>
        <v>4.5585869866850461E-2</v>
      </c>
      <c r="EW299" s="528">
        <f t="shared" si="887"/>
        <v>4.4316109604972204E-2</v>
      </c>
      <c r="EX299" s="528">
        <f t="shared" si="888"/>
        <v>7.4059939670099032E-5</v>
      </c>
      <c r="EY299" s="528">
        <f t="shared" si="889"/>
        <v>2.1473566184574637</v>
      </c>
      <c r="EZ299" s="528"/>
      <c r="FA299" s="625">
        <f t="shared" si="890"/>
        <v>0.86135703163039923</v>
      </c>
      <c r="FB299" s="460">
        <f t="shared" si="891"/>
        <v>3098.6896894993556</v>
      </c>
      <c r="FC299" s="173">
        <f t="shared" si="892"/>
        <v>5.6414030454949646</v>
      </c>
      <c r="FD299" s="5">
        <f t="shared" si="893"/>
        <v>21.413999999999998</v>
      </c>
      <c r="FE299" s="173">
        <f t="shared" si="894"/>
        <v>0.7914870077518833</v>
      </c>
      <c r="FF299" s="5">
        <f t="shared" si="895"/>
        <v>79.148700775188331</v>
      </c>
      <c r="FG299">
        <f t="shared" si="896"/>
        <v>83</v>
      </c>
      <c r="FI299" s="562">
        <f t="shared" si="846"/>
        <v>-50</v>
      </c>
    </row>
    <row r="300" spans="5:165">
      <c r="E300" s="170">
        <v>84</v>
      </c>
      <c r="F300" s="217">
        <f t="shared" si="847"/>
        <v>0.84</v>
      </c>
      <c r="G300" s="217">
        <f t="shared" si="775"/>
        <v>8.4000000000000005E-2</v>
      </c>
      <c r="H300" s="217">
        <f t="shared" si="776"/>
        <v>20.16</v>
      </c>
      <c r="I300" s="217">
        <f t="shared" si="777"/>
        <v>1.512</v>
      </c>
      <c r="J300" s="541">
        <f t="shared" si="778"/>
        <v>35.834631047617528</v>
      </c>
      <c r="K300" s="443">
        <f t="shared" si="779"/>
        <v>16.499651796228953</v>
      </c>
      <c r="L300" s="172">
        <f t="shared" si="780"/>
        <v>52.334282843846481</v>
      </c>
      <c r="M300" s="443"/>
      <c r="N300" s="217">
        <f t="shared" si="781"/>
        <v>0.31527425044612034</v>
      </c>
      <c r="O300" s="172">
        <f t="shared" si="782"/>
        <v>58.386234850392185</v>
      </c>
      <c r="P300" s="172">
        <f t="shared" si="783"/>
        <v>4.7073901848128701</v>
      </c>
      <c r="Q300" s="217">
        <f t="shared" si="784"/>
        <v>2.4327597854330079</v>
      </c>
      <c r="R300" s="217">
        <f t="shared" si="785"/>
        <v>3.243679713910677</v>
      </c>
      <c r="S300" s="217">
        <f t="shared" si="786"/>
        <v>24</v>
      </c>
      <c r="T300" s="217">
        <f t="shared" si="787"/>
        <v>3.8365207240023862</v>
      </c>
      <c r="U300" s="217">
        <f t="shared" si="788"/>
        <v>1.0706181734937825</v>
      </c>
      <c r="V300" s="217">
        <f t="shared" si="789"/>
        <v>2.3252131447278392</v>
      </c>
      <c r="W300" s="197">
        <f t="shared" si="790"/>
        <v>350</v>
      </c>
      <c r="X300" s="443">
        <f t="shared" si="848"/>
        <v>278.09980822308609</v>
      </c>
      <c r="Z300" s="217">
        <f t="shared" si="791"/>
        <v>3.2279246981573957</v>
      </c>
      <c r="AA300" s="173">
        <f t="shared" si="792"/>
        <v>1.956359284439656</v>
      </c>
      <c r="AB300" s="173">
        <f t="shared" si="793"/>
        <v>0.68568938915613276</v>
      </c>
      <c r="AC300" s="173"/>
      <c r="AD300" s="173">
        <f t="shared" si="794"/>
        <v>1.3468297692985971</v>
      </c>
      <c r="AE300" s="545">
        <f t="shared" si="795"/>
        <v>841.55645293509554</v>
      </c>
      <c r="AF300" s="528">
        <f t="shared" si="796"/>
        <v>0.34935267738084175</v>
      </c>
      <c r="AH300" s="173">
        <f t="shared" si="797"/>
        <v>3.5190907916676428</v>
      </c>
      <c r="AI300" s="173">
        <f t="shared" si="798"/>
        <v>3.8365207240023862</v>
      </c>
      <c r="AJ300" s="173">
        <f t="shared" si="799"/>
        <v>2.3957766679853068</v>
      </c>
      <c r="AL300" s="545">
        <f t="shared" si="800"/>
        <v>840</v>
      </c>
      <c r="AM300" s="460">
        <f t="shared" si="801"/>
        <v>278.09980822308609</v>
      </c>
      <c r="AO300">
        <f t="shared" si="802"/>
        <v>840</v>
      </c>
      <c r="AP300">
        <f t="shared" si="803"/>
        <v>278.09980822308609</v>
      </c>
      <c r="AR300" s="5">
        <f t="shared" si="774"/>
        <v>3.5958313182216224</v>
      </c>
      <c r="AS300" s="5">
        <f t="shared" si="739"/>
        <v>1.0706181734937825</v>
      </c>
      <c r="AT300" s="5">
        <f t="shared" si="740"/>
        <v>2.5252131447278399</v>
      </c>
      <c r="AU300" s="173">
        <f t="shared" si="741"/>
        <v>0.29773870872877162</v>
      </c>
      <c r="BA300" s="173">
        <f t="shared" si="849"/>
        <v>1.2086333438183601</v>
      </c>
      <c r="BB300" s="173">
        <f t="shared" si="850"/>
        <v>1.2380897279781833</v>
      </c>
      <c r="BC300" s="173">
        <f t="shared" si="851"/>
        <v>0.12397628222051806</v>
      </c>
      <c r="BD300" s="173"/>
      <c r="BE300" s="528">
        <f t="shared" si="852"/>
        <v>5.8431782391582011E-2</v>
      </c>
      <c r="BF300" s="528">
        <f t="shared" si="804"/>
        <v>1.2563395543604605</v>
      </c>
      <c r="BG300" s="528">
        <f t="shared" si="805"/>
        <v>0.39862416088349922</v>
      </c>
      <c r="BH300" s="528">
        <f t="shared" si="853"/>
        <v>0.13329421230290056</v>
      </c>
      <c r="BI300">
        <f t="shared" si="854"/>
        <v>1.6125583971427888E-2</v>
      </c>
      <c r="BJ300" s="460">
        <f t="shared" si="855"/>
        <v>414.74974485492709</v>
      </c>
      <c r="BK300">
        <f t="shared" si="806"/>
        <v>1.4844513495435043</v>
      </c>
      <c r="BL300" s="460">
        <f t="shared" si="856"/>
        <v>1862.8152939098704</v>
      </c>
      <c r="BM300" s="173">
        <f t="shared" si="807"/>
        <v>0.72911999999999999</v>
      </c>
      <c r="BN300" s="173">
        <f t="shared" si="808"/>
        <v>5.2080000000000001E-2</v>
      </c>
      <c r="BQ300" s="460">
        <f t="shared" si="857"/>
        <v>781.2</v>
      </c>
      <c r="BR300" s="528">
        <f t="shared" si="858"/>
        <v>4.3823836793686503E-2</v>
      </c>
      <c r="BS300" s="528">
        <f t="shared" si="859"/>
        <v>4.5985985235752751E-2</v>
      </c>
      <c r="BT300" s="528">
        <f t="shared" si="860"/>
        <v>7.6850592766107708E-5</v>
      </c>
      <c r="BU300" s="528">
        <f t="shared" si="861"/>
        <v>1.8591550003997661</v>
      </c>
      <c r="BV300" s="528"/>
      <c r="BW300" s="625">
        <f t="shared" si="862"/>
        <v>0.81866416764951389</v>
      </c>
      <c r="BX300" s="460">
        <f t="shared" si="863"/>
        <v>2767.7058406714855</v>
      </c>
      <c r="BY300" s="173">
        <f t="shared" si="864"/>
        <v>5.4117211345813558</v>
      </c>
      <c r="BZ300" s="5">
        <f t="shared" si="865"/>
        <v>21.672000000000001</v>
      </c>
      <c r="CA300" s="173">
        <f t="shared" si="866"/>
        <v>0.80018546536902946</v>
      </c>
      <c r="CB300" s="5">
        <f t="shared" si="867"/>
        <v>80.018546536902946</v>
      </c>
      <c r="CC300">
        <f t="shared" si="868"/>
        <v>84</v>
      </c>
      <c r="CE300" s="562">
        <f t="shared" si="809"/>
        <v>-50</v>
      </c>
      <c r="CG300" s="173">
        <f t="shared" si="810"/>
        <v>0.67907798870528813</v>
      </c>
      <c r="CH300" s="173">
        <f t="shared" si="811"/>
        <v>0.1857221904265535</v>
      </c>
      <c r="CI300" s="170">
        <v>84</v>
      </c>
      <c r="CJ300" s="217">
        <f t="shared" si="869"/>
        <v>0.84</v>
      </c>
      <c r="CK300" s="217">
        <f t="shared" si="812"/>
        <v>8.4000000000000005E-2</v>
      </c>
      <c r="CL300" s="217">
        <f t="shared" si="813"/>
        <v>20.16</v>
      </c>
      <c r="CM300" s="217">
        <f t="shared" si="814"/>
        <v>1.512</v>
      </c>
      <c r="CN300" s="541">
        <f t="shared" si="815"/>
        <v>36</v>
      </c>
      <c r="CO300" s="443">
        <f t="shared" si="816"/>
        <v>16.474900000000002</v>
      </c>
      <c r="CP300" s="443">
        <f t="shared" si="817"/>
        <v>52.474900000000005</v>
      </c>
      <c r="CQ300" s="443"/>
      <c r="CR300" s="217">
        <f t="shared" si="818"/>
        <v>0.31220924123305599</v>
      </c>
      <c r="CS300" s="172">
        <f t="shared" si="819"/>
        <v>58.085440229405762</v>
      </c>
      <c r="CT300" s="172">
        <f t="shared" si="820"/>
        <v>4.683138618495839</v>
      </c>
      <c r="CU300" s="217">
        <f t="shared" si="821"/>
        <v>2.4202266762252402</v>
      </c>
      <c r="CV300" s="217">
        <f t="shared" si="822"/>
        <v>3.2269689016336534</v>
      </c>
      <c r="CW300" s="217">
        <f t="shared" si="823"/>
        <v>24</v>
      </c>
      <c r="CX300" s="217">
        <f t="shared" si="824"/>
        <v>3.8563880916684519</v>
      </c>
      <c r="CY300" s="217">
        <f t="shared" si="825"/>
        <v>1.0712189143523478</v>
      </c>
      <c r="CZ300" s="217">
        <f t="shared" si="826"/>
        <v>2.3407657052051616</v>
      </c>
      <c r="DA300" s="197">
        <f t="shared" si="827"/>
        <v>350</v>
      </c>
      <c r="DB300" s="443">
        <f t="shared" si="828"/>
        <v>293.08455679078855</v>
      </c>
      <c r="DD300" s="217">
        <f t="shared" si="829"/>
        <v>3.2292794133140656</v>
      </c>
      <c r="DE300" s="173">
        <f t="shared" si="830"/>
        <v>1.9601207978889497</v>
      </c>
      <c r="DF300" s="173">
        <f t="shared" si="831"/>
        <v>0.6872960992823488</v>
      </c>
      <c r="DG300" s="173"/>
      <c r="DH300" s="173">
        <f t="shared" si="832"/>
        <v>1.3488532386977903</v>
      </c>
      <c r="DI300" s="545">
        <f t="shared" si="833"/>
        <v>840.29399999999953</v>
      </c>
      <c r="DJ300" s="528">
        <f t="shared" si="834"/>
        <v>0.34987754285999911</v>
      </c>
      <c r="DL300" s="173">
        <f t="shared" si="835"/>
        <v>3.5190907916676428</v>
      </c>
      <c r="DM300" s="173">
        <f t="shared" si="836"/>
        <v>3.8563880916684519</v>
      </c>
      <c r="DN300" s="173">
        <f t="shared" si="837"/>
        <v>2.410493236626837</v>
      </c>
      <c r="DP300" s="545">
        <f t="shared" si="838"/>
        <v>840</v>
      </c>
      <c r="DQ300" s="460">
        <f t="shared" si="839"/>
        <v>293.08455679078855</v>
      </c>
      <c r="DS300">
        <f t="shared" si="840"/>
        <v>840</v>
      </c>
      <c r="DT300">
        <f t="shared" si="841"/>
        <v>293.08455679078855</v>
      </c>
      <c r="DV300" s="5">
        <f t="shared" si="870"/>
        <v>3.4119846195575096</v>
      </c>
      <c r="DW300" s="5">
        <f t="shared" si="842"/>
        <v>1.0712189143523478</v>
      </c>
      <c r="DX300" s="5">
        <f t="shared" si="843"/>
        <v>2.340765705205162</v>
      </c>
      <c r="DY300" s="173">
        <f t="shared" si="844"/>
        <v>0.31395772073886752</v>
      </c>
      <c r="EA300" s="5">
        <f t="shared" si="871"/>
        <v>3.7492662002332175</v>
      </c>
      <c r="EB300" s="5">
        <f t="shared" si="872"/>
        <v>0.49990216003109567</v>
      </c>
      <c r="EC300" s="5">
        <f t="shared" si="873"/>
        <v>1.0923573290957422</v>
      </c>
      <c r="ED300" s="5"/>
      <c r="EE300" s="173">
        <f t="shared" si="874"/>
        <v>1.2475434763218822</v>
      </c>
      <c r="EF300" s="173">
        <f t="shared" si="875"/>
        <v>1.23004607701824</v>
      </c>
      <c r="EG300" s="173">
        <f t="shared" si="876"/>
        <v>0.12317083014466426</v>
      </c>
      <c r="EH300" s="173"/>
      <c r="EI300" s="528">
        <f t="shared" si="877"/>
        <v>6.2254589012531468E-2</v>
      </c>
      <c r="EJ300" s="528">
        <f t="shared" si="878"/>
        <v>1.6310151000000004</v>
      </c>
      <c r="EK300" s="528">
        <f t="shared" si="879"/>
        <v>5.8616911358157706E-2</v>
      </c>
      <c r="EL300" s="528">
        <f t="shared" si="880"/>
        <v>0.14123236224149335</v>
      </c>
      <c r="EM300">
        <f t="shared" si="881"/>
        <v>1.6199999999999999E-2</v>
      </c>
      <c r="EN300" s="460">
        <f t="shared" si="882"/>
        <v>74.816911358157711</v>
      </c>
      <c r="EP300" s="460">
        <f t="shared" si="883"/>
        <v>1909.3189626121828</v>
      </c>
      <c r="EQ300" s="173">
        <f t="shared" si="884"/>
        <v>0.58799999999999997</v>
      </c>
      <c r="ER300" s="173">
        <f t="shared" si="845"/>
        <v>5.2080000000000001E-2</v>
      </c>
      <c r="ES300" s="528"/>
      <c r="EU300" s="460">
        <f t="shared" si="885"/>
        <v>640.07999999999993</v>
      </c>
      <c r="EV300" s="528">
        <f t="shared" si="886"/>
        <v>4.6690941759398599E-2</v>
      </c>
      <c r="EW300" s="528">
        <f t="shared" si="887"/>
        <v>4.5390400547638862E-2</v>
      </c>
      <c r="EX300" s="528">
        <f t="shared" si="888"/>
        <v>7.5855266992628674E-5</v>
      </c>
      <c r="EY300" s="528">
        <f t="shared" si="889"/>
        <v>2.1473566184574664</v>
      </c>
      <c r="EZ300" s="528"/>
      <c r="FA300" s="625">
        <f t="shared" si="890"/>
        <v>0.87173482719221151</v>
      </c>
      <c r="FB300" s="460">
        <f t="shared" si="891"/>
        <v>3111.2486432237083</v>
      </c>
      <c r="FC300" s="173">
        <f t="shared" si="892"/>
        <v>5.6606476058358908</v>
      </c>
      <c r="FD300" s="5">
        <f t="shared" si="893"/>
        <v>21.672000000000001</v>
      </c>
      <c r="FE300" s="173">
        <f t="shared" si="894"/>
        <v>0.79289794068002162</v>
      </c>
      <c r="FF300" s="5">
        <f t="shared" si="895"/>
        <v>79.289794068002166</v>
      </c>
      <c r="FG300">
        <f t="shared" si="896"/>
        <v>84</v>
      </c>
      <c r="FI300" s="562">
        <f t="shared" si="846"/>
        <v>-50</v>
      </c>
    </row>
    <row r="301" spans="5:165">
      <c r="E301" s="170">
        <v>85</v>
      </c>
      <c r="F301" s="217">
        <f t="shared" si="847"/>
        <v>0.85</v>
      </c>
      <c r="G301" s="217">
        <f t="shared" si="775"/>
        <v>8.5000000000000006E-2</v>
      </c>
      <c r="H301" s="217">
        <f t="shared" si="776"/>
        <v>20.399999999999999</v>
      </c>
      <c r="I301" s="217">
        <f t="shared" si="777"/>
        <v>1.53</v>
      </c>
      <c r="J301" s="541">
        <f t="shared" si="778"/>
        <v>35.832662369612976</v>
      </c>
      <c r="K301" s="443">
        <f t="shared" si="779"/>
        <v>16.499946460469772</v>
      </c>
      <c r="L301" s="172">
        <f t="shared" si="780"/>
        <v>52.332608830082748</v>
      </c>
      <c r="M301" s="443"/>
      <c r="N301" s="217">
        <f t="shared" si="781"/>
        <v>0.31528996603328102</v>
      </c>
      <c r="O301" s="172">
        <f t="shared" si="782"/>
        <v>58.385937474921455</v>
      </c>
      <c r="P301" s="172">
        <f t="shared" si="783"/>
        <v>4.707366208915543</v>
      </c>
      <c r="Q301" s="217">
        <f t="shared" si="784"/>
        <v>2.432747394788394</v>
      </c>
      <c r="R301" s="217">
        <f t="shared" si="785"/>
        <v>3.2436631930511921</v>
      </c>
      <c r="S301" s="217">
        <f t="shared" si="786"/>
        <v>24</v>
      </c>
      <c r="T301" s="217">
        <f t="shared" si="787"/>
        <v>3.8822133628329065</v>
      </c>
      <c r="U301" s="217">
        <f t="shared" si="788"/>
        <v>1.0834286670602304</v>
      </c>
      <c r="V301" s="217">
        <f t="shared" si="789"/>
        <v>2.3528642181559998</v>
      </c>
      <c r="W301" s="197">
        <f t="shared" si="790"/>
        <v>350</v>
      </c>
      <c r="X301" s="443">
        <f t="shared" si="848"/>
        <v>275.00535065962805</v>
      </c>
      <c r="Z301" s="217">
        <f t="shared" si="791"/>
        <v>3.2279082575420857</v>
      </c>
      <c r="AA301" s="173">
        <f t="shared" si="792"/>
        <v>1.9563143827620539</v>
      </c>
      <c r="AB301" s="173">
        <f t="shared" si="793"/>
        <v>0.6856701591471086</v>
      </c>
      <c r="AC301" s="173"/>
      <c r="AD301" s="173">
        <f t="shared" si="794"/>
        <v>1.3468057169434922</v>
      </c>
      <c r="AE301" s="545">
        <f t="shared" si="795"/>
        <v>851.59019025737882</v>
      </c>
      <c r="AF301" s="528">
        <f t="shared" si="796"/>
        <v>0.34934643846717589</v>
      </c>
      <c r="AH301" s="173">
        <f t="shared" si="797"/>
        <v>3.539975786842132</v>
      </c>
      <c r="AI301" s="173">
        <f t="shared" si="798"/>
        <v>3.8822133628329065</v>
      </c>
      <c r="AJ301" s="173">
        <f t="shared" si="799"/>
        <v>2.4296230671190253</v>
      </c>
      <c r="AL301" s="545">
        <f t="shared" si="800"/>
        <v>850</v>
      </c>
      <c r="AM301" s="460">
        <f t="shared" si="801"/>
        <v>275.00535065962805</v>
      </c>
      <c r="AO301">
        <f t="shared" si="802"/>
        <v>850</v>
      </c>
      <c r="AP301">
        <f t="shared" si="803"/>
        <v>275.00535065962805</v>
      </c>
      <c r="AR301" s="5">
        <f t="shared" si="774"/>
        <v>3.6362928852162302</v>
      </c>
      <c r="AS301" s="5">
        <f t="shared" si="739"/>
        <v>1.0834286670602304</v>
      </c>
      <c r="AT301" s="5">
        <f t="shared" si="740"/>
        <v>2.5528642181559995</v>
      </c>
      <c r="AU301" s="173">
        <f t="shared" si="741"/>
        <v>0.29794868049959211</v>
      </c>
      <c r="BA301" s="173">
        <f t="shared" si="849"/>
        <v>1.2234592420934898</v>
      </c>
      <c r="BB301" s="173">
        <f t="shared" si="850"/>
        <v>1.2526479634146033</v>
      </c>
      <c r="BC301" s="173">
        <f t="shared" si="851"/>
        <v>0.12543407309327309</v>
      </c>
      <c r="BD301" s="173"/>
      <c r="BE301" s="528">
        <f t="shared" si="852"/>
        <v>5.9874100682559057E-2</v>
      </c>
      <c r="BF301" s="528">
        <f t="shared" si="804"/>
        <v>1.257116270283438</v>
      </c>
      <c r="BG301" s="528">
        <f t="shared" si="805"/>
        <v>0.39416695520093903</v>
      </c>
      <c r="BH301" s="528">
        <f t="shared" si="853"/>
        <v>0.13180259562340779</v>
      </c>
      <c r="BI301">
        <f t="shared" si="854"/>
        <v>1.6124698066325837E-2</v>
      </c>
      <c r="BJ301" s="460">
        <f t="shared" si="855"/>
        <v>410.29165326726485</v>
      </c>
      <c r="BK301">
        <f t="shared" si="806"/>
        <v>1.4861003658618639</v>
      </c>
      <c r="BL301" s="460">
        <f t="shared" si="856"/>
        <v>1859.0846198566699</v>
      </c>
      <c r="BM301" s="173">
        <f t="shared" si="807"/>
        <v>0.73780000000000001</v>
      </c>
      <c r="BN301" s="173">
        <f t="shared" si="808"/>
        <v>5.2700000000000004E-2</v>
      </c>
      <c r="BQ301" s="460">
        <f t="shared" si="857"/>
        <v>790.5</v>
      </c>
      <c r="BR301" s="528">
        <f t="shared" si="858"/>
        <v>4.4905575511919288E-2</v>
      </c>
      <c r="BS301" s="528">
        <f t="shared" si="859"/>
        <v>4.7073807607402596E-2</v>
      </c>
      <c r="BT301" s="528">
        <f t="shared" si="860"/>
        <v>7.8668533463842883E-5</v>
      </c>
      <c r="BU301" s="528">
        <f t="shared" si="861"/>
        <v>1.8621787400892797</v>
      </c>
      <c r="BV301" s="528"/>
      <c r="BW301" s="625">
        <f t="shared" si="862"/>
        <v>0.82895306128027479</v>
      </c>
      <c r="BX301" s="460">
        <f t="shared" si="863"/>
        <v>2783.1898530223402</v>
      </c>
      <c r="BY301" s="173">
        <f t="shared" si="864"/>
        <v>5.4327744728790099</v>
      </c>
      <c r="BZ301" s="5">
        <f t="shared" si="865"/>
        <v>21.93</v>
      </c>
      <c r="CA301" s="173">
        <f t="shared" si="866"/>
        <v>0.80145381535546478</v>
      </c>
      <c r="CB301" s="5">
        <f t="shared" si="867"/>
        <v>80.145381535546477</v>
      </c>
      <c r="CC301">
        <f t="shared" si="868"/>
        <v>85</v>
      </c>
      <c r="CE301" s="562">
        <f t="shared" si="809"/>
        <v>-50</v>
      </c>
      <c r="CG301" s="173">
        <f t="shared" si="810"/>
        <v>0.67907798870528813</v>
      </c>
      <c r="CH301" s="173">
        <f t="shared" si="811"/>
        <v>0.1857221904265535</v>
      </c>
      <c r="CI301" s="170">
        <v>85</v>
      </c>
      <c r="CJ301" s="217">
        <f t="shared" si="869"/>
        <v>0.85</v>
      </c>
      <c r="CK301" s="217">
        <f t="shared" si="812"/>
        <v>8.5000000000000006E-2</v>
      </c>
      <c r="CL301" s="217">
        <f t="shared" si="813"/>
        <v>20.399999999999999</v>
      </c>
      <c r="CM301" s="217">
        <f t="shared" si="814"/>
        <v>1.53</v>
      </c>
      <c r="CN301" s="541">
        <f t="shared" si="815"/>
        <v>36</v>
      </c>
      <c r="CO301" s="443">
        <f t="shared" si="816"/>
        <v>16.474900000000002</v>
      </c>
      <c r="CP301" s="443">
        <f t="shared" si="817"/>
        <v>52.474900000000005</v>
      </c>
      <c r="CQ301" s="443"/>
      <c r="CR301" s="217">
        <f t="shared" si="818"/>
        <v>0.31220924123305599</v>
      </c>
      <c r="CS301" s="172">
        <f t="shared" si="819"/>
        <v>58.085440229405762</v>
      </c>
      <c r="CT301" s="172">
        <f t="shared" si="820"/>
        <v>4.683138618495839</v>
      </c>
      <c r="CU301" s="217">
        <f t="shared" si="821"/>
        <v>2.4202266762252402</v>
      </c>
      <c r="CV301" s="217">
        <f t="shared" si="822"/>
        <v>3.2269689016336534</v>
      </c>
      <c r="CW301" s="217">
        <f t="shared" si="823"/>
        <v>24</v>
      </c>
      <c r="CX301" s="217">
        <f t="shared" si="824"/>
        <v>3.9022974737121237</v>
      </c>
      <c r="CY301" s="217">
        <f t="shared" si="825"/>
        <v>1.08397152047559</v>
      </c>
      <c r="CZ301" s="217">
        <f t="shared" si="826"/>
        <v>2.3686319636004609</v>
      </c>
      <c r="DA301" s="197">
        <f t="shared" si="827"/>
        <v>350</v>
      </c>
      <c r="DB301" s="443">
        <f t="shared" si="828"/>
        <v>289.63650318148518</v>
      </c>
      <c r="DD301" s="217">
        <f t="shared" si="829"/>
        <v>3.2292794133140656</v>
      </c>
      <c r="DE301" s="173">
        <f t="shared" si="830"/>
        <v>1.9601207978889497</v>
      </c>
      <c r="DF301" s="173">
        <f t="shared" si="831"/>
        <v>0.6872960992823488</v>
      </c>
      <c r="DG301" s="173"/>
      <c r="DH301" s="173">
        <f t="shared" si="832"/>
        <v>1.3488532386977903</v>
      </c>
      <c r="DI301" s="545">
        <f t="shared" si="833"/>
        <v>850.29749999999967</v>
      </c>
      <c r="DJ301" s="528">
        <f t="shared" si="834"/>
        <v>0.34987754285999911</v>
      </c>
      <c r="DL301" s="173">
        <f t="shared" si="835"/>
        <v>3.539975786842132</v>
      </c>
      <c r="DM301" s="173">
        <f t="shared" si="836"/>
        <v>3.9022974737121237</v>
      </c>
      <c r="DN301" s="173">
        <f t="shared" si="837"/>
        <v>2.444500186288816</v>
      </c>
      <c r="DP301" s="545">
        <f t="shared" si="838"/>
        <v>850</v>
      </c>
      <c r="DQ301" s="460">
        <f t="shared" si="839"/>
        <v>289.63650318148518</v>
      </c>
      <c r="DS301">
        <f t="shared" si="840"/>
        <v>850</v>
      </c>
      <c r="DT301">
        <f t="shared" si="841"/>
        <v>289.63650318148518</v>
      </c>
      <c r="DV301" s="5">
        <f t="shared" si="870"/>
        <v>3.4526034840760511</v>
      </c>
      <c r="DW301" s="5">
        <f t="shared" si="842"/>
        <v>1.08397152047559</v>
      </c>
      <c r="DX301" s="5">
        <f t="shared" si="843"/>
        <v>2.3686319636004614</v>
      </c>
      <c r="DY301" s="173">
        <f t="shared" si="844"/>
        <v>0.31395772073886757</v>
      </c>
      <c r="EA301" s="5">
        <f t="shared" si="871"/>
        <v>3.8390658016843813</v>
      </c>
      <c r="EB301" s="5">
        <f t="shared" si="872"/>
        <v>0.5118754402245842</v>
      </c>
      <c r="EC301" s="5">
        <f t="shared" si="873"/>
        <v>1.1185206494779953</v>
      </c>
      <c r="ED301" s="5"/>
      <c r="EE301" s="173">
        <f t="shared" si="874"/>
        <v>1.2623951843733334</v>
      </c>
      <c r="EF301" s="173">
        <f t="shared" si="875"/>
        <v>1.2446894826970283</v>
      </c>
      <c r="EG301" s="173">
        <f t="shared" si="876"/>
        <v>0.12463714955114835</v>
      </c>
      <c r="EH301" s="173"/>
      <c r="EI301" s="528">
        <f t="shared" si="877"/>
        <v>6.3745664061159307E-2</v>
      </c>
      <c r="EJ301" s="528">
        <f t="shared" si="878"/>
        <v>1.6310151000000004</v>
      </c>
      <c r="EK301" s="528">
        <f t="shared" si="879"/>
        <v>5.7927300636297037E-2</v>
      </c>
      <c r="EL301" s="528">
        <f t="shared" si="880"/>
        <v>0.13957080503865224</v>
      </c>
      <c r="EM301">
        <f t="shared" si="881"/>
        <v>1.6199999999999999E-2</v>
      </c>
      <c r="EN301" s="460">
        <f t="shared" si="882"/>
        <v>74.127300636297036</v>
      </c>
      <c r="EP301" s="460">
        <f t="shared" si="883"/>
        <v>1908.4588697361089</v>
      </c>
      <c r="EQ301" s="173">
        <f t="shared" si="884"/>
        <v>0.59499999999999997</v>
      </c>
      <c r="ER301" s="173">
        <f t="shared" si="845"/>
        <v>5.2700000000000004E-2</v>
      </c>
      <c r="ES301" s="528"/>
      <c r="EU301" s="460">
        <f t="shared" si="885"/>
        <v>647.69999999999993</v>
      </c>
      <c r="EV301" s="528">
        <f t="shared" si="886"/>
        <v>4.7809248045869474E-2</v>
      </c>
      <c r="EW301" s="528">
        <f t="shared" si="887"/>
        <v>4.6477557250097876E-2</v>
      </c>
      <c r="EX301" s="528">
        <f t="shared" si="888"/>
        <v>7.7672095241176597E-5</v>
      </c>
      <c r="EY301" s="528">
        <f t="shared" si="889"/>
        <v>2.1473566184574646</v>
      </c>
      <c r="EZ301" s="528"/>
      <c r="FA301" s="625">
        <f t="shared" si="890"/>
        <v>0.88211262275402347</v>
      </c>
      <c r="FB301" s="460">
        <f t="shared" si="891"/>
        <v>3123.8337186026965</v>
      </c>
      <c r="FC301" s="173">
        <f t="shared" si="892"/>
        <v>5.6799925883388065</v>
      </c>
      <c r="FD301" s="5">
        <f t="shared" si="893"/>
        <v>21.93</v>
      </c>
      <c r="FE301" s="173">
        <f t="shared" si="894"/>
        <v>0.79427764892853414</v>
      </c>
      <c r="FF301" s="5">
        <f t="shared" si="895"/>
        <v>79.427764892853418</v>
      </c>
      <c r="FG301">
        <f t="shared" si="896"/>
        <v>85</v>
      </c>
      <c r="FI301" s="562">
        <f t="shared" si="846"/>
        <v>-50</v>
      </c>
    </row>
    <row r="302" spans="5:165">
      <c r="E302" s="170">
        <v>86</v>
      </c>
      <c r="F302" s="217">
        <f t="shared" si="847"/>
        <v>0.86</v>
      </c>
      <c r="G302" s="217">
        <f t="shared" si="775"/>
        <v>8.6000000000000007E-2</v>
      </c>
      <c r="H302" s="217">
        <f t="shared" si="776"/>
        <v>20.64</v>
      </c>
      <c r="I302" s="217">
        <f t="shared" si="777"/>
        <v>1.548</v>
      </c>
      <c r="J302" s="541">
        <f t="shared" si="778"/>
        <v>35.830693691608424</v>
      </c>
      <c r="K302" s="443">
        <f t="shared" si="779"/>
        <v>16.500241124710595</v>
      </c>
      <c r="L302" s="172">
        <f t="shared" si="780"/>
        <v>52.330934816319015</v>
      </c>
      <c r="M302" s="443"/>
      <c r="N302" s="217">
        <f t="shared" si="781"/>
        <v>0.31530568262589331</v>
      </c>
      <c r="O302" s="172">
        <f t="shared" si="782"/>
        <v>58.385639965849521</v>
      </c>
      <c r="P302" s="172">
        <f t="shared" si="783"/>
        <v>4.7073422222466181</v>
      </c>
      <c r="Q302" s="217">
        <f t="shared" si="784"/>
        <v>2.4327349985770632</v>
      </c>
      <c r="R302" s="217">
        <f t="shared" si="785"/>
        <v>3.2436466647694178</v>
      </c>
      <c r="S302" s="217">
        <f t="shared" si="786"/>
        <v>24</v>
      </c>
      <c r="T302" s="217">
        <f t="shared" si="787"/>
        <v>3.9279064761039395</v>
      </c>
      <c r="U302" s="217">
        <f t="shared" si="788"/>
        <v>1.0962407007553581</v>
      </c>
      <c r="V302" s="217">
        <f t="shared" si="789"/>
        <v>2.3805145915240882</v>
      </c>
      <c r="W302" s="197">
        <f t="shared" si="790"/>
        <v>350</v>
      </c>
      <c r="X302" s="443">
        <f t="shared" si="848"/>
        <v>271.97893808702145</v>
      </c>
      <c r="Z302" s="217">
        <f t="shared" si="791"/>
        <v>3.2278918095405378</v>
      </c>
      <c r="AA302" s="173">
        <f t="shared" si="792"/>
        <v>1.9562694782117336</v>
      </c>
      <c r="AB302" s="173">
        <f t="shared" si="793"/>
        <v>0.68565092672259675</v>
      </c>
      <c r="AC302" s="173"/>
      <c r="AD302" s="173">
        <f t="shared" si="794"/>
        <v>1.3467816654474492</v>
      </c>
      <c r="AE302" s="545">
        <f t="shared" si="795"/>
        <v>861.62428541779593</v>
      </c>
      <c r="AF302" s="528">
        <f t="shared" si="796"/>
        <v>0.34934019977634118</v>
      </c>
      <c r="AH302" s="173">
        <f t="shared" si="797"/>
        <v>3.5607382862065475</v>
      </c>
      <c r="AI302" s="173">
        <f t="shared" si="798"/>
        <v>3.9279064761039395</v>
      </c>
      <c r="AJ302" s="173">
        <f t="shared" si="799"/>
        <v>2.4634698176901608</v>
      </c>
      <c r="AL302" s="545">
        <f t="shared" si="800"/>
        <v>860</v>
      </c>
      <c r="AM302" s="460">
        <f t="shared" si="801"/>
        <v>271.97893808702145</v>
      </c>
      <c r="AO302">
        <f t="shared" si="802"/>
        <v>860</v>
      </c>
      <c r="AP302">
        <f t="shared" si="803"/>
        <v>271.97893808702145</v>
      </c>
      <c r="AR302" s="5">
        <f t="shared" si="774"/>
        <v>3.6767552922794464</v>
      </c>
      <c r="AS302" s="5">
        <f t="shared" si="739"/>
        <v>1.0962407007553581</v>
      </c>
      <c r="AT302" s="5">
        <f t="shared" si="740"/>
        <v>2.5805145915240884</v>
      </c>
      <c r="AU302" s="173">
        <f t="shared" si="741"/>
        <v>0.29815438167921454</v>
      </c>
      <c r="BA302" s="173">
        <f t="shared" si="849"/>
        <v>1.2382864177084987</v>
      </c>
      <c r="BB302" s="173">
        <f t="shared" si="850"/>
        <v>1.2672057697680554</v>
      </c>
      <c r="BC302" s="173">
        <f t="shared" si="851"/>
        <v>0.12689182099974716</v>
      </c>
      <c r="BD302" s="173"/>
      <c r="BE302" s="528">
        <f t="shared" si="852"/>
        <v>6.1334130091253859E-2</v>
      </c>
      <c r="BF302" s="528">
        <f t="shared" si="804"/>
        <v>1.2578748195283278</v>
      </c>
      <c r="BG302" s="528">
        <f t="shared" si="805"/>
        <v>0.3898077608465999</v>
      </c>
      <c r="BH302" s="528">
        <f t="shared" si="853"/>
        <v>0.13034377900741623</v>
      </c>
      <c r="BI302">
        <f t="shared" si="854"/>
        <v>1.6123812161223789E-2</v>
      </c>
      <c r="BJ302" s="460">
        <f t="shared" si="855"/>
        <v>405.93157300782366</v>
      </c>
      <c r="BK302">
        <f t="shared" si="806"/>
        <v>1.4877945579394916</v>
      </c>
      <c r="BL302" s="460">
        <f t="shared" si="856"/>
        <v>1855.4843016348216</v>
      </c>
      <c r="BM302" s="173">
        <f t="shared" si="807"/>
        <v>0.74647999999999992</v>
      </c>
      <c r="BN302" s="173">
        <f t="shared" si="808"/>
        <v>5.3320000000000006E-2</v>
      </c>
      <c r="BQ302" s="460">
        <f t="shared" si="857"/>
        <v>799.8</v>
      </c>
      <c r="BR302" s="528">
        <f t="shared" si="858"/>
        <v>4.6000597568440389E-2</v>
      </c>
      <c r="BS302" s="528">
        <f t="shared" si="859"/>
        <v>4.81743138880035E-2</v>
      </c>
      <c r="BT302" s="528">
        <f t="shared" si="860"/>
        <v>8.0507671183159378E-5</v>
      </c>
      <c r="BU302" s="528">
        <f t="shared" si="861"/>
        <v>1.8651382790775448</v>
      </c>
      <c r="BV302" s="528"/>
      <c r="BW302" s="625">
        <f t="shared" si="862"/>
        <v>0.83924265057380121</v>
      </c>
      <c r="BX302" s="460">
        <f t="shared" si="863"/>
        <v>2798.6363487789731</v>
      </c>
      <c r="BY302" s="173">
        <f t="shared" si="864"/>
        <v>5.453920650413794</v>
      </c>
      <c r="BZ302" s="5">
        <f t="shared" si="865"/>
        <v>22.188000000000002</v>
      </c>
      <c r="CA302" s="173">
        <f t="shared" si="866"/>
        <v>0.80269386055371128</v>
      </c>
      <c r="CB302" s="5">
        <f t="shared" si="867"/>
        <v>80.269386055371129</v>
      </c>
      <c r="CC302">
        <f t="shared" si="868"/>
        <v>86</v>
      </c>
      <c r="CE302" s="562">
        <f t="shared" si="809"/>
        <v>-50</v>
      </c>
      <c r="CG302" s="173">
        <f t="shared" si="810"/>
        <v>0.6790779887052879</v>
      </c>
      <c r="CH302" s="173">
        <f t="shared" si="811"/>
        <v>0.18572219042655347</v>
      </c>
      <c r="CI302" s="170">
        <v>86</v>
      </c>
      <c r="CJ302" s="217">
        <f t="shared" si="869"/>
        <v>0.86</v>
      </c>
      <c r="CK302" s="217">
        <f t="shared" si="812"/>
        <v>8.6000000000000007E-2</v>
      </c>
      <c r="CL302" s="217">
        <f t="shared" si="813"/>
        <v>20.64</v>
      </c>
      <c r="CM302" s="217">
        <f t="shared" si="814"/>
        <v>1.548</v>
      </c>
      <c r="CN302" s="541">
        <f t="shared" si="815"/>
        <v>36</v>
      </c>
      <c r="CO302" s="443">
        <f t="shared" si="816"/>
        <v>16.474900000000002</v>
      </c>
      <c r="CP302" s="443">
        <f t="shared" si="817"/>
        <v>52.474900000000005</v>
      </c>
      <c r="CQ302" s="443"/>
      <c r="CR302" s="217">
        <f t="shared" si="818"/>
        <v>0.31220924123305599</v>
      </c>
      <c r="CS302" s="172">
        <f t="shared" si="819"/>
        <v>58.085440229405762</v>
      </c>
      <c r="CT302" s="172">
        <f t="shared" si="820"/>
        <v>4.683138618495839</v>
      </c>
      <c r="CU302" s="217">
        <f t="shared" si="821"/>
        <v>2.4202266762252402</v>
      </c>
      <c r="CV302" s="217">
        <f t="shared" si="822"/>
        <v>3.2269689016336534</v>
      </c>
      <c r="CW302" s="217">
        <f t="shared" si="823"/>
        <v>24</v>
      </c>
      <c r="CX302" s="217">
        <f t="shared" si="824"/>
        <v>3.9482068557557959</v>
      </c>
      <c r="CY302" s="217">
        <f t="shared" si="825"/>
        <v>1.0967241265988323</v>
      </c>
      <c r="CZ302" s="217">
        <f t="shared" si="826"/>
        <v>2.3964982219957607</v>
      </c>
      <c r="DA302" s="197">
        <f t="shared" si="827"/>
        <v>350</v>
      </c>
      <c r="DB302" s="443">
        <f t="shared" si="828"/>
        <v>286.26863686542134</v>
      </c>
      <c r="DD302" s="217">
        <f t="shared" si="829"/>
        <v>3.2292794133140656</v>
      </c>
      <c r="DE302" s="173">
        <f t="shared" si="830"/>
        <v>1.9601207978889497</v>
      </c>
      <c r="DF302" s="173">
        <f t="shared" si="831"/>
        <v>0.6872960992823488</v>
      </c>
      <c r="DG302" s="173"/>
      <c r="DH302" s="173">
        <f t="shared" si="832"/>
        <v>1.3488532386977903</v>
      </c>
      <c r="DI302" s="545">
        <f t="shared" si="833"/>
        <v>860.30099999999982</v>
      </c>
      <c r="DJ302" s="528">
        <f t="shared" si="834"/>
        <v>0.34987754285999911</v>
      </c>
      <c r="DL302" s="173">
        <f t="shared" si="835"/>
        <v>3.5607382862065475</v>
      </c>
      <c r="DM302" s="173">
        <f t="shared" si="836"/>
        <v>3.9482068557557959</v>
      </c>
      <c r="DN302" s="173">
        <f t="shared" si="837"/>
        <v>2.4785071359507951</v>
      </c>
      <c r="DP302" s="545">
        <f t="shared" si="838"/>
        <v>860</v>
      </c>
      <c r="DQ302" s="460">
        <f t="shared" si="839"/>
        <v>286.26863686542134</v>
      </c>
      <c r="DS302">
        <f t="shared" si="840"/>
        <v>860</v>
      </c>
      <c r="DT302">
        <f t="shared" si="841"/>
        <v>286.26863686542134</v>
      </c>
      <c r="DV302" s="5">
        <f t="shared" si="870"/>
        <v>3.4932223485945935</v>
      </c>
      <c r="DW302" s="5">
        <f t="shared" si="842"/>
        <v>1.0967241265988323</v>
      </c>
      <c r="DX302" s="5">
        <f t="shared" si="843"/>
        <v>2.3964982219957611</v>
      </c>
      <c r="DY302" s="173">
        <f t="shared" si="844"/>
        <v>0.31395772073886752</v>
      </c>
      <c r="EA302" s="5">
        <f t="shared" si="871"/>
        <v>3.9299281203124821</v>
      </c>
      <c r="EB302" s="5">
        <f t="shared" si="872"/>
        <v>0.52399041604166441</v>
      </c>
      <c r="EC302" s="5">
        <f t="shared" si="873"/>
        <v>1.1449935949535301</v>
      </c>
      <c r="ED302" s="5"/>
      <c r="EE302" s="173">
        <f t="shared" si="874"/>
        <v>1.2772468924247842</v>
      </c>
      <c r="EF302" s="173">
        <f t="shared" si="875"/>
        <v>1.259332888375817</v>
      </c>
      <c r="EG302" s="173">
        <f t="shared" si="876"/>
        <v>0.12610346895763247</v>
      </c>
      <c r="EH302" s="173"/>
      <c r="EI302" s="528">
        <f t="shared" si="877"/>
        <v>6.5254384968350732E-2</v>
      </c>
      <c r="EJ302" s="528">
        <f t="shared" si="878"/>
        <v>1.6310151000000002</v>
      </c>
      <c r="EK302" s="528">
        <f t="shared" si="879"/>
        <v>5.7253727373084262E-2</v>
      </c>
      <c r="EL302" s="528">
        <f t="shared" si="880"/>
        <v>0.1379478887009935</v>
      </c>
      <c r="EM302">
        <f t="shared" si="881"/>
        <v>1.6199999999999999E-2</v>
      </c>
      <c r="EN302" s="460">
        <f t="shared" si="882"/>
        <v>73.453727373084249</v>
      </c>
      <c r="EP302" s="460">
        <f t="shared" si="883"/>
        <v>1907.6711010424285</v>
      </c>
      <c r="EQ302" s="173">
        <f t="shared" si="884"/>
        <v>0.60199999999999998</v>
      </c>
      <c r="ER302" s="173">
        <f t="shared" si="845"/>
        <v>5.3320000000000006E-2</v>
      </c>
      <c r="ES302" s="528"/>
      <c r="EU302" s="460">
        <f t="shared" si="885"/>
        <v>655.32000000000005</v>
      </c>
      <c r="EV302" s="528">
        <f t="shared" si="886"/>
        <v>4.8940788726263042E-2</v>
      </c>
      <c r="EW302" s="528">
        <f t="shared" si="887"/>
        <v>4.7577579712349341E-2</v>
      </c>
      <c r="EX302" s="528">
        <f t="shared" si="888"/>
        <v>7.9510424415742882E-5</v>
      </c>
      <c r="EY302" s="528">
        <f t="shared" si="889"/>
        <v>2.1473566184574642</v>
      </c>
      <c r="EZ302" s="528"/>
      <c r="FA302" s="625">
        <f t="shared" si="890"/>
        <v>0.89249041831583531</v>
      </c>
      <c r="FB302" s="460">
        <f t="shared" si="891"/>
        <v>3136.4449156363276</v>
      </c>
      <c r="FC302" s="173">
        <f t="shared" si="892"/>
        <v>5.6994360166787565</v>
      </c>
      <c r="FD302" s="5">
        <f t="shared" si="893"/>
        <v>22.188000000000002</v>
      </c>
      <c r="FE302" s="173">
        <f t="shared" si="894"/>
        <v>0.79562710558008742</v>
      </c>
      <c r="FF302" s="5">
        <f t="shared" si="895"/>
        <v>79.562710558008746</v>
      </c>
      <c r="FG302">
        <f t="shared" si="896"/>
        <v>86</v>
      </c>
      <c r="FI302" s="562">
        <f t="shared" si="846"/>
        <v>-50</v>
      </c>
    </row>
    <row r="303" spans="5:165">
      <c r="E303" s="170">
        <v>87</v>
      </c>
      <c r="F303" s="217">
        <f t="shared" si="847"/>
        <v>0.87</v>
      </c>
      <c r="G303" s="217">
        <f t="shared" si="775"/>
        <v>8.7000000000000008E-2</v>
      </c>
      <c r="H303" s="217">
        <f t="shared" si="776"/>
        <v>20.88</v>
      </c>
      <c r="I303" s="217">
        <f t="shared" si="777"/>
        <v>1.5660000000000001</v>
      </c>
      <c r="J303" s="541">
        <f t="shared" si="778"/>
        <v>35.828725013603872</v>
      </c>
      <c r="K303" s="443">
        <f t="shared" si="779"/>
        <v>16.500535788951417</v>
      </c>
      <c r="L303" s="172">
        <f t="shared" si="780"/>
        <v>52.329260802555289</v>
      </c>
      <c r="M303" s="443"/>
      <c r="N303" s="217">
        <f t="shared" si="781"/>
        <v>0.31532140022405358</v>
      </c>
      <c r="O303" s="172">
        <f t="shared" si="782"/>
        <v>58.385342323163542</v>
      </c>
      <c r="P303" s="172">
        <f t="shared" si="783"/>
        <v>4.7073182248050607</v>
      </c>
      <c r="Q303" s="217">
        <f t="shared" si="784"/>
        <v>2.4327225967984809</v>
      </c>
      <c r="R303" s="217">
        <f t="shared" si="785"/>
        <v>3.2436301290646412</v>
      </c>
      <c r="S303" s="217">
        <f t="shared" si="786"/>
        <v>24</v>
      </c>
      <c r="T303" s="217">
        <f t="shared" si="787"/>
        <v>3.9736000641372846</v>
      </c>
      <c r="U303" s="217">
        <f t="shared" si="788"/>
        <v>1.1090542749228562</v>
      </c>
      <c r="V303" s="217">
        <f t="shared" si="789"/>
        <v>2.4081642650646318</v>
      </c>
      <c r="W303" s="197">
        <f t="shared" si="790"/>
        <v>350</v>
      </c>
      <c r="X303" s="443">
        <f t="shared" si="848"/>
        <v>269.01835047970189</v>
      </c>
      <c r="Z303" s="217">
        <f t="shared" si="791"/>
        <v>3.2278753541520415</v>
      </c>
      <c r="AA303" s="173">
        <f t="shared" si="792"/>
        <v>1.9562245707884183</v>
      </c>
      <c r="AB303" s="173">
        <f t="shared" si="793"/>
        <v>0.68563169188247231</v>
      </c>
      <c r="AC303" s="173"/>
      <c r="AD303" s="173">
        <f t="shared" si="794"/>
        <v>1.3467576148104226</v>
      </c>
      <c r="AE303" s="545">
        <f t="shared" si="795"/>
        <v>871.65873841634641</v>
      </c>
      <c r="AF303" s="528">
        <f t="shared" si="796"/>
        <v>0.34933396130832572</v>
      </c>
      <c r="AH303" s="173">
        <f t="shared" si="797"/>
        <v>3.581380420213093</v>
      </c>
      <c r="AI303" s="173">
        <f t="shared" si="798"/>
        <v>3.9736000641372846</v>
      </c>
      <c r="AJ303" s="173">
        <f t="shared" si="799"/>
        <v>2.4973169199370835</v>
      </c>
      <c r="AL303" s="545">
        <f t="shared" si="800"/>
        <v>870</v>
      </c>
      <c r="AM303" s="460">
        <f t="shared" si="801"/>
        <v>269.01835047970189</v>
      </c>
      <c r="AO303">
        <f t="shared" si="802"/>
        <v>870</v>
      </c>
      <c r="AP303">
        <f t="shared" si="803"/>
        <v>269.01835047970189</v>
      </c>
      <c r="AR303" s="5">
        <f t="shared" si="774"/>
        <v>3.7172185399874889</v>
      </c>
      <c r="AS303" s="5">
        <f t="shared" si="739"/>
        <v>1.1090542749228562</v>
      </c>
      <c r="AT303" s="5">
        <f t="shared" si="740"/>
        <v>2.6081642650646328</v>
      </c>
      <c r="AU303" s="173">
        <f t="shared" si="741"/>
        <v>0.29835595163220857</v>
      </c>
      <c r="BA303" s="173">
        <f t="shared" si="849"/>
        <v>1.2531148581794385</v>
      </c>
      <c r="BB303" s="173">
        <f t="shared" si="850"/>
        <v>1.2817631550398578</v>
      </c>
      <c r="BC303" s="173">
        <f t="shared" si="851"/>
        <v>0.12834952674115332</v>
      </c>
      <c r="BD303" s="173"/>
      <c r="BE303" s="528">
        <f t="shared" si="852"/>
        <v>6.2811873911602978E-2</v>
      </c>
      <c r="BF303" s="528">
        <f t="shared" si="804"/>
        <v>1.2586157947132108</v>
      </c>
      <c r="BG303" s="528">
        <f t="shared" si="805"/>
        <v>0.38554338011802192</v>
      </c>
      <c r="BH303" s="528">
        <f t="shared" si="853"/>
        <v>0.12891669232512667</v>
      </c>
      <c r="BI303">
        <f t="shared" si="854"/>
        <v>1.6122926256121741E-2</v>
      </c>
      <c r="BJ303" s="460">
        <f t="shared" si="855"/>
        <v>401.66630637414363</v>
      </c>
      <c r="BK303">
        <f t="shared" si="806"/>
        <v>1.489533515899816</v>
      </c>
      <c r="BL303" s="460">
        <f t="shared" si="856"/>
        <v>1852.0106673240841</v>
      </c>
      <c r="BM303" s="173">
        <f t="shared" si="807"/>
        <v>0.75515999999999994</v>
      </c>
      <c r="BN303" s="173">
        <f t="shared" si="808"/>
        <v>5.3940000000000002E-2</v>
      </c>
      <c r="BQ303" s="460">
        <f t="shared" si="857"/>
        <v>809.09999999999991</v>
      </c>
      <c r="BR303" s="528">
        <f t="shared" si="858"/>
        <v>4.7108905433702226E-2</v>
      </c>
      <c r="BS303" s="528">
        <f t="shared" si="859"/>
        <v>4.9287503568531919E-2</v>
      </c>
      <c r="BT303" s="528">
        <f t="shared" si="860"/>
        <v>8.2368005073390175E-5</v>
      </c>
      <c r="BU303" s="528">
        <f t="shared" si="861"/>
        <v>1.8680356188671048</v>
      </c>
      <c r="BV303" s="528"/>
      <c r="BW303" s="625">
        <f t="shared" si="862"/>
        <v>0.84953291284106092</v>
      </c>
      <c r="BX303" s="460">
        <f t="shared" si="863"/>
        <v>2814.0473087154733</v>
      </c>
      <c r="BY303" s="173">
        <f t="shared" si="864"/>
        <v>5.4751579760395579</v>
      </c>
      <c r="BZ303" s="5">
        <f t="shared" si="865"/>
        <v>22.445999999999998</v>
      </c>
      <c r="CA303" s="173">
        <f t="shared" si="866"/>
        <v>0.80390648623033312</v>
      </c>
      <c r="CB303" s="5">
        <f t="shared" si="867"/>
        <v>80.390648623033314</v>
      </c>
      <c r="CC303">
        <f t="shared" si="868"/>
        <v>87</v>
      </c>
      <c r="CE303" s="562">
        <f t="shared" si="809"/>
        <v>-50</v>
      </c>
      <c r="CG303" s="173">
        <f t="shared" si="810"/>
        <v>0.67907798870528813</v>
      </c>
      <c r="CH303" s="173">
        <f t="shared" si="811"/>
        <v>0.18572219042655352</v>
      </c>
      <c r="CI303" s="170">
        <v>87</v>
      </c>
      <c r="CJ303" s="217">
        <f t="shared" si="869"/>
        <v>0.87</v>
      </c>
      <c r="CK303" s="217">
        <f t="shared" si="812"/>
        <v>8.7000000000000008E-2</v>
      </c>
      <c r="CL303" s="217">
        <f t="shared" si="813"/>
        <v>20.88</v>
      </c>
      <c r="CM303" s="217">
        <f t="shared" si="814"/>
        <v>1.5660000000000001</v>
      </c>
      <c r="CN303" s="541">
        <f t="shared" si="815"/>
        <v>36</v>
      </c>
      <c r="CO303" s="443">
        <f t="shared" si="816"/>
        <v>16.474900000000002</v>
      </c>
      <c r="CP303" s="443">
        <f t="shared" si="817"/>
        <v>52.474900000000005</v>
      </c>
      <c r="CQ303" s="443"/>
      <c r="CR303" s="217">
        <f t="shared" si="818"/>
        <v>0.31220924123305599</v>
      </c>
      <c r="CS303" s="172">
        <f t="shared" si="819"/>
        <v>58.085440229405762</v>
      </c>
      <c r="CT303" s="172">
        <f t="shared" si="820"/>
        <v>4.683138618495839</v>
      </c>
      <c r="CU303" s="217">
        <f t="shared" si="821"/>
        <v>2.4202266762252402</v>
      </c>
      <c r="CV303" s="217">
        <f t="shared" si="822"/>
        <v>3.2269689016336534</v>
      </c>
      <c r="CW303" s="217">
        <f t="shared" si="823"/>
        <v>24</v>
      </c>
      <c r="CX303" s="217">
        <f t="shared" si="824"/>
        <v>3.9941162377994672</v>
      </c>
      <c r="CY303" s="217">
        <f t="shared" si="825"/>
        <v>1.1094767327220743</v>
      </c>
      <c r="CZ303" s="217">
        <f t="shared" si="826"/>
        <v>2.42436448039106</v>
      </c>
      <c r="DA303" s="197">
        <f t="shared" si="827"/>
        <v>350</v>
      </c>
      <c r="DB303" s="443">
        <f t="shared" si="828"/>
        <v>282.97819276352004</v>
      </c>
      <c r="DD303" s="217">
        <f t="shared" si="829"/>
        <v>3.2292794133140656</v>
      </c>
      <c r="DE303" s="173">
        <f t="shared" si="830"/>
        <v>1.9601207978889497</v>
      </c>
      <c r="DF303" s="173">
        <f t="shared" si="831"/>
        <v>0.6872960992823488</v>
      </c>
      <c r="DG303" s="173"/>
      <c r="DH303" s="173">
        <f t="shared" si="832"/>
        <v>1.3488532386977903</v>
      </c>
      <c r="DI303" s="545">
        <f t="shared" si="833"/>
        <v>870.30449999999962</v>
      </c>
      <c r="DJ303" s="528">
        <f t="shared" si="834"/>
        <v>0.34987754285999911</v>
      </c>
      <c r="DL303" s="173">
        <f t="shared" si="835"/>
        <v>3.581380420213093</v>
      </c>
      <c r="DM303" s="173">
        <f t="shared" si="836"/>
        <v>3.9941162377994672</v>
      </c>
      <c r="DN303" s="173">
        <f t="shared" si="837"/>
        <v>2.5125140856127741</v>
      </c>
      <c r="DP303" s="545">
        <f t="shared" si="838"/>
        <v>870</v>
      </c>
      <c r="DQ303" s="460">
        <f t="shared" si="839"/>
        <v>282.97819276352004</v>
      </c>
      <c r="DS303">
        <f t="shared" si="840"/>
        <v>870</v>
      </c>
      <c r="DT303">
        <f t="shared" si="841"/>
        <v>282.97819276352004</v>
      </c>
      <c r="DV303" s="5">
        <f t="shared" si="870"/>
        <v>3.533841213113134</v>
      </c>
      <c r="DW303" s="5">
        <f t="shared" si="842"/>
        <v>1.1094767327220743</v>
      </c>
      <c r="DX303" s="5">
        <f t="shared" si="843"/>
        <v>2.42436448039106</v>
      </c>
      <c r="DY303" s="173">
        <f t="shared" si="844"/>
        <v>0.31395772073886757</v>
      </c>
      <c r="EA303" s="5">
        <f t="shared" si="871"/>
        <v>4.021853156117519</v>
      </c>
      <c r="EB303" s="5">
        <f t="shared" si="872"/>
        <v>0.53624708748233596</v>
      </c>
      <c r="EC303" s="5">
        <f t="shared" si="873"/>
        <v>1.1717761655223453</v>
      </c>
      <c r="ED303" s="5"/>
      <c r="EE303" s="173">
        <f t="shared" si="874"/>
        <v>1.2920986004762351</v>
      </c>
      <c r="EF303" s="173">
        <f t="shared" si="875"/>
        <v>1.2739762940546053</v>
      </c>
      <c r="EG303" s="173">
        <f t="shared" si="876"/>
        <v>0.12756978836411653</v>
      </c>
      <c r="EH303" s="173"/>
      <c r="EI303" s="528">
        <f t="shared" si="877"/>
        <v>6.6780751734105831E-2</v>
      </c>
      <c r="EJ303" s="528">
        <f t="shared" si="878"/>
        <v>1.6310151000000004</v>
      </c>
      <c r="EK303" s="528">
        <f t="shared" si="879"/>
        <v>5.6595638552704011E-2</v>
      </c>
      <c r="EL303" s="528">
        <f t="shared" si="880"/>
        <v>0.13636228078489016</v>
      </c>
      <c r="EM303">
        <f t="shared" si="881"/>
        <v>1.6199999999999999E-2</v>
      </c>
      <c r="EN303" s="460">
        <f t="shared" si="882"/>
        <v>72.79563855270402</v>
      </c>
      <c r="EP303" s="460">
        <f t="shared" si="883"/>
        <v>1906.9537710717004</v>
      </c>
      <c r="EQ303" s="173">
        <f t="shared" si="884"/>
        <v>0.60899999999999999</v>
      </c>
      <c r="ER303" s="173">
        <f t="shared" si="845"/>
        <v>5.3940000000000002E-2</v>
      </c>
      <c r="ES303" s="528"/>
      <c r="EU303" s="460">
        <f t="shared" si="885"/>
        <v>662.93999999999994</v>
      </c>
      <c r="EV303" s="528">
        <f t="shared" si="886"/>
        <v>5.0085563800579366E-2</v>
      </c>
      <c r="EW303" s="528">
        <f t="shared" si="887"/>
        <v>4.8690467934393182E-2</v>
      </c>
      <c r="EX303" s="528">
        <f t="shared" si="888"/>
        <v>8.1370254516327408E-5</v>
      </c>
      <c r="EY303" s="528">
        <f t="shared" si="889"/>
        <v>2.1473566184574615</v>
      </c>
      <c r="EZ303" s="528"/>
      <c r="FA303" s="625">
        <f t="shared" si="890"/>
        <v>0.90286821387764749</v>
      </c>
      <c r="FB303" s="460">
        <f t="shared" si="891"/>
        <v>3149.0822343245977</v>
      </c>
      <c r="FC303" s="173">
        <f t="shared" si="892"/>
        <v>5.7189760053962981</v>
      </c>
      <c r="FD303" s="5">
        <f t="shared" si="893"/>
        <v>22.445999999999998</v>
      </c>
      <c r="FE303" s="173">
        <f t="shared" si="894"/>
        <v>0.79694724382862725</v>
      </c>
      <c r="FF303" s="5">
        <f t="shared" si="895"/>
        <v>79.694724382862731</v>
      </c>
      <c r="FG303">
        <f t="shared" si="896"/>
        <v>87</v>
      </c>
      <c r="FI303" s="562">
        <f t="shared" si="846"/>
        <v>-50</v>
      </c>
    </row>
    <row r="304" spans="5:165">
      <c r="E304" s="170">
        <v>88</v>
      </c>
      <c r="F304" s="217">
        <f t="shared" si="847"/>
        <v>0.88</v>
      </c>
      <c r="G304" s="217">
        <f t="shared" si="775"/>
        <v>8.8000000000000009E-2</v>
      </c>
      <c r="H304" s="217">
        <f t="shared" si="776"/>
        <v>21.12</v>
      </c>
      <c r="I304" s="217">
        <f t="shared" si="777"/>
        <v>1.5840000000000001</v>
      </c>
      <c r="J304" s="541">
        <f t="shared" si="778"/>
        <v>35.826756335599313</v>
      </c>
      <c r="K304" s="443">
        <f t="shared" si="779"/>
        <v>16.500830453192236</v>
      </c>
      <c r="L304" s="172">
        <f t="shared" si="780"/>
        <v>52.32758678879155</v>
      </c>
      <c r="M304" s="443"/>
      <c r="N304" s="217">
        <f t="shared" si="781"/>
        <v>0.31533711882785842</v>
      </c>
      <c r="O304" s="172">
        <f t="shared" si="782"/>
        <v>58.385044546850686</v>
      </c>
      <c r="P304" s="172">
        <f t="shared" si="783"/>
        <v>4.7072942165898368</v>
      </c>
      <c r="Q304" s="217">
        <f t="shared" si="784"/>
        <v>2.4327101894521119</v>
      </c>
      <c r="R304" s="217">
        <f t="shared" si="785"/>
        <v>3.2436135859361492</v>
      </c>
      <c r="S304" s="217">
        <f t="shared" si="786"/>
        <v>24</v>
      </c>
      <c r="T304" s="217">
        <f t="shared" si="787"/>
        <v>4.0192941272547964</v>
      </c>
      <c r="U304" s="217">
        <f t="shared" si="788"/>
        <v>1.1218693899065093</v>
      </c>
      <c r="V304" s="217">
        <f t="shared" si="789"/>
        <v>2.4358132390101783</v>
      </c>
      <c r="W304" s="197">
        <f t="shared" si="790"/>
        <v>350</v>
      </c>
      <c r="X304" s="443">
        <f t="shared" si="848"/>
        <v>266.12146334675759</v>
      </c>
      <c r="Z304" s="217">
        <f t="shared" si="791"/>
        <v>3.2278588913758877</v>
      </c>
      <c r="AA304" s="173">
        <f t="shared" si="792"/>
        <v>1.9561796604918325</v>
      </c>
      <c r="AB304" s="173">
        <f t="shared" si="793"/>
        <v>0.68561245462661169</v>
      </c>
      <c r="AC304" s="173"/>
      <c r="AD304" s="173">
        <f t="shared" si="794"/>
        <v>1.3467335650323669</v>
      </c>
      <c r="AE304" s="545">
        <f t="shared" si="795"/>
        <v>881.69354925303048</v>
      </c>
      <c r="AF304" s="528">
        <f t="shared" si="796"/>
        <v>0.34932772306311782</v>
      </c>
      <c r="AH304" s="173">
        <f t="shared" si="797"/>
        <v>3.6019042582659364</v>
      </c>
      <c r="AI304" s="173">
        <f t="shared" si="798"/>
        <v>4.0192941272547964</v>
      </c>
      <c r="AJ304" s="173">
        <f t="shared" si="799"/>
        <v>2.5311643740982031</v>
      </c>
      <c r="AL304" s="545">
        <f t="shared" si="800"/>
        <v>880</v>
      </c>
      <c r="AM304" s="460">
        <f t="shared" si="801"/>
        <v>266.12146334675759</v>
      </c>
      <c r="AO304">
        <f t="shared" si="802"/>
        <v>880</v>
      </c>
      <c r="AP304">
        <f t="shared" si="803"/>
        <v>266.12146334675759</v>
      </c>
      <c r="AR304" s="5">
        <f t="shared" si="774"/>
        <v>3.7576826289166876</v>
      </c>
      <c r="AS304" s="5">
        <f t="shared" si="739"/>
        <v>1.1218693899065093</v>
      </c>
      <c r="AT304" s="5">
        <f t="shared" si="740"/>
        <v>2.6358132390101785</v>
      </c>
      <c r="AU304" s="173">
        <f t="shared" si="741"/>
        <v>0.29855352372585442</v>
      </c>
      <c r="BA304" s="173">
        <f t="shared" si="849"/>
        <v>1.2679445515716379</v>
      </c>
      <c r="BB304" s="173">
        <f t="shared" si="850"/>
        <v>1.2963201268917806</v>
      </c>
      <c r="BC304" s="173">
        <f t="shared" si="851"/>
        <v>0.12980719108470395</v>
      </c>
      <c r="BD304" s="173"/>
      <c r="BE304" s="528">
        <f t="shared" si="852"/>
        <v>6.4307335434408072E-2</v>
      </c>
      <c r="BF304" s="528">
        <f t="shared" si="804"/>
        <v>1.259339762953952</v>
      </c>
      <c r="BG304" s="528">
        <f t="shared" si="805"/>
        <v>0.38137075291989631</v>
      </c>
      <c r="BH304" s="528">
        <f t="shared" si="853"/>
        <v>0.12752031149777646</v>
      </c>
      <c r="BI304">
        <f t="shared" si="854"/>
        <v>1.612204035101969E-2</v>
      </c>
      <c r="BJ304" s="460">
        <f t="shared" si="855"/>
        <v>397.49279327091602</v>
      </c>
      <c r="BK304">
        <f t="shared" si="806"/>
        <v>1.4913168513011839</v>
      </c>
      <c r="BL304" s="460">
        <f t="shared" si="856"/>
        <v>1848.6602031570528</v>
      </c>
      <c r="BM304" s="173">
        <f t="shared" si="807"/>
        <v>0.76383999999999996</v>
      </c>
      <c r="BN304" s="173">
        <f t="shared" si="808"/>
        <v>5.4560000000000004E-2</v>
      </c>
      <c r="BQ304" s="460">
        <f t="shared" si="857"/>
        <v>818.4</v>
      </c>
      <c r="BR304" s="528">
        <f t="shared" si="858"/>
        <v>4.8230501575806051E-2</v>
      </c>
      <c r="BS304" s="528">
        <f t="shared" si="859"/>
        <v>5.0413376141541663E-2</v>
      </c>
      <c r="BT304" s="528">
        <f t="shared" si="860"/>
        <v>8.4249534286504239E-5</v>
      </c>
      <c r="BU304" s="528">
        <f t="shared" si="861"/>
        <v>1.8708726787383303</v>
      </c>
      <c r="BV304" s="528"/>
      <c r="BW304" s="625">
        <f t="shared" si="862"/>
        <v>0.85982382636940169</v>
      </c>
      <c r="BX304" s="460">
        <f t="shared" si="863"/>
        <v>2829.4246323593661</v>
      </c>
      <c r="BY304" s="173">
        <f t="shared" si="864"/>
        <v>5.4964848355164193</v>
      </c>
      <c r="BZ304" s="5">
        <f t="shared" si="865"/>
        <v>22.704000000000001</v>
      </c>
      <c r="CA304" s="173">
        <f t="shared" si="866"/>
        <v>0.80509254122489393</v>
      </c>
      <c r="CB304" s="5">
        <f t="shared" si="867"/>
        <v>80.509254122489395</v>
      </c>
      <c r="CC304">
        <f t="shared" si="868"/>
        <v>88</v>
      </c>
      <c r="CE304" s="562">
        <f t="shared" si="809"/>
        <v>-50</v>
      </c>
      <c r="CG304" s="173">
        <f t="shared" si="810"/>
        <v>0.67907798870528813</v>
      </c>
      <c r="CH304" s="173">
        <f t="shared" si="811"/>
        <v>0.18572219042655352</v>
      </c>
      <c r="CI304" s="170">
        <v>88</v>
      </c>
      <c r="CJ304" s="217">
        <f t="shared" si="869"/>
        <v>0.88</v>
      </c>
      <c r="CK304" s="217">
        <f t="shared" si="812"/>
        <v>8.8000000000000009E-2</v>
      </c>
      <c r="CL304" s="217">
        <f t="shared" si="813"/>
        <v>21.12</v>
      </c>
      <c r="CM304" s="217">
        <f t="shared" si="814"/>
        <v>1.5840000000000001</v>
      </c>
      <c r="CN304" s="541">
        <f t="shared" si="815"/>
        <v>36</v>
      </c>
      <c r="CO304" s="443">
        <f t="shared" si="816"/>
        <v>16.474900000000002</v>
      </c>
      <c r="CP304" s="443">
        <f t="shared" si="817"/>
        <v>52.474900000000005</v>
      </c>
      <c r="CQ304" s="443"/>
      <c r="CR304" s="217">
        <f t="shared" si="818"/>
        <v>0.31220924123305599</v>
      </c>
      <c r="CS304" s="172">
        <f t="shared" si="819"/>
        <v>58.085440229405762</v>
      </c>
      <c r="CT304" s="172">
        <f t="shared" si="820"/>
        <v>4.683138618495839</v>
      </c>
      <c r="CU304" s="217">
        <f t="shared" si="821"/>
        <v>2.4202266762252402</v>
      </c>
      <c r="CV304" s="217">
        <f t="shared" si="822"/>
        <v>3.2269689016336534</v>
      </c>
      <c r="CW304" s="217">
        <f t="shared" si="823"/>
        <v>24</v>
      </c>
      <c r="CX304" s="217">
        <f t="shared" si="824"/>
        <v>4.0400256198431395</v>
      </c>
      <c r="CY304" s="217">
        <f t="shared" si="825"/>
        <v>1.1222293388453166</v>
      </c>
      <c r="CZ304" s="217">
        <f t="shared" si="826"/>
        <v>2.4522307387863593</v>
      </c>
      <c r="DA304" s="197">
        <f t="shared" si="827"/>
        <v>350</v>
      </c>
      <c r="DB304" s="443">
        <f t="shared" si="828"/>
        <v>279.7625314821164</v>
      </c>
      <c r="DD304" s="217">
        <f t="shared" si="829"/>
        <v>3.2292794133140656</v>
      </c>
      <c r="DE304" s="173">
        <f t="shared" si="830"/>
        <v>1.9601207978889497</v>
      </c>
      <c r="DF304" s="173">
        <f t="shared" si="831"/>
        <v>0.6872960992823488</v>
      </c>
      <c r="DG304" s="173"/>
      <c r="DH304" s="173">
        <f t="shared" si="832"/>
        <v>1.3488532386977903</v>
      </c>
      <c r="DI304" s="545">
        <f t="shared" si="833"/>
        <v>880.30799999999965</v>
      </c>
      <c r="DJ304" s="528">
        <f t="shared" si="834"/>
        <v>0.34987754285999911</v>
      </c>
      <c r="DL304" s="173">
        <f t="shared" si="835"/>
        <v>3.6019042582659364</v>
      </c>
      <c r="DM304" s="173">
        <f t="shared" si="836"/>
        <v>4.0400256198431395</v>
      </c>
      <c r="DN304" s="173">
        <f t="shared" si="837"/>
        <v>2.5465210352747532</v>
      </c>
      <c r="DP304" s="545">
        <f t="shared" si="838"/>
        <v>880</v>
      </c>
      <c r="DQ304" s="460">
        <f t="shared" si="839"/>
        <v>279.7625314821164</v>
      </c>
      <c r="DS304">
        <f t="shared" si="840"/>
        <v>880</v>
      </c>
      <c r="DT304">
        <f t="shared" si="841"/>
        <v>279.7625314821164</v>
      </c>
      <c r="DV304" s="5">
        <f t="shared" si="870"/>
        <v>3.5744600776316759</v>
      </c>
      <c r="DW304" s="5">
        <f t="shared" si="842"/>
        <v>1.1222293388453166</v>
      </c>
      <c r="DX304" s="5">
        <f t="shared" si="843"/>
        <v>2.4522307387863593</v>
      </c>
      <c r="DY304" s="173">
        <f t="shared" si="844"/>
        <v>0.31395772073886757</v>
      </c>
      <c r="EA304" s="5">
        <f t="shared" si="871"/>
        <v>4.1148409090994944</v>
      </c>
      <c r="EB304" s="5">
        <f t="shared" si="872"/>
        <v>0.5486454545465993</v>
      </c>
      <c r="EC304" s="5">
        <f t="shared" si="873"/>
        <v>1.1988683611844422</v>
      </c>
      <c r="ED304" s="5"/>
      <c r="EE304" s="173">
        <f t="shared" si="874"/>
        <v>1.3069503085276863</v>
      </c>
      <c r="EF304" s="173">
        <f t="shared" si="875"/>
        <v>1.2886196997333939</v>
      </c>
      <c r="EG304" s="173">
        <f t="shared" si="876"/>
        <v>0.12903610777060062</v>
      </c>
      <c r="EH304" s="173"/>
      <c r="EI304" s="528">
        <f t="shared" si="877"/>
        <v>6.8324764358424578E-2</v>
      </c>
      <c r="EJ304" s="528">
        <f t="shared" si="878"/>
        <v>1.6310151000000004</v>
      </c>
      <c r="EK304" s="528">
        <f t="shared" si="879"/>
        <v>5.5952506296423281E-2</v>
      </c>
      <c r="EL304" s="528">
        <f t="shared" si="880"/>
        <v>0.13481270941233459</v>
      </c>
      <c r="EM304">
        <f t="shared" si="881"/>
        <v>1.6199999999999999E-2</v>
      </c>
      <c r="EN304" s="460">
        <f t="shared" si="882"/>
        <v>72.152506296423283</v>
      </c>
      <c r="EP304" s="460">
        <f t="shared" si="883"/>
        <v>1906.3050800671829</v>
      </c>
      <c r="EQ304" s="173">
        <f t="shared" si="884"/>
        <v>0.61599999999999999</v>
      </c>
      <c r="ER304" s="173">
        <f t="shared" si="845"/>
        <v>5.4560000000000004E-2</v>
      </c>
      <c r="ES304" s="528"/>
      <c r="EU304" s="460">
        <f t="shared" si="885"/>
        <v>670.56000000000006</v>
      </c>
      <c r="EV304" s="528">
        <f t="shared" si="886"/>
        <v>5.1243573268818433E-2</v>
      </c>
      <c r="EW304" s="528">
        <f t="shared" si="887"/>
        <v>4.9816221916229461E-2</v>
      </c>
      <c r="EX304" s="528">
        <f t="shared" si="888"/>
        <v>8.3251585542930298E-5</v>
      </c>
      <c r="EY304" s="528">
        <f t="shared" si="889"/>
        <v>2.1473566184574655</v>
      </c>
      <c r="EZ304" s="528"/>
      <c r="FA304" s="625">
        <f t="shared" si="890"/>
        <v>0.91324600943945955</v>
      </c>
      <c r="FB304" s="460">
        <f t="shared" si="891"/>
        <v>3161.7456746675157</v>
      </c>
      <c r="FC304" s="173">
        <f t="shared" si="892"/>
        <v>5.7386107547346992</v>
      </c>
      <c r="FD304" s="5">
        <f t="shared" si="893"/>
        <v>22.704000000000001</v>
      </c>
      <c r="FE304" s="173">
        <f t="shared" si="894"/>
        <v>0.79823895899642683</v>
      </c>
      <c r="FF304" s="5">
        <f t="shared" si="895"/>
        <v>79.823895899642679</v>
      </c>
      <c r="FG304">
        <f t="shared" si="896"/>
        <v>88</v>
      </c>
      <c r="FI304" s="562">
        <f t="shared" si="846"/>
        <v>-50</v>
      </c>
    </row>
    <row r="305" spans="5:169">
      <c r="E305" s="170">
        <v>89</v>
      </c>
      <c r="F305" s="217">
        <f t="shared" si="847"/>
        <v>0.89</v>
      </c>
      <c r="G305" s="217">
        <f t="shared" si="775"/>
        <v>8.900000000000001E-2</v>
      </c>
      <c r="H305" s="217">
        <f t="shared" si="776"/>
        <v>21.36</v>
      </c>
      <c r="I305" s="217">
        <f t="shared" si="777"/>
        <v>1.6020000000000001</v>
      </c>
      <c r="J305" s="541">
        <f t="shared" si="778"/>
        <v>35.824787657594761</v>
      </c>
      <c r="K305" s="443">
        <f t="shared" si="779"/>
        <v>16.501125117433055</v>
      </c>
      <c r="L305" s="172">
        <f t="shared" si="780"/>
        <v>52.325912775027817</v>
      </c>
      <c r="M305" s="443"/>
      <c r="N305" s="217">
        <f t="shared" si="781"/>
        <v>0.31535283843740425</v>
      </c>
      <c r="O305" s="172">
        <f t="shared" si="782"/>
        <v>58.384746636898164</v>
      </c>
      <c r="P305" s="172">
        <f t="shared" si="783"/>
        <v>4.7072701975999145</v>
      </c>
      <c r="Q305" s="217">
        <f t="shared" si="784"/>
        <v>2.4326977765374234</v>
      </c>
      <c r="R305" s="217">
        <f t="shared" si="785"/>
        <v>3.2435970353832313</v>
      </c>
      <c r="S305" s="217">
        <f t="shared" si="786"/>
        <v>24</v>
      </c>
      <c r="T305" s="217">
        <f t="shared" si="787"/>
        <v>4.0649886657783778</v>
      </c>
      <c r="U305" s="217">
        <f t="shared" si="788"/>
        <v>1.1346860460501882</v>
      </c>
      <c r="V305" s="217">
        <f t="shared" si="789"/>
        <v>2.4634615135932836</v>
      </c>
      <c r="W305" s="197">
        <f t="shared" si="790"/>
        <v>350</v>
      </c>
      <c r="X305" s="443">
        <f t="shared" si="848"/>
        <v>263.28624264768399</v>
      </c>
      <c r="Z305" s="217">
        <f t="shared" si="791"/>
        <v>3.2278424212113701</v>
      </c>
      <c r="AA305" s="173">
        <f t="shared" si="792"/>
        <v>1.9561347473217023</v>
      </c>
      <c r="AB305" s="173">
        <f t="shared" si="793"/>
        <v>0.68559321495489245</v>
      </c>
      <c r="AC305" s="173"/>
      <c r="AD305" s="173">
        <f t="shared" si="794"/>
        <v>1.3467095161132356</v>
      </c>
      <c r="AE305" s="545">
        <f t="shared" si="795"/>
        <v>891.72871792784736</v>
      </c>
      <c r="AF305" s="528">
        <f t="shared" si="796"/>
        <v>0.34932148504070543</v>
      </c>
      <c r="AH305" s="173">
        <f t="shared" si="797"/>
        <v>3.6223118111425547</v>
      </c>
      <c r="AI305" s="173">
        <f t="shared" si="798"/>
        <v>4.0649886657783778</v>
      </c>
      <c r="AJ305" s="173">
        <f t="shared" si="799"/>
        <v>2.565012180411967</v>
      </c>
      <c r="AL305" s="545">
        <f t="shared" si="800"/>
        <v>890</v>
      </c>
      <c r="AM305" s="460">
        <f t="shared" si="801"/>
        <v>263.28624264768399</v>
      </c>
      <c r="AO305">
        <f t="shared" si="802"/>
        <v>890</v>
      </c>
      <c r="AP305">
        <f t="shared" si="803"/>
        <v>263.28624264768399</v>
      </c>
      <c r="AR305" s="5">
        <f t="shared" si="774"/>
        <v>3.7981475596434722</v>
      </c>
      <c r="AS305" s="5">
        <f t="shared" si="739"/>
        <v>1.1346860460501882</v>
      </c>
      <c r="AT305" s="5">
        <f t="shared" si="740"/>
        <v>2.6634615135932842</v>
      </c>
      <c r="AU305" s="173">
        <f t="shared" si="741"/>
        <v>0.298747225649311</v>
      </c>
      <c r="BA305" s="173">
        <f t="shared" si="849"/>
        <v>1.2827754864701908</v>
      </c>
      <c r="BB305" s="173">
        <f t="shared" si="850"/>
        <v>1.3108766926639994</v>
      </c>
      <c r="BC305" s="173">
        <f t="shared" si="851"/>
        <v>0.13126481476540858</v>
      </c>
      <c r="BD305" s="173"/>
      <c r="BE305" s="528">
        <f t="shared" si="852"/>
        <v>6.5820517947553392E-2</v>
      </c>
      <c r="BF305" s="528">
        <f t="shared" si="804"/>
        <v>1.2600472672214067</v>
      </c>
      <c r="BG305" s="528">
        <f t="shared" si="805"/>
        <v>0.37728694944076996</v>
      </c>
      <c r="BH305" s="528">
        <f t="shared" si="853"/>
        <v>0.12615365604685608</v>
      </c>
      <c r="BI305">
        <f t="shared" si="854"/>
        <v>1.6121154445917642E-2</v>
      </c>
      <c r="BJ305" s="460">
        <f t="shared" si="855"/>
        <v>393.40810388668763</v>
      </c>
      <c r="BK305">
        <f t="shared" si="806"/>
        <v>1.4931441960482321</v>
      </c>
      <c r="BL305" s="460">
        <f t="shared" si="856"/>
        <v>1845.4295451025041</v>
      </c>
      <c r="BM305" s="173">
        <f t="shared" si="807"/>
        <v>0.77251999999999998</v>
      </c>
      <c r="BN305" s="173">
        <f t="shared" si="808"/>
        <v>5.5180000000000007E-2</v>
      </c>
      <c r="BQ305" s="460">
        <f t="shared" si="857"/>
        <v>827.7</v>
      </c>
      <c r="BR305" s="528">
        <f t="shared" si="858"/>
        <v>4.9365388460665037E-2</v>
      </c>
      <c r="BS305" s="528">
        <f t="shared" si="859"/>
        <v>5.1551931101091165E-2</v>
      </c>
      <c r="BT305" s="528">
        <f t="shared" si="860"/>
        <v>8.6152257976985122E-5</v>
      </c>
      <c r="BU305" s="528">
        <f t="shared" si="861"/>
        <v>1.8736512999213573</v>
      </c>
      <c r="BV305" s="528"/>
      <c r="BW305" s="625">
        <f t="shared" si="862"/>
        <v>0.87011537037059083</v>
      </c>
      <c r="BX305" s="460">
        <f t="shared" si="863"/>
        <v>2844.7701421116813</v>
      </c>
      <c r="BY305" s="173">
        <f t="shared" si="864"/>
        <v>5.5178996872141859</v>
      </c>
      <c r="BZ305" s="5">
        <f t="shared" si="865"/>
        <v>22.962</v>
      </c>
      <c r="CA305" s="173">
        <f t="shared" si="866"/>
        <v>0.80625283979875106</v>
      </c>
      <c r="CB305" s="5">
        <f t="shared" si="867"/>
        <v>80.625283979875107</v>
      </c>
      <c r="CC305">
        <f t="shared" si="868"/>
        <v>89</v>
      </c>
      <c r="CE305" s="562">
        <f t="shared" si="809"/>
        <v>-50</v>
      </c>
      <c r="CG305" s="173">
        <f t="shared" si="810"/>
        <v>0.67907798870528813</v>
      </c>
      <c r="CH305" s="173">
        <f t="shared" si="811"/>
        <v>0.18572219042655352</v>
      </c>
      <c r="CI305" s="170">
        <v>89</v>
      </c>
      <c r="CJ305" s="217">
        <f t="shared" si="869"/>
        <v>0.89</v>
      </c>
      <c r="CK305" s="217">
        <f t="shared" si="812"/>
        <v>8.900000000000001E-2</v>
      </c>
      <c r="CL305" s="217">
        <f t="shared" si="813"/>
        <v>21.36</v>
      </c>
      <c r="CM305" s="217">
        <f t="shared" si="814"/>
        <v>1.6020000000000001</v>
      </c>
      <c r="CN305" s="541">
        <f t="shared" si="815"/>
        <v>36</v>
      </c>
      <c r="CO305" s="443">
        <f t="shared" si="816"/>
        <v>16.474900000000002</v>
      </c>
      <c r="CP305" s="443">
        <f t="shared" si="817"/>
        <v>52.474900000000005</v>
      </c>
      <c r="CQ305" s="443"/>
      <c r="CR305" s="217">
        <f t="shared" si="818"/>
        <v>0.31220924123305599</v>
      </c>
      <c r="CS305" s="172">
        <f t="shared" si="819"/>
        <v>58.085440229405762</v>
      </c>
      <c r="CT305" s="172">
        <f t="shared" si="820"/>
        <v>4.683138618495839</v>
      </c>
      <c r="CU305" s="217">
        <f t="shared" si="821"/>
        <v>2.4202266762252402</v>
      </c>
      <c r="CV305" s="217">
        <f t="shared" si="822"/>
        <v>3.2269689016336534</v>
      </c>
      <c r="CW305" s="217">
        <f t="shared" si="823"/>
        <v>24</v>
      </c>
      <c r="CX305" s="217">
        <f t="shared" si="824"/>
        <v>4.0859350018868117</v>
      </c>
      <c r="CY305" s="217">
        <f t="shared" si="825"/>
        <v>1.134981944968559</v>
      </c>
      <c r="CZ305" s="217">
        <f t="shared" si="826"/>
        <v>2.4800969971816591</v>
      </c>
      <c r="DA305" s="197">
        <f t="shared" si="827"/>
        <v>350</v>
      </c>
      <c r="DB305" s="443">
        <f t="shared" si="828"/>
        <v>276.61913225198026</v>
      </c>
      <c r="DD305" s="217">
        <f t="shared" si="829"/>
        <v>3.2292794133140656</v>
      </c>
      <c r="DE305" s="173">
        <f t="shared" si="830"/>
        <v>1.9601207978889497</v>
      </c>
      <c r="DF305" s="173">
        <f t="shared" si="831"/>
        <v>0.6872960992823488</v>
      </c>
      <c r="DG305" s="173"/>
      <c r="DH305" s="173">
        <f t="shared" si="832"/>
        <v>1.3488532386977903</v>
      </c>
      <c r="DI305" s="545">
        <f t="shared" si="833"/>
        <v>890.31149999999968</v>
      </c>
      <c r="DJ305" s="528">
        <f t="shared" si="834"/>
        <v>0.34987754285999911</v>
      </c>
      <c r="DL305" s="173">
        <f t="shared" si="835"/>
        <v>3.6223118111425547</v>
      </c>
      <c r="DM305" s="173">
        <f t="shared" si="836"/>
        <v>4.0859350018868117</v>
      </c>
      <c r="DN305" s="173">
        <f t="shared" si="837"/>
        <v>2.5805279849367331</v>
      </c>
      <c r="DP305" s="545">
        <f t="shared" si="838"/>
        <v>890</v>
      </c>
      <c r="DQ305" s="460">
        <f t="shared" si="839"/>
        <v>276.61913225198026</v>
      </c>
      <c r="DS305">
        <f t="shared" si="840"/>
        <v>890</v>
      </c>
      <c r="DT305">
        <f t="shared" si="841"/>
        <v>276.61913225198026</v>
      </c>
      <c r="DV305" s="5">
        <f t="shared" si="870"/>
        <v>3.6150789421502179</v>
      </c>
      <c r="DW305" s="5">
        <f t="shared" si="842"/>
        <v>1.134981944968559</v>
      </c>
      <c r="DX305" s="5">
        <f t="shared" si="843"/>
        <v>2.4800969971816587</v>
      </c>
      <c r="DY305" s="173">
        <f t="shared" si="844"/>
        <v>0.31395772073886757</v>
      </c>
      <c r="EA305" s="5">
        <f t="shared" si="871"/>
        <v>4.2088913792584064</v>
      </c>
      <c r="EB305" s="5">
        <f t="shared" si="872"/>
        <v>0.5611855172344542</v>
      </c>
      <c r="EC305" s="5">
        <f t="shared" si="873"/>
        <v>1.2262701819398198</v>
      </c>
      <c r="ED305" s="5"/>
      <c r="EE305" s="173">
        <f t="shared" si="874"/>
        <v>1.3218020165791373</v>
      </c>
      <c r="EF305" s="173">
        <f t="shared" si="875"/>
        <v>1.3032631054121826</v>
      </c>
      <c r="EG305" s="173">
        <f t="shared" si="876"/>
        <v>0.13050242717708474</v>
      </c>
      <c r="EH305" s="173"/>
      <c r="EI305" s="528">
        <f t="shared" si="877"/>
        <v>6.9886422841306958E-2</v>
      </c>
      <c r="EJ305" s="528">
        <f t="shared" si="878"/>
        <v>1.6310151000000004</v>
      </c>
      <c r="EK305" s="528">
        <f t="shared" si="879"/>
        <v>5.5323826450396053E-2</v>
      </c>
      <c r="EL305" s="528">
        <f t="shared" si="880"/>
        <v>0.13329795986837578</v>
      </c>
      <c r="EM305">
        <f t="shared" si="881"/>
        <v>1.6199999999999999E-2</v>
      </c>
      <c r="EN305" s="460">
        <f t="shared" si="882"/>
        <v>71.523826450396058</v>
      </c>
      <c r="EP305" s="460">
        <f t="shared" si="883"/>
        <v>1905.7233091600795</v>
      </c>
      <c r="EQ305" s="173">
        <f t="shared" si="884"/>
        <v>0.623</v>
      </c>
      <c r="ER305" s="173">
        <f t="shared" si="845"/>
        <v>5.5180000000000007E-2</v>
      </c>
      <c r="ES305" s="528"/>
      <c r="EU305" s="460">
        <f t="shared" si="885"/>
        <v>678.18</v>
      </c>
      <c r="EV305" s="528">
        <f t="shared" si="886"/>
        <v>5.2414817130980222E-2</v>
      </c>
      <c r="EW305" s="528">
        <f t="shared" si="887"/>
        <v>5.0954841657858171E-2</v>
      </c>
      <c r="EX305" s="528">
        <f t="shared" si="888"/>
        <v>8.5154417495551522E-5</v>
      </c>
      <c r="EY305" s="528">
        <f t="shared" si="889"/>
        <v>2.1473566184574628</v>
      </c>
      <c r="EZ305" s="528"/>
      <c r="FA305" s="625">
        <f t="shared" si="890"/>
        <v>0.92362380500127172</v>
      </c>
      <c r="FB305" s="460">
        <f t="shared" si="891"/>
        <v>3174.4352366650687</v>
      </c>
      <c r="FC305" s="173">
        <f t="shared" si="892"/>
        <v>5.7583385458251479</v>
      </c>
      <c r="FD305" s="5">
        <f t="shared" si="893"/>
        <v>22.962</v>
      </c>
      <c r="FE305" s="173">
        <f t="shared" si="894"/>
        <v>0.79950311043035416</v>
      </c>
      <c r="FF305" s="5">
        <f t="shared" si="895"/>
        <v>79.950311043035413</v>
      </c>
      <c r="FG305">
        <f t="shared" si="896"/>
        <v>89</v>
      </c>
      <c r="FI305" s="562">
        <f t="shared" si="846"/>
        <v>-50</v>
      </c>
    </row>
    <row r="306" spans="5:169">
      <c r="E306" s="170">
        <v>90</v>
      </c>
      <c r="F306" s="217">
        <f t="shared" si="847"/>
        <v>0.9</v>
      </c>
      <c r="G306" s="217">
        <f t="shared" si="775"/>
        <v>9.0000000000000011E-2</v>
      </c>
      <c r="H306" s="217">
        <f t="shared" si="776"/>
        <v>21.6</v>
      </c>
      <c r="I306" s="217">
        <f t="shared" si="777"/>
        <v>1.62</v>
      </c>
      <c r="J306" s="541">
        <f t="shared" si="778"/>
        <v>35.82281897959021</v>
      </c>
      <c r="K306" s="443">
        <f t="shared" si="779"/>
        <v>16.501419781673878</v>
      </c>
      <c r="L306" s="172">
        <f t="shared" si="780"/>
        <v>52.324238761264084</v>
      </c>
      <c r="M306" s="443"/>
      <c r="N306" s="217">
        <f t="shared" si="781"/>
        <v>0.31536855905278777</v>
      </c>
      <c r="O306" s="172">
        <f t="shared" si="782"/>
        <v>58.384448593293129</v>
      </c>
      <c r="P306" s="172">
        <f t="shared" si="783"/>
        <v>4.7072461678342581</v>
      </c>
      <c r="Q306" s="217">
        <f t="shared" si="784"/>
        <v>2.4326853580538805</v>
      </c>
      <c r="R306" s="217">
        <f t="shared" si="785"/>
        <v>3.2435804774051737</v>
      </c>
      <c r="S306" s="217">
        <f t="shared" si="786"/>
        <v>24</v>
      </c>
      <c r="T306" s="217">
        <f t="shared" si="787"/>
        <v>4.1106836800299904</v>
      </c>
      <c r="U306" s="217">
        <f t="shared" si="788"/>
        <v>1.1475042436978571</v>
      </c>
      <c r="V306" s="217">
        <f t="shared" si="789"/>
        <v>2.4911090890465242</v>
      </c>
      <c r="W306" s="197">
        <f t="shared" si="790"/>
        <v>350</v>
      </c>
      <c r="X306" s="443">
        <f t="shared" si="848"/>
        <v>260.51074002941033</v>
      </c>
      <c r="Z306" s="217">
        <f t="shared" si="791"/>
        <v>3.2278259436577765</v>
      </c>
      <c r="AA306" s="173">
        <f t="shared" si="792"/>
        <v>1.956089831277749</v>
      </c>
      <c r="AB306" s="173">
        <f t="shared" si="793"/>
        <v>0.68557397286718913</v>
      </c>
      <c r="AC306" s="173"/>
      <c r="AD306" s="173">
        <f t="shared" si="794"/>
        <v>1.3466854680529823</v>
      </c>
      <c r="AE306" s="545">
        <f t="shared" si="795"/>
        <v>901.76424444079873</v>
      </c>
      <c r="AF306" s="528">
        <f t="shared" si="796"/>
        <v>0.34931524724107638</v>
      </c>
      <c r="AH306" s="173">
        <f t="shared" si="797"/>
        <v>3.6426050332929907</v>
      </c>
      <c r="AI306" s="173">
        <f t="shared" si="798"/>
        <v>4.1106836800299904</v>
      </c>
      <c r="AJ306" s="173">
        <f t="shared" si="799"/>
        <v>2.5988603391168654</v>
      </c>
      <c r="AL306" s="545">
        <f t="shared" si="800"/>
        <v>900</v>
      </c>
      <c r="AM306" s="460">
        <f t="shared" si="801"/>
        <v>260.51074002941033</v>
      </c>
      <c r="AO306">
        <f t="shared" si="802"/>
        <v>900</v>
      </c>
      <c r="AP306">
        <f t="shared" si="803"/>
        <v>260.51074002941033</v>
      </c>
      <c r="AR306" s="5">
        <f t="shared" si="774"/>
        <v>3.8386133327443819</v>
      </c>
      <c r="AS306" s="5">
        <f t="shared" si="739"/>
        <v>1.1475042436978571</v>
      </c>
      <c r="AT306" s="5">
        <f t="shared" si="740"/>
        <v>2.6911090890465248</v>
      </c>
      <c r="AU306" s="173">
        <f t="shared" si="741"/>
        <v>0.29893717971261757</v>
      </c>
      <c r="BA306" s="173">
        <f t="shared" si="849"/>
        <v>1.2976076519523365</v>
      </c>
      <c r="BB306" s="173">
        <f t="shared" si="850"/>
        <v>1.3254328593919269</v>
      </c>
      <c r="BC306" s="173">
        <f t="shared" si="851"/>
        <v>0.13272239848775916</v>
      </c>
      <c r="BD306" s="173"/>
      <c r="BE306" s="528">
        <f t="shared" si="852"/>
        <v>6.7351424736210252E-2</v>
      </c>
      <c r="BF306" s="528">
        <f t="shared" si="804"/>
        <v>1.2607388276128535</v>
      </c>
      <c r="BG306" s="528">
        <f t="shared" si="805"/>
        <v>0.37328916329250605</v>
      </c>
      <c r="BH306" s="528">
        <f t="shared" si="853"/>
        <v>0.12481578679818936</v>
      </c>
      <c r="BI306">
        <f t="shared" si="854"/>
        <v>1.6120268540815594E-2</v>
      </c>
      <c r="BJ306" s="460">
        <f t="shared" si="855"/>
        <v>389.40943183332166</v>
      </c>
      <c r="BK306">
        <f t="shared" si="806"/>
        <v>1.4950152013724085</v>
      </c>
      <c r="BL306" s="460">
        <f t="shared" si="856"/>
        <v>1842.3154709805747</v>
      </c>
      <c r="BM306" s="173">
        <f t="shared" si="807"/>
        <v>0.78120000000000001</v>
      </c>
      <c r="BN306" s="173">
        <f t="shared" si="808"/>
        <v>5.5800000000000009E-2</v>
      </c>
      <c r="BQ306" s="460">
        <f t="shared" si="857"/>
        <v>837</v>
      </c>
      <c r="BR306" s="528">
        <f t="shared" si="858"/>
        <v>5.0513568552157682E-2</v>
      </c>
      <c r="BS306" s="528">
        <f t="shared" si="859"/>
        <v>5.270316794267578E-2</v>
      </c>
      <c r="BT306" s="528">
        <f t="shared" si="860"/>
        <v>8.8076175301717683E-5</v>
      </c>
      <c r="BU306" s="528">
        <f t="shared" si="861"/>
        <v>1.8763732495170484</v>
      </c>
      <c r="BV306" s="528"/>
      <c r="BW306" s="625">
        <f t="shared" si="862"/>
        <v>0.8804075249321367</v>
      </c>
      <c r="BX306" s="460">
        <f t="shared" si="863"/>
        <v>2860.0855871193203</v>
      </c>
      <c r="BY306" s="173">
        <f t="shared" si="864"/>
        <v>5.5394010580998962</v>
      </c>
      <c r="BZ306" s="5">
        <f t="shared" si="865"/>
        <v>23.220000000000002</v>
      </c>
      <c r="CA306" s="173">
        <f t="shared" si="866"/>
        <v>0.80738816337276409</v>
      </c>
      <c r="CB306" s="5">
        <f t="shared" si="867"/>
        <v>80.738816337276404</v>
      </c>
      <c r="CC306">
        <f t="shared" si="868"/>
        <v>90</v>
      </c>
      <c r="CE306" s="562">
        <f t="shared" si="809"/>
        <v>-50</v>
      </c>
      <c r="CG306" s="173">
        <f t="shared" si="810"/>
        <v>0.67907798870528813</v>
      </c>
      <c r="CH306" s="173">
        <f t="shared" si="811"/>
        <v>0.1857221904265535</v>
      </c>
      <c r="CI306" s="170">
        <v>90</v>
      </c>
      <c r="CJ306" s="217">
        <f t="shared" si="869"/>
        <v>0.9</v>
      </c>
      <c r="CK306" s="217">
        <f t="shared" si="812"/>
        <v>9.0000000000000011E-2</v>
      </c>
      <c r="CL306" s="217">
        <f t="shared" si="813"/>
        <v>21.6</v>
      </c>
      <c r="CM306" s="217">
        <f t="shared" si="814"/>
        <v>1.62</v>
      </c>
      <c r="CN306" s="541">
        <f t="shared" si="815"/>
        <v>36</v>
      </c>
      <c r="CO306" s="443">
        <f t="shared" si="816"/>
        <v>16.474900000000002</v>
      </c>
      <c r="CP306" s="443">
        <f t="shared" si="817"/>
        <v>52.474900000000005</v>
      </c>
      <c r="CQ306" s="443"/>
      <c r="CR306" s="217">
        <f t="shared" si="818"/>
        <v>0.31220924123305599</v>
      </c>
      <c r="CS306" s="172">
        <f t="shared" si="819"/>
        <v>58.085440229405762</v>
      </c>
      <c r="CT306" s="172">
        <f t="shared" si="820"/>
        <v>4.683138618495839</v>
      </c>
      <c r="CU306" s="217">
        <f t="shared" si="821"/>
        <v>2.4202266762252402</v>
      </c>
      <c r="CV306" s="217">
        <f t="shared" si="822"/>
        <v>3.2269689016336534</v>
      </c>
      <c r="CW306" s="217">
        <f t="shared" si="823"/>
        <v>24</v>
      </c>
      <c r="CX306" s="217">
        <f t="shared" si="824"/>
        <v>4.1318443839304839</v>
      </c>
      <c r="CY306" s="217">
        <f t="shared" si="825"/>
        <v>1.1477345510918011</v>
      </c>
      <c r="CZ306" s="217">
        <f t="shared" si="826"/>
        <v>2.5079632555769589</v>
      </c>
      <c r="DA306" s="197">
        <f t="shared" si="827"/>
        <v>350</v>
      </c>
      <c r="DB306" s="443">
        <f t="shared" si="828"/>
        <v>273.54558633806931</v>
      </c>
      <c r="DD306" s="217">
        <f t="shared" si="829"/>
        <v>3.2292794133140656</v>
      </c>
      <c r="DE306" s="173">
        <f t="shared" si="830"/>
        <v>1.9601207978889497</v>
      </c>
      <c r="DF306" s="173">
        <f t="shared" si="831"/>
        <v>0.6872960992823488</v>
      </c>
      <c r="DG306" s="173"/>
      <c r="DH306" s="173">
        <f t="shared" si="832"/>
        <v>1.3488532386977903</v>
      </c>
      <c r="DI306" s="545">
        <f t="shared" si="833"/>
        <v>900.31499999999971</v>
      </c>
      <c r="DJ306" s="528">
        <f t="shared" si="834"/>
        <v>0.34987754285999911</v>
      </c>
      <c r="DL306" s="173">
        <f t="shared" si="835"/>
        <v>3.6426050332929907</v>
      </c>
      <c r="DM306" s="173">
        <f t="shared" si="836"/>
        <v>4.1318443839304839</v>
      </c>
      <c r="DN306" s="173">
        <f t="shared" si="837"/>
        <v>2.6145349345987121</v>
      </c>
      <c r="DP306" s="545">
        <f t="shared" si="838"/>
        <v>900</v>
      </c>
      <c r="DQ306" s="460">
        <f t="shared" si="839"/>
        <v>273.54558633806931</v>
      </c>
      <c r="DS306">
        <f t="shared" si="840"/>
        <v>900</v>
      </c>
      <c r="DT306">
        <f t="shared" si="841"/>
        <v>273.54558633806931</v>
      </c>
      <c r="DV306" s="5">
        <f t="shared" si="870"/>
        <v>3.6556978066687602</v>
      </c>
      <c r="DW306" s="5">
        <f t="shared" si="842"/>
        <v>1.1477345510918011</v>
      </c>
      <c r="DX306" s="5">
        <f t="shared" si="843"/>
        <v>2.5079632555769589</v>
      </c>
      <c r="DY306" s="173">
        <f t="shared" si="844"/>
        <v>0.31395772073886752</v>
      </c>
      <c r="EA306" s="5">
        <f t="shared" si="871"/>
        <v>4.3040045665942541</v>
      </c>
      <c r="EB306" s="5">
        <f t="shared" si="872"/>
        <v>0.57386727554590067</v>
      </c>
      <c r="EC306" s="5">
        <f t="shared" si="873"/>
        <v>1.2539816277884794</v>
      </c>
      <c r="ED306" s="5"/>
      <c r="EE306" s="173">
        <f t="shared" si="874"/>
        <v>1.3366537246305881</v>
      </c>
      <c r="EF306" s="173">
        <f t="shared" si="875"/>
        <v>1.3179065110909711</v>
      </c>
      <c r="EG306" s="173">
        <f t="shared" si="876"/>
        <v>0.13196874658356883</v>
      </c>
      <c r="EH306" s="173"/>
      <c r="EI306" s="528">
        <f t="shared" si="877"/>
        <v>7.1465727182752958E-2</v>
      </c>
      <c r="EJ306" s="528">
        <f t="shared" si="878"/>
        <v>1.6310151000000002</v>
      </c>
      <c r="EK306" s="528">
        <f t="shared" si="879"/>
        <v>5.4709117267613863E-2</v>
      </c>
      <c r="EL306" s="528">
        <f t="shared" si="880"/>
        <v>0.13181687142539378</v>
      </c>
      <c r="EM306">
        <f t="shared" si="881"/>
        <v>1.6199999999999999E-2</v>
      </c>
      <c r="EN306" s="460">
        <f t="shared" si="882"/>
        <v>70.909117267613865</v>
      </c>
      <c r="EP306" s="460">
        <f t="shared" si="883"/>
        <v>1905.2068158757609</v>
      </c>
      <c r="EQ306" s="173">
        <f t="shared" si="884"/>
        <v>0.63</v>
      </c>
      <c r="ER306" s="173">
        <f t="shared" si="845"/>
        <v>5.5800000000000009E-2</v>
      </c>
      <c r="ES306" s="528"/>
      <c r="EU306" s="460">
        <f t="shared" si="885"/>
        <v>685.8</v>
      </c>
      <c r="EV306" s="528">
        <f t="shared" si="886"/>
        <v>5.3599295387064719E-2</v>
      </c>
      <c r="EW306" s="528">
        <f t="shared" si="887"/>
        <v>5.2106327159279278E-2</v>
      </c>
      <c r="EX306" s="528">
        <f t="shared" si="888"/>
        <v>8.7078750374191042E-5</v>
      </c>
      <c r="EY306" s="528">
        <f t="shared" si="889"/>
        <v>2.1473566184574593</v>
      </c>
      <c r="EZ306" s="528"/>
      <c r="FA306" s="625">
        <f t="shared" si="890"/>
        <v>0.93400160056308357</v>
      </c>
      <c r="FB306" s="460">
        <f t="shared" si="891"/>
        <v>3187.1509203172609</v>
      </c>
      <c r="FC306" s="173">
        <f t="shared" si="892"/>
        <v>5.7781577361930232</v>
      </c>
      <c r="FD306" s="5">
        <f t="shared" si="893"/>
        <v>23.220000000000002</v>
      </c>
      <c r="FE306" s="173">
        <f t="shared" si="894"/>
        <v>0.80074052328568379</v>
      </c>
      <c r="FF306" s="5">
        <f t="shared" si="895"/>
        <v>80.074052328568385</v>
      </c>
      <c r="FG306">
        <f t="shared" si="896"/>
        <v>90</v>
      </c>
      <c r="FI306" s="562">
        <f t="shared" si="846"/>
        <v>-50</v>
      </c>
    </row>
    <row r="307" spans="5:169">
      <c r="E307" s="170">
        <v>91</v>
      </c>
      <c r="F307" s="217">
        <f t="shared" si="847"/>
        <v>0.91</v>
      </c>
      <c r="G307" s="217">
        <f t="shared" si="775"/>
        <v>9.1000000000000011E-2</v>
      </c>
      <c r="H307" s="217">
        <f t="shared" si="776"/>
        <v>21.84</v>
      </c>
      <c r="I307" s="217">
        <f t="shared" si="777"/>
        <v>1.6380000000000001</v>
      </c>
      <c r="J307" s="541">
        <f t="shared" si="778"/>
        <v>35.820850301585658</v>
      </c>
      <c r="K307" s="443">
        <f t="shared" si="779"/>
        <v>16.5017144459147</v>
      </c>
      <c r="L307" s="172">
        <f t="shared" si="780"/>
        <v>52.322564747500358</v>
      </c>
      <c r="M307" s="443"/>
      <c r="N307" s="217">
        <f t="shared" si="781"/>
        <v>0.31538428067410529</v>
      </c>
      <c r="O307" s="172">
        <f t="shared" si="782"/>
        <v>58.384150416022727</v>
      </c>
      <c r="P307" s="172">
        <f t="shared" si="783"/>
        <v>4.7072221272918329</v>
      </c>
      <c r="Q307" s="217">
        <f t="shared" si="784"/>
        <v>2.432672934000947</v>
      </c>
      <c r="R307" s="217">
        <f t="shared" si="785"/>
        <v>3.2435639120012625</v>
      </c>
      <c r="S307" s="217">
        <f t="shared" si="786"/>
        <v>24</v>
      </c>
      <c r="T307" s="217">
        <f t="shared" si="787"/>
        <v>4.1563791703316468</v>
      </c>
      <c r="U307" s="217">
        <f t="shared" si="788"/>
        <v>1.1603239831935703</v>
      </c>
      <c r="V307" s="217">
        <f t="shared" si="789"/>
        <v>2.5187559656024923</v>
      </c>
      <c r="W307" s="197">
        <f t="shared" si="790"/>
        <v>350</v>
      </c>
      <c r="X307" s="443">
        <f t="shared" si="848"/>
        <v>257.7930883611632</v>
      </c>
      <c r="Z307" s="217">
        <f t="shared" si="791"/>
        <v>3.2278094587143995</v>
      </c>
      <c r="AA307" s="173">
        <f t="shared" si="792"/>
        <v>1.9560449123596988</v>
      </c>
      <c r="AB307" s="173">
        <f t="shared" si="793"/>
        <v>0.68555472836337905</v>
      </c>
      <c r="AC307" s="173"/>
      <c r="AD307" s="173">
        <f t="shared" si="794"/>
        <v>1.3466614208515615</v>
      </c>
      <c r="AE307" s="545">
        <f t="shared" si="795"/>
        <v>911.80012879188291</v>
      </c>
      <c r="AF307" s="528">
        <f t="shared" si="796"/>
        <v>0.34930900966421902</v>
      </c>
      <c r="AH307" s="173">
        <f t="shared" si="797"/>
        <v>3.6627858250244443</v>
      </c>
      <c r="AI307" s="173">
        <f t="shared" si="798"/>
        <v>4.1563791703316468</v>
      </c>
      <c r="AJ307" s="173">
        <f t="shared" si="799"/>
        <v>2.6327088504514258</v>
      </c>
      <c r="AL307" s="545">
        <f t="shared" si="800"/>
        <v>910</v>
      </c>
      <c r="AM307" s="460">
        <f t="shared" si="801"/>
        <v>257.7930883611632</v>
      </c>
      <c r="AO307">
        <f t="shared" si="802"/>
        <v>910</v>
      </c>
      <c r="AP307">
        <f t="shared" si="803"/>
        <v>257.7930883611632</v>
      </c>
      <c r="AR307" s="5">
        <f t="shared" si="774"/>
        <v>3.8790799487960634</v>
      </c>
      <c r="AS307" s="5">
        <f t="shared" ref="AS307:AS316" si="897">L*AI307/J307*1000000</f>
        <v>1.1603239831935703</v>
      </c>
      <c r="AT307" s="5">
        <f t="shared" ref="AT307:AT316" si="898">AR307-AS307</f>
        <v>2.7187559656024929</v>
      </c>
      <c r="AU307" s="173">
        <f t="shared" ref="AU307:AU316" si="899">AS307/AR307</f>
        <v>0.29912350312699693</v>
      </c>
      <c r="BA307" s="173">
        <f t="shared" si="849"/>
        <v>1.3124410375615738</v>
      </c>
      <c r="BB307" s="173">
        <f t="shared" si="850"/>
        <v>1.3399886338219922</v>
      </c>
      <c r="BC307" s="173">
        <f t="shared" si="851"/>
        <v>0.13417994292731028</v>
      </c>
      <c r="BD307" s="173"/>
      <c r="BE307" s="528">
        <f t="shared" si="852"/>
        <v>6.8900059083028015E-2</v>
      </c>
      <c r="BF307" s="528">
        <f t="shared" si="804"/>
        <v>1.2614149425439274</v>
      </c>
      <c r="BG307" s="528">
        <f t="shared" si="805"/>
        <v>0.36937470507874681</v>
      </c>
      <c r="BH307" s="528">
        <f t="shared" si="853"/>
        <v>0.12350580372958217</v>
      </c>
      <c r="BI307">
        <f t="shared" si="854"/>
        <v>1.6119382635713546E-2</v>
      </c>
      <c r="BJ307" s="460">
        <f t="shared" si="855"/>
        <v>385.49408771446036</v>
      </c>
      <c r="BK307">
        <f t="shared" si="806"/>
        <v>1.4969295368766165</v>
      </c>
      <c r="BL307" s="460">
        <f t="shared" si="856"/>
        <v>1839.3148930709979</v>
      </c>
      <c r="BM307" s="173">
        <f t="shared" si="807"/>
        <v>0.78988000000000003</v>
      </c>
      <c r="BN307" s="173">
        <f t="shared" si="808"/>
        <v>5.6420000000000005E-2</v>
      </c>
      <c r="BQ307" s="460">
        <f t="shared" si="857"/>
        <v>846.30000000000007</v>
      </c>
      <c r="BR307" s="528">
        <f t="shared" si="858"/>
        <v>5.1675044312271011E-2</v>
      </c>
      <c r="BS307" s="528">
        <f t="shared" si="859"/>
        <v>5.3867086163163873E-2</v>
      </c>
      <c r="BT307" s="528">
        <f t="shared" si="860"/>
        <v>9.0021285419881222E-5</v>
      </c>
      <c r="BU307" s="528">
        <f t="shared" si="861"/>
        <v>1.8790402241842954</v>
      </c>
      <c r="BV307" s="528"/>
      <c r="BW307" s="625">
        <f t="shared" si="862"/>
        <v>0.89070027097165272</v>
      </c>
      <c r="BX307" s="460">
        <f t="shared" si="863"/>
        <v>2875.3726469168028</v>
      </c>
      <c r="BY307" s="173">
        <f t="shared" si="864"/>
        <v>5.560987539987801</v>
      </c>
      <c r="BZ307" s="5">
        <f t="shared" si="865"/>
        <v>23.478000000000002</v>
      </c>
      <c r="CA307" s="173">
        <f t="shared" si="866"/>
        <v>0.80849926216159895</v>
      </c>
      <c r="CB307" s="5">
        <f t="shared" si="867"/>
        <v>80.849926216159901</v>
      </c>
      <c r="CC307">
        <f t="shared" si="868"/>
        <v>91</v>
      </c>
      <c r="CE307" s="562">
        <f t="shared" si="809"/>
        <v>-50</v>
      </c>
      <c r="CG307" s="173">
        <f t="shared" si="810"/>
        <v>0.67907798870528813</v>
      </c>
      <c r="CH307" s="173">
        <f t="shared" si="811"/>
        <v>0.18572219042655352</v>
      </c>
      <c r="CI307" s="170">
        <v>91</v>
      </c>
      <c r="CJ307" s="217">
        <f t="shared" si="869"/>
        <v>0.91</v>
      </c>
      <c r="CK307" s="217">
        <f t="shared" si="812"/>
        <v>9.1000000000000011E-2</v>
      </c>
      <c r="CL307" s="217">
        <f t="shared" si="813"/>
        <v>21.84</v>
      </c>
      <c r="CM307" s="217">
        <f t="shared" si="814"/>
        <v>1.6380000000000001</v>
      </c>
      <c r="CN307" s="541">
        <f t="shared" si="815"/>
        <v>36</v>
      </c>
      <c r="CO307" s="443">
        <f t="shared" si="816"/>
        <v>16.474900000000002</v>
      </c>
      <c r="CP307" s="443">
        <f t="shared" si="817"/>
        <v>52.474900000000005</v>
      </c>
      <c r="CQ307" s="443"/>
      <c r="CR307" s="217">
        <f t="shared" si="818"/>
        <v>0.31220924123305599</v>
      </c>
      <c r="CS307" s="172">
        <f t="shared" si="819"/>
        <v>58.085440229405762</v>
      </c>
      <c r="CT307" s="172">
        <f t="shared" si="820"/>
        <v>4.683138618495839</v>
      </c>
      <c r="CU307" s="217">
        <f t="shared" si="821"/>
        <v>2.4202266762252402</v>
      </c>
      <c r="CV307" s="217">
        <f t="shared" si="822"/>
        <v>3.2269689016336534</v>
      </c>
      <c r="CW307" s="217">
        <f t="shared" si="823"/>
        <v>24</v>
      </c>
      <c r="CX307" s="217">
        <f t="shared" si="824"/>
        <v>4.1777537659741562</v>
      </c>
      <c r="CY307" s="217">
        <f t="shared" si="825"/>
        <v>1.1604871572150435</v>
      </c>
      <c r="CZ307" s="217">
        <f t="shared" si="826"/>
        <v>2.5358295139722586</v>
      </c>
      <c r="DA307" s="197">
        <f t="shared" si="827"/>
        <v>350</v>
      </c>
      <c r="DB307" s="443">
        <f t="shared" si="828"/>
        <v>270.53959088380481</v>
      </c>
      <c r="DD307" s="217">
        <f t="shared" si="829"/>
        <v>3.2292794133140656</v>
      </c>
      <c r="DE307" s="173">
        <f t="shared" si="830"/>
        <v>1.9601207978889497</v>
      </c>
      <c r="DF307" s="173">
        <f t="shared" si="831"/>
        <v>0.6872960992823488</v>
      </c>
      <c r="DG307" s="173"/>
      <c r="DH307" s="173">
        <f t="shared" si="832"/>
        <v>1.3488532386977903</v>
      </c>
      <c r="DI307" s="545">
        <f t="shared" si="833"/>
        <v>910.31849999999974</v>
      </c>
      <c r="DJ307" s="528">
        <f t="shared" si="834"/>
        <v>0.34987754285999911</v>
      </c>
      <c r="DL307" s="173">
        <f t="shared" si="835"/>
        <v>3.6627858250244443</v>
      </c>
      <c r="DM307" s="173">
        <f t="shared" si="836"/>
        <v>4.1777537659741562</v>
      </c>
      <c r="DN307" s="173">
        <f t="shared" si="837"/>
        <v>2.648541884260692</v>
      </c>
      <c r="DP307" s="545">
        <f t="shared" si="838"/>
        <v>910</v>
      </c>
      <c r="DQ307" s="460">
        <f t="shared" si="839"/>
        <v>270.53959088380481</v>
      </c>
      <c r="DS307">
        <f t="shared" si="840"/>
        <v>910</v>
      </c>
      <c r="DT307">
        <f t="shared" si="841"/>
        <v>270.53959088380481</v>
      </c>
      <c r="DV307" s="5">
        <f t="shared" si="870"/>
        <v>3.6963166711873021</v>
      </c>
      <c r="DW307" s="5">
        <f t="shared" si="842"/>
        <v>1.1604871572150435</v>
      </c>
      <c r="DX307" s="5">
        <f t="shared" si="843"/>
        <v>2.5358295139722586</v>
      </c>
      <c r="DY307" s="173">
        <f t="shared" si="844"/>
        <v>0.31395772073886752</v>
      </c>
      <c r="EA307" s="5">
        <f t="shared" si="871"/>
        <v>4.4001804711070402</v>
      </c>
      <c r="EB307" s="5">
        <f t="shared" si="872"/>
        <v>0.5866907294809387</v>
      </c>
      <c r="EC307" s="5">
        <f t="shared" si="873"/>
        <v>1.2820026987304194</v>
      </c>
      <c r="ED307" s="5"/>
      <c r="EE307" s="173">
        <f t="shared" si="874"/>
        <v>1.351505432682039</v>
      </c>
      <c r="EF307" s="173">
        <f t="shared" si="875"/>
        <v>1.3325499167697596</v>
      </c>
      <c r="EG307" s="173">
        <f t="shared" si="876"/>
        <v>0.13343506599005295</v>
      </c>
      <c r="EH307" s="173"/>
      <c r="EI307" s="528">
        <f t="shared" si="877"/>
        <v>7.306267738276262E-2</v>
      </c>
      <c r="EJ307" s="528">
        <f t="shared" si="878"/>
        <v>1.6310151000000002</v>
      </c>
      <c r="EK307" s="528">
        <f t="shared" si="879"/>
        <v>5.4107918176760958E-2</v>
      </c>
      <c r="EL307" s="528">
        <f t="shared" si="880"/>
        <v>0.13036833437676307</v>
      </c>
      <c r="EM307">
        <f t="shared" si="881"/>
        <v>1.6199999999999999E-2</v>
      </c>
      <c r="EN307" s="460">
        <f t="shared" si="882"/>
        <v>70.307918176760964</v>
      </c>
      <c r="EP307" s="460">
        <f t="shared" si="883"/>
        <v>1904.7540299362868</v>
      </c>
      <c r="EQ307" s="173">
        <f t="shared" si="884"/>
        <v>0.63700000000000001</v>
      </c>
      <c r="ER307" s="173">
        <f t="shared" si="845"/>
        <v>5.6420000000000005E-2</v>
      </c>
      <c r="ES307" s="528"/>
      <c r="EU307" s="460">
        <f t="shared" si="885"/>
        <v>693.42000000000007</v>
      </c>
      <c r="EV307" s="528">
        <f t="shared" si="886"/>
        <v>5.4797008037071965E-2</v>
      </c>
      <c r="EW307" s="528">
        <f t="shared" si="887"/>
        <v>5.3270678420492795E-2</v>
      </c>
      <c r="EX307" s="528">
        <f t="shared" si="888"/>
        <v>8.9024584178848924E-5</v>
      </c>
      <c r="EY307" s="528">
        <f t="shared" si="889"/>
        <v>2.1473566184574642</v>
      </c>
      <c r="EZ307" s="528"/>
      <c r="FA307" s="625">
        <f t="shared" si="890"/>
        <v>0.94437939612489563</v>
      </c>
      <c r="FB307" s="460">
        <f t="shared" si="891"/>
        <v>3199.8927256241032</v>
      </c>
      <c r="FC307" s="173">
        <f t="shared" si="892"/>
        <v>5.7980667555603898</v>
      </c>
      <c r="FD307" s="5">
        <f t="shared" si="893"/>
        <v>23.478000000000002</v>
      </c>
      <c r="FE307" s="173">
        <f t="shared" si="894"/>
        <v>0.80195199020513341</v>
      </c>
      <c r="FF307" s="5">
        <f t="shared" si="895"/>
        <v>80.195199020513343</v>
      </c>
      <c r="FG307">
        <f t="shared" si="896"/>
        <v>91</v>
      </c>
      <c r="FI307" s="562">
        <f t="shared" si="846"/>
        <v>-50</v>
      </c>
    </row>
    <row r="308" spans="5:169">
      <c r="E308" s="170">
        <v>92</v>
      </c>
      <c r="F308" s="217">
        <f t="shared" si="847"/>
        <v>0.92</v>
      </c>
      <c r="G308" s="217">
        <f t="shared" si="775"/>
        <v>9.2000000000000012E-2</v>
      </c>
      <c r="H308" s="217">
        <f t="shared" si="776"/>
        <v>22.080000000000002</v>
      </c>
      <c r="I308" s="217">
        <f t="shared" si="777"/>
        <v>1.6560000000000001</v>
      </c>
      <c r="J308" s="541">
        <f t="shared" si="778"/>
        <v>35.818881623581106</v>
      </c>
      <c r="K308" s="443">
        <f t="shared" si="779"/>
        <v>16.50200911015552</v>
      </c>
      <c r="L308" s="172">
        <f t="shared" si="780"/>
        <v>52.320890733736626</v>
      </c>
      <c r="M308" s="443"/>
      <c r="N308" s="217">
        <f t="shared" si="781"/>
        <v>0.31540000330145351</v>
      </c>
      <c r="O308" s="172">
        <f t="shared" si="782"/>
        <v>58.383852105074176</v>
      </c>
      <c r="P308" s="172">
        <f t="shared" si="783"/>
        <v>4.7071980759716059</v>
      </c>
      <c r="Q308" s="217">
        <f t="shared" si="784"/>
        <v>2.4326605043780907</v>
      </c>
      <c r="R308" s="217">
        <f t="shared" si="785"/>
        <v>3.2435473391707874</v>
      </c>
      <c r="S308" s="217">
        <f t="shared" si="786"/>
        <v>24</v>
      </c>
      <c r="T308" s="217">
        <f t="shared" si="787"/>
        <v>4.202075137005413</v>
      </c>
      <c r="U308" s="217">
        <f t="shared" si="788"/>
        <v>1.1731452648814717</v>
      </c>
      <c r="V308" s="217">
        <f t="shared" si="789"/>
        <v>2.5464021434937942</v>
      </c>
      <c r="W308" s="197">
        <f t="shared" si="790"/>
        <v>350</v>
      </c>
      <c r="X308" s="443">
        <f t="shared" si="848"/>
        <v>255.131497545662</v>
      </c>
      <c r="Z308" s="217">
        <f t="shared" si="791"/>
        <v>3.2277929663805289</v>
      </c>
      <c r="AA308" s="173">
        <f t="shared" si="792"/>
        <v>1.9559999905672756</v>
      </c>
      <c r="AB308" s="173">
        <f t="shared" si="793"/>
        <v>0.6855354814433382</v>
      </c>
      <c r="AC308" s="173"/>
      <c r="AD308" s="173">
        <f t="shared" si="794"/>
        <v>1.3466373745089273</v>
      </c>
      <c r="AE308" s="545">
        <f t="shared" si="795"/>
        <v>921.83637098110114</v>
      </c>
      <c r="AF308" s="528">
        <f t="shared" si="796"/>
        <v>0.34930277231012119</v>
      </c>
      <c r="AH308" s="173">
        <f t="shared" si="797"/>
        <v>3.6828560345781329</v>
      </c>
      <c r="AI308" s="173">
        <f t="shared" si="798"/>
        <v>4.202075137005413</v>
      </c>
      <c r="AJ308" s="173">
        <f t="shared" si="799"/>
        <v>2.666557714654215</v>
      </c>
      <c r="AL308" s="545">
        <f t="shared" si="800"/>
        <v>920</v>
      </c>
      <c r="AM308" s="460">
        <f t="shared" si="801"/>
        <v>255.131497545662</v>
      </c>
      <c r="AO308">
        <f t="shared" si="802"/>
        <v>920</v>
      </c>
      <c r="AP308">
        <f t="shared" si="803"/>
        <v>255.131497545662</v>
      </c>
      <c r="AR308" s="5">
        <f t="shared" si="774"/>
        <v>3.9195474083752657</v>
      </c>
      <c r="AS308" s="5">
        <f t="shared" si="897"/>
        <v>1.1731452648814717</v>
      </c>
      <c r="AT308" s="5">
        <f t="shared" si="898"/>
        <v>2.746402143493794</v>
      </c>
      <c r="AU308" s="173">
        <f t="shared" si="899"/>
        <v>0.29930630826781224</v>
      </c>
      <c r="BA308" s="173">
        <f t="shared" si="849"/>
        <v>1.3272756332833975</v>
      </c>
      <c r="BB308" s="173">
        <f t="shared" si="850"/>
        <v>1.354544022426454</v>
      </c>
      <c r="BC308" s="173">
        <f t="shared" si="851"/>
        <v>0.13563744873216246</v>
      </c>
      <c r="BD308" s="173"/>
      <c r="BE308" s="528">
        <f t="shared" si="852"/>
        <v>7.0466424268313746E-2</v>
      </c>
      <c r="BF308" s="528">
        <f t="shared" si="804"/>
        <v>1.2620760898667887</v>
      </c>
      <c r="BG308" s="528">
        <f t="shared" si="805"/>
        <v>0.36554099636140164</v>
      </c>
      <c r="BH308" s="528">
        <f t="shared" si="853"/>
        <v>0.12222284395167217</v>
      </c>
      <c r="BI308">
        <f t="shared" si="854"/>
        <v>1.6118496730611498E-2</v>
      </c>
      <c r="BJ308" s="460">
        <f t="shared" si="855"/>
        <v>381.65949309201312</v>
      </c>
      <c r="BK308">
        <f t="shared" si="806"/>
        <v>1.4988868896393597</v>
      </c>
      <c r="BL308" s="460">
        <f t="shared" si="856"/>
        <v>1836.4248511787875</v>
      </c>
      <c r="BM308" s="173">
        <f t="shared" si="807"/>
        <v>0.79856000000000005</v>
      </c>
      <c r="BN308" s="173">
        <f t="shared" si="808"/>
        <v>5.7040000000000007E-2</v>
      </c>
      <c r="BQ308" s="460">
        <f t="shared" si="857"/>
        <v>855.6</v>
      </c>
      <c r="BR308" s="528">
        <f t="shared" si="858"/>
        <v>5.2849818201235313E-2</v>
      </c>
      <c r="BS308" s="528">
        <f t="shared" si="859"/>
        <v>5.5043685260737135E-2</v>
      </c>
      <c r="BT308" s="528">
        <f t="shared" si="860"/>
        <v>9.1987587492850008E-5</v>
      </c>
      <c r="BU308" s="528">
        <f t="shared" si="861"/>
        <v>1.8816538536098453</v>
      </c>
      <c r="BV308" s="528"/>
      <c r="BW308" s="625">
        <f t="shared" si="862"/>
        <v>0.90099359019404934</v>
      </c>
      <c r="BX308" s="460">
        <f t="shared" si="863"/>
        <v>2890.63293485336</v>
      </c>
      <c r="BY308" s="173">
        <f t="shared" si="864"/>
        <v>5.5826577860321471</v>
      </c>
      <c r="BZ308" s="5">
        <f t="shared" si="865"/>
        <v>23.736000000000001</v>
      </c>
      <c r="CA308" s="173">
        <f t="shared" si="866"/>
        <v>0.80958685671170771</v>
      </c>
      <c r="CB308" s="5">
        <f t="shared" si="867"/>
        <v>80.95868567117077</v>
      </c>
      <c r="CC308">
        <f t="shared" si="868"/>
        <v>92</v>
      </c>
      <c r="CE308" s="562">
        <f t="shared" si="809"/>
        <v>-50</v>
      </c>
      <c r="CG308" s="173">
        <f t="shared" si="810"/>
        <v>0.67907798870528813</v>
      </c>
      <c r="CH308" s="173">
        <f t="shared" si="811"/>
        <v>0.1857221904265535</v>
      </c>
      <c r="CI308" s="170">
        <v>92</v>
      </c>
      <c r="CJ308" s="217">
        <f t="shared" si="869"/>
        <v>0.92</v>
      </c>
      <c r="CK308" s="217">
        <f t="shared" si="812"/>
        <v>9.2000000000000012E-2</v>
      </c>
      <c r="CL308" s="217">
        <f t="shared" si="813"/>
        <v>22.080000000000002</v>
      </c>
      <c r="CM308" s="217">
        <f t="shared" si="814"/>
        <v>1.6560000000000001</v>
      </c>
      <c r="CN308" s="541">
        <f t="shared" si="815"/>
        <v>36</v>
      </c>
      <c r="CO308" s="443">
        <f t="shared" si="816"/>
        <v>16.474900000000002</v>
      </c>
      <c r="CP308" s="443">
        <f t="shared" si="817"/>
        <v>52.474900000000005</v>
      </c>
      <c r="CQ308" s="443"/>
      <c r="CR308" s="217">
        <f t="shared" si="818"/>
        <v>0.31220924123305599</v>
      </c>
      <c r="CS308" s="172">
        <f t="shared" si="819"/>
        <v>58.085440229405762</v>
      </c>
      <c r="CT308" s="172">
        <f t="shared" si="820"/>
        <v>4.683138618495839</v>
      </c>
      <c r="CU308" s="217">
        <f t="shared" si="821"/>
        <v>2.4202266762252402</v>
      </c>
      <c r="CV308" s="217">
        <f t="shared" si="822"/>
        <v>3.2269689016336534</v>
      </c>
      <c r="CW308" s="217">
        <f t="shared" si="823"/>
        <v>24</v>
      </c>
      <c r="CX308" s="217">
        <f t="shared" si="824"/>
        <v>4.2236631480178284</v>
      </c>
      <c r="CY308" s="217">
        <f t="shared" si="825"/>
        <v>1.1732397633382858</v>
      </c>
      <c r="CZ308" s="217">
        <f t="shared" si="826"/>
        <v>2.563695772367558</v>
      </c>
      <c r="DA308" s="197">
        <f t="shared" si="827"/>
        <v>350</v>
      </c>
      <c r="DB308" s="443">
        <f t="shared" si="828"/>
        <v>267.59894315680691</v>
      </c>
      <c r="DD308" s="217">
        <f t="shared" si="829"/>
        <v>3.2292794133140656</v>
      </c>
      <c r="DE308" s="173">
        <f t="shared" si="830"/>
        <v>1.9601207978889497</v>
      </c>
      <c r="DF308" s="173">
        <f t="shared" si="831"/>
        <v>0.6872960992823488</v>
      </c>
      <c r="DG308" s="173"/>
      <c r="DH308" s="173">
        <f t="shared" si="832"/>
        <v>1.3488532386977903</v>
      </c>
      <c r="DI308" s="545">
        <f t="shared" si="833"/>
        <v>920.32199999999978</v>
      </c>
      <c r="DJ308" s="528">
        <f t="shared" si="834"/>
        <v>0.34987754285999911</v>
      </c>
      <c r="DL308" s="173">
        <f t="shared" si="835"/>
        <v>3.6828560345781329</v>
      </c>
      <c r="DM308" s="173">
        <f t="shared" si="836"/>
        <v>4.2236631480178284</v>
      </c>
      <c r="DN308" s="173">
        <f t="shared" si="837"/>
        <v>2.6825488339226711</v>
      </c>
      <c r="DP308" s="545">
        <f t="shared" si="838"/>
        <v>920</v>
      </c>
      <c r="DQ308" s="460">
        <f t="shared" si="839"/>
        <v>267.59894315680691</v>
      </c>
      <c r="DS308">
        <f t="shared" si="840"/>
        <v>920</v>
      </c>
      <c r="DT308">
        <f t="shared" si="841"/>
        <v>267.59894315680691</v>
      </c>
      <c r="DV308" s="5">
        <f t="shared" si="870"/>
        <v>3.736935535705844</v>
      </c>
      <c r="DW308" s="5">
        <f t="shared" si="842"/>
        <v>1.1732397633382858</v>
      </c>
      <c r="DX308" s="5">
        <f t="shared" si="843"/>
        <v>2.5636957723675584</v>
      </c>
      <c r="DY308" s="173">
        <f t="shared" si="844"/>
        <v>0.31395772073886757</v>
      </c>
      <c r="EA308" s="5">
        <f t="shared" si="871"/>
        <v>4.4974190927967621</v>
      </c>
      <c r="EB308" s="5">
        <f t="shared" si="872"/>
        <v>0.59965587903956841</v>
      </c>
      <c r="EC308" s="5">
        <f t="shared" si="873"/>
        <v>1.3103333947656408</v>
      </c>
      <c r="ED308" s="5"/>
      <c r="EE308" s="173">
        <f t="shared" si="874"/>
        <v>1.3663571407334905</v>
      </c>
      <c r="EF308" s="173">
        <f t="shared" si="875"/>
        <v>1.3471933224485484</v>
      </c>
      <c r="EG308" s="173">
        <f t="shared" si="876"/>
        <v>0.13490138539653704</v>
      </c>
      <c r="EH308" s="173"/>
      <c r="EI308" s="528">
        <f t="shared" si="877"/>
        <v>7.4677273441335984E-2</v>
      </c>
      <c r="EJ308" s="528">
        <f t="shared" si="878"/>
        <v>1.6310151000000002</v>
      </c>
      <c r="EK308" s="528">
        <f t="shared" si="879"/>
        <v>5.3519788631361379E-2</v>
      </c>
      <c r="EL308" s="528">
        <f t="shared" si="880"/>
        <v>0.12895128726397218</v>
      </c>
      <c r="EM308">
        <f t="shared" si="881"/>
        <v>1.6199999999999999E-2</v>
      </c>
      <c r="EN308" s="460">
        <f t="shared" si="882"/>
        <v>69.719788631361382</v>
      </c>
      <c r="EP308" s="460">
        <f t="shared" si="883"/>
        <v>1904.3634493366696</v>
      </c>
      <c r="EQ308" s="173">
        <f t="shared" si="884"/>
        <v>0.64400000000000002</v>
      </c>
      <c r="ER308" s="173">
        <f t="shared" si="845"/>
        <v>5.7040000000000007E-2</v>
      </c>
      <c r="ES308" s="528"/>
      <c r="EU308" s="460">
        <f t="shared" si="885"/>
        <v>701.04</v>
      </c>
      <c r="EV308" s="528">
        <f t="shared" si="886"/>
        <v>5.6007955081001981E-2</v>
      </c>
      <c r="EW308" s="528">
        <f t="shared" si="887"/>
        <v>5.444789544149875E-2</v>
      </c>
      <c r="EX308" s="528">
        <f t="shared" si="888"/>
        <v>9.0991918909525074E-5</v>
      </c>
      <c r="EY308" s="528">
        <f t="shared" si="889"/>
        <v>2.1473566184574633</v>
      </c>
      <c r="EZ308" s="528"/>
      <c r="FA308" s="625">
        <f t="shared" si="890"/>
        <v>0.95475719168670781</v>
      </c>
      <c r="FB308" s="460">
        <f t="shared" si="891"/>
        <v>3212.6606525855814</v>
      </c>
      <c r="FC308" s="173">
        <f t="shared" si="892"/>
        <v>5.8180641019222517</v>
      </c>
      <c r="FD308" s="5">
        <f t="shared" si="893"/>
        <v>23.736000000000001</v>
      </c>
      <c r="FE308" s="173">
        <f t="shared" si="894"/>
        <v>0.80313827290021234</v>
      </c>
      <c r="FF308" s="5">
        <f t="shared" si="895"/>
        <v>80.313827290021237</v>
      </c>
      <c r="FG308">
        <f t="shared" si="896"/>
        <v>92</v>
      </c>
      <c r="FI308" s="562">
        <f t="shared" si="846"/>
        <v>-50</v>
      </c>
    </row>
    <row r="309" spans="5:169">
      <c r="E309" s="170">
        <v>93</v>
      </c>
      <c r="F309" s="217">
        <f t="shared" si="847"/>
        <v>0.93</v>
      </c>
      <c r="G309" s="217">
        <f t="shared" si="775"/>
        <v>9.3000000000000013E-2</v>
      </c>
      <c r="H309" s="217">
        <f t="shared" si="776"/>
        <v>22.32</v>
      </c>
      <c r="I309" s="217">
        <f t="shared" si="777"/>
        <v>1.6740000000000002</v>
      </c>
      <c r="J309" s="541">
        <f t="shared" si="778"/>
        <v>35.816912945576547</v>
      </c>
      <c r="K309" s="443">
        <f t="shared" si="779"/>
        <v>16.502303774396342</v>
      </c>
      <c r="L309" s="172">
        <f t="shared" si="780"/>
        <v>52.319216719972886</v>
      </c>
      <c r="M309" s="443"/>
      <c r="N309" s="217">
        <f t="shared" si="781"/>
        <v>0.31541572693492903</v>
      </c>
      <c r="O309" s="172">
        <f t="shared" si="782"/>
        <v>58.383553660434607</v>
      </c>
      <c r="P309" s="172">
        <f t="shared" si="783"/>
        <v>4.7071740138725398</v>
      </c>
      <c r="Q309" s="217">
        <f t="shared" si="784"/>
        <v>2.4326480691847752</v>
      </c>
      <c r="R309" s="217">
        <f t="shared" si="785"/>
        <v>3.2435307589130336</v>
      </c>
      <c r="S309" s="217">
        <f t="shared" si="786"/>
        <v>24</v>
      </c>
      <c r="T309" s="217">
        <f t="shared" si="787"/>
        <v>4.2477715803734082</v>
      </c>
      <c r="U309" s="217">
        <f t="shared" si="788"/>
        <v>1.1859680891057964</v>
      </c>
      <c r="V309" s="217">
        <f t="shared" si="789"/>
        <v>2.574047622953052</v>
      </c>
      <c r="W309" s="197">
        <f t="shared" si="790"/>
        <v>350</v>
      </c>
      <c r="X309" s="443">
        <f t="shared" si="848"/>
        <v>252.52425058689749</v>
      </c>
      <c r="Z309" s="217">
        <f t="shared" si="791"/>
        <v>3.2277764666554565</v>
      </c>
      <c r="AA309" s="173">
        <f t="shared" si="792"/>
        <v>1.9559550659002027</v>
      </c>
      <c r="AB309" s="173">
        <f t="shared" si="793"/>
        <v>0.68551623210694257</v>
      </c>
      <c r="AC309" s="173"/>
      <c r="AD309" s="173">
        <f t="shared" si="794"/>
        <v>1.3466133290250331</v>
      </c>
      <c r="AE309" s="545">
        <f t="shared" si="795"/>
        <v>931.87297100845296</v>
      </c>
      <c r="AF309" s="528">
        <f t="shared" si="796"/>
        <v>0.34929653517877118</v>
      </c>
      <c r="AH309" s="173">
        <f t="shared" si="797"/>
        <v>3.702817460104824</v>
      </c>
      <c r="AI309" s="173">
        <f t="shared" si="798"/>
        <v>4.2477715803734082</v>
      </c>
      <c r="AJ309" s="173">
        <f t="shared" si="799"/>
        <v>2.7004069319638413</v>
      </c>
      <c r="AL309" s="545">
        <f t="shared" si="800"/>
        <v>930</v>
      </c>
      <c r="AM309" s="460">
        <f t="shared" si="801"/>
        <v>252.52425058689749</v>
      </c>
      <c r="AO309">
        <f t="shared" si="802"/>
        <v>930</v>
      </c>
      <c r="AP309">
        <f t="shared" si="803"/>
        <v>252.52425058689749</v>
      </c>
      <c r="AR309" s="5">
        <f t="shared" si="774"/>
        <v>3.9600157120588486</v>
      </c>
      <c r="AS309" s="5">
        <f t="shared" si="897"/>
        <v>1.1859680891057964</v>
      </c>
      <c r="AT309" s="5">
        <f t="shared" si="898"/>
        <v>2.7740476229530522</v>
      </c>
      <c r="AU309" s="173">
        <f t="shared" si="899"/>
        <v>0.29948570292141613</v>
      </c>
      <c r="BA309" s="173">
        <f t="shared" si="849"/>
        <v>1.3421114295225314</v>
      </c>
      <c r="BB309" s="173">
        <f t="shared" si="850"/>
        <v>1.3690990314173102</v>
      </c>
      <c r="BC309" s="173">
        <f t="shared" si="851"/>
        <v>0.13709491652435493</v>
      </c>
      <c r="BD309" s="173"/>
      <c r="BE309" s="528">
        <f t="shared" si="852"/>
        <v>7.2050523570200517E-2</v>
      </c>
      <c r="BF309" s="528">
        <f t="shared" si="804"/>
        <v>1.2627227279197968</v>
      </c>
      <c r="BG309" s="528">
        <f t="shared" si="805"/>
        <v>0.36178556399671458</v>
      </c>
      <c r="BH309" s="528">
        <f t="shared" si="853"/>
        <v>0.12096607981246113</v>
      </c>
      <c r="BI309">
        <f t="shared" si="854"/>
        <v>1.6117610825509446E-2</v>
      </c>
      <c r="BJ309" s="460">
        <f t="shared" si="855"/>
        <v>377.903174822224</v>
      </c>
      <c r="BK309">
        <f t="shared" si="806"/>
        <v>1.5008869633741293</v>
      </c>
      <c r="BL309" s="460">
        <f t="shared" si="856"/>
        <v>1833.6425061246825</v>
      </c>
      <c r="BM309" s="173">
        <f t="shared" si="807"/>
        <v>0.80724000000000007</v>
      </c>
      <c r="BN309" s="173">
        <f t="shared" si="808"/>
        <v>5.766000000000001E-2</v>
      </c>
      <c r="BQ309" s="460">
        <f t="shared" si="857"/>
        <v>864.90000000000009</v>
      </c>
      <c r="BR309" s="528">
        <f t="shared" si="858"/>
        <v>5.4037892677650384E-2</v>
      </c>
      <c r="BS309" s="528">
        <f t="shared" si="859"/>
        <v>5.6232964734834502E-2</v>
      </c>
      <c r="BT309" s="528">
        <f t="shared" si="860"/>
        <v>9.3975080684099248E-5</v>
      </c>
      <c r="BU309" s="528">
        <f t="shared" si="861"/>
        <v>1.8842157037753362</v>
      </c>
      <c r="BV309" s="528"/>
      <c r="BW309" s="625">
        <f t="shared" si="862"/>
        <v>0.91128746505134395</v>
      </c>
      <c r="BX309" s="460">
        <f t="shared" si="863"/>
        <v>2905.8680013198491</v>
      </c>
      <c r="BY309" s="173">
        <f t="shared" si="864"/>
        <v>5.6044105074445314</v>
      </c>
      <c r="BZ309" s="5">
        <f t="shared" si="865"/>
        <v>23.994</v>
      </c>
      <c r="CA309" s="173">
        <f t="shared" si="866"/>
        <v>0.81065163934952111</v>
      </c>
      <c r="CB309" s="5">
        <f t="shared" si="867"/>
        <v>81.06516393495211</v>
      </c>
      <c r="CC309">
        <f t="shared" si="868"/>
        <v>93</v>
      </c>
      <c r="CE309" s="562">
        <f t="shared" si="809"/>
        <v>-50</v>
      </c>
      <c r="CG309" s="173">
        <f t="shared" si="810"/>
        <v>0.67907798870528813</v>
      </c>
      <c r="CH309" s="173">
        <f t="shared" si="811"/>
        <v>0.18572219042655352</v>
      </c>
      <c r="CI309" s="170">
        <v>93</v>
      </c>
      <c r="CJ309" s="217">
        <f t="shared" si="869"/>
        <v>0.93</v>
      </c>
      <c r="CK309" s="217">
        <f t="shared" si="812"/>
        <v>9.3000000000000013E-2</v>
      </c>
      <c r="CL309" s="217">
        <f t="shared" si="813"/>
        <v>22.32</v>
      </c>
      <c r="CM309" s="217">
        <f t="shared" si="814"/>
        <v>1.6740000000000002</v>
      </c>
      <c r="CN309" s="541">
        <f t="shared" si="815"/>
        <v>36</v>
      </c>
      <c r="CO309" s="443">
        <f t="shared" si="816"/>
        <v>16.474900000000002</v>
      </c>
      <c r="CP309" s="443">
        <f t="shared" si="817"/>
        <v>52.474900000000005</v>
      </c>
      <c r="CQ309" s="443"/>
      <c r="CR309" s="217">
        <f t="shared" si="818"/>
        <v>0.31220924123305599</v>
      </c>
      <c r="CS309" s="172">
        <f t="shared" si="819"/>
        <v>58.085440229405762</v>
      </c>
      <c r="CT309" s="172">
        <f t="shared" si="820"/>
        <v>4.683138618495839</v>
      </c>
      <c r="CU309" s="217">
        <f t="shared" si="821"/>
        <v>2.4202266762252402</v>
      </c>
      <c r="CV309" s="217">
        <f t="shared" si="822"/>
        <v>3.2269689016336534</v>
      </c>
      <c r="CW309" s="217">
        <f t="shared" si="823"/>
        <v>24</v>
      </c>
      <c r="CX309" s="217">
        <f t="shared" si="824"/>
        <v>4.2695725300614997</v>
      </c>
      <c r="CY309" s="217">
        <f t="shared" si="825"/>
        <v>1.1859923694615278</v>
      </c>
      <c r="CZ309" s="217">
        <f t="shared" si="826"/>
        <v>2.5915620307628573</v>
      </c>
      <c r="DA309" s="197">
        <f t="shared" si="827"/>
        <v>350</v>
      </c>
      <c r="DB309" s="443">
        <f t="shared" si="828"/>
        <v>264.7215351658736</v>
      </c>
      <c r="DD309" s="217">
        <f t="shared" si="829"/>
        <v>3.2292794133140656</v>
      </c>
      <c r="DE309" s="173">
        <f t="shared" si="830"/>
        <v>1.9601207978889497</v>
      </c>
      <c r="DF309" s="173">
        <f t="shared" si="831"/>
        <v>0.6872960992823488</v>
      </c>
      <c r="DG309" s="173"/>
      <c r="DH309" s="173">
        <f t="shared" si="832"/>
        <v>1.3488532386977903</v>
      </c>
      <c r="DI309" s="545">
        <f t="shared" si="833"/>
        <v>930.32549999999981</v>
      </c>
      <c r="DJ309" s="528">
        <f t="shared" si="834"/>
        <v>0.34987754285999911</v>
      </c>
      <c r="DL309" s="173">
        <f t="shared" si="835"/>
        <v>3.702817460104824</v>
      </c>
      <c r="DM309" s="173">
        <f t="shared" si="836"/>
        <v>4.2695725300614997</v>
      </c>
      <c r="DN309" s="173">
        <f t="shared" si="837"/>
        <v>2.7165557835846501</v>
      </c>
      <c r="DP309" s="545">
        <f t="shared" si="838"/>
        <v>930</v>
      </c>
      <c r="DQ309" s="460">
        <f t="shared" si="839"/>
        <v>264.7215351658736</v>
      </c>
      <c r="DS309">
        <f t="shared" si="840"/>
        <v>930</v>
      </c>
      <c r="DT309">
        <f t="shared" si="841"/>
        <v>264.7215351658736</v>
      </c>
      <c r="DV309" s="5">
        <f t="shared" si="870"/>
        <v>3.7775544002243846</v>
      </c>
      <c r="DW309" s="5">
        <f t="shared" si="842"/>
        <v>1.1859923694615278</v>
      </c>
      <c r="DX309" s="5">
        <f t="shared" si="843"/>
        <v>2.5915620307628568</v>
      </c>
      <c r="DY309" s="173">
        <f t="shared" si="844"/>
        <v>0.31395772073886757</v>
      </c>
      <c r="EA309" s="5">
        <f t="shared" si="871"/>
        <v>4.5957204316634206</v>
      </c>
      <c r="EB309" s="5">
        <f t="shared" si="872"/>
        <v>0.61276272422178946</v>
      </c>
      <c r="EC309" s="5">
        <f t="shared" si="873"/>
        <v>1.3389737158941424</v>
      </c>
      <c r="ED309" s="5"/>
      <c r="EE309" s="173">
        <f t="shared" si="874"/>
        <v>1.3812088487849412</v>
      </c>
      <c r="EF309" s="173">
        <f t="shared" si="875"/>
        <v>1.3618367281273367</v>
      </c>
      <c r="EG309" s="173">
        <f t="shared" si="876"/>
        <v>0.13636770480302113</v>
      </c>
      <c r="EH309" s="173"/>
      <c r="EI309" s="528">
        <f t="shared" si="877"/>
        <v>7.6309515358472912E-2</v>
      </c>
      <c r="EJ309" s="528">
        <f t="shared" si="878"/>
        <v>1.6310151000000004</v>
      </c>
      <c r="EK309" s="528">
        <f t="shared" si="879"/>
        <v>5.2944307033174716E-2</v>
      </c>
      <c r="EL309" s="528">
        <f t="shared" si="880"/>
        <v>0.12756471428263919</v>
      </c>
      <c r="EM309">
        <f t="shared" si="881"/>
        <v>1.6199999999999999E-2</v>
      </c>
      <c r="EN309" s="460">
        <f t="shared" si="882"/>
        <v>69.144307033174712</v>
      </c>
      <c r="EP309" s="460">
        <f t="shared" si="883"/>
        <v>1904.0336366742874</v>
      </c>
      <c r="EQ309" s="173">
        <f t="shared" si="884"/>
        <v>0.65100000000000002</v>
      </c>
      <c r="ER309" s="173">
        <f t="shared" si="845"/>
        <v>5.766000000000001E-2</v>
      </c>
      <c r="ES309" s="528"/>
      <c r="EU309" s="460">
        <f t="shared" si="885"/>
        <v>708.66000000000008</v>
      </c>
      <c r="EV309" s="528">
        <f t="shared" si="886"/>
        <v>5.7232136518854677E-2</v>
      </c>
      <c r="EW309" s="528">
        <f t="shared" si="887"/>
        <v>5.5637978222297081E-2</v>
      </c>
      <c r="EX309" s="528">
        <f t="shared" si="888"/>
        <v>9.2980754566219574E-5</v>
      </c>
      <c r="EY309" s="528">
        <f t="shared" si="889"/>
        <v>2.1473566184574646</v>
      </c>
      <c r="EZ309" s="528"/>
      <c r="FA309" s="625">
        <f t="shared" si="890"/>
        <v>0.96513498724851976</v>
      </c>
      <c r="FB309" s="460">
        <f t="shared" si="891"/>
        <v>3225.4547012017024</v>
      </c>
      <c r="FC309" s="173">
        <f t="shared" si="892"/>
        <v>5.8381483378759906</v>
      </c>
      <c r="FD309" s="5">
        <f t="shared" si="893"/>
        <v>23.994</v>
      </c>
      <c r="FE309" s="173">
        <f t="shared" si="894"/>
        <v>0.80430010364142412</v>
      </c>
      <c r="FF309" s="5">
        <f t="shared" si="895"/>
        <v>80.430010364142419</v>
      </c>
      <c r="FG309">
        <f t="shared" si="896"/>
        <v>93</v>
      </c>
      <c r="FI309" s="562">
        <f t="shared" si="846"/>
        <v>-50</v>
      </c>
    </row>
    <row r="310" spans="5:169">
      <c r="E310" s="170">
        <v>94</v>
      </c>
      <c r="F310" s="217">
        <f t="shared" si="847"/>
        <v>0.94</v>
      </c>
      <c r="G310" s="217">
        <f t="shared" si="775"/>
        <v>9.4E-2</v>
      </c>
      <c r="H310" s="217">
        <f t="shared" si="776"/>
        <v>22.56</v>
      </c>
      <c r="I310" s="217">
        <f t="shared" si="777"/>
        <v>1.6919999999999999</v>
      </c>
      <c r="J310" s="541">
        <f t="shared" si="778"/>
        <v>35.814944267571995</v>
      </c>
      <c r="K310" s="443">
        <f t="shared" si="779"/>
        <v>16.502598438637161</v>
      </c>
      <c r="L310" s="172">
        <f t="shared" si="780"/>
        <v>52.317542706209153</v>
      </c>
      <c r="M310" s="443"/>
      <c r="N310" s="217">
        <f t="shared" si="781"/>
        <v>0.31543145157462832</v>
      </c>
      <c r="O310" s="172">
        <f t="shared" si="782"/>
        <v>58.383255082091203</v>
      </c>
      <c r="P310" s="172">
        <f t="shared" si="783"/>
        <v>4.7071499409936024</v>
      </c>
      <c r="Q310" s="217">
        <f t="shared" si="784"/>
        <v>2.4326356284204667</v>
      </c>
      <c r="R310" s="217">
        <f t="shared" si="785"/>
        <v>3.243514171227289</v>
      </c>
      <c r="S310" s="217">
        <f t="shared" si="786"/>
        <v>24</v>
      </c>
      <c r="T310" s="217">
        <f t="shared" si="787"/>
        <v>4.2934685007578057</v>
      </c>
      <c r="U310" s="217">
        <f t="shared" si="788"/>
        <v>1.19879245621087</v>
      </c>
      <c r="V310" s="217">
        <f t="shared" si="789"/>
        <v>2.6016924042129057</v>
      </c>
      <c r="W310" s="197">
        <f t="shared" si="790"/>
        <v>350</v>
      </c>
      <c r="X310" s="443">
        <f t="shared" si="848"/>
        <v>249.96969989634425</v>
      </c>
      <c r="Z310" s="217">
        <f t="shared" si="791"/>
        <v>3.2277599595384698</v>
      </c>
      <c r="AA310" s="173">
        <f t="shared" si="792"/>
        <v>1.9559101383582043</v>
      </c>
      <c r="AB310" s="173">
        <f t="shared" si="793"/>
        <v>0.68549698035406814</v>
      </c>
      <c r="AC310" s="173"/>
      <c r="AD310" s="173">
        <f t="shared" si="794"/>
        <v>1.3465892843998337</v>
      </c>
      <c r="AE310" s="545">
        <f t="shared" si="795"/>
        <v>941.9099288739377</v>
      </c>
      <c r="AF310" s="528">
        <f t="shared" si="796"/>
        <v>0.3492902982701569</v>
      </c>
      <c r="AH310" s="173">
        <f t="shared" si="797"/>
        <v>3.7226718515450314</v>
      </c>
      <c r="AI310" s="173">
        <f t="shared" si="798"/>
        <v>4.2934685007578057</v>
      </c>
      <c r="AJ310" s="173">
        <f t="shared" si="799"/>
        <v>2.7342565026189507</v>
      </c>
      <c r="AL310" s="545">
        <f t="shared" si="800"/>
        <v>940</v>
      </c>
      <c r="AM310" s="460">
        <f t="shared" si="801"/>
        <v>249.96969989634425</v>
      </c>
      <c r="AO310">
        <f t="shared" si="802"/>
        <v>940</v>
      </c>
      <c r="AP310">
        <f t="shared" si="803"/>
        <v>249.96969989634425</v>
      </c>
      <c r="AR310" s="5">
        <f t="shared" si="774"/>
        <v>4.0004848604237759</v>
      </c>
      <c r="AS310" s="5">
        <f t="shared" si="897"/>
        <v>1.19879245621087</v>
      </c>
      <c r="AT310" s="5">
        <f t="shared" si="898"/>
        <v>2.8016924042129059</v>
      </c>
      <c r="AU310" s="173">
        <f t="shared" si="899"/>
        <v>0.29966179051703262</v>
      </c>
      <c r="BA310" s="173">
        <f t="shared" si="849"/>
        <v>1.3569484170815584</v>
      </c>
      <c r="BB310" s="173">
        <f t="shared" si="850"/>
        <v>1.3836536667593691</v>
      </c>
      <c r="BC310" s="173">
        <f t="shared" si="851"/>
        <v>0.13855234690117463</v>
      </c>
      <c r="BD310" s="173"/>
      <c r="BE310" s="528">
        <f t="shared" si="852"/>
        <v>7.3652360264805886E-2</v>
      </c>
      <c r="BF310" s="528">
        <f t="shared" si="804"/>
        <v>1.2633552965135397</v>
      </c>
      <c r="BG310" s="528">
        <f t="shared" si="805"/>
        <v>0.35810603481477066</v>
      </c>
      <c r="BH310" s="528">
        <f t="shared" si="853"/>
        <v>0.11973471711678031</v>
      </c>
      <c r="BI310">
        <f t="shared" si="854"/>
        <v>1.6116724920407399E-2</v>
      </c>
      <c r="BJ310" s="460">
        <f t="shared" si="855"/>
        <v>374.22275973517804</v>
      </c>
      <c r="BK310">
        <f t="shared" si="806"/>
        <v>1.5029294776401478</v>
      </c>
      <c r="BL310" s="460">
        <f t="shared" si="856"/>
        <v>1830.9651336303041</v>
      </c>
      <c r="BM310" s="173">
        <f t="shared" si="807"/>
        <v>0.81591999999999987</v>
      </c>
      <c r="BN310" s="173">
        <f t="shared" si="808"/>
        <v>5.8279999999999998E-2</v>
      </c>
      <c r="BQ310" s="460">
        <f t="shared" si="857"/>
        <v>874.19999999999982</v>
      </c>
      <c r="BR310" s="528">
        <f t="shared" si="858"/>
        <v>5.5239270198604411E-2</v>
      </c>
      <c r="BS310" s="528">
        <f t="shared" si="859"/>
        <v>5.7434924086099418E-2</v>
      </c>
      <c r="BT310" s="528">
        <f t="shared" si="860"/>
        <v>9.5983764159117174E-5</v>
      </c>
      <c r="BU310" s="528">
        <f t="shared" si="861"/>
        <v>1.8867272800352533</v>
      </c>
      <c r="BV310" s="528"/>
      <c r="BW310" s="625">
        <f t="shared" si="862"/>
        <v>0.92158187870491082</v>
      </c>
      <c r="BX310" s="460">
        <f t="shared" si="863"/>
        <v>2921.0793367890269</v>
      </c>
      <c r="BY310" s="173">
        <f t="shared" si="864"/>
        <v>5.62624447041933</v>
      </c>
      <c r="BZ310" s="5">
        <f t="shared" si="865"/>
        <v>24.251999999999999</v>
      </c>
      <c r="CA310" s="173">
        <f t="shared" si="866"/>
        <v>0.81169427554588958</v>
      </c>
      <c r="CB310" s="5">
        <f t="shared" si="867"/>
        <v>81.169427554588964</v>
      </c>
      <c r="CC310">
        <f t="shared" si="868"/>
        <v>94</v>
      </c>
      <c r="CE310" s="562">
        <f t="shared" si="809"/>
        <v>-50</v>
      </c>
      <c r="CG310" s="173">
        <f t="shared" si="810"/>
        <v>0.6790779887052879</v>
      </c>
      <c r="CH310" s="173">
        <f t="shared" si="811"/>
        <v>0.1857221904265535</v>
      </c>
      <c r="CI310" s="170">
        <v>94</v>
      </c>
      <c r="CJ310" s="217">
        <f t="shared" si="869"/>
        <v>0.94</v>
      </c>
      <c r="CK310" s="217">
        <f t="shared" si="812"/>
        <v>9.4E-2</v>
      </c>
      <c r="CL310" s="217">
        <f t="shared" si="813"/>
        <v>22.56</v>
      </c>
      <c r="CM310" s="217">
        <f t="shared" si="814"/>
        <v>1.6919999999999999</v>
      </c>
      <c r="CN310" s="541">
        <f t="shared" si="815"/>
        <v>36</v>
      </c>
      <c r="CO310" s="443">
        <f t="shared" si="816"/>
        <v>16.474900000000002</v>
      </c>
      <c r="CP310" s="443">
        <f t="shared" si="817"/>
        <v>52.474900000000005</v>
      </c>
      <c r="CQ310" s="443"/>
      <c r="CR310" s="217">
        <f t="shared" si="818"/>
        <v>0.31220924123305599</v>
      </c>
      <c r="CS310" s="172">
        <f t="shared" si="819"/>
        <v>58.085440229405762</v>
      </c>
      <c r="CT310" s="172">
        <f t="shared" si="820"/>
        <v>4.683138618495839</v>
      </c>
      <c r="CU310" s="217">
        <f t="shared" si="821"/>
        <v>2.4202266762252402</v>
      </c>
      <c r="CV310" s="217">
        <f t="shared" si="822"/>
        <v>3.2269689016336534</v>
      </c>
      <c r="CW310" s="217">
        <f t="shared" si="823"/>
        <v>24</v>
      </c>
      <c r="CX310" s="217">
        <f t="shared" si="824"/>
        <v>4.315481912105172</v>
      </c>
      <c r="CY310" s="217">
        <f t="shared" si="825"/>
        <v>1.1987449755847699</v>
      </c>
      <c r="CZ310" s="217">
        <f t="shared" si="826"/>
        <v>2.6194282891581571</v>
      </c>
      <c r="DA310" s="197">
        <f t="shared" si="827"/>
        <v>350</v>
      </c>
      <c r="DB310" s="443">
        <f t="shared" si="828"/>
        <v>261.90534862155573</v>
      </c>
      <c r="DD310" s="217">
        <f t="shared" si="829"/>
        <v>3.2292794133140656</v>
      </c>
      <c r="DE310" s="173">
        <f t="shared" si="830"/>
        <v>1.9601207978889497</v>
      </c>
      <c r="DF310" s="173">
        <f t="shared" si="831"/>
        <v>0.6872960992823488</v>
      </c>
      <c r="DG310" s="173"/>
      <c r="DH310" s="173">
        <f t="shared" si="832"/>
        <v>1.3488532386977903</v>
      </c>
      <c r="DI310" s="545">
        <f t="shared" si="833"/>
        <v>940.32899999999961</v>
      </c>
      <c r="DJ310" s="528">
        <f t="shared" si="834"/>
        <v>0.34987754285999911</v>
      </c>
      <c r="DL310" s="173">
        <f t="shared" si="835"/>
        <v>3.7226718515450314</v>
      </c>
      <c r="DM310" s="173">
        <f t="shared" si="836"/>
        <v>4.315481912105172</v>
      </c>
      <c r="DN310" s="173">
        <f t="shared" si="837"/>
        <v>2.7505627332466291</v>
      </c>
      <c r="DP310" s="545">
        <f t="shared" si="838"/>
        <v>940</v>
      </c>
      <c r="DQ310" s="460">
        <f t="shared" si="839"/>
        <v>261.90534862155573</v>
      </c>
      <c r="DS310">
        <f t="shared" si="840"/>
        <v>940</v>
      </c>
      <c r="DT310">
        <f t="shared" si="841"/>
        <v>261.90534862155573</v>
      </c>
      <c r="DV310" s="5">
        <f t="shared" si="870"/>
        <v>3.8181732647429274</v>
      </c>
      <c r="DW310" s="5">
        <f t="shared" si="842"/>
        <v>1.1987449755847699</v>
      </c>
      <c r="DX310" s="5">
        <f t="shared" si="843"/>
        <v>2.6194282891581575</v>
      </c>
      <c r="DY310" s="173">
        <f t="shared" si="844"/>
        <v>0.31395772073886746</v>
      </c>
      <c r="EA310" s="5">
        <f t="shared" si="871"/>
        <v>4.6950844877070148</v>
      </c>
      <c r="EB310" s="5">
        <f t="shared" si="872"/>
        <v>0.62601126502760207</v>
      </c>
      <c r="EC310" s="5">
        <f t="shared" si="873"/>
        <v>1.3679236621159263</v>
      </c>
      <c r="ED310" s="5"/>
      <c r="EE310" s="173">
        <f t="shared" si="874"/>
        <v>1.396060556836392</v>
      </c>
      <c r="EF310" s="173">
        <f t="shared" si="875"/>
        <v>1.3764801338061254</v>
      </c>
      <c r="EG310" s="173">
        <f t="shared" si="876"/>
        <v>0.13783402420950522</v>
      </c>
      <c r="EH310" s="173"/>
      <c r="EI310" s="528">
        <f t="shared" si="877"/>
        <v>7.7959403134173474E-2</v>
      </c>
      <c r="EJ310" s="528">
        <f t="shared" si="878"/>
        <v>1.6310151000000002</v>
      </c>
      <c r="EK310" s="528">
        <f t="shared" si="879"/>
        <v>5.2381069724311141E-2</v>
      </c>
      <c r="EL310" s="528">
        <f t="shared" si="880"/>
        <v>0.12620764285410044</v>
      </c>
      <c r="EM310">
        <f t="shared" si="881"/>
        <v>1.6199999999999999E-2</v>
      </c>
      <c r="EN310" s="460">
        <f t="shared" si="882"/>
        <v>68.581069724311135</v>
      </c>
      <c r="EP310" s="460">
        <f t="shared" si="883"/>
        <v>1903.7632157125852</v>
      </c>
      <c r="EQ310" s="173">
        <f t="shared" si="884"/>
        <v>0.65799999999999992</v>
      </c>
      <c r="ER310" s="173">
        <f t="shared" si="845"/>
        <v>5.8279999999999998E-2</v>
      </c>
      <c r="ES310" s="528"/>
      <c r="EU310" s="460">
        <f t="shared" si="885"/>
        <v>716.28</v>
      </c>
      <c r="EV310" s="528">
        <f t="shared" si="886"/>
        <v>5.8469552350630102E-2</v>
      </c>
      <c r="EW310" s="528">
        <f t="shared" si="887"/>
        <v>5.6840926762887864E-2</v>
      </c>
      <c r="EX310" s="528">
        <f t="shared" si="888"/>
        <v>9.4991091148932368E-5</v>
      </c>
      <c r="EY310" s="528">
        <f t="shared" si="889"/>
        <v>2.1473566184574615</v>
      </c>
      <c r="EZ310" s="528"/>
      <c r="FA310" s="625">
        <f t="shared" si="890"/>
        <v>0.9755127828103316</v>
      </c>
      <c r="FB310" s="460">
        <f t="shared" si="891"/>
        <v>3238.2748714724603</v>
      </c>
      <c r="FC310" s="173">
        <f t="shared" si="892"/>
        <v>5.8583180871850447</v>
      </c>
      <c r="FD310" s="5">
        <f t="shared" si="893"/>
        <v>24.251999999999999</v>
      </c>
      <c r="FE310" s="173">
        <f t="shared" si="894"/>
        <v>0.80543818666338352</v>
      </c>
      <c r="FF310" s="5">
        <f t="shared" si="895"/>
        <v>80.543818666338353</v>
      </c>
      <c r="FG310">
        <f t="shared" si="896"/>
        <v>94</v>
      </c>
      <c r="FI310" s="562">
        <f t="shared" si="846"/>
        <v>-50</v>
      </c>
    </row>
    <row r="311" spans="5:169">
      <c r="E311" s="170">
        <v>95</v>
      </c>
      <c r="F311" s="217">
        <f t="shared" si="847"/>
        <v>0.95</v>
      </c>
      <c r="G311" s="217">
        <f t="shared" si="775"/>
        <v>9.5000000000000001E-2</v>
      </c>
      <c r="H311" s="217">
        <f t="shared" si="776"/>
        <v>22.799999999999997</v>
      </c>
      <c r="I311" s="217">
        <f t="shared" si="777"/>
        <v>1.71</v>
      </c>
      <c r="J311" s="541">
        <f t="shared" si="778"/>
        <v>35.812975589567444</v>
      </c>
      <c r="K311" s="443">
        <f t="shared" si="779"/>
        <v>16.50289310287798</v>
      </c>
      <c r="L311" s="172">
        <f t="shared" si="780"/>
        <v>52.31586869244542</v>
      </c>
      <c r="M311" s="443"/>
      <c r="N311" s="217">
        <f t="shared" si="781"/>
        <v>0.31544717722064797</v>
      </c>
      <c r="O311" s="172">
        <f t="shared" si="782"/>
        <v>58.382956370031117</v>
      </c>
      <c r="P311" s="172">
        <f t="shared" si="783"/>
        <v>4.7071258573337591</v>
      </c>
      <c r="Q311" s="217">
        <f t="shared" si="784"/>
        <v>2.43262318208463</v>
      </c>
      <c r="R311" s="217">
        <f t="shared" si="785"/>
        <v>3.2434975761128397</v>
      </c>
      <c r="S311" s="217">
        <f t="shared" si="786"/>
        <v>24</v>
      </c>
      <c r="T311" s="217">
        <f t="shared" si="787"/>
        <v>4.3391658984808323</v>
      </c>
      <c r="U311" s="217">
        <f t="shared" si="788"/>
        <v>1.2116183665411093</v>
      </c>
      <c r="V311" s="217">
        <f t="shared" si="789"/>
        <v>2.6293364875060088</v>
      </c>
      <c r="W311" s="197">
        <f t="shared" si="790"/>
        <v>350</v>
      </c>
      <c r="X311" s="443">
        <f t="shared" si="848"/>
        <v>247.46626382090724</v>
      </c>
      <c r="Z311" s="217">
        <f t="shared" si="791"/>
        <v>3.2277434450288629</v>
      </c>
      <c r="AA311" s="173">
        <f t="shared" si="792"/>
        <v>1.9558652079410062</v>
      </c>
      <c r="AB311" s="173">
        <f t="shared" si="793"/>
        <v>0.68547772618459213</v>
      </c>
      <c r="AC311" s="173"/>
      <c r="AD311" s="173">
        <f t="shared" si="794"/>
        <v>1.3465652406332826</v>
      </c>
      <c r="AE311" s="545">
        <f t="shared" si="795"/>
        <v>951.94724457755626</v>
      </c>
      <c r="AF311" s="528">
        <f t="shared" si="796"/>
        <v>0.34928406158426656</v>
      </c>
      <c r="AH311" s="173">
        <f t="shared" si="797"/>
        <v>3.7424209124194308</v>
      </c>
      <c r="AI311" s="173">
        <f t="shared" si="798"/>
        <v>4.3391658984808323</v>
      </c>
      <c r="AJ311" s="173">
        <f t="shared" si="799"/>
        <v>2.7681064268582296</v>
      </c>
      <c r="AL311" s="545">
        <f t="shared" si="800"/>
        <v>950</v>
      </c>
      <c r="AM311" s="460">
        <f t="shared" si="801"/>
        <v>247.46626382090724</v>
      </c>
      <c r="AO311">
        <f t="shared" si="802"/>
        <v>950</v>
      </c>
      <c r="AP311">
        <f t="shared" si="803"/>
        <v>247.46626382090724</v>
      </c>
      <c r="AR311" s="5">
        <f t="shared" si="774"/>
        <v>4.0409548540471185</v>
      </c>
      <c r="AS311" s="5">
        <f t="shared" si="897"/>
        <v>1.2116183665411093</v>
      </c>
      <c r="AT311" s="5">
        <f t="shared" si="898"/>
        <v>2.8293364875060094</v>
      </c>
      <c r="AU311" s="173">
        <f t="shared" si="899"/>
        <v>0.29983467034471889</v>
      </c>
      <c r="BA311" s="173">
        <f t="shared" si="849"/>
        <v>1.3717865871408417</v>
      </c>
      <c r="BB311" s="173">
        <f t="shared" si="850"/>
        <v>1.3982079341825415</v>
      </c>
      <c r="BC311" s="173">
        <f t="shared" si="851"/>
        <v>0.14000974043638692</v>
      </c>
      <c r="BD311" s="173"/>
      <c r="BE311" s="528">
        <f t="shared" si="852"/>
        <v>7.5271937626380722E-2</v>
      </c>
      <c r="BF311" s="528">
        <f t="shared" si="804"/>
        <v>1.2639742178576683</v>
      </c>
      <c r="BG311" s="528">
        <f t="shared" si="805"/>
        <v>0.35450013061838431</v>
      </c>
      <c r="BH311" s="528">
        <f t="shared" si="853"/>
        <v>0.11852799345263941</v>
      </c>
      <c r="BI311">
        <f t="shared" si="854"/>
        <v>1.6115839015305351E-2</v>
      </c>
      <c r="BJ311" s="460">
        <f t="shared" si="855"/>
        <v>370.61596963368964</v>
      </c>
      <c r="BK311">
        <f t="shared" si="806"/>
        <v>1.5050141671008608</v>
      </c>
      <c r="BL311" s="460">
        <f t="shared" si="856"/>
        <v>1828.3901185703778</v>
      </c>
      <c r="BM311" s="173">
        <f t="shared" si="807"/>
        <v>0.82459999999999989</v>
      </c>
      <c r="BN311" s="173">
        <f t="shared" si="808"/>
        <v>5.8900000000000001E-2</v>
      </c>
      <c r="BQ311" s="460">
        <f t="shared" si="857"/>
        <v>883.49999999999989</v>
      </c>
      <c r="BR311" s="528">
        <f t="shared" si="858"/>
        <v>5.6453953219785538E-2</v>
      </c>
      <c r="BS311" s="528">
        <f t="shared" si="859"/>
        <v>5.8649562816330304E-2</v>
      </c>
      <c r="BT311" s="528">
        <f t="shared" si="860"/>
        <v>9.8013637085322199E-5</v>
      </c>
      <c r="BU311" s="528">
        <f t="shared" si="861"/>
        <v>1.8891900300184175</v>
      </c>
      <c r="BV311" s="528"/>
      <c r="BW311" s="625">
        <f t="shared" si="862"/>
        <v>0.9318768149899963</v>
      </c>
      <c r="BX311" s="460">
        <f t="shared" si="863"/>
        <v>2936.2683746816147</v>
      </c>
      <c r="BY311" s="173">
        <f t="shared" si="864"/>
        <v>5.6481584932519926</v>
      </c>
      <c r="BZ311" s="5">
        <f t="shared" si="865"/>
        <v>24.509999999999998</v>
      </c>
      <c r="CA311" s="173">
        <f t="shared" si="866"/>
        <v>0.81271540520235053</v>
      </c>
      <c r="CB311" s="5">
        <f t="shared" si="867"/>
        <v>81.27154052023505</v>
      </c>
      <c r="CC311">
        <f t="shared" si="868"/>
        <v>95</v>
      </c>
      <c r="CE311" s="562">
        <f t="shared" si="809"/>
        <v>-50</v>
      </c>
      <c r="CG311" s="173">
        <f t="shared" si="810"/>
        <v>0.67907798870528813</v>
      </c>
      <c r="CH311" s="173">
        <f t="shared" si="811"/>
        <v>0.18572219042655352</v>
      </c>
      <c r="CI311" s="170">
        <v>95</v>
      </c>
      <c r="CJ311" s="217">
        <f t="shared" si="869"/>
        <v>0.95</v>
      </c>
      <c r="CK311" s="217">
        <f t="shared" si="812"/>
        <v>9.5000000000000001E-2</v>
      </c>
      <c r="CL311" s="217">
        <f t="shared" si="813"/>
        <v>22.799999999999997</v>
      </c>
      <c r="CM311" s="217">
        <f t="shared" si="814"/>
        <v>1.71</v>
      </c>
      <c r="CN311" s="541">
        <f t="shared" si="815"/>
        <v>36</v>
      </c>
      <c r="CO311" s="443">
        <f t="shared" si="816"/>
        <v>16.474900000000002</v>
      </c>
      <c r="CP311" s="443">
        <f t="shared" si="817"/>
        <v>52.474900000000005</v>
      </c>
      <c r="CQ311" s="443"/>
      <c r="CR311" s="217">
        <f t="shared" si="818"/>
        <v>0.31220924123305599</v>
      </c>
      <c r="CS311" s="172">
        <f t="shared" si="819"/>
        <v>58.085440229405762</v>
      </c>
      <c r="CT311" s="172">
        <f t="shared" si="820"/>
        <v>4.683138618495839</v>
      </c>
      <c r="CU311" s="217">
        <f t="shared" si="821"/>
        <v>2.4202266762252402</v>
      </c>
      <c r="CV311" s="217">
        <f t="shared" si="822"/>
        <v>3.2269689016336534</v>
      </c>
      <c r="CW311" s="217">
        <f t="shared" si="823"/>
        <v>24</v>
      </c>
      <c r="CX311" s="217">
        <f t="shared" si="824"/>
        <v>4.3613912941488433</v>
      </c>
      <c r="CY311" s="217">
        <f t="shared" si="825"/>
        <v>1.2114975817080122</v>
      </c>
      <c r="CZ311" s="217">
        <f t="shared" si="826"/>
        <v>2.6472945475534559</v>
      </c>
      <c r="DA311" s="197">
        <f t="shared" si="827"/>
        <v>350</v>
      </c>
      <c r="DB311" s="443">
        <f t="shared" si="828"/>
        <v>259.1484502150131</v>
      </c>
      <c r="DD311" s="217">
        <f t="shared" si="829"/>
        <v>3.2292794133140656</v>
      </c>
      <c r="DE311" s="173">
        <f t="shared" si="830"/>
        <v>1.9601207978889497</v>
      </c>
      <c r="DF311" s="173">
        <f t="shared" si="831"/>
        <v>0.6872960992823488</v>
      </c>
      <c r="DG311" s="173"/>
      <c r="DH311" s="173">
        <f t="shared" si="832"/>
        <v>1.3488532386977903</v>
      </c>
      <c r="DI311" s="545">
        <f t="shared" si="833"/>
        <v>950.33249999999964</v>
      </c>
      <c r="DJ311" s="528">
        <f t="shared" si="834"/>
        <v>0.34987754285999911</v>
      </c>
      <c r="DL311" s="173">
        <f t="shared" si="835"/>
        <v>3.7424209124194308</v>
      </c>
      <c r="DM311" s="173">
        <f t="shared" si="836"/>
        <v>4.3613912941488433</v>
      </c>
      <c r="DN311" s="173">
        <f t="shared" si="837"/>
        <v>2.7845696829086082</v>
      </c>
      <c r="DP311" s="545">
        <f t="shared" si="838"/>
        <v>950</v>
      </c>
      <c r="DQ311" s="460">
        <f t="shared" si="839"/>
        <v>259.1484502150131</v>
      </c>
      <c r="DS311">
        <f t="shared" si="840"/>
        <v>950</v>
      </c>
      <c r="DT311">
        <f t="shared" si="841"/>
        <v>259.1484502150131</v>
      </c>
      <c r="DV311" s="5">
        <f t="shared" si="870"/>
        <v>3.858792129261468</v>
      </c>
      <c r="DW311" s="5">
        <f t="shared" si="842"/>
        <v>1.2114975817080122</v>
      </c>
      <c r="DX311" s="5">
        <f t="shared" si="843"/>
        <v>2.6472945475534555</v>
      </c>
      <c r="DY311" s="173">
        <f t="shared" si="844"/>
        <v>0.31395772073886757</v>
      </c>
      <c r="EA311" s="5">
        <f t="shared" si="871"/>
        <v>4.7955112609275483</v>
      </c>
      <c r="EB311" s="5">
        <f t="shared" si="872"/>
        <v>0.63940150145700647</v>
      </c>
      <c r="EC311" s="5">
        <f t="shared" si="873"/>
        <v>1.3971832334309902</v>
      </c>
      <c r="ED311" s="5"/>
      <c r="EE311" s="173">
        <f t="shared" si="874"/>
        <v>1.4109122648878429</v>
      </c>
      <c r="EF311" s="173">
        <f t="shared" si="875"/>
        <v>1.3911235394849137</v>
      </c>
      <c r="EG311" s="173">
        <f t="shared" si="876"/>
        <v>0.13930034361598931</v>
      </c>
      <c r="EH311" s="173"/>
      <c r="EI311" s="528">
        <f t="shared" si="877"/>
        <v>7.9626936768437712E-2</v>
      </c>
      <c r="EJ311" s="528">
        <f t="shared" si="878"/>
        <v>1.6310151000000002</v>
      </c>
      <c r="EK311" s="528">
        <f t="shared" si="879"/>
        <v>5.182969004300262E-2</v>
      </c>
      <c r="EL311" s="528">
        <f t="shared" si="880"/>
        <v>0.12487914135037308</v>
      </c>
      <c r="EM311">
        <f t="shared" si="881"/>
        <v>1.6199999999999999E-2</v>
      </c>
      <c r="EN311" s="460">
        <f t="shared" si="882"/>
        <v>68.029690043002617</v>
      </c>
      <c r="EP311" s="460">
        <f t="shared" si="883"/>
        <v>1903.5508681618137</v>
      </c>
      <c r="EQ311" s="173">
        <f t="shared" si="884"/>
        <v>0.66499999999999992</v>
      </c>
      <c r="ER311" s="173">
        <f t="shared" si="845"/>
        <v>5.8900000000000001E-2</v>
      </c>
      <c r="ES311" s="528"/>
      <c r="EU311" s="460">
        <f t="shared" si="885"/>
        <v>723.89999999999986</v>
      </c>
      <c r="EV311" s="528">
        <f t="shared" si="886"/>
        <v>5.9720202576328284E-2</v>
      </c>
      <c r="EW311" s="528">
        <f t="shared" si="887"/>
        <v>5.8056741063271029E-2</v>
      </c>
      <c r="EX311" s="528">
        <f t="shared" si="888"/>
        <v>9.7022928657663471E-5</v>
      </c>
      <c r="EY311" s="528">
        <f t="shared" si="889"/>
        <v>2.1473566184574633</v>
      </c>
      <c r="EZ311" s="528"/>
      <c r="FA311" s="625">
        <f t="shared" si="890"/>
        <v>0.98589057837214367</v>
      </c>
      <c r="FB311" s="460">
        <f t="shared" si="891"/>
        <v>3251.1211633978637</v>
      </c>
      <c r="FC311" s="173">
        <f t="shared" si="892"/>
        <v>5.8785720315596768</v>
      </c>
      <c r="FD311" s="5">
        <f t="shared" si="893"/>
        <v>24.509999999999998</v>
      </c>
      <c r="FE311" s="173">
        <f t="shared" si="894"/>
        <v>0.8065531994904348</v>
      </c>
      <c r="FF311" s="5">
        <f t="shared" si="895"/>
        <v>80.655319949043474</v>
      </c>
      <c r="FG311">
        <f t="shared" si="896"/>
        <v>95</v>
      </c>
      <c r="FI311" s="562">
        <f t="shared" si="846"/>
        <v>-50</v>
      </c>
    </row>
    <row r="312" spans="5:169">
      <c r="E312" s="170">
        <v>96</v>
      </c>
      <c r="F312" s="217">
        <f t="shared" si="847"/>
        <v>0.96</v>
      </c>
      <c r="G312" s="217">
        <f t="shared" si="775"/>
        <v>9.6000000000000002E-2</v>
      </c>
      <c r="H312" s="217">
        <f t="shared" si="776"/>
        <v>23.04</v>
      </c>
      <c r="I312" s="217">
        <f t="shared" si="777"/>
        <v>1.728</v>
      </c>
      <c r="J312" s="541">
        <f t="shared" si="778"/>
        <v>35.811006911562892</v>
      </c>
      <c r="K312" s="443">
        <f t="shared" si="779"/>
        <v>16.503187767118803</v>
      </c>
      <c r="L312" s="172">
        <f t="shared" si="780"/>
        <v>52.314194678681694</v>
      </c>
      <c r="M312" s="443"/>
      <c r="N312" s="217">
        <f t="shared" si="781"/>
        <v>0.31546290387308468</v>
      </c>
      <c r="O312" s="172">
        <f>N312*J312*Isw_max*0.5*Efficiency*Pout/(Pout+Pout2)</f>
        <v>58.382657524241516</v>
      </c>
      <c r="P312" s="172">
        <f t="shared" si="783"/>
        <v>4.7071017628919725</v>
      </c>
      <c r="Q312" s="217">
        <f t="shared" si="784"/>
        <v>2.4326107301767297</v>
      </c>
      <c r="R312" s="217">
        <f t="shared" si="785"/>
        <v>3.2434809735689729</v>
      </c>
      <c r="S312" s="217">
        <f t="shared" si="786"/>
        <v>24</v>
      </c>
      <c r="T312" s="217">
        <f t="shared" si="787"/>
        <v>4.3848637738647689</v>
      </c>
      <c r="U312" s="217">
        <f t="shared" si="788"/>
        <v>1.2244458204410209</v>
      </c>
      <c r="V312" s="217">
        <f t="shared" si="789"/>
        <v>2.6569798730650311</v>
      </c>
      <c r="W312" s="197">
        <f t="shared" si="790"/>
        <v>350</v>
      </c>
      <c r="X312" s="443">
        <f t="shared" si="848"/>
        <v>245.01242337722769</v>
      </c>
      <c r="Z312" s="217">
        <f t="shared" si="791"/>
        <v>3.2277269231259247</v>
      </c>
      <c r="AA312" s="173">
        <f t="shared" si="792"/>
        <v>1.9558202746483297</v>
      </c>
      <c r="AB312" s="173">
        <f>0.5*AA312*Z312*Nps*W312/1000*(Pout/(Pout+Pout2))</f>
        <v>0.68545846959839007</v>
      </c>
      <c r="AC312" s="173"/>
      <c r="AD312" s="173">
        <f t="shared" si="794"/>
        <v>1.3465411977253336</v>
      </c>
      <c r="AE312" s="545">
        <f>MAX(10, F312/(0.5*AD312/1000000*Isw_min*Nps)/1000*Pout_total/Pout)</f>
        <v>961.98491811930865</v>
      </c>
      <c r="AF312" s="528">
        <f t="shared" si="796"/>
        <v>0.34927782512108796</v>
      </c>
      <c r="AH312" s="173">
        <f t="shared" si="797"/>
        <v>3.7620663015346838</v>
      </c>
      <c r="AI312" s="173">
        <f>MAX(IF(F312&gt;AB312,T312,AH312),Isw_min)</f>
        <v>4.3848637738647689</v>
      </c>
      <c r="AJ312" s="173">
        <f>IF(F312&gt;AF312, (AI312-Isw_min)/1.08*0.8+1.2, AE312*0.2/350+1)</f>
        <v>2.8019567049204053</v>
      </c>
      <c r="AL312" s="545">
        <f t="shared" si="800"/>
        <v>960</v>
      </c>
      <c r="AM312" s="460">
        <f t="shared" si="801"/>
        <v>245.01242337722769</v>
      </c>
      <c r="AO312">
        <f t="shared" si="802"/>
        <v>960</v>
      </c>
      <c r="AP312">
        <f t="shared" si="803"/>
        <v>245.01242337722769</v>
      </c>
      <c r="AR312" s="5">
        <f t="shared" si="774"/>
        <v>4.0814256935060529</v>
      </c>
      <c r="AS312" s="5">
        <f t="shared" si="897"/>
        <v>1.2244458204410209</v>
      </c>
      <c r="AT312" s="5">
        <f t="shared" si="898"/>
        <v>2.8569798730650318</v>
      </c>
      <c r="AU312" s="173">
        <f t="shared" si="899"/>
        <v>0.30000443776037228</v>
      </c>
      <c r="BA312" s="173">
        <f t="shared" si="849"/>
        <v>1.3866259312396505</v>
      </c>
      <c r="BB312" s="173">
        <f t="shared" si="850"/>
        <v>1.412761839193406</v>
      </c>
      <c r="BC312" s="173">
        <f t="shared" si="851"/>
        <v>0.14146709768139376</v>
      </c>
      <c r="BD312" s="173"/>
      <c r="BE312" s="528">
        <f t="shared" si="852"/>
        <v>7.6909258927449126E-2</v>
      </c>
      <c r="BF312" s="528">
        <f t="shared" si="804"/>
        <v>1.2645798974326483</v>
      </c>
      <c r="BG312" s="528">
        <f t="shared" si="805"/>
        <v>0.35096566347922697</v>
      </c>
      <c r="BH312" s="528">
        <f t="shared" si="853"/>
        <v>0.11734517661704827</v>
      </c>
      <c r="BI312">
        <f t="shared" si="854"/>
        <v>1.6114953110203299E-2</v>
      </c>
      <c r="BJ312" s="460">
        <f t="shared" si="855"/>
        <v>367.08061658943024</v>
      </c>
      <c r="BK312">
        <f t="shared" si="806"/>
        <v>1.5071407808268864</v>
      </c>
      <c r="BL312" s="460">
        <f t="shared" si="856"/>
        <v>1825.9149495665763</v>
      </c>
      <c r="BM312" s="173">
        <f t="shared" si="807"/>
        <v>0.83327999999999991</v>
      </c>
      <c r="BN312" s="173">
        <f t="shared" si="808"/>
        <v>5.9520000000000003E-2</v>
      </c>
      <c r="BQ312" s="460">
        <f t="shared" si="857"/>
        <v>892.8</v>
      </c>
      <c r="BR312" s="528">
        <f t="shared" si="858"/>
        <v>5.7681944195586837E-2</v>
      </c>
      <c r="BS312" s="528">
        <f t="shared" si="859"/>
        <v>5.9876880428434059E-2</v>
      </c>
      <c r="BT312" s="528">
        <f t="shared" si="860"/>
        <v>1.0006469863198502E-4</v>
      </c>
      <c r="BU312" s="528">
        <f t="shared" si="861"/>
        <v>1.8916053463647324</v>
      </c>
      <c r="BV312" s="528"/>
      <c r="BW312" s="625">
        <f t="shared" si="862"/>
        <v>0.94217225838234298</v>
      </c>
      <c r="BX312" s="460">
        <f t="shared" si="863"/>
        <v>2951.4364940697278</v>
      </c>
      <c r="BY312" s="173">
        <f t="shared" si="864"/>
        <v>5.6701514436363052</v>
      </c>
      <c r="BZ312" s="5">
        <f t="shared" si="865"/>
        <v>24.768000000000001</v>
      </c>
      <c r="CA312" s="173">
        <f t="shared" si="866"/>
        <v>0.81371564386437922</v>
      </c>
      <c r="CB312" s="5">
        <f t="shared" si="867"/>
        <v>81.371564386437925</v>
      </c>
      <c r="CC312">
        <f t="shared" si="868"/>
        <v>96</v>
      </c>
      <c r="CE312" s="562">
        <f t="shared" si="809"/>
        <v>-50</v>
      </c>
      <c r="CG312" s="173">
        <f t="shared" si="810"/>
        <v>0.67907798870528813</v>
      </c>
      <c r="CH312" s="173">
        <f t="shared" si="811"/>
        <v>0.1857221904265535</v>
      </c>
      <c r="CI312" s="170">
        <v>96</v>
      </c>
      <c r="CJ312" s="217">
        <f t="shared" si="869"/>
        <v>0.96</v>
      </c>
      <c r="CK312" s="217">
        <f t="shared" si="812"/>
        <v>9.6000000000000002E-2</v>
      </c>
      <c r="CL312" s="217">
        <f t="shared" si="813"/>
        <v>23.04</v>
      </c>
      <c r="CM312" s="217">
        <f t="shared" si="814"/>
        <v>1.728</v>
      </c>
      <c r="CN312" s="541">
        <f t="shared" si="815"/>
        <v>36</v>
      </c>
      <c r="CO312" s="443">
        <f t="shared" si="816"/>
        <v>16.474900000000002</v>
      </c>
      <c r="CP312" s="443">
        <f t="shared" si="817"/>
        <v>52.474900000000005</v>
      </c>
      <c r="CQ312" s="443"/>
      <c r="CR312" s="217">
        <f t="shared" si="818"/>
        <v>0.31220924123305599</v>
      </c>
      <c r="CS312" s="172">
        <f t="shared" si="819"/>
        <v>58.085440229405762</v>
      </c>
      <c r="CT312" s="172">
        <f t="shared" si="820"/>
        <v>4.683138618495839</v>
      </c>
      <c r="CU312" s="217">
        <f t="shared" si="821"/>
        <v>2.4202266762252402</v>
      </c>
      <c r="CV312" s="217">
        <f t="shared" si="822"/>
        <v>3.2269689016336534</v>
      </c>
      <c r="CW312" s="217">
        <f t="shared" si="823"/>
        <v>24</v>
      </c>
      <c r="CX312" s="217">
        <f t="shared" si="824"/>
        <v>4.4073006761925164</v>
      </c>
      <c r="CY312" s="217">
        <f t="shared" si="825"/>
        <v>1.2242501878312548</v>
      </c>
      <c r="CZ312" s="217">
        <f t="shared" si="826"/>
        <v>2.6751608059487562</v>
      </c>
      <c r="DA312" s="197">
        <f t="shared" si="827"/>
        <v>350</v>
      </c>
      <c r="DB312" s="443">
        <f t="shared" si="828"/>
        <v>256.44898719193998</v>
      </c>
      <c r="DD312" s="217">
        <f t="shared" si="829"/>
        <v>3.2292794133140656</v>
      </c>
      <c r="DE312" s="173">
        <f t="shared" si="830"/>
        <v>1.9601207978889497</v>
      </c>
      <c r="DF312" s="173">
        <f t="shared" si="831"/>
        <v>0.6872960992823488</v>
      </c>
      <c r="DG312" s="173"/>
      <c r="DH312" s="173">
        <f t="shared" si="832"/>
        <v>1.3488532386977903</v>
      </c>
      <c r="DI312" s="545">
        <f t="shared" si="833"/>
        <v>960.33599999999967</v>
      </c>
      <c r="DJ312" s="528">
        <f t="shared" si="834"/>
        <v>0.34987754285999911</v>
      </c>
      <c r="DL312" s="173">
        <f t="shared" si="835"/>
        <v>3.7620663015346838</v>
      </c>
      <c r="DM312" s="173">
        <f t="shared" si="836"/>
        <v>4.4073006761925164</v>
      </c>
      <c r="DN312" s="173">
        <f t="shared" si="837"/>
        <v>2.8185766325705881</v>
      </c>
      <c r="DP312" s="545">
        <f t="shared" si="838"/>
        <v>960</v>
      </c>
      <c r="DQ312" s="460">
        <f t="shared" si="839"/>
        <v>256.44898719193998</v>
      </c>
      <c r="DS312">
        <f t="shared" si="840"/>
        <v>960</v>
      </c>
      <c r="DT312">
        <f t="shared" si="841"/>
        <v>256.44898719193998</v>
      </c>
      <c r="DV312" s="5">
        <f t="shared" si="870"/>
        <v>3.8994109937800112</v>
      </c>
      <c r="DW312" s="5">
        <f t="shared" si="842"/>
        <v>1.2242501878312548</v>
      </c>
      <c r="DX312" s="5">
        <f t="shared" si="843"/>
        <v>2.6751608059487566</v>
      </c>
      <c r="DY312" s="173">
        <f t="shared" si="844"/>
        <v>0.31395772073886757</v>
      </c>
      <c r="EA312" s="5">
        <f t="shared" si="871"/>
        <v>4.8970007513250193</v>
      </c>
      <c r="EB312" s="5">
        <f t="shared" si="872"/>
        <v>0.65293343351000255</v>
      </c>
      <c r="EC312" s="5">
        <f t="shared" si="873"/>
        <v>1.4267524298393368</v>
      </c>
      <c r="ED312" s="5"/>
      <c r="EE312" s="173">
        <f t="shared" si="874"/>
        <v>1.4257639729392944</v>
      </c>
      <c r="EF312" s="173">
        <f t="shared" si="875"/>
        <v>1.4057669451637027</v>
      </c>
      <c r="EG312" s="173">
        <f t="shared" si="876"/>
        <v>0.14076666302247345</v>
      </c>
      <c r="EH312" s="173"/>
      <c r="EI312" s="528">
        <f t="shared" si="877"/>
        <v>8.1312116261265652E-2</v>
      </c>
      <c r="EJ312" s="528">
        <f t="shared" si="878"/>
        <v>1.6310151000000004</v>
      </c>
      <c r="EK312" s="528">
        <f t="shared" si="879"/>
        <v>5.1289797438387991E-2</v>
      </c>
      <c r="EL312" s="528">
        <f t="shared" si="880"/>
        <v>0.12357831696130668</v>
      </c>
      <c r="EM312">
        <f t="shared" si="881"/>
        <v>1.6199999999999999E-2</v>
      </c>
      <c r="EN312" s="460">
        <f t="shared" si="882"/>
        <v>67.489797438387981</v>
      </c>
      <c r="EP312" s="460">
        <f t="shared" si="883"/>
        <v>1903.3953306609606</v>
      </c>
      <c r="EQ312" s="173">
        <f t="shared" si="884"/>
        <v>0.67199999999999993</v>
      </c>
      <c r="ER312" s="173">
        <f t="shared" si="845"/>
        <v>5.9520000000000003E-2</v>
      </c>
      <c r="ES312" s="528"/>
      <c r="EU312" s="460">
        <f t="shared" si="885"/>
        <v>731.52</v>
      </c>
      <c r="EV312" s="528">
        <f t="shared" si="886"/>
        <v>6.0984087195949228E-2</v>
      </c>
      <c r="EW312" s="528">
        <f t="shared" si="887"/>
        <v>5.928542112344666E-2</v>
      </c>
      <c r="EX312" s="528">
        <f t="shared" si="888"/>
        <v>9.9076267092412977E-5</v>
      </c>
      <c r="EY312" s="528">
        <f t="shared" si="889"/>
        <v>2.1473566184574615</v>
      </c>
      <c r="EZ312" s="528"/>
      <c r="FA312" s="625">
        <f t="shared" si="890"/>
        <v>0.99626837393395584</v>
      </c>
      <c r="FB312" s="460">
        <f t="shared" si="891"/>
        <v>3263.9935769779054</v>
      </c>
      <c r="FC312" s="173">
        <f t="shared" si="892"/>
        <v>5.898908907638865</v>
      </c>
      <c r="FD312" s="5">
        <f t="shared" si="893"/>
        <v>24.768000000000001</v>
      </c>
      <c r="FE312" s="173">
        <f t="shared" si="894"/>
        <v>0.807645794187966</v>
      </c>
      <c r="FF312" s="5">
        <f t="shared" si="895"/>
        <v>80.7645794187966</v>
      </c>
      <c r="FG312">
        <f t="shared" si="896"/>
        <v>96</v>
      </c>
      <c r="FI312" s="562">
        <f t="shared" si="846"/>
        <v>-50</v>
      </c>
    </row>
    <row r="313" spans="5:169">
      <c r="E313" s="170">
        <v>97</v>
      </c>
      <c r="F313" s="217">
        <f>IF(PLOT_TYPE=1, E313/100*Iout_max, min_I*EXP(O313*rr/100))</f>
        <v>0.97</v>
      </c>
      <c r="G313" s="217">
        <f t="shared" si="775"/>
        <v>9.7000000000000003E-2</v>
      </c>
      <c r="H313" s="217">
        <f t="shared" si="776"/>
        <v>23.28</v>
      </c>
      <c r="I313" s="217">
        <f t="shared" si="777"/>
        <v>1.746</v>
      </c>
      <c r="J313" s="541">
        <f t="shared" si="778"/>
        <v>35.80903823355834</v>
      </c>
      <c r="K313" s="443">
        <f t="shared" si="779"/>
        <v>16.503482431359625</v>
      </c>
      <c r="L313" s="172">
        <f t="shared" si="780"/>
        <v>52.312520664917969</v>
      </c>
      <c r="M313" s="443"/>
      <c r="N313" s="217">
        <f t="shared" si="781"/>
        <v>0.31547863153203504</v>
      </c>
      <c r="O313" s="172">
        <f>N313*J313*Isw_max*0.5*Efficiency*Pout/(Pout+Pout2)</f>
        <v>58.382358544709604</v>
      </c>
      <c r="P313" s="172">
        <f t="shared" si="783"/>
        <v>4.7070776576672113</v>
      </c>
      <c r="Q313" s="217">
        <f t="shared" si="784"/>
        <v>2.4325982726962336</v>
      </c>
      <c r="R313" s="217">
        <f t="shared" si="785"/>
        <v>3.243464363594978</v>
      </c>
      <c r="S313" s="217">
        <f t="shared" si="786"/>
        <v>24</v>
      </c>
      <c r="T313" s="217">
        <f t="shared" si="787"/>
        <v>4.4305621272319451</v>
      </c>
      <c r="U313" s="217">
        <f t="shared" si="788"/>
        <v>1.2372748182552014</v>
      </c>
      <c r="V313" s="217">
        <f t="shared" si="789"/>
        <v>2.6846225611226573</v>
      </c>
      <c r="W313" s="197">
        <f t="shared" si="790"/>
        <v>350</v>
      </c>
      <c r="X313" s="443">
        <f t="shared" si="848"/>
        <v>242.60671917817993</v>
      </c>
      <c r="Z313" s="217">
        <f t="shared" si="791"/>
        <v>3.2277103938289446</v>
      </c>
      <c r="AA313" s="173">
        <f t="shared" si="792"/>
        <v>1.9557753384798997</v>
      </c>
      <c r="AB313" s="173">
        <f>0.5*AA313*Z313*Nps*W313/1000*(Pout/(Pout+Pout2))</f>
        <v>0.68543921059533774</v>
      </c>
      <c r="AC313" s="173"/>
      <c r="AD313" s="173">
        <f t="shared" si="794"/>
        <v>1.346517155675941</v>
      </c>
      <c r="AE313" s="545">
        <f>MAX(10, F313/(0.5*AD313/1000000*Isw_min*Nps)/1000*Pout_total/Pout)</f>
        <v>972.02294949919451</v>
      </c>
      <c r="AF313" s="528">
        <f t="shared" si="796"/>
        <v>0.34927158888060938</v>
      </c>
      <c r="AH313" s="173">
        <f t="shared" si="797"/>
        <v>3.7816096346095041</v>
      </c>
      <c r="AI313" s="173">
        <f>MAX(IF(F313&gt;AB313,T313,AH313),Isw_min)</f>
        <v>4.4305621272319451</v>
      </c>
      <c r="AJ313" s="173">
        <f>IF(F313&gt;AF313, (AI313-Isw_min)/1.08*0.8+1.2, AE313*0.2/350+1)</f>
        <v>2.8358073370442392</v>
      </c>
      <c r="AL313" s="545">
        <f t="shared" si="800"/>
        <v>970</v>
      </c>
      <c r="AM313" s="460">
        <f t="shared" si="801"/>
        <v>242.60671917817993</v>
      </c>
      <c r="AO313">
        <f t="shared" si="802"/>
        <v>970</v>
      </c>
      <c r="AP313">
        <f t="shared" si="803"/>
        <v>242.60671917817993</v>
      </c>
      <c r="AR313" s="5">
        <f t="shared" si="774"/>
        <v>4.1218973793778595</v>
      </c>
      <c r="AS313" s="5">
        <f t="shared" si="897"/>
        <v>1.2372748182552014</v>
      </c>
      <c r="AT313" s="5">
        <f t="shared" si="898"/>
        <v>2.8846225611226579</v>
      </c>
      <c r="AU313" s="173">
        <f t="shared" si="899"/>
        <v>0.30017118437867318</v>
      </c>
      <c r="BA313" s="173">
        <f t="shared" si="849"/>
        <v>1.4014664412584061</v>
      </c>
      <c r="BB313" s="173">
        <f t="shared" si="850"/>
        <v>1.4273153870860964</v>
      </c>
      <c r="BC313" s="173">
        <f t="shared" si="851"/>
        <v>0.14292441916632392</v>
      </c>
      <c r="BD313" s="173"/>
      <c r="BE313" s="528">
        <f t="shared" si="852"/>
        <v>7.8564327438940054E-2</v>
      </c>
      <c r="BF313" s="528">
        <f t="shared" si="804"/>
        <v>1.2651727248102076</v>
      </c>
      <c r="BG313" s="528">
        <f t="shared" si="805"/>
        <v>0.3475005313107839</v>
      </c>
      <c r="BH313" s="528">
        <f t="shared" si="853"/>
        <v>0.11618556313448081</v>
      </c>
      <c r="BI313">
        <f t="shared" si="854"/>
        <v>1.6114067205101251E-2</v>
      </c>
      <c r="BJ313" s="460">
        <f t="shared" si="855"/>
        <v>363.61459851588518</v>
      </c>
      <c r="BK313">
        <f t="shared" si="806"/>
        <v>1.5093090816403649</v>
      </c>
      <c r="BL313" s="460">
        <f t="shared" si="856"/>
        <v>1823.5372138995135</v>
      </c>
      <c r="BM313" s="173">
        <f t="shared" si="807"/>
        <v>0.84195999999999993</v>
      </c>
      <c r="BN313" s="173">
        <f t="shared" si="808"/>
        <v>6.0139999999999999E-2</v>
      </c>
      <c r="BQ313" s="460">
        <f t="shared" si="857"/>
        <v>902.09999999999991</v>
      </c>
      <c r="BR313" s="528">
        <f t="shared" si="858"/>
        <v>5.8923245579205044E-2</v>
      </c>
      <c r="BS313" s="528">
        <f t="shared" si="859"/>
        <v>6.1116876426382E-2</v>
      </c>
      <c r="BT313" s="528">
        <f t="shared" si="860"/>
        <v>1.0213694797015531E-4</v>
      </c>
      <c r="BU313" s="528">
        <f t="shared" si="861"/>
        <v>1.8939745693078531</v>
      </c>
      <c r="BV313" s="528"/>
      <c r="BW313" s="625">
        <f t="shared" si="862"/>
        <v>0.95246819396677496</v>
      </c>
      <c r="BX313" s="460">
        <f t="shared" si="863"/>
        <v>2966.5850222281847</v>
      </c>
      <c r="BY313" s="173">
        <f t="shared" si="864"/>
        <v>5.6922222361276988</v>
      </c>
      <c r="BZ313" s="5">
        <f t="shared" si="865"/>
        <v>25.026</v>
      </c>
      <c r="CA313" s="173">
        <f t="shared" si="866"/>
        <v>0.81469558386640373</v>
      </c>
      <c r="CB313" s="5">
        <f t="shared" si="867"/>
        <v>81.469558386640372</v>
      </c>
      <c r="CC313">
        <f t="shared" si="868"/>
        <v>97</v>
      </c>
      <c r="CE313" s="562">
        <f t="shared" si="809"/>
        <v>-50</v>
      </c>
      <c r="CG313" s="173">
        <f t="shared" si="810"/>
        <v>0.67907798870528813</v>
      </c>
      <c r="CH313" s="173">
        <f t="shared" si="811"/>
        <v>0.1857221904265535</v>
      </c>
      <c r="CI313" s="170">
        <v>97</v>
      </c>
      <c r="CJ313" s="217">
        <f t="shared" si="869"/>
        <v>0.97</v>
      </c>
      <c r="CK313" s="217">
        <f t="shared" si="812"/>
        <v>9.7000000000000003E-2</v>
      </c>
      <c r="CL313" s="217">
        <f t="shared" si="813"/>
        <v>23.28</v>
      </c>
      <c r="CM313" s="217">
        <f t="shared" si="814"/>
        <v>1.746</v>
      </c>
      <c r="CN313" s="541">
        <f t="shared" si="815"/>
        <v>36</v>
      </c>
      <c r="CO313" s="443">
        <f t="shared" si="816"/>
        <v>16.474900000000002</v>
      </c>
      <c r="CP313" s="443">
        <f t="shared" si="817"/>
        <v>52.474900000000005</v>
      </c>
      <c r="CQ313" s="443"/>
      <c r="CR313" s="217">
        <f t="shared" si="818"/>
        <v>0.31220924123305599</v>
      </c>
      <c r="CS313" s="172">
        <f t="shared" si="819"/>
        <v>58.085440229405762</v>
      </c>
      <c r="CT313" s="172">
        <f t="shared" si="820"/>
        <v>4.683138618495839</v>
      </c>
      <c r="CU313" s="217">
        <f t="shared" si="821"/>
        <v>2.4202266762252402</v>
      </c>
      <c r="CV313" s="217">
        <f t="shared" si="822"/>
        <v>3.2269689016336534</v>
      </c>
      <c r="CW313" s="217">
        <f t="shared" si="823"/>
        <v>24</v>
      </c>
      <c r="CX313" s="217">
        <f t="shared" si="824"/>
        <v>4.4532100582361878</v>
      </c>
      <c r="CY313" s="217">
        <f t="shared" si="825"/>
        <v>1.2370027939544967</v>
      </c>
      <c r="CZ313" s="217">
        <f t="shared" si="826"/>
        <v>2.7030270643440555</v>
      </c>
      <c r="DA313" s="197">
        <f t="shared" si="827"/>
        <v>350</v>
      </c>
      <c r="DB313" s="443">
        <f t="shared" si="828"/>
        <v>253.80518320027051</v>
      </c>
      <c r="DD313" s="217">
        <f t="shared" si="829"/>
        <v>3.2292794133140656</v>
      </c>
      <c r="DE313" s="173">
        <f t="shared" si="830"/>
        <v>1.9601207978889497</v>
      </c>
      <c r="DF313" s="173">
        <f t="shared" si="831"/>
        <v>0.6872960992823488</v>
      </c>
      <c r="DG313" s="173"/>
      <c r="DH313" s="173">
        <f t="shared" si="832"/>
        <v>1.3488532386977903</v>
      </c>
      <c r="DI313" s="545">
        <f t="shared" si="833"/>
        <v>970.3394999999997</v>
      </c>
      <c r="DJ313" s="528">
        <f t="shared" si="834"/>
        <v>0.34987754285999911</v>
      </c>
      <c r="DL313" s="173">
        <f t="shared" si="835"/>
        <v>3.7816096346095041</v>
      </c>
      <c r="DM313" s="173">
        <f t="shared" si="836"/>
        <v>4.4532100582361878</v>
      </c>
      <c r="DN313" s="173">
        <f t="shared" si="837"/>
        <v>2.8525835822325671</v>
      </c>
      <c r="DP313" s="545">
        <f t="shared" si="838"/>
        <v>970</v>
      </c>
      <c r="DQ313" s="460">
        <f t="shared" si="839"/>
        <v>253.80518320027051</v>
      </c>
      <c r="DS313">
        <f t="shared" si="840"/>
        <v>970</v>
      </c>
      <c r="DT313">
        <f t="shared" si="841"/>
        <v>253.80518320027051</v>
      </c>
      <c r="DV313" s="5">
        <f t="shared" si="870"/>
        <v>3.9400298582985522</v>
      </c>
      <c r="DW313" s="5">
        <f t="shared" si="842"/>
        <v>1.2370027939544967</v>
      </c>
      <c r="DX313" s="5">
        <f t="shared" si="843"/>
        <v>2.7030270643440555</v>
      </c>
      <c r="DY313" s="173">
        <f t="shared" si="844"/>
        <v>0.31395772073886757</v>
      </c>
      <c r="EA313" s="5">
        <f t="shared" si="871"/>
        <v>4.9995529588994243</v>
      </c>
      <c r="EB313" s="5">
        <f t="shared" si="872"/>
        <v>0.66660706118658997</v>
      </c>
      <c r="EC313" s="5">
        <f t="shared" si="873"/>
        <v>1.4566312513409632</v>
      </c>
      <c r="ED313" s="5"/>
      <c r="EE313" s="173">
        <f t="shared" si="874"/>
        <v>1.4406156809907451</v>
      </c>
      <c r="EF313" s="173">
        <f t="shared" si="875"/>
        <v>1.420410350842491</v>
      </c>
      <c r="EG313" s="173">
        <f t="shared" si="876"/>
        <v>0.14223298242895752</v>
      </c>
      <c r="EH313" s="173"/>
      <c r="EI313" s="528">
        <f t="shared" si="877"/>
        <v>8.3014941612657142E-2</v>
      </c>
      <c r="EJ313" s="528">
        <f t="shared" si="878"/>
        <v>1.6310151000000002</v>
      </c>
      <c r="EK313" s="528">
        <f t="shared" si="879"/>
        <v>5.0761036640054102E-2</v>
      </c>
      <c r="EL313" s="528">
        <f t="shared" si="880"/>
        <v>0.12230431369366433</v>
      </c>
      <c r="EM313">
        <f t="shared" si="881"/>
        <v>1.6199999999999999E-2</v>
      </c>
      <c r="EN313" s="460">
        <f t="shared" si="882"/>
        <v>66.96103664005409</v>
      </c>
      <c r="EP313" s="460">
        <f t="shared" si="883"/>
        <v>1903.2953919463757</v>
      </c>
      <c r="EQ313" s="173">
        <f t="shared" si="884"/>
        <v>0.67899999999999994</v>
      </c>
      <c r="ER313" s="173">
        <f t="shared" si="845"/>
        <v>6.0139999999999999E-2</v>
      </c>
      <c r="ES313" s="528"/>
      <c r="EU313" s="460">
        <f t="shared" si="885"/>
        <v>739.13999999999987</v>
      </c>
      <c r="EV313" s="528">
        <f t="shared" si="886"/>
        <v>6.2261206209492853E-2</v>
      </c>
      <c r="EW313" s="528">
        <f t="shared" si="887"/>
        <v>6.0526966943414653E-2</v>
      </c>
      <c r="EX313" s="528">
        <f t="shared" si="888"/>
        <v>1.0115110645318068E-4</v>
      </c>
      <c r="EY313" s="528">
        <f t="shared" si="889"/>
        <v>2.1473566184574593</v>
      </c>
      <c r="EZ313" s="528"/>
      <c r="FA313" s="625">
        <f t="shared" si="890"/>
        <v>1.0066461694957676</v>
      </c>
      <c r="FB313" s="460">
        <f t="shared" si="891"/>
        <v>3276.8921122125876</v>
      </c>
      <c r="FC313" s="173">
        <f t="shared" si="892"/>
        <v>5.9193275041589635</v>
      </c>
      <c r="FD313" s="5">
        <f t="shared" si="893"/>
        <v>25.026</v>
      </c>
      <c r="FE313" s="173">
        <f t="shared" si="894"/>
        <v>0.80871659854420919</v>
      </c>
      <c r="FF313" s="5">
        <f t="shared" si="895"/>
        <v>80.871659854420912</v>
      </c>
      <c r="FG313">
        <f t="shared" si="896"/>
        <v>97</v>
      </c>
      <c r="FI313" s="562">
        <f t="shared" si="846"/>
        <v>-50</v>
      </c>
    </row>
    <row r="314" spans="5:169">
      <c r="E314" s="170">
        <v>98</v>
      </c>
      <c r="F314" s="217">
        <f>IF(PLOT_TYPE=1, E314/100*Iout_max, min_I*EXP(O314*rr/100))</f>
        <v>0.98</v>
      </c>
      <c r="G314" s="217">
        <f t="shared" si="775"/>
        <v>9.8000000000000004E-2</v>
      </c>
      <c r="H314" s="217">
        <f t="shared" si="776"/>
        <v>23.52</v>
      </c>
      <c r="I314" s="217">
        <f t="shared" si="777"/>
        <v>1.764</v>
      </c>
      <c r="J314" s="541">
        <f t="shared" si="778"/>
        <v>35.807069555553781</v>
      </c>
      <c r="K314" s="443">
        <f t="shared" si="779"/>
        <v>16.503777095600444</v>
      </c>
      <c r="L314" s="172">
        <f t="shared" si="780"/>
        <v>52.310846651154222</v>
      </c>
      <c r="M314" s="443"/>
      <c r="N314" s="217">
        <f t="shared" si="781"/>
        <v>0.31549436019759575</v>
      </c>
      <c r="O314" s="172">
        <f>N314*J314*Isw_max*0.5*Efficiency*Pout/(Pout+Pout2)</f>
        <v>58.382059431422476</v>
      </c>
      <c r="P314" s="172">
        <f t="shared" si="783"/>
        <v>4.7070535416584365</v>
      </c>
      <c r="Q314" s="217">
        <f t="shared" si="784"/>
        <v>2.4325858096426032</v>
      </c>
      <c r="R314" s="217">
        <f t="shared" si="785"/>
        <v>3.2434477461901374</v>
      </c>
      <c r="S314" s="217">
        <f t="shared" si="786"/>
        <v>24</v>
      </c>
      <c r="T314" s="217">
        <f t="shared" si="787"/>
        <v>4.4762609589047511</v>
      </c>
      <c r="U314" s="217">
        <f t="shared" si="788"/>
        <v>1.2501053603283407</v>
      </c>
      <c r="V314" s="217">
        <f t="shared" si="789"/>
        <v>2.7122645519115909</v>
      </c>
      <c r="W314" s="197">
        <f t="shared" si="790"/>
        <v>350</v>
      </c>
      <c r="X314" s="443">
        <f t="shared" si="848"/>
        <v>240.24774853849101</v>
      </c>
      <c r="Z314" s="217">
        <f t="shared" si="791"/>
        <v>3.2276938571372131</v>
      </c>
      <c r="AA314" s="173">
        <f t="shared" si="792"/>
        <v>1.9557303994354407</v>
      </c>
      <c r="AB314" s="173">
        <f>0.5*AA314*Z314*Nps*W314/1000*(Pout/(Pout+Pout2))</f>
        <v>0.6854199491753119</v>
      </c>
      <c r="AC314" s="173"/>
      <c r="AD314" s="173">
        <f t="shared" si="794"/>
        <v>1.3464931144850592</v>
      </c>
      <c r="AE314" s="545">
        <f>MAX(10, F314/(0.5*AD314/1000000*Isw_min*Nps)/1000*Pout_total/Pout)</f>
        <v>982.06133871721374</v>
      </c>
      <c r="AF314" s="528">
        <f t="shared" si="796"/>
        <v>0.34926535286281896</v>
      </c>
      <c r="AH314" s="173">
        <f t="shared" si="797"/>
        <v>3.8010524858254717</v>
      </c>
      <c r="AI314" s="173">
        <f>MAX(IF(F314&gt;AB314,T314,AH314),Isw_min)</f>
        <v>4.4762609589047511</v>
      </c>
      <c r="AJ314" s="173">
        <f>IF(F314&gt;AF314, (AI314-Isw_min)/1.08*0.8+1.2, AE314*0.2/350+1)</f>
        <v>2.8696583234685402</v>
      </c>
      <c r="AL314" s="545">
        <f t="shared" si="800"/>
        <v>980</v>
      </c>
      <c r="AM314" s="460">
        <f t="shared" si="801"/>
        <v>240.24774853849101</v>
      </c>
      <c r="AO314">
        <f t="shared" si="802"/>
        <v>980</v>
      </c>
      <c r="AP314">
        <f t="shared" si="803"/>
        <v>240.24774853849101</v>
      </c>
      <c r="AR314" s="5">
        <f t="shared" si="774"/>
        <v>4.1623699122399316</v>
      </c>
      <c r="AS314" s="5">
        <f t="shared" si="897"/>
        <v>1.2501053603283407</v>
      </c>
      <c r="AT314" s="5">
        <f t="shared" si="898"/>
        <v>2.9122645519115906</v>
      </c>
      <c r="AU314" s="173">
        <f t="shared" si="899"/>
        <v>0.30033499825478294</v>
      </c>
      <c r="BA314" s="173">
        <f t="shared" si="849"/>
        <v>1.4163081094019756</v>
      </c>
      <c r="BB314" s="173">
        <f t="shared" si="850"/>
        <v>1.441868582952561</v>
      </c>
      <c r="BC314" s="173">
        <f t="shared" si="851"/>
        <v>0.14438170540106046</v>
      </c>
      <c r="BD314" s="173"/>
      <c r="BE314" s="528">
        <f t="shared" si="852"/>
        <v>8.0237146430311948E-2</v>
      </c>
      <c r="BF314" s="528">
        <f t="shared" si="804"/>
        <v>1.2657530744259673</v>
      </c>
      <c r="BG314" s="528">
        <f t="shared" si="805"/>
        <v>0.34410271369931766</v>
      </c>
      <c r="BH314" s="528">
        <f t="shared" si="853"/>
        <v>0.11504847686168275</v>
      </c>
      <c r="BI314">
        <f t="shared" si="854"/>
        <v>1.61131812999992E-2</v>
      </c>
      <c r="BJ314" s="460">
        <f t="shared" si="855"/>
        <v>360.2158949993169</v>
      </c>
      <c r="BK314">
        <f t="shared" si="806"/>
        <v>1.5115188454979083</v>
      </c>
      <c r="BL314" s="460">
        <f t="shared" si="856"/>
        <v>1821.2545927172789</v>
      </c>
      <c r="BM314" s="173">
        <f t="shared" si="807"/>
        <v>0.85063999999999995</v>
      </c>
      <c r="BN314" s="173">
        <f t="shared" si="808"/>
        <v>6.0760000000000002E-2</v>
      </c>
      <c r="BQ314" s="460">
        <f t="shared" si="857"/>
        <v>911.4</v>
      </c>
      <c r="BR314" s="528">
        <f t="shared" si="858"/>
        <v>6.0177859822733958E-2</v>
      </c>
      <c r="BS314" s="528">
        <f t="shared" si="859"/>
        <v>6.236955031516879E-2</v>
      </c>
      <c r="BT314" s="528">
        <f t="shared" si="860"/>
        <v>1.0423038427259306E-4</v>
      </c>
      <c r="BU314" s="528">
        <f t="shared" si="861"/>
        <v>1.8962989891139388</v>
      </c>
      <c r="BV314" s="528"/>
      <c r="BW314" s="625">
        <f t="shared" si="862"/>
        <v>0.96276460740762215</v>
      </c>
      <c r="BX314" s="460">
        <f t="shared" si="863"/>
        <v>2981.7152370437361</v>
      </c>
      <c r="BY314" s="173">
        <f t="shared" si="864"/>
        <v>5.714369829761015</v>
      </c>
      <c r="BZ314" s="5">
        <f t="shared" si="865"/>
        <v>25.283999999999999</v>
      </c>
      <c r="CA314" s="173">
        <f t="shared" si="866"/>
        <v>0.81565579541299804</v>
      </c>
      <c r="CB314" s="5">
        <f t="shared" si="867"/>
        <v>81.565579541299797</v>
      </c>
      <c r="CC314">
        <f t="shared" si="868"/>
        <v>98</v>
      </c>
      <c r="CE314" s="562">
        <f t="shared" si="809"/>
        <v>-50</v>
      </c>
      <c r="CG314" s="173">
        <f t="shared" si="810"/>
        <v>0.67907798870528813</v>
      </c>
      <c r="CH314" s="173">
        <f t="shared" si="811"/>
        <v>0.18572219042655352</v>
      </c>
      <c r="CI314" s="170">
        <v>98</v>
      </c>
      <c r="CJ314" s="217">
        <f t="shared" si="869"/>
        <v>0.98</v>
      </c>
      <c r="CK314" s="217">
        <f t="shared" si="812"/>
        <v>9.8000000000000004E-2</v>
      </c>
      <c r="CL314" s="217">
        <f t="shared" si="813"/>
        <v>23.52</v>
      </c>
      <c r="CM314" s="217">
        <f t="shared" si="814"/>
        <v>1.764</v>
      </c>
      <c r="CN314" s="541">
        <f t="shared" si="815"/>
        <v>36</v>
      </c>
      <c r="CO314" s="443">
        <f t="shared" si="816"/>
        <v>16.474900000000002</v>
      </c>
      <c r="CP314" s="443">
        <f t="shared" si="817"/>
        <v>52.474900000000005</v>
      </c>
      <c r="CQ314" s="443"/>
      <c r="CR314" s="217">
        <f t="shared" si="818"/>
        <v>0.31220924123305599</v>
      </c>
      <c r="CS314" s="172">
        <f t="shared" si="819"/>
        <v>58.085440229405762</v>
      </c>
      <c r="CT314" s="172">
        <f t="shared" si="820"/>
        <v>4.683138618495839</v>
      </c>
      <c r="CU314" s="217">
        <f t="shared" si="821"/>
        <v>2.4202266762252402</v>
      </c>
      <c r="CV314" s="217">
        <f t="shared" si="822"/>
        <v>3.2269689016336534</v>
      </c>
      <c r="CW314" s="217">
        <f t="shared" si="823"/>
        <v>24</v>
      </c>
      <c r="CX314" s="217">
        <f t="shared" si="824"/>
        <v>4.49911944027986</v>
      </c>
      <c r="CY314" s="217">
        <f t="shared" si="825"/>
        <v>1.2497554000777391</v>
      </c>
      <c r="CZ314" s="217">
        <f t="shared" si="826"/>
        <v>2.7308933227393548</v>
      </c>
      <c r="DA314" s="197">
        <f t="shared" si="827"/>
        <v>350</v>
      </c>
      <c r="DB314" s="443">
        <f t="shared" si="828"/>
        <v>251.21533439210452</v>
      </c>
      <c r="DD314" s="217">
        <f t="shared" si="829"/>
        <v>3.2292794133140656</v>
      </c>
      <c r="DE314" s="173">
        <f t="shared" si="830"/>
        <v>1.9601207978889497</v>
      </c>
      <c r="DF314" s="173">
        <f t="shared" si="831"/>
        <v>0.6872960992823488</v>
      </c>
      <c r="DG314" s="173"/>
      <c r="DH314" s="173">
        <f t="shared" si="832"/>
        <v>1.3488532386977903</v>
      </c>
      <c r="DI314" s="545">
        <f t="shared" si="833"/>
        <v>980.34299999999951</v>
      </c>
      <c r="DJ314" s="528">
        <f t="shared" si="834"/>
        <v>0.34987754285999911</v>
      </c>
      <c r="DL314" s="173">
        <f t="shared" si="835"/>
        <v>3.8010524858254717</v>
      </c>
      <c r="DM314" s="173">
        <f t="shared" si="836"/>
        <v>4.49911944027986</v>
      </c>
      <c r="DN314" s="173">
        <f t="shared" si="837"/>
        <v>2.8865905318945462</v>
      </c>
      <c r="DP314" s="545">
        <f t="shared" si="838"/>
        <v>980</v>
      </c>
      <c r="DQ314" s="460">
        <f t="shared" si="839"/>
        <v>251.21533439210452</v>
      </c>
      <c r="DS314">
        <f t="shared" si="840"/>
        <v>980</v>
      </c>
      <c r="DT314">
        <f t="shared" si="841"/>
        <v>251.21533439210452</v>
      </c>
      <c r="DV314" s="5">
        <f t="shared" si="870"/>
        <v>3.9806487228170933</v>
      </c>
      <c r="DW314" s="5">
        <f t="shared" si="842"/>
        <v>1.2497554000777391</v>
      </c>
      <c r="DX314" s="5">
        <f t="shared" si="843"/>
        <v>2.7308933227393544</v>
      </c>
      <c r="DY314" s="173">
        <f t="shared" si="844"/>
        <v>0.31395772073886763</v>
      </c>
      <c r="EA314" s="5">
        <f t="shared" si="871"/>
        <v>5.1031678836507677</v>
      </c>
      <c r="EB314" s="5">
        <f t="shared" si="872"/>
        <v>0.68042238448676906</v>
      </c>
      <c r="EC314" s="5">
        <f t="shared" si="873"/>
        <v>1.4868196979358705</v>
      </c>
      <c r="ED314" s="5"/>
      <c r="EE314" s="173">
        <f t="shared" si="874"/>
        <v>1.4554673890421961</v>
      </c>
      <c r="EF314" s="173">
        <f t="shared" si="875"/>
        <v>1.4350537565212795</v>
      </c>
      <c r="EG314" s="173">
        <f t="shared" si="876"/>
        <v>0.14369930183544163</v>
      </c>
      <c r="EH314" s="173"/>
      <c r="EI314" s="528">
        <f t="shared" si="877"/>
        <v>8.4735412822612294E-2</v>
      </c>
      <c r="EJ314" s="528">
        <f t="shared" si="878"/>
        <v>1.6310151000000004</v>
      </c>
      <c r="EK314" s="528">
        <f t="shared" si="879"/>
        <v>5.0243066878420908E-2</v>
      </c>
      <c r="EL314" s="528">
        <f t="shared" si="880"/>
        <v>0.1210563104927086</v>
      </c>
      <c r="EM314">
        <f t="shared" si="881"/>
        <v>1.6199999999999999E-2</v>
      </c>
      <c r="EN314" s="460">
        <f t="shared" si="882"/>
        <v>66.443066878420908</v>
      </c>
      <c r="EP314" s="460">
        <f t="shared" si="883"/>
        <v>1903.249890193742</v>
      </c>
      <c r="EQ314" s="173">
        <f t="shared" si="884"/>
        <v>0.68599999999999994</v>
      </c>
      <c r="ER314" s="173">
        <f t="shared" si="845"/>
        <v>6.0760000000000002E-2</v>
      </c>
      <c r="ES314" s="528"/>
      <c r="EU314" s="460">
        <f t="shared" si="885"/>
        <v>746.76</v>
      </c>
      <c r="EV314" s="528">
        <f t="shared" si="886"/>
        <v>6.3551559616959213E-2</v>
      </c>
      <c r="EW314" s="528">
        <f t="shared" si="887"/>
        <v>6.1781378523175078E-2</v>
      </c>
      <c r="EX314" s="528">
        <f t="shared" si="888"/>
        <v>1.0324744673996681E-4</v>
      </c>
      <c r="EY314" s="528">
        <f t="shared" si="889"/>
        <v>2.1473566184574633</v>
      </c>
      <c r="EZ314" s="528"/>
      <c r="FA314" s="625">
        <f t="shared" si="890"/>
        <v>1.0170239650575799</v>
      </c>
      <c r="FB314" s="460">
        <f t="shared" si="891"/>
        <v>3289.8167691019175</v>
      </c>
      <c r="FC314" s="173">
        <f t="shared" si="892"/>
        <v>5.939826659295659</v>
      </c>
      <c r="FD314" s="5">
        <f t="shared" si="893"/>
        <v>25.283999999999999</v>
      </c>
      <c r="FE314" s="173">
        <f t="shared" si="894"/>
        <v>0.8097662171869856</v>
      </c>
      <c r="FF314" s="5">
        <f t="shared" si="895"/>
        <v>80.976621718698567</v>
      </c>
      <c r="FG314">
        <f t="shared" si="896"/>
        <v>98</v>
      </c>
      <c r="FI314" s="562">
        <f t="shared" si="846"/>
        <v>-50</v>
      </c>
    </row>
    <row r="315" spans="5:169">
      <c r="E315" s="170">
        <v>99</v>
      </c>
      <c r="F315" s="217">
        <f>IF(PLOT_TYPE=1, E315/100*Iout_max, min_I*EXP(O315*rr/100))</f>
        <v>0.99</v>
      </c>
      <c r="G315" s="217">
        <f t="shared" si="775"/>
        <v>9.9000000000000005E-2</v>
      </c>
      <c r="H315" s="217">
        <f t="shared" si="776"/>
        <v>23.759999999999998</v>
      </c>
      <c r="I315" s="217">
        <f t="shared" si="777"/>
        <v>1.782</v>
      </c>
      <c r="J315" s="541">
        <f t="shared" si="778"/>
        <v>35.805100877549229</v>
      </c>
      <c r="K315" s="443">
        <f t="shared" si="779"/>
        <v>16.504071759841263</v>
      </c>
      <c r="L315" s="172">
        <f t="shared" si="780"/>
        <v>52.309172637390489</v>
      </c>
      <c r="M315" s="443"/>
      <c r="N315" s="217">
        <f t="shared" si="781"/>
        <v>0.31551008986986323</v>
      </c>
      <c r="O315" s="172">
        <f>N315*J315*Isw_max*0.5*Efficiency*Pout/(Pout+Pout2)</f>
        <v>58.381760184367316</v>
      </c>
      <c r="P315" s="172">
        <f t="shared" si="783"/>
        <v>4.707029414864615</v>
      </c>
      <c r="Q315" s="217">
        <f t="shared" si="784"/>
        <v>2.432573341015305</v>
      </c>
      <c r="R315" s="217">
        <f t="shared" si="785"/>
        <v>3.2434311213537397</v>
      </c>
      <c r="S315" s="217">
        <f t="shared" si="786"/>
        <v>24</v>
      </c>
      <c r="T315" s="217">
        <f t="shared" si="787"/>
        <v>4.5219602692056267</v>
      </c>
      <c r="U315" s="217">
        <f t="shared" si="788"/>
        <v>1.2629374470052168</v>
      </c>
      <c r="V315" s="217">
        <f t="shared" si="789"/>
        <v>2.7399058456645489</v>
      </c>
      <c r="W315" s="197">
        <f t="shared" si="790"/>
        <v>350</v>
      </c>
      <c r="X315" s="443">
        <f t="shared" si="848"/>
        <v>237.93416274742222</v>
      </c>
      <c r="Z315" s="217">
        <f t="shared" si="791"/>
        <v>3.2276773130500214</v>
      </c>
      <c r="AA315" s="173">
        <f t="shared" si="792"/>
        <v>1.9556854575146765</v>
      </c>
      <c r="AB315" s="173">
        <f>0.5*AA315*Z315*Nps*W315/1000*(Pout/(Pout+Pout2))</f>
        <v>0.6854006853381891</v>
      </c>
      <c r="AC315" s="173"/>
      <c r="AD315" s="173">
        <f t="shared" si="794"/>
        <v>1.3464690741526417</v>
      </c>
      <c r="AE315" s="545">
        <f>MAX(10, F315/(0.5*AD315/1000000*Isw_min*Nps)/1000*Pout_total/Pout)</f>
        <v>992.10008577336612</v>
      </c>
      <c r="AF315" s="528">
        <f t="shared" si="796"/>
        <v>0.34925911706770468</v>
      </c>
      <c r="AH315" s="173">
        <f t="shared" si="797"/>
        <v>3.8203963893068176</v>
      </c>
      <c r="AI315" s="173">
        <f>MAX(IF(F315&gt;AB315,T315,AH315),Isw_min)</f>
        <v>4.5219602692056267</v>
      </c>
      <c r="AJ315" s="173">
        <f>IF(F315&gt;AF315, (AI315-Isw_min)/1.08*0.8+1.2, AE315*0.2/350+1)</f>
        <v>2.9035096644321516</v>
      </c>
      <c r="AL315" s="545">
        <f t="shared" si="800"/>
        <v>990</v>
      </c>
      <c r="AM315" s="460">
        <f t="shared" si="801"/>
        <v>237.93416274742222</v>
      </c>
      <c r="AO315">
        <f t="shared" si="802"/>
        <v>990</v>
      </c>
      <c r="AP315">
        <f t="shared" si="803"/>
        <v>237.93416274742222</v>
      </c>
      <c r="AR315" s="5">
        <f t="shared" si="774"/>
        <v>4.2028432926697663</v>
      </c>
      <c r="AS315" s="5">
        <f t="shared" si="897"/>
        <v>1.2629374470052168</v>
      </c>
      <c r="AT315" s="5">
        <f t="shared" si="898"/>
        <v>2.9399058456645495</v>
      </c>
      <c r="AU315" s="173">
        <f t="shared" si="899"/>
        <v>0.30049596405555318</v>
      </c>
      <c r="BA315" s="173">
        <f t="shared" si="849"/>
        <v>1.4311509281839294</v>
      </c>
      <c r="BB315" s="173">
        <f t="shared" si="850"/>
        <v>1.4564214316922317</v>
      </c>
      <c r="BC315" s="173">
        <f t="shared" si="851"/>
        <v>0.1458389568762086</v>
      </c>
      <c r="BD315" s="173"/>
      <c r="BE315" s="528">
        <f t="shared" si="852"/>
        <v>8.19277191696689E-2</v>
      </c>
      <c r="BF315" s="528">
        <f t="shared" si="804"/>
        <v>1.2663213063074785</v>
      </c>
      <c r="BG315" s="528">
        <f t="shared" si="805"/>
        <v>0.34077026797546672</v>
      </c>
      <c r="BH315" s="528">
        <f t="shared" si="853"/>
        <v>0.11393326767300933</v>
      </c>
      <c r="BI315">
        <f t="shared" si="854"/>
        <v>1.6112295394897152E-2</v>
      </c>
      <c r="BJ315" s="460">
        <f t="shared" si="855"/>
        <v>356.88256337036387</v>
      </c>
      <c r="BK315">
        <f t="shared" si="806"/>
        <v>1.5137698609095478</v>
      </c>
      <c r="BL315" s="460">
        <f t="shared" si="856"/>
        <v>1819.0648565205208</v>
      </c>
      <c r="BM315" s="173">
        <f t="shared" si="807"/>
        <v>0.85931999999999997</v>
      </c>
      <c r="BN315" s="173">
        <f t="shared" si="808"/>
        <v>6.1380000000000004E-2</v>
      </c>
      <c r="BQ315" s="460">
        <f t="shared" si="857"/>
        <v>920.69999999999993</v>
      </c>
      <c r="BR315" s="528">
        <f t="shared" si="858"/>
        <v>6.1445789377251675E-2</v>
      </c>
      <c r="BS315" s="528">
        <f t="shared" si="859"/>
        <v>6.3634901600773494E-2</v>
      </c>
      <c r="BT315" s="528">
        <f t="shared" si="860"/>
        <v>1.0634500671370315E-4</v>
      </c>
      <c r="BU315" s="528">
        <f t="shared" si="861"/>
        <v>1.8985798483856304</v>
      </c>
      <c r="BV315" s="528"/>
      <c r="BW315" s="625">
        <f t="shared" si="862"/>
        <v>0.97306148492084243</v>
      </c>
      <c r="BX315" s="460">
        <f t="shared" si="863"/>
        <v>2996.8283692912119</v>
      </c>
      <c r="BY315" s="173">
        <f t="shared" si="864"/>
        <v>5.7365932258117329</v>
      </c>
      <c r="BZ315" s="5">
        <f t="shared" si="865"/>
        <v>25.541999999999998</v>
      </c>
      <c r="CA315" s="173">
        <f t="shared" si="866"/>
        <v>0.8165968276003609</v>
      </c>
      <c r="CB315" s="5">
        <f t="shared" si="867"/>
        <v>81.659682760036091</v>
      </c>
      <c r="CC315">
        <f t="shared" si="868"/>
        <v>99</v>
      </c>
      <c r="CE315" s="562">
        <f t="shared" si="809"/>
        <v>-50</v>
      </c>
      <c r="CG315" s="173">
        <f t="shared" si="810"/>
        <v>0.67907798870528813</v>
      </c>
      <c r="CH315" s="173">
        <f t="shared" si="811"/>
        <v>0.1857221904265535</v>
      </c>
      <c r="CI315" s="170">
        <v>99</v>
      </c>
      <c r="CJ315" s="217">
        <f t="shared" si="869"/>
        <v>0.99</v>
      </c>
      <c r="CK315" s="217">
        <f t="shared" si="812"/>
        <v>9.9000000000000005E-2</v>
      </c>
      <c r="CL315" s="217">
        <f t="shared" si="813"/>
        <v>23.759999999999998</v>
      </c>
      <c r="CM315" s="217">
        <f t="shared" si="814"/>
        <v>1.782</v>
      </c>
      <c r="CN315" s="541">
        <f t="shared" si="815"/>
        <v>36</v>
      </c>
      <c r="CO315" s="443">
        <f t="shared" si="816"/>
        <v>16.474900000000002</v>
      </c>
      <c r="CP315" s="443">
        <f t="shared" si="817"/>
        <v>52.474900000000005</v>
      </c>
      <c r="CQ315" s="443"/>
      <c r="CR315" s="217">
        <f t="shared" si="818"/>
        <v>0.31220924123305599</v>
      </c>
      <c r="CS315" s="172">
        <f t="shared" si="819"/>
        <v>58.085440229405762</v>
      </c>
      <c r="CT315" s="172">
        <f t="shared" si="820"/>
        <v>4.683138618495839</v>
      </c>
      <c r="CU315" s="217">
        <f t="shared" si="821"/>
        <v>2.4202266762252402</v>
      </c>
      <c r="CV315" s="217">
        <f t="shared" si="822"/>
        <v>3.2269689016336534</v>
      </c>
      <c r="CW315" s="217">
        <f t="shared" si="823"/>
        <v>24</v>
      </c>
      <c r="CX315" s="217">
        <f t="shared" si="824"/>
        <v>4.5450288223235322</v>
      </c>
      <c r="CY315" s="217">
        <f t="shared" si="825"/>
        <v>1.2625080062009812</v>
      </c>
      <c r="CZ315" s="217">
        <f t="shared" si="826"/>
        <v>2.7587595811346546</v>
      </c>
      <c r="DA315" s="197">
        <f t="shared" si="827"/>
        <v>350</v>
      </c>
      <c r="DB315" s="443">
        <f t="shared" si="828"/>
        <v>248.67780576188122</v>
      </c>
      <c r="DD315" s="217">
        <f t="shared" si="829"/>
        <v>3.2292794133140656</v>
      </c>
      <c r="DE315" s="173">
        <f t="shared" si="830"/>
        <v>1.9601207978889497</v>
      </c>
      <c r="DF315" s="173">
        <f t="shared" si="831"/>
        <v>0.6872960992823488</v>
      </c>
      <c r="DG315" s="173"/>
      <c r="DH315" s="173">
        <f t="shared" si="832"/>
        <v>1.3488532386977903</v>
      </c>
      <c r="DI315" s="545">
        <f t="shared" si="833"/>
        <v>990.34649999999965</v>
      </c>
      <c r="DJ315" s="528">
        <f t="shared" si="834"/>
        <v>0.34987754285999911</v>
      </c>
      <c r="DL315" s="173">
        <f t="shared" si="835"/>
        <v>3.8203963893068176</v>
      </c>
      <c r="DM315" s="173">
        <f t="shared" si="836"/>
        <v>4.5450288223235322</v>
      </c>
      <c r="DN315" s="173">
        <f t="shared" si="837"/>
        <v>2.9205974815565257</v>
      </c>
      <c r="DP315" s="545">
        <f t="shared" si="838"/>
        <v>990</v>
      </c>
      <c r="DQ315" s="460">
        <f t="shared" si="839"/>
        <v>248.67780576188122</v>
      </c>
      <c r="DS315">
        <f t="shared" si="840"/>
        <v>990</v>
      </c>
      <c r="DT315">
        <f t="shared" si="841"/>
        <v>248.67780576188122</v>
      </c>
      <c r="DV315" s="5">
        <f t="shared" si="870"/>
        <v>4.0212675873356361</v>
      </c>
      <c r="DW315" s="5">
        <f t="shared" si="842"/>
        <v>1.2625080062009812</v>
      </c>
      <c r="DX315" s="5">
        <f t="shared" si="843"/>
        <v>2.7587595811346546</v>
      </c>
      <c r="DY315" s="173">
        <f t="shared" si="844"/>
        <v>0.31395772073886752</v>
      </c>
      <c r="EA315" s="5">
        <f t="shared" si="871"/>
        <v>5.2078455255790477</v>
      </c>
      <c r="EB315" s="5">
        <f t="shared" si="872"/>
        <v>0.69437940341053972</v>
      </c>
      <c r="EC315" s="5">
        <f t="shared" si="873"/>
        <v>1.5173177696240596</v>
      </c>
      <c r="ED315" s="5"/>
      <c r="EE315" s="173">
        <f t="shared" si="874"/>
        <v>1.4703190970936468</v>
      </c>
      <c r="EF315" s="173">
        <f t="shared" si="875"/>
        <v>1.4496971622000683</v>
      </c>
      <c r="EG315" s="173">
        <f t="shared" si="876"/>
        <v>0.14516562124192572</v>
      </c>
      <c r="EH315" s="173"/>
      <c r="EI315" s="528">
        <f t="shared" si="877"/>
        <v>8.6473529891131079E-2</v>
      </c>
      <c r="EJ315" s="528">
        <f t="shared" si="878"/>
        <v>1.6310151000000002</v>
      </c>
      <c r="EK315" s="528">
        <f t="shared" si="879"/>
        <v>4.9735561152376241E-2</v>
      </c>
      <c r="EL315" s="528">
        <f t="shared" si="880"/>
        <v>0.11983351947763073</v>
      </c>
      <c r="EM315">
        <f t="shared" si="881"/>
        <v>1.6199999999999999E-2</v>
      </c>
      <c r="EN315" s="460">
        <f t="shared" si="882"/>
        <v>65.935561152376238</v>
      </c>
      <c r="EP315" s="460">
        <f t="shared" si="883"/>
        <v>1903.2577105211381</v>
      </c>
      <c r="EQ315" s="173">
        <f t="shared" si="884"/>
        <v>0.69299999999999995</v>
      </c>
      <c r="ER315" s="173">
        <f t="shared" si="845"/>
        <v>6.1380000000000004E-2</v>
      </c>
      <c r="ES315" s="528"/>
      <c r="EU315" s="460">
        <f t="shared" si="885"/>
        <v>754.38</v>
      </c>
      <c r="EV315" s="528">
        <f t="shared" si="886"/>
        <v>6.4855147418348302E-2</v>
      </c>
      <c r="EW315" s="528">
        <f t="shared" si="887"/>
        <v>6.304865586272794E-2</v>
      </c>
      <c r="EX315" s="528">
        <f t="shared" si="888"/>
        <v>1.0536528795277118E-4</v>
      </c>
      <c r="EY315" s="528">
        <f t="shared" si="889"/>
        <v>2.1473566184574642</v>
      </c>
      <c r="EZ315" s="528"/>
      <c r="FA315" s="625">
        <f t="shared" si="890"/>
        <v>1.0274017606193919</v>
      </c>
      <c r="FB315" s="460">
        <f t="shared" si="891"/>
        <v>3302.7675476458853</v>
      </c>
      <c r="FC315" s="173">
        <f t="shared" si="892"/>
        <v>5.9604052581670226</v>
      </c>
      <c r="FD315" s="5">
        <f t="shared" si="893"/>
        <v>25.541999999999998</v>
      </c>
      <c r="FE315" s="173">
        <f t="shared" si="894"/>
        <v>0.81079523263952102</v>
      </c>
      <c r="FF315" s="5">
        <f t="shared" si="895"/>
        <v>81.079523263952098</v>
      </c>
      <c r="FG315">
        <f t="shared" si="896"/>
        <v>99</v>
      </c>
      <c r="FI315" s="562">
        <f t="shared" si="846"/>
        <v>-50</v>
      </c>
    </row>
    <row r="316" spans="5:169">
      <c r="E316" s="170">
        <v>100</v>
      </c>
      <c r="F316" s="217">
        <f>IF(PLOT_TYPE=1, E316/100*Iout_max, min_I*EXP(O316*rr/100))</f>
        <v>1</v>
      </c>
      <c r="G316" s="217">
        <f t="shared" si="775"/>
        <v>0.1</v>
      </c>
      <c r="H316" s="217">
        <f t="shared" si="776"/>
        <v>24</v>
      </c>
      <c r="I316" s="217">
        <f t="shared" si="777"/>
        <v>1.8</v>
      </c>
      <c r="J316" s="541">
        <f t="shared" si="778"/>
        <v>35.803132199544677</v>
      </c>
      <c r="K316" s="443">
        <f t="shared" si="779"/>
        <v>16.504366424082086</v>
      </c>
      <c r="L316" s="172">
        <f t="shared" si="780"/>
        <v>52.307498623626763</v>
      </c>
      <c r="M316" s="443"/>
      <c r="N316" s="217">
        <f t="shared" si="781"/>
        <v>0.3155258205489343</v>
      </c>
      <c r="O316" s="172">
        <f>N316*J316*Isw_max*0.5*Efficiency*Pout/(Pout+Pout2)</f>
        <v>58.38146080353129</v>
      </c>
      <c r="P316" s="172">
        <f t="shared" si="783"/>
        <v>4.7070052772847104</v>
      </c>
      <c r="Q316" s="217">
        <f t="shared" si="784"/>
        <v>2.4325608668138039</v>
      </c>
      <c r="R316" s="217">
        <f t="shared" si="785"/>
        <v>3.2434144890850716</v>
      </c>
      <c r="S316" s="217">
        <f t="shared" si="786"/>
        <v>24</v>
      </c>
      <c r="T316" s="217">
        <f t="shared" si="787"/>
        <v>4.5676600584570668</v>
      </c>
      <c r="U316" s="217">
        <f t="shared" si="788"/>
        <v>1.2757710786307004</v>
      </c>
      <c r="V316" s="217">
        <f t="shared" si="789"/>
        <v>2.7675464426142633</v>
      </c>
      <c r="W316" s="197">
        <f t="shared" si="790"/>
        <v>350</v>
      </c>
      <c r="X316" s="443">
        <f t="shared" si="848"/>
        <v>235.66466449736856</v>
      </c>
      <c r="Z316" s="217">
        <f t="shared" si="791"/>
        <v>3.2276607615666584</v>
      </c>
      <c r="AA316" s="173">
        <f t="shared" si="792"/>
        <v>1.9556405127173306</v>
      </c>
      <c r="AB316" s="173">
        <f>0.5*AA316*Z316*Nps*W316/1000*(Pout/(Pout+Pout2))</f>
        <v>0.68538141908384509</v>
      </c>
      <c r="AC316" s="173"/>
      <c r="AD316" s="173">
        <f t="shared" si="794"/>
        <v>1.3464450346786423</v>
      </c>
      <c r="AE316" s="545">
        <f>MAX(10, F316/(0.5*AD316/1000000*Isw_min*Nps)/1000*Pout_total/Pout)</f>
        <v>1002.1391906676528</v>
      </c>
      <c r="AF316" s="528">
        <f t="shared" si="796"/>
        <v>0.34925288149525446</v>
      </c>
      <c r="AH316" s="173">
        <f>SQRT((H316+I316)/(0.5*L*Fsw_DCM))</f>
        <v>3.8396428405331062</v>
      </c>
      <c r="AI316" s="173">
        <f>MAX(IF(F316&gt;AB316,T316,AH316),Isw_min)</f>
        <v>4.5676600584570668</v>
      </c>
      <c r="AJ316" s="173">
        <f>IF(F316&gt;AF316, (AI316-Isw_min)/1.08*0.8+1.2, AE316*0.2/350+1)</f>
        <v>2.9373613601739592</v>
      </c>
      <c r="AL316" s="545">
        <f t="shared" si="800"/>
        <v>1000</v>
      </c>
      <c r="AM316" s="460">
        <f t="shared" si="801"/>
        <v>235.66466449736856</v>
      </c>
      <c r="AO316">
        <f t="shared" si="802"/>
        <v>1000</v>
      </c>
      <c r="AP316">
        <f t="shared" si="803"/>
        <v>235.66466449736856</v>
      </c>
      <c r="AR316" s="5">
        <f t="shared" si="774"/>
        <v>4.2433175212449639</v>
      </c>
      <c r="AS316" s="5">
        <f t="shared" si="897"/>
        <v>1.2757710786307004</v>
      </c>
      <c r="AT316" s="5">
        <f t="shared" si="898"/>
        <v>2.9675464426142635</v>
      </c>
      <c r="AU316" s="173">
        <f t="shared" si="899"/>
        <v>0.30065416322095001</v>
      </c>
      <c r="BA316" s="173">
        <f t="shared" si="849"/>
        <v>1.4459948904117186</v>
      </c>
      <c r="BB316" s="173">
        <f t="shared" si="850"/>
        <v>1.4709739380211426</v>
      </c>
      <c r="BC316" s="173">
        <f t="shared" si="851"/>
        <v>0.14729617406400897</v>
      </c>
      <c r="BD316" s="173"/>
      <c r="BE316" s="528">
        <f>Rdson*BA316^2</f>
        <v>8.3636048923871928E-2</v>
      </c>
      <c r="BF316" s="528">
        <f t="shared" si="804"/>
        <v>1.2668777667606377</v>
      </c>
      <c r="BG316" s="528">
        <f t="shared" si="805"/>
        <v>0.33750132551042517</v>
      </c>
      <c r="BH316" s="528">
        <f t="shared" si="853"/>
        <v>0.11283931022091985</v>
      </c>
      <c r="BI316">
        <f t="shared" si="854"/>
        <v>1.6111409489795104E-2</v>
      </c>
      <c r="BJ316" s="460">
        <f t="shared" si="855"/>
        <v>353.61273500022025</v>
      </c>
      <c r="BK316">
        <f t="shared" si="806"/>
        <v>1.5160619283912928</v>
      </c>
      <c r="BL316" s="460">
        <f t="shared" si="856"/>
        <v>1816.9658609056496</v>
      </c>
      <c r="BM316" s="173">
        <f t="shared" si="807"/>
        <v>0.86799999999999999</v>
      </c>
      <c r="BN316" s="173">
        <f t="shared" si="808"/>
        <v>6.2E-2</v>
      </c>
      <c r="BQ316" s="460">
        <f t="shared" si="857"/>
        <v>929.99999999999989</v>
      </c>
      <c r="BR316" s="528">
        <f t="shared" si="858"/>
        <v>6.2727036692903942E-2</v>
      </c>
      <c r="BS316" s="528">
        <f t="shared" si="859"/>
        <v>6.491292979012285E-2</v>
      </c>
      <c r="BT316" s="528">
        <f t="shared" si="860"/>
        <v>1.0848081446947414E-4</v>
      </c>
      <c r="BU316" s="528">
        <f t="shared" si="861"/>
        <v>1.9008183442399222</v>
      </c>
      <c r="BV316" s="528"/>
      <c r="BW316" s="625">
        <f t="shared" si="862"/>
        <v>0.98335881324774321</v>
      </c>
      <c r="BX316" s="460">
        <f t="shared" si="863"/>
        <v>3011.9256047851618</v>
      </c>
      <c r="BY316" s="173">
        <f>SUM(BE316:BI316,BM316:BP316,BR316:BW316)</f>
        <v>5.7588914656908106</v>
      </c>
      <c r="BZ316" s="5">
        <f t="shared" si="865"/>
        <v>25.8</v>
      </c>
      <c r="CA316" s="173">
        <f t="shared" si="866"/>
        <v>0.81751920938187639</v>
      </c>
      <c r="CB316" s="5">
        <f t="shared" si="867"/>
        <v>81.751920938187638</v>
      </c>
      <c r="CC316">
        <f t="shared" si="868"/>
        <v>100</v>
      </c>
      <c r="CE316" s="562">
        <f t="shared" si="809"/>
        <v>-50</v>
      </c>
      <c r="CG316" s="173">
        <f t="shared" si="810"/>
        <v>0.67907798870528813</v>
      </c>
      <c r="CH316" s="173">
        <f t="shared" si="811"/>
        <v>0.18572219042655352</v>
      </c>
      <c r="CI316" s="170">
        <v>100</v>
      </c>
      <c r="CJ316" s="217">
        <f t="shared" si="869"/>
        <v>1</v>
      </c>
      <c r="CK316" s="217">
        <f t="shared" si="812"/>
        <v>0.1</v>
      </c>
      <c r="CL316" s="217">
        <f t="shared" si="813"/>
        <v>24</v>
      </c>
      <c r="CM316" s="217">
        <f t="shared" si="814"/>
        <v>1.8</v>
      </c>
      <c r="CN316" s="541">
        <f t="shared" si="815"/>
        <v>36</v>
      </c>
      <c r="CO316" s="443">
        <f t="shared" si="816"/>
        <v>16.474900000000002</v>
      </c>
      <c r="CP316" s="443">
        <f t="shared" si="817"/>
        <v>52.474900000000005</v>
      </c>
      <c r="CQ316" s="443"/>
      <c r="CR316" s="217">
        <f t="shared" si="818"/>
        <v>0.31220924123305599</v>
      </c>
      <c r="CS316" s="172">
        <f t="shared" si="819"/>
        <v>58.085440229405762</v>
      </c>
      <c r="CT316" s="172">
        <f t="shared" si="820"/>
        <v>4.683138618495839</v>
      </c>
      <c r="CU316" s="217">
        <f t="shared" si="821"/>
        <v>2.4202266762252402</v>
      </c>
      <c r="CV316" s="217">
        <f t="shared" si="822"/>
        <v>3.2269689016336534</v>
      </c>
      <c r="CW316" s="217">
        <f t="shared" si="823"/>
        <v>24</v>
      </c>
      <c r="CX316" s="217">
        <f t="shared" si="824"/>
        <v>4.5909382043672045</v>
      </c>
      <c r="CY316" s="217">
        <f t="shared" si="825"/>
        <v>1.2752606123242234</v>
      </c>
      <c r="CZ316" s="217">
        <f t="shared" si="826"/>
        <v>2.7866258395299544</v>
      </c>
      <c r="DA316" s="197">
        <f t="shared" si="827"/>
        <v>350</v>
      </c>
      <c r="DB316" s="443">
        <f t="shared" si="828"/>
        <v>246.19102770426244</v>
      </c>
      <c r="DD316" s="217">
        <f t="shared" si="829"/>
        <v>3.2292794133140656</v>
      </c>
      <c r="DE316" s="173">
        <f t="shared" si="830"/>
        <v>1.9601207978889497</v>
      </c>
      <c r="DF316" s="173">
        <f t="shared" si="831"/>
        <v>0.6872960992823488</v>
      </c>
      <c r="DG316" s="173"/>
      <c r="DH316" s="173">
        <f t="shared" si="832"/>
        <v>1.3488532386977903</v>
      </c>
      <c r="DI316" s="545">
        <f t="shared" si="833"/>
        <v>1000.3499999999998</v>
      </c>
      <c r="DJ316" s="528">
        <f t="shared" si="834"/>
        <v>0.34987754285999911</v>
      </c>
      <c r="DL316" s="173">
        <f t="shared" si="835"/>
        <v>3.8396428405331062</v>
      </c>
      <c r="DM316" s="173">
        <f t="shared" si="836"/>
        <v>4.5909382043672045</v>
      </c>
      <c r="DN316" s="173">
        <f t="shared" si="837"/>
        <v>2.9546044312185051</v>
      </c>
      <c r="DP316" s="545">
        <f t="shared" si="838"/>
        <v>1000</v>
      </c>
      <c r="DQ316" s="460">
        <f t="shared" si="839"/>
        <v>246.19102770426244</v>
      </c>
      <c r="DS316">
        <f t="shared" si="840"/>
        <v>1000</v>
      </c>
      <c r="DT316">
        <f t="shared" si="841"/>
        <v>246.19102770426244</v>
      </c>
      <c r="DV316" s="5">
        <f t="shared" si="870"/>
        <v>4.0618864518541775</v>
      </c>
      <c r="DW316" s="5">
        <f t="shared" si="842"/>
        <v>1.2752606123242234</v>
      </c>
      <c r="DX316" s="5">
        <f t="shared" si="843"/>
        <v>2.7866258395299539</v>
      </c>
      <c r="DY316" s="173">
        <f t="shared" si="844"/>
        <v>0.31395772073886752</v>
      </c>
      <c r="EA316" s="5">
        <f t="shared" si="871"/>
        <v>5.3135858846842643</v>
      </c>
      <c r="EB316" s="5">
        <f t="shared" si="872"/>
        <v>0.70847811795790194</v>
      </c>
      <c r="EC316" s="5">
        <f t="shared" si="873"/>
        <v>1.5481254664055297</v>
      </c>
      <c r="ED316" s="5"/>
      <c r="EE316" s="173">
        <f t="shared" si="874"/>
        <v>1.485170805145098</v>
      </c>
      <c r="EF316" s="173">
        <f t="shared" si="875"/>
        <v>1.464340567878857</v>
      </c>
      <c r="EG316" s="173">
        <f t="shared" si="876"/>
        <v>0.14663194064840981</v>
      </c>
      <c r="EH316" s="173"/>
      <c r="EI316" s="528">
        <f t="shared" si="877"/>
        <v>8.8229292818213539E-2</v>
      </c>
      <c r="EJ316" s="528">
        <f t="shared" si="878"/>
        <v>1.6310151000000004</v>
      </c>
      <c r="EK316" s="528">
        <f t="shared" si="879"/>
        <v>4.9238205540852481E-2</v>
      </c>
      <c r="EL316" s="528">
        <f t="shared" si="880"/>
        <v>0.11863518428285443</v>
      </c>
      <c r="EM316">
        <f t="shared" si="881"/>
        <v>1.6199999999999999E-2</v>
      </c>
      <c r="EN316" s="460">
        <f t="shared" si="882"/>
        <v>65.438205540852479</v>
      </c>
      <c r="EP316" s="460">
        <f t="shared" si="883"/>
        <v>1903.3177826419208</v>
      </c>
      <c r="EQ316" s="173">
        <f t="shared" si="884"/>
        <v>0.7</v>
      </c>
      <c r="ER316" s="173">
        <f t="shared" si="845"/>
        <v>6.2E-2</v>
      </c>
      <c r="ES316" s="528"/>
      <c r="EU316" s="460">
        <f t="shared" si="885"/>
        <v>762</v>
      </c>
      <c r="EV316" s="528">
        <f t="shared" si="886"/>
        <v>6.6171969613660148E-2</v>
      </c>
      <c r="EW316" s="528">
        <f t="shared" si="887"/>
        <v>6.4328798962073205E-2</v>
      </c>
      <c r="EX316" s="528">
        <f t="shared" si="888"/>
        <v>1.0750463009159388E-4</v>
      </c>
      <c r="EY316" s="528">
        <f t="shared" si="889"/>
        <v>2.1473566184574633</v>
      </c>
      <c r="EZ316" s="528"/>
      <c r="FA316" s="625">
        <f t="shared" si="890"/>
        <v>1.0377795561812042</v>
      </c>
      <c r="FB316" s="460">
        <f t="shared" si="891"/>
        <v>3315.7444478444927</v>
      </c>
      <c r="FC316" s="173">
        <f t="shared" si="892"/>
        <v>5.9810622304864136</v>
      </c>
      <c r="FD316" s="5">
        <f t="shared" si="893"/>
        <v>25.8</v>
      </c>
      <c r="FE316" s="173">
        <f t="shared" si="894"/>
        <v>0.81180420631916461</v>
      </c>
      <c r="FF316" s="5">
        <f t="shared" si="895"/>
        <v>81.180420631916462</v>
      </c>
      <c r="FG316">
        <f t="shared" si="896"/>
        <v>100</v>
      </c>
      <c r="FI316" s="562">
        <f t="shared" si="846"/>
        <v>-50</v>
      </c>
    </row>
    <row r="317" spans="5:169">
      <c r="E317" s="170"/>
      <c r="F317" s="217"/>
      <c r="G317" s="217"/>
      <c r="CI317" s="170"/>
      <c r="CJ317" s="217"/>
      <c r="CK317" s="217"/>
    </row>
    <row r="318" spans="5:169" ht="45" customHeight="1" thickBot="1">
      <c r="E318" s="241" t="s">
        <v>25</v>
      </c>
      <c r="F318" s="602" t="s">
        <v>580</v>
      </c>
      <c r="G318" s="444" t="s">
        <v>579</v>
      </c>
      <c r="H318" s="603" t="s">
        <v>581</v>
      </c>
      <c r="I318" s="604" t="s">
        <v>582</v>
      </c>
      <c r="J318" s="242" t="s">
        <v>412</v>
      </c>
      <c r="K318" s="243" t="s">
        <v>586</v>
      </c>
      <c r="L318" s="605" t="s">
        <v>413</v>
      </c>
      <c r="M318" s="606"/>
      <c r="N318" s="244" t="s">
        <v>48</v>
      </c>
      <c r="O318" s="606" t="s">
        <v>590</v>
      </c>
      <c r="P318" s="606" t="s">
        <v>606</v>
      </c>
      <c r="Q318" s="606" t="s">
        <v>583</v>
      </c>
      <c r="R318" s="606" t="s">
        <v>584</v>
      </c>
      <c r="S318" s="606" t="s">
        <v>585</v>
      </c>
      <c r="T318" s="606" t="s">
        <v>414</v>
      </c>
      <c r="U318" s="606" t="s">
        <v>466</v>
      </c>
      <c r="V318" s="606" t="s">
        <v>465</v>
      </c>
      <c r="W318" s="607" t="s">
        <v>420</v>
      </c>
      <c r="X318" s="608" t="s">
        <v>425</v>
      </c>
      <c r="Z318" s="245" t="s">
        <v>417</v>
      </c>
      <c r="AA318" s="245" t="s">
        <v>464</v>
      </c>
      <c r="AB318" s="245" t="s">
        <v>587</v>
      </c>
      <c r="AC318" s="544"/>
      <c r="AD318" s="245" t="s">
        <v>463</v>
      </c>
      <c r="AE318" s="607" t="s">
        <v>426</v>
      </c>
      <c r="AF318" s="245" t="s">
        <v>588</v>
      </c>
      <c r="AG318" s="544"/>
      <c r="AH318" s="245" t="s">
        <v>429</v>
      </c>
      <c r="AI318" s="547" t="s">
        <v>430</v>
      </c>
      <c r="AJ318" s="547" t="s">
        <v>431</v>
      </c>
      <c r="AL318" s="543" t="s">
        <v>275</v>
      </c>
      <c r="AM318" s="543" t="s">
        <v>432</v>
      </c>
      <c r="AO318" s="245" t="s">
        <v>275</v>
      </c>
      <c r="AP318" s="245" t="s">
        <v>432</v>
      </c>
      <c r="AQ318" s="548"/>
      <c r="AR318" s="245" t="s">
        <v>467</v>
      </c>
      <c r="AS318" s="245" t="s">
        <v>461</v>
      </c>
      <c r="AT318" s="245" t="s">
        <v>462</v>
      </c>
      <c r="AU318" s="245" t="s">
        <v>48</v>
      </c>
      <c r="AV318" s="544"/>
      <c r="AW318" s="245" t="s">
        <v>591</v>
      </c>
      <c r="AX318" s="245" t="s">
        <v>592</v>
      </c>
      <c r="AY318" s="245" t="s">
        <v>514</v>
      </c>
      <c r="AZ318" s="544"/>
      <c r="BA318" s="557" t="s">
        <v>456</v>
      </c>
      <c r="BB318" s="245" t="s">
        <v>599</v>
      </c>
      <c r="BC318" s="245" t="s">
        <v>598</v>
      </c>
      <c r="BD318" s="544"/>
      <c r="BE318" s="557" t="s">
        <v>474</v>
      </c>
      <c r="BF318" s="245" t="s">
        <v>475</v>
      </c>
      <c r="BG318" s="245" t="s">
        <v>473</v>
      </c>
      <c r="BH318" s="245" t="s">
        <v>469</v>
      </c>
      <c r="BI318" s="245" t="s">
        <v>478</v>
      </c>
      <c r="BJ318" s="245" t="s">
        <v>491</v>
      </c>
      <c r="BK318" s="245" t="s">
        <v>776</v>
      </c>
      <c r="BL318" s="245" t="s">
        <v>778</v>
      </c>
      <c r="BM318" s="557" t="s">
        <v>601</v>
      </c>
      <c r="BN318" s="245" t="s">
        <v>600</v>
      </c>
      <c r="BO318" s="245" t="s">
        <v>477</v>
      </c>
      <c r="BP318" s="245" t="s">
        <v>483</v>
      </c>
      <c r="BQ318" s="245" t="s">
        <v>487</v>
      </c>
      <c r="BR318" s="557" t="s">
        <v>458</v>
      </c>
      <c r="BS318" s="245" t="s">
        <v>603</v>
      </c>
      <c r="BT318" s="245" t="s">
        <v>602</v>
      </c>
      <c r="BU318" s="245" t="s">
        <v>468</v>
      </c>
      <c r="BV318" s="245" t="s">
        <v>673</v>
      </c>
      <c r="BW318" s="245" t="s">
        <v>484</v>
      </c>
      <c r="BX318" s="245" t="s">
        <v>486</v>
      </c>
      <c r="BY318" s="557" t="s">
        <v>482</v>
      </c>
      <c r="BZ318" s="245" t="s">
        <v>223</v>
      </c>
      <c r="CA318" s="245" t="s">
        <v>47</v>
      </c>
      <c r="CB318" s="245" t="s">
        <v>485</v>
      </c>
      <c r="CC318" s="245" t="s">
        <v>604</v>
      </c>
      <c r="CE318" s="569" t="s">
        <v>497</v>
      </c>
      <c r="CG318" s="782" t="s">
        <v>829</v>
      </c>
      <c r="CH318" s="783" t="s">
        <v>830</v>
      </c>
      <c r="CI318" s="241" t="s">
        <v>25</v>
      </c>
      <c r="CJ318" s="602" t="s">
        <v>580</v>
      </c>
      <c r="CK318" s="444" t="s">
        <v>579</v>
      </c>
      <c r="CL318" s="603" t="s">
        <v>581</v>
      </c>
      <c r="CM318" s="604" t="s">
        <v>582</v>
      </c>
      <c r="CN318" s="242" t="s">
        <v>412</v>
      </c>
      <c r="CO318" s="243" t="s">
        <v>586</v>
      </c>
      <c r="CP318" s="605" t="s">
        <v>413</v>
      </c>
      <c r="CQ318" s="606"/>
      <c r="CR318" s="244" t="s">
        <v>48</v>
      </c>
      <c r="CS318" s="606" t="s">
        <v>590</v>
      </c>
      <c r="CT318" s="606" t="s">
        <v>606</v>
      </c>
      <c r="CU318" s="606" t="s">
        <v>583</v>
      </c>
      <c r="CV318" s="606" t="s">
        <v>584</v>
      </c>
      <c r="CW318" s="606" t="s">
        <v>585</v>
      </c>
      <c r="CX318" s="606" t="s">
        <v>414</v>
      </c>
      <c r="CY318" s="606" t="s">
        <v>466</v>
      </c>
      <c r="CZ318" s="606" t="s">
        <v>465</v>
      </c>
      <c r="DA318" s="607" t="s">
        <v>420</v>
      </c>
      <c r="DB318" s="608" t="s">
        <v>425</v>
      </c>
      <c r="DD318" s="245" t="s">
        <v>417</v>
      </c>
      <c r="DE318" s="245" t="s">
        <v>464</v>
      </c>
      <c r="DF318" s="245" t="s">
        <v>587</v>
      </c>
      <c r="DG318" s="544"/>
      <c r="DH318" s="245" t="s">
        <v>463</v>
      </c>
      <c r="DI318" s="607" t="s">
        <v>426</v>
      </c>
      <c r="DJ318" s="245" t="s">
        <v>588</v>
      </c>
      <c r="DK318" s="544"/>
      <c r="DL318" s="245" t="s">
        <v>429</v>
      </c>
      <c r="DM318" s="547" t="s">
        <v>430</v>
      </c>
      <c r="DN318" s="547" t="s">
        <v>431</v>
      </c>
      <c r="DP318" s="543" t="s">
        <v>275</v>
      </c>
      <c r="DQ318" s="543" t="s">
        <v>432</v>
      </c>
      <c r="DS318" s="245" t="s">
        <v>275</v>
      </c>
      <c r="DT318" s="245" t="s">
        <v>432</v>
      </c>
      <c r="DU318" s="548"/>
      <c r="DV318" s="245" t="s">
        <v>467</v>
      </c>
      <c r="DW318" s="245" t="s">
        <v>461</v>
      </c>
      <c r="DX318" s="245" t="s">
        <v>462</v>
      </c>
      <c r="DY318" s="245" t="s">
        <v>48</v>
      </c>
      <c r="DZ318" s="544"/>
      <c r="EA318" s="245" t="s">
        <v>591</v>
      </c>
      <c r="EB318" s="245" t="s">
        <v>592</v>
      </c>
      <c r="EC318" s="245" t="s">
        <v>514</v>
      </c>
      <c r="ED318" s="544"/>
      <c r="EE318" s="557" t="s">
        <v>456</v>
      </c>
      <c r="EF318" s="245" t="s">
        <v>599</v>
      </c>
      <c r="EG318" s="245" t="s">
        <v>598</v>
      </c>
      <c r="EH318" s="544"/>
      <c r="EI318" s="557" t="s">
        <v>474</v>
      </c>
      <c r="EJ318" s="245" t="s">
        <v>475</v>
      </c>
      <c r="EK318" s="245" t="s">
        <v>473</v>
      </c>
      <c r="EL318" s="245" t="s">
        <v>469</v>
      </c>
      <c r="EM318" s="245" t="s">
        <v>478</v>
      </c>
      <c r="EN318" s="245" t="s">
        <v>491</v>
      </c>
      <c r="EO318" s="245" t="s">
        <v>776</v>
      </c>
      <c r="EP318" s="245" t="s">
        <v>778</v>
      </c>
      <c r="EQ318" s="557" t="s">
        <v>601</v>
      </c>
      <c r="ER318" s="245" t="s">
        <v>600</v>
      </c>
      <c r="ES318" s="245" t="s">
        <v>477</v>
      </c>
      <c r="ET318" s="245" t="s">
        <v>483</v>
      </c>
      <c r="EU318" s="245" t="s">
        <v>487</v>
      </c>
      <c r="EV318" s="557" t="s">
        <v>458</v>
      </c>
      <c r="EW318" s="245" t="s">
        <v>603</v>
      </c>
      <c r="EX318" s="245" t="s">
        <v>602</v>
      </c>
      <c r="EY318" s="245" t="s">
        <v>468</v>
      </c>
      <c r="EZ318" s="245" t="s">
        <v>673</v>
      </c>
      <c r="FA318" s="245" t="s">
        <v>484</v>
      </c>
      <c r="FB318" s="245" t="s">
        <v>486</v>
      </c>
      <c r="FC318" s="557" t="s">
        <v>482</v>
      </c>
      <c r="FD318" s="245" t="s">
        <v>223</v>
      </c>
      <c r="FE318" s="245" t="s">
        <v>47</v>
      </c>
      <c r="FF318" s="245" t="s">
        <v>485</v>
      </c>
      <c r="FG318" s="245" t="s">
        <v>604</v>
      </c>
      <c r="FI318" s="569" t="s">
        <v>497</v>
      </c>
      <c r="FL318" s="782" t="s">
        <v>876</v>
      </c>
      <c r="FM318" s="782" t="s">
        <v>875</v>
      </c>
    </row>
    <row r="320" spans="5:169">
      <c r="E320" s="76" t="s">
        <v>913</v>
      </c>
      <c r="K320" s="76"/>
      <c r="L320" s="76" t="s">
        <v>914</v>
      </c>
    </row>
    <row r="321" spans="5:20">
      <c r="F321" s="76" t="s">
        <v>915</v>
      </c>
      <c r="G321" s="76" t="s">
        <v>916</v>
      </c>
      <c r="M321" s="76" t="s">
        <v>917</v>
      </c>
      <c r="N321" s="76" t="s">
        <v>918</v>
      </c>
    </row>
    <row r="322" spans="5:20">
      <c r="F322">
        <f>'Design Converter'!E73</f>
        <v>0.1</v>
      </c>
      <c r="G322" s="884">
        <f>F322*Vout</f>
        <v>2.4000000000000004</v>
      </c>
      <c r="M322">
        <f>'Design Converter'!L73</f>
        <v>5.0000000000000001E-4</v>
      </c>
      <c r="N322" s="884">
        <f>M322*Vout2</f>
        <v>9.0000000000000011E-3</v>
      </c>
      <c r="T322">
        <f>Vout*F316+Vout2*G316</f>
        <v>25.8</v>
      </c>
    </row>
    <row r="323" spans="5:20">
      <c r="E323" t="s">
        <v>907</v>
      </c>
      <c r="L323" t="s">
        <v>907</v>
      </c>
    </row>
    <row r="324" spans="5:20">
      <c r="F324" t="s">
        <v>908</v>
      </c>
      <c r="G324" t="s">
        <v>909</v>
      </c>
      <c r="H324" t="s">
        <v>910</v>
      </c>
      <c r="I324" s="76" t="s">
        <v>660</v>
      </c>
      <c r="M324" t="s">
        <v>908</v>
      </c>
      <c r="N324" t="s">
        <v>909</v>
      </c>
      <c r="O324" t="s">
        <v>910</v>
      </c>
      <c r="P324" s="76" t="s">
        <v>660</v>
      </c>
    </row>
    <row r="325" spans="5:20">
      <c r="F325" s="885">
        <v>1.9999999999999999E-7</v>
      </c>
      <c r="G325">
        <f>VIN_max</f>
        <v>36</v>
      </c>
      <c r="H325">
        <f>15000</f>
        <v>15000</v>
      </c>
      <c r="I325">
        <f>L*0.9</f>
        <v>9.0000000000000002E-6</v>
      </c>
      <c r="M325" s="885">
        <v>1.9999999999999999E-7</v>
      </c>
      <c r="N325">
        <f>VIN_max</f>
        <v>36</v>
      </c>
      <c r="O325">
        <f>15000</f>
        <v>15000</v>
      </c>
      <c r="P325">
        <f>L*0.9</f>
        <v>9.0000000000000002E-6</v>
      </c>
    </row>
    <row r="326" spans="5:20">
      <c r="G326" s="76" t="s">
        <v>911</v>
      </c>
      <c r="N326" s="76" t="s">
        <v>911</v>
      </c>
    </row>
    <row r="327" spans="5:20">
      <c r="G327" s="884">
        <f>0.5*(G325/I325*F325)^2*H325*I325</f>
        <v>4.3199999999999995E-2</v>
      </c>
      <c r="N327" s="884">
        <f>0.5*(N325/P325*M325)^2*O325*P325</f>
        <v>4.3199999999999995E-2</v>
      </c>
    </row>
    <row r="328" spans="5:20">
      <c r="E328" s="76" t="s">
        <v>919</v>
      </c>
      <c r="K328" s="76"/>
      <c r="L328" s="76" t="s">
        <v>920</v>
      </c>
    </row>
    <row r="329" spans="5:20">
      <c r="G329" t="str">
        <f>IF(G322+N322&lt;G327, "Yes", IF(G322&lt;G327, "Yes", "No"))</f>
        <v>No</v>
      </c>
      <c r="H329">
        <f>(Vout*1.05)^2/(G327-G322)</f>
        <v>-269.45010183299394</v>
      </c>
      <c r="N329" t="str">
        <f>IF(G322+N322&lt;N327, "Yes", IF(N322&lt;N327, "Yes", "No"))</f>
        <v>Yes</v>
      </c>
      <c r="O329">
        <f>(Vout2*1.05)^2/(N327-N322)</f>
        <v>10444.736842105267</v>
      </c>
    </row>
  </sheetData>
  <sheetProtection algorithmName="SHA-512" hashValue="UtFeTGMjuV5UCpnZm+pfUsg6mgbxGknJ7UlwZbVIwvh5M3ivI7AM0VyBK+6HHZzOE63EnWpi4CqIIbodLKpn8w==" saltValue="GY0CJtGDyMdTsyujrreLCg==" spinCount="100000" sheet="1" selectLockedCells="1" selectUnlockedCells="1"/>
  <mergeCells count="2">
    <mergeCell ref="N3:Z3"/>
    <mergeCell ref="CR3:DD3"/>
  </mergeCells>
  <phoneticPr fontId="83"/>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0000"/>
  </sheetPr>
  <dimension ref="C3:S106"/>
  <sheetViews>
    <sheetView workbookViewId="0">
      <selection activeCell="V6" sqref="V6"/>
    </sheetView>
  </sheetViews>
  <sheetFormatPr defaultRowHeight="12.5"/>
  <cols>
    <col min="3" max="3" width="7.7265625" customWidth="1"/>
    <col min="5" max="5" width="10.26953125" customWidth="1"/>
    <col min="7" max="7" width="10.7265625" customWidth="1"/>
    <col min="8" max="8" width="9.7265625" customWidth="1"/>
    <col min="9" max="9" width="9.54296875" customWidth="1"/>
    <col min="10" max="10" width="8.7265625" customWidth="1"/>
    <col min="11" max="11" width="9.81640625" customWidth="1"/>
    <col min="12" max="12" width="10.7265625" customWidth="1"/>
    <col min="13" max="13" width="15" customWidth="1"/>
    <col min="14" max="14" width="11.453125" customWidth="1"/>
    <col min="15" max="16" width="11" customWidth="1"/>
    <col min="17" max="17" width="11.1796875" customWidth="1"/>
    <col min="18" max="18" width="11.26953125" customWidth="1"/>
    <col min="19" max="19" width="5.1796875" customWidth="1"/>
  </cols>
  <sheetData>
    <row r="3" spans="3:19" ht="13" thickBot="1"/>
    <row r="4" spans="3:19" ht="13">
      <c r="C4" s="220" t="s">
        <v>421</v>
      </c>
      <c r="D4" s="221"/>
      <c r="E4" s="222"/>
      <c r="F4" s="947" t="s">
        <v>189</v>
      </c>
      <c r="G4" s="948"/>
      <c r="H4" s="947"/>
      <c r="I4" s="947"/>
      <c r="J4" s="947"/>
      <c r="K4" s="948"/>
      <c r="L4" s="948"/>
      <c r="M4" s="948"/>
      <c r="N4" s="947"/>
      <c r="O4" s="949"/>
      <c r="P4" s="533"/>
      <c r="Q4" s="533"/>
      <c r="R4" s="533"/>
      <c r="S4" s="533"/>
    </row>
    <row r="5" spans="3:19" ht="45" customHeight="1" thickBot="1">
      <c r="C5" s="241" t="s">
        <v>25</v>
      </c>
      <c r="D5" s="242" t="s">
        <v>412</v>
      </c>
      <c r="E5" s="243" t="s">
        <v>418</v>
      </c>
      <c r="F5" s="244" t="s">
        <v>48</v>
      </c>
      <c r="G5" s="527" t="s">
        <v>402</v>
      </c>
      <c r="H5" s="527" t="s">
        <v>403</v>
      </c>
      <c r="I5" s="527" t="s">
        <v>413</v>
      </c>
      <c r="J5" s="527" t="s">
        <v>414</v>
      </c>
      <c r="K5" s="527" t="s">
        <v>415</v>
      </c>
      <c r="L5" s="527" t="s">
        <v>416</v>
      </c>
      <c r="M5" s="246" t="s">
        <v>419</v>
      </c>
      <c r="N5" s="245" t="s">
        <v>420</v>
      </c>
      <c r="O5" s="245" t="s">
        <v>417</v>
      </c>
      <c r="P5" s="245" t="s">
        <v>422</v>
      </c>
      <c r="Q5" s="245" t="s">
        <v>423</v>
      </c>
      <c r="R5" s="245" t="s">
        <v>424</v>
      </c>
      <c r="S5" s="245"/>
    </row>
    <row r="6" spans="3:19">
      <c r="C6" s="170">
        <v>0.1</v>
      </c>
      <c r="D6" s="529">
        <f>VIN_min</f>
        <v>9</v>
      </c>
      <c r="E6" s="443">
        <f t="shared" ref="E6:E37" si="0">(Vout+Vfwd1)*Nps</f>
        <v>16.3415</v>
      </c>
      <c r="F6" s="217">
        <f t="shared" ref="F6:F37" si="1">(Vout+Vfwd1)*Nps/((Vout+Vfwd1)*Nps+D6)</f>
        <v>0.64485133082098534</v>
      </c>
      <c r="G6" s="172">
        <f t="shared" ref="G6:G37" si="2">F6*D6*Isw_max*0.5*Efficiency</f>
        <v>32.242566541049271</v>
      </c>
      <c r="H6" s="217">
        <f t="shared" ref="H6:H37" si="3">G6/Vout</f>
        <v>1.3434402725437196</v>
      </c>
      <c r="I6" s="443">
        <f t="shared" ref="I6:I37" si="4">(Vout+Vfwd1)*Nps+D6</f>
        <v>25.3415</v>
      </c>
      <c r="J6" s="172">
        <f t="shared" ref="J6:J37" si="5">MIN(2*Vout*Iout/(Efficiency*D6*F6), 1.35)</f>
        <v>1.35</v>
      </c>
      <c r="K6" s="172">
        <f t="shared" ref="K6:K37" si="6">L*J6/D6*1000000</f>
        <v>1.5</v>
      </c>
      <c r="L6" s="172">
        <f t="shared" ref="L6:L37" si="7">L*J6/((Vout+Vfwd1)*Nps)*1000000</f>
        <v>0.82611755346816396</v>
      </c>
      <c r="M6" s="443">
        <f>MIN(1/(K6+L6)*1000, 350)</f>
        <v>350</v>
      </c>
      <c r="N6" s="197">
        <f t="shared" ref="N6:N37" si="8">IF(1/((350000*L)*(1/D6+1/E6))&gt;Isw_min, 350, 0.001/((Isw_min*L)*(1/D6+1/E6)))</f>
        <v>261.16478898249903</v>
      </c>
      <c r="O6" s="217">
        <f t="shared" ref="O6:O37" si="9">1/((N6*1000*L)*(1/D6+1/E6))</f>
        <v>2.2222222222222223</v>
      </c>
      <c r="P6" s="173">
        <f t="shared" ref="P6:P37" si="10">L*O6/E6*1000000</f>
        <v>1.3598642855443031</v>
      </c>
      <c r="Q6" s="173">
        <f t="shared" ref="Q6:Q37" si="11">0.5*P6*O6*Nps*N6/1000</f>
        <v>0.26320462482489204</v>
      </c>
      <c r="R6" s="173">
        <f t="shared" ref="R6:R37" si="12">L*Isw_min/E6*1000000</f>
        <v>1.3598642855443031</v>
      </c>
    </row>
    <row r="7" spans="3:19">
      <c r="C7" s="170">
        <v>1</v>
      </c>
      <c r="D7" s="5">
        <f t="shared" ref="D7:D38" si="13">C7/100*(VIN_max-VIN_min)+VIN_min</f>
        <v>9.27</v>
      </c>
      <c r="E7" s="443">
        <f t="shared" si="0"/>
        <v>16.3415</v>
      </c>
      <c r="F7" s="217">
        <f t="shared" si="1"/>
        <v>0.63805321828085038</v>
      </c>
      <c r="G7" s="172">
        <f t="shared" si="2"/>
        <v>32.859740741463789</v>
      </c>
      <c r="H7" s="217">
        <f t="shared" si="3"/>
        <v>1.3691558642276578</v>
      </c>
      <c r="I7" s="443">
        <f t="shared" si="4"/>
        <v>25.611499999999999</v>
      </c>
      <c r="J7" s="172">
        <f t="shared" si="5"/>
        <v>1.35</v>
      </c>
      <c r="K7" s="172">
        <f t="shared" si="6"/>
        <v>1.4563106796116507</v>
      </c>
      <c r="L7" s="172">
        <f t="shared" si="7"/>
        <v>0.82611755346816396</v>
      </c>
      <c r="M7" s="443">
        <f t="shared" ref="M7:M70" si="14">MIN(1/(K7+L7)*1000, 350)</f>
        <v>350</v>
      </c>
      <c r="N7" s="197">
        <f t="shared" si="8"/>
        <v>266.1639000058567</v>
      </c>
      <c r="O7" s="217">
        <f t="shared" si="9"/>
        <v>2.2222222222222223</v>
      </c>
      <c r="P7" s="173">
        <f t="shared" si="10"/>
        <v>1.3598642855443031</v>
      </c>
      <c r="Q7" s="173">
        <f t="shared" si="11"/>
        <v>0.26824278156296982</v>
      </c>
      <c r="R7" s="173">
        <f t="shared" si="12"/>
        <v>1.3598642855443031</v>
      </c>
    </row>
    <row r="8" spans="3:19">
      <c r="C8" s="170">
        <v>2</v>
      </c>
      <c r="D8" s="5">
        <f t="shared" si="13"/>
        <v>9.5399999999999991</v>
      </c>
      <c r="E8" s="443">
        <f t="shared" si="0"/>
        <v>16.3415</v>
      </c>
      <c r="F8" s="217">
        <f t="shared" si="1"/>
        <v>0.63139694376291944</v>
      </c>
      <c r="G8" s="172">
        <f t="shared" si="2"/>
        <v>33.464038019434724</v>
      </c>
      <c r="H8" s="217">
        <f t="shared" si="3"/>
        <v>1.3943349174764468</v>
      </c>
      <c r="I8" s="443">
        <f t="shared" si="4"/>
        <v>25.881499999999999</v>
      </c>
      <c r="J8" s="172">
        <f t="shared" si="5"/>
        <v>1.35</v>
      </c>
      <c r="K8" s="172">
        <f t="shared" si="6"/>
        <v>1.4150943396226419</v>
      </c>
      <c r="L8" s="172">
        <f t="shared" si="7"/>
        <v>0.82611755346816396</v>
      </c>
      <c r="M8" s="443">
        <f t="shared" si="14"/>
        <v>350</v>
      </c>
      <c r="N8" s="197">
        <f t="shared" si="8"/>
        <v>271.05870795742123</v>
      </c>
      <c r="O8" s="217">
        <f t="shared" si="9"/>
        <v>2.2222222222222223</v>
      </c>
      <c r="P8" s="173">
        <f t="shared" si="10"/>
        <v>1.3598642855443031</v>
      </c>
      <c r="Q8" s="173">
        <f t="shared" si="11"/>
        <v>0.27317582056681416</v>
      </c>
      <c r="R8" s="173">
        <f t="shared" si="12"/>
        <v>1.3598642855443031</v>
      </c>
    </row>
    <row r="9" spans="3:19">
      <c r="C9" s="170">
        <v>3</v>
      </c>
      <c r="D9" s="5">
        <f t="shared" si="13"/>
        <v>9.81</v>
      </c>
      <c r="E9" s="443">
        <f t="shared" si="0"/>
        <v>16.3415</v>
      </c>
      <c r="F9" s="217">
        <f t="shared" si="1"/>
        <v>0.62487811406611482</v>
      </c>
      <c r="G9" s="172">
        <f t="shared" si="2"/>
        <v>34.055857216603258</v>
      </c>
      <c r="H9" s="217">
        <f t="shared" si="3"/>
        <v>1.4189940506918024</v>
      </c>
      <c r="I9" s="443">
        <f t="shared" si="4"/>
        <v>26.151499999999999</v>
      </c>
      <c r="J9" s="172">
        <f t="shared" si="5"/>
        <v>1.35</v>
      </c>
      <c r="K9" s="172">
        <f t="shared" si="6"/>
        <v>1.3761467889908259</v>
      </c>
      <c r="L9" s="172">
        <f t="shared" si="7"/>
        <v>0.82611755346816396</v>
      </c>
      <c r="M9" s="443">
        <f t="shared" si="14"/>
        <v>350</v>
      </c>
      <c r="N9" s="197">
        <f t="shared" si="8"/>
        <v>275.85244345448632</v>
      </c>
      <c r="O9" s="217">
        <f t="shared" si="9"/>
        <v>2.2222222222222223</v>
      </c>
      <c r="P9" s="173">
        <f t="shared" si="10"/>
        <v>1.3598642855443031</v>
      </c>
      <c r="Q9" s="173">
        <f t="shared" si="11"/>
        <v>0.27800699768655729</v>
      </c>
      <c r="R9" s="173">
        <f t="shared" si="12"/>
        <v>1.3598642855443031</v>
      </c>
    </row>
    <row r="10" spans="3:19">
      <c r="C10" s="170">
        <v>4</v>
      </c>
      <c r="D10" s="5">
        <f t="shared" si="13"/>
        <v>10.08</v>
      </c>
      <c r="E10" s="443">
        <f t="shared" si="0"/>
        <v>16.3415</v>
      </c>
      <c r="F10" s="217">
        <f t="shared" si="1"/>
        <v>0.61849251556497542</v>
      </c>
      <c r="G10" s="172">
        <f t="shared" si="2"/>
        <v>34.635580871638624</v>
      </c>
      <c r="H10" s="217">
        <f t="shared" si="3"/>
        <v>1.4431492029849426</v>
      </c>
      <c r="I10" s="443">
        <f t="shared" si="4"/>
        <v>26.421500000000002</v>
      </c>
      <c r="J10" s="172">
        <f t="shared" si="5"/>
        <v>1.35</v>
      </c>
      <c r="K10" s="172">
        <f t="shared" si="6"/>
        <v>1.3392857142857144</v>
      </c>
      <c r="L10" s="172">
        <f t="shared" si="7"/>
        <v>0.82611755346816396</v>
      </c>
      <c r="M10" s="443">
        <f t="shared" si="14"/>
        <v>350</v>
      </c>
      <c r="N10" s="197">
        <f t="shared" si="8"/>
        <v>280.54820506027283</v>
      </c>
      <c r="O10" s="217">
        <f t="shared" si="9"/>
        <v>2.2222222222222223</v>
      </c>
      <c r="P10" s="173">
        <f t="shared" si="10"/>
        <v>1.3598642855443031</v>
      </c>
      <c r="Q10" s="173">
        <f t="shared" si="11"/>
        <v>0.28273943568684606</v>
      </c>
      <c r="R10" s="173">
        <f t="shared" si="12"/>
        <v>1.3598642855443031</v>
      </c>
    </row>
    <row r="11" spans="3:19">
      <c r="C11" s="170">
        <v>5</v>
      </c>
      <c r="D11" s="5">
        <f t="shared" si="13"/>
        <v>10.35</v>
      </c>
      <c r="E11" s="443">
        <f t="shared" si="0"/>
        <v>16.3415</v>
      </c>
      <c r="F11" s="217">
        <f t="shared" si="1"/>
        <v>0.61223610512710047</v>
      </c>
      <c r="G11" s="172">
        <f t="shared" si="2"/>
        <v>35.203576044808273</v>
      </c>
      <c r="H11" s="217">
        <f t="shared" si="3"/>
        <v>1.466815668533678</v>
      </c>
      <c r="I11" s="443">
        <f t="shared" si="4"/>
        <v>26.691499999999998</v>
      </c>
      <c r="J11" s="172">
        <f t="shared" si="5"/>
        <v>1.35</v>
      </c>
      <c r="K11" s="172">
        <f t="shared" si="6"/>
        <v>1.3043478260869565</v>
      </c>
      <c r="L11" s="172">
        <f t="shared" si="7"/>
        <v>0.82611755346816396</v>
      </c>
      <c r="M11" s="443">
        <f t="shared" si="14"/>
        <v>350</v>
      </c>
      <c r="N11" s="197">
        <f t="shared" si="8"/>
        <v>285.14896596294693</v>
      </c>
      <c r="O11" s="217">
        <f t="shared" si="9"/>
        <v>2.2222222222222223</v>
      </c>
      <c r="P11" s="173">
        <f t="shared" si="10"/>
        <v>1.3598642855443031</v>
      </c>
      <c r="Q11" s="173">
        <f t="shared" si="11"/>
        <v>0.28737613097802678</v>
      </c>
      <c r="R11" s="173">
        <f t="shared" si="12"/>
        <v>1.3598642855443031</v>
      </c>
    </row>
    <row r="12" spans="3:19">
      <c r="C12" s="170">
        <v>6</v>
      </c>
      <c r="D12" s="5">
        <f t="shared" si="13"/>
        <v>10.62</v>
      </c>
      <c r="E12" s="443">
        <f t="shared" si="0"/>
        <v>16.3415</v>
      </c>
      <c r="F12" s="217">
        <f t="shared" si="1"/>
        <v>0.60610500157632174</v>
      </c>
      <c r="G12" s="172">
        <f t="shared" si="2"/>
        <v>35.760195093002977</v>
      </c>
      <c r="H12" s="217">
        <f t="shared" si="3"/>
        <v>1.4900081288751241</v>
      </c>
      <c r="I12" s="443">
        <f t="shared" si="4"/>
        <v>26.961500000000001</v>
      </c>
      <c r="J12" s="172">
        <f t="shared" si="5"/>
        <v>1.35</v>
      </c>
      <c r="K12" s="172">
        <f t="shared" si="6"/>
        <v>1.2711864406779665</v>
      </c>
      <c r="L12" s="172">
        <f t="shared" si="7"/>
        <v>0.82611755346816396</v>
      </c>
      <c r="M12" s="443">
        <f t="shared" si="14"/>
        <v>350</v>
      </c>
      <c r="N12" s="197">
        <f t="shared" si="8"/>
        <v>289.65758025332411</v>
      </c>
      <c r="O12" s="217">
        <f t="shared" si="9"/>
        <v>2.2222222222222223</v>
      </c>
      <c r="P12" s="173">
        <f t="shared" si="10"/>
        <v>1.3598642855443031</v>
      </c>
      <c r="Q12" s="173">
        <f t="shared" si="11"/>
        <v>0.29191995994288156</v>
      </c>
      <c r="R12" s="173">
        <f t="shared" si="12"/>
        <v>1.3598642855443031</v>
      </c>
    </row>
    <row r="13" spans="3:19">
      <c r="C13" s="170">
        <v>7</v>
      </c>
      <c r="D13" s="5">
        <f t="shared" si="13"/>
        <v>10.89</v>
      </c>
      <c r="E13" s="443">
        <f t="shared" si="0"/>
        <v>16.3415</v>
      </c>
      <c r="F13" s="217">
        <f t="shared" si="1"/>
        <v>0.60009547766373494</v>
      </c>
      <c r="G13" s="172">
        <f t="shared" si="2"/>
        <v>36.305776398655965</v>
      </c>
      <c r="H13" s="217">
        <f t="shared" si="3"/>
        <v>1.5127406832773318</v>
      </c>
      <c r="I13" s="443">
        <f t="shared" si="4"/>
        <v>27.2315</v>
      </c>
      <c r="J13" s="172">
        <f t="shared" si="5"/>
        <v>1.35</v>
      </c>
      <c r="K13" s="172">
        <f t="shared" si="6"/>
        <v>1.2396694214876034</v>
      </c>
      <c r="L13" s="172">
        <f t="shared" si="7"/>
        <v>0.82611755346816396</v>
      </c>
      <c r="M13" s="443">
        <f t="shared" si="14"/>
        <v>350</v>
      </c>
      <c r="N13" s="197">
        <f t="shared" si="8"/>
        <v>294.0767888291133</v>
      </c>
      <c r="O13" s="217">
        <f t="shared" si="9"/>
        <v>2.2222222222222223</v>
      </c>
      <c r="P13" s="173">
        <f t="shared" si="10"/>
        <v>1.3598642855443031</v>
      </c>
      <c r="Q13" s="173">
        <f t="shared" si="11"/>
        <v>0.29637368488698757</v>
      </c>
      <c r="R13" s="173">
        <f t="shared" si="12"/>
        <v>1.3598642855443031</v>
      </c>
    </row>
    <row r="14" spans="3:19" s="76" customFormat="1">
      <c r="C14" s="189">
        <v>8</v>
      </c>
      <c r="D14" s="534">
        <f t="shared" si="13"/>
        <v>11.16</v>
      </c>
      <c r="E14" s="535">
        <f t="shared" si="0"/>
        <v>16.3415</v>
      </c>
      <c r="F14" s="329">
        <f t="shared" si="1"/>
        <v>0.59420395251168112</v>
      </c>
      <c r="G14" s="536">
        <f t="shared" si="2"/>
        <v>36.840645055724231</v>
      </c>
      <c r="H14" s="329">
        <f t="shared" si="3"/>
        <v>1.535026877321843</v>
      </c>
      <c r="I14" s="535">
        <f t="shared" si="4"/>
        <v>27.5015</v>
      </c>
      <c r="J14" s="172">
        <f t="shared" si="5"/>
        <v>1.35</v>
      </c>
      <c r="K14" s="536">
        <f t="shared" si="6"/>
        <v>1.2096774193548387</v>
      </c>
      <c r="L14" s="536">
        <f t="shared" si="7"/>
        <v>0.82611755346816396</v>
      </c>
      <c r="M14" s="535">
        <f t="shared" si="14"/>
        <v>350</v>
      </c>
      <c r="N14" s="537">
        <f t="shared" si="8"/>
        <v>298.40922495136624</v>
      </c>
      <c r="O14" s="329">
        <f t="shared" si="9"/>
        <v>2.2222222222222223</v>
      </c>
      <c r="P14" s="173">
        <f t="shared" si="10"/>
        <v>1.3598642855443031</v>
      </c>
      <c r="Q14" s="538">
        <f t="shared" si="11"/>
        <v>0.30073995963856526</v>
      </c>
      <c r="R14" s="173">
        <f t="shared" si="12"/>
        <v>1.3598642855443031</v>
      </c>
    </row>
    <row r="15" spans="3:19">
      <c r="C15" s="170">
        <v>9</v>
      </c>
      <c r="D15" s="5">
        <f t="shared" si="13"/>
        <v>11.43</v>
      </c>
      <c r="E15" s="443">
        <f t="shared" si="0"/>
        <v>16.3415</v>
      </c>
      <c r="F15" s="217">
        <f t="shared" si="1"/>
        <v>0.58842698449849662</v>
      </c>
      <c r="G15" s="172">
        <f t="shared" si="2"/>
        <v>37.365113515654535</v>
      </c>
      <c r="H15" s="217">
        <f t="shared" si="3"/>
        <v>1.556879729818939</v>
      </c>
      <c r="I15" s="443">
        <f t="shared" si="4"/>
        <v>27.7715</v>
      </c>
      <c r="J15" s="172">
        <f t="shared" si="5"/>
        <v>1.35</v>
      </c>
      <c r="K15" s="172">
        <f t="shared" si="6"/>
        <v>1.1811023622047245</v>
      </c>
      <c r="L15" s="172">
        <f t="shared" si="7"/>
        <v>0.82611755346816396</v>
      </c>
      <c r="M15" s="443">
        <f t="shared" si="14"/>
        <v>350</v>
      </c>
      <c r="N15" s="197">
        <f t="shared" si="8"/>
        <v>302.65741947680169</v>
      </c>
      <c r="O15" s="217">
        <f t="shared" si="9"/>
        <v>2.2222222222222223</v>
      </c>
      <c r="P15" s="173">
        <f t="shared" si="10"/>
        <v>1.3598642855443031</v>
      </c>
      <c r="Q15" s="173">
        <f t="shared" si="11"/>
        <v>0.30502133482166977</v>
      </c>
      <c r="R15" s="173">
        <f t="shared" si="12"/>
        <v>1.3598642855443031</v>
      </c>
    </row>
    <row r="16" spans="3:19">
      <c r="C16" s="170">
        <v>10</v>
      </c>
      <c r="D16" s="5">
        <f t="shared" si="13"/>
        <v>11.7</v>
      </c>
      <c r="E16" s="443">
        <f t="shared" si="0"/>
        <v>16.3415</v>
      </c>
      <c r="F16" s="217">
        <f t="shared" si="1"/>
        <v>0.58276126455432131</v>
      </c>
      <c r="G16" s="172">
        <f t="shared" si="2"/>
        <v>37.879482196030885</v>
      </c>
      <c r="H16" s="217">
        <f t="shared" si="3"/>
        <v>1.5783117581679535</v>
      </c>
      <c r="I16" s="443">
        <f t="shared" si="4"/>
        <v>28.041499999999999</v>
      </c>
      <c r="J16" s="172">
        <f t="shared" si="5"/>
        <v>1.35</v>
      </c>
      <c r="K16" s="172">
        <f t="shared" si="6"/>
        <v>1.153846153846154</v>
      </c>
      <c r="L16" s="172">
        <f t="shared" si="7"/>
        <v>0.82611755346816396</v>
      </c>
      <c r="M16" s="443">
        <f t="shared" si="14"/>
        <v>350</v>
      </c>
      <c r="N16" s="197">
        <f t="shared" si="8"/>
        <v>306.82380578785012</v>
      </c>
      <c r="O16" s="217">
        <f t="shared" si="9"/>
        <v>2.2222222222222223</v>
      </c>
      <c r="P16" s="173">
        <f t="shared" si="10"/>
        <v>1.3598642855443031</v>
      </c>
      <c r="Q16" s="173">
        <f t="shared" si="11"/>
        <v>0.30922026282474202</v>
      </c>
      <c r="R16" s="173">
        <f t="shared" si="12"/>
        <v>1.3598642855443031</v>
      </c>
    </row>
    <row r="17" spans="3:18">
      <c r="C17" s="170">
        <v>11</v>
      </c>
      <c r="D17" s="5">
        <f t="shared" si="13"/>
        <v>11.97</v>
      </c>
      <c r="E17" s="443">
        <f t="shared" si="0"/>
        <v>16.3415</v>
      </c>
      <c r="F17" s="217">
        <f t="shared" si="1"/>
        <v>0.5772036098405241</v>
      </c>
      <c r="G17" s="172">
        <f t="shared" si="2"/>
        <v>38.384040054394852</v>
      </c>
      <c r="H17" s="217">
        <f t="shared" si="3"/>
        <v>1.5993350022664521</v>
      </c>
      <c r="I17" s="443">
        <f t="shared" si="4"/>
        <v>28.311500000000002</v>
      </c>
      <c r="J17" s="172">
        <f t="shared" si="5"/>
        <v>1.35</v>
      </c>
      <c r="K17" s="172">
        <f t="shared" si="6"/>
        <v>1.1278195488721805</v>
      </c>
      <c r="L17" s="172">
        <f t="shared" si="7"/>
        <v>0.82611755346816396</v>
      </c>
      <c r="M17" s="443">
        <f t="shared" si="14"/>
        <v>350</v>
      </c>
      <c r="N17" s="197">
        <f t="shared" si="8"/>
        <v>310.9107244405983</v>
      </c>
      <c r="O17" s="217">
        <f t="shared" si="9"/>
        <v>2.2222222222222228</v>
      </c>
      <c r="P17" s="173">
        <f t="shared" si="10"/>
        <v>1.3598642855443033</v>
      </c>
      <c r="Q17" s="173">
        <f t="shared" si="11"/>
        <v>0.31333910248485619</v>
      </c>
      <c r="R17" s="173">
        <f t="shared" si="12"/>
        <v>1.3598642855443031</v>
      </c>
    </row>
    <row r="18" spans="3:18">
      <c r="C18" s="170">
        <v>12</v>
      </c>
      <c r="D18" s="5">
        <f t="shared" si="13"/>
        <v>12.24</v>
      </c>
      <c r="E18" s="443">
        <f t="shared" si="0"/>
        <v>16.3415</v>
      </c>
      <c r="F18" s="217">
        <f t="shared" si="1"/>
        <v>0.57175095778737994</v>
      </c>
      <c r="G18" s="172">
        <f t="shared" si="2"/>
        <v>38.879065129541836</v>
      </c>
      <c r="H18" s="217">
        <f t="shared" si="3"/>
        <v>1.6199610470642432</v>
      </c>
      <c r="I18" s="443">
        <f t="shared" si="4"/>
        <v>28.581499999999998</v>
      </c>
      <c r="J18" s="172">
        <f t="shared" si="5"/>
        <v>1.35</v>
      </c>
      <c r="K18" s="172">
        <f t="shared" si="6"/>
        <v>1.1029411764705883</v>
      </c>
      <c r="L18" s="172">
        <f t="shared" si="7"/>
        <v>0.82611755346816396</v>
      </c>
      <c r="M18" s="443">
        <f t="shared" si="14"/>
        <v>350</v>
      </c>
      <c r="N18" s="197">
        <f t="shared" si="8"/>
        <v>314.92042754928877</v>
      </c>
      <c r="O18" s="217">
        <f t="shared" si="9"/>
        <v>2.2222222222222223</v>
      </c>
      <c r="P18" s="173">
        <f t="shared" si="10"/>
        <v>1.3598642855443031</v>
      </c>
      <c r="Q18" s="173">
        <f t="shared" si="11"/>
        <v>0.317380123506464</v>
      </c>
      <c r="R18" s="173">
        <f t="shared" si="12"/>
        <v>1.3598642855443031</v>
      </c>
    </row>
    <row r="19" spans="3:18">
      <c r="C19" s="170">
        <v>13</v>
      </c>
      <c r="D19" s="5">
        <f t="shared" si="13"/>
        <v>12.51</v>
      </c>
      <c r="E19" s="443">
        <f t="shared" si="0"/>
        <v>16.3415</v>
      </c>
      <c r="F19" s="217">
        <f t="shared" si="1"/>
        <v>0.56640036046652686</v>
      </c>
      <c r="G19" s="172">
        <f t="shared" si="2"/>
        <v>39.364825052423612</v>
      </c>
      <c r="H19" s="217">
        <f t="shared" si="3"/>
        <v>1.6402010438509838</v>
      </c>
      <c r="I19" s="443">
        <f t="shared" si="4"/>
        <v>28.851500000000001</v>
      </c>
      <c r="J19" s="172">
        <f t="shared" si="5"/>
        <v>1.35</v>
      </c>
      <c r="K19" s="172">
        <f t="shared" si="6"/>
        <v>1.0791366906474822</v>
      </c>
      <c r="L19" s="172">
        <f t="shared" si="7"/>
        <v>0.82611755346816396</v>
      </c>
      <c r="M19" s="443">
        <f t="shared" si="14"/>
        <v>350</v>
      </c>
      <c r="N19" s="197">
        <f t="shared" si="8"/>
        <v>318.85508292463118</v>
      </c>
      <c r="O19" s="217">
        <f t="shared" si="9"/>
        <v>2.2222222222222223</v>
      </c>
      <c r="P19" s="173">
        <f t="shared" si="10"/>
        <v>1.3598642855443031</v>
      </c>
      <c r="Q19" s="173">
        <f t="shared" si="11"/>
        <v>0.32134551063202954</v>
      </c>
      <c r="R19" s="173">
        <f t="shared" si="12"/>
        <v>1.3598642855443031</v>
      </c>
    </row>
    <row r="20" spans="3:18">
      <c r="C20" s="170">
        <v>14</v>
      </c>
      <c r="D20" s="5">
        <f t="shared" si="13"/>
        <v>12.780000000000001</v>
      </c>
      <c r="E20" s="443">
        <f t="shared" si="0"/>
        <v>16.3415</v>
      </c>
      <c r="F20" s="217">
        <f t="shared" si="1"/>
        <v>0.56114897927647955</v>
      </c>
      <c r="G20" s="172">
        <f t="shared" si="2"/>
        <v>39.841577528630047</v>
      </c>
      <c r="H20" s="217">
        <f t="shared" si="3"/>
        <v>1.6600657303595854</v>
      </c>
      <c r="I20" s="443">
        <f t="shared" si="4"/>
        <v>29.121500000000001</v>
      </c>
      <c r="J20" s="172">
        <f t="shared" si="5"/>
        <v>1.35</v>
      </c>
      <c r="K20" s="172">
        <f t="shared" si="6"/>
        <v>1.056338028169014</v>
      </c>
      <c r="L20" s="172">
        <f t="shared" si="7"/>
        <v>0.82611755346816396</v>
      </c>
      <c r="M20" s="443">
        <f t="shared" si="14"/>
        <v>350</v>
      </c>
      <c r="N20" s="197">
        <f t="shared" si="8"/>
        <v>322.71677798190336</v>
      </c>
      <c r="O20" s="217">
        <f t="shared" si="9"/>
        <v>2.2222222222222223</v>
      </c>
      <c r="P20" s="173">
        <f t="shared" si="10"/>
        <v>1.3598642855443031</v>
      </c>
      <c r="Q20" s="173">
        <f t="shared" si="11"/>
        <v>0.32523736758065352</v>
      </c>
      <c r="R20" s="173">
        <f t="shared" si="12"/>
        <v>1.3598642855443031</v>
      </c>
    </row>
    <row r="21" spans="3:18">
      <c r="C21" s="170">
        <v>15</v>
      </c>
      <c r="D21" s="5">
        <f t="shared" si="13"/>
        <v>13.05</v>
      </c>
      <c r="E21" s="443">
        <f t="shared" si="0"/>
        <v>16.3415</v>
      </c>
      <c r="F21" s="217">
        <f t="shared" si="1"/>
        <v>0.55599407992106564</v>
      </c>
      <c r="G21" s="172">
        <f t="shared" si="2"/>
        <v>40.309570794277263</v>
      </c>
      <c r="H21" s="217">
        <f t="shared" si="3"/>
        <v>1.6795654497615526</v>
      </c>
      <c r="I21" s="443">
        <f t="shared" si="4"/>
        <v>29.391500000000001</v>
      </c>
      <c r="J21" s="172">
        <f t="shared" si="5"/>
        <v>1.35</v>
      </c>
      <c r="K21" s="172">
        <f t="shared" si="6"/>
        <v>1.0344827586206897</v>
      </c>
      <c r="L21" s="172">
        <f t="shared" si="7"/>
        <v>0.82611755346816396</v>
      </c>
      <c r="M21" s="443">
        <f t="shared" si="14"/>
        <v>350</v>
      </c>
      <c r="N21" s="197">
        <f t="shared" si="8"/>
        <v>326.50752343364576</v>
      </c>
      <c r="O21" s="217">
        <f t="shared" si="9"/>
        <v>2.2222222222222219</v>
      </c>
      <c r="P21" s="173">
        <f t="shared" si="10"/>
        <v>1.3598642855443026</v>
      </c>
      <c r="Q21" s="173">
        <f t="shared" si="11"/>
        <v>0.32905772076961021</v>
      </c>
      <c r="R21" s="173">
        <f t="shared" si="12"/>
        <v>1.3598642855443031</v>
      </c>
    </row>
    <row r="22" spans="3:18" s="3" customFormat="1" ht="13">
      <c r="C22" s="333">
        <v>16</v>
      </c>
      <c r="D22" s="530">
        <f t="shared" si="13"/>
        <v>13.32</v>
      </c>
      <c r="E22" s="531">
        <f t="shared" si="0"/>
        <v>16.3415</v>
      </c>
      <c r="F22" s="532">
        <f t="shared" si="1"/>
        <v>0.55093302766212093</v>
      </c>
      <c r="G22" s="332">
        <f t="shared" si="2"/>
        <v>40.769044046996946</v>
      </c>
      <c r="H22" s="532">
        <f t="shared" si="3"/>
        <v>1.6987101686248727</v>
      </c>
      <c r="I22" s="531">
        <f t="shared" si="4"/>
        <v>29.6615</v>
      </c>
      <c r="J22" s="172">
        <f t="shared" si="5"/>
        <v>1.35</v>
      </c>
      <c r="K22" s="332">
        <f t="shared" si="6"/>
        <v>1.0135135135135136</v>
      </c>
      <c r="L22" s="332">
        <f t="shared" si="7"/>
        <v>0.82611755346816396</v>
      </c>
      <c r="M22" s="531">
        <f t="shared" si="14"/>
        <v>350</v>
      </c>
      <c r="N22" s="335">
        <f t="shared" si="8"/>
        <v>330.22925678067526</v>
      </c>
      <c r="O22" s="532">
        <f t="shared" si="9"/>
        <v>2.2222222222222223</v>
      </c>
      <c r="P22" s="173">
        <f t="shared" si="10"/>
        <v>1.3598642855443031</v>
      </c>
      <c r="Q22" s="539">
        <f t="shared" si="11"/>
        <v>0.3328085228326283</v>
      </c>
      <c r="R22" s="173">
        <f t="shared" si="12"/>
        <v>1.3598642855443031</v>
      </c>
    </row>
    <row r="23" spans="3:18">
      <c r="C23" s="170">
        <v>17</v>
      </c>
      <c r="D23" s="5">
        <f t="shared" si="13"/>
        <v>13.59</v>
      </c>
      <c r="E23" s="443">
        <f t="shared" si="0"/>
        <v>16.3415</v>
      </c>
      <c r="F23" s="217">
        <f t="shared" si="1"/>
        <v>0.54596328282912654</v>
      </c>
      <c r="G23" s="172">
        <f t="shared" si="2"/>
        <v>41.220227853599056</v>
      </c>
      <c r="H23" s="217">
        <f t="shared" si="3"/>
        <v>1.7175094938999607</v>
      </c>
      <c r="I23" s="443">
        <f t="shared" si="4"/>
        <v>29.9315</v>
      </c>
      <c r="J23" s="172">
        <f t="shared" si="5"/>
        <v>1.35</v>
      </c>
      <c r="K23" s="172">
        <f t="shared" si="6"/>
        <v>0.99337748344370869</v>
      </c>
      <c r="L23" s="172">
        <f t="shared" si="7"/>
        <v>0.82611755346816396</v>
      </c>
      <c r="M23" s="443">
        <f t="shared" si="14"/>
        <v>350</v>
      </c>
      <c r="N23" s="197">
        <f t="shared" si="8"/>
        <v>333.88384561415228</v>
      </c>
      <c r="O23" s="217">
        <f t="shared" si="9"/>
        <v>2.2222222222222228</v>
      </c>
      <c r="P23" s="173">
        <f t="shared" si="10"/>
        <v>1.3598642855443033</v>
      </c>
      <c r="Q23" s="173">
        <f t="shared" si="11"/>
        <v>0.33649165594774766</v>
      </c>
      <c r="R23" s="173">
        <f t="shared" si="12"/>
        <v>1.3598642855443031</v>
      </c>
    </row>
    <row r="24" spans="3:18">
      <c r="C24" s="170">
        <v>18</v>
      </c>
      <c r="D24" s="5">
        <f t="shared" si="13"/>
        <v>13.86</v>
      </c>
      <c r="E24" s="443">
        <f t="shared" si="0"/>
        <v>16.3415</v>
      </c>
      <c r="F24" s="217">
        <f t="shared" si="1"/>
        <v>0.5410823965697068</v>
      </c>
      <c r="G24" s="172">
        <f t="shared" si="2"/>
        <v>41.663344535867424</v>
      </c>
      <c r="H24" s="217">
        <f t="shared" si="3"/>
        <v>1.735972688994476</v>
      </c>
      <c r="I24" s="443">
        <f t="shared" si="4"/>
        <v>30.201499999999999</v>
      </c>
      <c r="J24" s="172">
        <f t="shared" si="5"/>
        <v>1.35</v>
      </c>
      <c r="K24" s="172">
        <f t="shared" si="6"/>
        <v>0.97402597402597413</v>
      </c>
      <c r="L24" s="172">
        <f t="shared" si="7"/>
        <v>0.82611755346816396</v>
      </c>
      <c r="M24" s="443">
        <f t="shared" si="14"/>
        <v>350</v>
      </c>
      <c r="N24" s="197">
        <f t="shared" si="8"/>
        <v>337.47309074052606</v>
      </c>
      <c r="O24" s="217">
        <f t="shared" si="9"/>
        <v>2.2222222222222228</v>
      </c>
      <c r="P24" s="173">
        <f t="shared" si="10"/>
        <v>1.3598642855443033</v>
      </c>
      <c r="Q24" s="173">
        <f t="shared" si="11"/>
        <v>0.34010893498667311</v>
      </c>
      <c r="R24" s="173">
        <f t="shared" si="12"/>
        <v>1.3598642855443031</v>
      </c>
    </row>
    <row r="25" spans="3:18">
      <c r="C25" s="170">
        <v>19</v>
      </c>
      <c r="D25" s="5">
        <f t="shared" si="13"/>
        <v>14.129999999999999</v>
      </c>
      <c r="E25" s="443">
        <f t="shared" si="0"/>
        <v>16.3415</v>
      </c>
      <c r="F25" s="217">
        <f t="shared" si="1"/>
        <v>0.5362880068260506</v>
      </c>
      <c r="G25" s="172">
        <f t="shared" si="2"/>
        <v>42.098608535844967</v>
      </c>
      <c r="H25" s="217">
        <f t="shared" si="3"/>
        <v>1.7541086889935402</v>
      </c>
      <c r="I25" s="443">
        <f t="shared" si="4"/>
        <v>30.471499999999999</v>
      </c>
      <c r="J25" s="172">
        <f t="shared" si="5"/>
        <v>1.35</v>
      </c>
      <c r="K25" s="172">
        <f t="shared" si="6"/>
        <v>0.95541401273885374</v>
      </c>
      <c r="L25" s="172">
        <f t="shared" si="7"/>
        <v>0.82611755346816396</v>
      </c>
      <c r="M25" s="443">
        <f t="shared" si="14"/>
        <v>350</v>
      </c>
      <c r="N25" s="197">
        <f t="shared" si="8"/>
        <v>340.99872914034421</v>
      </c>
      <c r="O25" s="217">
        <f t="shared" si="9"/>
        <v>2.2222222222222223</v>
      </c>
      <c r="P25" s="173">
        <f t="shared" si="10"/>
        <v>1.3598642855443031</v>
      </c>
      <c r="Q25" s="173">
        <f t="shared" si="11"/>
        <v>0.34366211049669376</v>
      </c>
      <c r="R25" s="173">
        <f t="shared" si="12"/>
        <v>1.3598642855443031</v>
      </c>
    </row>
    <row r="26" spans="3:18">
      <c r="C26" s="170">
        <v>20</v>
      </c>
      <c r="D26" s="5">
        <f t="shared" si="13"/>
        <v>14.4</v>
      </c>
      <c r="E26" s="443">
        <f t="shared" si="0"/>
        <v>16.3415</v>
      </c>
      <c r="F26" s="217">
        <f t="shared" si="1"/>
        <v>0.53157783452336416</v>
      </c>
      <c r="G26" s="172">
        <f t="shared" si="2"/>
        <v>42.526226761869133</v>
      </c>
      <c r="H26" s="217">
        <f t="shared" si="3"/>
        <v>1.7719261150778804</v>
      </c>
      <c r="I26" s="443">
        <f t="shared" si="4"/>
        <v>30.741500000000002</v>
      </c>
      <c r="J26" s="172">
        <f t="shared" si="5"/>
        <v>1.35</v>
      </c>
      <c r="K26" s="172">
        <f t="shared" si="6"/>
        <v>0.9375</v>
      </c>
      <c r="L26" s="172">
        <f t="shared" si="7"/>
        <v>0.82611755346816396</v>
      </c>
      <c r="M26" s="443">
        <f t="shared" si="14"/>
        <v>350</v>
      </c>
      <c r="N26" s="197">
        <f t="shared" si="8"/>
        <v>344.46243677113995</v>
      </c>
      <c r="O26" s="217">
        <f t="shared" si="9"/>
        <v>2.2222222222222223</v>
      </c>
      <c r="P26" s="173">
        <f t="shared" si="10"/>
        <v>1.3598642855443031</v>
      </c>
      <c r="Q26" s="173">
        <f t="shared" si="11"/>
        <v>0.34715287152546243</v>
      </c>
      <c r="R26" s="173">
        <f t="shared" si="12"/>
        <v>1.3598642855443031</v>
      </c>
    </row>
    <row r="27" spans="3:18">
      <c r="C27" s="170">
        <v>21</v>
      </c>
      <c r="D27" s="5">
        <f t="shared" si="13"/>
        <v>14.67</v>
      </c>
      <c r="E27" s="443">
        <f t="shared" si="0"/>
        <v>16.3415</v>
      </c>
      <c r="F27" s="217">
        <f t="shared" si="1"/>
        <v>0.52694967995743514</v>
      </c>
      <c r="G27" s="172">
        <f t="shared" si="2"/>
        <v>42.94639891653096</v>
      </c>
      <c r="H27" s="217">
        <f t="shared" si="3"/>
        <v>1.78943328818879</v>
      </c>
      <c r="I27" s="443">
        <f t="shared" si="4"/>
        <v>31.011499999999998</v>
      </c>
      <c r="J27" s="172">
        <f t="shared" si="5"/>
        <v>1.35</v>
      </c>
      <c r="K27" s="172">
        <f t="shared" si="6"/>
        <v>0.92024539877300626</v>
      </c>
      <c r="L27" s="172">
        <f t="shared" si="7"/>
        <v>0.82611755346816396</v>
      </c>
      <c r="M27" s="443">
        <f t="shared" si="14"/>
        <v>350</v>
      </c>
      <c r="N27" s="197">
        <f t="shared" si="8"/>
        <v>347.86583122390073</v>
      </c>
      <c r="O27" s="217">
        <f t="shared" si="9"/>
        <v>2.2222222222222223</v>
      </c>
      <c r="P27" s="173">
        <f t="shared" si="10"/>
        <v>1.3598642855443031</v>
      </c>
      <c r="Q27" s="173">
        <f t="shared" si="11"/>
        <v>0.35058284829821201</v>
      </c>
      <c r="R27" s="173">
        <f t="shared" si="12"/>
        <v>1.3598642855443031</v>
      </c>
    </row>
    <row r="28" spans="3:18">
      <c r="C28" s="170">
        <v>22</v>
      </c>
      <c r="D28" s="5">
        <f t="shared" si="13"/>
        <v>14.940000000000001</v>
      </c>
      <c r="E28" s="443">
        <f t="shared" si="0"/>
        <v>16.3415</v>
      </c>
      <c r="F28" s="217">
        <f t="shared" si="1"/>
        <v>0.52240141936927575</v>
      </c>
      <c r="G28" s="172">
        <f t="shared" si="2"/>
        <v>43.359317807649887</v>
      </c>
      <c r="H28" s="217">
        <f t="shared" si="3"/>
        <v>1.8066382419854119</v>
      </c>
      <c r="I28" s="443">
        <f t="shared" si="4"/>
        <v>31.281500000000001</v>
      </c>
      <c r="J28" s="172">
        <f t="shared" si="5"/>
        <v>1.35</v>
      </c>
      <c r="K28" s="172">
        <f t="shared" si="6"/>
        <v>0.90361445783132532</v>
      </c>
      <c r="L28" s="172">
        <f t="shared" si="7"/>
        <v>0.82611755346816396</v>
      </c>
      <c r="M28" s="443">
        <f t="shared" si="14"/>
        <v>350</v>
      </c>
      <c r="N28" s="197">
        <f t="shared" si="8"/>
        <v>350</v>
      </c>
      <c r="O28" s="217">
        <f t="shared" si="9"/>
        <v>2.2299077729648511</v>
      </c>
      <c r="P28" s="173">
        <f t="shared" si="10"/>
        <v>1.3645673732306407</v>
      </c>
      <c r="Q28" s="173">
        <f t="shared" si="11"/>
        <v>0.35517776256636158</v>
      </c>
      <c r="R28" s="173">
        <f t="shared" si="12"/>
        <v>1.3598642855443031</v>
      </c>
    </row>
    <row r="29" spans="3:18">
      <c r="C29" s="170">
        <v>23</v>
      </c>
      <c r="D29" s="5">
        <f t="shared" si="13"/>
        <v>15.21</v>
      </c>
      <c r="E29" s="443">
        <f t="shared" si="0"/>
        <v>16.3415</v>
      </c>
      <c r="F29" s="217">
        <f t="shared" si="1"/>
        <v>0.51793100169564044</v>
      </c>
      <c r="G29" s="172">
        <f t="shared" si="2"/>
        <v>43.765169643281617</v>
      </c>
      <c r="H29" s="217">
        <f t="shared" si="3"/>
        <v>1.8235487351367341</v>
      </c>
      <c r="I29" s="443">
        <f t="shared" si="4"/>
        <v>31.551500000000001</v>
      </c>
      <c r="J29" s="172">
        <f t="shared" si="5"/>
        <v>1.35</v>
      </c>
      <c r="K29" s="172">
        <f t="shared" si="6"/>
        <v>0.8875739644970414</v>
      </c>
      <c r="L29" s="172">
        <f t="shared" si="7"/>
        <v>0.82611755346816396</v>
      </c>
      <c r="M29" s="443">
        <f t="shared" si="14"/>
        <v>350</v>
      </c>
      <c r="N29" s="197">
        <f t="shared" si="8"/>
        <v>350</v>
      </c>
      <c r="O29" s="217">
        <f t="shared" si="9"/>
        <v>2.2507801530830545</v>
      </c>
      <c r="P29" s="173">
        <f t="shared" si="10"/>
        <v>1.3773399951553129</v>
      </c>
      <c r="Q29" s="173">
        <f t="shared" si="11"/>
        <v>0.36185794982232705</v>
      </c>
      <c r="R29" s="173">
        <f t="shared" si="12"/>
        <v>1.3598642855443031</v>
      </c>
    </row>
    <row r="30" spans="3:18">
      <c r="C30" s="170">
        <v>24</v>
      </c>
      <c r="D30" s="5">
        <f t="shared" si="13"/>
        <v>15.48</v>
      </c>
      <c r="E30" s="443">
        <f t="shared" si="0"/>
        <v>16.3415</v>
      </c>
      <c r="F30" s="217">
        <f t="shared" si="1"/>
        <v>0.51353644548497079</v>
      </c>
      <c r="G30" s="172">
        <f t="shared" si="2"/>
        <v>44.164134311707485</v>
      </c>
      <c r="H30" s="217">
        <f t="shared" si="3"/>
        <v>1.8401722629878119</v>
      </c>
      <c r="I30" s="443">
        <f t="shared" si="4"/>
        <v>31.8215</v>
      </c>
      <c r="J30" s="172">
        <f t="shared" si="5"/>
        <v>1.35</v>
      </c>
      <c r="K30" s="172">
        <f t="shared" si="6"/>
        <v>0.87209302325581395</v>
      </c>
      <c r="L30" s="172">
        <f t="shared" si="7"/>
        <v>0.82611755346816396</v>
      </c>
      <c r="M30" s="443">
        <f t="shared" si="14"/>
        <v>350</v>
      </c>
      <c r="N30" s="197">
        <f t="shared" si="8"/>
        <v>350</v>
      </c>
      <c r="O30" s="217">
        <f t="shared" si="9"/>
        <v>2.2712983360306711</v>
      </c>
      <c r="P30" s="173">
        <f t="shared" si="10"/>
        <v>1.3898958700429405</v>
      </c>
      <c r="Q30" s="173">
        <f t="shared" si="11"/>
        <v>0.36848543794683547</v>
      </c>
      <c r="R30" s="173">
        <f t="shared" si="12"/>
        <v>1.3598642855443031</v>
      </c>
    </row>
    <row r="31" spans="3:18">
      <c r="C31" s="170">
        <v>25</v>
      </c>
      <c r="D31" s="5">
        <f t="shared" si="13"/>
        <v>15.75</v>
      </c>
      <c r="E31" s="443">
        <f t="shared" si="0"/>
        <v>16.3415</v>
      </c>
      <c r="F31" s="217">
        <f t="shared" si="1"/>
        <v>0.50921583596902609</v>
      </c>
      <c r="G31" s="172">
        <f t="shared" si="2"/>
        <v>44.556385647289787</v>
      </c>
      <c r="H31" s="217">
        <f t="shared" si="3"/>
        <v>1.8565160686370745</v>
      </c>
      <c r="I31" s="443">
        <f t="shared" si="4"/>
        <v>32.091499999999996</v>
      </c>
      <c r="J31" s="172">
        <f t="shared" si="5"/>
        <v>1.35</v>
      </c>
      <c r="K31" s="172">
        <f t="shared" si="6"/>
        <v>0.85714285714285721</v>
      </c>
      <c r="L31" s="172">
        <f t="shared" si="7"/>
        <v>0.82611755346816396</v>
      </c>
      <c r="M31" s="443">
        <f t="shared" si="14"/>
        <v>350</v>
      </c>
      <c r="N31" s="197">
        <f t="shared" si="8"/>
        <v>350</v>
      </c>
      <c r="O31" s="217">
        <f t="shared" si="9"/>
        <v>2.2914712618606172</v>
      </c>
      <c r="P31" s="173">
        <f t="shared" si="10"/>
        <v>1.4022404686599257</v>
      </c>
      <c r="Q31" s="173">
        <f t="shared" si="11"/>
        <v>0.37506003885236361</v>
      </c>
      <c r="R31" s="173">
        <f t="shared" si="12"/>
        <v>1.3598642855443031</v>
      </c>
    </row>
    <row r="32" spans="3:18">
      <c r="C32" s="170">
        <v>26</v>
      </c>
      <c r="D32" s="5">
        <f t="shared" si="13"/>
        <v>16.02</v>
      </c>
      <c r="E32" s="443">
        <f t="shared" si="0"/>
        <v>16.3415</v>
      </c>
      <c r="F32" s="217">
        <f t="shared" si="1"/>
        <v>0.50496732228110564</v>
      </c>
      <c r="G32" s="172">
        <f t="shared" si="2"/>
        <v>44.942091683018404</v>
      </c>
      <c r="H32" s="217">
        <f t="shared" si="3"/>
        <v>1.8725871534591001</v>
      </c>
      <c r="I32" s="443">
        <f t="shared" si="4"/>
        <v>32.361499999999999</v>
      </c>
      <c r="J32" s="172">
        <f t="shared" si="5"/>
        <v>1.35</v>
      </c>
      <c r="K32" s="172">
        <f t="shared" si="6"/>
        <v>0.84269662921348332</v>
      </c>
      <c r="L32" s="172">
        <f t="shared" si="7"/>
        <v>0.82611755346816396</v>
      </c>
      <c r="M32" s="443">
        <f t="shared" si="14"/>
        <v>350</v>
      </c>
      <c r="N32" s="197">
        <f t="shared" si="8"/>
        <v>350</v>
      </c>
      <c r="O32" s="217">
        <f t="shared" si="9"/>
        <v>2.3113075722695173</v>
      </c>
      <c r="P32" s="173">
        <f t="shared" si="10"/>
        <v>1.4143790791968409</v>
      </c>
      <c r="Q32" s="173">
        <f t="shared" si="11"/>
        <v>0.38158162097360077</v>
      </c>
      <c r="R32" s="173">
        <f t="shared" si="12"/>
        <v>1.3598642855443031</v>
      </c>
    </row>
    <row r="33" spans="3:18">
      <c r="C33" s="170">
        <v>27</v>
      </c>
      <c r="D33" s="5">
        <f t="shared" si="13"/>
        <v>16.29</v>
      </c>
      <c r="E33" s="443">
        <f t="shared" si="0"/>
        <v>16.3415</v>
      </c>
      <c r="F33" s="217">
        <f t="shared" si="1"/>
        <v>0.50078911481237454</v>
      </c>
      <c r="G33" s="172">
        <f t="shared" si="2"/>
        <v>45.32141489051989</v>
      </c>
      <c r="H33" s="217">
        <f t="shared" si="3"/>
        <v>1.8883922871049954</v>
      </c>
      <c r="I33" s="443">
        <f t="shared" si="4"/>
        <v>32.631500000000003</v>
      </c>
      <c r="J33" s="172">
        <f t="shared" si="5"/>
        <v>1.35</v>
      </c>
      <c r="K33" s="172">
        <f t="shared" si="6"/>
        <v>0.82872928176795591</v>
      </c>
      <c r="L33" s="172">
        <f t="shared" si="7"/>
        <v>0.82611755346816396</v>
      </c>
      <c r="M33" s="443">
        <f t="shared" si="14"/>
        <v>350</v>
      </c>
      <c r="N33" s="197">
        <f t="shared" si="8"/>
        <v>350</v>
      </c>
      <c r="O33" s="217">
        <f t="shared" si="9"/>
        <v>2.3308156229410231</v>
      </c>
      <c r="P33" s="173">
        <f t="shared" si="10"/>
        <v>1.4263168148217868</v>
      </c>
      <c r="Q33" s="173">
        <f t="shared" si="11"/>
        <v>0.38805010486756786</v>
      </c>
      <c r="R33" s="173">
        <f t="shared" si="12"/>
        <v>1.3598642855443031</v>
      </c>
    </row>
    <row r="34" spans="3:18">
      <c r="C34" s="170">
        <v>28</v>
      </c>
      <c r="D34" s="5">
        <f t="shared" si="13"/>
        <v>16.560000000000002</v>
      </c>
      <c r="E34" s="443">
        <f t="shared" si="0"/>
        <v>16.3415</v>
      </c>
      <c r="F34" s="217">
        <f t="shared" si="1"/>
        <v>0.49667948269835721</v>
      </c>
      <c r="G34" s="172">
        <f t="shared" si="2"/>
        <v>45.694512408248869</v>
      </c>
      <c r="H34" s="217">
        <f t="shared" si="3"/>
        <v>1.9039380170103695</v>
      </c>
      <c r="I34" s="443">
        <f t="shared" si="4"/>
        <v>32.901499999999999</v>
      </c>
      <c r="J34" s="172">
        <f t="shared" si="5"/>
        <v>1.35</v>
      </c>
      <c r="K34" s="172">
        <f t="shared" si="6"/>
        <v>0.81521739130434778</v>
      </c>
      <c r="L34" s="172">
        <f t="shared" si="7"/>
        <v>0.82611755346816396</v>
      </c>
      <c r="M34" s="443">
        <f t="shared" si="14"/>
        <v>350</v>
      </c>
      <c r="N34" s="197">
        <f t="shared" si="8"/>
        <v>350</v>
      </c>
      <c r="O34" s="217">
        <f t="shared" si="9"/>
        <v>2.3500034952813702</v>
      </c>
      <c r="P34" s="173">
        <f t="shared" si="10"/>
        <v>1.4380586208618367</v>
      </c>
      <c r="Q34" s="173">
        <f t="shared" si="11"/>
        <v>0.39446545913104702</v>
      </c>
      <c r="R34" s="173">
        <f t="shared" si="12"/>
        <v>1.3598642855443031</v>
      </c>
    </row>
    <row r="35" spans="3:18">
      <c r="C35" s="170">
        <v>29</v>
      </c>
      <c r="D35" s="5">
        <f t="shared" si="13"/>
        <v>16.829999999999998</v>
      </c>
      <c r="E35" s="443">
        <f t="shared" si="0"/>
        <v>16.3415</v>
      </c>
      <c r="F35" s="217">
        <f t="shared" si="1"/>
        <v>0.49263675142818392</v>
      </c>
      <c r="G35" s="172">
        <f t="shared" si="2"/>
        <v>46.061536258535192</v>
      </c>
      <c r="H35" s="217">
        <f t="shared" si="3"/>
        <v>1.9192306774389662</v>
      </c>
      <c r="I35" s="443">
        <f t="shared" si="4"/>
        <v>33.171499999999995</v>
      </c>
      <c r="J35" s="172">
        <f t="shared" si="5"/>
        <v>1.35</v>
      </c>
      <c r="K35" s="172">
        <f t="shared" si="6"/>
        <v>0.80213903743315529</v>
      </c>
      <c r="L35" s="172">
        <f t="shared" si="7"/>
        <v>0.82611755346816396</v>
      </c>
      <c r="M35" s="443">
        <f t="shared" si="14"/>
        <v>350</v>
      </c>
      <c r="N35" s="197">
        <f t="shared" si="8"/>
        <v>350</v>
      </c>
      <c r="O35" s="217">
        <f t="shared" si="9"/>
        <v>2.3688790075818091</v>
      </c>
      <c r="P35" s="173">
        <f t="shared" si="10"/>
        <v>1.4496092816337605</v>
      </c>
      <c r="Q35" s="173">
        <f t="shared" si="11"/>
        <v>0.40082769661155565</v>
      </c>
      <c r="R35" s="173">
        <f t="shared" si="12"/>
        <v>1.3598642855443031</v>
      </c>
    </row>
    <row r="36" spans="3:18">
      <c r="C36" s="170">
        <v>30</v>
      </c>
      <c r="D36" s="5">
        <f t="shared" si="13"/>
        <v>17.100000000000001</v>
      </c>
      <c r="E36" s="443">
        <f t="shared" si="0"/>
        <v>16.3415</v>
      </c>
      <c r="F36" s="217">
        <f t="shared" si="1"/>
        <v>0.4886593005696514</v>
      </c>
      <c r="G36" s="172">
        <f t="shared" si="2"/>
        <v>46.422633554116885</v>
      </c>
      <c r="H36" s="217">
        <f t="shared" si="3"/>
        <v>1.9342763980882036</v>
      </c>
      <c r="I36" s="443">
        <f t="shared" si="4"/>
        <v>33.441500000000005</v>
      </c>
      <c r="J36" s="172">
        <f t="shared" si="5"/>
        <v>1.35</v>
      </c>
      <c r="K36" s="172">
        <f t="shared" si="6"/>
        <v>0.78947368421052633</v>
      </c>
      <c r="L36" s="172">
        <f t="shared" si="7"/>
        <v>0.82611755346816396</v>
      </c>
      <c r="M36" s="443">
        <f t="shared" si="14"/>
        <v>350</v>
      </c>
      <c r="N36" s="197">
        <f t="shared" si="8"/>
        <v>350</v>
      </c>
      <c r="O36" s="217">
        <f t="shared" si="9"/>
        <v>2.3874497256402969</v>
      </c>
      <c r="P36" s="173">
        <f t="shared" si="10"/>
        <v>1.4609734269438528</v>
      </c>
      <c r="Q36" s="173">
        <f t="shared" si="11"/>
        <v>0.40713687088999495</v>
      </c>
      <c r="R36" s="173">
        <f t="shared" si="12"/>
        <v>1.3598642855443031</v>
      </c>
    </row>
    <row r="37" spans="3:18">
      <c r="C37" s="170">
        <v>31</v>
      </c>
      <c r="D37" s="5">
        <f t="shared" si="13"/>
        <v>17.369999999999997</v>
      </c>
      <c r="E37" s="443">
        <f t="shared" si="0"/>
        <v>16.3415</v>
      </c>
      <c r="F37" s="217">
        <f t="shared" si="1"/>
        <v>0.48474556160360704</v>
      </c>
      <c r="G37" s="172">
        <f t="shared" si="2"/>
        <v>46.777946694748074</v>
      </c>
      <c r="H37" s="217">
        <f t="shared" si="3"/>
        <v>1.9490811122811698</v>
      </c>
      <c r="I37" s="443">
        <f t="shared" si="4"/>
        <v>33.711500000000001</v>
      </c>
      <c r="J37" s="172">
        <f t="shared" si="5"/>
        <v>1.35</v>
      </c>
      <c r="K37" s="172">
        <f t="shared" si="6"/>
        <v>0.77720207253886031</v>
      </c>
      <c r="L37" s="172">
        <f t="shared" si="7"/>
        <v>0.82611755346816396</v>
      </c>
      <c r="M37" s="443">
        <f t="shared" si="14"/>
        <v>350</v>
      </c>
      <c r="N37" s="197">
        <f t="shared" si="8"/>
        <v>350</v>
      </c>
      <c r="O37" s="217">
        <f t="shared" si="9"/>
        <v>2.4057229728727583</v>
      </c>
      <c r="P37" s="173">
        <f t="shared" si="10"/>
        <v>1.4721555382754083</v>
      </c>
      <c r="Q37" s="173">
        <f t="shared" si="11"/>
        <v>0.41339307301483874</v>
      </c>
      <c r="R37" s="173">
        <f t="shared" si="12"/>
        <v>1.3598642855443031</v>
      </c>
    </row>
    <row r="38" spans="3:18">
      <c r="C38" s="170">
        <v>32</v>
      </c>
      <c r="D38" s="5">
        <f t="shared" si="13"/>
        <v>17.64</v>
      </c>
      <c r="E38" s="443">
        <f t="shared" ref="E38:E69" si="15">(Vout+Vfwd1)*Nps</f>
        <v>16.3415</v>
      </c>
      <c r="F38" s="217">
        <f t="shared" ref="F38:F69" si="16">(Vout+Vfwd1)*Nps/((Vout+Vfwd1)*Nps+D38)</f>
        <v>0.48089401586157177</v>
      </c>
      <c r="G38" s="172">
        <f t="shared" ref="G38:G69" si="17">F38*D38*Isw_max*0.5*Efficiency</f>
        <v>47.127613554434035</v>
      </c>
      <c r="H38" s="217">
        <f t="shared" ref="H38:H69" si="18">G38/Vout</f>
        <v>1.9636505647680849</v>
      </c>
      <c r="I38" s="443">
        <f t="shared" ref="I38:I69" si="19">(Vout+Vfwd1)*Nps+D38</f>
        <v>33.981499999999997</v>
      </c>
      <c r="J38" s="172">
        <f t="shared" ref="J38:J69" si="20">MIN(2*Vout*Iout/(Efficiency*D38*F38), 1.35)</f>
        <v>1.35</v>
      </c>
      <c r="K38" s="172">
        <f t="shared" ref="K38:K69" si="21">L*J38/D38*1000000</f>
        <v>0.76530612244897966</v>
      </c>
      <c r="L38" s="172">
        <f t="shared" ref="L38:L69" si="22">L*J38/((Vout+Vfwd1)*Nps)*1000000</f>
        <v>0.82611755346816396</v>
      </c>
      <c r="M38" s="443">
        <f t="shared" si="14"/>
        <v>350</v>
      </c>
      <c r="N38" s="197">
        <f t="shared" ref="N38:N69" si="23">IF(1/((350000*L)*(1/D38+1/E38))&gt;Isw_min, 350, 0.001/((Isw_min*L)*(1/D38+1/E38)))</f>
        <v>350</v>
      </c>
      <c r="O38" s="217">
        <f t="shared" ref="O38:O69" si="24">1/((N38*1000*L)*(1/D38+1/E38))</f>
        <v>2.4237058399423215</v>
      </c>
      <c r="P38" s="173">
        <f t="shared" ref="P38:P69" si="25">L*O38/E38*1000000</f>
        <v>1.4831599546812237</v>
      </c>
      <c r="Q38" s="173">
        <f t="shared" ref="Q38:Q69" si="26">0.5*P38*O38*Nps*N38/1000</f>
        <v>0.41959642846932249</v>
      </c>
      <c r="R38" s="173">
        <f t="shared" ref="R38:R69" si="27">L*Isw_min/E38*1000000</f>
        <v>1.3598642855443031</v>
      </c>
    </row>
    <row r="39" spans="3:18">
      <c r="C39" s="170">
        <v>33</v>
      </c>
      <c r="D39" s="5">
        <f t="shared" ref="D39:D70" si="28">C39/100*(VIN_max-VIN_min)+VIN_min</f>
        <v>17.91</v>
      </c>
      <c r="E39" s="443">
        <f t="shared" si="15"/>
        <v>16.3415</v>
      </c>
      <c r="F39" s="217">
        <f t="shared" si="16"/>
        <v>0.47710319256090972</v>
      </c>
      <c r="G39" s="172">
        <f t="shared" si="17"/>
        <v>47.471767659810517</v>
      </c>
      <c r="H39" s="217">
        <f t="shared" si="18"/>
        <v>1.9779903191587715</v>
      </c>
      <c r="I39" s="443">
        <f t="shared" si="19"/>
        <v>34.2515</v>
      </c>
      <c r="J39" s="172">
        <f t="shared" si="20"/>
        <v>1.35</v>
      </c>
      <c r="K39" s="172">
        <f t="shared" si="21"/>
        <v>0.75376884422110557</v>
      </c>
      <c r="L39" s="172">
        <f t="shared" si="22"/>
        <v>0.82611755346816396</v>
      </c>
      <c r="M39" s="443">
        <f t="shared" si="14"/>
        <v>350</v>
      </c>
      <c r="N39" s="197">
        <f t="shared" si="23"/>
        <v>350</v>
      </c>
      <c r="O39" s="217">
        <f t="shared" si="24"/>
        <v>2.4414051939331123</v>
      </c>
      <c r="P39" s="173">
        <f t="shared" si="25"/>
        <v>1.493990878397401</v>
      </c>
      <c r="Q39" s="173">
        <f t="shared" si="26"/>
        <v>0.42574709435454139</v>
      </c>
      <c r="R39" s="173">
        <f t="shared" si="27"/>
        <v>1.3598642855443031</v>
      </c>
    </row>
    <row r="40" spans="3:18">
      <c r="C40" s="170">
        <v>34</v>
      </c>
      <c r="D40" s="5">
        <f t="shared" si="28"/>
        <v>18.18</v>
      </c>
      <c r="E40" s="443">
        <f t="shared" si="15"/>
        <v>16.3415</v>
      </c>
      <c r="F40" s="217">
        <f t="shared" si="16"/>
        <v>0.47337166693220162</v>
      </c>
      <c r="G40" s="172">
        <f t="shared" si="17"/>
        <v>47.810538360152357</v>
      </c>
      <c r="H40" s="217">
        <f t="shared" si="18"/>
        <v>1.9921057650063483</v>
      </c>
      <c r="I40" s="443">
        <f t="shared" si="19"/>
        <v>34.521500000000003</v>
      </c>
      <c r="J40" s="172">
        <f t="shared" si="20"/>
        <v>1.35</v>
      </c>
      <c r="K40" s="172">
        <f t="shared" si="21"/>
        <v>0.74257425742574268</v>
      </c>
      <c r="L40" s="172">
        <f t="shared" si="22"/>
        <v>0.82611755346816396</v>
      </c>
      <c r="M40" s="443">
        <f t="shared" si="14"/>
        <v>350</v>
      </c>
      <c r="N40" s="197">
        <f t="shared" si="23"/>
        <v>350</v>
      </c>
      <c r="O40" s="217">
        <f t="shared" si="24"/>
        <v>2.4588276870935499</v>
      </c>
      <c r="P40" s="173">
        <f t="shared" si="25"/>
        <v>1.5046523801937095</v>
      </c>
      <c r="Q40" s="173">
        <f t="shared" si="26"/>
        <v>0.4318452567727013</v>
      </c>
      <c r="R40" s="173">
        <f t="shared" si="27"/>
        <v>1.3598642855443031</v>
      </c>
    </row>
    <row r="41" spans="3:18">
      <c r="C41" s="170">
        <v>35</v>
      </c>
      <c r="D41" s="5">
        <f t="shared" si="28"/>
        <v>18.45</v>
      </c>
      <c r="E41" s="443">
        <f t="shared" si="15"/>
        <v>16.3415</v>
      </c>
      <c r="F41" s="217">
        <f t="shared" si="16"/>
        <v>0.46969805843381285</v>
      </c>
      <c r="G41" s="172">
        <f t="shared" si="17"/>
        <v>48.144050989465811</v>
      </c>
      <c r="H41" s="217">
        <f t="shared" si="18"/>
        <v>2.0060021245610753</v>
      </c>
      <c r="I41" s="443">
        <f t="shared" si="19"/>
        <v>34.791499999999999</v>
      </c>
      <c r="J41" s="172">
        <f t="shared" si="20"/>
        <v>1.35</v>
      </c>
      <c r="K41" s="172">
        <f t="shared" si="21"/>
        <v>0.73170731707317083</v>
      </c>
      <c r="L41" s="172">
        <f t="shared" si="22"/>
        <v>0.82611755346816396</v>
      </c>
      <c r="M41" s="443">
        <f t="shared" si="14"/>
        <v>350</v>
      </c>
      <c r="N41" s="197">
        <f t="shared" si="23"/>
        <v>350</v>
      </c>
      <c r="O41" s="217">
        <f t="shared" si="24"/>
        <v>2.4759797651725273</v>
      </c>
      <c r="P41" s="173">
        <f t="shared" si="25"/>
        <v>1.5151484044748202</v>
      </c>
      <c r="Q41" s="173">
        <f t="shared" si="26"/>
        <v>0.43789112839598598</v>
      </c>
      <c r="R41" s="173">
        <f t="shared" si="27"/>
        <v>1.3598642855443031</v>
      </c>
    </row>
    <row r="42" spans="3:18">
      <c r="C42" s="170">
        <v>36</v>
      </c>
      <c r="D42" s="5">
        <f t="shared" si="28"/>
        <v>18.72</v>
      </c>
      <c r="E42" s="443">
        <f t="shared" si="15"/>
        <v>16.3415</v>
      </c>
      <c r="F42" s="217">
        <f t="shared" si="16"/>
        <v>0.46608102904895687</v>
      </c>
      <c r="G42" s="172">
        <f t="shared" si="17"/>
        <v>48.472427021091512</v>
      </c>
      <c r="H42" s="217">
        <f t="shared" si="18"/>
        <v>2.0196844592121463</v>
      </c>
      <c r="I42" s="443">
        <f t="shared" si="19"/>
        <v>35.061499999999995</v>
      </c>
      <c r="J42" s="172">
        <f t="shared" si="20"/>
        <v>1.35</v>
      </c>
      <c r="K42" s="172">
        <f t="shared" si="21"/>
        <v>0.72115384615384626</v>
      </c>
      <c r="L42" s="172">
        <f t="shared" si="22"/>
        <v>0.82611755346816396</v>
      </c>
      <c r="M42" s="443">
        <f t="shared" si="14"/>
        <v>350</v>
      </c>
      <c r="N42" s="197">
        <f t="shared" si="23"/>
        <v>350</v>
      </c>
      <c r="O42" s="217">
        <f t="shared" si="24"/>
        <v>2.4928676753704204</v>
      </c>
      <c r="P42" s="173">
        <f t="shared" si="25"/>
        <v>1.5254827741458377</v>
      </c>
      <c r="Q42" s="173">
        <f t="shared" si="26"/>
        <v>0.4438849462076232</v>
      </c>
      <c r="R42" s="173">
        <f t="shared" si="27"/>
        <v>1.3598642855443031</v>
      </c>
    </row>
    <row r="43" spans="3:18">
      <c r="C43" s="170">
        <v>37</v>
      </c>
      <c r="D43" s="5">
        <f t="shared" si="28"/>
        <v>18.990000000000002</v>
      </c>
      <c r="E43" s="443">
        <f t="shared" si="15"/>
        <v>16.3415</v>
      </c>
      <c r="F43" s="217">
        <f t="shared" si="16"/>
        <v>0.46251928166084083</v>
      </c>
      <c r="G43" s="172">
        <f t="shared" si="17"/>
        <v>48.79578421521871</v>
      </c>
      <c r="H43" s="217">
        <f t="shared" si="18"/>
        <v>2.0331576756341128</v>
      </c>
      <c r="I43" s="443">
        <f t="shared" si="19"/>
        <v>35.331500000000005</v>
      </c>
      <c r="J43" s="172">
        <f t="shared" si="20"/>
        <v>1.35</v>
      </c>
      <c r="K43" s="172">
        <f t="shared" si="21"/>
        <v>0.71090047393364919</v>
      </c>
      <c r="L43" s="172">
        <f t="shared" si="22"/>
        <v>0.82611755346816396</v>
      </c>
      <c r="M43" s="443">
        <f t="shared" si="14"/>
        <v>350</v>
      </c>
      <c r="N43" s="197">
        <f t="shared" si="23"/>
        <v>350</v>
      </c>
      <c r="O43" s="217">
        <f t="shared" si="24"/>
        <v>2.5094974739255336</v>
      </c>
      <c r="P43" s="173">
        <f t="shared" si="25"/>
        <v>1.5356591952547403</v>
      </c>
      <c r="Q43" s="173">
        <f t="shared" si="26"/>
        <v>0.44982696940275968</v>
      </c>
      <c r="R43" s="173">
        <f t="shared" si="27"/>
        <v>1.3598642855443031</v>
      </c>
    </row>
    <row r="44" spans="3:18">
      <c r="C44" s="170">
        <v>38</v>
      </c>
      <c r="D44" s="5">
        <f t="shared" si="28"/>
        <v>19.259999999999998</v>
      </c>
      <c r="E44" s="443">
        <f t="shared" si="15"/>
        <v>16.3415</v>
      </c>
      <c r="F44" s="217">
        <f t="shared" si="16"/>
        <v>0.45901155850174852</v>
      </c>
      <c r="G44" s="172">
        <f t="shared" si="17"/>
        <v>49.114236759687081</v>
      </c>
      <c r="H44" s="217">
        <f t="shared" si="18"/>
        <v>2.0464265316536285</v>
      </c>
      <c r="I44" s="443">
        <f t="shared" si="19"/>
        <v>35.601500000000001</v>
      </c>
      <c r="J44" s="172">
        <f t="shared" si="20"/>
        <v>1.35</v>
      </c>
      <c r="K44" s="172">
        <f t="shared" si="21"/>
        <v>0.70093457943925241</v>
      </c>
      <c r="L44" s="172">
        <f t="shared" si="22"/>
        <v>0.82611755346816396</v>
      </c>
      <c r="M44" s="443">
        <f t="shared" si="14"/>
        <v>350</v>
      </c>
      <c r="N44" s="197">
        <f t="shared" si="23"/>
        <v>350</v>
      </c>
      <c r="O44" s="217">
        <f t="shared" si="24"/>
        <v>2.5258750333553355</v>
      </c>
      <c r="P44" s="173">
        <f t="shared" si="25"/>
        <v>1.5456812614235755</v>
      </c>
      <c r="Q44" s="173">
        <f t="shared" si="26"/>
        <v>0.45571747743770136</v>
      </c>
      <c r="R44" s="173">
        <f t="shared" si="27"/>
        <v>1.3598642855443031</v>
      </c>
    </row>
    <row r="45" spans="3:18">
      <c r="C45" s="170">
        <v>39</v>
      </c>
      <c r="D45" s="5">
        <f t="shared" si="28"/>
        <v>19.53</v>
      </c>
      <c r="E45" s="443">
        <f t="shared" si="15"/>
        <v>16.3415</v>
      </c>
      <c r="F45" s="217">
        <f t="shared" si="16"/>
        <v>0.45555663967216314</v>
      </c>
      <c r="G45" s="172">
        <f t="shared" si="17"/>
        <v>49.427895404429705</v>
      </c>
      <c r="H45" s="217">
        <f t="shared" si="18"/>
        <v>2.0594956418512376</v>
      </c>
      <c r="I45" s="443">
        <f t="shared" si="19"/>
        <v>35.871499999999997</v>
      </c>
      <c r="J45" s="172">
        <f t="shared" si="20"/>
        <v>1.35</v>
      </c>
      <c r="K45" s="172">
        <f t="shared" si="21"/>
        <v>0.69124423963133641</v>
      </c>
      <c r="L45" s="172">
        <f t="shared" si="22"/>
        <v>0.82611755346816396</v>
      </c>
      <c r="M45" s="443">
        <f t="shared" si="14"/>
        <v>350</v>
      </c>
      <c r="N45" s="197">
        <f t="shared" si="23"/>
        <v>350</v>
      </c>
      <c r="O45" s="217">
        <f t="shared" si="24"/>
        <v>2.54200604937067</v>
      </c>
      <c r="P45" s="173">
        <f t="shared" si="25"/>
        <v>1.5555524580795337</v>
      </c>
      <c r="Q45" s="173">
        <f t="shared" si="26"/>
        <v>0.46155676821693437</v>
      </c>
      <c r="R45" s="173">
        <f t="shared" si="27"/>
        <v>1.3598642855443031</v>
      </c>
    </row>
    <row r="46" spans="3:18">
      <c r="C46" s="170">
        <v>40</v>
      </c>
      <c r="D46" s="5">
        <f t="shared" si="28"/>
        <v>19.8</v>
      </c>
      <c r="E46" s="443">
        <f t="shared" si="15"/>
        <v>16.3415</v>
      </c>
      <c r="F46" s="217">
        <f t="shared" si="16"/>
        <v>0.45215334172627036</v>
      </c>
      <c r="G46" s="172">
        <f t="shared" si="17"/>
        <v>49.736867589889741</v>
      </c>
      <c r="H46" s="217">
        <f t="shared" si="18"/>
        <v>2.0723694829120727</v>
      </c>
      <c r="I46" s="443">
        <f t="shared" si="19"/>
        <v>36.141500000000001</v>
      </c>
      <c r="J46" s="172">
        <f t="shared" si="20"/>
        <v>1.35</v>
      </c>
      <c r="K46" s="172">
        <f t="shared" si="21"/>
        <v>0.68181818181818177</v>
      </c>
      <c r="L46" s="172">
        <f t="shared" si="22"/>
        <v>0.82611755346816396</v>
      </c>
      <c r="M46" s="443">
        <f t="shared" si="14"/>
        <v>350</v>
      </c>
      <c r="N46" s="197">
        <f t="shared" si="23"/>
        <v>350</v>
      </c>
      <c r="O46" s="217">
        <f t="shared" si="24"/>
        <v>2.5578960474800434</v>
      </c>
      <c r="P46" s="173">
        <f t="shared" si="25"/>
        <v>1.5652761664963704</v>
      </c>
      <c r="Q46" s="173">
        <f t="shared" si="26"/>
        <v>0.467345156408145</v>
      </c>
      <c r="R46" s="173">
        <f t="shared" si="27"/>
        <v>1.3598642855443031</v>
      </c>
    </row>
    <row r="47" spans="3:18">
      <c r="C47" s="170">
        <v>41</v>
      </c>
      <c r="D47" s="5">
        <f t="shared" si="28"/>
        <v>20.07</v>
      </c>
      <c r="E47" s="443">
        <f t="shared" si="15"/>
        <v>16.3415</v>
      </c>
      <c r="F47" s="217">
        <f t="shared" si="16"/>
        <v>0.44880051632039325</v>
      </c>
      <c r="G47" s="172">
        <f t="shared" si="17"/>
        <v>50.041257569723847</v>
      </c>
      <c r="H47" s="217">
        <f t="shared" si="18"/>
        <v>2.0850523987384935</v>
      </c>
      <c r="I47" s="443">
        <f t="shared" si="19"/>
        <v>36.411500000000004</v>
      </c>
      <c r="J47" s="172">
        <f t="shared" si="20"/>
        <v>1.35</v>
      </c>
      <c r="K47" s="172">
        <f t="shared" si="21"/>
        <v>0.67264573991031396</v>
      </c>
      <c r="L47" s="172">
        <f t="shared" si="22"/>
        <v>0.82611755346816396</v>
      </c>
      <c r="M47" s="443">
        <f t="shared" si="14"/>
        <v>350</v>
      </c>
      <c r="N47" s="197">
        <f t="shared" si="23"/>
        <v>350</v>
      </c>
      <c r="O47" s="217">
        <f t="shared" si="24"/>
        <v>2.5735503893000837</v>
      </c>
      <c r="P47" s="173">
        <f t="shared" si="25"/>
        <v>1.5748556676560193</v>
      </c>
      <c r="Q47" s="173">
        <f t="shared" si="26"/>
        <v>0.47308297187618659</v>
      </c>
      <c r="R47" s="173">
        <f t="shared" si="27"/>
        <v>1.3598642855443031</v>
      </c>
    </row>
    <row r="48" spans="3:18">
      <c r="C48" s="170">
        <v>42</v>
      </c>
      <c r="D48" s="5">
        <f t="shared" si="28"/>
        <v>20.34</v>
      </c>
      <c r="E48" s="443">
        <f t="shared" si="15"/>
        <v>16.3415</v>
      </c>
      <c r="F48" s="217">
        <f t="shared" si="16"/>
        <v>0.4454970489211183</v>
      </c>
      <c r="G48" s="172">
        <f t="shared" si="17"/>
        <v>50.341166528086369</v>
      </c>
      <c r="H48" s="217">
        <f t="shared" si="18"/>
        <v>2.0975486053369319</v>
      </c>
      <c r="I48" s="443">
        <f t="shared" si="19"/>
        <v>36.6815</v>
      </c>
      <c r="J48" s="172">
        <f t="shared" si="20"/>
        <v>1.35</v>
      </c>
      <c r="K48" s="172">
        <f t="shared" si="21"/>
        <v>0.66371681415929207</v>
      </c>
      <c r="L48" s="172">
        <f t="shared" si="22"/>
        <v>0.82611755346816396</v>
      </c>
      <c r="M48" s="443">
        <f t="shared" si="14"/>
        <v>350</v>
      </c>
      <c r="N48" s="197">
        <f t="shared" si="23"/>
        <v>350</v>
      </c>
      <c r="O48" s="217">
        <f t="shared" si="24"/>
        <v>2.5889742785872984</v>
      </c>
      <c r="P48" s="173">
        <f t="shared" si="25"/>
        <v>1.584294145939662</v>
      </c>
      <c r="Q48" s="173">
        <f t="shared" si="26"/>
        <v>0.47877055822761594</v>
      </c>
      <c r="R48" s="173">
        <f t="shared" si="27"/>
        <v>1.3598642855443031</v>
      </c>
    </row>
    <row r="49" spans="3:18">
      <c r="C49" s="170">
        <v>43</v>
      </c>
      <c r="D49" s="5">
        <f t="shared" si="28"/>
        <v>20.61</v>
      </c>
      <c r="E49" s="443">
        <f t="shared" si="15"/>
        <v>16.3415</v>
      </c>
      <c r="F49" s="217">
        <f t="shared" si="16"/>
        <v>0.44224185757005807</v>
      </c>
      <c r="G49" s="172">
        <f t="shared" si="17"/>
        <v>50.636692691771643</v>
      </c>
      <c r="H49" s="217">
        <f t="shared" si="18"/>
        <v>2.1098621954904853</v>
      </c>
      <c r="I49" s="443">
        <f t="shared" si="19"/>
        <v>36.951499999999996</v>
      </c>
      <c r="J49" s="172">
        <f t="shared" si="20"/>
        <v>1.35</v>
      </c>
      <c r="K49" s="172">
        <f t="shared" si="21"/>
        <v>0.65502183406113546</v>
      </c>
      <c r="L49" s="172">
        <f t="shared" si="22"/>
        <v>0.82611755346816396</v>
      </c>
      <c r="M49" s="443">
        <f t="shared" si="14"/>
        <v>350</v>
      </c>
      <c r="N49" s="197">
        <f t="shared" si="23"/>
        <v>350</v>
      </c>
      <c r="O49" s="217">
        <f t="shared" si="24"/>
        <v>2.6041727670053985</v>
      </c>
      <c r="P49" s="173">
        <f t="shared" si="25"/>
        <v>1.5935946926569768</v>
      </c>
      <c r="Q49" s="173">
        <f t="shared" si="26"/>
        <v>0.48440827145803966</v>
      </c>
      <c r="R49" s="173">
        <f t="shared" si="27"/>
        <v>1.3598642855443031</v>
      </c>
    </row>
    <row r="50" spans="3:18">
      <c r="C50" s="170">
        <v>44</v>
      </c>
      <c r="D50" s="5">
        <f t="shared" si="28"/>
        <v>20.880000000000003</v>
      </c>
      <c r="E50" s="443">
        <f t="shared" si="15"/>
        <v>16.3415</v>
      </c>
      <c r="F50" s="217">
        <f t="shared" si="16"/>
        <v>0.43903389170237622</v>
      </c>
      <c r="G50" s="172">
        <f t="shared" si="17"/>
        <v>50.92793143747565</v>
      </c>
      <c r="H50" s="217">
        <f t="shared" si="18"/>
        <v>2.1219971432281519</v>
      </c>
      <c r="I50" s="443">
        <f t="shared" si="19"/>
        <v>37.221500000000006</v>
      </c>
      <c r="J50" s="172">
        <f t="shared" si="20"/>
        <v>1.35</v>
      </c>
      <c r="K50" s="172">
        <f t="shared" si="21"/>
        <v>0.64655172413793105</v>
      </c>
      <c r="L50" s="172">
        <f t="shared" si="22"/>
        <v>0.82611755346816396</v>
      </c>
      <c r="M50" s="443">
        <f t="shared" si="14"/>
        <v>350</v>
      </c>
      <c r="N50" s="197">
        <f t="shared" si="23"/>
        <v>350</v>
      </c>
      <c r="O50" s="217">
        <f t="shared" si="24"/>
        <v>2.619150759641605</v>
      </c>
      <c r="P50" s="173">
        <f t="shared" si="25"/>
        <v>1.6027603094217819</v>
      </c>
      <c r="Q50" s="173">
        <f t="shared" si="26"/>
        <v>0.4899964786950855</v>
      </c>
      <c r="R50" s="173">
        <f t="shared" si="27"/>
        <v>1.3598642855443031</v>
      </c>
    </row>
    <row r="51" spans="3:18">
      <c r="C51" s="170">
        <v>45</v>
      </c>
      <c r="D51" s="5">
        <f t="shared" si="28"/>
        <v>21.15</v>
      </c>
      <c r="E51" s="443">
        <f t="shared" si="15"/>
        <v>16.3415</v>
      </c>
      <c r="F51" s="217">
        <f t="shared" si="16"/>
        <v>0.43587213101636368</v>
      </c>
      <c r="G51" s="172">
        <f t="shared" si="17"/>
        <v>51.21497539442273</v>
      </c>
      <c r="H51" s="217">
        <f t="shared" si="18"/>
        <v>2.1339573081009471</v>
      </c>
      <c r="I51" s="443">
        <f t="shared" si="19"/>
        <v>37.491500000000002</v>
      </c>
      <c r="J51" s="172">
        <f t="shared" si="20"/>
        <v>1.35</v>
      </c>
      <c r="K51" s="172">
        <f t="shared" si="21"/>
        <v>0.63829787234042556</v>
      </c>
      <c r="L51" s="172">
        <f t="shared" si="22"/>
        <v>0.82611755346816396</v>
      </c>
      <c r="M51" s="443">
        <f t="shared" si="14"/>
        <v>350</v>
      </c>
      <c r="N51" s="197">
        <f t="shared" si="23"/>
        <v>350</v>
      </c>
      <c r="O51" s="217">
        <f t="shared" si="24"/>
        <v>2.6339130202845973</v>
      </c>
      <c r="P51" s="173">
        <f t="shared" si="25"/>
        <v>1.6117939113818176</v>
      </c>
      <c r="Q51" s="173">
        <f t="shared" si="26"/>
        <v>0.4955355570303378</v>
      </c>
      <c r="R51" s="173">
        <f t="shared" si="27"/>
        <v>1.3598642855443031</v>
      </c>
    </row>
    <row r="52" spans="3:18">
      <c r="C52" s="170">
        <v>46</v>
      </c>
      <c r="D52" s="5">
        <f t="shared" si="28"/>
        <v>21.42</v>
      </c>
      <c r="E52" s="443">
        <f t="shared" si="15"/>
        <v>16.3415</v>
      </c>
      <c r="F52" s="217">
        <f t="shared" si="16"/>
        <v>0.43275558439150991</v>
      </c>
      <c r="G52" s="172">
        <f t="shared" si="17"/>
        <v>51.497914542589676</v>
      </c>
      <c r="H52" s="217">
        <f t="shared" si="18"/>
        <v>2.14574643927457</v>
      </c>
      <c r="I52" s="443">
        <f t="shared" si="19"/>
        <v>37.761499999999998</v>
      </c>
      <c r="J52" s="172">
        <f t="shared" si="20"/>
        <v>1.35</v>
      </c>
      <c r="K52" s="172">
        <f t="shared" si="21"/>
        <v>0.63025210084033612</v>
      </c>
      <c r="L52" s="172">
        <f t="shared" si="22"/>
        <v>0.82611755346816396</v>
      </c>
      <c r="M52" s="443">
        <f t="shared" si="14"/>
        <v>350</v>
      </c>
      <c r="N52" s="197">
        <f t="shared" si="23"/>
        <v>350</v>
      </c>
      <c r="O52" s="217">
        <f t="shared" si="24"/>
        <v>2.6484641764760402</v>
      </c>
      <c r="P52" s="173">
        <f t="shared" si="25"/>
        <v>1.6206983303099718</v>
      </c>
      <c r="Q52" s="173">
        <f t="shared" si="26"/>
        <v>0.50102589243406515</v>
      </c>
      <c r="R52" s="173">
        <f t="shared" si="27"/>
        <v>1.3598642855443031</v>
      </c>
    </row>
    <row r="53" spans="3:18">
      <c r="C53" s="170">
        <v>47</v>
      </c>
      <c r="D53" s="5">
        <f t="shared" si="28"/>
        <v>21.689999999999998</v>
      </c>
      <c r="E53" s="443">
        <f t="shared" si="15"/>
        <v>16.3415</v>
      </c>
      <c r="F53" s="217">
        <f t="shared" si="16"/>
        <v>0.42968328885266166</v>
      </c>
      <c r="G53" s="172">
        <f t="shared" si="17"/>
        <v>51.776836306745722</v>
      </c>
      <c r="H53" s="217">
        <f t="shared" si="18"/>
        <v>2.1573681794477384</v>
      </c>
      <c r="I53" s="443">
        <f t="shared" si="19"/>
        <v>38.031499999999994</v>
      </c>
      <c r="J53" s="172">
        <f t="shared" si="20"/>
        <v>1.35</v>
      </c>
      <c r="K53" s="172">
        <f t="shared" si="21"/>
        <v>0.6224066390041495</v>
      </c>
      <c r="L53" s="172">
        <f t="shared" si="22"/>
        <v>0.82611755346816396</v>
      </c>
      <c r="M53" s="443">
        <f t="shared" si="14"/>
        <v>350</v>
      </c>
      <c r="N53" s="197">
        <f t="shared" si="23"/>
        <v>350</v>
      </c>
      <c r="O53" s="217">
        <f t="shared" si="24"/>
        <v>2.662808724346923</v>
      </c>
      <c r="P53" s="173">
        <f t="shared" si="25"/>
        <v>1.6294763175638241</v>
      </c>
      <c r="Q53" s="173">
        <f t="shared" si="26"/>
        <v>0.50646787874700627</v>
      </c>
      <c r="R53" s="173">
        <f t="shared" si="27"/>
        <v>1.3598642855443031</v>
      </c>
    </row>
    <row r="54" spans="3:18">
      <c r="C54" s="170">
        <v>48</v>
      </c>
      <c r="D54" s="5">
        <f t="shared" si="28"/>
        <v>21.96</v>
      </c>
      <c r="E54" s="443">
        <f t="shared" si="15"/>
        <v>16.3415</v>
      </c>
      <c r="F54" s="217">
        <f t="shared" si="16"/>
        <v>0.42665430857799297</v>
      </c>
      <c r="G54" s="172">
        <f t="shared" si="17"/>
        <v>52.051825646515148</v>
      </c>
      <c r="H54" s="217">
        <f t="shared" si="18"/>
        <v>2.168826068604798</v>
      </c>
      <c r="I54" s="443">
        <f t="shared" si="19"/>
        <v>38.301500000000004</v>
      </c>
      <c r="J54" s="172">
        <f t="shared" si="20"/>
        <v>1.35</v>
      </c>
      <c r="K54" s="172">
        <f t="shared" si="21"/>
        <v>0.61475409836065575</v>
      </c>
      <c r="L54" s="172">
        <f t="shared" si="22"/>
        <v>0.82611755346816396</v>
      </c>
      <c r="M54" s="443">
        <f t="shared" si="14"/>
        <v>350</v>
      </c>
      <c r="N54" s="197">
        <f t="shared" si="23"/>
        <v>350</v>
      </c>
      <c r="O54" s="217">
        <f t="shared" si="24"/>
        <v>2.6769510332493502</v>
      </c>
      <c r="P54" s="173">
        <f t="shared" si="25"/>
        <v>1.63813054692002</v>
      </c>
      <c r="Q54" s="173">
        <f t="shared" si="26"/>
        <v>0.51186191674391179</v>
      </c>
      <c r="R54" s="173">
        <f t="shared" si="27"/>
        <v>1.3598642855443031</v>
      </c>
    </row>
    <row r="55" spans="3:18">
      <c r="C55" s="170">
        <v>49</v>
      </c>
      <c r="D55" s="5">
        <f t="shared" si="28"/>
        <v>22.23</v>
      </c>
      <c r="E55" s="443">
        <f t="shared" si="15"/>
        <v>16.3415</v>
      </c>
      <c r="F55" s="217">
        <f t="shared" si="16"/>
        <v>0.42366773394864082</v>
      </c>
      <c r="G55" s="172">
        <f t="shared" si="17"/>
        <v>52.322965142657146</v>
      </c>
      <c r="H55" s="217">
        <f t="shared" si="18"/>
        <v>2.1801235476107146</v>
      </c>
      <c r="I55" s="443">
        <f t="shared" si="19"/>
        <v>38.5715</v>
      </c>
      <c r="J55" s="172">
        <f t="shared" si="20"/>
        <v>1.35</v>
      </c>
      <c r="K55" s="172">
        <f t="shared" si="21"/>
        <v>0.60728744939271262</v>
      </c>
      <c r="L55" s="172">
        <f t="shared" si="22"/>
        <v>0.82611755346816396</v>
      </c>
      <c r="M55" s="443">
        <f t="shared" si="14"/>
        <v>350</v>
      </c>
      <c r="N55" s="197">
        <f t="shared" si="23"/>
        <v>350</v>
      </c>
      <c r="O55" s="217">
        <f t="shared" si="24"/>
        <v>2.6908953501937956</v>
      </c>
      <c r="P55" s="173">
        <f t="shared" si="25"/>
        <v>1.6466636172895976</v>
      </c>
      <c r="Q55" s="173">
        <f t="shared" si="26"/>
        <v>0.51720841326389944</v>
      </c>
      <c r="R55" s="173">
        <f t="shared" si="27"/>
        <v>1.3598642855443031</v>
      </c>
    </row>
    <row r="56" spans="3:18">
      <c r="C56" s="170">
        <v>50</v>
      </c>
      <c r="D56" s="5">
        <f t="shared" si="28"/>
        <v>22.5</v>
      </c>
      <c r="E56" s="443">
        <f t="shared" si="15"/>
        <v>16.3415</v>
      </c>
      <c r="F56" s="217">
        <f t="shared" si="16"/>
        <v>0.42072268063797746</v>
      </c>
      <c r="G56" s="172">
        <f t="shared" si="17"/>
        <v>52.590335079747177</v>
      </c>
      <c r="H56" s="217">
        <f t="shared" si="18"/>
        <v>2.1912639616561322</v>
      </c>
      <c r="I56" s="443">
        <f t="shared" si="19"/>
        <v>38.841499999999996</v>
      </c>
      <c r="J56" s="172">
        <f t="shared" si="20"/>
        <v>1.35</v>
      </c>
      <c r="K56" s="172">
        <f t="shared" si="21"/>
        <v>0.60000000000000009</v>
      </c>
      <c r="L56" s="172">
        <f t="shared" si="22"/>
        <v>0.82611755346816396</v>
      </c>
      <c r="M56" s="443">
        <f t="shared" si="14"/>
        <v>350</v>
      </c>
      <c r="N56" s="197">
        <f t="shared" si="23"/>
        <v>350</v>
      </c>
      <c r="O56" s="217">
        <f t="shared" si="24"/>
        <v>2.7046458041012831</v>
      </c>
      <c r="P56" s="173">
        <f t="shared" si="25"/>
        <v>1.6550780553200644</v>
      </c>
      <c r="Q56" s="173">
        <f t="shared" si="26"/>
        <v>0.52250778040304835</v>
      </c>
      <c r="R56" s="173">
        <f t="shared" si="27"/>
        <v>1.3598642855443031</v>
      </c>
    </row>
    <row r="57" spans="3:18">
      <c r="C57" s="170">
        <v>51</v>
      </c>
      <c r="D57" s="5">
        <f t="shared" si="28"/>
        <v>22.77</v>
      </c>
      <c r="E57" s="443">
        <f t="shared" si="15"/>
        <v>16.3415</v>
      </c>
      <c r="F57" s="217">
        <f t="shared" si="16"/>
        <v>0.41781828873860627</v>
      </c>
      <c r="G57" s="172">
        <f t="shared" si="17"/>
        <v>52.854013525433686</v>
      </c>
      <c r="H57" s="217">
        <f t="shared" si="18"/>
        <v>2.2022505635597369</v>
      </c>
      <c r="I57" s="443">
        <f t="shared" si="19"/>
        <v>39.111499999999999</v>
      </c>
      <c r="J57" s="172">
        <f t="shared" si="20"/>
        <v>1.35</v>
      </c>
      <c r="K57" s="172">
        <f t="shared" si="21"/>
        <v>0.59288537549407117</v>
      </c>
      <c r="L57" s="172">
        <f t="shared" si="22"/>
        <v>0.82611755346816396</v>
      </c>
      <c r="M57" s="443">
        <f t="shared" si="14"/>
        <v>350</v>
      </c>
      <c r="N57" s="197">
        <f t="shared" si="23"/>
        <v>350</v>
      </c>
      <c r="O57" s="217">
        <f t="shared" si="24"/>
        <v>2.7182064098794467</v>
      </c>
      <c r="P57" s="173">
        <f t="shared" si="25"/>
        <v>1.6633763178896963</v>
      </c>
      <c r="Q57" s="173">
        <f t="shared" si="26"/>
        <v>0.52776043476497947</v>
      </c>
      <c r="R57" s="173">
        <f t="shared" si="27"/>
        <v>1.3598642855443031</v>
      </c>
    </row>
    <row r="58" spans="3:18">
      <c r="C58" s="170">
        <v>52</v>
      </c>
      <c r="D58" s="5">
        <f t="shared" si="28"/>
        <v>23.04</v>
      </c>
      <c r="E58" s="443">
        <f t="shared" si="15"/>
        <v>16.3415</v>
      </c>
      <c r="F58" s="217">
        <f t="shared" si="16"/>
        <v>0.41495372192526947</v>
      </c>
      <c r="G58" s="172">
        <f t="shared" si="17"/>
        <v>53.114076406434492</v>
      </c>
      <c r="H58" s="217">
        <f t="shared" si="18"/>
        <v>2.2130865169347707</v>
      </c>
      <c r="I58" s="443">
        <f t="shared" si="19"/>
        <v>39.381500000000003</v>
      </c>
      <c r="J58" s="172">
        <f t="shared" si="20"/>
        <v>1.35</v>
      </c>
      <c r="K58" s="172">
        <f t="shared" si="21"/>
        <v>0.5859375</v>
      </c>
      <c r="L58" s="172">
        <f t="shared" si="22"/>
        <v>0.82611755346816396</v>
      </c>
      <c r="M58" s="443">
        <f t="shared" si="14"/>
        <v>350</v>
      </c>
      <c r="N58" s="197">
        <f t="shared" si="23"/>
        <v>350</v>
      </c>
      <c r="O58" s="217">
        <f t="shared" si="24"/>
        <v>2.7315810723309162</v>
      </c>
      <c r="P58" s="173">
        <f t="shared" si="25"/>
        <v>1.6715607944992297</v>
      </c>
      <c r="Q58" s="173">
        <f t="shared" si="26"/>
        <v>0.53296679676546554</v>
      </c>
      <c r="R58" s="173">
        <f t="shared" si="27"/>
        <v>1.3598642855443031</v>
      </c>
    </row>
    <row r="59" spans="3:18">
      <c r="C59" s="170">
        <v>53</v>
      </c>
      <c r="D59" s="5">
        <f t="shared" si="28"/>
        <v>23.310000000000002</v>
      </c>
      <c r="E59" s="443">
        <f t="shared" si="15"/>
        <v>16.3415</v>
      </c>
      <c r="F59" s="217">
        <f t="shared" si="16"/>
        <v>0.41212816665195517</v>
      </c>
      <c r="G59" s="172">
        <f t="shared" si="17"/>
        <v>53.3705975814282</v>
      </c>
      <c r="H59" s="217">
        <f t="shared" si="18"/>
        <v>2.223774899226175</v>
      </c>
      <c r="I59" s="443">
        <f t="shared" si="19"/>
        <v>39.651499999999999</v>
      </c>
      <c r="J59" s="172">
        <f t="shared" si="20"/>
        <v>1.35</v>
      </c>
      <c r="K59" s="172">
        <f t="shared" si="21"/>
        <v>0.5791505791505791</v>
      </c>
      <c r="L59" s="172">
        <f t="shared" si="22"/>
        <v>0.82611755346816396</v>
      </c>
      <c r="M59" s="443">
        <f t="shared" si="14"/>
        <v>350</v>
      </c>
      <c r="N59" s="197">
        <f t="shared" si="23"/>
        <v>350</v>
      </c>
      <c r="O59" s="217">
        <f t="shared" si="24"/>
        <v>2.7447735899020209</v>
      </c>
      <c r="P59" s="173">
        <f t="shared" si="25"/>
        <v>1.6796338095658423</v>
      </c>
      <c r="Q59" s="173">
        <f t="shared" si="26"/>
        <v>0.538127289987402</v>
      </c>
      <c r="R59" s="173">
        <f t="shared" si="27"/>
        <v>1.3598642855443031</v>
      </c>
    </row>
    <row r="60" spans="3:18">
      <c r="C60" s="170">
        <v>54</v>
      </c>
      <c r="D60" s="5">
        <f t="shared" si="28"/>
        <v>23.580000000000002</v>
      </c>
      <c r="E60" s="443">
        <f t="shared" si="15"/>
        <v>16.3415</v>
      </c>
      <c r="F60" s="217">
        <f t="shared" si="16"/>
        <v>0.40934083138158633</v>
      </c>
      <c r="G60" s="172">
        <f t="shared" si="17"/>
        <v>53.623648910987811</v>
      </c>
      <c r="H60" s="217">
        <f t="shared" si="18"/>
        <v>2.2343187046244921</v>
      </c>
      <c r="I60" s="443">
        <f t="shared" si="19"/>
        <v>39.921500000000002</v>
      </c>
      <c r="J60" s="172">
        <f t="shared" si="20"/>
        <v>1.35</v>
      </c>
      <c r="K60" s="172">
        <f t="shared" si="21"/>
        <v>0.5725190839694656</v>
      </c>
      <c r="L60" s="172">
        <f t="shared" si="22"/>
        <v>0.82611755346816396</v>
      </c>
      <c r="M60" s="443">
        <f t="shared" si="14"/>
        <v>350</v>
      </c>
      <c r="N60" s="197">
        <f t="shared" si="23"/>
        <v>350</v>
      </c>
      <c r="O60" s="217">
        <f t="shared" si="24"/>
        <v>2.7577876582793732</v>
      </c>
      <c r="P60" s="173">
        <f t="shared" si="25"/>
        <v>1.687597624624039</v>
      </c>
      <c r="Q60" s="173">
        <f t="shared" si="26"/>
        <v>0.54324234058271648</v>
      </c>
      <c r="R60" s="173">
        <f t="shared" si="27"/>
        <v>1.3598642855443031</v>
      </c>
    </row>
    <row r="61" spans="3:18">
      <c r="C61" s="170">
        <v>55</v>
      </c>
      <c r="D61" s="5">
        <f t="shared" si="28"/>
        <v>23.85</v>
      </c>
      <c r="E61" s="443">
        <f t="shared" si="15"/>
        <v>16.3415</v>
      </c>
      <c r="F61" s="217">
        <f t="shared" si="16"/>
        <v>0.40659094584675859</v>
      </c>
      <c r="G61" s="172">
        <f t="shared" si="17"/>
        <v>53.873300324695514</v>
      </c>
      <c r="H61" s="217">
        <f t="shared" si="18"/>
        <v>2.2447208468623132</v>
      </c>
      <c r="I61" s="443">
        <f t="shared" si="19"/>
        <v>40.191500000000005</v>
      </c>
      <c r="J61" s="172">
        <f t="shared" si="20"/>
        <v>1.35</v>
      </c>
      <c r="K61" s="172">
        <f t="shared" si="21"/>
        <v>0.5660377358490567</v>
      </c>
      <c r="L61" s="172">
        <f t="shared" si="22"/>
        <v>0.82611755346816396</v>
      </c>
      <c r="M61" s="443">
        <f t="shared" si="14"/>
        <v>350</v>
      </c>
      <c r="N61" s="197">
        <f t="shared" si="23"/>
        <v>350</v>
      </c>
      <c r="O61" s="217">
        <f t="shared" si="24"/>
        <v>2.7706268738414837</v>
      </c>
      <c r="P61" s="173">
        <f t="shared" si="25"/>
        <v>1.6954544404378324</v>
      </c>
      <c r="Q61" s="173">
        <f t="shared" si="26"/>
        <v>0.54831237671804534</v>
      </c>
      <c r="R61" s="173">
        <f t="shared" si="27"/>
        <v>1.3598642855443031</v>
      </c>
    </row>
    <row r="62" spans="3:18">
      <c r="C62" s="170">
        <v>56</v>
      </c>
      <c r="D62" s="5">
        <f t="shared" si="28"/>
        <v>24.12</v>
      </c>
      <c r="E62" s="443">
        <f t="shared" si="15"/>
        <v>16.3415</v>
      </c>
      <c r="F62" s="217">
        <f t="shared" si="16"/>
        <v>0.40387776034007633</v>
      </c>
      <c r="G62" s="172">
        <f t="shared" si="17"/>
        <v>54.119619885570231</v>
      </c>
      <c r="H62" s="217">
        <f t="shared" si="18"/>
        <v>2.2549841618987596</v>
      </c>
      <c r="I62" s="443">
        <f t="shared" si="19"/>
        <v>40.461500000000001</v>
      </c>
      <c r="J62" s="172">
        <f t="shared" si="20"/>
        <v>1.35</v>
      </c>
      <c r="K62" s="172">
        <f t="shared" si="21"/>
        <v>0.55970149253731349</v>
      </c>
      <c r="L62" s="172">
        <f t="shared" si="22"/>
        <v>0.82611755346816396</v>
      </c>
      <c r="M62" s="443">
        <f t="shared" si="14"/>
        <v>350</v>
      </c>
      <c r="N62" s="197">
        <f t="shared" si="23"/>
        <v>350</v>
      </c>
      <c r="O62" s="217">
        <f t="shared" si="24"/>
        <v>2.783294736972183</v>
      </c>
      <c r="P62" s="173">
        <f t="shared" si="25"/>
        <v>1.703206399028353</v>
      </c>
      <c r="Q62" s="173">
        <f t="shared" si="26"/>
        <v>0.55333782806121812</v>
      </c>
      <c r="R62" s="173">
        <f t="shared" si="27"/>
        <v>1.3598642855443031</v>
      </c>
    </row>
    <row r="63" spans="3:18">
      <c r="C63" s="170">
        <v>57</v>
      </c>
      <c r="D63" s="5">
        <f t="shared" si="28"/>
        <v>24.39</v>
      </c>
      <c r="E63" s="443">
        <f t="shared" si="15"/>
        <v>16.3415</v>
      </c>
      <c r="F63" s="217">
        <f t="shared" si="16"/>
        <v>0.40120054503271424</v>
      </c>
      <c r="G63" s="172">
        <f t="shared" si="17"/>
        <v>54.362673851932776</v>
      </c>
      <c r="H63" s="217">
        <f t="shared" si="18"/>
        <v>2.265111410497199</v>
      </c>
      <c r="I63" s="443">
        <f t="shared" si="19"/>
        <v>40.731499999999997</v>
      </c>
      <c r="J63" s="172">
        <f t="shared" si="20"/>
        <v>1.35</v>
      </c>
      <c r="K63" s="172">
        <f t="shared" si="21"/>
        <v>0.55350553505535061</v>
      </c>
      <c r="L63" s="172">
        <f t="shared" si="22"/>
        <v>0.82611755346816396</v>
      </c>
      <c r="M63" s="443">
        <f t="shared" si="14"/>
        <v>350</v>
      </c>
      <c r="N63" s="197">
        <f t="shared" si="23"/>
        <v>350</v>
      </c>
      <c r="O63" s="217">
        <f t="shared" si="24"/>
        <v>2.7957946552422568</v>
      </c>
      <c r="P63" s="173">
        <f t="shared" si="25"/>
        <v>1.7108555856208165</v>
      </c>
      <c r="Q63" s="173">
        <f t="shared" si="26"/>
        <v>0.55831912530579797</v>
      </c>
      <c r="R63" s="173">
        <f t="shared" si="27"/>
        <v>1.3598642855443031</v>
      </c>
    </row>
    <row r="64" spans="3:18">
      <c r="C64" s="170">
        <v>58</v>
      </c>
      <c r="D64" s="5">
        <f t="shared" si="28"/>
        <v>24.659999999999997</v>
      </c>
      <c r="E64" s="443">
        <f t="shared" si="15"/>
        <v>16.3415</v>
      </c>
      <c r="F64" s="217">
        <f t="shared" si="16"/>
        <v>0.39855858931990301</v>
      </c>
      <c r="G64" s="172">
        <f t="shared" si="17"/>
        <v>54.602526736826704</v>
      </c>
      <c r="H64" s="217">
        <f t="shared" si="18"/>
        <v>2.2751052807011125</v>
      </c>
      <c r="I64" s="443">
        <f t="shared" si="19"/>
        <v>41.001499999999993</v>
      </c>
      <c r="J64" s="172">
        <f t="shared" si="20"/>
        <v>1.35</v>
      </c>
      <c r="K64" s="172">
        <f t="shared" si="21"/>
        <v>0.54744525547445266</v>
      </c>
      <c r="L64" s="172">
        <f t="shared" si="22"/>
        <v>0.82611755346816396</v>
      </c>
      <c r="M64" s="443">
        <f t="shared" si="14"/>
        <v>350</v>
      </c>
      <c r="N64" s="197">
        <f t="shared" si="23"/>
        <v>350</v>
      </c>
      <c r="O64" s="217">
        <f t="shared" si="24"/>
        <v>2.8081299464653728</v>
      </c>
      <c r="P64" s="173">
        <f t="shared" si="25"/>
        <v>1.7184040305145631</v>
      </c>
      <c r="Q64" s="173">
        <f t="shared" si="26"/>
        <v>0.56325669973111581</v>
      </c>
      <c r="R64" s="173">
        <f t="shared" si="27"/>
        <v>1.3598642855443031</v>
      </c>
    </row>
    <row r="65" spans="3:18">
      <c r="C65" s="170">
        <v>59</v>
      </c>
      <c r="D65" s="5">
        <f t="shared" si="28"/>
        <v>24.93</v>
      </c>
      <c r="E65" s="443">
        <f t="shared" si="15"/>
        <v>16.3415</v>
      </c>
      <c r="F65" s="217">
        <f t="shared" si="16"/>
        <v>0.39595120119210592</v>
      </c>
      <c r="G65" s="172">
        <f t="shared" si="17"/>
        <v>54.839241365106666</v>
      </c>
      <c r="H65" s="217">
        <f t="shared" si="18"/>
        <v>2.2849683902127778</v>
      </c>
      <c r="I65" s="443">
        <f t="shared" si="19"/>
        <v>41.271500000000003</v>
      </c>
      <c r="J65" s="172">
        <f t="shared" si="20"/>
        <v>1.35</v>
      </c>
      <c r="K65" s="172">
        <f t="shared" si="21"/>
        <v>0.54151624548736466</v>
      </c>
      <c r="L65" s="172">
        <f t="shared" si="22"/>
        <v>0.82611755346816396</v>
      </c>
      <c r="M65" s="443">
        <f t="shared" si="14"/>
        <v>350</v>
      </c>
      <c r="N65" s="197">
        <f t="shared" si="23"/>
        <v>350</v>
      </c>
      <c r="O65" s="217">
        <f t="shared" si="24"/>
        <v>2.8203038416340571</v>
      </c>
      <c r="P65" s="173">
        <f t="shared" si="25"/>
        <v>1.7258537108796974</v>
      </c>
      <c r="Q65" s="173">
        <f t="shared" si="26"/>
        <v>0.56815098279541576</v>
      </c>
      <c r="R65" s="173">
        <f t="shared" si="27"/>
        <v>1.3598642855443031</v>
      </c>
    </row>
    <row r="66" spans="3:18">
      <c r="C66" s="170">
        <v>60</v>
      </c>
      <c r="D66" s="5">
        <f t="shared" si="28"/>
        <v>25.2</v>
      </c>
      <c r="E66" s="443">
        <f t="shared" si="15"/>
        <v>16.3415</v>
      </c>
      <c r="F66" s="217">
        <f t="shared" si="16"/>
        <v>0.39337770663071869</v>
      </c>
      <c r="G66" s="172">
        <f t="shared" si="17"/>
        <v>55.072878928300618</v>
      </c>
      <c r="H66" s="217">
        <f t="shared" si="18"/>
        <v>2.2947032886791923</v>
      </c>
      <c r="I66" s="443">
        <f t="shared" si="19"/>
        <v>41.541499999999999</v>
      </c>
      <c r="J66" s="172">
        <f t="shared" si="20"/>
        <v>1.35</v>
      </c>
      <c r="K66" s="172">
        <f t="shared" si="21"/>
        <v>0.53571428571428581</v>
      </c>
      <c r="L66" s="172">
        <f t="shared" si="22"/>
        <v>0.82611755346816396</v>
      </c>
      <c r="M66" s="443">
        <f t="shared" si="14"/>
        <v>350</v>
      </c>
      <c r="N66" s="197">
        <f t="shared" si="23"/>
        <v>350</v>
      </c>
      <c r="O66" s="217">
        <f t="shared" si="24"/>
        <v>2.8323194877411741</v>
      </c>
      <c r="P66" s="173">
        <f t="shared" si="25"/>
        <v>1.7332065524836608</v>
      </c>
      <c r="Q66" s="173">
        <f t="shared" si="26"/>
        <v>0.5730024057598877</v>
      </c>
      <c r="R66" s="173">
        <f t="shared" si="27"/>
        <v>1.3598642855443031</v>
      </c>
    </row>
    <row r="67" spans="3:18">
      <c r="C67" s="170">
        <v>61</v>
      </c>
      <c r="D67" s="5">
        <f t="shared" si="28"/>
        <v>25.47</v>
      </c>
      <c r="E67" s="443">
        <f t="shared" si="15"/>
        <v>16.3415</v>
      </c>
      <c r="F67" s="217">
        <f t="shared" si="16"/>
        <v>0.39083744902718154</v>
      </c>
      <c r="G67" s="172">
        <f t="shared" si="17"/>
        <v>55.303499037346178</v>
      </c>
      <c r="H67" s="217">
        <f t="shared" si="18"/>
        <v>2.3043124598894242</v>
      </c>
      <c r="I67" s="443">
        <f t="shared" si="19"/>
        <v>41.811499999999995</v>
      </c>
      <c r="J67" s="172">
        <f t="shared" si="20"/>
        <v>1.35</v>
      </c>
      <c r="K67" s="172">
        <f t="shared" si="21"/>
        <v>0.53003533568904604</v>
      </c>
      <c r="L67" s="172">
        <f t="shared" si="22"/>
        <v>0.82611755346816396</v>
      </c>
      <c r="M67" s="443">
        <f t="shared" si="14"/>
        <v>350</v>
      </c>
      <c r="N67" s="197">
        <f t="shared" si="23"/>
        <v>350</v>
      </c>
      <c r="O67" s="217">
        <f t="shared" si="24"/>
        <v>2.8441799504920886</v>
      </c>
      <c r="P67" s="173">
        <f t="shared" si="25"/>
        <v>1.7404644313509097</v>
      </c>
      <c r="Q67" s="173">
        <f t="shared" si="26"/>
        <v>0.57781139934151282</v>
      </c>
      <c r="R67" s="173">
        <f t="shared" si="27"/>
        <v>1.3598642855443031</v>
      </c>
    </row>
    <row r="68" spans="3:18">
      <c r="C68" s="170">
        <v>62</v>
      </c>
      <c r="D68" s="5">
        <f t="shared" si="28"/>
        <v>25.74</v>
      </c>
      <c r="E68" s="443">
        <f t="shared" si="15"/>
        <v>16.3415</v>
      </c>
      <c r="F68" s="217">
        <f t="shared" si="16"/>
        <v>0.38832978862445494</v>
      </c>
      <c r="G68" s="172">
        <f t="shared" si="17"/>
        <v>55.531159773297048</v>
      </c>
      <c r="H68" s="217">
        <f t="shared" si="18"/>
        <v>2.3137983238873772</v>
      </c>
      <c r="I68" s="443">
        <f t="shared" si="19"/>
        <v>42.081499999999998</v>
      </c>
      <c r="J68" s="172">
        <f t="shared" si="20"/>
        <v>1.35</v>
      </c>
      <c r="K68" s="172">
        <f t="shared" si="21"/>
        <v>0.52447552447552459</v>
      </c>
      <c r="L68" s="172">
        <f t="shared" si="22"/>
        <v>0.82611755346816396</v>
      </c>
      <c r="M68" s="443">
        <f t="shared" si="14"/>
        <v>350</v>
      </c>
      <c r="N68" s="197">
        <f t="shared" si="23"/>
        <v>350</v>
      </c>
      <c r="O68" s="217">
        <f t="shared" si="24"/>
        <v>2.8558882169124193</v>
      </c>
      <c r="P68" s="173">
        <f t="shared" si="25"/>
        <v>1.7476291753586999</v>
      </c>
      <c r="Q68" s="173">
        <f t="shared" si="26"/>
        <v>0.58257839339279993</v>
      </c>
      <c r="R68" s="173">
        <f t="shared" si="27"/>
        <v>1.3598642855443031</v>
      </c>
    </row>
    <row r="69" spans="3:18">
      <c r="C69" s="170">
        <v>63</v>
      </c>
      <c r="D69" s="5">
        <f t="shared" si="28"/>
        <v>26.01</v>
      </c>
      <c r="E69" s="443">
        <f t="shared" si="15"/>
        <v>16.3415</v>
      </c>
      <c r="F69" s="217">
        <f t="shared" si="16"/>
        <v>0.38585410197985903</v>
      </c>
      <c r="G69" s="172">
        <f t="shared" si="17"/>
        <v>55.755917736089629</v>
      </c>
      <c r="H69" s="217">
        <f t="shared" si="18"/>
        <v>2.3231632390037347</v>
      </c>
      <c r="I69" s="443">
        <f t="shared" si="19"/>
        <v>42.351500000000001</v>
      </c>
      <c r="J69" s="172">
        <f t="shared" si="20"/>
        <v>1.35</v>
      </c>
      <c r="K69" s="172">
        <f t="shared" si="21"/>
        <v>0.51903114186851218</v>
      </c>
      <c r="L69" s="172">
        <f t="shared" si="22"/>
        <v>0.82611755346816396</v>
      </c>
      <c r="M69" s="443">
        <f t="shared" si="14"/>
        <v>350</v>
      </c>
      <c r="N69" s="197">
        <f t="shared" si="23"/>
        <v>350</v>
      </c>
      <c r="O69" s="217">
        <f t="shared" si="24"/>
        <v>2.8674471978560381</v>
      </c>
      <c r="P69" s="173">
        <f t="shared" si="25"/>
        <v>1.7547025657718314</v>
      </c>
      <c r="Q69" s="173">
        <f t="shared" si="26"/>
        <v>0.58730381660660325</v>
      </c>
      <c r="R69" s="173">
        <f t="shared" si="27"/>
        <v>1.3598642855443031</v>
      </c>
    </row>
    <row r="70" spans="3:18">
      <c r="C70" s="170">
        <v>64</v>
      </c>
      <c r="D70" s="5">
        <f t="shared" si="28"/>
        <v>26.28</v>
      </c>
      <c r="E70" s="443">
        <f t="shared" ref="E70:E106" si="29">(Vout+Vfwd1)*Nps</f>
        <v>16.3415</v>
      </c>
      <c r="F70" s="217">
        <f t="shared" ref="F70:F106" si="30">(Vout+Vfwd1)*Nps/((Vout+Vfwd1)*Nps+D70)</f>
        <v>0.3834097814483301</v>
      </c>
      <c r="G70" s="172">
        <f t="shared" ref="G70:G101" si="31">F70*D70*Isw_max*0.5*Efficiency</f>
        <v>55.977828091456196</v>
      </c>
      <c r="H70" s="217">
        <f t="shared" ref="H70:H101" si="32">G70/Vout</f>
        <v>2.3324095038106747</v>
      </c>
      <c r="I70" s="443">
        <f t="shared" ref="I70:I106" si="33">(Vout+Vfwd1)*Nps+D70</f>
        <v>42.621499999999997</v>
      </c>
      <c r="J70" s="172">
        <f t="shared" ref="J70:J106" si="34">MIN(2*Vout*Iout/(Efficiency*D70*F70), 1.35)</f>
        <v>1.35</v>
      </c>
      <c r="K70" s="172">
        <f t="shared" ref="K70:K101" si="35">L*J70/D70*1000000</f>
        <v>0.51369863013698636</v>
      </c>
      <c r="L70" s="172">
        <f t="shared" ref="L70:L106" si="36">L*J70/((Vout+Vfwd1)*Nps)*1000000</f>
        <v>0.82611755346816396</v>
      </c>
      <c r="M70" s="443">
        <f t="shared" si="14"/>
        <v>350</v>
      </c>
      <c r="N70" s="197">
        <f t="shared" ref="N70:N106" si="37">IF(1/((350000*L)*(1/D70+1/E70))&gt;Isw_min, 350, 0.001/((Isw_min*L)*(1/D70+1/E70)))</f>
        <v>350</v>
      </c>
      <c r="O70" s="217">
        <f t="shared" ref="O70:O101" si="38">1/((N70*1000*L)*(1/D70+1/E70))</f>
        <v>2.878859730417747</v>
      </c>
      <c r="P70" s="173">
        <f t="shared" ref="P70:P101" si="39">L*O70/E70*1000000</f>
        <v>1.7616863387190571</v>
      </c>
      <c r="Q70" s="173">
        <f t="shared" ref="Q70:Q101" si="40">0.5*P70*O70*Nps*N70/1000</f>
        <v>0.59198809624435311</v>
      </c>
      <c r="R70" s="173">
        <f t="shared" ref="R70:R106" si="41">L*Isw_min/E70*1000000</f>
        <v>1.3598642855443031</v>
      </c>
    </row>
    <row r="71" spans="3:18">
      <c r="C71" s="170">
        <v>65</v>
      </c>
      <c r="D71" s="5">
        <f t="shared" ref="D71:D102" si="42">C71/100*(VIN_max-VIN_min)+VIN_min</f>
        <v>26.55</v>
      </c>
      <c r="E71" s="443">
        <f t="shared" si="29"/>
        <v>16.3415</v>
      </c>
      <c r="F71" s="217">
        <f t="shared" si="30"/>
        <v>0.380996234685194</v>
      </c>
      <c r="G71" s="172">
        <f t="shared" si="31"/>
        <v>56.196944616066119</v>
      </c>
      <c r="H71" s="217">
        <f t="shared" si="32"/>
        <v>2.3415393590027551</v>
      </c>
      <c r="I71" s="443">
        <f t="shared" si="33"/>
        <v>42.891500000000001</v>
      </c>
      <c r="J71" s="172">
        <f t="shared" si="34"/>
        <v>1.35</v>
      </c>
      <c r="K71" s="172">
        <f t="shared" si="35"/>
        <v>0.50847457627118642</v>
      </c>
      <c r="L71" s="172">
        <f t="shared" si="36"/>
        <v>0.82611755346816396</v>
      </c>
      <c r="M71" s="443">
        <f t="shared" ref="M71:M106" si="43">MIN(1/(K71+L71)*1000, 350)</f>
        <v>350</v>
      </c>
      <c r="N71" s="197">
        <f t="shared" si="37"/>
        <v>350</v>
      </c>
      <c r="O71" s="217">
        <f t="shared" si="38"/>
        <v>2.8901285802548289</v>
      </c>
      <c r="P71" s="173">
        <f t="shared" si="39"/>
        <v>1.7685821866137312</v>
      </c>
      <c r="Q71" s="173">
        <f t="shared" si="40"/>
        <v>0.59663165788612804</v>
      </c>
      <c r="R71" s="173">
        <f t="shared" si="41"/>
        <v>1.3598642855443031</v>
      </c>
    </row>
    <row r="72" spans="3:18">
      <c r="C72" s="170">
        <v>66</v>
      </c>
      <c r="D72" s="5">
        <f t="shared" si="42"/>
        <v>26.82</v>
      </c>
      <c r="E72" s="443">
        <f t="shared" si="29"/>
        <v>16.3415</v>
      </c>
      <c r="F72" s="217">
        <f t="shared" si="30"/>
        <v>0.37861288416760303</v>
      </c>
      <c r="G72" s="172">
        <f t="shared" si="31"/>
        <v>56.413319740972852</v>
      </c>
      <c r="H72" s="217">
        <f t="shared" si="32"/>
        <v>2.3505549892072022</v>
      </c>
      <c r="I72" s="443">
        <f t="shared" si="33"/>
        <v>43.161500000000004</v>
      </c>
      <c r="J72" s="172">
        <f t="shared" si="34"/>
        <v>1.35</v>
      </c>
      <c r="K72" s="172">
        <f t="shared" si="35"/>
        <v>0.50335570469798663</v>
      </c>
      <c r="L72" s="172">
        <f t="shared" si="36"/>
        <v>0.82611755346816396</v>
      </c>
      <c r="M72" s="443">
        <f t="shared" si="43"/>
        <v>350</v>
      </c>
      <c r="N72" s="197">
        <f t="shared" si="37"/>
        <v>350</v>
      </c>
      <c r="O72" s="217">
        <f t="shared" si="38"/>
        <v>2.901256443821461</v>
      </c>
      <c r="P72" s="173">
        <f t="shared" si="39"/>
        <v>1.7753917595211341</v>
      </c>
      <c r="Q72" s="173">
        <f t="shared" si="40"/>
        <v>0.60123492520111088</v>
      </c>
      <c r="R72" s="173">
        <f t="shared" si="41"/>
        <v>1.3598642855443031</v>
      </c>
    </row>
    <row r="73" spans="3:18">
      <c r="C73" s="170">
        <v>67</v>
      </c>
      <c r="D73" s="5">
        <f t="shared" si="42"/>
        <v>27.09</v>
      </c>
      <c r="E73" s="443">
        <f t="shared" si="29"/>
        <v>16.3415</v>
      </c>
      <c r="F73" s="217">
        <f t="shared" si="30"/>
        <v>0.3762591667338222</v>
      </c>
      <c r="G73" s="172">
        <f t="shared" si="31"/>
        <v>56.62700459344024</v>
      </c>
      <c r="H73" s="217">
        <f t="shared" si="32"/>
        <v>2.3594585247266768</v>
      </c>
      <c r="I73" s="443">
        <f t="shared" si="33"/>
        <v>43.4315</v>
      </c>
      <c r="J73" s="172">
        <f t="shared" si="34"/>
        <v>1.35</v>
      </c>
      <c r="K73" s="172">
        <f t="shared" si="35"/>
        <v>0.49833887043189379</v>
      </c>
      <c r="L73" s="172">
        <f t="shared" si="36"/>
        <v>0.82611755346816396</v>
      </c>
      <c r="M73" s="443">
        <f t="shared" si="43"/>
        <v>350</v>
      </c>
      <c r="N73" s="197">
        <f t="shared" si="37"/>
        <v>350</v>
      </c>
      <c r="O73" s="217">
        <f t="shared" si="38"/>
        <v>2.9122459505197833</v>
      </c>
      <c r="P73" s="173">
        <f t="shared" si="39"/>
        <v>1.7821166664747932</v>
      </c>
      <c r="Q73" s="173">
        <f t="shared" si="40"/>
        <v>0.60579831973706255</v>
      </c>
      <c r="R73" s="173">
        <f t="shared" si="41"/>
        <v>1.3598642855443031</v>
      </c>
    </row>
    <row r="74" spans="3:18">
      <c r="C74" s="170">
        <v>68</v>
      </c>
      <c r="D74" s="5">
        <f t="shared" si="42"/>
        <v>27.360000000000003</v>
      </c>
      <c r="E74" s="443">
        <f t="shared" si="29"/>
        <v>16.3415</v>
      </c>
      <c r="F74" s="217">
        <f t="shared" si="30"/>
        <v>0.37393453313959474</v>
      </c>
      <c r="G74" s="172">
        <f t="shared" si="31"/>
        <v>56.838049037218404</v>
      </c>
      <c r="H74" s="217">
        <f t="shared" si="32"/>
        <v>2.3682520432174337</v>
      </c>
      <c r="I74" s="443">
        <f t="shared" si="33"/>
        <v>43.701500000000003</v>
      </c>
      <c r="J74" s="172">
        <f t="shared" si="34"/>
        <v>1.35</v>
      </c>
      <c r="K74" s="172">
        <f t="shared" si="35"/>
        <v>0.49342105263157893</v>
      </c>
      <c r="L74" s="172">
        <f t="shared" si="36"/>
        <v>0.82611755346816396</v>
      </c>
      <c r="M74" s="443">
        <f t="shared" si="43"/>
        <v>350</v>
      </c>
      <c r="N74" s="197">
        <f t="shared" si="37"/>
        <v>350</v>
      </c>
      <c r="O74" s="217">
        <f t="shared" si="38"/>
        <v>2.9230996647712315</v>
      </c>
      <c r="P74" s="173">
        <f t="shared" si="39"/>
        <v>1.7887584767440148</v>
      </c>
      <c r="Q74" s="173">
        <f t="shared" si="40"/>
        <v>0.61032226072754903</v>
      </c>
      <c r="R74" s="173">
        <f t="shared" si="41"/>
        <v>1.3598642855443031</v>
      </c>
    </row>
    <row r="75" spans="3:18">
      <c r="C75" s="170">
        <v>69</v>
      </c>
      <c r="D75" s="5">
        <f t="shared" si="42"/>
        <v>27.63</v>
      </c>
      <c r="E75" s="443">
        <f t="shared" si="29"/>
        <v>16.3415</v>
      </c>
      <c r="F75" s="217">
        <f t="shared" si="30"/>
        <v>0.3716384476308518</v>
      </c>
      <c r="G75" s="172">
        <f t="shared" si="31"/>
        <v>57.04650171133575</v>
      </c>
      <c r="H75" s="217">
        <f t="shared" si="32"/>
        <v>2.3769375713056564</v>
      </c>
      <c r="I75" s="443">
        <f t="shared" si="33"/>
        <v>43.971499999999999</v>
      </c>
      <c r="J75" s="172">
        <f t="shared" si="34"/>
        <v>1.35</v>
      </c>
      <c r="K75" s="172">
        <f t="shared" si="35"/>
        <v>0.488599348534202</v>
      </c>
      <c r="L75" s="172">
        <f t="shared" si="36"/>
        <v>0.82611755346816396</v>
      </c>
      <c r="M75" s="443">
        <f t="shared" si="43"/>
        <v>350</v>
      </c>
      <c r="N75" s="197">
        <f t="shared" si="37"/>
        <v>350</v>
      </c>
      <c r="O75" s="217">
        <f t="shared" si="38"/>
        <v>2.9338200880115521</v>
      </c>
      <c r="P75" s="173">
        <f t="shared" si="39"/>
        <v>1.7953187210547088</v>
      </c>
      <c r="Q75" s="173">
        <f t="shared" si="40"/>
        <v>0.61480716491572229</v>
      </c>
      <c r="R75" s="173">
        <f t="shared" si="41"/>
        <v>1.3598642855443031</v>
      </c>
    </row>
    <row r="76" spans="3:18">
      <c r="C76" s="170">
        <v>70</v>
      </c>
      <c r="D76" s="5">
        <f t="shared" si="42"/>
        <v>27.9</v>
      </c>
      <c r="E76" s="443">
        <f t="shared" si="29"/>
        <v>16.3415</v>
      </c>
      <c r="F76" s="217">
        <f t="shared" si="30"/>
        <v>0.3693703875320683</v>
      </c>
      <c r="G76" s="172">
        <f t="shared" si="31"/>
        <v>57.252410067470578</v>
      </c>
      <c r="H76" s="217">
        <f t="shared" si="32"/>
        <v>2.3855170861446076</v>
      </c>
      <c r="I76" s="443">
        <f t="shared" si="33"/>
        <v>44.241500000000002</v>
      </c>
      <c r="J76" s="172">
        <f t="shared" si="34"/>
        <v>1.35</v>
      </c>
      <c r="K76" s="172">
        <f t="shared" si="35"/>
        <v>0.4838709677419355</v>
      </c>
      <c r="L76" s="172">
        <f t="shared" si="36"/>
        <v>0.82611755346816396</v>
      </c>
      <c r="M76" s="443">
        <f t="shared" si="43"/>
        <v>350</v>
      </c>
      <c r="N76" s="197">
        <f t="shared" si="37"/>
        <v>350</v>
      </c>
      <c r="O76" s="217">
        <f t="shared" si="38"/>
        <v>2.9444096606127728</v>
      </c>
      <c r="P76" s="173">
        <f t="shared" si="39"/>
        <v>1.8017988927655193</v>
      </c>
      <c r="Q76" s="173">
        <f t="shared" si="40"/>
        <v>0.61925344639355895</v>
      </c>
      <c r="R76" s="173">
        <f t="shared" si="41"/>
        <v>1.3598642855443031</v>
      </c>
    </row>
    <row r="77" spans="3:18">
      <c r="C77" s="170">
        <v>71</v>
      </c>
      <c r="D77" s="5">
        <f t="shared" si="42"/>
        <v>28.169999999999998</v>
      </c>
      <c r="E77" s="443">
        <f t="shared" si="29"/>
        <v>16.3415</v>
      </c>
      <c r="F77" s="217">
        <f t="shared" si="30"/>
        <v>0.36712984284960065</v>
      </c>
      <c r="G77" s="172">
        <f t="shared" si="31"/>
        <v>57.455820405962498</v>
      </c>
      <c r="H77" s="217">
        <f t="shared" si="32"/>
        <v>2.393992516915104</v>
      </c>
      <c r="I77" s="443">
        <f t="shared" si="33"/>
        <v>44.511499999999998</v>
      </c>
      <c r="J77" s="172">
        <f t="shared" si="34"/>
        <v>1.35</v>
      </c>
      <c r="K77" s="172">
        <f t="shared" si="35"/>
        <v>0.47923322683706077</v>
      </c>
      <c r="L77" s="172">
        <f t="shared" si="36"/>
        <v>0.82611755346816396</v>
      </c>
      <c r="M77" s="443">
        <f t="shared" si="43"/>
        <v>350</v>
      </c>
      <c r="N77" s="197">
        <f t="shared" si="37"/>
        <v>350</v>
      </c>
      <c r="O77" s="217">
        <f t="shared" si="38"/>
        <v>2.9548707637352138</v>
      </c>
      <c r="P77" s="173">
        <f t="shared" si="39"/>
        <v>1.8082004490011407</v>
      </c>
      <c r="Q77" s="173">
        <f t="shared" si="40"/>
        <v>0.62366151645550905</v>
      </c>
      <c r="R77" s="173">
        <f t="shared" si="41"/>
        <v>1.3598642855443031</v>
      </c>
    </row>
    <row r="78" spans="3:18">
      <c r="C78" s="170">
        <v>72</v>
      </c>
      <c r="D78" s="5">
        <f t="shared" si="42"/>
        <v>28.439999999999998</v>
      </c>
      <c r="E78" s="443">
        <f t="shared" si="29"/>
        <v>16.3415</v>
      </c>
      <c r="F78" s="217">
        <f t="shared" si="30"/>
        <v>0.36491631588937401</v>
      </c>
      <c r="G78" s="172">
        <f t="shared" si="31"/>
        <v>57.656777910521086</v>
      </c>
      <c r="H78" s="217">
        <f t="shared" si="32"/>
        <v>2.4023657462717121</v>
      </c>
      <c r="I78" s="443">
        <f t="shared" si="33"/>
        <v>44.781499999999994</v>
      </c>
      <c r="J78" s="172">
        <f t="shared" si="34"/>
        <v>1.35</v>
      </c>
      <c r="K78" s="172">
        <f t="shared" si="35"/>
        <v>0.47468354430379756</v>
      </c>
      <c r="L78" s="172">
        <f t="shared" si="36"/>
        <v>0.82611755346816396</v>
      </c>
      <c r="M78" s="443">
        <f t="shared" si="43"/>
        <v>350</v>
      </c>
      <c r="N78" s="197">
        <f t="shared" si="37"/>
        <v>350</v>
      </c>
      <c r="O78" s="217">
        <f t="shared" si="38"/>
        <v>2.9652057211125125</v>
      </c>
      <c r="P78" s="173">
        <f t="shared" si="39"/>
        <v>1.8145248117446455</v>
      </c>
      <c r="Q78" s="173">
        <f t="shared" si="40"/>
        <v>0.62803178346559818</v>
      </c>
      <c r="R78" s="173">
        <f t="shared" si="41"/>
        <v>1.3598642855443031</v>
      </c>
    </row>
    <row r="79" spans="3:18">
      <c r="C79" s="170">
        <v>73</v>
      </c>
      <c r="D79" s="5">
        <f t="shared" si="42"/>
        <v>28.71</v>
      </c>
      <c r="E79" s="443">
        <f t="shared" si="29"/>
        <v>16.3415</v>
      </c>
      <c r="F79" s="217">
        <f t="shared" si="30"/>
        <v>0.36272932088831666</v>
      </c>
      <c r="G79" s="172">
        <f t="shared" si="31"/>
        <v>57.855326681686506</v>
      </c>
      <c r="H79" s="217">
        <f t="shared" si="32"/>
        <v>2.4106386117369376</v>
      </c>
      <c r="I79" s="443">
        <f t="shared" si="33"/>
        <v>45.051500000000004</v>
      </c>
      <c r="J79" s="172">
        <f t="shared" si="34"/>
        <v>1.35</v>
      </c>
      <c r="K79" s="172">
        <f t="shared" si="35"/>
        <v>0.47021943573667713</v>
      </c>
      <c r="L79" s="172">
        <f t="shared" si="36"/>
        <v>0.82611755346816396</v>
      </c>
      <c r="M79" s="443">
        <f t="shared" si="43"/>
        <v>350</v>
      </c>
      <c r="N79" s="197">
        <f t="shared" si="37"/>
        <v>350</v>
      </c>
      <c r="O79" s="217">
        <f t="shared" si="38"/>
        <v>2.9754168007724489</v>
      </c>
      <c r="P79" s="173">
        <f t="shared" si="39"/>
        <v>1.8207733688905237</v>
      </c>
      <c r="Q79" s="173">
        <f t="shared" si="40"/>
        <v>0.63236465273706821</v>
      </c>
      <c r="R79" s="173">
        <f t="shared" si="41"/>
        <v>1.3598642855443031</v>
      </c>
    </row>
    <row r="80" spans="3:18">
      <c r="C80" s="170">
        <v>74</v>
      </c>
      <c r="D80" s="5">
        <f t="shared" si="42"/>
        <v>28.98</v>
      </c>
      <c r="E80" s="443">
        <f t="shared" si="29"/>
        <v>16.3415</v>
      </c>
      <c r="F80" s="217">
        <f t="shared" si="30"/>
        <v>0.36056838365896982</v>
      </c>
      <c r="G80" s="172">
        <f t="shared" si="31"/>
        <v>58.051509769094139</v>
      </c>
      <c r="H80" s="217">
        <f t="shared" si="32"/>
        <v>2.4188129070455893</v>
      </c>
      <c r="I80" s="443">
        <f t="shared" si="33"/>
        <v>45.3215</v>
      </c>
      <c r="J80" s="172">
        <f t="shared" si="34"/>
        <v>1.35</v>
      </c>
      <c r="K80" s="172">
        <f t="shared" si="35"/>
        <v>0.46583850931677023</v>
      </c>
      <c r="L80" s="172">
        <f t="shared" si="36"/>
        <v>0.82611755346816396</v>
      </c>
      <c r="M80" s="443">
        <f t="shared" si="43"/>
        <v>350</v>
      </c>
      <c r="N80" s="197">
        <f t="shared" si="37"/>
        <v>350</v>
      </c>
      <c r="O80" s="217">
        <f t="shared" si="38"/>
        <v>2.9855062166962694</v>
      </c>
      <c r="P80" s="173">
        <f t="shared" si="39"/>
        <v>1.8269474752600861</v>
      </c>
      <c r="Q80" s="173">
        <f t="shared" si="40"/>
        <v>0.63666052642371951</v>
      </c>
      <c r="R80" s="173">
        <f t="shared" si="41"/>
        <v>1.3598642855443031</v>
      </c>
    </row>
    <row r="81" spans="3:18">
      <c r="C81" s="170">
        <v>75</v>
      </c>
      <c r="D81" s="5">
        <f t="shared" si="42"/>
        <v>29.25</v>
      </c>
      <c r="E81" s="443">
        <f t="shared" si="29"/>
        <v>16.3415</v>
      </c>
      <c r="F81" s="217">
        <f t="shared" si="30"/>
        <v>0.35843304124672365</v>
      </c>
      <c r="G81" s="172">
        <f t="shared" si="31"/>
        <v>58.245369202592592</v>
      </c>
      <c r="H81" s="217">
        <f t="shared" si="32"/>
        <v>2.426890383441358</v>
      </c>
      <c r="I81" s="443">
        <f t="shared" si="33"/>
        <v>45.591499999999996</v>
      </c>
      <c r="J81" s="172">
        <f t="shared" si="34"/>
        <v>1.35</v>
      </c>
      <c r="K81" s="172">
        <f t="shared" si="35"/>
        <v>0.46153846153846156</v>
      </c>
      <c r="L81" s="172">
        <f t="shared" si="36"/>
        <v>0.82611755346816396</v>
      </c>
      <c r="M81" s="443">
        <f t="shared" si="43"/>
        <v>350</v>
      </c>
      <c r="N81" s="197">
        <f t="shared" si="37"/>
        <v>350</v>
      </c>
      <c r="O81" s="217">
        <f t="shared" si="38"/>
        <v>2.9954761304190463</v>
      </c>
      <c r="P81" s="173">
        <f t="shared" si="39"/>
        <v>1.8330484535807894</v>
      </c>
      <c r="Q81" s="173">
        <f t="shared" si="40"/>
        <v>0.64091980342216182</v>
      </c>
      <c r="R81" s="173">
        <f t="shared" si="41"/>
        <v>1.3598642855443031</v>
      </c>
    </row>
    <row r="82" spans="3:18">
      <c r="C82" s="170">
        <v>76</v>
      </c>
      <c r="D82" s="5">
        <f t="shared" si="42"/>
        <v>29.52</v>
      </c>
      <c r="E82" s="443">
        <f t="shared" si="29"/>
        <v>16.3415</v>
      </c>
      <c r="F82" s="217">
        <f t="shared" si="30"/>
        <v>0.35632284159916272</v>
      </c>
      <c r="G82" s="172">
        <f t="shared" si="31"/>
        <v>58.436946022262681</v>
      </c>
      <c r="H82" s="217">
        <f t="shared" si="32"/>
        <v>2.4348727509276116</v>
      </c>
      <c r="I82" s="443">
        <f t="shared" si="33"/>
        <v>45.861499999999999</v>
      </c>
      <c r="J82" s="172">
        <f t="shared" si="34"/>
        <v>1.35</v>
      </c>
      <c r="K82" s="172">
        <f t="shared" si="35"/>
        <v>0.45731707317073178</v>
      </c>
      <c r="L82" s="172">
        <f t="shared" si="36"/>
        <v>0.82611755346816396</v>
      </c>
      <c r="M82" s="443">
        <f t="shared" si="43"/>
        <v>350</v>
      </c>
      <c r="N82" s="197">
        <f t="shared" si="37"/>
        <v>350</v>
      </c>
      <c r="O82" s="217">
        <f t="shared" si="38"/>
        <v>3.0053286525735086</v>
      </c>
      <c r="P82" s="173">
        <f t="shared" si="39"/>
        <v>1.8390775954309635</v>
      </c>
      <c r="Q82" s="173">
        <f t="shared" si="40"/>
        <v>0.64514287928423597</v>
      </c>
      <c r="R82" s="173">
        <f t="shared" si="41"/>
        <v>1.3598642855443031</v>
      </c>
    </row>
    <row r="83" spans="3:18">
      <c r="C83" s="170">
        <v>77</v>
      </c>
      <c r="D83" s="5">
        <f t="shared" si="42"/>
        <v>29.79</v>
      </c>
      <c r="E83" s="443">
        <f t="shared" si="29"/>
        <v>16.3415</v>
      </c>
      <c r="F83" s="217">
        <f t="shared" si="30"/>
        <v>0.35423734324702205</v>
      </c>
      <c r="G83" s="172">
        <f t="shared" si="31"/>
        <v>58.626280307382146</v>
      </c>
      <c r="H83" s="217">
        <f t="shared" si="32"/>
        <v>2.4427616794742559</v>
      </c>
      <c r="I83" s="443">
        <f t="shared" si="33"/>
        <v>46.131500000000003</v>
      </c>
      <c r="J83" s="172">
        <f t="shared" si="34"/>
        <v>1.35</v>
      </c>
      <c r="K83" s="172">
        <f t="shared" si="35"/>
        <v>0.45317220543806652</v>
      </c>
      <c r="L83" s="172">
        <f t="shared" si="36"/>
        <v>0.82611755346816396</v>
      </c>
      <c r="M83" s="443">
        <f t="shared" si="43"/>
        <v>350</v>
      </c>
      <c r="N83" s="197">
        <f t="shared" si="37"/>
        <v>350</v>
      </c>
      <c r="O83" s="217">
        <f t="shared" si="38"/>
        <v>3.0150658443796536</v>
      </c>
      <c r="P83" s="173">
        <f t="shared" si="39"/>
        <v>1.8450361621513653</v>
      </c>
      <c r="Q83" s="173">
        <f t="shared" si="40"/>
        <v>0.64933014613891382</v>
      </c>
      <c r="R83" s="173">
        <f t="shared" si="41"/>
        <v>1.3598642855443031</v>
      </c>
    </row>
    <row r="84" spans="3:18">
      <c r="C84" s="170">
        <v>78</v>
      </c>
      <c r="D84" s="5">
        <f t="shared" si="42"/>
        <v>30.060000000000002</v>
      </c>
      <c r="E84" s="443">
        <f t="shared" si="29"/>
        <v>16.3415</v>
      </c>
      <c r="F84" s="217">
        <f t="shared" si="30"/>
        <v>0.35217611499628243</v>
      </c>
      <c r="G84" s="172">
        <f t="shared" si="31"/>
        <v>58.813411204379165</v>
      </c>
      <c r="H84" s="217">
        <f t="shared" si="32"/>
        <v>2.4505588001824652</v>
      </c>
      <c r="I84" s="443">
        <f t="shared" si="33"/>
        <v>46.401499999999999</v>
      </c>
      <c r="J84" s="172">
        <f t="shared" si="34"/>
        <v>1.35</v>
      </c>
      <c r="K84" s="172">
        <f t="shared" si="35"/>
        <v>0.44910179640718567</v>
      </c>
      <c r="L84" s="172">
        <f t="shared" si="36"/>
        <v>0.82611755346816396</v>
      </c>
      <c r="M84" s="443">
        <f t="shared" si="43"/>
        <v>350</v>
      </c>
      <c r="N84" s="197">
        <f t="shared" si="37"/>
        <v>350</v>
      </c>
      <c r="O84" s="217">
        <f t="shared" si="38"/>
        <v>3.0246897190823567</v>
      </c>
      <c r="P84" s="173">
        <f t="shared" si="39"/>
        <v>1.8509253857249071</v>
      </c>
      <c r="Q84" s="173">
        <f t="shared" si="40"/>
        <v>0.6534819926230363</v>
      </c>
      <c r="R84" s="173">
        <f t="shared" si="41"/>
        <v>1.3598642855443031</v>
      </c>
    </row>
    <row r="85" spans="3:18">
      <c r="C85" s="170">
        <v>79</v>
      </c>
      <c r="D85" s="5">
        <f t="shared" si="42"/>
        <v>30.330000000000002</v>
      </c>
      <c r="E85" s="443">
        <f t="shared" si="29"/>
        <v>16.3415</v>
      </c>
      <c r="F85" s="217">
        <f t="shared" si="30"/>
        <v>0.35013873563095249</v>
      </c>
      <c r="G85" s="172">
        <f t="shared" si="31"/>
        <v>58.998376953815502</v>
      </c>
      <c r="H85" s="217">
        <f t="shared" si="32"/>
        <v>2.4582657064089792</v>
      </c>
      <c r="I85" s="443">
        <f t="shared" si="33"/>
        <v>46.671500000000002</v>
      </c>
      <c r="J85" s="172">
        <f t="shared" si="34"/>
        <v>1.35</v>
      </c>
      <c r="K85" s="172">
        <f t="shared" si="35"/>
        <v>0.44510385756676557</v>
      </c>
      <c r="L85" s="172">
        <f t="shared" si="36"/>
        <v>0.82611755346816396</v>
      </c>
      <c r="M85" s="443">
        <f t="shared" si="43"/>
        <v>350</v>
      </c>
      <c r="N85" s="197">
        <f t="shared" si="37"/>
        <v>350</v>
      </c>
      <c r="O85" s="217">
        <f t="shared" si="38"/>
        <v>3.0342022433390827</v>
      </c>
      <c r="P85" s="173">
        <f t="shared" si="39"/>
        <v>1.8567464696258502</v>
      </c>
      <c r="Q85" s="173">
        <f t="shared" si="40"/>
        <v>0.65759880382028024</v>
      </c>
      <c r="R85" s="173">
        <f t="shared" si="41"/>
        <v>1.3598642855443031</v>
      </c>
    </row>
    <row r="86" spans="3:18">
      <c r="C86" s="170">
        <v>80</v>
      </c>
      <c r="D86" s="5">
        <f t="shared" si="42"/>
        <v>30.6</v>
      </c>
      <c r="E86" s="443">
        <f t="shared" si="29"/>
        <v>16.3415</v>
      </c>
      <c r="F86" s="217">
        <f t="shared" si="30"/>
        <v>0.34812479362610904</v>
      </c>
      <c r="G86" s="172">
        <f t="shared" si="31"/>
        <v>59.181214916438542</v>
      </c>
      <c r="H86" s="217">
        <f t="shared" si="32"/>
        <v>2.4658839548516061</v>
      </c>
      <c r="I86" s="443">
        <f t="shared" si="33"/>
        <v>46.941500000000005</v>
      </c>
      <c r="J86" s="172">
        <f t="shared" si="34"/>
        <v>1.35</v>
      </c>
      <c r="K86" s="172">
        <f t="shared" si="35"/>
        <v>0.44117647058823528</v>
      </c>
      <c r="L86" s="172">
        <f t="shared" si="36"/>
        <v>0.82611755346816396</v>
      </c>
      <c r="M86" s="443">
        <f t="shared" si="43"/>
        <v>350</v>
      </c>
      <c r="N86" s="197">
        <f t="shared" si="37"/>
        <v>350</v>
      </c>
      <c r="O86" s="217">
        <f t="shared" si="38"/>
        <v>3.0436053385596962</v>
      </c>
      <c r="P86" s="173">
        <f t="shared" si="39"/>
        <v>1.862500589639688</v>
      </c>
      <c r="Q86" s="173">
        <f t="shared" si="40"/>
        <v>0.66168096120779174</v>
      </c>
      <c r="R86" s="173">
        <f t="shared" si="41"/>
        <v>1.3598642855443031</v>
      </c>
    </row>
    <row r="87" spans="3:18">
      <c r="C87" s="170">
        <v>81</v>
      </c>
      <c r="D87" s="5">
        <f t="shared" si="42"/>
        <v>30.87</v>
      </c>
      <c r="E87" s="443">
        <f t="shared" si="29"/>
        <v>16.3415</v>
      </c>
      <c r="F87" s="217">
        <f t="shared" si="30"/>
        <v>0.34613388687078361</v>
      </c>
      <c r="G87" s="172">
        <f t="shared" si="31"/>
        <v>59.361961598339391</v>
      </c>
      <c r="H87" s="217">
        <f t="shared" si="32"/>
        <v>2.4734150665974748</v>
      </c>
      <c r="I87" s="443">
        <f t="shared" si="33"/>
        <v>47.211500000000001</v>
      </c>
      <c r="J87" s="172">
        <f t="shared" si="34"/>
        <v>1.35</v>
      </c>
      <c r="K87" s="172">
        <f t="shared" si="35"/>
        <v>0.43731778425655976</v>
      </c>
      <c r="L87" s="172">
        <f t="shared" si="36"/>
        <v>0.82611755346816396</v>
      </c>
      <c r="M87" s="443">
        <f t="shared" si="43"/>
        <v>350</v>
      </c>
      <c r="N87" s="197">
        <f t="shared" si="37"/>
        <v>350</v>
      </c>
      <c r="O87" s="217">
        <f t="shared" si="38"/>
        <v>3.0529008822003112</v>
      </c>
      <c r="P87" s="173">
        <f t="shared" si="39"/>
        <v>1.8681888946549041</v>
      </c>
      <c r="Q87" s="173">
        <f t="shared" si="40"/>
        <v>0.66572884260996001</v>
      </c>
      <c r="R87" s="173">
        <f t="shared" si="41"/>
        <v>1.3598642855443031</v>
      </c>
    </row>
    <row r="88" spans="3:18">
      <c r="C88" s="170">
        <v>82</v>
      </c>
      <c r="D88" s="5">
        <f t="shared" si="42"/>
        <v>31.139999999999997</v>
      </c>
      <c r="E88" s="443">
        <f t="shared" si="29"/>
        <v>16.3415</v>
      </c>
      <c r="F88" s="217">
        <f t="shared" si="30"/>
        <v>0.34416562240030329</v>
      </c>
      <c r="G88" s="172">
        <f t="shared" si="31"/>
        <v>59.54065267525246</v>
      </c>
      <c r="H88" s="217">
        <f t="shared" si="32"/>
        <v>2.4808605281355192</v>
      </c>
      <c r="I88" s="443">
        <f t="shared" si="33"/>
        <v>47.481499999999997</v>
      </c>
      <c r="J88" s="172">
        <f t="shared" si="34"/>
        <v>1.35</v>
      </c>
      <c r="K88" s="172">
        <f t="shared" si="35"/>
        <v>0.4335260115606937</v>
      </c>
      <c r="L88" s="172">
        <f t="shared" si="36"/>
        <v>0.82611755346816396</v>
      </c>
      <c r="M88" s="443">
        <f t="shared" si="43"/>
        <v>350</v>
      </c>
      <c r="N88" s="197">
        <f t="shared" si="37"/>
        <v>350</v>
      </c>
      <c r="O88" s="217">
        <f t="shared" si="38"/>
        <v>3.0620907090129834</v>
      </c>
      <c r="P88" s="173">
        <f t="shared" si="39"/>
        <v>1.8738125074277048</v>
      </c>
      <c r="Q88" s="173">
        <f t="shared" si="40"/>
        <v>0.6697428221588313</v>
      </c>
      <c r="R88" s="173">
        <f t="shared" si="41"/>
        <v>1.3598642855443031</v>
      </c>
    </row>
    <row r="89" spans="3:18">
      <c r="C89" s="170">
        <v>83</v>
      </c>
      <c r="D89" s="5">
        <f t="shared" si="42"/>
        <v>31.41</v>
      </c>
      <c r="E89" s="443">
        <f t="shared" si="29"/>
        <v>16.3415</v>
      </c>
      <c r="F89" s="217">
        <f t="shared" si="30"/>
        <v>0.34221961613771296</v>
      </c>
      <c r="G89" s="172">
        <f t="shared" si="31"/>
        <v>59.71732301603091</v>
      </c>
      <c r="H89" s="217">
        <f t="shared" si="32"/>
        <v>2.4882217923346213</v>
      </c>
      <c r="I89" s="443">
        <f t="shared" si="33"/>
        <v>47.7515</v>
      </c>
      <c r="J89" s="172">
        <f t="shared" si="34"/>
        <v>1.35</v>
      </c>
      <c r="K89" s="172">
        <f t="shared" si="35"/>
        <v>0.42979942693409745</v>
      </c>
      <c r="L89" s="172">
        <f t="shared" si="36"/>
        <v>0.82611755346816396</v>
      </c>
      <c r="M89" s="443">
        <f t="shared" si="43"/>
        <v>350</v>
      </c>
      <c r="N89" s="197">
        <f t="shared" si="37"/>
        <v>350</v>
      </c>
      <c r="O89" s="217">
        <f t="shared" si="38"/>
        <v>3.0711766122530175</v>
      </c>
      <c r="P89" s="173">
        <f t="shared" si="39"/>
        <v>1.87937252532082</v>
      </c>
      <c r="Q89" s="173">
        <f t="shared" si="40"/>
        <v>0.67372327026070877</v>
      </c>
      <c r="R89" s="173">
        <f t="shared" si="41"/>
        <v>1.3598642855443031</v>
      </c>
    </row>
    <row r="90" spans="3:18">
      <c r="C90" s="170">
        <v>84</v>
      </c>
      <c r="D90" s="5">
        <f t="shared" si="42"/>
        <v>31.68</v>
      </c>
      <c r="E90" s="443">
        <f t="shared" si="29"/>
        <v>16.3415</v>
      </c>
      <c r="F90" s="217">
        <f t="shared" si="30"/>
        <v>0.34029549264391989</v>
      </c>
      <c r="G90" s="172">
        <f t="shared" si="31"/>
        <v>59.892006705329898</v>
      </c>
      <c r="H90" s="217">
        <f t="shared" si="32"/>
        <v>2.4955002793887457</v>
      </c>
      <c r="I90" s="443">
        <f t="shared" si="33"/>
        <v>48.021500000000003</v>
      </c>
      <c r="J90" s="172">
        <f t="shared" si="34"/>
        <v>1.35</v>
      </c>
      <c r="K90" s="172">
        <f t="shared" si="35"/>
        <v>0.4261363636363637</v>
      </c>
      <c r="L90" s="172">
        <f t="shared" si="36"/>
        <v>0.82611755346816396</v>
      </c>
      <c r="M90" s="443">
        <f t="shared" si="43"/>
        <v>350</v>
      </c>
      <c r="N90" s="197">
        <f t="shared" si="37"/>
        <v>350</v>
      </c>
      <c r="O90" s="217">
        <f t="shared" si="38"/>
        <v>3.0801603448455372</v>
      </c>
      <c r="P90" s="173">
        <f t="shared" si="39"/>
        <v>1.8848700210173714</v>
      </c>
      <c r="Q90" s="173">
        <f t="shared" si="40"/>
        <v>0.67767055356849859</v>
      </c>
      <c r="R90" s="173">
        <f t="shared" si="41"/>
        <v>1.3598642855443031</v>
      </c>
    </row>
    <row r="91" spans="3:18">
      <c r="C91" s="170">
        <v>85</v>
      </c>
      <c r="D91" s="5">
        <f t="shared" si="42"/>
        <v>31.95</v>
      </c>
      <c r="E91" s="443">
        <f t="shared" si="29"/>
        <v>16.3415</v>
      </c>
      <c r="F91" s="217">
        <f t="shared" si="30"/>
        <v>0.33839288487622043</v>
      </c>
      <c r="G91" s="172">
        <f t="shared" si="31"/>
        <v>60.064737065529123</v>
      </c>
      <c r="H91" s="217">
        <f t="shared" si="32"/>
        <v>2.5026973777303803</v>
      </c>
      <c r="I91" s="443">
        <f t="shared" si="33"/>
        <v>48.291499999999999</v>
      </c>
      <c r="J91" s="172">
        <f t="shared" si="34"/>
        <v>1.35</v>
      </c>
      <c r="K91" s="172">
        <f t="shared" si="35"/>
        <v>0.42253521126760568</v>
      </c>
      <c r="L91" s="172">
        <f t="shared" si="36"/>
        <v>0.82611755346816396</v>
      </c>
      <c r="M91" s="443">
        <f t="shared" si="43"/>
        <v>350</v>
      </c>
      <c r="N91" s="197">
        <f t="shared" si="37"/>
        <v>350</v>
      </c>
      <c r="O91" s="217">
        <f t="shared" si="38"/>
        <v>3.0890436205129261</v>
      </c>
      <c r="P91" s="173">
        <f t="shared" si="39"/>
        <v>1.8903060432107988</v>
      </c>
      <c r="Q91" s="173">
        <f t="shared" si="40"/>
        <v>0.68158503495940059</v>
      </c>
      <c r="R91" s="173">
        <f t="shared" si="41"/>
        <v>1.3598642855443031</v>
      </c>
    </row>
    <row r="92" spans="3:18">
      <c r="C92" s="170">
        <v>86</v>
      </c>
      <c r="D92" s="5">
        <f t="shared" si="42"/>
        <v>32.22</v>
      </c>
      <c r="E92" s="443">
        <f t="shared" si="29"/>
        <v>16.3415</v>
      </c>
      <c r="F92" s="217">
        <f t="shared" si="30"/>
        <v>0.33651143395488198</v>
      </c>
      <c r="G92" s="172">
        <f t="shared" si="31"/>
        <v>60.235546677923871</v>
      </c>
      <c r="H92" s="217">
        <f t="shared" si="32"/>
        <v>2.5098144449134945</v>
      </c>
      <c r="I92" s="443">
        <f t="shared" si="33"/>
        <v>48.561499999999995</v>
      </c>
      <c r="J92" s="172">
        <f t="shared" si="34"/>
        <v>1.35</v>
      </c>
      <c r="K92" s="172">
        <f t="shared" si="35"/>
        <v>0.41899441340782129</v>
      </c>
      <c r="L92" s="172">
        <f t="shared" si="36"/>
        <v>0.82611755346816396</v>
      </c>
      <c r="M92" s="443">
        <f t="shared" si="43"/>
        <v>350</v>
      </c>
      <c r="N92" s="197">
        <f t="shared" si="37"/>
        <v>350</v>
      </c>
      <c r="O92" s="217">
        <f t="shared" si="38"/>
        <v>3.0978281148646558</v>
      </c>
      <c r="P92" s="173">
        <f t="shared" si="39"/>
        <v>1.8956816172717657</v>
      </c>
      <c r="Q92" s="173">
        <f t="shared" si="40"/>
        <v>0.68546707351756486</v>
      </c>
      <c r="R92" s="173">
        <f t="shared" si="41"/>
        <v>1.3598642855443031</v>
      </c>
    </row>
    <row r="93" spans="3:18">
      <c r="C93" s="170">
        <v>87</v>
      </c>
      <c r="D93" s="5">
        <f t="shared" si="42"/>
        <v>32.489999999999995</v>
      </c>
      <c r="E93" s="443">
        <f t="shared" si="29"/>
        <v>16.3415</v>
      </c>
      <c r="F93" s="217">
        <f t="shared" si="30"/>
        <v>0.33465078893746869</v>
      </c>
      <c r="G93" s="172">
        <f t="shared" si="31"/>
        <v>60.404467403213083</v>
      </c>
      <c r="H93" s="217">
        <f t="shared" si="32"/>
        <v>2.5168528084672119</v>
      </c>
      <c r="I93" s="443">
        <f t="shared" si="33"/>
        <v>48.831499999999991</v>
      </c>
      <c r="J93" s="172">
        <f t="shared" si="34"/>
        <v>1.35</v>
      </c>
      <c r="K93" s="172">
        <f t="shared" si="35"/>
        <v>0.4155124653739613</v>
      </c>
      <c r="L93" s="172">
        <f t="shared" si="36"/>
        <v>0.82611755346816396</v>
      </c>
      <c r="M93" s="443">
        <f t="shared" si="43"/>
        <v>350</v>
      </c>
      <c r="N93" s="197">
        <f t="shared" si="37"/>
        <v>350</v>
      </c>
      <c r="O93" s="217">
        <f t="shared" si="38"/>
        <v>3.1065154664509582</v>
      </c>
      <c r="P93" s="173">
        <f t="shared" si="39"/>
        <v>1.9009977458929466</v>
      </c>
      <c r="Q93" s="173">
        <f t="shared" si="40"/>
        <v>0.68931702452135835</v>
      </c>
      <c r="R93" s="173">
        <f t="shared" si="41"/>
        <v>1.3598642855443031</v>
      </c>
    </row>
    <row r="94" spans="3:18">
      <c r="C94" s="170">
        <v>88</v>
      </c>
      <c r="D94" s="5">
        <f t="shared" si="42"/>
        <v>32.760000000000005</v>
      </c>
      <c r="E94" s="443">
        <f t="shared" si="29"/>
        <v>16.3415</v>
      </c>
      <c r="F94" s="217">
        <f t="shared" si="30"/>
        <v>0.33281060660061301</v>
      </c>
      <c r="G94" s="172">
        <f t="shared" si="31"/>
        <v>60.571530401311577</v>
      </c>
      <c r="H94" s="217">
        <f t="shared" si="32"/>
        <v>2.5238137667213159</v>
      </c>
      <c r="I94" s="443">
        <f t="shared" si="33"/>
        <v>49.101500000000001</v>
      </c>
      <c r="J94" s="172">
        <f t="shared" si="34"/>
        <v>1.35</v>
      </c>
      <c r="K94" s="172">
        <f t="shared" si="35"/>
        <v>0.41208791208791207</v>
      </c>
      <c r="L94" s="172">
        <f t="shared" si="36"/>
        <v>0.82611755346816396</v>
      </c>
      <c r="M94" s="443">
        <f t="shared" si="43"/>
        <v>350</v>
      </c>
      <c r="N94" s="197">
        <f t="shared" si="37"/>
        <v>350</v>
      </c>
      <c r="O94" s="217">
        <f t="shared" si="38"/>
        <v>3.1151072777817372</v>
      </c>
      <c r="P94" s="173">
        <f t="shared" si="39"/>
        <v>1.9062554097125342</v>
      </c>
      <c r="Q94" s="173">
        <f t="shared" si="40"/>
        <v>0.69313523943491051</v>
      </c>
      <c r="R94" s="173">
        <f t="shared" si="41"/>
        <v>1.3598642855443031</v>
      </c>
    </row>
    <row r="95" spans="3:18">
      <c r="C95" s="170">
        <v>89</v>
      </c>
      <c r="D95" s="5">
        <f t="shared" si="42"/>
        <v>33.03</v>
      </c>
      <c r="E95" s="443">
        <f t="shared" si="29"/>
        <v>16.3415</v>
      </c>
      <c r="F95" s="217">
        <f t="shared" si="30"/>
        <v>0.33099055122894788</v>
      </c>
      <c r="G95" s="172">
        <f t="shared" si="31"/>
        <v>60.73676615051194</v>
      </c>
      <c r="H95" s="217">
        <f t="shared" si="32"/>
        <v>2.5306985896046643</v>
      </c>
      <c r="I95" s="443">
        <f t="shared" si="33"/>
        <v>49.371499999999997</v>
      </c>
      <c r="J95" s="172">
        <f t="shared" si="34"/>
        <v>1.35</v>
      </c>
      <c r="K95" s="172">
        <f t="shared" si="35"/>
        <v>0.40871934604904636</v>
      </c>
      <c r="L95" s="172">
        <f t="shared" si="36"/>
        <v>0.82611755346816396</v>
      </c>
      <c r="M95" s="443">
        <f t="shared" si="43"/>
        <v>350</v>
      </c>
      <c r="N95" s="197">
        <f t="shared" si="37"/>
        <v>350</v>
      </c>
      <c r="O95" s="217">
        <f t="shared" si="38"/>
        <v>3.1236051163120422</v>
      </c>
      <c r="P95" s="173">
        <f t="shared" si="39"/>
        <v>1.911455567917292</v>
      </c>
      <c r="Q95" s="173">
        <f t="shared" si="40"/>
        <v>0.69692206590362638</v>
      </c>
      <c r="R95" s="173">
        <f t="shared" si="41"/>
        <v>1.3598642855443031</v>
      </c>
    </row>
    <row r="96" spans="3:18">
      <c r="C96" s="170">
        <v>90</v>
      </c>
      <c r="D96" s="5">
        <f t="shared" si="42"/>
        <v>33.299999999999997</v>
      </c>
      <c r="E96" s="443">
        <f t="shared" si="29"/>
        <v>16.3415</v>
      </c>
      <c r="F96" s="217">
        <f t="shared" si="30"/>
        <v>0.3291902944109264</v>
      </c>
      <c r="G96" s="172">
        <f t="shared" si="31"/>
        <v>60.900204466021371</v>
      </c>
      <c r="H96" s="217">
        <f t="shared" si="32"/>
        <v>2.5375085194175573</v>
      </c>
      <c r="I96" s="443">
        <f t="shared" si="33"/>
        <v>49.641499999999994</v>
      </c>
      <c r="J96" s="172">
        <f t="shared" si="34"/>
        <v>1.35</v>
      </c>
      <c r="K96" s="172">
        <f t="shared" si="35"/>
        <v>0.40540540540540548</v>
      </c>
      <c r="L96" s="172">
        <f t="shared" si="36"/>
        <v>0.82611755346816396</v>
      </c>
      <c r="M96" s="443">
        <f t="shared" si="43"/>
        <v>350</v>
      </c>
      <c r="N96" s="197">
        <f t="shared" si="37"/>
        <v>350</v>
      </c>
      <c r="O96" s="217">
        <f t="shared" si="38"/>
        <v>3.1320105153953843</v>
      </c>
      <c r="P96" s="173">
        <f t="shared" si="39"/>
        <v>1.9165991588259246</v>
      </c>
      <c r="Q96" s="173">
        <f t="shared" si="40"/>
        <v>0.70067784775337605</v>
      </c>
      <c r="R96" s="173">
        <f t="shared" si="41"/>
        <v>1.3598642855443031</v>
      </c>
    </row>
    <row r="97" spans="3:18">
      <c r="C97" s="170">
        <v>91</v>
      </c>
      <c r="D97" s="5">
        <f t="shared" si="42"/>
        <v>33.57</v>
      </c>
      <c r="E97" s="443">
        <f t="shared" si="29"/>
        <v>16.3415</v>
      </c>
      <c r="F97" s="217">
        <f t="shared" si="30"/>
        <v>0.32740951484126901</v>
      </c>
      <c r="G97" s="172">
        <f t="shared" si="31"/>
        <v>61.061874517896669</v>
      </c>
      <c r="H97" s="217">
        <f t="shared" si="32"/>
        <v>2.5442447715790277</v>
      </c>
      <c r="I97" s="443">
        <f t="shared" si="33"/>
        <v>49.911500000000004</v>
      </c>
      <c r="J97" s="172">
        <f t="shared" si="34"/>
        <v>1.35</v>
      </c>
      <c r="K97" s="172">
        <f t="shared" si="35"/>
        <v>0.40214477211796251</v>
      </c>
      <c r="L97" s="172">
        <f t="shared" si="36"/>
        <v>0.82611755346816396</v>
      </c>
      <c r="M97" s="443">
        <f t="shared" si="43"/>
        <v>350</v>
      </c>
      <c r="N97" s="197">
        <f t="shared" si="37"/>
        <v>350</v>
      </c>
      <c r="O97" s="217">
        <f t="shared" si="38"/>
        <v>3.1403249752061142</v>
      </c>
      <c r="P97" s="173">
        <f t="shared" si="39"/>
        <v>1.9216871004535165</v>
      </c>
      <c r="Q97" s="173">
        <f t="shared" si="40"/>
        <v>0.70440292499309154</v>
      </c>
      <c r="R97" s="173">
        <f t="shared" si="41"/>
        <v>1.3598642855443031</v>
      </c>
    </row>
    <row r="98" spans="3:18">
      <c r="C98" s="170">
        <v>92</v>
      </c>
      <c r="D98" s="5">
        <f t="shared" si="42"/>
        <v>33.840000000000003</v>
      </c>
      <c r="E98" s="443">
        <f t="shared" si="29"/>
        <v>16.3415</v>
      </c>
      <c r="F98" s="217">
        <f t="shared" si="30"/>
        <v>0.32564789812978889</v>
      </c>
      <c r="G98" s="172">
        <f t="shared" si="31"/>
        <v>61.221804848400311</v>
      </c>
      <c r="H98" s="217">
        <f t="shared" si="32"/>
        <v>2.5509085353500129</v>
      </c>
      <c r="I98" s="443">
        <f t="shared" si="33"/>
        <v>50.1815</v>
      </c>
      <c r="J98" s="172">
        <f t="shared" si="34"/>
        <v>1.35</v>
      </c>
      <c r="K98" s="172">
        <f t="shared" si="35"/>
        <v>0.39893617021276595</v>
      </c>
      <c r="L98" s="172">
        <f t="shared" si="36"/>
        <v>0.82611755346816396</v>
      </c>
      <c r="M98" s="443">
        <f t="shared" si="43"/>
        <v>350</v>
      </c>
      <c r="N98" s="197">
        <f t="shared" si="37"/>
        <v>350</v>
      </c>
      <c r="O98" s="217">
        <f t="shared" si="38"/>
        <v>3.1485499636320156</v>
      </c>
      <c r="P98" s="173">
        <f t="shared" si="39"/>
        <v>1.9267202910577461</v>
      </c>
      <c r="Q98" s="173">
        <f t="shared" si="40"/>
        <v>0.70809763382051194</v>
      </c>
      <c r="R98" s="173">
        <f t="shared" si="41"/>
        <v>1.3598642855443031</v>
      </c>
    </row>
    <row r="99" spans="3:18">
      <c r="C99" s="170">
        <v>93</v>
      </c>
      <c r="D99" s="5">
        <f t="shared" si="42"/>
        <v>34.11</v>
      </c>
      <c r="E99" s="443">
        <f t="shared" si="29"/>
        <v>16.3415</v>
      </c>
      <c r="F99" s="217">
        <f t="shared" si="30"/>
        <v>0.32390513661635434</v>
      </c>
      <c r="G99" s="172">
        <f t="shared" si="31"/>
        <v>61.380023388799145</v>
      </c>
      <c r="H99" s="217">
        <f t="shared" si="32"/>
        <v>2.5575009745332977</v>
      </c>
      <c r="I99" s="443">
        <f t="shared" si="33"/>
        <v>50.451499999999996</v>
      </c>
      <c r="J99" s="172">
        <f t="shared" si="34"/>
        <v>1.35</v>
      </c>
      <c r="K99" s="172">
        <f t="shared" si="35"/>
        <v>0.39577836411609502</v>
      </c>
      <c r="L99" s="172">
        <f t="shared" si="36"/>
        <v>0.82611755346816396</v>
      </c>
      <c r="M99" s="443">
        <f t="shared" si="43"/>
        <v>350</v>
      </c>
      <c r="N99" s="197">
        <f t="shared" si="37"/>
        <v>350</v>
      </c>
      <c r="O99" s="217">
        <f t="shared" si="38"/>
        <v>3.156686917138241</v>
      </c>
      <c r="P99" s="173">
        <f t="shared" si="39"/>
        <v>1.9316996096675587</v>
      </c>
      <c r="Q99" s="173">
        <f t="shared" si="40"/>
        <v>0.71176230663083795</v>
      </c>
      <c r="R99" s="173">
        <f t="shared" si="41"/>
        <v>1.3598642855443031</v>
      </c>
    </row>
    <row r="100" spans="3:18">
      <c r="C100" s="170">
        <v>94</v>
      </c>
      <c r="D100" s="5">
        <f t="shared" si="42"/>
        <v>34.379999999999995</v>
      </c>
      <c r="E100" s="443">
        <f t="shared" si="29"/>
        <v>16.3415</v>
      </c>
      <c r="F100" s="217">
        <f t="shared" si="30"/>
        <v>0.32218092919176289</v>
      </c>
      <c r="G100" s="172">
        <f t="shared" si="31"/>
        <v>61.536557475626694</v>
      </c>
      <c r="H100" s="217">
        <f t="shared" si="32"/>
        <v>2.5640232281511124</v>
      </c>
      <c r="I100" s="443">
        <f t="shared" si="33"/>
        <v>50.721499999999992</v>
      </c>
      <c r="J100" s="172">
        <f t="shared" si="34"/>
        <v>1.35</v>
      </c>
      <c r="K100" s="172">
        <f t="shared" si="35"/>
        <v>0.39267015706806291</v>
      </c>
      <c r="L100" s="172">
        <f t="shared" si="36"/>
        <v>0.82611755346816396</v>
      </c>
      <c r="M100" s="443">
        <f t="shared" si="43"/>
        <v>350</v>
      </c>
      <c r="N100" s="197">
        <f t="shared" si="37"/>
        <v>350</v>
      </c>
      <c r="O100" s="217">
        <f t="shared" si="38"/>
        <v>3.1647372416036585</v>
      </c>
      <c r="P100" s="173">
        <f t="shared" si="39"/>
        <v>1.9366259165949633</v>
      </c>
      <c r="Q100" s="173">
        <f t="shared" si="40"/>
        <v>0.71539727202808112</v>
      </c>
      <c r="R100" s="173">
        <f t="shared" si="41"/>
        <v>1.3598642855443031</v>
      </c>
    </row>
    <row r="101" spans="3:18">
      <c r="C101" s="170">
        <v>95</v>
      </c>
      <c r="D101" s="5">
        <f t="shared" si="42"/>
        <v>34.65</v>
      </c>
      <c r="E101" s="443">
        <f t="shared" si="29"/>
        <v>16.3415</v>
      </c>
      <c r="F101" s="217">
        <f t="shared" si="30"/>
        <v>0.320474981124305</v>
      </c>
      <c r="G101" s="172">
        <f t="shared" si="31"/>
        <v>61.69143386642871</v>
      </c>
      <c r="H101" s="217">
        <f t="shared" si="32"/>
        <v>2.5704764111011964</v>
      </c>
      <c r="I101" s="443">
        <f t="shared" si="33"/>
        <v>50.991500000000002</v>
      </c>
      <c r="J101" s="172">
        <f t="shared" si="34"/>
        <v>1.35</v>
      </c>
      <c r="K101" s="172">
        <f t="shared" si="35"/>
        <v>0.38961038961038968</v>
      </c>
      <c r="L101" s="172">
        <f t="shared" si="36"/>
        <v>0.82611755346816396</v>
      </c>
      <c r="M101" s="443">
        <f t="shared" si="43"/>
        <v>350</v>
      </c>
      <c r="N101" s="197">
        <f t="shared" si="37"/>
        <v>350</v>
      </c>
      <c r="O101" s="217">
        <f t="shared" si="38"/>
        <v>3.1727023131306198</v>
      </c>
      <c r="P101" s="173">
        <f t="shared" si="39"/>
        <v>1.9415000539305571</v>
      </c>
      <c r="Q101" s="173">
        <f t="shared" si="40"/>
        <v>0.71900285483888471</v>
      </c>
      <c r="R101" s="173">
        <f t="shared" si="41"/>
        <v>1.3598642855443031</v>
      </c>
    </row>
    <row r="102" spans="3:18">
      <c r="C102" s="170">
        <v>96</v>
      </c>
      <c r="D102" s="5">
        <f t="shared" si="42"/>
        <v>34.92</v>
      </c>
      <c r="E102" s="443">
        <f t="shared" si="29"/>
        <v>16.3415</v>
      </c>
      <c r="F102" s="217">
        <f t="shared" si="30"/>
        <v>0.31878700389180964</v>
      </c>
      <c r="G102" s="172">
        <f>F102*D102*Isw_max*0.5*Efficiency</f>
        <v>61.844678755011074</v>
      </c>
      <c r="H102" s="217">
        <f>G102/Vout</f>
        <v>2.5768616147921279</v>
      </c>
      <c r="I102" s="443">
        <f t="shared" si="33"/>
        <v>51.261499999999998</v>
      </c>
      <c r="J102" s="172">
        <f t="shared" si="34"/>
        <v>1.35</v>
      </c>
      <c r="K102" s="172">
        <f>L*J102/D102*1000000</f>
        <v>0.38659793814432991</v>
      </c>
      <c r="L102" s="172">
        <f t="shared" si="36"/>
        <v>0.82611755346816396</v>
      </c>
      <c r="M102" s="443">
        <f t="shared" si="43"/>
        <v>350</v>
      </c>
      <c r="N102" s="197">
        <f t="shared" si="37"/>
        <v>350</v>
      </c>
      <c r="O102" s="217">
        <f>1/((N102*1000*L)*(1/D102+1/E102))</f>
        <v>3.1805834788291403</v>
      </c>
      <c r="P102" s="173">
        <f>L*O102/E102*1000000</f>
        <v>1.946322846023401</v>
      </c>
      <c r="Q102" s="173">
        <f>0.5*P102*O102*Nps*N102/1000</f>
        <v>0.72257937612863421</v>
      </c>
      <c r="R102" s="173">
        <f t="shared" si="41"/>
        <v>1.3598642855443031</v>
      </c>
    </row>
    <row r="103" spans="3:18">
      <c r="C103" s="170">
        <v>97</v>
      </c>
      <c r="D103" s="5">
        <f>C103/100*(VIN_max-VIN_min)+VIN_min</f>
        <v>35.19</v>
      </c>
      <c r="E103" s="443">
        <f t="shared" si="29"/>
        <v>16.3415</v>
      </c>
      <c r="F103" s="217">
        <f t="shared" si="30"/>
        <v>0.31711671501896904</v>
      </c>
      <c r="G103" s="172">
        <f>F103*D103*Isw_max*0.5*Efficiency</f>
        <v>61.996317786208444</v>
      </c>
      <c r="H103" s="217">
        <f>G103/Vout</f>
        <v>2.583179907758685</v>
      </c>
      <c r="I103" s="443">
        <f t="shared" si="33"/>
        <v>51.531499999999994</v>
      </c>
      <c r="J103" s="172">
        <f t="shared" si="34"/>
        <v>1.35</v>
      </c>
      <c r="K103" s="172">
        <f>L*J103/D103*1000000</f>
        <v>0.38363171355498726</v>
      </c>
      <c r="L103" s="172">
        <f t="shared" si="36"/>
        <v>0.82611755346816396</v>
      </c>
      <c r="M103" s="443">
        <f t="shared" si="43"/>
        <v>350</v>
      </c>
      <c r="N103" s="197">
        <f t="shared" si="37"/>
        <v>350</v>
      </c>
      <c r="O103" s="217">
        <f>1/((N103*1000*L)*(1/D103+1/E103))</f>
        <v>3.1883820575764332</v>
      </c>
      <c r="P103" s="173">
        <f>L*O103/E103*1000000</f>
        <v>1.9510950999458025</v>
      </c>
      <c r="Q103" s="173">
        <f>0.5*P103*O103*Nps*N103/1000</f>
        <v>0.72612715321966648</v>
      </c>
      <c r="R103" s="173">
        <f t="shared" si="41"/>
        <v>1.3598642855443031</v>
      </c>
    </row>
    <row r="104" spans="3:18">
      <c r="C104" s="170">
        <v>98</v>
      </c>
      <c r="D104" s="5">
        <f>C104/100*(VIN_max-VIN_min)+VIN_min</f>
        <v>35.46</v>
      </c>
      <c r="E104" s="443">
        <f t="shared" si="29"/>
        <v>16.3415</v>
      </c>
      <c r="F104" s="217">
        <f t="shared" si="30"/>
        <v>0.31546383791975136</v>
      </c>
      <c r="G104" s="172">
        <f>F104*D104*Isw_max*0.5*Efficiency</f>
        <v>62.146376070191018</v>
      </c>
      <c r="H104" s="217">
        <f>G104/Vout</f>
        <v>2.5894323362579592</v>
      </c>
      <c r="I104" s="443">
        <f t="shared" si="33"/>
        <v>51.801500000000004</v>
      </c>
      <c r="J104" s="172">
        <f t="shared" si="34"/>
        <v>1.35</v>
      </c>
      <c r="K104" s="172">
        <f>L*J104/D104*1000000</f>
        <v>0.38071065989847713</v>
      </c>
      <c r="L104" s="172">
        <f t="shared" si="36"/>
        <v>0.82611755346816396</v>
      </c>
      <c r="M104" s="443">
        <f t="shared" si="43"/>
        <v>350</v>
      </c>
      <c r="N104" s="197">
        <f t="shared" si="37"/>
        <v>350</v>
      </c>
      <c r="O104" s="217">
        <f>1/((N104*1000*L)*(1/D104+1/E104))</f>
        <v>3.1960993407526805</v>
      </c>
      <c r="P104" s="173">
        <f>L*O104/E104*1000000</f>
        <v>1.9558176059435679</v>
      </c>
      <c r="Q104" s="173">
        <f>0.5*P104*O104*Nps*N104/1000</f>
        <v>0.72964649971140871</v>
      </c>
      <c r="R104" s="173">
        <f t="shared" si="41"/>
        <v>1.3598642855443031</v>
      </c>
    </row>
    <row r="105" spans="3:18">
      <c r="C105" s="170">
        <v>99</v>
      </c>
      <c r="D105" s="5">
        <f>C105/100*(VIN_max-VIN_min)+VIN_min</f>
        <v>35.730000000000004</v>
      </c>
      <c r="E105" s="443">
        <f t="shared" si="29"/>
        <v>16.3415</v>
      </c>
      <c r="F105" s="217">
        <f t="shared" si="30"/>
        <v>0.31382810174471637</v>
      </c>
      <c r="G105" s="172">
        <f>F105*D105*Isw_max*0.5*Efficiency</f>
        <v>62.294878196326209</v>
      </c>
      <c r="H105" s="217">
        <f>G105/Vout</f>
        <v>2.5956199248469254</v>
      </c>
      <c r="I105" s="443">
        <f t="shared" si="33"/>
        <v>52.0715</v>
      </c>
      <c r="J105" s="172">
        <f t="shared" si="34"/>
        <v>1.35</v>
      </c>
      <c r="K105" s="172">
        <f>L*J105/D105*1000000</f>
        <v>0.37783375314861456</v>
      </c>
      <c r="L105" s="172">
        <f t="shared" si="36"/>
        <v>0.82611755346816396</v>
      </c>
      <c r="M105" s="443">
        <f t="shared" si="43"/>
        <v>350</v>
      </c>
      <c r="N105" s="197">
        <f t="shared" si="37"/>
        <v>350</v>
      </c>
      <c r="O105" s="217">
        <f>1/((N105*1000*L)*(1/D105+1/E105))</f>
        <v>3.203736592953919</v>
      </c>
      <c r="P105" s="173">
        <f>L*O105/E105*1000000</f>
        <v>1.9604911378722389</v>
      </c>
      <c r="Q105" s="173">
        <f>0.5*P105*O105*Nps*N105/1000</f>
        <v>0.73313772550228462</v>
      </c>
      <c r="R105" s="173">
        <f t="shared" si="41"/>
        <v>1.3598642855443031</v>
      </c>
    </row>
    <row r="106" spans="3:18">
      <c r="C106" s="170">
        <v>100</v>
      </c>
      <c r="D106" s="5">
        <f>C106/100*(VIN_max-VIN_min)+VIN_min</f>
        <v>36</v>
      </c>
      <c r="E106" s="443">
        <f t="shared" si="29"/>
        <v>16.3415</v>
      </c>
      <c r="F106" s="217">
        <f t="shared" si="30"/>
        <v>0.31220924123305599</v>
      </c>
      <c r="G106" s="172">
        <f>F106*D106*Isw_max*0.5*Efficiency</f>
        <v>62.441848246611194</v>
      </c>
      <c r="H106" s="217">
        <f>G106/Vout</f>
        <v>2.6017436769421329</v>
      </c>
      <c r="I106" s="443">
        <f t="shared" si="33"/>
        <v>52.341499999999996</v>
      </c>
      <c r="J106" s="172">
        <f t="shared" si="34"/>
        <v>1.35</v>
      </c>
      <c r="K106" s="172">
        <f>L*J106/D106*1000000</f>
        <v>0.375</v>
      </c>
      <c r="L106" s="172">
        <f t="shared" si="36"/>
        <v>0.82611755346816396</v>
      </c>
      <c r="M106" s="443">
        <f t="shared" si="43"/>
        <v>350</v>
      </c>
      <c r="N106" s="197">
        <f t="shared" si="37"/>
        <v>350</v>
      </c>
      <c r="O106" s="217">
        <f>1/((N106*1000*L)*(1/D106+1/E106))</f>
        <v>3.211295052682861</v>
      </c>
      <c r="P106" s="173">
        <f>L*O106/E106*1000000</f>
        <v>1.96511645361984</v>
      </c>
      <c r="Q106" s="173">
        <f>0.5*P106*O106*Nps*N106/1000</f>
        <v>0.73660113681324435</v>
      </c>
      <c r="R106" s="173">
        <f t="shared" si="41"/>
        <v>1.3598642855443031</v>
      </c>
    </row>
  </sheetData>
  <sheetProtection sheet="1" objects="1" scenarios="1"/>
  <mergeCells count="1">
    <mergeCell ref="F4:O4"/>
  </mergeCells>
  <phoneticPr fontId="8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FF0000"/>
  </sheetPr>
  <dimension ref="A1:Q64"/>
  <sheetViews>
    <sheetView zoomScale="70" zoomScaleNormal="70" workbookViewId="0">
      <selection activeCell="Q36" sqref="Q36"/>
    </sheetView>
  </sheetViews>
  <sheetFormatPr defaultRowHeight="12.5"/>
  <cols>
    <col min="1" max="1" width="9.54296875" style="114" customWidth="1"/>
    <col min="2" max="2" width="11.453125" style="114" customWidth="1"/>
    <col min="3" max="3" width="13.453125" style="114" customWidth="1"/>
    <col min="4" max="4" width="20.1796875" style="114" customWidth="1"/>
    <col min="5" max="5" width="17.26953125" style="114" customWidth="1"/>
    <col min="6" max="6" width="13.54296875" style="114" customWidth="1"/>
    <col min="7" max="7" width="16.1796875" style="114" customWidth="1"/>
    <col min="8" max="8" width="18.1796875" style="114" customWidth="1"/>
    <col min="9" max="9" width="10.81640625" style="114" customWidth="1"/>
    <col min="10" max="10" width="15.81640625" style="114" customWidth="1"/>
    <col min="11" max="11" width="11.81640625" style="462" customWidth="1"/>
    <col min="12" max="12" width="7.81640625" style="461" customWidth="1"/>
    <col min="13" max="13" width="11.7265625" style="114" customWidth="1"/>
    <col min="14" max="254" width="9.1796875" style="114"/>
    <col min="255" max="255" width="8.7265625" style="114" bestFit="1" customWidth="1"/>
    <col min="256" max="256" width="13.26953125" style="114" customWidth="1"/>
    <col min="257" max="257" width="16.1796875" style="114" bestFit="1" customWidth="1"/>
    <col min="258" max="258" width="23.54296875" style="114" customWidth="1"/>
    <col min="259" max="259" width="17.26953125" style="114" customWidth="1"/>
    <col min="260" max="260" width="20.54296875" style="114" bestFit="1" customWidth="1"/>
    <col min="261" max="261" width="17.1796875" style="114" customWidth="1"/>
    <col min="262" max="262" width="21.81640625" style="114" bestFit="1" customWidth="1"/>
    <col min="263" max="263" width="17.1796875" style="114" bestFit="1" customWidth="1"/>
    <col min="264" max="264" width="18.1796875" style="114" bestFit="1" customWidth="1"/>
    <col min="265" max="265" width="26.453125" style="114" customWidth="1"/>
    <col min="266" max="510" width="9.1796875" style="114"/>
    <col min="511" max="511" width="8.7265625" style="114" bestFit="1" customWidth="1"/>
    <col min="512" max="512" width="13.26953125" style="114" customWidth="1"/>
    <col min="513" max="513" width="16.1796875" style="114" bestFit="1" customWidth="1"/>
    <col min="514" max="514" width="23.54296875" style="114" customWidth="1"/>
    <col min="515" max="515" width="17.26953125" style="114" customWidth="1"/>
    <col min="516" max="516" width="20.54296875" style="114" bestFit="1" customWidth="1"/>
    <col min="517" max="517" width="17.1796875" style="114" customWidth="1"/>
    <col min="518" max="518" width="21.81640625" style="114" bestFit="1" customWidth="1"/>
    <col min="519" max="519" width="17.1796875" style="114" bestFit="1" customWidth="1"/>
    <col min="520" max="520" width="18.1796875" style="114" bestFit="1" customWidth="1"/>
    <col min="521" max="521" width="26.453125" style="114" customWidth="1"/>
    <col min="522" max="766" width="9.1796875" style="114"/>
    <col min="767" max="767" width="8.7265625" style="114" bestFit="1" customWidth="1"/>
    <col min="768" max="768" width="13.26953125" style="114" customWidth="1"/>
    <col min="769" max="769" width="16.1796875" style="114" bestFit="1" customWidth="1"/>
    <col min="770" max="770" width="23.54296875" style="114" customWidth="1"/>
    <col min="771" max="771" width="17.26953125" style="114" customWidth="1"/>
    <col min="772" max="772" width="20.54296875" style="114" bestFit="1" customWidth="1"/>
    <col min="773" max="773" width="17.1796875" style="114" customWidth="1"/>
    <col min="774" max="774" width="21.81640625" style="114" bestFit="1" customWidth="1"/>
    <col min="775" max="775" width="17.1796875" style="114" bestFit="1" customWidth="1"/>
    <col min="776" max="776" width="18.1796875" style="114" bestFit="1" customWidth="1"/>
    <col min="777" max="777" width="26.453125" style="114" customWidth="1"/>
    <col min="778" max="1022" width="9.1796875" style="114"/>
    <col min="1023" max="1023" width="8.7265625" style="114" bestFit="1" customWidth="1"/>
    <col min="1024" max="1024" width="13.26953125" style="114" customWidth="1"/>
    <col min="1025" max="1025" width="16.1796875" style="114" bestFit="1" customWidth="1"/>
    <col min="1026" max="1026" width="23.54296875" style="114" customWidth="1"/>
    <col min="1027" max="1027" width="17.26953125" style="114" customWidth="1"/>
    <col min="1028" max="1028" width="20.54296875" style="114" bestFit="1" customWidth="1"/>
    <col min="1029" max="1029" width="17.1796875" style="114" customWidth="1"/>
    <col min="1030" max="1030" width="21.81640625" style="114" bestFit="1" customWidth="1"/>
    <col min="1031" max="1031" width="17.1796875" style="114" bestFit="1" customWidth="1"/>
    <col min="1032" max="1032" width="18.1796875" style="114" bestFit="1" customWidth="1"/>
    <col min="1033" max="1033" width="26.453125" style="114" customWidth="1"/>
    <col min="1034" max="1278" width="9.1796875" style="114"/>
    <col min="1279" max="1279" width="8.7265625" style="114" bestFit="1" customWidth="1"/>
    <col min="1280" max="1280" width="13.26953125" style="114" customWidth="1"/>
    <col min="1281" max="1281" width="16.1796875" style="114" bestFit="1" customWidth="1"/>
    <col min="1282" max="1282" width="23.54296875" style="114" customWidth="1"/>
    <col min="1283" max="1283" width="17.26953125" style="114" customWidth="1"/>
    <col min="1284" max="1284" width="20.54296875" style="114" bestFit="1" customWidth="1"/>
    <col min="1285" max="1285" width="17.1796875" style="114" customWidth="1"/>
    <col min="1286" max="1286" width="21.81640625" style="114" bestFit="1" customWidth="1"/>
    <col min="1287" max="1287" width="17.1796875" style="114" bestFit="1" customWidth="1"/>
    <col min="1288" max="1288" width="18.1796875" style="114" bestFit="1" customWidth="1"/>
    <col min="1289" max="1289" width="26.453125" style="114" customWidth="1"/>
    <col min="1290" max="1534" width="9.1796875" style="114"/>
    <col min="1535" max="1535" width="8.7265625" style="114" bestFit="1" customWidth="1"/>
    <col min="1536" max="1536" width="13.26953125" style="114" customWidth="1"/>
    <col min="1537" max="1537" width="16.1796875" style="114" bestFit="1" customWidth="1"/>
    <col min="1538" max="1538" width="23.54296875" style="114" customWidth="1"/>
    <col min="1539" max="1539" width="17.26953125" style="114" customWidth="1"/>
    <col min="1540" max="1540" width="20.54296875" style="114" bestFit="1" customWidth="1"/>
    <col min="1541" max="1541" width="17.1796875" style="114" customWidth="1"/>
    <col min="1542" max="1542" width="21.81640625" style="114" bestFit="1" customWidth="1"/>
    <col min="1543" max="1543" width="17.1796875" style="114" bestFit="1" customWidth="1"/>
    <col min="1544" max="1544" width="18.1796875" style="114" bestFit="1" customWidth="1"/>
    <col min="1545" max="1545" width="26.453125" style="114" customWidth="1"/>
    <col min="1546" max="1790" width="9.1796875" style="114"/>
    <col min="1791" max="1791" width="8.7265625" style="114" bestFit="1" customWidth="1"/>
    <col min="1792" max="1792" width="13.26953125" style="114" customWidth="1"/>
    <col min="1793" max="1793" width="16.1796875" style="114" bestFit="1" customWidth="1"/>
    <col min="1794" max="1794" width="23.54296875" style="114" customWidth="1"/>
    <col min="1795" max="1795" width="17.26953125" style="114" customWidth="1"/>
    <col min="1796" max="1796" width="20.54296875" style="114" bestFit="1" customWidth="1"/>
    <col min="1797" max="1797" width="17.1796875" style="114" customWidth="1"/>
    <col min="1798" max="1798" width="21.81640625" style="114" bestFit="1" customWidth="1"/>
    <col min="1799" max="1799" width="17.1796875" style="114" bestFit="1" customWidth="1"/>
    <col min="1800" max="1800" width="18.1796875" style="114" bestFit="1" customWidth="1"/>
    <col min="1801" max="1801" width="26.453125" style="114" customWidth="1"/>
    <col min="1802" max="2046" width="9.1796875" style="114"/>
    <col min="2047" max="2047" width="8.7265625" style="114" bestFit="1" customWidth="1"/>
    <col min="2048" max="2048" width="13.26953125" style="114" customWidth="1"/>
    <col min="2049" max="2049" width="16.1796875" style="114" bestFit="1" customWidth="1"/>
    <col min="2050" max="2050" width="23.54296875" style="114" customWidth="1"/>
    <col min="2051" max="2051" width="17.26953125" style="114" customWidth="1"/>
    <col min="2052" max="2052" width="20.54296875" style="114" bestFit="1" customWidth="1"/>
    <col min="2053" max="2053" width="17.1796875" style="114" customWidth="1"/>
    <col min="2054" max="2054" width="21.81640625" style="114" bestFit="1" customWidth="1"/>
    <col min="2055" max="2055" width="17.1796875" style="114" bestFit="1" customWidth="1"/>
    <col min="2056" max="2056" width="18.1796875" style="114" bestFit="1" customWidth="1"/>
    <col min="2057" max="2057" width="26.453125" style="114" customWidth="1"/>
    <col min="2058" max="2302" width="9.1796875" style="114"/>
    <col min="2303" max="2303" width="8.7265625" style="114" bestFit="1" customWidth="1"/>
    <col min="2304" max="2304" width="13.26953125" style="114" customWidth="1"/>
    <col min="2305" max="2305" width="16.1796875" style="114" bestFit="1" customWidth="1"/>
    <col min="2306" max="2306" width="23.54296875" style="114" customWidth="1"/>
    <col min="2307" max="2307" width="17.26953125" style="114" customWidth="1"/>
    <col min="2308" max="2308" width="20.54296875" style="114" bestFit="1" customWidth="1"/>
    <col min="2309" max="2309" width="17.1796875" style="114" customWidth="1"/>
    <col min="2310" max="2310" width="21.81640625" style="114" bestFit="1" customWidth="1"/>
    <col min="2311" max="2311" width="17.1796875" style="114" bestFit="1" customWidth="1"/>
    <col min="2312" max="2312" width="18.1796875" style="114" bestFit="1" customWidth="1"/>
    <col min="2313" max="2313" width="26.453125" style="114" customWidth="1"/>
    <col min="2314" max="2558" width="9.1796875" style="114"/>
    <col min="2559" max="2559" width="8.7265625" style="114" bestFit="1" customWidth="1"/>
    <col min="2560" max="2560" width="13.26953125" style="114" customWidth="1"/>
    <col min="2561" max="2561" width="16.1796875" style="114" bestFit="1" customWidth="1"/>
    <col min="2562" max="2562" width="23.54296875" style="114" customWidth="1"/>
    <col min="2563" max="2563" width="17.26953125" style="114" customWidth="1"/>
    <col min="2564" max="2564" width="20.54296875" style="114" bestFit="1" customWidth="1"/>
    <col min="2565" max="2565" width="17.1796875" style="114" customWidth="1"/>
    <col min="2566" max="2566" width="21.81640625" style="114" bestFit="1" customWidth="1"/>
    <col min="2567" max="2567" width="17.1796875" style="114" bestFit="1" customWidth="1"/>
    <col min="2568" max="2568" width="18.1796875" style="114" bestFit="1" customWidth="1"/>
    <col min="2569" max="2569" width="26.453125" style="114" customWidth="1"/>
    <col min="2570" max="2814" width="9.1796875" style="114"/>
    <col min="2815" max="2815" width="8.7265625" style="114" bestFit="1" customWidth="1"/>
    <col min="2816" max="2816" width="13.26953125" style="114" customWidth="1"/>
    <col min="2817" max="2817" width="16.1796875" style="114" bestFit="1" customWidth="1"/>
    <col min="2818" max="2818" width="23.54296875" style="114" customWidth="1"/>
    <col min="2819" max="2819" width="17.26953125" style="114" customWidth="1"/>
    <col min="2820" max="2820" width="20.54296875" style="114" bestFit="1" customWidth="1"/>
    <col min="2821" max="2821" width="17.1796875" style="114" customWidth="1"/>
    <col min="2822" max="2822" width="21.81640625" style="114" bestFit="1" customWidth="1"/>
    <col min="2823" max="2823" width="17.1796875" style="114" bestFit="1" customWidth="1"/>
    <col min="2824" max="2824" width="18.1796875" style="114" bestFit="1" customWidth="1"/>
    <col min="2825" max="2825" width="26.453125" style="114" customWidth="1"/>
    <col min="2826" max="3070" width="9.1796875" style="114"/>
    <col min="3071" max="3071" width="8.7265625" style="114" bestFit="1" customWidth="1"/>
    <col min="3072" max="3072" width="13.26953125" style="114" customWidth="1"/>
    <col min="3073" max="3073" width="16.1796875" style="114" bestFit="1" customWidth="1"/>
    <col min="3074" max="3074" width="23.54296875" style="114" customWidth="1"/>
    <col min="3075" max="3075" width="17.26953125" style="114" customWidth="1"/>
    <col min="3076" max="3076" width="20.54296875" style="114" bestFit="1" customWidth="1"/>
    <col min="3077" max="3077" width="17.1796875" style="114" customWidth="1"/>
    <col min="3078" max="3078" width="21.81640625" style="114" bestFit="1" customWidth="1"/>
    <col min="3079" max="3079" width="17.1796875" style="114" bestFit="1" customWidth="1"/>
    <col min="3080" max="3080" width="18.1796875" style="114" bestFit="1" customWidth="1"/>
    <col min="3081" max="3081" width="26.453125" style="114" customWidth="1"/>
    <col min="3082" max="3326" width="9.1796875" style="114"/>
    <col min="3327" max="3327" width="8.7265625" style="114" bestFit="1" customWidth="1"/>
    <col min="3328" max="3328" width="13.26953125" style="114" customWidth="1"/>
    <col min="3329" max="3329" width="16.1796875" style="114" bestFit="1" customWidth="1"/>
    <col min="3330" max="3330" width="23.54296875" style="114" customWidth="1"/>
    <col min="3331" max="3331" width="17.26953125" style="114" customWidth="1"/>
    <col min="3332" max="3332" width="20.54296875" style="114" bestFit="1" customWidth="1"/>
    <col min="3333" max="3333" width="17.1796875" style="114" customWidth="1"/>
    <col min="3334" max="3334" width="21.81640625" style="114" bestFit="1" customWidth="1"/>
    <col min="3335" max="3335" width="17.1796875" style="114" bestFit="1" customWidth="1"/>
    <col min="3336" max="3336" width="18.1796875" style="114" bestFit="1" customWidth="1"/>
    <col min="3337" max="3337" width="26.453125" style="114" customWidth="1"/>
    <col min="3338" max="3582" width="9.1796875" style="114"/>
    <col min="3583" max="3583" width="8.7265625" style="114" bestFit="1" customWidth="1"/>
    <col min="3584" max="3584" width="13.26953125" style="114" customWidth="1"/>
    <col min="3585" max="3585" width="16.1796875" style="114" bestFit="1" customWidth="1"/>
    <col min="3586" max="3586" width="23.54296875" style="114" customWidth="1"/>
    <col min="3587" max="3587" width="17.26953125" style="114" customWidth="1"/>
    <col min="3588" max="3588" width="20.54296875" style="114" bestFit="1" customWidth="1"/>
    <col min="3589" max="3589" width="17.1796875" style="114" customWidth="1"/>
    <col min="3590" max="3590" width="21.81640625" style="114" bestFit="1" customWidth="1"/>
    <col min="3591" max="3591" width="17.1796875" style="114" bestFit="1" customWidth="1"/>
    <col min="3592" max="3592" width="18.1796875" style="114" bestFit="1" customWidth="1"/>
    <col min="3593" max="3593" width="26.453125" style="114" customWidth="1"/>
    <col min="3594" max="3838" width="9.1796875" style="114"/>
    <col min="3839" max="3839" width="8.7265625" style="114" bestFit="1" customWidth="1"/>
    <col min="3840" max="3840" width="13.26953125" style="114" customWidth="1"/>
    <col min="3841" max="3841" width="16.1796875" style="114" bestFit="1" customWidth="1"/>
    <col min="3842" max="3842" width="23.54296875" style="114" customWidth="1"/>
    <col min="3843" max="3843" width="17.26953125" style="114" customWidth="1"/>
    <col min="3844" max="3844" width="20.54296875" style="114" bestFit="1" customWidth="1"/>
    <col min="3845" max="3845" width="17.1796875" style="114" customWidth="1"/>
    <col min="3846" max="3846" width="21.81640625" style="114" bestFit="1" customWidth="1"/>
    <col min="3847" max="3847" width="17.1796875" style="114" bestFit="1" customWidth="1"/>
    <col min="3848" max="3848" width="18.1796875" style="114" bestFit="1" customWidth="1"/>
    <col min="3849" max="3849" width="26.453125" style="114" customWidth="1"/>
    <col min="3850" max="4094" width="9.1796875" style="114"/>
    <col min="4095" max="4095" width="8.7265625" style="114" bestFit="1" customWidth="1"/>
    <col min="4096" max="4096" width="13.26953125" style="114" customWidth="1"/>
    <col min="4097" max="4097" width="16.1796875" style="114" bestFit="1" customWidth="1"/>
    <col min="4098" max="4098" width="23.54296875" style="114" customWidth="1"/>
    <col min="4099" max="4099" width="17.26953125" style="114" customWidth="1"/>
    <col min="4100" max="4100" width="20.54296875" style="114" bestFit="1" customWidth="1"/>
    <col min="4101" max="4101" width="17.1796875" style="114" customWidth="1"/>
    <col min="4102" max="4102" width="21.81640625" style="114" bestFit="1" customWidth="1"/>
    <col min="4103" max="4103" width="17.1796875" style="114" bestFit="1" customWidth="1"/>
    <col min="4104" max="4104" width="18.1796875" style="114" bestFit="1" customWidth="1"/>
    <col min="4105" max="4105" width="26.453125" style="114" customWidth="1"/>
    <col min="4106" max="4350" width="9.1796875" style="114"/>
    <col min="4351" max="4351" width="8.7265625" style="114" bestFit="1" customWidth="1"/>
    <col min="4352" max="4352" width="13.26953125" style="114" customWidth="1"/>
    <col min="4353" max="4353" width="16.1796875" style="114" bestFit="1" customWidth="1"/>
    <col min="4354" max="4354" width="23.54296875" style="114" customWidth="1"/>
    <col min="4355" max="4355" width="17.26953125" style="114" customWidth="1"/>
    <col min="4356" max="4356" width="20.54296875" style="114" bestFit="1" customWidth="1"/>
    <col min="4357" max="4357" width="17.1796875" style="114" customWidth="1"/>
    <col min="4358" max="4358" width="21.81640625" style="114" bestFit="1" customWidth="1"/>
    <col min="4359" max="4359" width="17.1796875" style="114" bestFit="1" customWidth="1"/>
    <col min="4360" max="4360" width="18.1796875" style="114" bestFit="1" customWidth="1"/>
    <col min="4361" max="4361" width="26.453125" style="114" customWidth="1"/>
    <col min="4362" max="4606" width="9.1796875" style="114"/>
    <col min="4607" max="4607" width="8.7265625" style="114" bestFit="1" customWidth="1"/>
    <col min="4608" max="4608" width="13.26953125" style="114" customWidth="1"/>
    <col min="4609" max="4609" width="16.1796875" style="114" bestFit="1" customWidth="1"/>
    <col min="4610" max="4610" width="23.54296875" style="114" customWidth="1"/>
    <col min="4611" max="4611" width="17.26953125" style="114" customWidth="1"/>
    <col min="4612" max="4612" width="20.54296875" style="114" bestFit="1" customWidth="1"/>
    <col min="4613" max="4613" width="17.1796875" style="114" customWidth="1"/>
    <col min="4614" max="4614" width="21.81640625" style="114" bestFit="1" customWidth="1"/>
    <col min="4615" max="4615" width="17.1796875" style="114" bestFit="1" customWidth="1"/>
    <col min="4616" max="4616" width="18.1796875" style="114" bestFit="1" customWidth="1"/>
    <col min="4617" max="4617" width="26.453125" style="114" customWidth="1"/>
    <col min="4618" max="4862" width="9.1796875" style="114"/>
    <col min="4863" max="4863" width="8.7265625" style="114" bestFit="1" customWidth="1"/>
    <col min="4864" max="4864" width="13.26953125" style="114" customWidth="1"/>
    <col min="4865" max="4865" width="16.1796875" style="114" bestFit="1" customWidth="1"/>
    <col min="4866" max="4866" width="23.54296875" style="114" customWidth="1"/>
    <col min="4867" max="4867" width="17.26953125" style="114" customWidth="1"/>
    <col min="4868" max="4868" width="20.54296875" style="114" bestFit="1" customWidth="1"/>
    <col min="4869" max="4869" width="17.1796875" style="114" customWidth="1"/>
    <col min="4870" max="4870" width="21.81640625" style="114" bestFit="1" customWidth="1"/>
    <col min="4871" max="4871" width="17.1796875" style="114" bestFit="1" customWidth="1"/>
    <col min="4872" max="4872" width="18.1796875" style="114" bestFit="1" customWidth="1"/>
    <col min="4873" max="4873" width="26.453125" style="114" customWidth="1"/>
    <col min="4874" max="5118" width="9.1796875" style="114"/>
    <col min="5119" max="5119" width="8.7265625" style="114" bestFit="1" customWidth="1"/>
    <col min="5120" max="5120" width="13.26953125" style="114" customWidth="1"/>
    <col min="5121" max="5121" width="16.1796875" style="114" bestFit="1" customWidth="1"/>
    <col min="5122" max="5122" width="23.54296875" style="114" customWidth="1"/>
    <col min="5123" max="5123" width="17.26953125" style="114" customWidth="1"/>
    <col min="5124" max="5124" width="20.54296875" style="114" bestFit="1" customWidth="1"/>
    <col min="5125" max="5125" width="17.1796875" style="114" customWidth="1"/>
    <col min="5126" max="5126" width="21.81640625" style="114" bestFit="1" customWidth="1"/>
    <col min="5127" max="5127" width="17.1796875" style="114" bestFit="1" customWidth="1"/>
    <col min="5128" max="5128" width="18.1796875" style="114" bestFit="1" customWidth="1"/>
    <col min="5129" max="5129" width="26.453125" style="114" customWidth="1"/>
    <col min="5130" max="5374" width="9.1796875" style="114"/>
    <col min="5375" max="5375" width="8.7265625" style="114" bestFit="1" customWidth="1"/>
    <col min="5376" max="5376" width="13.26953125" style="114" customWidth="1"/>
    <col min="5377" max="5377" width="16.1796875" style="114" bestFit="1" customWidth="1"/>
    <col min="5378" max="5378" width="23.54296875" style="114" customWidth="1"/>
    <col min="5379" max="5379" width="17.26953125" style="114" customWidth="1"/>
    <col min="5380" max="5380" width="20.54296875" style="114" bestFit="1" customWidth="1"/>
    <col min="5381" max="5381" width="17.1796875" style="114" customWidth="1"/>
    <col min="5382" max="5382" width="21.81640625" style="114" bestFit="1" customWidth="1"/>
    <col min="5383" max="5383" width="17.1796875" style="114" bestFit="1" customWidth="1"/>
    <col min="5384" max="5384" width="18.1796875" style="114" bestFit="1" customWidth="1"/>
    <col min="5385" max="5385" width="26.453125" style="114" customWidth="1"/>
    <col min="5386" max="5630" width="9.1796875" style="114"/>
    <col min="5631" max="5631" width="8.7265625" style="114" bestFit="1" customWidth="1"/>
    <col min="5632" max="5632" width="13.26953125" style="114" customWidth="1"/>
    <col min="5633" max="5633" width="16.1796875" style="114" bestFit="1" customWidth="1"/>
    <col min="5634" max="5634" width="23.54296875" style="114" customWidth="1"/>
    <col min="5635" max="5635" width="17.26953125" style="114" customWidth="1"/>
    <col min="5636" max="5636" width="20.54296875" style="114" bestFit="1" customWidth="1"/>
    <col min="5637" max="5637" width="17.1796875" style="114" customWidth="1"/>
    <col min="5638" max="5638" width="21.81640625" style="114" bestFit="1" customWidth="1"/>
    <col min="5639" max="5639" width="17.1796875" style="114" bestFit="1" customWidth="1"/>
    <col min="5640" max="5640" width="18.1796875" style="114" bestFit="1" customWidth="1"/>
    <col min="5641" max="5641" width="26.453125" style="114" customWidth="1"/>
    <col min="5642" max="5886" width="9.1796875" style="114"/>
    <col min="5887" max="5887" width="8.7265625" style="114" bestFit="1" customWidth="1"/>
    <col min="5888" max="5888" width="13.26953125" style="114" customWidth="1"/>
    <col min="5889" max="5889" width="16.1796875" style="114" bestFit="1" customWidth="1"/>
    <col min="5890" max="5890" width="23.54296875" style="114" customWidth="1"/>
    <col min="5891" max="5891" width="17.26953125" style="114" customWidth="1"/>
    <col min="5892" max="5892" width="20.54296875" style="114" bestFit="1" customWidth="1"/>
    <col min="5893" max="5893" width="17.1796875" style="114" customWidth="1"/>
    <col min="5894" max="5894" width="21.81640625" style="114" bestFit="1" customWidth="1"/>
    <col min="5895" max="5895" width="17.1796875" style="114" bestFit="1" customWidth="1"/>
    <col min="5896" max="5896" width="18.1796875" style="114" bestFit="1" customWidth="1"/>
    <col min="5897" max="5897" width="26.453125" style="114" customWidth="1"/>
    <col min="5898" max="6142" width="9.1796875" style="114"/>
    <col min="6143" max="6143" width="8.7265625" style="114" bestFit="1" customWidth="1"/>
    <col min="6144" max="6144" width="13.26953125" style="114" customWidth="1"/>
    <col min="6145" max="6145" width="16.1796875" style="114" bestFit="1" customWidth="1"/>
    <col min="6146" max="6146" width="23.54296875" style="114" customWidth="1"/>
    <col min="6147" max="6147" width="17.26953125" style="114" customWidth="1"/>
    <col min="6148" max="6148" width="20.54296875" style="114" bestFit="1" customWidth="1"/>
    <col min="6149" max="6149" width="17.1796875" style="114" customWidth="1"/>
    <col min="6150" max="6150" width="21.81640625" style="114" bestFit="1" customWidth="1"/>
    <col min="6151" max="6151" width="17.1796875" style="114" bestFit="1" customWidth="1"/>
    <col min="6152" max="6152" width="18.1796875" style="114" bestFit="1" customWidth="1"/>
    <col min="6153" max="6153" width="26.453125" style="114" customWidth="1"/>
    <col min="6154" max="6398" width="9.1796875" style="114"/>
    <col min="6399" max="6399" width="8.7265625" style="114" bestFit="1" customWidth="1"/>
    <col min="6400" max="6400" width="13.26953125" style="114" customWidth="1"/>
    <col min="6401" max="6401" width="16.1796875" style="114" bestFit="1" customWidth="1"/>
    <col min="6402" max="6402" width="23.54296875" style="114" customWidth="1"/>
    <col min="6403" max="6403" width="17.26953125" style="114" customWidth="1"/>
    <col min="6404" max="6404" width="20.54296875" style="114" bestFit="1" customWidth="1"/>
    <col min="6405" max="6405" width="17.1796875" style="114" customWidth="1"/>
    <col min="6406" max="6406" width="21.81640625" style="114" bestFit="1" customWidth="1"/>
    <col min="6407" max="6407" width="17.1796875" style="114" bestFit="1" customWidth="1"/>
    <col min="6408" max="6408" width="18.1796875" style="114" bestFit="1" customWidth="1"/>
    <col min="6409" max="6409" width="26.453125" style="114" customWidth="1"/>
    <col min="6410" max="6654" width="9.1796875" style="114"/>
    <col min="6655" max="6655" width="8.7265625" style="114" bestFit="1" customWidth="1"/>
    <col min="6656" max="6656" width="13.26953125" style="114" customWidth="1"/>
    <col min="6657" max="6657" width="16.1796875" style="114" bestFit="1" customWidth="1"/>
    <col min="6658" max="6658" width="23.54296875" style="114" customWidth="1"/>
    <col min="6659" max="6659" width="17.26953125" style="114" customWidth="1"/>
    <col min="6660" max="6660" width="20.54296875" style="114" bestFit="1" customWidth="1"/>
    <col min="6661" max="6661" width="17.1796875" style="114" customWidth="1"/>
    <col min="6662" max="6662" width="21.81640625" style="114" bestFit="1" customWidth="1"/>
    <col min="6663" max="6663" width="17.1796875" style="114" bestFit="1" customWidth="1"/>
    <col min="6664" max="6664" width="18.1796875" style="114" bestFit="1" customWidth="1"/>
    <col min="6665" max="6665" width="26.453125" style="114" customWidth="1"/>
    <col min="6666" max="6910" width="9.1796875" style="114"/>
    <col min="6911" max="6911" width="8.7265625" style="114" bestFit="1" customWidth="1"/>
    <col min="6912" max="6912" width="13.26953125" style="114" customWidth="1"/>
    <col min="6913" max="6913" width="16.1796875" style="114" bestFit="1" customWidth="1"/>
    <col min="6914" max="6914" width="23.54296875" style="114" customWidth="1"/>
    <col min="6915" max="6915" width="17.26953125" style="114" customWidth="1"/>
    <col min="6916" max="6916" width="20.54296875" style="114" bestFit="1" customWidth="1"/>
    <col min="6917" max="6917" width="17.1796875" style="114" customWidth="1"/>
    <col min="6918" max="6918" width="21.81640625" style="114" bestFit="1" customWidth="1"/>
    <col min="6919" max="6919" width="17.1796875" style="114" bestFit="1" customWidth="1"/>
    <col min="6920" max="6920" width="18.1796875" style="114" bestFit="1" customWidth="1"/>
    <col min="6921" max="6921" width="26.453125" style="114" customWidth="1"/>
    <col min="6922" max="7166" width="9.1796875" style="114"/>
    <col min="7167" max="7167" width="8.7265625" style="114" bestFit="1" customWidth="1"/>
    <col min="7168" max="7168" width="13.26953125" style="114" customWidth="1"/>
    <col min="7169" max="7169" width="16.1796875" style="114" bestFit="1" customWidth="1"/>
    <col min="7170" max="7170" width="23.54296875" style="114" customWidth="1"/>
    <col min="7171" max="7171" width="17.26953125" style="114" customWidth="1"/>
    <col min="7172" max="7172" width="20.54296875" style="114" bestFit="1" customWidth="1"/>
    <col min="7173" max="7173" width="17.1796875" style="114" customWidth="1"/>
    <col min="7174" max="7174" width="21.81640625" style="114" bestFit="1" customWidth="1"/>
    <col min="7175" max="7175" width="17.1796875" style="114" bestFit="1" customWidth="1"/>
    <col min="7176" max="7176" width="18.1796875" style="114" bestFit="1" customWidth="1"/>
    <col min="7177" max="7177" width="26.453125" style="114" customWidth="1"/>
    <col min="7178" max="7422" width="9.1796875" style="114"/>
    <col min="7423" max="7423" width="8.7265625" style="114" bestFit="1" customWidth="1"/>
    <col min="7424" max="7424" width="13.26953125" style="114" customWidth="1"/>
    <col min="7425" max="7425" width="16.1796875" style="114" bestFit="1" customWidth="1"/>
    <col min="7426" max="7426" width="23.54296875" style="114" customWidth="1"/>
    <col min="7427" max="7427" width="17.26953125" style="114" customWidth="1"/>
    <col min="7428" max="7428" width="20.54296875" style="114" bestFit="1" customWidth="1"/>
    <col min="7429" max="7429" width="17.1796875" style="114" customWidth="1"/>
    <col min="7430" max="7430" width="21.81640625" style="114" bestFit="1" customWidth="1"/>
    <col min="7431" max="7431" width="17.1796875" style="114" bestFit="1" customWidth="1"/>
    <col min="7432" max="7432" width="18.1796875" style="114" bestFit="1" customWidth="1"/>
    <col min="7433" max="7433" width="26.453125" style="114" customWidth="1"/>
    <col min="7434" max="7678" width="9.1796875" style="114"/>
    <col min="7679" max="7679" width="8.7265625" style="114" bestFit="1" customWidth="1"/>
    <col min="7680" max="7680" width="13.26953125" style="114" customWidth="1"/>
    <col min="7681" max="7681" width="16.1796875" style="114" bestFit="1" customWidth="1"/>
    <col min="7682" max="7682" width="23.54296875" style="114" customWidth="1"/>
    <col min="7683" max="7683" width="17.26953125" style="114" customWidth="1"/>
    <col min="7684" max="7684" width="20.54296875" style="114" bestFit="1" customWidth="1"/>
    <col min="7685" max="7685" width="17.1796875" style="114" customWidth="1"/>
    <col min="7686" max="7686" width="21.81640625" style="114" bestFit="1" customWidth="1"/>
    <col min="7687" max="7687" width="17.1796875" style="114" bestFit="1" customWidth="1"/>
    <col min="7688" max="7688" width="18.1796875" style="114" bestFit="1" customWidth="1"/>
    <col min="7689" max="7689" width="26.453125" style="114" customWidth="1"/>
    <col min="7690" max="7934" width="9.1796875" style="114"/>
    <col min="7935" max="7935" width="8.7265625" style="114" bestFit="1" customWidth="1"/>
    <col min="7936" max="7936" width="13.26953125" style="114" customWidth="1"/>
    <col min="7937" max="7937" width="16.1796875" style="114" bestFit="1" customWidth="1"/>
    <col min="7938" max="7938" width="23.54296875" style="114" customWidth="1"/>
    <col min="7939" max="7939" width="17.26953125" style="114" customWidth="1"/>
    <col min="7940" max="7940" width="20.54296875" style="114" bestFit="1" customWidth="1"/>
    <col min="7941" max="7941" width="17.1796875" style="114" customWidth="1"/>
    <col min="7942" max="7942" width="21.81640625" style="114" bestFit="1" customWidth="1"/>
    <col min="7943" max="7943" width="17.1796875" style="114" bestFit="1" customWidth="1"/>
    <col min="7944" max="7944" width="18.1796875" style="114" bestFit="1" customWidth="1"/>
    <col min="7945" max="7945" width="26.453125" style="114" customWidth="1"/>
    <col min="7946" max="8190" width="9.1796875" style="114"/>
    <col min="8191" max="8191" width="8.7265625" style="114" bestFit="1" customWidth="1"/>
    <col min="8192" max="8192" width="13.26953125" style="114" customWidth="1"/>
    <col min="8193" max="8193" width="16.1796875" style="114" bestFit="1" customWidth="1"/>
    <col min="8194" max="8194" width="23.54296875" style="114" customWidth="1"/>
    <col min="8195" max="8195" width="17.26953125" style="114" customWidth="1"/>
    <col min="8196" max="8196" width="20.54296875" style="114" bestFit="1" customWidth="1"/>
    <col min="8197" max="8197" width="17.1796875" style="114" customWidth="1"/>
    <col min="8198" max="8198" width="21.81640625" style="114" bestFit="1" customWidth="1"/>
    <col min="8199" max="8199" width="17.1796875" style="114" bestFit="1" customWidth="1"/>
    <col min="8200" max="8200" width="18.1796875" style="114" bestFit="1" customWidth="1"/>
    <col min="8201" max="8201" width="26.453125" style="114" customWidth="1"/>
    <col min="8202" max="8446" width="9.1796875" style="114"/>
    <col min="8447" max="8447" width="8.7265625" style="114" bestFit="1" customWidth="1"/>
    <col min="8448" max="8448" width="13.26953125" style="114" customWidth="1"/>
    <col min="8449" max="8449" width="16.1796875" style="114" bestFit="1" customWidth="1"/>
    <col min="8450" max="8450" width="23.54296875" style="114" customWidth="1"/>
    <col min="8451" max="8451" width="17.26953125" style="114" customWidth="1"/>
    <col min="8452" max="8452" width="20.54296875" style="114" bestFit="1" customWidth="1"/>
    <col min="8453" max="8453" width="17.1796875" style="114" customWidth="1"/>
    <col min="8454" max="8454" width="21.81640625" style="114" bestFit="1" customWidth="1"/>
    <col min="8455" max="8455" width="17.1796875" style="114" bestFit="1" customWidth="1"/>
    <col min="8456" max="8456" width="18.1796875" style="114" bestFit="1" customWidth="1"/>
    <col min="8457" max="8457" width="26.453125" style="114" customWidth="1"/>
    <col min="8458" max="8702" width="9.1796875" style="114"/>
    <col min="8703" max="8703" width="8.7265625" style="114" bestFit="1" customWidth="1"/>
    <col min="8704" max="8704" width="13.26953125" style="114" customWidth="1"/>
    <col min="8705" max="8705" width="16.1796875" style="114" bestFit="1" customWidth="1"/>
    <col min="8706" max="8706" width="23.54296875" style="114" customWidth="1"/>
    <col min="8707" max="8707" width="17.26953125" style="114" customWidth="1"/>
    <col min="8708" max="8708" width="20.54296875" style="114" bestFit="1" customWidth="1"/>
    <col min="8709" max="8709" width="17.1796875" style="114" customWidth="1"/>
    <col min="8710" max="8710" width="21.81640625" style="114" bestFit="1" customWidth="1"/>
    <col min="8711" max="8711" width="17.1796875" style="114" bestFit="1" customWidth="1"/>
    <col min="8712" max="8712" width="18.1796875" style="114" bestFit="1" customWidth="1"/>
    <col min="8713" max="8713" width="26.453125" style="114" customWidth="1"/>
    <col min="8714" max="8958" width="9.1796875" style="114"/>
    <col min="8959" max="8959" width="8.7265625" style="114" bestFit="1" customWidth="1"/>
    <col min="8960" max="8960" width="13.26953125" style="114" customWidth="1"/>
    <col min="8961" max="8961" width="16.1796875" style="114" bestFit="1" customWidth="1"/>
    <col min="8962" max="8962" width="23.54296875" style="114" customWidth="1"/>
    <col min="8963" max="8963" width="17.26953125" style="114" customWidth="1"/>
    <col min="8964" max="8964" width="20.54296875" style="114" bestFit="1" customWidth="1"/>
    <col min="8965" max="8965" width="17.1796875" style="114" customWidth="1"/>
    <col min="8966" max="8966" width="21.81640625" style="114" bestFit="1" customWidth="1"/>
    <col min="8967" max="8967" width="17.1796875" style="114" bestFit="1" customWidth="1"/>
    <col min="8968" max="8968" width="18.1796875" style="114" bestFit="1" customWidth="1"/>
    <col min="8969" max="8969" width="26.453125" style="114" customWidth="1"/>
    <col min="8970" max="9214" width="9.1796875" style="114"/>
    <col min="9215" max="9215" width="8.7265625" style="114" bestFit="1" customWidth="1"/>
    <col min="9216" max="9216" width="13.26953125" style="114" customWidth="1"/>
    <col min="9217" max="9217" width="16.1796875" style="114" bestFit="1" customWidth="1"/>
    <col min="9218" max="9218" width="23.54296875" style="114" customWidth="1"/>
    <col min="9219" max="9219" width="17.26953125" style="114" customWidth="1"/>
    <col min="9220" max="9220" width="20.54296875" style="114" bestFit="1" customWidth="1"/>
    <col min="9221" max="9221" width="17.1796875" style="114" customWidth="1"/>
    <col min="9222" max="9222" width="21.81640625" style="114" bestFit="1" customWidth="1"/>
    <col min="9223" max="9223" width="17.1796875" style="114" bestFit="1" customWidth="1"/>
    <col min="9224" max="9224" width="18.1796875" style="114" bestFit="1" customWidth="1"/>
    <col min="9225" max="9225" width="26.453125" style="114" customWidth="1"/>
    <col min="9226" max="9470" width="9.1796875" style="114"/>
    <col min="9471" max="9471" width="8.7265625" style="114" bestFit="1" customWidth="1"/>
    <col min="9472" max="9472" width="13.26953125" style="114" customWidth="1"/>
    <col min="9473" max="9473" width="16.1796875" style="114" bestFit="1" customWidth="1"/>
    <col min="9474" max="9474" width="23.54296875" style="114" customWidth="1"/>
    <col min="9475" max="9475" width="17.26953125" style="114" customWidth="1"/>
    <col min="9476" max="9476" width="20.54296875" style="114" bestFit="1" customWidth="1"/>
    <col min="9477" max="9477" width="17.1796875" style="114" customWidth="1"/>
    <col min="9478" max="9478" width="21.81640625" style="114" bestFit="1" customWidth="1"/>
    <col min="9479" max="9479" width="17.1796875" style="114" bestFit="1" customWidth="1"/>
    <col min="9480" max="9480" width="18.1796875" style="114" bestFit="1" customWidth="1"/>
    <col min="9481" max="9481" width="26.453125" style="114" customWidth="1"/>
    <col min="9482" max="9726" width="9.1796875" style="114"/>
    <col min="9727" max="9727" width="8.7265625" style="114" bestFit="1" customWidth="1"/>
    <col min="9728" max="9728" width="13.26953125" style="114" customWidth="1"/>
    <col min="9729" max="9729" width="16.1796875" style="114" bestFit="1" customWidth="1"/>
    <col min="9730" max="9730" width="23.54296875" style="114" customWidth="1"/>
    <col min="9731" max="9731" width="17.26953125" style="114" customWidth="1"/>
    <col min="9732" max="9732" width="20.54296875" style="114" bestFit="1" customWidth="1"/>
    <col min="9733" max="9733" width="17.1796875" style="114" customWidth="1"/>
    <col min="9734" max="9734" width="21.81640625" style="114" bestFit="1" customWidth="1"/>
    <col min="9735" max="9735" width="17.1796875" style="114" bestFit="1" customWidth="1"/>
    <col min="9736" max="9736" width="18.1796875" style="114" bestFit="1" customWidth="1"/>
    <col min="9737" max="9737" width="26.453125" style="114" customWidth="1"/>
    <col min="9738" max="9982" width="9.1796875" style="114"/>
    <col min="9983" max="9983" width="8.7265625" style="114" bestFit="1" customWidth="1"/>
    <col min="9984" max="9984" width="13.26953125" style="114" customWidth="1"/>
    <col min="9985" max="9985" width="16.1796875" style="114" bestFit="1" customWidth="1"/>
    <col min="9986" max="9986" width="23.54296875" style="114" customWidth="1"/>
    <col min="9987" max="9987" width="17.26953125" style="114" customWidth="1"/>
    <col min="9988" max="9988" width="20.54296875" style="114" bestFit="1" customWidth="1"/>
    <col min="9989" max="9989" width="17.1796875" style="114" customWidth="1"/>
    <col min="9990" max="9990" width="21.81640625" style="114" bestFit="1" customWidth="1"/>
    <col min="9991" max="9991" width="17.1796875" style="114" bestFit="1" customWidth="1"/>
    <col min="9992" max="9992" width="18.1796875" style="114" bestFit="1" customWidth="1"/>
    <col min="9993" max="9993" width="26.453125" style="114" customWidth="1"/>
    <col min="9994" max="10238" width="9.1796875" style="114"/>
    <col min="10239" max="10239" width="8.7265625" style="114" bestFit="1" customWidth="1"/>
    <col min="10240" max="10240" width="13.26953125" style="114" customWidth="1"/>
    <col min="10241" max="10241" width="16.1796875" style="114" bestFit="1" customWidth="1"/>
    <col min="10242" max="10242" width="23.54296875" style="114" customWidth="1"/>
    <col min="10243" max="10243" width="17.26953125" style="114" customWidth="1"/>
    <col min="10244" max="10244" width="20.54296875" style="114" bestFit="1" customWidth="1"/>
    <col min="10245" max="10245" width="17.1796875" style="114" customWidth="1"/>
    <col min="10246" max="10246" width="21.81640625" style="114" bestFit="1" customWidth="1"/>
    <col min="10247" max="10247" width="17.1796875" style="114" bestFit="1" customWidth="1"/>
    <col min="10248" max="10248" width="18.1796875" style="114" bestFit="1" customWidth="1"/>
    <col min="10249" max="10249" width="26.453125" style="114" customWidth="1"/>
    <col min="10250" max="10494" width="9.1796875" style="114"/>
    <col min="10495" max="10495" width="8.7265625" style="114" bestFit="1" customWidth="1"/>
    <col min="10496" max="10496" width="13.26953125" style="114" customWidth="1"/>
    <col min="10497" max="10497" width="16.1796875" style="114" bestFit="1" customWidth="1"/>
    <col min="10498" max="10498" width="23.54296875" style="114" customWidth="1"/>
    <col min="10499" max="10499" width="17.26953125" style="114" customWidth="1"/>
    <col min="10500" max="10500" width="20.54296875" style="114" bestFit="1" customWidth="1"/>
    <col min="10501" max="10501" width="17.1796875" style="114" customWidth="1"/>
    <col min="10502" max="10502" width="21.81640625" style="114" bestFit="1" customWidth="1"/>
    <col min="10503" max="10503" width="17.1796875" style="114" bestFit="1" customWidth="1"/>
    <col min="10504" max="10504" width="18.1796875" style="114" bestFit="1" customWidth="1"/>
    <col min="10505" max="10505" width="26.453125" style="114" customWidth="1"/>
    <col min="10506" max="10750" width="9.1796875" style="114"/>
    <col min="10751" max="10751" width="8.7265625" style="114" bestFit="1" customWidth="1"/>
    <col min="10752" max="10752" width="13.26953125" style="114" customWidth="1"/>
    <col min="10753" max="10753" width="16.1796875" style="114" bestFit="1" customWidth="1"/>
    <col min="10754" max="10754" width="23.54296875" style="114" customWidth="1"/>
    <col min="10755" max="10755" width="17.26953125" style="114" customWidth="1"/>
    <col min="10756" max="10756" width="20.54296875" style="114" bestFit="1" customWidth="1"/>
    <col min="10757" max="10757" width="17.1796875" style="114" customWidth="1"/>
    <col min="10758" max="10758" width="21.81640625" style="114" bestFit="1" customWidth="1"/>
    <col min="10759" max="10759" width="17.1796875" style="114" bestFit="1" customWidth="1"/>
    <col min="10760" max="10760" width="18.1796875" style="114" bestFit="1" customWidth="1"/>
    <col min="10761" max="10761" width="26.453125" style="114" customWidth="1"/>
    <col min="10762" max="11006" width="9.1796875" style="114"/>
    <col min="11007" max="11007" width="8.7265625" style="114" bestFit="1" customWidth="1"/>
    <col min="11008" max="11008" width="13.26953125" style="114" customWidth="1"/>
    <col min="11009" max="11009" width="16.1796875" style="114" bestFit="1" customWidth="1"/>
    <col min="11010" max="11010" width="23.54296875" style="114" customWidth="1"/>
    <col min="11011" max="11011" width="17.26953125" style="114" customWidth="1"/>
    <col min="11012" max="11012" width="20.54296875" style="114" bestFit="1" customWidth="1"/>
    <col min="11013" max="11013" width="17.1796875" style="114" customWidth="1"/>
    <col min="11014" max="11014" width="21.81640625" style="114" bestFit="1" customWidth="1"/>
    <col min="11015" max="11015" width="17.1796875" style="114" bestFit="1" customWidth="1"/>
    <col min="11016" max="11016" width="18.1796875" style="114" bestFit="1" customWidth="1"/>
    <col min="11017" max="11017" width="26.453125" style="114" customWidth="1"/>
    <col min="11018" max="11262" width="9.1796875" style="114"/>
    <col min="11263" max="11263" width="8.7265625" style="114" bestFit="1" customWidth="1"/>
    <col min="11264" max="11264" width="13.26953125" style="114" customWidth="1"/>
    <col min="11265" max="11265" width="16.1796875" style="114" bestFit="1" customWidth="1"/>
    <col min="11266" max="11266" width="23.54296875" style="114" customWidth="1"/>
    <col min="11267" max="11267" width="17.26953125" style="114" customWidth="1"/>
    <col min="11268" max="11268" width="20.54296875" style="114" bestFit="1" customWidth="1"/>
    <col min="11269" max="11269" width="17.1796875" style="114" customWidth="1"/>
    <col min="11270" max="11270" width="21.81640625" style="114" bestFit="1" customWidth="1"/>
    <col min="11271" max="11271" width="17.1796875" style="114" bestFit="1" customWidth="1"/>
    <col min="11272" max="11272" width="18.1796875" style="114" bestFit="1" customWidth="1"/>
    <col min="11273" max="11273" width="26.453125" style="114" customWidth="1"/>
    <col min="11274" max="11518" width="9.1796875" style="114"/>
    <col min="11519" max="11519" width="8.7265625" style="114" bestFit="1" customWidth="1"/>
    <col min="11520" max="11520" width="13.26953125" style="114" customWidth="1"/>
    <col min="11521" max="11521" width="16.1796875" style="114" bestFit="1" customWidth="1"/>
    <col min="11522" max="11522" width="23.54296875" style="114" customWidth="1"/>
    <col min="11523" max="11523" width="17.26953125" style="114" customWidth="1"/>
    <col min="11524" max="11524" width="20.54296875" style="114" bestFit="1" customWidth="1"/>
    <col min="11525" max="11525" width="17.1796875" style="114" customWidth="1"/>
    <col min="11526" max="11526" width="21.81640625" style="114" bestFit="1" customWidth="1"/>
    <col min="11527" max="11527" width="17.1796875" style="114" bestFit="1" customWidth="1"/>
    <col min="11528" max="11528" width="18.1796875" style="114" bestFit="1" customWidth="1"/>
    <col min="11529" max="11529" width="26.453125" style="114" customWidth="1"/>
    <col min="11530" max="11774" width="9.1796875" style="114"/>
    <col min="11775" max="11775" width="8.7265625" style="114" bestFit="1" customWidth="1"/>
    <col min="11776" max="11776" width="13.26953125" style="114" customWidth="1"/>
    <col min="11777" max="11777" width="16.1796875" style="114" bestFit="1" customWidth="1"/>
    <col min="11778" max="11778" width="23.54296875" style="114" customWidth="1"/>
    <col min="11779" max="11779" width="17.26953125" style="114" customWidth="1"/>
    <col min="11780" max="11780" width="20.54296875" style="114" bestFit="1" customWidth="1"/>
    <col min="11781" max="11781" width="17.1796875" style="114" customWidth="1"/>
    <col min="11782" max="11782" width="21.81640625" style="114" bestFit="1" customWidth="1"/>
    <col min="11783" max="11783" width="17.1796875" style="114" bestFit="1" customWidth="1"/>
    <col min="11784" max="11784" width="18.1796875" style="114" bestFit="1" customWidth="1"/>
    <col min="11785" max="11785" width="26.453125" style="114" customWidth="1"/>
    <col min="11786" max="12030" width="9.1796875" style="114"/>
    <col min="12031" max="12031" width="8.7265625" style="114" bestFit="1" customWidth="1"/>
    <col min="12032" max="12032" width="13.26953125" style="114" customWidth="1"/>
    <col min="12033" max="12033" width="16.1796875" style="114" bestFit="1" customWidth="1"/>
    <col min="12034" max="12034" width="23.54296875" style="114" customWidth="1"/>
    <col min="12035" max="12035" width="17.26953125" style="114" customWidth="1"/>
    <col min="12036" max="12036" width="20.54296875" style="114" bestFit="1" customWidth="1"/>
    <col min="12037" max="12037" width="17.1796875" style="114" customWidth="1"/>
    <col min="12038" max="12038" width="21.81640625" style="114" bestFit="1" customWidth="1"/>
    <col min="12039" max="12039" width="17.1796875" style="114" bestFit="1" customWidth="1"/>
    <col min="12040" max="12040" width="18.1796875" style="114" bestFit="1" customWidth="1"/>
    <col min="12041" max="12041" width="26.453125" style="114" customWidth="1"/>
    <col min="12042" max="12286" width="9.1796875" style="114"/>
    <col min="12287" max="12287" width="8.7265625" style="114" bestFit="1" customWidth="1"/>
    <col min="12288" max="12288" width="13.26953125" style="114" customWidth="1"/>
    <col min="12289" max="12289" width="16.1796875" style="114" bestFit="1" customWidth="1"/>
    <col min="12290" max="12290" width="23.54296875" style="114" customWidth="1"/>
    <col min="12291" max="12291" width="17.26953125" style="114" customWidth="1"/>
    <col min="12292" max="12292" width="20.54296875" style="114" bestFit="1" customWidth="1"/>
    <col min="12293" max="12293" width="17.1796875" style="114" customWidth="1"/>
    <col min="12294" max="12294" width="21.81640625" style="114" bestFit="1" customWidth="1"/>
    <col min="12295" max="12295" width="17.1796875" style="114" bestFit="1" customWidth="1"/>
    <col min="12296" max="12296" width="18.1796875" style="114" bestFit="1" customWidth="1"/>
    <col min="12297" max="12297" width="26.453125" style="114" customWidth="1"/>
    <col min="12298" max="12542" width="9.1796875" style="114"/>
    <col min="12543" max="12543" width="8.7265625" style="114" bestFit="1" customWidth="1"/>
    <col min="12544" max="12544" width="13.26953125" style="114" customWidth="1"/>
    <col min="12545" max="12545" width="16.1796875" style="114" bestFit="1" customWidth="1"/>
    <col min="12546" max="12546" width="23.54296875" style="114" customWidth="1"/>
    <col min="12547" max="12547" width="17.26953125" style="114" customWidth="1"/>
    <col min="12548" max="12548" width="20.54296875" style="114" bestFit="1" customWidth="1"/>
    <col min="12549" max="12549" width="17.1796875" style="114" customWidth="1"/>
    <col min="12550" max="12550" width="21.81640625" style="114" bestFit="1" customWidth="1"/>
    <col min="12551" max="12551" width="17.1796875" style="114" bestFit="1" customWidth="1"/>
    <col min="12552" max="12552" width="18.1796875" style="114" bestFit="1" customWidth="1"/>
    <col min="12553" max="12553" width="26.453125" style="114" customWidth="1"/>
    <col min="12554" max="12798" width="9.1796875" style="114"/>
    <col min="12799" max="12799" width="8.7265625" style="114" bestFit="1" customWidth="1"/>
    <col min="12800" max="12800" width="13.26953125" style="114" customWidth="1"/>
    <col min="12801" max="12801" width="16.1796875" style="114" bestFit="1" customWidth="1"/>
    <col min="12802" max="12802" width="23.54296875" style="114" customWidth="1"/>
    <col min="12803" max="12803" width="17.26953125" style="114" customWidth="1"/>
    <col min="12804" max="12804" width="20.54296875" style="114" bestFit="1" customWidth="1"/>
    <col min="12805" max="12805" width="17.1796875" style="114" customWidth="1"/>
    <col min="12806" max="12806" width="21.81640625" style="114" bestFit="1" customWidth="1"/>
    <col min="12807" max="12807" width="17.1796875" style="114" bestFit="1" customWidth="1"/>
    <col min="12808" max="12808" width="18.1796875" style="114" bestFit="1" customWidth="1"/>
    <col min="12809" max="12809" width="26.453125" style="114" customWidth="1"/>
    <col min="12810" max="13054" width="9.1796875" style="114"/>
    <col min="13055" max="13055" width="8.7265625" style="114" bestFit="1" customWidth="1"/>
    <col min="13056" max="13056" width="13.26953125" style="114" customWidth="1"/>
    <col min="13057" max="13057" width="16.1796875" style="114" bestFit="1" customWidth="1"/>
    <col min="13058" max="13058" width="23.54296875" style="114" customWidth="1"/>
    <col min="13059" max="13059" width="17.26953125" style="114" customWidth="1"/>
    <col min="13060" max="13060" width="20.54296875" style="114" bestFit="1" customWidth="1"/>
    <col min="13061" max="13061" width="17.1796875" style="114" customWidth="1"/>
    <col min="13062" max="13062" width="21.81640625" style="114" bestFit="1" customWidth="1"/>
    <col min="13063" max="13063" width="17.1796875" style="114" bestFit="1" customWidth="1"/>
    <col min="13064" max="13064" width="18.1796875" style="114" bestFit="1" customWidth="1"/>
    <col min="13065" max="13065" width="26.453125" style="114" customWidth="1"/>
    <col min="13066" max="13310" width="9.1796875" style="114"/>
    <col min="13311" max="13311" width="8.7265625" style="114" bestFit="1" customWidth="1"/>
    <col min="13312" max="13312" width="13.26953125" style="114" customWidth="1"/>
    <col min="13313" max="13313" width="16.1796875" style="114" bestFit="1" customWidth="1"/>
    <col min="13314" max="13314" width="23.54296875" style="114" customWidth="1"/>
    <col min="13315" max="13315" width="17.26953125" style="114" customWidth="1"/>
    <col min="13316" max="13316" width="20.54296875" style="114" bestFit="1" customWidth="1"/>
    <col min="13317" max="13317" width="17.1796875" style="114" customWidth="1"/>
    <col min="13318" max="13318" width="21.81640625" style="114" bestFit="1" customWidth="1"/>
    <col min="13319" max="13319" width="17.1796875" style="114" bestFit="1" customWidth="1"/>
    <col min="13320" max="13320" width="18.1796875" style="114" bestFit="1" customWidth="1"/>
    <col min="13321" max="13321" width="26.453125" style="114" customWidth="1"/>
    <col min="13322" max="13566" width="9.1796875" style="114"/>
    <col min="13567" max="13567" width="8.7265625" style="114" bestFit="1" customWidth="1"/>
    <col min="13568" max="13568" width="13.26953125" style="114" customWidth="1"/>
    <col min="13569" max="13569" width="16.1796875" style="114" bestFit="1" customWidth="1"/>
    <col min="13570" max="13570" width="23.54296875" style="114" customWidth="1"/>
    <col min="13571" max="13571" width="17.26953125" style="114" customWidth="1"/>
    <col min="13572" max="13572" width="20.54296875" style="114" bestFit="1" customWidth="1"/>
    <col min="13573" max="13573" width="17.1796875" style="114" customWidth="1"/>
    <col min="13574" max="13574" width="21.81640625" style="114" bestFit="1" customWidth="1"/>
    <col min="13575" max="13575" width="17.1796875" style="114" bestFit="1" customWidth="1"/>
    <col min="13576" max="13576" width="18.1796875" style="114" bestFit="1" customWidth="1"/>
    <col min="13577" max="13577" width="26.453125" style="114" customWidth="1"/>
    <col min="13578" max="13822" width="9.1796875" style="114"/>
    <col min="13823" max="13823" width="8.7265625" style="114" bestFit="1" customWidth="1"/>
    <col min="13824" max="13824" width="13.26953125" style="114" customWidth="1"/>
    <col min="13825" max="13825" width="16.1796875" style="114" bestFit="1" customWidth="1"/>
    <col min="13826" max="13826" width="23.54296875" style="114" customWidth="1"/>
    <col min="13827" max="13827" width="17.26953125" style="114" customWidth="1"/>
    <col min="13828" max="13828" width="20.54296875" style="114" bestFit="1" customWidth="1"/>
    <col min="13829" max="13829" width="17.1796875" style="114" customWidth="1"/>
    <col min="13830" max="13830" width="21.81640625" style="114" bestFit="1" customWidth="1"/>
    <col min="13831" max="13831" width="17.1796875" style="114" bestFit="1" customWidth="1"/>
    <col min="13832" max="13832" width="18.1796875" style="114" bestFit="1" customWidth="1"/>
    <col min="13833" max="13833" width="26.453125" style="114" customWidth="1"/>
    <col min="13834" max="14078" width="9.1796875" style="114"/>
    <col min="14079" max="14079" width="8.7265625" style="114" bestFit="1" customWidth="1"/>
    <col min="14080" max="14080" width="13.26953125" style="114" customWidth="1"/>
    <col min="14081" max="14081" width="16.1796875" style="114" bestFit="1" customWidth="1"/>
    <col min="14082" max="14082" width="23.54296875" style="114" customWidth="1"/>
    <col min="14083" max="14083" width="17.26953125" style="114" customWidth="1"/>
    <col min="14084" max="14084" width="20.54296875" style="114" bestFit="1" customWidth="1"/>
    <col min="14085" max="14085" width="17.1796875" style="114" customWidth="1"/>
    <col min="14086" max="14086" width="21.81640625" style="114" bestFit="1" customWidth="1"/>
    <col min="14087" max="14087" width="17.1796875" style="114" bestFit="1" customWidth="1"/>
    <col min="14088" max="14088" width="18.1796875" style="114" bestFit="1" customWidth="1"/>
    <col min="14089" max="14089" width="26.453125" style="114" customWidth="1"/>
    <col min="14090" max="14334" width="9.1796875" style="114"/>
    <col min="14335" max="14335" width="8.7265625" style="114" bestFit="1" customWidth="1"/>
    <col min="14336" max="14336" width="13.26953125" style="114" customWidth="1"/>
    <col min="14337" max="14337" width="16.1796875" style="114" bestFit="1" customWidth="1"/>
    <col min="14338" max="14338" width="23.54296875" style="114" customWidth="1"/>
    <col min="14339" max="14339" width="17.26953125" style="114" customWidth="1"/>
    <col min="14340" max="14340" width="20.54296875" style="114" bestFit="1" customWidth="1"/>
    <col min="14341" max="14341" width="17.1796875" style="114" customWidth="1"/>
    <col min="14342" max="14342" width="21.81640625" style="114" bestFit="1" customWidth="1"/>
    <col min="14343" max="14343" width="17.1796875" style="114" bestFit="1" customWidth="1"/>
    <col min="14344" max="14344" width="18.1796875" style="114" bestFit="1" customWidth="1"/>
    <col min="14345" max="14345" width="26.453125" style="114" customWidth="1"/>
    <col min="14346" max="14590" width="9.1796875" style="114"/>
    <col min="14591" max="14591" width="8.7265625" style="114" bestFit="1" customWidth="1"/>
    <col min="14592" max="14592" width="13.26953125" style="114" customWidth="1"/>
    <col min="14593" max="14593" width="16.1796875" style="114" bestFit="1" customWidth="1"/>
    <col min="14594" max="14594" width="23.54296875" style="114" customWidth="1"/>
    <col min="14595" max="14595" width="17.26953125" style="114" customWidth="1"/>
    <col min="14596" max="14596" width="20.54296875" style="114" bestFit="1" customWidth="1"/>
    <col min="14597" max="14597" width="17.1796875" style="114" customWidth="1"/>
    <col min="14598" max="14598" width="21.81640625" style="114" bestFit="1" customWidth="1"/>
    <col min="14599" max="14599" width="17.1796875" style="114" bestFit="1" customWidth="1"/>
    <col min="14600" max="14600" width="18.1796875" style="114" bestFit="1" customWidth="1"/>
    <col min="14601" max="14601" width="26.453125" style="114" customWidth="1"/>
    <col min="14602" max="14846" width="9.1796875" style="114"/>
    <col min="14847" max="14847" width="8.7265625" style="114" bestFit="1" customWidth="1"/>
    <col min="14848" max="14848" width="13.26953125" style="114" customWidth="1"/>
    <col min="14849" max="14849" width="16.1796875" style="114" bestFit="1" customWidth="1"/>
    <col min="14850" max="14850" width="23.54296875" style="114" customWidth="1"/>
    <col min="14851" max="14851" width="17.26953125" style="114" customWidth="1"/>
    <col min="14852" max="14852" width="20.54296875" style="114" bestFit="1" customWidth="1"/>
    <col min="14853" max="14853" width="17.1796875" style="114" customWidth="1"/>
    <col min="14854" max="14854" width="21.81640625" style="114" bestFit="1" customWidth="1"/>
    <col min="14855" max="14855" width="17.1796875" style="114" bestFit="1" customWidth="1"/>
    <col min="14856" max="14856" width="18.1796875" style="114" bestFit="1" customWidth="1"/>
    <col min="14857" max="14857" width="26.453125" style="114" customWidth="1"/>
    <col min="14858" max="15102" width="9.1796875" style="114"/>
    <col min="15103" max="15103" width="8.7265625" style="114" bestFit="1" customWidth="1"/>
    <col min="15104" max="15104" width="13.26953125" style="114" customWidth="1"/>
    <col min="15105" max="15105" width="16.1796875" style="114" bestFit="1" customWidth="1"/>
    <col min="15106" max="15106" width="23.54296875" style="114" customWidth="1"/>
    <col min="15107" max="15107" width="17.26953125" style="114" customWidth="1"/>
    <col min="15108" max="15108" width="20.54296875" style="114" bestFit="1" customWidth="1"/>
    <col min="15109" max="15109" width="17.1796875" style="114" customWidth="1"/>
    <col min="15110" max="15110" width="21.81640625" style="114" bestFit="1" customWidth="1"/>
    <col min="15111" max="15111" width="17.1796875" style="114" bestFit="1" customWidth="1"/>
    <col min="15112" max="15112" width="18.1796875" style="114" bestFit="1" customWidth="1"/>
    <col min="15113" max="15113" width="26.453125" style="114" customWidth="1"/>
    <col min="15114" max="15358" width="9.1796875" style="114"/>
    <col min="15359" max="15359" width="8.7265625" style="114" bestFit="1" customWidth="1"/>
    <col min="15360" max="15360" width="13.26953125" style="114" customWidth="1"/>
    <col min="15361" max="15361" width="16.1796875" style="114" bestFit="1" customWidth="1"/>
    <col min="15362" max="15362" width="23.54296875" style="114" customWidth="1"/>
    <col min="15363" max="15363" width="17.26953125" style="114" customWidth="1"/>
    <col min="15364" max="15364" width="20.54296875" style="114" bestFit="1" customWidth="1"/>
    <col min="15365" max="15365" width="17.1796875" style="114" customWidth="1"/>
    <col min="15366" max="15366" width="21.81640625" style="114" bestFit="1" customWidth="1"/>
    <col min="15367" max="15367" width="17.1796875" style="114" bestFit="1" customWidth="1"/>
    <col min="15368" max="15368" width="18.1796875" style="114" bestFit="1" customWidth="1"/>
    <col min="15369" max="15369" width="26.453125" style="114" customWidth="1"/>
    <col min="15370" max="15614" width="9.1796875" style="114"/>
    <col min="15615" max="15615" width="8.7265625" style="114" bestFit="1" customWidth="1"/>
    <col min="15616" max="15616" width="13.26953125" style="114" customWidth="1"/>
    <col min="15617" max="15617" width="16.1796875" style="114" bestFit="1" customWidth="1"/>
    <col min="15618" max="15618" width="23.54296875" style="114" customWidth="1"/>
    <col min="15619" max="15619" width="17.26953125" style="114" customWidth="1"/>
    <col min="15620" max="15620" width="20.54296875" style="114" bestFit="1" customWidth="1"/>
    <col min="15621" max="15621" width="17.1796875" style="114" customWidth="1"/>
    <col min="15622" max="15622" width="21.81640625" style="114" bestFit="1" customWidth="1"/>
    <col min="15623" max="15623" width="17.1796875" style="114" bestFit="1" customWidth="1"/>
    <col min="15624" max="15624" width="18.1796875" style="114" bestFit="1" customWidth="1"/>
    <col min="15625" max="15625" width="26.453125" style="114" customWidth="1"/>
    <col min="15626" max="15870" width="9.1796875" style="114"/>
    <col min="15871" max="15871" width="8.7265625" style="114" bestFit="1" customWidth="1"/>
    <col min="15872" max="15872" width="13.26953125" style="114" customWidth="1"/>
    <col min="15873" max="15873" width="16.1796875" style="114" bestFit="1" customWidth="1"/>
    <col min="15874" max="15874" width="23.54296875" style="114" customWidth="1"/>
    <col min="15875" max="15875" width="17.26953125" style="114" customWidth="1"/>
    <col min="15876" max="15876" width="20.54296875" style="114" bestFit="1" customWidth="1"/>
    <col min="15877" max="15877" width="17.1796875" style="114" customWidth="1"/>
    <col min="15878" max="15878" width="21.81640625" style="114" bestFit="1" customWidth="1"/>
    <col min="15879" max="15879" width="17.1796875" style="114" bestFit="1" customWidth="1"/>
    <col min="15880" max="15880" width="18.1796875" style="114" bestFit="1" customWidth="1"/>
    <col min="15881" max="15881" width="26.453125" style="114" customWidth="1"/>
    <col min="15882" max="16126" width="9.1796875" style="114"/>
    <col min="16127" max="16127" width="8.7265625" style="114" bestFit="1" customWidth="1"/>
    <col min="16128" max="16128" width="13.26953125" style="114" customWidth="1"/>
    <col min="16129" max="16129" width="16.1796875" style="114" bestFit="1" customWidth="1"/>
    <col min="16130" max="16130" width="23.54296875" style="114" customWidth="1"/>
    <col min="16131" max="16131" width="17.26953125" style="114" customWidth="1"/>
    <col min="16132" max="16132" width="20.54296875" style="114" bestFit="1" customWidth="1"/>
    <col min="16133" max="16133" width="17.1796875" style="114" customWidth="1"/>
    <col min="16134" max="16134" width="21.81640625" style="114" bestFit="1" customWidth="1"/>
    <col min="16135" max="16135" width="17.1796875" style="114" bestFit="1" customWidth="1"/>
    <col min="16136" max="16136" width="18.1796875" style="114" bestFit="1" customWidth="1"/>
    <col min="16137" max="16137" width="26.453125" style="114" customWidth="1"/>
    <col min="16138" max="16384" width="9.1796875" style="114"/>
  </cols>
  <sheetData>
    <row r="1" spans="11:12" s="131" customFormat="1">
      <c r="K1" s="470"/>
      <c r="L1" s="469"/>
    </row>
    <row r="2" spans="11:12" s="131" customFormat="1">
      <c r="K2" s="470"/>
      <c r="L2" s="469"/>
    </row>
    <row r="3" spans="11:12" s="131" customFormat="1">
      <c r="K3" s="470"/>
      <c r="L3" s="469"/>
    </row>
    <row r="4" spans="11:12" s="131" customFormat="1">
      <c r="K4" s="470"/>
      <c r="L4" s="469"/>
    </row>
    <row r="5" spans="11:12" s="131" customFormat="1">
      <c r="K5" s="470"/>
      <c r="L5" s="469"/>
    </row>
    <row r="6" spans="11:12" s="131" customFormat="1">
      <c r="K6" s="470"/>
      <c r="L6" s="469"/>
    </row>
    <row r="7" spans="11:12" s="131" customFormat="1">
      <c r="K7" s="470"/>
      <c r="L7" s="469"/>
    </row>
    <row r="8" spans="11:12" s="131" customFormat="1">
      <c r="K8" s="470"/>
      <c r="L8" s="469"/>
    </row>
    <row r="9" spans="11:12" s="131" customFormat="1">
      <c r="K9" s="470"/>
      <c r="L9" s="469"/>
    </row>
    <row r="10" spans="11:12" s="131" customFormat="1">
      <c r="K10" s="470"/>
      <c r="L10" s="469"/>
    </row>
    <row r="11" spans="11:12" s="131" customFormat="1">
      <c r="K11" s="470"/>
      <c r="L11" s="469"/>
    </row>
    <row r="12" spans="11:12" s="131" customFormat="1">
      <c r="K12" s="470"/>
      <c r="L12" s="469"/>
    </row>
    <row r="13" spans="11:12" s="131" customFormat="1">
      <c r="K13" s="470"/>
      <c r="L13" s="469"/>
    </row>
    <row r="14" spans="11:12" s="131" customFormat="1">
      <c r="K14" s="470"/>
      <c r="L14" s="469"/>
    </row>
    <row r="15" spans="11:12" s="131" customFormat="1">
      <c r="K15" s="470"/>
      <c r="L15" s="469"/>
    </row>
    <row r="16" spans="11:12" s="131" customFormat="1">
      <c r="K16" s="470"/>
      <c r="L16" s="469"/>
    </row>
    <row r="17" spans="1:17" s="131" customFormat="1">
      <c r="K17" s="470"/>
      <c r="L17" s="469"/>
    </row>
    <row r="18" spans="1:17" s="131" customFormat="1">
      <c r="K18" s="470"/>
      <c r="L18" s="469"/>
    </row>
    <row r="19" spans="1:17" s="131" customFormat="1">
      <c r="K19" s="470"/>
      <c r="L19" s="469"/>
    </row>
    <row r="20" spans="1:17" s="131" customFormat="1">
      <c r="K20" s="470"/>
      <c r="L20" s="469"/>
    </row>
    <row r="21" spans="1:17" s="131" customFormat="1">
      <c r="K21" s="470"/>
      <c r="L21" s="469"/>
    </row>
    <row r="22" spans="1:17" s="131" customFormat="1">
      <c r="K22" s="470"/>
      <c r="L22" s="469"/>
    </row>
    <row r="23" spans="1:17" s="131" customFormat="1">
      <c r="K23" s="470"/>
      <c r="L23" s="469"/>
    </row>
    <row r="24" spans="1:17" s="131" customFormat="1">
      <c r="K24" s="470"/>
      <c r="L24" s="469"/>
    </row>
    <row r="25" spans="1:17" s="131" customFormat="1">
      <c r="K25" s="470"/>
      <c r="L25" s="469"/>
    </row>
    <row r="26" spans="1:17" s="131" customFormat="1">
      <c r="K26" s="470"/>
      <c r="L26" s="469"/>
    </row>
    <row r="27" spans="1:17" s="131" customFormat="1">
      <c r="K27" s="470"/>
      <c r="L27" s="469"/>
    </row>
    <row r="28" spans="1:17" s="131" customFormat="1" ht="24.75" customHeight="1">
      <c r="A28" s="496" t="str">
        <f>CHOOSE(MODE, 'Variable Mgmt'!K11,'Variable Mgmt'!K12)</f>
        <v>SINGLE Output PSR Flyback Converter, VIN = 24 V, VOUT = 24 V, IOUT = 1 A</v>
      </c>
      <c r="K28" s="469"/>
      <c r="L28" s="469"/>
    </row>
    <row r="29" spans="1:17" ht="24.75" customHeight="1" thickBot="1">
      <c r="A29" s="115" t="s">
        <v>937</v>
      </c>
    </row>
    <row r="30" spans="1:17" ht="18" customHeight="1">
      <c r="A30" s="202" t="s">
        <v>123</v>
      </c>
      <c r="B30" s="203" t="s">
        <v>122</v>
      </c>
      <c r="C30" s="203" t="s">
        <v>6</v>
      </c>
      <c r="D30" s="951" t="s">
        <v>41</v>
      </c>
      <c r="E30" s="952"/>
      <c r="F30" s="953"/>
      <c r="G30" s="203" t="s">
        <v>116</v>
      </c>
      <c r="H30" s="203" t="s">
        <v>67</v>
      </c>
      <c r="I30" s="488" t="s">
        <v>117</v>
      </c>
      <c r="J30" s="489" t="s">
        <v>346</v>
      </c>
      <c r="K30" s="490" t="s">
        <v>354</v>
      </c>
      <c r="L30" s="463"/>
      <c r="N30" s="117"/>
      <c r="Q30" s="495"/>
    </row>
    <row r="31" spans="1:17" s="117" customFormat="1" ht="17.149999999999999" customHeight="1">
      <c r="A31" s="116">
        <f>ROUNDUP('Design Converter'!E30/10,0)</f>
        <v>1</v>
      </c>
      <c r="B31" s="127" t="s">
        <v>120</v>
      </c>
      <c r="C31" s="130">
        <f>Cin</f>
        <v>10</v>
      </c>
      <c r="D31" s="965" t="str">
        <f>IF(VIN_max&gt;35, "Capacitor, Ceramic, "&amp;'Variable Mgmt'!B250&amp;", 100V, X7R, 10%", "Capacitor, Ceramic, "&amp;'Variable Mgmt'!B250&amp;", 50V, X7R, 10%")</f>
        <v>Capacitor, Ceramic, 10µF, 100V, X7R, 10%</v>
      </c>
      <c r="E31" s="966"/>
      <c r="F31" s="966"/>
      <c r="G31" s="128"/>
      <c r="H31" s="129" t="s">
        <v>118</v>
      </c>
      <c r="I31" s="475" t="s">
        <v>118</v>
      </c>
      <c r="J31" s="484" t="str">
        <f>CHOOSE(Q31,'Variable Mgmt'!T78,'Variable Mgmt'!T79,'Variable Mgmt'!T80,'Variable Mgmt'!T81,'Variable Mgmt'!T82)</f>
        <v>1.0 x 0.5</v>
      </c>
      <c r="K31" s="482">
        <f>CHOOSE(Q31,'Variable Mgmt'!U78,'Variable Mgmt'!U79,'Variable Mgmt'!U80,'Variable Mgmt'!U81,'Variable Mgmt'!U82)</f>
        <v>0.5</v>
      </c>
      <c r="L31" s="487"/>
      <c r="Q31" s="493">
        <v>1</v>
      </c>
    </row>
    <row r="32" spans="1:17" s="117" customFormat="1" ht="17.149999999999999" customHeight="1">
      <c r="A32" s="116">
        <v>1</v>
      </c>
      <c r="B32" s="127" t="s">
        <v>121</v>
      </c>
      <c r="C32" s="130">
        <f>Cout</f>
        <v>47</v>
      </c>
      <c r="D32" s="960" t="str">
        <f>CHOOSE(Cout_Voltage_Rating, "Capacitor, Ceramic, "&amp;'Variable Mgmt'!B245&amp;", 6.3V, X7R, 10%", "Capacitor, Ceramic, "&amp;'Variable Mgmt'!B245&amp;", 10V, X7R, 10%", "Capacitor, Ceramic, "&amp;'Variable Mgmt'!B245&amp;", 16V, X7R, 10%", "Capacitor, Ceramic, "&amp;'Variable Mgmt'!B245&amp;", 25V, X7R, 10%",  "Capacitor, Ceramic, "&amp;'Variable Mgmt'!B245&amp;", 50V, X7R, 10%")</f>
        <v>Capacitor, Ceramic, 47µF, 50V, X7R, 10%</v>
      </c>
      <c r="E32" s="961"/>
      <c r="F32" s="961"/>
      <c r="G32" s="128"/>
      <c r="H32" s="129" t="s">
        <v>118</v>
      </c>
      <c r="I32" s="475" t="s">
        <v>118</v>
      </c>
      <c r="J32" s="484" t="str">
        <f>CHOOSE(Q32,'Variable Mgmt'!T78,'Variable Mgmt'!T79,'Variable Mgmt'!T80,'Variable Mgmt'!T81,'Variable Mgmt'!T82)</f>
        <v>3.2 x 2.5</v>
      </c>
      <c r="K32" s="482">
        <f>CHOOSE(Q32,'Variable Mgmt'!U78,'Variable Mgmt'!U79,'Variable Mgmt'!U80,'Variable Mgmt'!U81,'Variable Mgmt'!U82)</f>
        <v>8</v>
      </c>
      <c r="L32" s="487"/>
      <c r="Q32" s="493">
        <v>5</v>
      </c>
    </row>
    <row r="33" spans="1:17" s="117" customFormat="1" ht="17.149999999999999" customHeight="1">
      <c r="A33" s="116" t="str">
        <f>CHOOSE(MODE, "-", "1")</f>
        <v>-</v>
      </c>
      <c r="B33" s="127" t="s">
        <v>625</v>
      </c>
      <c r="C33" s="130" t="str">
        <f>CHOOSE(MODE, "-", Cout2)</f>
        <v>-</v>
      </c>
      <c r="D33" s="598" t="str">
        <f>CHOOSE(MODE, "-", CHOOSE(Cout_Voltage_Rating, "Capacitor, Ceramic, "&amp;'Variable Mgmt'!F245&amp;", 6.3V, X7R, 10%", "Capacitor, Ceramic, "&amp;'Variable Mgmt'!F245&amp;", 10V, X7R, 10%", "Capacitor, Ceramic, "&amp;'Variable Mgmt'!F245&amp;", 16V, X7R, 10%", "Capacitor, Ceramic, "&amp;'Variable Mgmt'!F245&amp;", 25V, X7R, 10%",  "Capacitor, Ceramic, "&amp;'Variable Mgmt'!F245&amp;", 50V, X7R, 10%"))</f>
        <v>-</v>
      </c>
      <c r="E33" s="599"/>
      <c r="F33" s="599"/>
      <c r="G33" s="128"/>
      <c r="H33" s="129" t="str">
        <f>CHOOSE(MODE, "-", "Std")</f>
        <v>-</v>
      </c>
      <c r="I33" s="475" t="str">
        <f>CHOOSE(MODE, "-", "Std")</f>
        <v>-</v>
      </c>
      <c r="J33" s="484" t="str">
        <f>CHOOSE(MODE, "-", CHOOSE(Q33,'Variable Mgmt'!T78,'Variable Mgmt'!T79,'Variable Mgmt'!T80,'Variable Mgmt'!T81,'Variable Mgmt'!T82))</f>
        <v>-</v>
      </c>
      <c r="K33" s="482" t="str">
        <f>CHOOSE(MODE, "-", CHOOSE(Q33,'Variable Mgmt'!U78,'Variable Mgmt'!U79,'Variable Mgmt'!U80,'Variable Mgmt'!U81,'Variable Mgmt'!U82))</f>
        <v>-</v>
      </c>
      <c r="L33" s="487"/>
      <c r="Q33" s="493">
        <v>5</v>
      </c>
    </row>
    <row r="34" spans="1:17" s="117" customFormat="1" ht="17.149999999999999" customHeight="1">
      <c r="A34" s="118" t="str">
        <f>CHOOSE(MODE_SS, "1", "-", "1")</f>
        <v>1</v>
      </c>
      <c r="B34" s="119" t="str">
        <f>CHOOSE(MODE_SS, "Css", "-")</f>
        <v>Css</v>
      </c>
      <c r="C34" s="620" t="str">
        <f>CHOOSE(MODE_SS, 'Standard Value Calculator'!B4*1000000000&amp;"nF", "-", "100k")</f>
        <v>100nF</v>
      </c>
      <c r="D34" s="962" t="str">
        <f>CHOOSE(MODE_SS, "Capacitor, Ceramic, "&amp;'Standard Value Calculator'!B4*1000000000&amp;"nF"&amp;", 16V, X7R, 10%", "-")</f>
        <v>Capacitor, Ceramic, 100nF, 16V, X7R, 10%</v>
      </c>
      <c r="E34" s="963"/>
      <c r="F34" s="963"/>
      <c r="G34" s="120"/>
      <c r="H34" s="121" t="str">
        <f>CHOOSE(MODE_SS, "Std", "-")</f>
        <v>Std</v>
      </c>
      <c r="I34" s="476" t="str">
        <f>CHOOSE(MODE_SS, "Std", "-")</f>
        <v>Std</v>
      </c>
      <c r="J34" s="484" t="e">
        <f>CHOOSE(MODE_SS,CHOOSE(Q34,'Variable Mgmt'!T78,'Variable Mgmt'!T79,'Variable Mgmt'!T80),"-",CHOOSE(Q34,'Variable Mgmt'!T78,'Variable Mgmt'!T79,'Variable Mgmt'!T80))</f>
        <v>#VALUE!</v>
      </c>
      <c r="K34" s="482" t="e">
        <f>CHOOSE(MODE_SS, CHOOSE(Q34,'Variable Mgmt'!U78,'Variable Mgmt'!U79,'Variable Mgmt'!U80), "-", CHOOSE(Q34,'Variable Mgmt'!U78,'Variable Mgmt'!U79,'Variable Mgmt'!U80))</f>
        <v>#VALUE!</v>
      </c>
      <c r="L34" s="487"/>
      <c r="Q34" s="493">
        <v>5</v>
      </c>
    </row>
    <row r="35" spans="1:17" s="117" customFormat="1" ht="17.149999999999999" customHeight="1">
      <c r="A35" s="118">
        <v>1</v>
      </c>
      <c r="B35" s="119" t="s">
        <v>929</v>
      </c>
      <c r="C35" s="620" t="str">
        <f>'Design Converter'!E62&amp;"nF"</f>
        <v>10nF</v>
      </c>
      <c r="D35" s="900" t="str">
        <f>"Capacitor, Ceramic, "&amp;C35&amp;", 16V, X7R, 10%"</f>
        <v>Capacitor, Ceramic, 10nF, 16V, X7R, 10%</v>
      </c>
      <c r="E35" s="901"/>
      <c r="F35" s="901"/>
      <c r="G35" s="128"/>
      <c r="H35" s="129" t="str">
        <f>CHOOSE(MODE, "-", "Std")</f>
        <v>-</v>
      </c>
      <c r="I35" s="475" t="str">
        <f>CHOOSE(MODE, "-", "Std")</f>
        <v>-</v>
      </c>
      <c r="J35" s="484" t="str">
        <f>CHOOSE(Q35,'Variable Mgmt'!T78,'Variable Mgmt'!T79,'Variable Mgmt'!T80,'Variable Mgmt'!T81,'Variable Mgmt'!T82)</f>
        <v>2.0 x 1.25</v>
      </c>
      <c r="K35" s="482">
        <f>CHOOSE(Q35,'Variable Mgmt'!U78,'Variable Mgmt'!U79,'Variable Mgmt'!U80,'Variable Mgmt'!U81,'Variable Mgmt'!U82)</f>
        <v>2.5</v>
      </c>
      <c r="L35" s="487"/>
      <c r="Q35" s="493">
        <v>3</v>
      </c>
    </row>
    <row r="36" spans="1:17" s="117" customFormat="1" ht="17.149999999999999" customHeight="1">
      <c r="A36" s="118">
        <v>1</v>
      </c>
      <c r="B36" s="119" t="s">
        <v>930</v>
      </c>
      <c r="C36" s="620" t="str">
        <f>'Design Converter'!E64&amp;"pF"</f>
        <v>72pF</v>
      </c>
      <c r="D36" s="900" t="str">
        <f>"Capacitor, Ceramic, "&amp;C36&amp;", 50V, X7R, 10%"</f>
        <v>Capacitor, Ceramic, 72pF, 50V, X7R, 10%</v>
      </c>
      <c r="E36" s="901"/>
      <c r="F36" s="901"/>
      <c r="G36" s="128"/>
      <c r="H36" s="129" t="str">
        <f>CHOOSE(MODE, "-", "Std")</f>
        <v>-</v>
      </c>
      <c r="I36" s="475" t="str">
        <f>CHOOSE(MODE, "-", "Std")</f>
        <v>-</v>
      </c>
      <c r="J36" s="484" t="str">
        <f>CHOOSE(Q36,'Variable Mgmt'!T78,'Variable Mgmt'!T79,'Variable Mgmt'!T80,'Variable Mgmt'!T81,'Variable Mgmt'!T82)</f>
        <v>3.2 x 1.6</v>
      </c>
      <c r="K36" s="482">
        <f>CHOOSE(Q36,'Variable Mgmt'!U78,'Variable Mgmt'!U79,'Variable Mgmt'!U80,'Variable Mgmt'!U81,'Variable Mgmt'!U82)</f>
        <v>5.0999999999999996</v>
      </c>
      <c r="L36" s="487"/>
      <c r="Q36" s="493">
        <v>4</v>
      </c>
    </row>
    <row r="37" spans="1:17" s="117" customFormat="1" ht="17.149999999999999" customHeight="1">
      <c r="A37" s="118">
        <v>1</v>
      </c>
      <c r="B37" s="119" t="s">
        <v>927</v>
      </c>
      <c r="C37" s="130">
        <v>1</v>
      </c>
      <c r="D37" s="960" t="s">
        <v>928</v>
      </c>
      <c r="E37" s="961"/>
      <c r="F37" s="961"/>
      <c r="G37" s="128"/>
      <c r="H37" s="129" t="s">
        <v>118</v>
      </c>
      <c r="I37" s="475" t="s">
        <v>118</v>
      </c>
      <c r="J37" s="484" t="str">
        <f>CHOOSE(Q37,'Variable Mgmt'!T78,'Variable Mgmt'!T79,'Variable Mgmt'!T80,'Variable Mgmt'!T81,'Variable Mgmt'!T82)</f>
        <v>1.6 x 0.8</v>
      </c>
      <c r="K37" s="482">
        <f>CHOOSE(Q37,'Variable Mgmt'!U78,'Variable Mgmt'!U79,'Variable Mgmt'!U80,'Variable Mgmt'!U81,'Variable Mgmt'!U82)</f>
        <v>1.3</v>
      </c>
      <c r="L37" s="487"/>
      <c r="Q37" s="493">
        <v>2</v>
      </c>
    </row>
    <row r="38" spans="1:17" s="117" customFormat="1" ht="17.149999999999999" customHeight="1">
      <c r="A38" s="118">
        <v>1</v>
      </c>
      <c r="B38" s="119" t="s">
        <v>934</v>
      </c>
      <c r="C38" s="130" t="s">
        <v>869</v>
      </c>
      <c r="D38" s="960" t="s">
        <v>935</v>
      </c>
      <c r="E38" s="961"/>
      <c r="F38" s="961"/>
      <c r="G38" s="128"/>
      <c r="H38" s="129" t="str">
        <f>CHOOSE(MODE, "-", "Std")</f>
        <v>-</v>
      </c>
      <c r="I38" s="475" t="str">
        <f>CHOOSE(MODE, "-", "Std")</f>
        <v>-</v>
      </c>
      <c r="J38" s="484" t="str">
        <f>CHOOSE(Q38,'Variable Mgmt'!T78,'Variable Mgmt'!T79,'Variable Mgmt'!T80,'Variable Mgmt'!T81,'Variable Mgmt'!T82)</f>
        <v>1.0 x 0.5</v>
      </c>
      <c r="K38" s="482">
        <f>CHOOSE(Q38,'Variable Mgmt'!U78,'Variable Mgmt'!U79,'Variable Mgmt'!U80,'Variable Mgmt'!U81,'Variable Mgmt'!U82)</f>
        <v>0.5</v>
      </c>
      <c r="L38" s="487"/>
      <c r="Q38" s="493">
        <v>1</v>
      </c>
    </row>
    <row r="39" spans="1:17" s="117" customFormat="1" ht="17.149999999999999" customHeight="1">
      <c r="A39" s="122">
        <v>1</v>
      </c>
      <c r="B39" s="123" t="s">
        <v>627</v>
      </c>
      <c r="C39" s="124" t="s">
        <v>193</v>
      </c>
      <c r="D39" s="958" t="str">
        <f>"Rectifying Diode, Schottky"</f>
        <v>Rectifying Diode, Schottky</v>
      </c>
      <c r="E39" s="959"/>
      <c r="F39" s="959"/>
      <c r="G39" s="125"/>
      <c r="H39" s="126" t="s">
        <v>118</v>
      </c>
      <c r="I39" s="477" t="s">
        <v>118</v>
      </c>
      <c r="J39" s="613" t="str">
        <f>CHOOSE(Q39,'Variable Mgmt'!Y88,'Variable Mgmt'!Y89,'Variable Mgmt'!Y90,'Variable Mgmt'!Y91)</f>
        <v>3.6 x 1.8</v>
      </c>
      <c r="K39" s="614">
        <f>CHOOSE(Q39,'Variable Mgmt'!Z88,'Variable Mgmt'!Z89,'Variable Mgmt'!Z90,'Variable Mgmt'!Z91)</f>
        <v>6.5</v>
      </c>
      <c r="L39" s="487"/>
      <c r="Q39" s="494">
        <v>3</v>
      </c>
    </row>
    <row r="40" spans="1:17" s="117" customFormat="1" ht="17.149999999999999" customHeight="1">
      <c r="A40" s="122" t="str">
        <f>CHOOSE(MODE, "-", "1")</f>
        <v>-</v>
      </c>
      <c r="B40" s="123" t="s">
        <v>626</v>
      </c>
      <c r="C40" s="124" t="str">
        <f>CHOOSE(MODE, "-", "Diode")</f>
        <v>-</v>
      </c>
      <c r="D40" s="956" t="str">
        <f>CHOOSE(MODE, "-", "Rectifying Diode, Schottky")</f>
        <v>-</v>
      </c>
      <c r="E40" s="957"/>
      <c r="F40" s="957"/>
      <c r="G40" s="125" t="s">
        <v>119</v>
      </c>
      <c r="H40" s="126" t="str">
        <f>CHOOSE(MODE, "-", "Std")</f>
        <v>-</v>
      </c>
      <c r="I40" s="477" t="str">
        <f>CHOOSE(MODE, "-", "Std")</f>
        <v>-</v>
      </c>
      <c r="J40" s="613" t="str">
        <f>CHOOSE(MODE, "-", CHOOSE(Q40,'Variable Mgmt'!Y88,'Variable Mgmt'!Y89,'Variable Mgmt'!Y90,'Variable Mgmt'!Y91))</f>
        <v>-</v>
      </c>
      <c r="K40" s="614" t="str">
        <f>CHOOSE(MODE, "-", CHOOSE(Q40,'Variable Mgmt'!Z88,'Variable Mgmt'!Z89,'Variable Mgmt'!Z90,'Variable Mgmt'!Z91))</f>
        <v>-</v>
      </c>
      <c r="L40" s="487"/>
      <c r="Q40" s="494">
        <v>3</v>
      </c>
    </row>
    <row r="41" spans="1:17" s="117" customFormat="1" ht="17.149999999999999" customHeight="1">
      <c r="A41" s="122">
        <v>1</v>
      </c>
      <c r="B41" s="123" t="s">
        <v>628</v>
      </c>
      <c r="C41" s="124" t="str">
        <f>"Diode"</f>
        <v>Diode</v>
      </c>
      <c r="D41" s="618" t="str">
        <f>"Clamp Circuit Diode, Fast Recovery"</f>
        <v>Clamp Circuit Diode, Fast Recovery</v>
      </c>
      <c r="E41" s="619"/>
      <c r="F41" s="619"/>
      <c r="G41" s="125"/>
      <c r="H41" s="126" t="s">
        <v>118</v>
      </c>
      <c r="I41" s="477" t="s">
        <v>118</v>
      </c>
      <c r="J41" s="613" t="str">
        <f>CHOOSE(Q41,'Variable Mgmt'!Y88,'Variable Mgmt'!Y89,'Variable Mgmt'!Y90,'Variable Mgmt'!Y91)</f>
        <v>1.6 x 0.8</v>
      </c>
      <c r="K41" s="614">
        <f>CHOOSE(Q41,'Variable Mgmt'!Z88,'Variable Mgmt'!Z89,'Variable Mgmt'!Z90,'Variable Mgmt'!Z91)</f>
        <v>1.3</v>
      </c>
      <c r="L41" s="487"/>
      <c r="Q41" s="494">
        <v>1</v>
      </c>
    </row>
    <row r="42" spans="1:17" s="117" customFormat="1" ht="17.149999999999999" customHeight="1">
      <c r="A42" s="122">
        <v>1</v>
      </c>
      <c r="B42" s="123" t="s">
        <v>623</v>
      </c>
      <c r="C42" s="124" t="s">
        <v>624</v>
      </c>
      <c r="D42" s="956" t="str">
        <f>"Clamp Circuit Diode, Zener, 24V"</f>
        <v>Clamp Circuit Diode, Zener, 24V</v>
      </c>
      <c r="E42" s="957"/>
      <c r="F42" s="957"/>
      <c r="G42" s="125" t="s">
        <v>119</v>
      </c>
      <c r="H42" s="126" t="s">
        <v>118</v>
      </c>
      <c r="I42" s="477" t="s">
        <v>118</v>
      </c>
      <c r="J42" s="613" t="str">
        <f>CHOOSE(Q42,'Variable Mgmt'!Y88,'Variable Mgmt'!Y89,'Variable Mgmt'!Y90,'Variable Mgmt'!Y91)</f>
        <v>5.0 x 2.5</v>
      </c>
      <c r="K42" s="614">
        <f>CHOOSE(Q42,'Variable Mgmt'!Z88,'Variable Mgmt'!Z89,'Variable Mgmt'!Z90,'Variable Mgmt'!Z91)</f>
        <v>12.5</v>
      </c>
      <c r="L42" s="487"/>
      <c r="Q42" s="494">
        <v>4</v>
      </c>
    </row>
    <row r="43" spans="1:17" s="117" customFormat="1" ht="17.149999999999999" customHeight="1">
      <c r="A43" s="122">
        <v>1</v>
      </c>
      <c r="B43" s="123" t="s">
        <v>941</v>
      </c>
      <c r="C43" s="124" t="str">
        <f>Vout*1.1&amp;"V"</f>
        <v>26.4V</v>
      </c>
      <c r="D43" s="618" t="str">
        <f>"Output Clamp Diode, Zener, "&amp;ROUND(Vout*1.125,0)&amp;"V"</f>
        <v>Output Clamp Diode, Zener, 27V</v>
      </c>
      <c r="E43" s="619"/>
      <c r="F43" s="619"/>
      <c r="G43" s="125"/>
      <c r="H43" s="126" t="s">
        <v>118</v>
      </c>
      <c r="I43" s="477" t="s">
        <v>118</v>
      </c>
      <c r="J43" s="613" t="str">
        <f>CHOOSE(Q43,'Variable Mgmt'!Y88,'Variable Mgmt'!Y89,'Variable Mgmt'!Y90,'Variable Mgmt'!Y91)</f>
        <v>3.6 x 1.8</v>
      </c>
      <c r="K43" s="614">
        <f>CHOOSE(Q43,'Variable Mgmt'!Z88,'Variable Mgmt'!Z89,'Variable Mgmt'!Z90,'Variable Mgmt'!Z91)</f>
        <v>6.5</v>
      </c>
      <c r="L43" s="487"/>
      <c r="Q43" s="494">
        <v>3</v>
      </c>
    </row>
    <row r="44" spans="1:17" s="117" customFormat="1" ht="17.149999999999999" customHeight="1">
      <c r="A44" s="122" t="str">
        <f>CHOOSE(MODE, "-", "1")</f>
        <v>-</v>
      </c>
      <c r="B44" s="123" t="s">
        <v>942</v>
      </c>
      <c r="C44" s="124" t="str">
        <f>Vout2*1.1&amp;"V"</f>
        <v>19.8V</v>
      </c>
      <c r="D44" s="956" t="str">
        <f>CHOOSE(MODE, "-", "Output Clamp Diode, Zener, "&amp;ROUND(Vout2*1.125,0)&amp;"V")</f>
        <v>-</v>
      </c>
      <c r="E44" s="957"/>
      <c r="F44" s="957"/>
      <c r="G44" s="125"/>
      <c r="H44" s="126" t="str">
        <f>CHOOSE(MODE, "-", "Std")</f>
        <v>-</v>
      </c>
      <c r="I44" s="477" t="str">
        <f>CHOOSE(MODE, "-", "Std")</f>
        <v>-</v>
      </c>
      <c r="J44" s="613" t="str">
        <f>CHOOSE(MODE, "-", CHOOSE(Q44,'Variable Mgmt'!Y88,'Variable Mgmt'!Y89,'Variable Mgmt'!Y90,'Variable Mgmt'!Y91))</f>
        <v>-</v>
      </c>
      <c r="K44" s="614" t="str">
        <f>CHOOSE(MODE, "-", CHOOSE(Q44,'Variable Mgmt'!Z88,'Variable Mgmt'!Z89,'Variable Mgmt'!Z90,'Variable Mgmt'!Z91))</f>
        <v>-</v>
      </c>
      <c r="L44" s="487"/>
      <c r="Q44" s="494">
        <v>3</v>
      </c>
    </row>
    <row r="45" spans="1:17" s="117" customFormat="1" ht="17.149999999999999" customHeight="1">
      <c r="A45" s="118">
        <v>1</v>
      </c>
      <c r="B45" s="119" t="s">
        <v>949</v>
      </c>
      <c r="C45" s="907" t="str">
        <f>IF(Vds_req&lt;30,30,IF(Vds_req&lt;40,40,IF(Vds_req&lt;50,50,IF(Vds_req&lt;60,60,IF(Vds_req&lt;80,80,IF(Vds_req&lt;100,100,IF(Vds_req&lt;120,120,IF(Vds_req&lt;150,150,IF(Vds_req&lt;200,200,IF(Vds_req&lt;250,250,IF(Vds_req&lt;300,300,500)))))))))))&amp;"V"</f>
        <v>80V</v>
      </c>
      <c r="D45" s="905" t="s">
        <v>950</v>
      </c>
      <c r="E45" s="906"/>
      <c r="F45" s="906"/>
      <c r="G45" s="120" t="s">
        <v>951</v>
      </c>
      <c r="H45" s="121" t="s">
        <v>118</v>
      </c>
      <c r="I45" s="476" t="s">
        <v>118</v>
      </c>
      <c r="J45" s="484" t="s">
        <v>952</v>
      </c>
      <c r="K45" s="482">
        <v>30</v>
      </c>
      <c r="L45" s="487"/>
      <c r="Q45" s="494"/>
    </row>
    <row r="46" spans="1:17" s="117" customFormat="1" ht="17.149999999999999" customHeight="1">
      <c r="A46" s="122">
        <v>1</v>
      </c>
      <c r="B46" s="123" t="s">
        <v>629</v>
      </c>
      <c r="C46" s="124">
        <v>12.1</v>
      </c>
      <c r="D46" s="954">
        <f>C46</f>
        <v>12.1</v>
      </c>
      <c r="E46" s="955"/>
      <c r="F46" s="955"/>
      <c r="G46" s="125" t="s">
        <v>119</v>
      </c>
      <c r="H46" s="126" t="s">
        <v>118</v>
      </c>
      <c r="I46" s="477" t="s">
        <v>118</v>
      </c>
      <c r="J46" s="613" t="str">
        <f>CHOOSE(Q46,'Variable Mgmt'!T78,'Variable Mgmt'!T79,'Variable Mgmt'!T80)</f>
        <v>1.6 x 0.8</v>
      </c>
      <c r="K46" s="614">
        <f>CHOOSE(Q46,'Variable Mgmt'!U78,'Variable Mgmt'!U79,'Variable Mgmt'!U80,'Variable Mgmt'!U81,'Variable Mgmt'!U82)</f>
        <v>1.3</v>
      </c>
      <c r="L46" s="487"/>
      <c r="Q46" s="494">
        <v>2</v>
      </c>
    </row>
    <row r="47" spans="1:17" s="117" customFormat="1" ht="17.149999999999999" customHeight="1">
      <c r="A47" s="122">
        <v>1</v>
      </c>
      <c r="B47" s="123" t="s">
        <v>524</v>
      </c>
      <c r="C47" s="124">
        <f>Rfb/1000</f>
        <v>163.4</v>
      </c>
      <c r="D47" s="954">
        <f>C47</f>
        <v>163.4</v>
      </c>
      <c r="E47" s="955"/>
      <c r="F47" s="955"/>
      <c r="G47" s="125" t="s">
        <v>119</v>
      </c>
      <c r="H47" s="126" t="s">
        <v>118</v>
      </c>
      <c r="I47" s="477" t="s">
        <v>118</v>
      </c>
      <c r="J47" s="613" t="str">
        <f>CHOOSE(Q47,'Variable Mgmt'!T78,'Variable Mgmt'!T79,'Variable Mgmt'!T80)</f>
        <v>2.0 x 1.25</v>
      </c>
      <c r="K47" s="614">
        <f>CHOOSE(Q47,'Variable Mgmt'!U78,'Variable Mgmt'!U79,'Variable Mgmt'!U80,'Variable Mgmt'!U81,'Variable Mgmt'!U82)</f>
        <v>2.5</v>
      </c>
      <c r="L47" s="487"/>
      <c r="Q47" s="494">
        <v>3</v>
      </c>
    </row>
    <row r="48" spans="1:17" s="117" customFormat="1" ht="17.149999999999999" customHeight="1">
      <c r="A48" s="122" t="str">
        <f>CHOOSE(MODE_UVLO, "1", "-")</f>
        <v>1</v>
      </c>
      <c r="B48" s="123" t="s">
        <v>126</v>
      </c>
      <c r="C48" s="908" t="str">
        <f>CHOOSE(MODE_UVLO, 'Variable Mgmt'!H269, "-")</f>
        <v>348k</v>
      </c>
      <c r="D48" s="956" t="str">
        <f>CHOOSE(MODE_UVLO, "Resistor, Chip, "&amp;'Variable Mgmt'!C269&amp;", 1/16W, 1%", "-")</f>
        <v>Resistor, Chip, 348kΩ, 1/16W, 1%</v>
      </c>
      <c r="E48" s="957"/>
      <c r="F48" s="957"/>
      <c r="G48" s="125" t="s">
        <v>119</v>
      </c>
      <c r="H48" s="126" t="str">
        <f>CHOOSE(MODE_UVLO, "Std", "-")</f>
        <v>Std</v>
      </c>
      <c r="I48" s="477" t="str">
        <f>CHOOSE(MODE_UVLO, "Std", "-")</f>
        <v>Std</v>
      </c>
      <c r="J48" s="613" t="str">
        <f>CHOOSE(MODE_UVLO, CHOOSE(Q48,'Variable Mgmt'!T78,'Variable Mgmt'!T79,'Variable Mgmt'!T80), "-")</f>
        <v>1.0 x 0.5</v>
      </c>
      <c r="K48" s="614">
        <f>CHOOSE(MODE_UVLO, CHOOSE(Q48,'Variable Mgmt'!U78,'Variable Mgmt'!U79,'Variable Mgmt'!U80,'Variable Mgmt'!U81,'Variable Mgmt'!U82),"-")</f>
        <v>0.5</v>
      </c>
      <c r="L48" s="487"/>
      <c r="Q48" s="494">
        <v>1</v>
      </c>
    </row>
    <row r="49" spans="1:17" s="117" customFormat="1" ht="17.149999999999999" customHeight="1">
      <c r="A49" s="122" t="str">
        <f>CHOOSE(MODE_UVLO, "1", "-")</f>
        <v>1</v>
      </c>
      <c r="B49" s="123" t="s">
        <v>127</v>
      </c>
      <c r="C49" s="908" t="str">
        <f>CHOOSE(MODE_UVLO, 'Variable Mgmt'!H270, "-")</f>
        <v>80.6k</v>
      </c>
      <c r="D49" s="956" t="str">
        <f>CHOOSE(MODE_UVLO, "Resistor, Chip, "&amp;'Variable Mgmt'!C270&amp;", 1/16W, 1%", "-")</f>
        <v>Resistor, Chip, 80.6kΩ, 1/16W, 1%</v>
      </c>
      <c r="E49" s="957"/>
      <c r="F49" s="957"/>
      <c r="G49" s="125" t="s">
        <v>119</v>
      </c>
      <c r="H49" s="126" t="str">
        <f>CHOOSE(MODE_UVLO, "Std", "-")</f>
        <v>Std</v>
      </c>
      <c r="I49" s="477" t="str">
        <f>CHOOSE(MODE_UVLO, "Std", "-")</f>
        <v>Std</v>
      </c>
      <c r="J49" s="613" t="str">
        <f>CHOOSE(MODE_UVLO, CHOOSE(Q49,'Variable Mgmt'!T78,'Variable Mgmt'!T79,'Variable Mgmt'!T80), "-")</f>
        <v>1.0 x 0.5</v>
      </c>
      <c r="K49" s="614">
        <f>CHOOSE(MODE_UVLO, CHOOSE(Q49,'Variable Mgmt'!U78,'Variable Mgmt'!U79,'Variable Mgmt'!U80,'Variable Mgmt'!U81,'Variable Mgmt'!U82),"-")</f>
        <v>0.5</v>
      </c>
      <c r="L49" s="487"/>
      <c r="Q49" s="494">
        <v>1</v>
      </c>
    </row>
    <row r="50" spans="1:17" s="117" customFormat="1" ht="17.149999999999999" customHeight="1">
      <c r="A50" s="122" t="str">
        <f>CHOOSE(MODE_TC, "1", "-")</f>
        <v>1</v>
      </c>
      <c r="B50" s="123" t="s">
        <v>516</v>
      </c>
      <c r="C50" s="124">
        <f>CHOOSE(MODE_TC, RTC, "-")</f>
        <v>243</v>
      </c>
      <c r="D50" s="954" t="str">
        <f>CHOOSE(MODE_TC, "Resistor, Chip, "&amp;'Variable Mgmt'!B265&amp;", 1/16W, 1%", "-")</f>
        <v>Resistor, Chip, 243kΩ, 1/16W, 1%</v>
      </c>
      <c r="E50" s="955"/>
      <c r="F50" s="955"/>
      <c r="G50" s="125" t="s">
        <v>119</v>
      </c>
      <c r="H50" s="126" t="str">
        <f>CHOOSE(MODE_TC, "Std", "-")</f>
        <v>Std</v>
      </c>
      <c r="I50" s="477" t="str">
        <f>CHOOSE(MODE_TC, "Std", "-")</f>
        <v>Std</v>
      </c>
      <c r="J50" s="613" t="str">
        <f>CHOOSE(MODE_TC, CHOOSE(Q50,'Variable Mgmt'!T78,'Variable Mgmt'!T409,'Variable Mgmt'!T80), "-")</f>
        <v>1.0 x 0.5</v>
      </c>
      <c r="K50" s="614">
        <f>CHOOSE(MODE_TC, CHOOSE(Q50,'Variable Mgmt'!U78,'Variable Mgmt'!U79,'Variable Mgmt'!U80,'Variable Mgmt'!U81,'Variable Mgmt'!U82),"-")</f>
        <v>0.5</v>
      </c>
      <c r="L50" s="487"/>
      <c r="Q50" s="494">
        <v>1</v>
      </c>
    </row>
    <row r="51" spans="1:17" s="117" customFormat="1" ht="17.149999999999999" customHeight="1">
      <c r="A51" s="122">
        <v>1</v>
      </c>
      <c r="B51" s="123" t="s">
        <v>932</v>
      </c>
      <c r="C51" s="124" t="str">
        <f>'Variable Mgmt'!D313</f>
        <v>9mΩ</v>
      </c>
      <c r="D51" s="970" t="s">
        <v>933</v>
      </c>
      <c r="E51" s="955"/>
      <c r="F51" s="955"/>
      <c r="G51" s="125" t="s">
        <v>119</v>
      </c>
      <c r="H51" s="126" t="s">
        <v>118</v>
      </c>
      <c r="I51" s="477" t="s">
        <v>118</v>
      </c>
      <c r="J51" s="613" t="str">
        <f>CHOOSE(Q51,'Variable Mgmt'!T79,'Variable Mgmt'!T80,'Variable Mgmt'!T81,'Variable Mgmt'!T82,'Variable Mgmt'!T83,'Variable Mgmt'!T84)</f>
        <v>9.3 x 2.7</v>
      </c>
      <c r="K51" s="614">
        <f>CHOOSE(Q51,'Variable Mgmt'!U79,'Variable Mgmt'!U80,'Variable Mgmt'!U81,'Variable Mgmt'!U82,'Variable Mgmt'!U83,'Variable Mgmt'!U84)</f>
        <v>25.1</v>
      </c>
      <c r="L51" s="487"/>
      <c r="Q51" s="494">
        <v>6</v>
      </c>
    </row>
    <row r="52" spans="1:17" s="117" customFormat="1" ht="17.149999999999999" customHeight="1">
      <c r="A52" s="122">
        <v>1</v>
      </c>
      <c r="B52" s="123" t="s">
        <v>931</v>
      </c>
      <c r="C52" s="124">
        <f>'Design Converter'!E60</f>
        <v>37</v>
      </c>
      <c r="D52" s="904" t="str">
        <f>"Resistor, Chip, "&amp;C52&amp;"kΩ, 1/16W, 1%"</f>
        <v>Resistor, Chip, 37kΩ, 1/16W, 1%</v>
      </c>
      <c r="E52" s="909"/>
      <c r="F52" s="909"/>
      <c r="G52" s="125" t="s">
        <v>119</v>
      </c>
      <c r="H52" s="126" t="s">
        <v>118</v>
      </c>
      <c r="I52" s="477" t="s">
        <v>118</v>
      </c>
      <c r="J52" s="613" t="str">
        <f>CHOOSE(Q52,'Variable Mgmt'!T78,'Variable Mgmt'!T79,'Variable Mgmt'!T80)</f>
        <v>1.6 x 0.8</v>
      </c>
      <c r="K52" s="614">
        <f>CHOOSE(Q52,'Variable Mgmt'!U78,'Variable Mgmt'!U79,'Variable Mgmt'!U80,'Variable Mgmt'!U81,'Variable Mgmt'!U82)</f>
        <v>1.3</v>
      </c>
      <c r="L52" s="487"/>
      <c r="Q52" s="494">
        <v>2</v>
      </c>
    </row>
    <row r="53" spans="1:17" s="117" customFormat="1" ht="17.149999999999999" customHeight="1">
      <c r="A53" s="122">
        <v>1</v>
      </c>
      <c r="B53" s="123" t="s">
        <v>936</v>
      </c>
      <c r="C53" s="124" t="str">
        <f>'Variable Mgmt'!D315</f>
        <v>100Ω</v>
      </c>
      <c r="D53" s="954" t="str">
        <f>"Resistor, Chip, "&amp;C53&amp;", 1/16W, 1%"</f>
        <v>Resistor, Chip, 100Ω, 1/16W, 1%</v>
      </c>
      <c r="E53" s="955"/>
      <c r="F53" s="955"/>
      <c r="G53" s="125" t="s">
        <v>119</v>
      </c>
      <c r="H53" s="126" t="s">
        <v>118</v>
      </c>
      <c r="I53" s="477" t="s">
        <v>118</v>
      </c>
      <c r="J53" s="613" t="str">
        <f>CHOOSE(Q53,'Variable Mgmt'!T78,'Variable Mgmt'!T79,'Variable Mgmt'!T80)</f>
        <v>1.0 x 0.5</v>
      </c>
      <c r="K53" s="614">
        <f>CHOOSE(Q53,'Variable Mgmt'!U78,'Variable Mgmt'!U79,'Variable Mgmt'!U80,'Variable Mgmt'!U81,'Variable Mgmt'!U82)</f>
        <v>0.5</v>
      </c>
      <c r="L53" s="487"/>
      <c r="Q53" s="494">
        <v>1</v>
      </c>
    </row>
    <row r="54" spans="1:17" s="616" customFormat="1" ht="16.5" customHeight="1">
      <c r="A54" s="118">
        <v>1</v>
      </c>
      <c r="B54" s="119" t="s">
        <v>523</v>
      </c>
      <c r="C54" s="910" t="str">
        <f>'Design Converter'!L7&amp;"k"</f>
        <v>10k</v>
      </c>
      <c r="D54" s="967" t="str">
        <f>"Transformer, "&amp;L*1000000&amp;"µH, "&amp;'Variable Mgmt'!W66&amp;", "&amp;Rdcr_pri*1000&amp;"mΩ Pri DCR"</f>
        <v>Transformer, 10µH, 1 : 1.5, 30mΩ Pri DCR</v>
      </c>
      <c r="E54" s="968"/>
      <c r="F54" s="969"/>
      <c r="G54" s="121" t="s">
        <v>125</v>
      </c>
      <c r="H54" s="121" t="s">
        <v>124</v>
      </c>
      <c r="I54" s="476" t="s">
        <v>124</v>
      </c>
      <c r="J54" s="484" t="str">
        <f>CHOOSE(Q54,'Variable Mgmt'!T89,'Variable Mgmt'!T90,'Variable Mgmt'!T91,'Variable Mgmt'!T92,'Variable Mgmt'!T93,'Variable Mgmt'!T94, 'Variable Mgmt'!T95, 'Variable Mgmt'!T96)</f>
        <v>23 x 17</v>
      </c>
      <c r="K54" s="907">
        <f>CHOOSE(Q54,'Variable Mgmt'!U89,'Variable Mgmt'!U90,'Variable Mgmt'!U91,'Variable Mgmt'!U92,'Variable Mgmt'!U93,'Variable Mgmt'!U94, 'Variable Mgmt'!U95,'Variable Mgmt'!U96)</f>
        <v>391</v>
      </c>
      <c r="L54" s="615"/>
      <c r="Q54" s="617">
        <v>8</v>
      </c>
    </row>
    <row r="55" spans="1:17" ht="17.149999999999999" customHeight="1">
      <c r="A55" s="459">
        <v>1</v>
      </c>
      <c r="B55" s="465" t="s">
        <v>128</v>
      </c>
      <c r="C55" s="486" t="s">
        <v>938</v>
      </c>
      <c r="D55" s="466" t="s">
        <v>939</v>
      </c>
      <c r="E55" s="467"/>
      <c r="F55" s="468"/>
      <c r="G55" s="464" t="s">
        <v>940</v>
      </c>
      <c r="H55" s="464" t="s">
        <v>938</v>
      </c>
      <c r="I55" s="466" t="s">
        <v>355</v>
      </c>
      <c r="J55" s="485" t="s">
        <v>953</v>
      </c>
      <c r="K55" s="483">
        <f>32</f>
        <v>32</v>
      </c>
      <c r="L55" s="463"/>
      <c r="M55" s="463"/>
      <c r="N55" s="117"/>
      <c r="Q55" s="497"/>
    </row>
    <row r="56" spans="1:17" ht="17.149999999999999" customHeight="1">
      <c r="J56" s="117"/>
      <c r="K56" s="473"/>
      <c r="L56" s="463"/>
      <c r="M56" s="463"/>
      <c r="N56" s="117"/>
    </row>
    <row r="57" spans="1:17" ht="17.25" hidden="1" customHeight="1">
      <c r="H57" s="964" t="s">
        <v>357</v>
      </c>
      <c r="I57" s="964"/>
      <c r="J57" s="964"/>
      <c r="K57" s="491" t="e">
        <f>SUM(K31:K55)*1.25</f>
        <v>#VALUE!</v>
      </c>
      <c r="L57" s="498" t="s">
        <v>358</v>
      </c>
      <c r="M57" s="492" t="e">
        <f>K57/25.4/25.4</f>
        <v>#VALUE!</v>
      </c>
      <c r="N57" s="498" t="s">
        <v>356</v>
      </c>
    </row>
    <row r="58" spans="1:17" ht="17.149999999999999" customHeight="1">
      <c r="J58" s="478"/>
      <c r="K58" s="479"/>
      <c r="L58" s="480"/>
      <c r="M58" s="481"/>
      <c r="N58" s="480"/>
    </row>
    <row r="59" spans="1:17" ht="20.25" customHeight="1">
      <c r="A59" s="472" t="s">
        <v>137</v>
      </c>
    </row>
    <row r="60" spans="1:17">
      <c r="A60" s="114" t="s">
        <v>947</v>
      </c>
    </row>
    <row r="61" spans="1:17">
      <c r="A61" s="114" t="s">
        <v>677</v>
      </c>
      <c r="K61" s="471"/>
    </row>
    <row r="62" spans="1:17">
      <c r="A62" s="114" t="s">
        <v>676</v>
      </c>
    </row>
    <row r="63" spans="1:17">
      <c r="A63" s="114" t="s">
        <v>674</v>
      </c>
    </row>
    <row r="64" spans="1:17">
      <c r="A64" s="114" t="s">
        <v>675</v>
      </c>
    </row>
  </sheetData>
  <sheetProtection algorithmName="SHA-512" hashValue="LDB4IK7WyDQAJv8vPYNHmpeIcJchZtvJGk7AGokZ+o84M8XParPHLMtS2RIXTD1m393K8OHh8N2HD1gBIJAsWw==" saltValue="oU8kR652ub4qmJSrMqH4Kg==" spinCount="100000" sheet="1" objects="1" scenarios="1" selectLockedCells="1" selectUnlockedCells="1"/>
  <mergeCells count="19">
    <mergeCell ref="D53:F53"/>
    <mergeCell ref="H57:J57"/>
    <mergeCell ref="D31:F31"/>
    <mergeCell ref="D54:F54"/>
    <mergeCell ref="D48:F48"/>
    <mergeCell ref="D49:F49"/>
    <mergeCell ref="D50:F50"/>
    <mergeCell ref="D51:F51"/>
    <mergeCell ref="D30:F30"/>
    <mergeCell ref="D46:F46"/>
    <mergeCell ref="D47:F47"/>
    <mergeCell ref="D42:F42"/>
    <mergeCell ref="D40:F40"/>
    <mergeCell ref="D39:F39"/>
    <mergeCell ref="D32:F32"/>
    <mergeCell ref="D34:F34"/>
    <mergeCell ref="D37:F37"/>
    <mergeCell ref="D44:F44"/>
    <mergeCell ref="D38:F38"/>
  </mergeCells>
  <phoneticPr fontId="83"/>
  <printOptions horizontalCentered="1"/>
  <pageMargins left="0.23" right="0.23" top="0.7" bottom="0.61" header="0.3" footer="0.5"/>
  <pageSetup scale="84" fitToHeight="2" orientation="landscape" r:id="rId1"/>
  <headerFooter alignWithMargins="0"/>
  <rowBreaks count="1" manualBreakCount="1">
    <brk id="27" max="9" man="1"/>
  </rowBreaks>
  <ignoredErrors>
    <ignoredError sqref="G40 G42 G48:G49 G46" numberStoredAsText="1"/>
    <ignoredError sqref="J40:K40"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74505" r:id="rId4" name="Drop Down 713">
              <controlPr defaultSize="0" autoLine="0" autoPict="0">
                <anchor moveWithCells="1">
                  <from>
                    <xdr:col>6</xdr:col>
                    <xdr:colOff>0</xdr:colOff>
                    <xdr:row>30</xdr:row>
                    <xdr:rowOff>12700</xdr:rowOff>
                  </from>
                  <to>
                    <xdr:col>6</xdr:col>
                    <xdr:colOff>876300</xdr:colOff>
                    <xdr:row>31</xdr:row>
                    <xdr:rowOff>0</xdr:rowOff>
                  </to>
                </anchor>
              </controlPr>
            </control>
          </mc:Choice>
        </mc:AlternateContent>
        <mc:AlternateContent xmlns:mc="http://schemas.openxmlformats.org/markup-compatibility/2006">
          <mc:Choice Requires="x14">
            <control shapeId="674508" r:id="rId5" name="Drop Down 716">
              <controlPr defaultSize="0" autoLine="0" autoPict="0">
                <anchor moveWithCells="1">
                  <from>
                    <xdr:col>6</xdr:col>
                    <xdr:colOff>0</xdr:colOff>
                    <xdr:row>31</xdr:row>
                    <xdr:rowOff>12700</xdr:rowOff>
                  </from>
                  <to>
                    <xdr:col>6</xdr:col>
                    <xdr:colOff>876300</xdr:colOff>
                    <xdr:row>32</xdr:row>
                    <xdr:rowOff>0</xdr:rowOff>
                  </to>
                </anchor>
              </controlPr>
            </control>
          </mc:Choice>
        </mc:AlternateContent>
        <mc:AlternateContent xmlns:mc="http://schemas.openxmlformats.org/markup-compatibility/2006">
          <mc:Choice Requires="x14">
            <control shapeId="674527" r:id="rId6" name="Drop Down 735">
              <controlPr defaultSize="0" autoLine="0" autoPict="0">
                <anchor moveWithCells="1">
                  <from>
                    <xdr:col>6</xdr:col>
                    <xdr:colOff>0</xdr:colOff>
                    <xdr:row>39</xdr:row>
                    <xdr:rowOff>12700</xdr:rowOff>
                  </from>
                  <to>
                    <xdr:col>6</xdr:col>
                    <xdr:colOff>876300</xdr:colOff>
                    <xdr:row>40</xdr:row>
                    <xdr:rowOff>0</xdr:rowOff>
                  </to>
                </anchor>
              </controlPr>
            </control>
          </mc:Choice>
        </mc:AlternateContent>
        <mc:AlternateContent xmlns:mc="http://schemas.openxmlformats.org/markup-compatibility/2006">
          <mc:Choice Requires="x14">
            <control shapeId="674534" r:id="rId7" name="Drop Down 742">
              <controlPr defaultSize="0" autoLine="0" autoPict="0">
                <anchor moveWithCells="1">
                  <from>
                    <xdr:col>6</xdr:col>
                    <xdr:colOff>0</xdr:colOff>
                    <xdr:row>46</xdr:row>
                    <xdr:rowOff>12700</xdr:rowOff>
                  </from>
                  <to>
                    <xdr:col>6</xdr:col>
                    <xdr:colOff>876300</xdr:colOff>
                    <xdr:row>47</xdr:row>
                    <xdr:rowOff>0</xdr:rowOff>
                  </to>
                </anchor>
              </controlPr>
            </control>
          </mc:Choice>
        </mc:AlternateContent>
        <mc:AlternateContent xmlns:mc="http://schemas.openxmlformats.org/markup-compatibility/2006">
          <mc:Choice Requires="x14">
            <control shapeId="674536" r:id="rId8" name="Drop Down 744">
              <controlPr defaultSize="0" autoLine="0" autoPict="0">
                <anchor moveWithCells="1">
                  <from>
                    <xdr:col>6</xdr:col>
                    <xdr:colOff>0</xdr:colOff>
                    <xdr:row>41</xdr:row>
                    <xdr:rowOff>12700</xdr:rowOff>
                  </from>
                  <to>
                    <xdr:col>6</xdr:col>
                    <xdr:colOff>876300</xdr:colOff>
                    <xdr:row>42</xdr:row>
                    <xdr:rowOff>0</xdr:rowOff>
                  </to>
                </anchor>
              </controlPr>
            </control>
          </mc:Choice>
        </mc:AlternateContent>
        <mc:AlternateContent xmlns:mc="http://schemas.openxmlformats.org/markup-compatibility/2006">
          <mc:Choice Requires="x14">
            <control shapeId="674539" r:id="rId9" name="Drop Down 747">
              <controlPr defaultSize="0" autoLine="0" autoPict="0">
                <anchor moveWithCells="1">
                  <from>
                    <xdr:col>6</xdr:col>
                    <xdr:colOff>0</xdr:colOff>
                    <xdr:row>40</xdr:row>
                    <xdr:rowOff>12700</xdr:rowOff>
                  </from>
                  <to>
                    <xdr:col>6</xdr:col>
                    <xdr:colOff>876300</xdr:colOff>
                    <xdr:row>41</xdr:row>
                    <xdr:rowOff>0</xdr:rowOff>
                  </to>
                </anchor>
              </controlPr>
            </control>
          </mc:Choice>
        </mc:AlternateContent>
        <mc:AlternateContent xmlns:mc="http://schemas.openxmlformats.org/markup-compatibility/2006">
          <mc:Choice Requires="x14">
            <control shapeId="674540" r:id="rId10" name="Drop Down 748">
              <controlPr defaultSize="0" autoLine="0" autoPict="0">
                <anchor moveWithCells="1">
                  <from>
                    <xdr:col>6</xdr:col>
                    <xdr:colOff>0</xdr:colOff>
                    <xdr:row>45</xdr:row>
                    <xdr:rowOff>12700</xdr:rowOff>
                  </from>
                  <to>
                    <xdr:col>6</xdr:col>
                    <xdr:colOff>876300</xdr:colOff>
                    <xdr:row>46</xdr:row>
                    <xdr:rowOff>0</xdr:rowOff>
                  </to>
                </anchor>
              </controlPr>
            </control>
          </mc:Choice>
        </mc:AlternateContent>
        <mc:AlternateContent xmlns:mc="http://schemas.openxmlformats.org/markup-compatibility/2006">
          <mc:Choice Requires="x14">
            <control shapeId="674541" r:id="rId11" name="Drop Down 749">
              <controlPr defaultSize="0" autoLine="0" autoPict="0">
                <anchor moveWithCells="1">
                  <from>
                    <xdr:col>6</xdr:col>
                    <xdr:colOff>0</xdr:colOff>
                    <xdr:row>47</xdr:row>
                    <xdr:rowOff>12700</xdr:rowOff>
                  </from>
                  <to>
                    <xdr:col>6</xdr:col>
                    <xdr:colOff>876300</xdr:colOff>
                    <xdr:row>48</xdr:row>
                    <xdr:rowOff>0</xdr:rowOff>
                  </to>
                </anchor>
              </controlPr>
            </control>
          </mc:Choice>
        </mc:AlternateContent>
        <mc:AlternateContent xmlns:mc="http://schemas.openxmlformats.org/markup-compatibility/2006">
          <mc:Choice Requires="x14">
            <control shapeId="674542" r:id="rId12" name="Drop Down 750">
              <controlPr defaultSize="0" autoLine="0" autoPict="0">
                <anchor moveWithCells="1">
                  <from>
                    <xdr:col>6</xdr:col>
                    <xdr:colOff>0</xdr:colOff>
                    <xdr:row>48</xdr:row>
                    <xdr:rowOff>12700</xdr:rowOff>
                  </from>
                  <to>
                    <xdr:col>6</xdr:col>
                    <xdr:colOff>876300</xdr:colOff>
                    <xdr:row>49</xdr:row>
                    <xdr:rowOff>0</xdr:rowOff>
                  </to>
                </anchor>
              </controlPr>
            </control>
          </mc:Choice>
        </mc:AlternateContent>
        <mc:AlternateContent xmlns:mc="http://schemas.openxmlformats.org/markup-compatibility/2006">
          <mc:Choice Requires="x14">
            <control shapeId="674543" r:id="rId13" name="Drop Down 751">
              <controlPr defaultSize="0" autoLine="0" autoPict="0">
                <anchor moveWithCells="1">
                  <from>
                    <xdr:col>6</xdr:col>
                    <xdr:colOff>0</xdr:colOff>
                    <xdr:row>49</xdr:row>
                    <xdr:rowOff>12700</xdr:rowOff>
                  </from>
                  <to>
                    <xdr:col>6</xdr:col>
                    <xdr:colOff>876300</xdr:colOff>
                    <xdr:row>50</xdr:row>
                    <xdr:rowOff>0</xdr:rowOff>
                  </to>
                </anchor>
              </controlPr>
            </control>
          </mc:Choice>
        </mc:AlternateContent>
        <mc:AlternateContent xmlns:mc="http://schemas.openxmlformats.org/markup-compatibility/2006">
          <mc:Choice Requires="x14">
            <control shapeId="674544" r:id="rId14" name="Drop Down 752">
              <controlPr defaultSize="0" autoLine="0" autoPict="0">
                <anchor moveWithCells="1">
                  <from>
                    <xdr:col>6</xdr:col>
                    <xdr:colOff>0</xdr:colOff>
                    <xdr:row>38</xdr:row>
                    <xdr:rowOff>12700</xdr:rowOff>
                  </from>
                  <to>
                    <xdr:col>6</xdr:col>
                    <xdr:colOff>876300</xdr:colOff>
                    <xdr:row>39</xdr:row>
                    <xdr:rowOff>0</xdr:rowOff>
                  </to>
                </anchor>
              </controlPr>
            </control>
          </mc:Choice>
        </mc:AlternateContent>
        <mc:AlternateContent xmlns:mc="http://schemas.openxmlformats.org/markup-compatibility/2006">
          <mc:Choice Requires="x14">
            <control shapeId="674632" r:id="rId15" name="Drop Down 840">
              <controlPr defaultSize="0" autoLine="0" autoPict="0">
                <anchor moveWithCells="1">
                  <from>
                    <xdr:col>6</xdr:col>
                    <xdr:colOff>0</xdr:colOff>
                    <xdr:row>53</xdr:row>
                    <xdr:rowOff>12700</xdr:rowOff>
                  </from>
                  <to>
                    <xdr:col>6</xdr:col>
                    <xdr:colOff>876300</xdr:colOff>
                    <xdr:row>54</xdr:row>
                    <xdr:rowOff>0</xdr:rowOff>
                  </to>
                </anchor>
              </controlPr>
            </control>
          </mc:Choice>
        </mc:AlternateContent>
        <mc:AlternateContent xmlns:mc="http://schemas.openxmlformats.org/markup-compatibility/2006">
          <mc:Choice Requires="x14">
            <control shapeId="706019" r:id="rId16" name="Drop Down 1507">
              <controlPr defaultSize="0" autoLine="0" autoPict="0">
                <anchor moveWithCells="1">
                  <from>
                    <xdr:col>5</xdr:col>
                    <xdr:colOff>895350</xdr:colOff>
                    <xdr:row>32</xdr:row>
                    <xdr:rowOff>12700</xdr:rowOff>
                  </from>
                  <to>
                    <xdr:col>6</xdr:col>
                    <xdr:colOff>869950</xdr:colOff>
                    <xdr:row>33</xdr:row>
                    <xdr:rowOff>0</xdr:rowOff>
                  </to>
                </anchor>
              </controlPr>
            </control>
          </mc:Choice>
        </mc:AlternateContent>
        <mc:AlternateContent xmlns:mc="http://schemas.openxmlformats.org/markup-compatibility/2006">
          <mc:Choice Requires="x14">
            <control shapeId="706028" r:id="rId17" name="Drop Down 1516">
              <controlPr defaultSize="0" autoLine="0" autoPict="0">
                <anchor moveWithCells="1">
                  <from>
                    <xdr:col>6</xdr:col>
                    <xdr:colOff>0</xdr:colOff>
                    <xdr:row>42</xdr:row>
                    <xdr:rowOff>12700</xdr:rowOff>
                  </from>
                  <to>
                    <xdr:col>6</xdr:col>
                    <xdr:colOff>882650</xdr:colOff>
                    <xdr:row>43</xdr:row>
                    <xdr:rowOff>0</xdr:rowOff>
                  </to>
                </anchor>
              </controlPr>
            </control>
          </mc:Choice>
        </mc:AlternateContent>
        <mc:AlternateContent xmlns:mc="http://schemas.openxmlformats.org/markup-compatibility/2006">
          <mc:Choice Requires="x14">
            <control shapeId="764426" r:id="rId18" name="Drop Down 2570">
              <controlPr defaultSize="0" autoLine="0" autoPict="0">
                <anchor moveWithCells="1">
                  <from>
                    <xdr:col>6</xdr:col>
                    <xdr:colOff>0</xdr:colOff>
                    <xdr:row>51</xdr:row>
                    <xdr:rowOff>12700</xdr:rowOff>
                  </from>
                  <to>
                    <xdr:col>6</xdr:col>
                    <xdr:colOff>876300</xdr:colOff>
                    <xdr:row>51</xdr:row>
                    <xdr:rowOff>215900</xdr:rowOff>
                  </to>
                </anchor>
              </controlPr>
            </control>
          </mc:Choice>
        </mc:AlternateContent>
        <mc:AlternateContent xmlns:mc="http://schemas.openxmlformats.org/markup-compatibility/2006">
          <mc:Choice Requires="x14">
            <control shapeId="764430" r:id="rId19" name="Drop Down 2574">
              <controlPr defaultSize="0" autoLine="0" autoPict="0">
                <anchor moveWithCells="1">
                  <from>
                    <xdr:col>6</xdr:col>
                    <xdr:colOff>0</xdr:colOff>
                    <xdr:row>52</xdr:row>
                    <xdr:rowOff>12700</xdr:rowOff>
                  </from>
                  <to>
                    <xdr:col>6</xdr:col>
                    <xdr:colOff>876300</xdr:colOff>
                    <xdr:row>52</xdr:row>
                    <xdr:rowOff>215900</xdr:rowOff>
                  </to>
                </anchor>
              </controlPr>
            </control>
          </mc:Choice>
        </mc:AlternateContent>
        <mc:AlternateContent xmlns:mc="http://schemas.openxmlformats.org/markup-compatibility/2006">
          <mc:Choice Requires="x14">
            <control shapeId="764447" r:id="rId20" name="Drop Down 2591">
              <controlPr defaultSize="0" autoLine="0" autoPict="0">
                <anchor moveWithCells="1">
                  <from>
                    <xdr:col>6</xdr:col>
                    <xdr:colOff>0</xdr:colOff>
                    <xdr:row>34</xdr:row>
                    <xdr:rowOff>12700</xdr:rowOff>
                  </from>
                  <to>
                    <xdr:col>6</xdr:col>
                    <xdr:colOff>882650</xdr:colOff>
                    <xdr:row>35</xdr:row>
                    <xdr:rowOff>0</xdr:rowOff>
                  </to>
                </anchor>
              </controlPr>
            </control>
          </mc:Choice>
        </mc:AlternateContent>
        <mc:AlternateContent xmlns:mc="http://schemas.openxmlformats.org/markup-compatibility/2006">
          <mc:Choice Requires="x14">
            <control shapeId="764451" r:id="rId21" name="Drop Down 2595">
              <controlPr defaultSize="0" autoLine="0" autoPict="0">
                <anchor moveWithCells="1">
                  <from>
                    <xdr:col>6</xdr:col>
                    <xdr:colOff>0</xdr:colOff>
                    <xdr:row>43</xdr:row>
                    <xdr:rowOff>12700</xdr:rowOff>
                  </from>
                  <to>
                    <xdr:col>6</xdr:col>
                    <xdr:colOff>876300</xdr:colOff>
                    <xdr:row>44</xdr:row>
                    <xdr:rowOff>0</xdr:rowOff>
                  </to>
                </anchor>
              </controlPr>
            </control>
          </mc:Choice>
        </mc:AlternateContent>
        <mc:AlternateContent xmlns:mc="http://schemas.openxmlformats.org/markup-compatibility/2006">
          <mc:Choice Requires="x14">
            <control shapeId="764454" r:id="rId22" name="Drop Down 2598">
              <controlPr defaultSize="0" autoLine="0" autoPict="0">
                <anchor moveWithCells="1">
                  <from>
                    <xdr:col>6</xdr:col>
                    <xdr:colOff>0</xdr:colOff>
                    <xdr:row>35</xdr:row>
                    <xdr:rowOff>12700</xdr:rowOff>
                  </from>
                  <to>
                    <xdr:col>6</xdr:col>
                    <xdr:colOff>876300</xdr:colOff>
                    <xdr:row>36</xdr:row>
                    <xdr:rowOff>0</xdr:rowOff>
                  </to>
                </anchor>
              </controlPr>
            </control>
          </mc:Choice>
        </mc:AlternateContent>
        <mc:AlternateContent xmlns:mc="http://schemas.openxmlformats.org/markup-compatibility/2006">
          <mc:Choice Requires="x14">
            <control shapeId="764455" r:id="rId23" name="Drop Down 2599">
              <controlPr defaultSize="0" autoLine="0" autoPict="0">
                <anchor moveWithCells="1">
                  <from>
                    <xdr:col>6</xdr:col>
                    <xdr:colOff>0</xdr:colOff>
                    <xdr:row>36</xdr:row>
                    <xdr:rowOff>12700</xdr:rowOff>
                  </from>
                  <to>
                    <xdr:col>6</xdr:col>
                    <xdr:colOff>876300</xdr:colOff>
                    <xdr:row>37</xdr:row>
                    <xdr:rowOff>0</xdr:rowOff>
                  </to>
                </anchor>
              </controlPr>
            </control>
          </mc:Choice>
        </mc:AlternateContent>
        <mc:AlternateContent xmlns:mc="http://schemas.openxmlformats.org/markup-compatibility/2006">
          <mc:Choice Requires="x14">
            <control shapeId="764456" r:id="rId24" name="Drop Down 2600">
              <controlPr defaultSize="0" autoLine="0" autoPict="0">
                <anchor moveWithCells="1">
                  <from>
                    <xdr:col>6</xdr:col>
                    <xdr:colOff>0</xdr:colOff>
                    <xdr:row>37</xdr:row>
                    <xdr:rowOff>12700</xdr:rowOff>
                  </from>
                  <to>
                    <xdr:col>6</xdr:col>
                    <xdr:colOff>876300</xdr:colOff>
                    <xdr:row>38</xdr:row>
                    <xdr:rowOff>0</xdr:rowOff>
                  </to>
                </anchor>
              </controlPr>
            </control>
          </mc:Choice>
        </mc:AlternateContent>
        <mc:AlternateContent xmlns:mc="http://schemas.openxmlformats.org/markup-compatibility/2006">
          <mc:Choice Requires="x14">
            <control shapeId="764458" r:id="rId25" name="Drop Down 2602">
              <controlPr defaultSize="0" autoLine="0" autoPict="0">
                <anchor moveWithCells="1">
                  <from>
                    <xdr:col>6</xdr:col>
                    <xdr:colOff>0</xdr:colOff>
                    <xdr:row>50</xdr:row>
                    <xdr:rowOff>12700</xdr:rowOff>
                  </from>
                  <to>
                    <xdr:col>6</xdr:col>
                    <xdr:colOff>876300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4B8E3D35-A815-4471-905F-8419AAA9FC23}">
            <xm:f>'Variable Mgmt'!$B$74=TRUE</xm:f>
            <x14:dxf>
              <font>
                <color theme="0"/>
              </font>
            </x14:dxf>
          </x14:cfRule>
          <xm:sqref>B40</xm:sqref>
        </x14:conditionalFormatting>
        <x14:conditionalFormatting xmlns:xm="http://schemas.microsoft.com/office/excel/2006/main">
          <x14:cfRule type="expression" priority="1" id="{8521D621-BE3D-4AAE-900E-18DA0D0FAC8E}">
            <xm:f>'Variable Mgmt'!$B$74=TRUE</xm:f>
            <x14:dxf>
              <font>
                <color rgb="FFFFFF99"/>
              </font>
            </x14:dxf>
          </x14:cfRule>
          <xm:sqref>B33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7030A0"/>
    <pageSetUpPr fitToPage="1"/>
  </sheetPr>
  <dimension ref="A1:R6"/>
  <sheetViews>
    <sheetView zoomScaleNormal="100" workbookViewId="0">
      <selection activeCell="M15" sqref="M15"/>
    </sheetView>
  </sheetViews>
  <sheetFormatPr defaultColWidth="9.1796875" defaultRowHeight="12.5"/>
  <cols>
    <col min="1" max="13" width="9.1796875" style="84"/>
    <col min="14" max="14" width="11.81640625" style="84" customWidth="1"/>
    <col min="15" max="16" width="9.1796875" style="84"/>
    <col min="17" max="17" width="15.7265625" style="84" customWidth="1"/>
    <col min="18" max="16384" width="9.1796875" style="84"/>
  </cols>
  <sheetData>
    <row r="1" spans="1:18" s="75" customFormat="1" ht="47.25" customHeight="1">
      <c r="A1" s="971" t="s">
        <v>948</v>
      </c>
      <c r="B1" s="972"/>
      <c r="C1" s="972"/>
      <c r="D1" s="972"/>
      <c r="E1" s="972"/>
      <c r="F1" s="972"/>
      <c r="G1" s="972"/>
      <c r="H1" s="972"/>
      <c r="I1" s="972"/>
      <c r="J1" s="972"/>
      <c r="K1" s="972"/>
      <c r="L1" s="972"/>
      <c r="M1" s="972"/>
      <c r="N1" s="972"/>
      <c r="O1" s="972"/>
      <c r="P1" s="972"/>
      <c r="Q1" s="972"/>
      <c r="R1" s="82"/>
    </row>
    <row r="6" spans="1:18" ht="20">
      <c r="B6" s="85" t="s">
        <v>921</v>
      </c>
      <c r="N6" s="85" t="s">
        <v>946</v>
      </c>
    </row>
  </sheetData>
  <sheetProtection algorithmName="SHA-512" hashValue="tPvl2fh3glKsM+U9wmutkl9ZVBAqXCTdyJPzqtmwYjcUBHnYNN/9332VpUYstDE7h8BljUFt0E7mrD0NWOKCXQ==" saltValue="syN6z4runAzyyZkZejHLoQ==" spinCount="100000" sheet="1" objects="1" scenarios="1" selectLockedCells="1" selectUnlockedCells="1"/>
  <mergeCells count="1">
    <mergeCell ref="A1:Q1"/>
  </mergeCells>
  <phoneticPr fontId="83"/>
  <pageMargins left="0.19" right="0.2" top="0.75" bottom="0.75" header="0.3" footer="0.3"/>
  <pageSetup scale="5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209</vt:i4>
      </vt:variant>
    </vt:vector>
  </HeadingPairs>
  <TitlesOfParts>
    <vt:vector size="222" baseType="lpstr">
      <vt:lpstr>Design Converter</vt:lpstr>
      <vt:lpstr>Stability Calculations</vt:lpstr>
      <vt:lpstr>Variable Mgmt</vt:lpstr>
      <vt:lpstr>Parameters</vt:lpstr>
      <vt:lpstr>Calculations - Single</vt:lpstr>
      <vt:lpstr>Calculations - Dual</vt:lpstr>
      <vt:lpstr>Fsw vs VIN</vt:lpstr>
      <vt:lpstr>BOM &amp; Schematic</vt:lpstr>
      <vt:lpstr>EVMs</vt:lpstr>
      <vt:lpstr>Efficiency Plots</vt:lpstr>
      <vt:lpstr>Fsw Plots</vt:lpstr>
      <vt:lpstr>Schematic Mgmt</vt:lpstr>
      <vt:lpstr>Standard Value Calculator</vt:lpstr>
      <vt:lpstr>_Don1</vt:lpstr>
      <vt:lpstr>Acs</vt:lpstr>
      <vt:lpstr>Adc</vt:lpstr>
      <vt:lpstr>Aea</vt:lpstr>
      <vt:lpstr>Afb</vt:lpstr>
      <vt:lpstr>Am</vt:lpstr>
      <vt:lpstr>BDserR</vt:lpstr>
      <vt:lpstr>BODE_TYPE</vt:lpstr>
      <vt:lpstr>Cb</vt:lpstr>
      <vt:lpstr>Ccomp</vt:lpstr>
      <vt:lpstr>Chf</vt:lpstr>
      <vt:lpstr>Parameters!Cin</vt:lpstr>
      <vt:lpstr>Cin</vt:lpstr>
      <vt:lpstr>CinEsrMax</vt:lpstr>
      <vt:lpstr>Cinmin</vt:lpstr>
      <vt:lpstr>CONFIG</vt:lpstr>
      <vt:lpstr>Coss</vt:lpstr>
      <vt:lpstr>Parameters!Cout</vt:lpstr>
      <vt:lpstr>Cout</vt:lpstr>
      <vt:lpstr>Cout_pri</vt:lpstr>
      <vt:lpstr>Cout_sec</vt:lpstr>
      <vt:lpstr>Cout_Voltage_Rating</vt:lpstr>
      <vt:lpstr>Cout2</vt:lpstr>
      <vt:lpstr>CoutEsr</vt:lpstr>
      <vt:lpstr>CoutEsr2</vt:lpstr>
      <vt:lpstr>Css</vt:lpstr>
      <vt:lpstr>Css_u</vt:lpstr>
      <vt:lpstr>Csw</vt:lpstr>
      <vt:lpstr>Diode_TC</vt:lpstr>
      <vt:lpstr>Don_Vinmax</vt:lpstr>
      <vt:lpstr>Don_Vinmin</vt:lpstr>
      <vt:lpstr>Don_Vinnom</vt:lpstr>
      <vt:lpstr>EFF_DUAL</vt:lpstr>
      <vt:lpstr>EFF_SINGLE</vt:lpstr>
      <vt:lpstr>Efficiency</vt:lpstr>
      <vt:lpstr>Fco_desire</vt:lpstr>
      <vt:lpstr>Parameters!Fsw</vt:lpstr>
      <vt:lpstr>Fsw_DCM</vt:lpstr>
      <vt:lpstr>Fsw_DUAL</vt:lpstr>
      <vt:lpstr>Fsw_max</vt:lpstr>
      <vt:lpstr>Fsw_SINGLE</vt:lpstr>
      <vt:lpstr>gmEA</vt:lpstr>
      <vt:lpstr>Icinrms</vt:lpstr>
      <vt:lpstr>Icoutrms</vt:lpstr>
      <vt:lpstr>Iin_Vinmax</vt:lpstr>
      <vt:lpstr>Iin_Vinmin</vt:lpstr>
      <vt:lpstr>Iin_Vinnom</vt:lpstr>
      <vt:lpstr>ILIM_delay</vt:lpstr>
      <vt:lpstr>Iout</vt:lpstr>
      <vt:lpstr>Iout_eff</vt:lpstr>
      <vt:lpstr>Iout_max</vt:lpstr>
      <vt:lpstr>Iout2</vt:lpstr>
      <vt:lpstr>Iout2_actual</vt:lpstr>
      <vt:lpstr>'Calculations - Dual'!Ioutmax_Vinmax</vt:lpstr>
      <vt:lpstr>Ioutmax_Vinmax</vt:lpstr>
      <vt:lpstr>'Calculations - Dual'!Ioutmax_Vinmin</vt:lpstr>
      <vt:lpstr>Ioutmax_Vinmin</vt:lpstr>
      <vt:lpstr>'Calculations - Dual'!Ioutmax_Vinnom</vt:lpstr>
      <vt:lpstr>Ioutmax_Vinnom</vt:lpstr>
      <vt:lpstr>IpkCAL</vt:lpstr>
      <vt:lpstr>IQ</vt:lpstr>
      <vt:lpstr>Iripple</vt:lpstr>
      <vt:lpstr>Iss</vt:lpstr>
      <vt:lpstr>Isw_max</vt:lpstr>
      <vt:lpstr>Isw_min</vt:lpstr>
      <vt:lpstr>Iuvlo_hys</vt:lpstr>
      <vt:lpstr>Iuvlo1</vt:lpstr>
      <vt:lpstr>Iuvlo2</vt:lpstr>
      <vt:lpstr>k_core</vt:lpstr>
      <vt:lpstr>ktr_rcmd</vt:lpstr>
      <vt:lpstr>L</vt:lpstr>
      <vt:lpstr>Lleak</vt:lpstr>
      <vt:lpstr>Lmag</vt:lpstr>
      <vt:lpstr>Lmin</vt:lpstr>
      <vt:lpstr>Lmin_abs</vt:lpstr>
      <vt:lpstr>Ls1_</vt:lpstr>
      <vt:lpstr>Ls2_</vt:lpstr>
      <vt:lpstr>Ltc</vt:lpstr>
      <vt:lpstr>M</vt:lpstr>
      <vt:lpstr>max_I</vt:lpstr>
      <vt:lpstr>min_I</vt:lpstr>
      <vt:lpstr>MODE</vt:lpstr>
      <vt:lpstr>MODE_SS</vt:lpstr>
      <vt:lpstr>MODE_TC</vt:lpstr>
      <vt:lpstr>MODE_TOP</vt:lpstr>
      <vt:lpstr>MODE_UVLO</vt:lpstr>
      <vt:lpstr>Npri_sec</vt:lpstr>
      <vt:lpstr>Npri_sec1</vt:lpstr>
      <vt:lpstr>Npri_sec2</vt:lpstr>
      <vt:lpstr>Nps</vt:lpstr>
      <vt:lpstr>Nsec1sec2</vt:lpstr>
      <vt:lpstr>OffTime</vt:lpstr>
      <vt:lpstr>OnTime</vt:lpstr>
      <vt:lpstr>Pi</vt:lpstr>
      <vt:lpstr>Pin</vt:lpstr>
      <vt:lpstr>PLOT_TYPE</vt:lpstr>
      <vt:lpstr>pole1</vt:lpstr>
      <vt:lpstr>Pole2</vt:lpstr>
      <vt:lpstr>pole3</vt:lpstr>
      <vt:lpstr>pole4</vt:lpstr>
      <vt:lpstr>Pomax_allowed</vt:lpstr>
      <vt:lpstr>Pout</vt:lpstr>
      <vt:lpstr>Pout_total</vt:lpstr>
      <vt:lpstr>Pout2</vt:lpstr>
      <vt:lpstr>'BOM &amp; Schematic'!Print_Area</vt:lpstr>
      <vt:lpstr>'Design Converter'!Print_Area</vt:lpstr>
      <vt:lpstr>pterm1</vt:lpstr>
      <vt:lpstr>pterm2</vt:lpstr>
      <vt:lpstr>Qg</vt:lpstr>
      <vt:lpstr>radconv</vt:lpstr>
      <vt:lpstr>Parameters!RCinEsr</vt:lpstr>
      <vt:lpstr>RCinEsr</vt:lpstr>
      <vt:lpstr>Rcomp</vt:lpstr>
      <vt:lpstr>Parameters!RCoutEsr</vt:lpstr>
      <vt:lpstr>RCoutEsr</vt:lpstr>
      <vt:lpstr>RCS</vt:lpstr>
      <vt:lpstr>Rcs_gain</vt:lpstr>
      <vt:lpstr>RCSmin</vt:lpstr>
      <vt:lpstr>Rdcr_pri</vt:lpstr>
      <vt:lpstr>Rdcr_sec</vt:lpstr>
      <vt:lpstr>Rdcr_sec2</vt:lpstr>
      <vt:lpstr>Rdson</vt:lpstr>
      <vt:lpstr>RdsonTC</vt:lpstr>
      <vt:lpstr>REAout</vt:lpstr>
      <vt:lpstr>Rfb</vt:lpstr>
      <vt:lpstr>Rfb_recommend</vt:lpstr>
      <vt:lpstr>Rfb2_u</vt:lpstr>
      <vt:lpstr>Rload_pri</vt:lpstr>
      <vt:lpstr>Rload_sec</vt:lpstr>
      <vt:lpstr>RON</vt:lpstr>
      <vt:lpstr>Rout</vt:lpstr>
      <vt:lpstr>Rout2</vt:lpstr>
      <vt:lpstr>rr</vt:lpstr>
      <vt:lpstr>RTC</vt:lpstr>
      <vt:lpstr>RTC_1</vt:lpstr>
      <vt:lpstr>Ruvlo1</vt:lpstr>
      <vt:lpstr>Ruvlo2</vt:lpstr>
      <vt:lpstr>SCH_BIPOLAR_UVLOadj_SSadj_TCno</vt:lpstr>
      <vt:lpstr>SCH_BIPOLAR_UVLOadj_SSadj_TCyes</vt:lpstr>
      <vt:lpstr>SCH_BIPOLAR_UVLOadj_SSint_TCno</vt:lpstr>
      <vt:lpstr>SCH_BIPOLAR_UVLOadj_SSint_TCyes</vt:lpstr>
      <vt:lpstr>SCH_BIPOLAR_UVLOint_SSadj_TCno</vt:lpstr>
      <vt:lpstr>SCH_BIPOLAR_UVLOint_SSadj_TCyes</vt:lpstr>
      <vt:lpstr>SCH_BIPOLAR_UVLOint_SSint_TCno</vt:lpstr>
      <vt:lpstr>SCH_BIPOLAR_UVLOint_SSint_TCyes</vt:lpstr>
      <vt:lpstr>SCH_DUAL_UVLOadj_SSadj_TCno</vt:lpstr>
      <vt:lpstr>SCH_DUAL_UVLOadj_SSadj_TCyes</vt:lpstr>
      <vt:lpstr>SCH_DUAL_UVLOadj_SSint_TCno</vt:lpstr>
      <vt:lpstr>SCH_DUAL_UVLOadj_SSint_TCyes</vt:lpstr>
      <vt:lpstr>SCH_DUAL_UVLOint_SSadj_TCno</vt:lpstr>
      <vt:lpstr>SCH_DUAL_UVLOint_SSadj_TCyes</vt:lpstr>
      <vt:lpstr>SCH_DUAL_UVLOint_SSint_TCno</vt:lpstr>
      <vt:lpstr>SCH_DUAL_UVLOint_SSint_TCyes</vt:lpstr>
      <vt:lpstr>SCH_SINGLE_UVLOadj_SSadj_TCno</vt:lpstr>
      <vt:lpstr>SCH_SINGLE_UVLOadj_SSadj_TCyes</vt:lpstr>
      <vt:lpstr>SCH_SINGLE_UVLOadj_SSint_TCno</vt:lpstr>
      <vt:lpstr>SCH_SINGLE_UVLOadj_SSint_TCyes</vt:lpstr>
      <vt:lpstr>SCH_SINGLE_UVLOint_SSadj_TCno</vt:lpstr>
      <vt:lpstr>SCH_SINGLE_UVLOint_SSadj_TCyes</vt:lpstr>
      <vt:lpstr>SCH_SINGLE_UVLOint_SSint_TCno</vt:lpstr>
      <vt:lpstr>SCH_SINGLE_UVLOint_SSint_TCyes</vt:lpstr>
      <vt:lpstr>Parameters!Ta</vt:lpstr>
      <vt:lpstr>Ta</vt:lpstr>
      <vt:lpstr>TC</vt:lpstr>
      <vt:lpstr>Tfall</vt:lpstr>
      <vt:lpstr>ThetaCa</vt:lpstr>
      <vt:lpstr>ThetaJA</vt:lpstr>
      <vt:lpstr>TL</vt:lpstr>
      <vt:lpstr>toff_max</vt:lpstr>
      <vt:lpstr>Toff_Vinmax</vt:lpstr>
      <vt:lpstr>Ton_Vinmin</vt:lpstr>
      <vt:lpstr>Trise</vt:lpstr>
      <vt:lpstr>TrrBot</vt:lpstr>
      <vt:lpstr>Tss</vt:lpstr>
      <vt:lpstr>Tsw</vt:lpstr>
      <vt:lpstr>Turns_Ratio</vt:lpstr>
      <vt:lpstr>Turns_Ratio2</vt:lpstr>
      <vt:lpstr>Vdd</vt:lpstr>
      <vt:lpstr>Vds_req</vt:lpstr>
      <vt:lpstr>Vfwd1</vt:lpstr>
      <vt:lpstr>Vfwd2</vt:lpstr>
      <vt:lpstr>Vfwd22</vt:lpstr>
      <vt:lpstr>Vin</vt:lpstr>
      <vt:lpstr>Vin_eff</vt:lpstr>
      <vt:lpstr>VIN_max</vt:lpstr>
      <vt:lpstr>VIN_min</vt:lpstr>
      <vt:lpstr>VIN_nom</vt:lpstr>
      <vt:lpstr>Vinripple1</vt:lpstr>
      <vt:lpstr>Vinripple2</vt:lpstr>
      <vt:lpstr>VINuvlo_off</vt:lpstr>
      <vt:lpstr>VINuvlo_on</vt:lpstr>
      <vt:lpstr>Vout</vt:lpstr>
      <vt:lpstr>Vout_eff</vt:lpstr>
      <vt:lpstr>Vout_ripple</vt:lpstr>
      <vt:lpstr>Vout_ripple2</vt:lpstr>
      <vt:lpstr>Vout2</vt:lpstr>
      <vt:lpstr>Vout2_actual</vt:lpstr>
      <vt:lpstr>Vref</vt:lpstr>
      <vt:lpstr>Vripple1_actual</vt:lpstr>
      <vt:lpstr>Vripple1_spec</vt:lpstr>
      <vt:lpstr>Vripple2_actual</vt:lpstr>
      <vt:lpstr>Vripple2_spec</vt:lpstr>
      <vt:lpstr>VRRM_DIODE</vt:lpstr>
      <vt:lpstr>Vuvlo_hys</vt:lpstr>
      <vt:lpstr>Vuvlo_off</vt:lpstr>
      <vt:lpstr>Vuvlo_on</vt:lpstr>
      <vt:lpstr>z_RHP</vt:lpstr>
      <vt:lpstr>Zero1</vt:lpstr>
      <vt:lpstr>Zero2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LM5180 Design Calculator</dc:title>
  <dc:creator>Timothy Hegarty</dc:creator>
  <cp:keywords>LM5180 PSR flyback converter</cp:keywords>
  <cp:lastModifiedBy>Alva Hernandez, Manuel</cp:lastModifiedBy>
  <cp:lastPrinted>2016-03-02T21:18:53Z</cp:lastPrinted>
  <dcterms:created xsi:type="dcterms:W3CDTF">1996-10-14T23:33:28Z</dcterms:created>
  <dcterms:modified xsi:type="dcterms:W3CDTF">2025-08-20T21:09:52Z</dcterms:modified>
</cp:coreProperties>
</file>